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24226"/>
  <mc:AlternateContent xmlns:mc="http://schemas.openxmlformats.org/markup-compatibility/2006">
    <mc:Choice Requires="x15">
      <x15ac:absPath xmlns:x15ac="http://schemas.microsoft.com/office/spreadsheetml/2010/11/ac" url="D:\DATA INTELLIGENCE Dropbox\DI Monitoreo II\000 AGENCIA INFORMACION DI\"/>
    </mc:Choice>
  </mc:AlternateContent>
  <xr:revisionPtr revIDLastSave="0" documentId="13_ncr:1_{5FA9312C-3B3F-479F-9ADF-399FDF5BB77B}" xr6:coauthVersionLast="47" xr6:coauthVersionMax="47" xr10:uidLastSave="{00000000-0000-0000-0000-000000000000}"/>
  <bookViews>
    <workbookView xWindow="-108" yWindow="-108" windowWidth="23256" windowHeight="12720" activeTab="2" xr2:uid="{00000000-000D-0000-FFFF-FFFF00000000}"/>
  </bookViews>
  <sheets>
    <sheet name="Resumen" sheetId="7" r:id="rId1"/>
    <sheet name="Hoja3" sheetId="10" r:id="rId2"/>
    <sheet name="Agencia" sheetId="4" r:id="rId3"/>
    <sheet name="Estructura" sheetId="6" r:id="rId4"/>
    <sheet name="TD" sheetId="5" r:id="rId5"/>
  </sheets>
  <definedNames>
    <definedName name="SegmentaciónDeDatos_contenido">#N/A</definedName>
    <definedName name="SegmentaciónDeDatos_contenido1">#N/A</definedName>
    <definedName name="SegmentaciónDeDatos_escala">#N/A</definedName>
    <definedName name="SegmentaciónDeDatos_escala1">#N/A</definedName>
    <definedName name="SegmentaciónDeDatos_Filtro_Integrado">#N/A</definedName>
    <definedName name="SegmentaciónDeDatos_Muestra">#N/A</definedName>
    <definedName name="SegmentaciónDeDatos_sector">#N/A</definedName>
    <definedName name="SegmentaciónDeDatos_sector1">#N/A</definedName>
    <definedName name="SegmentaciónDeDatos_tema">#N/A</definedName>
    <definedName name="SegmentaciónDeDatos_tema1">#N/A</definedName>
    <definedName name="SegmentaciónDeDatos_temporalidad">#N/A</definedName>
    <definedName name="SegmentaciónDeDatos_territorio">#N/A</definedName>
    <definedName name="SegmentaciónDeDatos_territorio1">#N/A</definedName>
    <definedName name="SegmentaciónDeDatos_visualizacion">#N/A</definedName>
  </definedNames>
  <calcPr calcId="191029"/>
  <pivotCaches>
    <pivotCache cacheId="133" r:id="rId6"/>
    <pivotCache cacheId="14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4:slicerCache r:id="rId18"/>
        <x14:slicerCache r:id="rId19"/>
        <x14:slicerCache r:id="rId20"/>
        <x14:slicerCache r:id="rId2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92" i="4" l="1"/>
  <c r="R291" i="4"/>
  <c r="R136" i="4"/>
  <c r="R46" i="4"/>
  <c r="R173" i="4"/>
  <c r="R172" i="4"/>
  <c r="R171" i="4"/>
  <c r="R170" i="4"/>
  <c r="R169" i="4"/>
  <c r="R168" i="4"/>
  <c r="R167" i="4"/>
  <c r="R166" i="4"/>
  <c r="R165" i="4"/>
  <c r="R164" i="4"/>
  <c r="R163" i="4"/>
  <c r="R162" i="4"/>
  <c r="R161" i="4"/>
  <c r="R160" i="4"/>
  <c r="R159" i="4"/>
  <c r="R158" i="4"/>
  <c r="R157" i="4"/>
  <c r="R775" i="4"/>
  <c r="R774" i="4"/>
  <c r="R773" i="4"/>
  <c r="R772" i="4"/>
  <c r="R811" i="4"/>
  <c r="R561" i="4"/>
  <c r="R560" i="4"/>
  <c r="R559" i="4"/>
  <c r="R558" i="4"/>
  <c r="R557" i="4"/>
  <c r="R556" i="4"/>
  <c r="R555" i="4"/>
  <c r="R554" i="4"/>
  <c r="R553" i="4"/>
  <c r="R552" i="4"/>
  <c r="R551" i="4"/>
  <c r="R550" i="4"/>
  <c r="R549" i="4"/>
  <c r="R548" i="4"/>
  <c r="R547" i="4"/>
  <c r="R546" i="4"/>
  <c r="R545" i="4"/>
  <c r="R527" i="4"/>
  <c r="R526" i="4"/>
  <c r="R525" i="4"/>
  <c r="R524" i="4"/>
  <c r="R523" i="4"/>
  <c r="R522" i="4"/>
  <c r="R521" i="4"/>
  <c r="R520" i="4"/>
  <c r="R519" i="4"/>
  <c r="R518" i="4"/>
  <c r="R517" i="4"/>
  <c r="R516" i="4"/>
  <c r="R515" i="4"/>
  <c r="R514" i="4"/>
  <c r="R513" i="4"/>
  <c r="R512" i="4"/>
  <c r="R511" i="4"/>
  <c r="R544" i="4"/>
  <c r="R543" i="4"/>
  <c r="R542" i="4"/>
  <c r="R541" i="4"/>
  <c r="R540" i="4"/>
  <c r="R539" i="4"/>
  <c r="R538" i="4"/>
  <c r="R537" i="4"/>
  <c r="R536" i="4"/>
  <c r="R535" i="4"/>
  <c r="R534" i="4"/>
  <c r="R533" i="4"/>
  <c r="R532" i="4"/>
  <c r="R531" i="4"/>
  <c r="R530" i="4"/>
  <c r="R529" i="4"/>
  <c r="R528" i="4"/>
  <c r="R495" i="4"/>
  <c r="R496" i="4"/>
  <c r="R497" i="4"/>
  <c r="R498" i="4"/>
  <c r="R499" i="4"/>
  <c r="R500" i="4"/>
  <c r="R501" i="4"/>
  <c r="R502" i="4"/>
  <c r="R503" i="4"/>
  <c r="R504" i="4"/>
  <c r="R505" i="4"/>
  <c r="R506" i="4"/>
  <c r="R507" i="4"/>
  <c r="R508" i="4"/>
  <c r="R509" i="4"/>
  <c r="R510" i="4"/>
  <c r="R491" i="4"/>
  <c r="R490" i="4"/>
  <c r="R489" i="4"/>
  <c r="R492" i="4"/>
  <c r="R494" i="4"/>
  <c r="R493" i="4"/>
  <c r="R473" i="4"/>
  <c r="R474" i="4"/>
  <c r="R475" i="4"/>
  <c r="R476" i="4"/>
  <c r="R477" i="4"/>
  <c r="R478" i="4"/>
  <c r="R479" i="4"/>
  <c r="R480" i="4"/>
  <c r="R481" i="4"/>
  <c r="R482" i="4"/>
  <c r="R483" i="4"/>
  <c r="R484" i="4"/>
  <c r="R485" i="4"/>
  <c r="R486" i="4"/>
  <c r="R487" i="4"/>
  <c r="R488" i="4"/>
  <c r="R472" i="4"/>
  <c r="R456" i="4"/>
  <c r="R457" i="4"/>
  <c r="R458" i="4"/>
  <c r="R459" i="4"/>
  <c r="R460" i="4"/>
  <c r="R461" i="4"/>
  <c r="R462" i="4"/>
  <c r="R463" i="4"/>
  <c r="R464" i="4"/>
  <c r="R465" i="4"/>
  <c r="R466" i="4"/>
  <c r="R467" i="4"/>
  <c r="R468" i="4"/>
  <c r="R469" i="4"/>
  <c r="R470" i="4"/>
  <c r="R471" i="4"/>
  <c r="R455" i="4"/>
  <c r="R439" i="4"/>
  <c r="R440" i="4"/>
  <c r="R441" i="4"/>
  <c r="R442" i="4"/>
  <c r="R443" i="4"/>
  <c r="R444" i="4"/>
  <c r="R445" i="4"/>
  <c r="R446" i="4"/>
  <c r="R447" i="4"/>
  <c r="R448" i="4"/>
  <c r="R449" i="4"/>
  <c r="R450" i="4"/>
  <c r="R451" i="4"/>
  <c r="R452" i="4"/>
  <c r="R453" i="4"/>
  <c r="R454" i="4"/>
  <c r="R438" i="4"/>
  <c r="R437" i="4"/>
  <c r="R421" i="4"/>
  <c r="R422" i="4"/>
  <c r="R423" i="4"/>
  <c r="R424" i="4"/>
  <c r="R425" i="4"/>
  <c r="R426" i="4"/>
  <c r="R427" i="4"/>
  <c r="R428" i="4"/>
  <c r="R429" i="4"/>
  <c r="R430" i="4"/>
  <c r="R431" i="4"/>
  <c r="R432" i="4"/>
  <c r="R433" i="4"/>
  <c r="R434" i="4"/>
  <c r="R435" i="4"/>
  <c r="R436" i="4"/>
  <c r="R420" i="4"/>
  <c r="R419" i="4"/>
  <c r="R403" i="4"/>
  <c r="R404" i="4"/>
  <c r="R405" i="4"/>
  <c r="R406" i="4"/>
  <c r="R407" i="4"/>
  <c r="R408" i="4"/>
  <c r="R409" i="4"/>
  <c r="R410" i="4"/>
  <c r="R411" i="4"/>
  <c r="R412" i="4"/>
  <c r="R413" i="4"/>
  <c r="R414" i="4"/>
  <c r="R415" i="4"/>
  <c r="R416" i="4"/>
  <c r="R417" i="4"/>
  <c r="R418" i="4"/>
  <c r="R402" i="4"/>
  <c r="R400" i="4"/>
  <c r="R401" i="4"/>
  <c r="R384" i="4"/>
  <c r="R385" i="4"/>
  <c r="R386" i="4"/>
  <c r="R387" i="4"/>
  <c r="R388" i="4"/>
  <c r="R389" i="4"/>
  <c r="R390" i="4"/>
  <c r="R391" i="4"/>
  <c r="R392" i="4"/>
  <c r="R393" i="4"/>
  <c r="R394" i="4"/>
  <c r="R395" i="4"/>
  <c r="R396" i="4"/>
  <c r="R397" i="4"/>
  <c r="R398" i="4"/>
  <c r="R399" i="4"/>
  <c r="R383" i="4"/>
  <c r="R367" i="4"/>
  <c r="R368" i="4"/>
  <c r="R369" i="4"/>
  <c r="R370" i="4"/>
  <c r="R371" i="4"/>
  <c r="R372" i="4"/>
  <c r="R373" i="4"/>
  <c r="R374" i="4"/>
  <c r="R375" i="4"/>
  <c r="R376" i="4"/>
  <c r="R377" i="4"/>
  <c r="R378" i="4"/>
  <c r="R379" i="4"/>
  <c r="R380" i="4"/>
  <c r="R381" i="4"/>
  <c r="R382" i="4"/>
  <c r="R366" i="4"/>
  <c r="R365" i="4"/>
  <c r="R364" i="4"/>
  <c r="R363" i="4"/>
  <c r="R347" i="4"/>
  <c r="R348" i="4"/>
  <c r="R349" i="4"/>
  <c r="R350" i="4"/>
  <c r="R351" i="4"/>
  <c r="R352" i="4"/>
  <c r="R353" i="4"/>
  <c r="R354" i="4"/>
  <c r="R355" i="4"/>
  <c r="R356" i="4"/>
  <c r="R357" i="4"/>
  <c r="R358" i="4"/>
  <c r="R359" i="4"/>
  <c r="R360" i="4"/>
  <c r="R361" i="4"/>
  <c r="R362" i="4"/>
  <c r="R346" i="4"/>
  <c r="R330" i="4"/>
  <c r="R331" i="4"/>
  <c r="R332" i="4"/>
  <c r="R333" i="4"/>
  <c r="R334" i="4"/>
  <c r="R335" i="4"/>
  <c r="R336" i="4"/>
  <c r="R337" i="4"/>
  <c r="R338" i="4"/>
  <c r="R339" i="4"/>
  <c r="R340" i="4"/>
  <c r="R341" i="4"/>
  <c r="R342" i="4"/>
  <c r="R343" i="4"/>
  <c r="R344" i="4"/>
  <c r="R345" i="4"/>
  <c r="R329" i="4"/>
  <c r="R328" i="4"/>
  <c r="R312" i="4"/>
  <c r="R313" i="4"/>
  <c r="R314" i="4"/>
  <c r="R315" i="4"/>
  <c r="R316" i="4"/>
  <c r="R317" i="4"/>
  <c r="R318" i="4"/>
  <c r="R319" i="4"/>
  <c r="R320" i="4"/>
  <c r="R321" i="4"/>
  <c r="R322" i="4"/>
  <c r="R323" i="4"/>
  <c r="R324" i="4"/>
  <c r="R325" i="4"/>
  <c r="R326" i="4"/>
  <c r="R327" i="4"/>
  <c r="R311" i="4"/>
  <c r="R193" i="4"/>
  <c r="R194" i="4"/>
  <c r="R195" i="4"/>
  <c r="R196" i="4"/>
  <c r="R197" i="4"/>
  <c r="R198" i="4"/>
  <c r="R199" i="4"/>
  <c r="R200" i="4"/>
  <c r="R201" i="4"/>
  <c r="R202" i="4"/>
  <c r="R203" i="4"/>
  <c r="R204" i="4"/>
  <c r="R205" i="4"/>
  <c r="R206" i="4"/>
  <c r="R207" i="4"/>
  <c r="R208" i="4"/>
  <c r="R192" i="4"/>
  <c r="R580" i="4"/>
  <c r="R581" i="4"/>
  <c r="R582" i="4"/>
  <c r="R583" i="4"/>
  <c r="R584" i="4"/>
  <c r="R585" i="4"/>
  <c r="R586" i="4"/>
  <c r="R587" i="4"/>
  <c r="R588" i="4"/>
  <c r="R589" i="4"/>
  <c r="R590" i="4"/>
  <c r="R591" i="4"/>
  <c r="R592" i="4"/>
  <c r="R593" i="4"/>
  <c r="R594" i="4"/>
  <c r="R595" i="4"/>
  <c r="R579" i="4"/>
  <c r="R563" i="4"/>
  <c r="R564" i="4"/>
  <c r="R565" i="4"/>
  <c r="R566" i="4"/>
  <c r="R567" i="4"/>
  <c r="R568" i="4"/>
  <c r="R569" i="4"/>
  <c r="R570" i="4"/>
  <c r="R571" i="4"/>
  <c r="R572" i="4"/>
  <c r="R573" i="4"/>
  <c r="R574" i="4"/>
  <c r="R575" i="4"/>
  <c r="R576" i="4"/>
  <c r="R577" i="4"/>
  <c r="R578" i="4"/>
  <c r="R562" i="4"/>
  <c r="R597" i="4"/>
  <c r="R598" i="4"/>
  <c r="R599" i="4"/>
  <c r="R600" i="4"/>
  <c r="R601" i="4"/>
  <c r="R602" i="4"/>
  <c r="R603" i="4"/>
  <c r="R604" i="4"/>
  <c r="R605" i="4"/>
  <c r="R606" i="4"/>
  <c r="R607" i="4"/>
  <c r="R608" i="4"/>
  <c r="R609" i="4"/>
  <c r="R610" i="4"/>
  <c r="R611" i="4"/>
  <c r="R612" i="4"/>
  <c r="R596" i="4"/>
  <c r="S474" i="4"/>
  <c r="S475" i="4"/>
  <c r="S476" i="4"/>
  <c r="S477" i="4"/>
  <c r="S478" i="4"/>
  <c r="S479" i="4"/>
  <c r="S480" i="4"/>
  <c r="S481" i="4"/>
  <c r="S482" i="4"/>
  <c r="S483" i="4"/>
  <c r="S484" i="4"/>
  <c r="S485" i="4"/>
  <c r="S486" i="4"/>
  <c r="S487" i="4"/>
  <c r="S488" i="4"/>
  <c r="S473" i="4"/>
  <c r="V1152" i="4"/>
  <c r="V1153" i="4"/>
  <c r="V1154" i="4"/>
  <c r="V1155" i="4"/>
  <c r="V1156" i="4"/>
  <c r="V1157" i="4"/>
  <c r="V1158" i="4"/>
  <c r="V1159" i="4"/>
  <c r="V1160" i="4"/>
  <c r="V1161" i="4"/>
  <c r="V1162" i="4"/>
  <c r="V1163" i="4"/>
  <c r="V1164" i="4"/>
  <c r="V1165" i="4"/>
  <c r="V1166" i="4"/>
  <c r="V1167" i="4"/>
  <c r="V1168" i="4"/>
  <c r="V1169" i="4"/>
  <c r="V1170" i="4"/>
  <c r="V1171" i="4"/>
  <c r="V1172" i="4"/>
  <c r="V1173" i="4"/>
  <c r="V1174" i="4"/>
  <c r="V1175" i="4"/>
  <c r="V1176" i="4"/>
  <c r="V1177" i="4"/>
  <c r="V1178" i="4"/>
  <c r="V1179" i="4"/>
  <c r="V1180" i="4"/>
  <c r="V1181" i="4"/>
  <c r="V1182" i="4"/>
  <c r="V1183" i="4"/>
  <c r="V1184" i="4"/>
  <c r="V1185" i="4"/>
  <c r="V1186" i="4"/>
  <c r="V1187" i="4"/>
  <c r="V1188" i="4"/>
  <c r="V1189" i="4"/>
  <c r="V1190" i="4"/>
  <c r="V1191" i="4"/>
  <c r="V1192" i="4"/>
  <c r="V1193" i="4"/>
  <c r="V1194" i="4"/>
  <c r="V1195" i="4"/>
  <c r="V1196" i="4"/>
  <c r="V1197" i="4"/>
  <c r="V1198" i="4"/>
  <c r="V1199" i="4"/>
  <c r="V1200" i="4"/>
  <c r="V1201" i="4"/>
  <c r="V1202" i="4"/>
  <c r="V1203" i="4"/>
  <c r="V1204" i="4"/>
  <c r="V1205" i="4"/>
  <c r="V1206" i="4"/>
  <c r="V1207" i="4"/>
  <c r="V1208" i="4"/>
  <c r="V1209" i="4"/>
  <c r="V1210" i="4"/>
  <c r="V1211" i="4"/>
  <c r="V1212" i="4"/>
  <c r="V1213" i="4"/>
  <c r="V1214" i="4"/>
  <c r="V1215" i="4"/>
  <c r="V1216" i="4"/>
  <c r="V1217" i="4"/>
  <c r="V1218" i="4"/>
  <c r="V1219" i="4"/>
  <c r="V1220" i="4"/>
  <c r="V1221" i="4"/>
  <c r="V1222" i="4"/>
  <c r="V1223" i="4"/>
  <c r="V1224" i="4"/>
  <c r="V1225" i="4"/>
  <c r="V1226" i="4"/>
  <c r="V1227" i="4"/>
  <c r="V1228" i="4"/>
  <c r="V1229" i="4"/>
  <c r="V1230" i="4"/>
  <c r="V1231" i="4"/>
  <c r="V1232" i="4"/>
  <c r="V1233" i="4"/>
  <c r="V1234" i="4"/>
  <c r="V1235" i="4"/>
  <c r="V1236" i="4"/>
  <c r="V1237" i="4"/>
  <c r="V1238" i="4"/>
  <c r="V1239" i="4"/>
  <c r="V1240" i="4"/>
  <c r="V1241" i="4"/>
  <c r="V1242" i="4"/>
  <c r="V1243" i="4"/>
  <c r="V1244" i="4"/>
  <c r="V1245" i="4"/>
  <c r="V1246" i="4"/>
  <c r="V1247" i="4"/>
  <c r="V1248" i="4"/>
  <c r="V1249" i="4"/>
  <c r="V1250" i="4"/>
  <c r="V1251" i="4"/>
  <c r="V1252" i="4"/>
  <c r="V1253" i="4"/>
  <c r="V1254" i="4"/>
  <c r="V1255" i="4"/>
  <c r="V1256" i="4"/>
  <c r="V1257" i="4"/>
  <c r="V1258" i="4"/>
  <c r="V1259" i="4"/>
  <c r="V1260" i="4"/>
  <c r="V1261" i="4"/>
  <c r="V1262" i="4"/>
  <c r="V1263" i="4"/>
  <c r="V1264" i="4"/>
  <c r="V1265" i="4"/>
  <c r="V1266" i="4"/>
  <c r="V1267" i="4"/>
  <c r="V1268" i="4"/>
  <c r="V1269" i="4"/>
  <c r="V1270" i="4"/>
  <c r="V1271" i="4"/>
  <c r="V1272" i="4"/>
  <c r="V1273" i="4"/>
  <c r="V1274" i="4"/>
  <c r="V1275" i="4"/>
  <c r="V1276" i="4"/>
  <c r="V1277" i="4"/>
  <c r="V1278" i="4"/>
  <c r="V1279" i="4"/>
  <c r="V1280" i="4"/>
  <c r="V1281" i="4"/>
  <c r="V1282" i="4"/>
  <c r="V1283" i="4"/>
  <c r="V1284" i="4"/>
  <c r="V1285" i="4"/>
  <c r="V1286" i="4"/>
  <c r="V1287" i="4"/>
  <c r="V1288" i="4"/>
  <c r="V1289" i="4"/>
  <c r="V1290" i="4"/>
  <c r="V1291" i="4"/>
  <c r="V1292" i="4"/>
  <c r="V1293" i="4"/>
  <c r="V1294" i="4"/>
  <c r="V1295" i="4"/>
  <c r="V1296" i="4"/>
  <c r="V1297" i="4"/>
  <c r="V1298" i="4"/>
  <c r="V1299" i="4"/>
  <c r="V1300" i="4"/>
  <c r="V1301" i="4"/>
  <c r="V1302" i="4"/>
  <c r="V1303" i="4"/>
  <c r="V1304" i="4"/>
  <c r="V1305" i="4"/>
  <c r="V1306" i="4"/>
  <c r="V1307" i="4"/>
  <c r="V1308" i="4"/>
  <c r="V1309" i="4"/>
  <c r="V1310" i="4"/>
  <c r="V1311" i="4"/>
  <c r="V1312" i="4"/>
  <c r="V1313" i="4"/>
  <c r="V1314" i="4"/>
  <c r="V1315" i="4"/>
  <c r="V1316" i="4"/>
  <c r="V1317" i="4"/>
  <c r="V1318" i="4"/>
  <c r="V1319" i="4"/>
  <c r="V1320" i="4"/>
  <c r="V1321" i="4"/>
  <c r="V1322" i="4"/>
  <c r="V1323" i="4"/>
  <c r="V1324" i="4"/>
  <c r="V1325" i="4"/>
  <c r="V1326" i="4"/>
  <c r="V1327" i="4"/>
  <c r="V1328" i="4"/>
  <c r="V1329" i="4"/>
  <c r="V1330" i="4"/>
  <c r="V1331" i="4"/>
  <c r="V1332" i="4"/>
  <c r="V1333" i="4"/>
  <c r="V1334" i="4"/>
  <c r="V1335" i="4"/>
  <c r="V1336" i="4"/>
  <c r="V1337" i="4"/>
  <c r="V1338" i="4"/>
  <c r="V1339" i="4"/>
  <c r="V1340" i="4"/>
  <c r="V1341" i="4"/>
  <c r="V1342" i="4"/>
  <c r="V1343" i="4"/>
  <c r="V1344" i="4"/>
  <c r="V1345" i="4"/>
  <c r="V1346" i="4"/>
  <c r="V1347" i="4"/>
  <c r="V1348" i="4"/>
  <c r="V1349" i="4"/>
  <c r="V1350" i="4"/>
  <c r="V1351" i="4"/>
  <c r="V1352" i="4"/>
  <c r="V1353" i="4"/>
  <c r="V1354" i="4"/>
  <c r="V1355" i="4"/>
  <c r="V1356" i="4"/>
  <c r="V1357" i="4"/>
  <c r="V1358" i="4"/>
  <c r="V1359" i="4"/>
  <c r="V1360" i="4"/>
  <c r="V1361" i="4"/>
  <c r="V1362" i="4"/>
  <c r="V1363" i="4"/>
  <c r="V1364" i="4"/>
  <c r="V1365" i="4"/>
  <c r="V1366" i="4"/>
  <c r="V1367" i="4"/>
  <c r="V1368" i="4"/>
  <c r="V1369" i="4"/>
  <c r="V1370" i="4"/>
  <c r="V1371" i="4"/>
  <c r="V1372" i="4"/>
  <c r="V1373" i="4"/>
  <c r="V1374" i="4"/>
  <c r="V1375" i="4"/>
  <c r="V1376" i="4"/>
  <c r="V1377" i="4"/>
  <c r="V1378" i="4"/>
  <c r="V1379" i="4"/>
  <c r="V1380" i="4"/>
  <c r="V1381" i="4"/>
  <c r="V1382" i="4"/>
  <c r="V1383" i="4"/>
  <c r="V1384" i="4"/>
  <c r="V1385" i="4"/>
  <c r="V1386" i="4"/>
  <c r="V1387" i="4"/>
  <c r="V1388" i="4"/>
  <c r="V1389" i="4"/>
  <c r="V1390" i="4"/>
  <c r="V1391" i="4"/>
  <c r="V1392" i="4"/>
  <c r="V1393" i="4"/>
  <c r="V1394" i="4"/>
  <c r="V1395" i="4"/>
  <c r="V1396" i="4"/>
  <c r="V1397" i="4"/>
  <c r="V1398" i="4"/>
  <c r="V1399" i="4"/>
  <c r="V1400" i="4"/>
  <c r="V1401" i="4"/>
  <c r="V1402" i="4"/>
  <c r="V1403" i="4"/>
  <c r="V1404" i="4"/>
  <c r="V1405" i="4"/>
  <c r="V1406" i="4"/>
  <c r="V1407" i="4"/>
  <c r="V1408" i="4"/>
  <c r="V1409" i="4"/>
  <c r="V1410" i="4"/>
  <c r="V1411" i="4"/>
  <c r="V1412" i="4"/>
  <c r="V1413" i="4"/>
  <c r="V1414" i="4"/>
  <c r="V1415" i="4"/>
  <c r="V1416" i="4"/>
  <c r="V1417" i="4"/>
  <c r="V1418" i="4"/>
  <c r="V1419" i="4"/>
  <c r="V1420" i="4"/>
  <c r="V1421" i="4"/>
  <c r="V1422" i="4"/>
  <c r="V1423" i="4"/>
  <c r="V1424" i="4"/>
  <c r="V1425" i="4"/>
  <c r="V1426" i="4"/>
  <c r="V1427" i="4"/>
  <c r="V1428" i="4"/>
  <c r="V1429" i="4"/>
  <c r="V1430" i="4"/>
  <c r="V1431" i="4"/>
  <c r="V1432" i="4"/>
  <c r="V1433" i="4"/>
  <c r="V1434" i="4"/>
  <c r="V1435" i="4"/>
  <c r="V1436" i="4"/>
  <c r="V1437" i="4"/>
  <c r="V1438" i="4"/>
  <c r="V1439" i="4"/>
  <c r="V1440" i="4"/>
  <c r="V1441" i="4"/>
  <c r="V1442" i="4"/>
  <c r="V1443" i="4"/>
  <c r="V1444" i="4"/>
  <c r="V1445" i="4"/>
  <c r="V1446" i="4"/>
  <c r="V1447" i="4"/>
  <c r="V1448" i="4"/>
  <c r="V1449" i="4"/>
  <c r="V1450" i="4"/>
  <c r="V1451" i="4"/>
  <c r="V1452" i="4"/>
  <c r="V1453" i="4"/>
  <c r="V1454" i="4"/>
  <c r="V1455" i="4"/>
  <c r="V1456" i="4"/>
  <c r="V1457" i="4"/>
  <c r="V1458" i="4"/>
  <c r="V1459" i="4"/>
  <c r="V1460" i="4"/>
  <c r="V1461" i="4"/>
  <c r="V1462" i="4"/>
  <c r="V1463" i="4"/>
  <c r="V1464" i="4"/>
  <c r="V1465" i="4"/>
  <c r="V1466" i="4"/>
  <c r="V1467" i="4"/>
  <c r="V1468" i="4"/>
  <c r="V1469" i="4"/>
  <c r="V1470" i="4"/>
  <c r="V1471" i="4"/>
  <c r="V1472" i="4"/>
  <c r="V1473" i="4"/>
  <c r="V1474" i="4"/>
  <c r="V1475" i="4"/>
  <c r="V1476" i="4"/>
  <c r="V1477" i="4"/>
  <c r="V1478" i="4"/>
  <c r="V1479" i="4"/>
  <c r="V1480" i="4"/>
  <c r="V1481" i="4"/>
  <c r="V1482" i="4"/>
  <c r="V1483" i="4"/>
  <c r="V1484" i="4"/>
  <c r="V1485" i="4"/>
  <c r="V1486" i="4"/>
  <c r="V1487" i="4"/>
  <c r="V1488" i="4"/>
  <c r="V1489" i="4"/>
  <c r="V1490" i="4"/>
  <c r="V1491" i="4"/>
  <c r="V1492" i="4"/>
  <c r="V1493" i="4"/>
  <c r="V1494" i="4"/>
  <c r="V1495" i="4"/>
  <c r="V1496" i="4"/>
  <c r="V1497" i="4"/>
  <c r="V1498" i="4"/>
  <c r="V1499" i="4"/>
  <c r="V1500" i="4"/>
  <c r="V1501" i="4"/>
  <c r="V1502" i="4"/>
  <c r="V1503" i="4"/>
  <c r="V1504" i="4"/>
  <c r="V1505" i="4"/>
  <c r="V1506" i="4"/>
  <c r="V1507" i="4"/>
  <c r="V1508" i="4"/>
  <c r="V1509" i="4"/>
  <c r="V1510" i="4"/>
  <c r="V1511" i="4"/>
  <c r="V1512" i="4"/>
  <c r="V1513" i="4"/>
  <c r="V1514" i="4"/>
  <c r="V1515" i="4"/>
  <c r="V1516" i="4"/>
  <c r="V1517" i="4"/>
  <c r="V1518" i="4"/>
  <c r="V1519" i="4"/>
  <c r="V1520" i="4"/>
  <c r="V1521" i="4"/>
  <c r="V1522" i="4"/>
  <c r="V1523" i="4"/>
  <c r="V1524" i="4"/>
  <c r="V1525" i="4"/>
  <c r="V1526" i="4"/>
  <c r="V1527" i="4"/>
  <c r="V1528" i="4"/>
  <c r="V1529" i="4"/>
  <c r="V1530" i="4"/>
  <c r="V1531" i="4"/>
  <c r="V1532" i="4"/>
  <c r="V1533" i="4"/>
  <c r="V1534" i="4"/>
  <c r="V1535" i="4"/>
  <c r="V1536" i="4"/>
  <c r="V1537" i="4"/>
  <c r="V1538" i="4"/>
  <c r="V1539" i="4"/>
  <c r="V1540" i="4"/>
  <c r="V1541" i="4"/>
  <c r="V1542" i="4"/>
  <c r="V1543" i="4"/>
  <c r="V1544" i="4"/>
  <c r="V1545" i="4"/>
  <c r="V1546" i="4"/>
  <c r="V1547" i="4"/>
  <c r="V1548" i="4"/>
  <c r="V1549" i="4"/>
  <c r="V1550" i="4"/>
  <c r="V1551" i="4"/>
  <c r="V1552" i="4"/>
  <c r="V1553" i="4"/>
  <c r="V1554" i="4"/>
  <c r="V1555" i="4"/>
  <c r="V1556" i="4"/>
  <c r="V1557" i="4"/>
  <c r="V1558" i="4"/>
  <c r="V1559" i="4"/>
  <c r="V1560" i="4"/>
  <c r="V1561" i="4"/>
  <c r="V1562" i="4"/>
  <c r="V1563" i="4"/>
  <c r="V1564" i="4"/>
  <c r="V1565" i="4"/>
  <c r="V1566" i="4"/>
  <c r="V1567" i="4"/>
  <c r="V1568" i="4"/>
  <c r="V1569" i="4"/>
  <c r="V1570" i="4"/>
  <c r="V1571" i="4"/>
  <c r="V1572" i="4"/>
  <c r="V1573" i="4"/>
  <c r="V1574" i="4"/>
  <c r="V1575" i="4"/>
  <c r="V1576" i="4"/>
  <c r="V1577" i="4"/>
  <c r="V1578" i="4"/>
  <c r="V1579" i="4"/>
  <c r="V1580" i="4"/>
  <c r="V1581" i="4"/>
  <c r="V1582" i="4"/>
  <c r="V1583" i="4"/>
  <c r="V1584" i="4"/>
  <c r="V1585" i="4"/>
  <c r="V1586" i="4"/>
  <c r="V1587" i="4"/>
  <c r="V1588" i="4"/>
  <c r="V1589" i="4"/>
  <c r="V1590" i="4"/>
  <c r="V1591" i="4"/>
  <c r="V1592" i="4"/>
  <c r="V1593" i="4"/>
  <c r="V1594" i="4"/>
  <c r="V1595" i="4"/>
  <c r="V1596" i="4"/>
  <c r="V1597" i="4"/>
  <c r="V1598" i="4"/>
  <c r="V1599" i="4"/>
  <c r="V1600" i="4"/>
  <c r="V1601" i="4"/>
  <c r="V1602" i="4"/>
  <c r="V1603" i="4"/>
  <c r="V1604" i="4"/>
  <c r="V1605" i="4"/>
  <c r="V1606" i="4"/>
  <c r="V1607" i="4"/>
  <c r="V1608" i="4"/>
  <c r="V1609" i="4"/>
  <c r="V1610" i="4"/>
  <c r="V1611" i="4"/>
  <c r="V1612" i="4"/>
  <c r="V1613" i="4"/>
  <c r="V1614" i="4"/>
  <c r="V1615" i="4"/>
  <c r="V1616" i="4"/>
  <c r="V1617" i="4"/>
  <c r="V1618" i="4"/>
  <c r="V1619" i="4"/>
  <c r="V1620" i="4"/>
  <c r="V1621" i="4"/>
  <c r="V1622" i="4"/>
  <c r="V1623" i="4"/>
  <c r="V1624" i="4"/>
  <c r="V1625" i="4"/>
  <c r="V1626" i="4"/>
  <c r="V1627" i="4"/>
  <c r="V1628" i="4"/>
  <c r="V1629" i="4"/>
  <c r="V1630" i="4"/>
  <c r="V1631" i="4"/>
  <c r="V1632" i="4"/>
  <c r="V1633" i="4"/>
  <c r="V1634" i="4"/>
  <c r="V1635" i="4"/>
  <c r="V1636" i="4"/>
  <c r="V1637" i="4"/>
  <c r="V1638" i="4"/>
  <c r="V1639" i="4"/>
  <c r="V1640" i="4"/>
  <c r="V1641" i="4"/>
  <c r="V1642" i="4"/>
  <c r="V1643" i="4"/>
  <c r="V1644" i="4"/>
  <c r="V1645" i="4"/>
  <c r="V1646" i="4"/>
  <c r="V1647" i="4"/>
  <c r="V1648" i="4"/>
  <c r="V1649" i="4"/>
  <c r="V1650" i="4"/>
  <c r="V1651" i="4"/>
  <c r="V1652" i="4"/>
  <c r="V1653" i="4"/>
  <c r="V1654" i="4"/>
  <c r="V1655" i="4"/>
  <c r="V1656" i="4"/>
  <c r="V1657" i="4"/>
  <c r="V1658" i="4"/>
  <c r="V1659" i="4"/>
  <c r="V1660" i="4"/>
  <c r="V1661" i="4"/>
  <c r="V1662" i="4"/>
  <c r="V1663" i="4"/>
  <c r="V1664" i="4"/>
  <c r="V1665" i="4"/>
  <c r="V1666" i="4"/>
  <c r="V1667" i="4"/>
  <c r="V1668" i="4"/>
  <c r="V1669" i="4"/>
  <c r="V1670" i="4"/>
  <c r="V1671" i="4"/>
  <c r="V1672" i="4"/>
  <c r="V1673" i="4"/>
  <c r="V1674" i="4"/>
  <c r="V1675" i="4"/>
  <c r="V1676" i="4"/>
  <c r="V1677" i="4"/>
  <c r="V1678" i="4"/>
  <c r="V1679" i="4"/>
  <c r="V1680" i="4"/>
  <c r="V1681" i="4"/>
  <c r="V1682" i="4"/>
  <c r="V1683" i="4"/>
  <c r="V1684" i="4"/>
  <c r="V1685" i="4"/>
  <c r="V1686" i="4"/>
  <c r="V1687" i="4"/>
  <c r="V1688" i="4"/>
  <c r="V1689" i="4"/>
  <c r="V1690" i="4"/>
  <c r="V1691" i="4"/>
  <c r="V1692" i="4"/>
  <c r="V1693" i="4"/>
  <c r="V1694" i="4"/>
  <c r="V1695" i="4"/>
  <c r="V1696" i="4"/>
  <c r="V1697" i="4"/>
  <c r="V1698" i="4"/>
  <c r="V1699" i="4"/>
  <c r="V1700" i="4"/>
  <c r="V1701" i="4"/>
  <c r="V1702" i="4"/>
  <c r="V1703" i="4"/>
  <c r="V1704" i="4"/>
  <c r="V1705" i="4"/>
  <c r="V1706" i="4"/>
  <c r="V1707" i="4"/>
  <c r="V1708" i="4"/>
  <c r="V1709" i="4"/>
  <c r="V1710" i="4"/>
  <c r="V1711" i="4"/>
  <c r="V1712" i="4"/>
  <c r="V1713" i="4"/>
  <c r="V1714" i="4"/>
  <c r="V1715" i="4"/>
  <c r="V1716" i="4"/>
  <c r="V1717" i="4"/>
  <c r="V1718" i="4"/>
  <c r="V1719" i="4"/>
  <c r="V1720" i="4"/>
  <c r="V1721" i="4"/>
  <c r="V1722" i="4"/>
  <c r="V1723" i="4"/>
  <c r="V1724" i="4"/>
  <c r="V1725" i="4"/>
  <c r="V1726" i="4"/>
  <c r="V1727" i="4"/>
  <c r="V1728" i="4"/>
  <c r="V1729" i="4"/>
  <c r="V1730" i="4"/>
  <c r="V1731" i="4"/>
  <c r="V1732" i="4"/>
  <c r="V1733" i="4"/>
  <c r="V1734" i="4"/>
  <c r="V1735" i="4"/>
  <c r="V1736" i="4"/>
  <c r="V1737" i="4"/>
  <c r="V1738" i="4"/>
  <c r="V1739" i="4"/>
  <c r="V1740" i="4"/>
  <c r="V1741" i="4"/>
  <c r="V1742" i="4"/>
  <c r="V1743" i="4"/>
  <c r="V1744" i="4"/>
  <c r="V1745" i="4"/>
  <c r="V1746" i="4"/>
  <c r="V1747" i="4"/>
  <c r="V1748" i="4"/>
  <c r="V1749" i="4"/>
  <c r="V1750" i="4"/>
  <c r="V1751" i="4"/>
  <c r="V1752" i="4"/>
  <c r="V1753" i="4"/>
  <c r="V1754" i="4"/>
  <c r="V1755" i="4"/>
  <c r="V1756" i="4"/>
  <c r="V1757" i="4"/>
  <c r="V1758" i="4"/>
  <c r="V1759" i="4"/>
  <c r="V1760" i="4"/>
  <c r="V1761" i="4"/>
  <c r="V1762" i="4"/>
  <c r="V1763" i="4"/>
  <c r="V1764" i="4"/>
  <c r="V1765" i="4"/>
  <c r="V1766" i="4"/>
  <c r="V1767" i="4"/>
  <c r="V1768" i="4"/>
  <c r="V1769" i="4"/>
  <c r="V1770" i="4"/>
  <c r="V1771" i="4"/>
  <c r="V1772" i="4"/>
  <c r="V1773" i="4"/>
  <c r="V1774" i="4"/>
  <c r="V1775" i="4"/>
  <c r="V1776" i="4"/>
  <c r="V1777" i="4"/>
  <c r="V1778" i="4"/>
  <c r="V1779" i="4"/>
  <c r="V1780" i="4"/>
  <c r="V1781" i="4"/>
  <c r="V1782" i="4"/>
  <c r="V1783" i="4"/>
  <c r="V1784" i="4"/>
  <c r="V1785" i="4"/>
  <c r="V1786" i="4"/>
  <c r="V1787" i="4"/>
  <c r="V1788" i="4"/>
  <c r="V1789" i="4"/>
  <c r="V1790" i="4"/>
  <c r="V1791" i="4"/>
  <c r="V1792" i="4"/>
  <c r="V1793" i="4"/>
  <c r="V1794" i="4"/>
  <c r="V1795" i="4"/>
  <c r="V1796" i="4"/>
  <c r="V1797" i="4"/>
  <c r="V1798" i="4"/>
  <c r="V1799" i="4"/>
  <c r="V1800" i="4"/>
  <c r="V1801" i="4"/>
  <c r="V1802" i="4"/>
  <c r="V1803" i="4"/>
  <c r="V1804" i="4"/>
  <c r="V1805" i="4"/>
  <c r="V1806" i="4"/>
  <c r="V1807" i="4"/>
  <c r="V1808" i="4"/>
  <c r="V1809" i="4"/>
  <c r="V1810" i="4"/>
  <c r="V1811" i="4"/>
  <c r="V1812" i="4"/>
  <c r="V1813" i="4"/>
  <c r="V1814" i="4"/>
  <c r="V1815" i="4"/>
  <c r="V1816" i="4"/>
  <c r="V1817" i="4"/>
  <c r="V1818" i="4"/>
  <c r="V1819" i="4"/>
  <c r="V1820" i="4"/>
  <c r="V1821" i="4"/>
  <c r="V1822" i="4"/>
  <c r="V1823" i="4"/>
  <c r="V1824" i="4"/>
  <c r="V1825" i="4"/>
  <c r="V1826" i="4"/>
  <c r="V1827" i="4"/>
  <c r="V1828" i="4"/>
  <c r="V1829" i="4"/>
  <c r="V1830" i="4"/>
  <c r="V1831" i="4"/>
  <c r="V1832" i="4"/>
  <c r="V1833" i="4"/>
  <c r="V1834" i="4"/>
  <c r="V1835" i="4"/>
  <c r="V1836" i="4"/>
  <c r="V1837" i="4"/>
  <c r="V1838" i="4"/>
  <c r="V1839" i="4"/>
  <c r="V1840" i="4"/>
  <c r="V1841" i="4"/>
  <c r="V1842" i="4"/>
  <c r="V1843" i="4"/>
  <c r="V1844" i="4"/>
  <c r="V1845" i="4"/>
  <c r="V1846" i="4"/>
  <c r="V1847" i="4"/>
  <c r="V1848" i="4"/>
  <c r="V1849" i="4"/>
  <c r="V1850" i="4"/>
  <c r="V1851" i="4"/>
  <c r="V1852" i="4"/>
  <c r="V1853" i="4"/>
  <c r="V1854" i="4"/>
  <c r="V1855" i="4"/>
  <c r="V1856" i="4"/>
  <c r="V1857" i="4"/>
  <c r="V1858" i="4"/>
  <c r="V1859" i="4"/>
  <c r="V1860" i="4"/>
  <c r="V1861" i="4"/>
  <c r="V1862" i="4"/>
  <c r="V1863" i="4"/>
  <c r="V1864" i="4"/>
  <c r="V1865" i="4"/>
  <c r="V1866" i="4"/>
  <c r="V1867" i="4"/>
  <c r="V1868" i="4"/>
  <c r="V1869" i="4"/>
  <c r="V1870" i="4"/>
  <c r="V1871" i="4"/>
  <c r="V1872" i="4"/>
  <c r="V1873" i="4"/>
  <c r="V1874" i="4"/>
  <c r="V1875" i="4"/>
  <c r="V1876" i="4"/>
  <c r="V1877" i="4"/>
  <c r="V1878" i="4"/>
  <c r="V1879" i="4"/>
  <c r="V1880" i="4"/>
  <c r="V1881" i="4"/>
  <c r="V1882" i="4"/>
  <c r="V1883" i="4"/>
  <c r="V1884" i="4"/>
  <c r="V1885" i="4"/>
  <c r="V1886" i="4"/>
  <c r="V1887" i="4"/>
  <c r="V1888" i="4"/>
  <c r="V1889" i="4"/>
  <c r="V1890" i="4"/>
  <c r="V1891" i="4"/>
  <c r="V1892" i="4"/>
  <c r="V1893" i="4"/>
  <c r="V1894" i="4"/>
  <c r="V1895" i="4"/>
  <c r="V1896" i="4"/>
  <c r="V1897" i="4"/>
  <c r="V1898" i="4"/>
  <c r="V1899" i="4"/>
  <c r="V1900" i="4"/>
  <c r="V1901" i="4"/>
  <c r="V1902" i="4"/>
  <c r="V1903" i="4"/>
  <c r="V1904" i="4"/>
  <c r="V1905" i="4"/>
  <c r="V1906" i="4"/>
  <c r="V1907" i="4"/>
  <c r="V1908" i="4"/>
  <c r="V1909" i="4"/>
  <c r="V1910" i="4"/>
  <c r="V1911" i="4"/>
  <c r="V1912" i="4"/>
  <c r="V1913" i="4"/>
  <c r="V1914" i="4"/>
  <c r="V1915" i="4"/>
  <c r="V1916" i="4"/>
  <c r="V1917" i="4"/>
  <c r="V1918" i="4"/>
  <c r="V1919" i="4"/>
  <c r="V1920" i="4"/>
  <c r="V1921" i="4"/>
  <c r="V1922" i="4"/>
  <c r="V1923" i="4"/>
  <c r="V1924" i="4"/>
  <c r="V1925" i="4"/>
  <c r="V1926" i="4"/>
  <c r="V1927" i="4"/>
  <c r="V1928" i="4"/>
  <c r="V1929" i="4"/>
  <c r="V1930" i="4"/>
  <c r="V1931" i="4"/>
  <c r="V1932" i="4"/>
  <c r="V1933" i="4"/>
  <c r="V1934" i="4"/>
  <c r="V1935" i="4"/>
  <c r="V1936" i="4"/>
  <c r="V1937" i="4"/>
  <c r="V1938" i="4"/>
  <c r="V1939" i="4"/>
  <c r="V1940" i="4"/>
  <c r="V1941" i="4"/>
  <c r="V1942" i="4"/>
  <c r="V1943" i="4"/>
  <c r="V1944" i="4"/>
  <c r="V1945" i="4"/>
  <c r="V1946" i="4"/>
  <c r="V1947" i="4"/>
  <c r="V1948" i="4"/>
  <c r="V1949" i="4"/>
  <c r="V1950" i="4"/>
  <c r="V1951" i="4"/>
  <c r="V1952" i="4"/>
  <c r="V1953" i="4"/>
  <c r="V1954" i="4"/>
  <c r="V1955" i="4"/>
  <c r="V1956" i="4"/>
  <c r="V1957" i="4"/>
  <c r="V1958" i="4"/>
  <c r="V1959" i="4"/>
  <c r="V1960" i="4"/>
  <c r="V1961" i="4"/>
  <c r="V1962" i="4"/>
  <c r="V1963" i="4"/>
  <c r="V1964" i="4"/>
  <c r="V1965" i="4"/>
  <c r="V1966" i="4"/>
  <c r="V1967" i="4"/>
  <c r="V1968" i="4"/>
  <c r="V1969" i="4"/>
  <c r="V1970" i="4"/>
  <c r="V1971" i="4"/>
  <c r="V1972" i="4"/>
  <c r="V1973" i="4"/>
  <c r="V1974" i="4"/>
  <c r="V1975" i="4"/>
  <c r="V1976" i="4"/>
  <c r="V1977" i="4"/>
  <c r="V1978" i="4"/>
  <c r="V1979" i="4"/>
  <c r="V1980" i="4"/>
  <c r="V1981" i="4"/>
  <c r="V1982" i="4"/>
  <c r="V1983" i="4"/>
  <c r="V1984" i="4"/>
  <c r="V1985" i="4"/>
  <c r="V1986" i="4"/>
  <c r="V1987" i="4"/>
  <c r="V1988" i="4"/>
  <c r="V1989" i="4"/>
  <c r="V1990" i="4"/>
  <c r="V1991" i="4"/>
  <c r="V1992" i="4"/>
  <c r="V1993" i="4"/>
  <c r="V1994" i="4"/>
  <c r="V1995" i="4"/>
  <c r="V1996" i="4"/>
  <c r="V1997" i="4"/>
  <c r="V1998" i="4"/>
  <c r="V1999" i="4"/>
  <c r="V2000" i="4"/>
  <c r="V2001" i="4"/>
  <c r="V2002" i="4"/>
  <c r="V2003" i="4"/>
  <c r="V2004" i="4"/>
  <c r="V2005" i="4"/>
  <c r="V2006" i="4"/>
  <c r="V2007" i="4"/>
  <c r="V2008" i="4"/>
  <c r="V2009" i="4"/>
  <c r="V2010" i="4"/>
  <c r="V2011" i="4"/>
  <c r="V2012" i="4"/>
  <c r="V2013" i="4"/>
  <c r="V2014" i="4"/>
  <c r="V2015" i="4"/>
  <c r="V2016" i="4"/>
  <c r="V2017" i="4"/>
  <c r="V2018" i="4"/>
  <c r="V2019" i="4"/>
  <c r="V2020" i="4"/>
  <c r="V2021" i="4"/>
  <c r="V2022" i="4"/>
  <c r="V2023" i="4"/>
  <c r="V2024" i="4"/>
  <c r="V2025" i="4"/>
  <c r="V2026" i="4"/>
  <c r="V2027" i="4"/>
  <c r="V2028" i="4"/>
  <c r="V2029" i="4"/>
  <c r="V2030" i="4"/>
  <c r="V2031" i="4"/>
  <c r="V2032" i="4"/>
  <c r="V2033" i="4"/>
  <c r="V2034" i="4"/>
  <c r="V2035" i="4"/>
  <c r="V2036" i="4"/>
  <c r="V2037" i="4"/>
  <c r="V2038" i="4"/>
  <c r="V2039" i="4"/>
  <c r="V2040" i="4"/>
  <c r="V2041" i="4"/>
  <c r="V2042" i="4"/>
  <c r="V2043" i="4"/>
  <c r="V2044" i="4"/>
  <c r="V2045" i="4"/>
  <c r="V2046" i="4"/>
  <c r="V2047" i="4"/>
  <c r="V2048" i="4"/>
  <c r="B107" i="6"/>
  <c r="C107" i="6"/>
  <c r="B108" i="6"/>
  <c r="C108" i="6"/>
  <c r="B109" i="6"/>
  <c r="C109" i="6"/>
  <c r="B110" i="6"/>
  <c r="C110" i="6"/>
  <c r="B111" i="6"/>
  <c r="C111" i="6"/>
  <c r="B112" i="6"/>
  <c r="C112" i="6"/>
  <c r="B113" i="6"/>
  <c r="C113" i="6"/>
  <c r="B114" i="6"/>
  <c r="C114" i="6"/>
  <c r="B115" i="6"/>
  <c r="C115" i="6"/>
  <c r="B116" i="6"/>
  <c r="C116" i="6"/>
  <c r="K26" i="6"/>
  <c r="K27" i="6"/>
  <c r="K28" i="6"/>
  <c r="K29" i="6"/>
  <c r="K30" i="6"/>
  <c r="K31" i="6"/>
  <c r="K32" i="6"/>
  <c r="K33" i="6"/>
  <c r="K34" i="6"/>
  <c r="K35" i="6"/>
  <c r="K36" i="6"/>
  <c r="S619" i="4"/>
  <c r="S620" i="4"/>
  <c r="S621" i="4"/>
  <c r="S622" i="4"/>
  <c r="S623" i="4"/>
  <c r="S624" i="4"/>
  <c r="S625" i="4"/>
  <c r="S626" i="4"/>
  <c r="S627" i="4"/>
  <c r="S628" i="4"/>
  <c r="S629" i="4"/>
  <c r="S630" i="4"/>
  <c r="S631" i="4"/>
  <c r="S632" i="4"/>
  <c r="S633" i="4"/>
  <c r="S618" i="4"/>
  <c r="R1504" i="4" l="1"/>
  <c r="R1505" i="4"/>
  <c r="R1506" i="4"/>
  <c r="R1507" i="4"/>
  <c r="R1508" i="4"/>
  <c r="R1509" i="4"/>
  <c r="R1510" i="4"/>
  <c r="R1511" i="4"/>
  <c r="R1512" i="4"/>
  <c r="R1513" i="4"/>
  <c r="R1514" i="4"/>
  <c r="R1515" i="4"/>
  <c r="R1516" i="4"/>
  <c r="R1517" i="4"/>
  <c r="R1518" i="4"/>
  <c r="R1503" i="4"/>
  <c r="R1502" i="4"/>
  <c r="O1504" i="4"/>
  <c r="O1505" i="4"/>
  <c r="O1506" i="4"/>
  <c r="O1507" i="4"/>
  <c r="O1508" i="4"/>
  <c r="O1509" i="4"/>
  <c r="O1510" i="4"/>
  <c r="O1511" i="4"/>
  <c r="O1512" i="4"/>
  <c r="O1513" i="4"/>
  <c r="O1514" i="4"/>
  <c r="O1515" i="4"/>
  <c r="O1516" i="4"/>
  <c r="O1517" i="4"/>
  <c r="O1518" i="4"/>
  <c r="O1503" i="4"/>
  <c r="O1502" i="4"/>
  <c r="O1501" i="4"/>
  <c r="O1521" i="4"/>
  <c r="O1522" i="4"/>
  <c r="O1523" i="4"/>
  <c r="O1524" i="4"/>
  <c r="O1525" i="4"/>
  <c r="O1526" i="4"/>
  <c r="O1527" i="4"/>
  <c r="O1528" i="4"/>
  <c r="O1529" i="4"/>
  <c r="O1530" i="4"/>
  <c r="O1531" i="4"/>
  <c r="O1532" i="4"/>
  <c r="O1533" i="4"/>
  <c r="O1534" i="4"/>
  <c r="O1535" i="4"/>
  <c r="O1520" i="4"/>
  <c r="O1519" i="4"/>
  <c r="T1080" i="4"/>
  <c r="T1069" i="4"/>
  <c r="T1070" i="4"/>
  <c r="T1071" i="4"/>
  <c r="T1072" i="4"/>
  <c r="T1073" i="4"/>
  <c r="T1074" i="4"/>
  <c r="T1075" i="4"/>
  <c r="T1076" i="4"/>
  <c r="T1077" i="4"/>
  <c r="T1078" i="4"/>
  <c r="T1079" i="4"/>
  <c r="T1081" i="4"/>
  <c r="T1082" i="4"/>
  <c r="T1083" i="4"/>
  <c r="T1068" i="4"/>
  <c r="S1069" i="4"/>
  <c r="S1070" i="4"/>
  <c r="S1071" i="4"/>
  <c r="S1072" i="4"/>
  <c r="S1073" i="4"/>
  <c r="S1074" i="4"/>
  <c r="S1075" i="4"/>
  <c r="S1076" i="4"/>
  <c r="S1077" i="4"/>
  <c r="S1078" i="4"/>
  <c r="S1079" i="4"/>
  <c r="S1080" i="4"/>
  <c r="S1081" i="4"/>
  <c r="S1082" i="4"/>
  <c r="S1083" i="4"/>
  <c r="S1068" i="4"/>
  <c r="V12" i="4"/>
  <c r="N180" i="6" l="1"/>
  <c r="O180" i="6"/>
  <c r="N181" i="6"/>
  <c r="O181" i="6"/>
  <c r="N182" i="6"/>
  <c r="O182" i="6"/>
  <c r="N183" i="6"/>
  <c r="O183" i="6"/>
  <c r="N184" i="6"/>
  <c r="O184" i="6"/>
  <c r="N185" i="6"/>
  <c r="O185" i="6"/>
  <c r="N186" i="6"/>
  <c r="O186" i="6"/>
  <c r="N187" i="6"/>
  <c r="O187" i="6"/>
  <c r="N188" i="6"/>
  <c r="O188" i="6"/>
  <c r="N189" i="6"/>
  <c r="O189" i="6"/>
  <c r="N190" i="6"/>
  <c r="O190" i="6"/>
  <c r="N191" i="6"/>
  <c r="O191" i="6"/>
  <c r="N192" i="6"/>
  <c r="O192" i="6"/>
  <c r="N193" i="6"/>
  <c r="O193" i="6"/>
  <c r="N194" i="6"/>
  <c r="O194" i="6"/>
  <c r="N195" i="6"/>
  <c r="O195" i="6"/>
  <c r="N196" i="6"/>
  <c r="O196" i="6"/>
  <c r="N197" i="6"/>
  <c r="O197" i="6"/>
  <c r="N198" i="6"/>
  <c r="O198" i="6"/>
  <c r="N199" i="6"/>
  <c r="O199" i="6"/>
  <c r="N200" i="6"/>
  <c r="O200" i="6"/>
  <c r="N201" i="6"/>
  <c r="O201" i="6"/>
  <c r="N202" i="6"/>
  <c r="O202" i="6"/>
  <c r="N203" i="6"/>
  <c r="O203" i="6"/>
  <c r="N204" i="6"/>
  <c r="O204" i="6"/>
  <c r="N205" i="6"/>
  <c r="O205" i="6"/>
  <c r="N206" i="6"/>
  <c r="O206" i="6"/>
  <c r="N207" i="6"/>
  <c r="O207" i="6"/>
  <c r="N208" i="6"/>
  <c r="O208" i="6"/>
  <c r="N209" i="6"/>
  <c r="O209" i="6"/>
  <c r="N210" i="6"/>
  <c r="O210" i="6"/>
  <c r="N211" i="6"/>
  <c r="O211" i="6"/>
  <c r="N212" i="6"/>
  <c r="O212" i="6"/>
  <c r="N213" i="6"/>
  <c r="O213" i="6"/>
  <c r="N214" i="6"/>
  <c r="O214" i="6"/>
  <c r="N215" i="6"/>
  <c r="O215" i="6"/>
  <c r="N216" i="6"/>
  <c r="O216" i="6"/>
  <c r="N217" i="6"/>
  <c r="O217" i="6"/>
  <c r="N218" i="6"/>
  <c r="O218" i="6"/>
  <c r="N219" i="6"/>
  <c r="O219" i="6"/>
  <c r="N220" i="6"/>
  <c r="O220" i="6"/>
  <c r="N221" i="6"/>
  <c r="O221" i="6"/>
  <c r="N222" i="6"/>
  <c r="O222" i="6"/>
  <c r="N223" i="6"/>
  <c r="O223" i="6"/>
  <c r="N224" i="6"/>
  <c r="O224" i="6"/>
  <c r="N225" i="6"/>
  <c r="O225" i="6"/>
  <c r="N226" i="6"/>
  <c r="O226" i="6"/>
  <c r="N227" i="6"/>
  <c r="O227" i="6"/>
  <c r="N228" i="6"/>
  <c r="O228" i="6"/>
  <c r="N229" i="6"/>
  <c r="O229" i="6"/>
  <c r="N230" i="6"/>
  <c r="O230" i="6"/>
  <c r="N231" i="6"/>
  <c r="O231" i="6"/>
  <c r="N232" i="6"/>
  <c r="O232" i="6"/>
  <c r="N233" i="6"/>
  <c r="O233" i="6"/>
  <c r="N234" i="6"/>
  <c r="O234" i="6"/>
  <c r="N235" i="6"/>
  <c r="O235" i="6"/>
  <c r="N236" i="6"/>
  <c r="O236" i="6"/>
  <c r="N237" i="6"/>
  <c r="O237" i="6"/>
  <c r="N238" i="6"/>
  <c r="O238" i="6"/>
  <c r="N239" i="6"/>
  <c r="O239" i="6"/>
  <c r="N240" i="6"/>
  <c r="O240" i="6"/>
  <c r="N241" i="6"/>
  <c r="O241" i="6"/>
  <c r="N242" i="6"/>
  <c r="O242" i="6"/>
  <c r="N243" i="6"/>
  <c r="O243" i="6"/>
  <c r="N244" i="6"/>
  <c r="O244" i="6"/>
  <c r="N245" i="6"/>
  <c r="O245" i="6"/>
  <c r="N246" i="6"/>
  <c r="O246" i="6"/>
  <c r="N247" i="6"/>
  <c r="O247" i="6"/>
  <c r="N248" i="6"/>
  <c r="O248" i="6"/>
  <c r="N249" i="6"/>
  <c r="O249" i="6"/>
  <c r="N250" i="6"/>
  <c r="O250" i="6"/>
  <c r="N251" i="6"/>
  <c r="O251" i="6"/>
  <c r="N252" i="6"/>
  <c r="O252" i="6"/>
  <c r="N253" i="6"/>
  <c r="O253" i="6"/>
  <c r="N254" i="6"/>
  <c r="O254" i="6"/>
  <c r="N255" i="6"/>
  <c r="O255" i="6"/>
  <c r="N256" i="6"/>
  <c r="O256" i="6"/>
  <c r="N257" i="6"/>
  <c r="O257" i="6"/>
  <c r="N258" i="6"/>
  <c r="O258" i="6"/>
  <c r="N259" i="6"/>
  <c r="O259" i="6"/>
  <c r="N260" i="6"/>
  <c r="O260" i="6"/>
  <c r="N261" i="6"/>
  <c r="O261" i="6"/>
  <c r="N262" i="6"/>
  <c r="O262" i="6"/>
  <c r="N263" i="6"/>
  <c r="O263" i="6"/>
  <c r="N264" i="6"/>
  <c r="O264" i="6"/>
  <c r="N265" i="6"/>
  <c r="O265" i="6"/>
  <c r="N266" i="6"/>
  <c r="O266" i="6"/>
  <c r="N267" i="6"/>
  <c r="O267" i="6"/>
  <c r="J26" i="6"/>
  <c r="J27" i="6"/>
  <c r="J28" i="6"/>
  <c r="J29" i="6"/>
  <c r="J30" i="6"/>
  <c r="G1136" i="4"/>
  <c r="T1151" i="4"/>
  <c r="T1150" i="4"/>
  <c r="T1149" i="4"/>
  <c r="T1148" i="4"/>
  <c r="T1147" i="4"/>
  <c r="T1146" i="4"/>
  <c r="T1145" i="4"/>
  <c r="T1144" i="4"/>
  <c r="T1143" i="4"/>
  <c r="T1142" i="4"/>
  <c r="T1141" i="4"/>
  <c r="T1140" i="4"/>
  <c r="T1139" i="4"/>
  <c r="T1138" i="4"/>
  <c r="T1137" i="4"/>
  <c r="T1136" i="4"/>
  <c r="G1137" i="4" l="1"/>
  <c r="F1136" i="4"/>
  <c r="S1137" i="4"/>
  <c r="S1138" i="4"/>
  <c r="S1139" i="4"/>
  <c r="S1140" i="4"/>
  <c r="S1141" i="4"/>
  <c r="S1142" i="4"/>
  <c r="S1143" i="4"/>
  <c r="S1144" i="4"/>
  <c r="S1145" i="4"/>
  <c r="S1146" i="4"/>
  <c r="S1147" i="4"/>
  <c r="S1148" i="4"/>
  <c r="S1149" i="4"/>
  <c r="S1150" i="4"/>
  <c r="S1151" i="4"/>
  <c r="S1136" i="4"/>
  <c r="R1136" i="4"/>
  <c r="R1137" i="4"/>
  <c r="R1138" i="4"/>
  <c r="R1139" i="4"/>
  <c r="R1140" i="4"/>
  <c r="R1141" i="4"/>
  <c r="R1142" i="4"/>
  <c r="R1143" i="4"/>
  <c r="R1144" i="4"/>
  <c r="R1145" i="4"/>
  <c r="R1146" i="4"/>
  <c r="R1147" i="4"/>
  <c r="R1148" i="4"/>
  <c r="R1149" i="4"/>
  <c r="R1150" i="4"/>
  <c r="R1151" i="4"/>
  <c r="R1135" i="4"/>
  <c r="O1135" i="4"/>
  <c r="J1137" i="4"/>
  <c r="Q1136" i="4"/>
  <c r="Q1137" i="4" s="1"/>
  <c r="Q1138" i="4" s="1"/>
  <c r="Q1139" i="4" s="1"/>
  <c r="Q1140" i="4" s="1"/>
  <c r="Q1141" i="4" s="1"/>
  <c r="Q1142" i="4" s="1"/>
  <c r="Q1143" i="4" s="1"/>
  <c r="Q1144" i="4" s="1"/>
  <c r="Q1145" i="4" s="1"/>
  <c r="Q1146" i="4" s="1"/>
  <c r="Q1147" i="4" s="1"/>
  <c r="Q1148" i="4" s="1"/>
  <c r="Q1149" i="4" s="1"/>
  <c r="Q1150" i="4" s="1"/>
  <c r="Q1151" i="4" s="1"/>
  <c r="N1136" i="4"/>
  <c r="N1137" i="4" s="1"/>
  <c r="N1138" i="4" s="1"/>
  <c r="N1139" i="4" s="1"/>
  <c r="N1140" i="4" s="1"/>
  <c r="N1141" i="4" s="1"/>
  <c r="N1142" i="4" s="1"/>
  <c r="N1143" i="4" s="1"/>
  <c r="N1144" i="4" s="1"/>
  <c r="N1145" i="4" s="1"/>
  <c r="N1146" i="4" s="1"/>
  <c r="N1147" i="4" s="1"/>
  <c r="N1148" i="4" s="1"/>
  <c r="N1149" i="4" s="1"/>
  <c r="N1150" i="4" s="1"/>
  <c r="N1151" i="4" s="1"/>
  <c r="M1136" i="4"/>
  <c r="M1137" i="4" s="1"/>
  <c r="M1138" i="4" s="1"/>
  <c r="M1139" i="4" s="1"/>
  <c r="M1140" i="4" s="1"/>
  <c r="M1141" i="4" s="1"/>
  <c r="M1142" i="4" s="1"/>
  <c r="M1143" i="4" s="1"/>
  <c r="M1144" i="4" s="1"/>
  <c r="M1145" i="4" s="1"/>
  <c r="M1146" i="4" s="1"/>
  <c r="M1147" i="4" s="1"/>
  <c r="M1148" i="4" s="1"/>
  <c r="M1149" i="4" s="1"/>
  <c r="M1150" i="4" s="1"/>
  <c r="M1151" i="4" s="1"/>
  <c r="L1136" i="4"/>
  <c r="L1137" i="4" s="1"/>
  <c r="L1138" i="4" s="1"/>
  <c r="L1139" i="4" s="1"/>
  <c r="L1140" i="4" s="1"/>
  <c r="L1141" i="4" s="1"/>
  <c r="L1142" i="4" s="1"/>
  <c r="L1143" i="4" s="1"/>
  <c r="L1144" i="4" s="1"/>
  <c r="L1145" i="4" s="1"/>
  <c r="L1146" i="4" s="1"/>
  <c r="L1147" i="4" s="1"/>
  <c r="L1148" i="4" s="1"/>
  <c r="L1149" i="4" s="1"/>
  <c r="L1150" i="4" s="1"/>
  <c r="L1151" i="4" s="1"/>
  <c r="O1151" i="4" s="1"/>
  <c r="D1136" i="4"/>
  <c r="D1137" i="4" s="1"/>
  <c r="D1138" i="4" s="1"/>
  <c r="D1139" i="4" s="1"/>
  <c r="D1140" i="4" s="1"/>
  <c r="D1141" i="4" s="1"/>
  <c r="D1142" i="4" s="1"/>
  <c r="D1143" i="4" s="1"/>
  <c r="D1144" i="4" s="1"/>
  <c r="D1145" i="4" s="1"/>
  <c r="D1146" i="4" s="1"/>
  <c r="D1147" i="4" s="1"/>
  <c r="D1148" i="4" s="1"/>
  <c r="D1149" i="4" s="1"/>
  <c r="D1150" i="4" s="1"/>
  <c r="D1151" i="4" s="1"/>
  <c r="J1138" i="4" l="1"/>
  <c r="F1137" i="4"/>
  <c r="G1138" i="4"/>
  <c r="O1149" i="4"/>
  <c r="O1145" i="4"/>
  <c r="O1141" i="4"/>
  <c r="O1137" i="4"/>
  <c r="O1136" i="4"/>
  <c r="O1148" i="4"/>
  <c r="O1144" i="4"/>
  <c r="O1140" i="4"/>
  <c r="O1147" i="4"/>
  <c r="O1143" i="4"/>
  <c r="O1139" i="4"/>
  <c r="O1150" i="4"/>
  <c r="O1146" i="4"/>
  <c r="O1142" i="4"/>
  <c r="O1138" i="4"/>
  <c r="F1138" i="4" l="1"/>
  <c r="G1139" i="4"/>
  <c r="J1139" i="4"/>
  <c r="G1140" i="4" l="1"/>
  <c r="J1140" i="4"/>
  <c r="F1139" i="4"/>
  <c r="J1141" i="4" l="1"/>
  <c r="F1140" i="4"/>
  <c r="G1141" i="4"/>
  <c r="F1141" i="4" l="1"/>
  <c r="G1142" i="4"/>
  <c r="J1142" i="4"/>
  <c r="G1143" i="4" l="1"/>
  <c r="J1143" i="4"/>
  <c r="F1142" i="4"/>
  <c r="J1144" i="4" l="1"/>
  <c r="F1143" i="4"/>
  <c r="G1144" i="4"/>
  <c r="F1144" i="4" l="1"/>
  <c r="G1145" i="4"/>
  <c r="J1145" i="4"/>
  <c r="G1146" i="4" l="1"/>
  <c r="J1146" i="4"/>
  <c r="F1145" i="4"/>
  <c r="J1147" i="4" l="1"/>
  <c r="F1146" i="4"/>
  <c r="G1147" i="4"/>
  <c r="F1147" i="4" l="1"/>
  <c r="G1148" i="4"/>
  <c r="J1148" i="4"/>
  <c r="G1149" i="4" l="1"/>
  <c r="J1149" i="4"/>
  <c r="F1148" i="4"/>
  <c r="J1150" i="4" l="1"/>
  <c r="F1149" i="4"/>
  <c r="G1150" i="4"/>
  <c r="F1150" i="4" l="1"/>
  <c r="G1151" i="4"/>
  <c r="J1151" i="4"/>
  <c r="F1151" i="4" l="1"/>
  <c r="O720" i="4" l="1"/>
  <c r="R966" i="4"/>
  <c r="R967" i="4"/>
  <c r="R968" i="4"/>
  <c r="R969" i="4"/>
  <c r="R970" i="4"/>
  <c r="R971" i="4"/>
  <c r="R972" i="4"/>
  <c r="R973" i="4"/>
  <c r="R974" i="4"/>
  <c r="R975" i="4"/>
  <c r="R976" i="4"/>
  <c r="R977" i="4"/>
  <c r="R978" i="4"/>
  <c r="R979" i="4"/>
  <c r="R980" i="4"/>
  <c r="R981" i="4"/>
  <c r="R965" i="4"/>
  <c r="R1118" i="4"/>
  <c r="O1118" i="4"/>
  <c r="T1134" i="4"/>
  <c r="S1134" i="4"/>
  <c r="R1134" i="4"/>
  <c r="T1133" i="4"/>
  <c r="S1133" i="4"/>
  <c r="R1133" i="4"/>
  <c r="T1132" i="4"/>
  <c r="S1132" i="4"/>
  <c r="R1132" i="4"/>
  <c r="T1131" i="4"/>
  <c r="S1131" i="4"/>
  <c r="R1131" i="4"/>
  <c r="T1130" i="4"/>
  <c r="S1130" i="4"/>
  <c r="R1130" i="4"/>
  <c r="T1129" i="4"/>
  <c r="S1129" i="4"/>
  <c r="R1129" i="4"/>
  <c r="T1128" i="4"/>
  <c r="S1128" i="4"/>
  <c r="R1128" i="4"/>
  <c r="T1127" i="4"/>
  <c r="S1127" i="4"/>
  <c r="R1127" i="4"/>
  <c r="T1126" i="4"/>
  <c r="S1126" i="4"/>
  <c r="R1126" i="4"/>
  <c r="T1125" i="4"/>
  <c r="S1125" i="4"/>
  <c r="R1125" i="4"/>
  <c r="T1124" i="4"/>
  <c r="S1124" i="4"/>
  <c r="R1124" i="4"/>
  <c r="T1123" i="4"/>
  <c r="S1123" i="4"/>
  <c r="R1123" i="4"/>
  <c r="T1122" i="4"/>
  <c r="S1122" i="4"/>
  <c r="R1122" i="4"/>
  <c r="T1121" i="4"/>
  <c r="S1121" i="4"/>
  <c r="R1121" i="4"/>
  <c r="T1120" i="4"/>
  <c r="S1120" i="4"/>
  <c r="R1120" i="4"/>
  <c r="J1120" i="4"/>
  <c r="T1119" i="4"/>
  <c r="S1119" i="4"/>
  <c r="R1119" i="4"/>
  <c r="Q1119" i="4"/>
  <c r="Q1120" i="4" s="1"/>
  <c r="Q1121" i="4" s="1"/>
  <c r="Q1122" i="4" s="1"/>
  <c r="Q1123" i="4" s="1"/>
  <c r="Q1124" i="4" s="1"/>
  <c r="Q1125" i="4" s="1"/>
  <c r="Q1126" i="4" s="1"/>
  <c r="Q1127" i="4" s="1"/>
  <c r="Q1128" i="4" s="1"/>
  <c r="Q1129" i="4" s="1"/>
  <c r="Q1130" i="4" s="1"/>
  <c r="Q1131" i="4" s="1"/>
  <c r="Q1132" i="4" s="1"/>
  <c r="Q1133" i="4" s="1"/>
  <c r="Q1134" i="4" s="1"/>
  <c r="N1119" i="4"/>
  <c r="N1120" i="4" s="1"/>
  <c r="N1121" i="4" s="1"/>
  <c r="N1122" i="4" s="1"/>
  <c r="N1123" i="4" s="1"/>
  <c r="N1124" i="4" s="1"/>
  <c r="N1125" i="4" s="1"/>
  <c r="N1126" i="4" s="1"/>
  <c r="N1127" i="4" s="1"/>
  <c r="N1128" i="4" s="1"/>
  <c r="N1129" i="4" s="1"/>
  <c r="N1130" i="4" s="1"/>
  <c r="N1131" i="4" s="1"/>
  <c r="N1132" i="4" s="1"/>
  <c r="N1133" i="4" s="1"/>
  <c r="N1134" i="4" s="1"/>
  <c r="M1119" i="4"/>
  <c r="M1120" i="4" s="1"/>
  <c r="M1121" i="4" s="1"/>
  <c r="M1122" i="4" s="1"/>
  <c r="M1123" i="4" s="1"/>
  <c r="M1124" i="4" s="1"/>
  <c r="M1125" i="4" s="1"/>
  <c r="M1126" i="4" s="1"/>
  <c r="M1127" i="4" s="1"/>
  <c r="M1128" i="4" s="1"/>
  <c r="M1129" i="4" s="1"/>
  <c r="M1130" i="4" s="1"/>
  <c r="M1131" i="4" s="1"/>
  <c r="M1132" i="4" s="1"/>
  <c r="M1133" i="4" s="1"/>
  <c r="M1134" i="4" s="1"/>
  <c r="L1119" i="4"/>
  <c r="O1119" i="4" s="1"/>
  <c r="D1119" i="4"/>
  <c r="D1120" i="4" s="1"/>
  <c r="D1121" i="4" s="1"/>
  <c r="D1122" i="4" s="1"/>
  <c r="D1123" i="4" s="1"/>
  <c r="D1124" i="4" s="1"/>
  <c r="D1125" i="4" s="1"/>
  <c r="D1126" i="4" s="1"/>
  <c r="D1127" i="4" s="1"/>
  <c r="D1128" i="4" s="1"/>
  <c r="D1129" i="4" s="1"/>
  <c r="D1130" i="4" s="1"/>
  <c r="D1131" i="4" s="1"/>
  <c r="D1132" i="4" s="1"/>
  <c r="D1133" i="4" s="1"/>
  <c r="D1134" i="4" s="1"/>
  <c r="R1085" i="4"/>
  <c r="R1086" i="4"/>
  <c r="R1087" i="4"/>
  <c r="R1088" i="4"/>
  <c r="R1089" i="4"/>
  <c r="R1090" i="4"/>
  <c r="R1091" i="4"/>
  <c r="R1092" i="4"/>
  <c r="R1093" i="4"/>
  <c r="R1094" i="4"/>
  <c r="R1095" i="4"/>
  <c r="R1096" i="4"/>
  <c r="R1097" i="4"/>
  <c r="R1098" i="4"/>
  <c r="R1099" i="4"/>
  <c r="R1100" i="4"/>
  <c r="R1084" i="4"/>
  <c r="R1102" i="4"/>
  <c r="R1103" i="4"/>
  <c r="R1104" i="4"/>
  <c r="R1105" i="4"/>
  <c r="R1106" i="4"/>
  <c r="R1107" i="4"/>
  <c r="R1108" i="4"/>
  <c r="R1109" i="4"/>
  <c r="R1110" i="4"/>
  <c r="R1111" i="4"/>
  <c r="R1112" i="4"/>
  <c r="R1113" i="4"/>
  <c r="R1114" i="4"/>
  <c r="R1115" i="4"/>
  <c r="R1116" i="4"/>
  <c r="R1117" i="4"/>
  <c r="R1101" i="4"/>
  <c r="S1103" i="4"/>
  <c r="S1104" i="4"/>
  <c r="S1105" i="4"/>
  <c r="S1106" i="4"/>
  <c r="S1107" i="4"/>
  <c r="S1108" i="4"/>
  <c r="S1109" i="4"/>
  <c r="S1110" i="4"/>
  <c r="S1111" i="4"/>
  <c r="S1112" i="4"/>
  <c r="S1113" i="4"/>
  <c r="S1114" i="4"/>
  <c r="S1115" i="4"/>
  <c r="S1116" i="4"/>
  <c r="S1117" i="4"/>
  <c r="S1102" i="4"/>
  <c r="O1101" i="4"/>
  <c r="S1086" i="4"/>
  <c r="S1087" i="4"/>
  <c r="S1088" i="4"/>
  <c r="S1089" i="4"/>
  <c r="S1090" i="4"/>
  <c r="S1091" i="4"/>
  <c r="S1092" i="4"/>
  <c r="S1093" i="4"/>
  <c r="S1094" i="4"/>
  <c r="S1095" i="4"/>
  <c r="S1096" i="4"/>
  <c r="S1097" i="4"/>
  <c r="S1098" i="4"/>
  <c r="S1099" i="4"/>
  <c r="S1100" i="4"/>
  <c r="S1085" i="4"/>
  <c r="O1084" i="4"/>
  <c r="T1117" i="4"/>
  <c r="T1116" i="4"/>
  <c r="T1115" i="4"/>
  <c r="T1114" i="4"/>
  <c r="T1113" i="4"/>
  <c r="T1112" i="4"/>
  <c r="T1111" i="4"/>
  <c r="T1110" i="4"/>
  <c r="T1109" i="4"/>
  <c r="T1108" i="4"/>
  <c r="T1107" i="4"/>
  <c r="T1106" i="4"/>
  <c r="T1105" i="4"/>
  <c r="T1104" i="4"/>
  <c r="T1103" i="4"/>
  <c r="J1103" i="4"/>
  <c r="T1102" i="4"/>
  <c r="Q1102" i="4"/>
  <c r="Q1103" i="4" s="1"/>
  <c r="Q1104" i="4" s="1"/>
  <c r="Q1105" i="4" s="1"/>
  <c r="Q1106" i="4" s="1"/>
  <c r="Q1107" i="4" s="1"/>
  <c r="Q1108" i="4" s="1"/>
  <c r="Q1109" i="4" s="1"/>
  <c r="Q1110" i="4" s="1"/>
  <c r="Q1111" i="4" s="1"/>
  <c r="Q1112" i="4" s="1"/>
  <c r="Q1113" i="4" s="1"/>
  <c r="Q1114" i="4" s="1"/>
  <c r="Q1115" i="4" s="1"/>
  <c r="Q1116" i="4" s="1"/>
  <c r="Q1117" i="4" s="1"/>
  <c r="N1102" i="4"/>
  <c r="N1103" i="4" s="1"/>
  <c r="N1104" i="4" s="1"/>
  <c r="N1105" i="4" s="1"/>
  <c r="N1106" i="4" s="1"/>
  <c r="N1107" i="4" s="1"/>
  <c r="N1108" i="4" s="1"/>
  <c r="N1109" i="4" s="1"/>
  <c r="N1110" i="4" s="1"/>
  <c r="N1111" i="4" s="1"/>
  <c r="N1112" i="4" s="1"/>
  <c r="N1113" i="4" s="1"/>
  <c r="N1114" i="4" s="1"/>
  <c r="N1115" i="4" s="1"/>
  <c r="N1116" i="4" s="1"/>
  <c r="N1117" i="4" s="1"/>
  <c r="M1102" i="4"/>
  <c r="M1103" i="4" s="1"/>
  <c r="M1104" i="4" s="1"/>
  <c r="M1105" i="4" s="1"/>
  <c r="M1106" i="4" s="1"/>
  <c r="M1107" i="4" s="1"/>
  <c r="M1108" i="4" s="1"/>
  <c r="M1109" i="4" s="1"/>
  <c r="M1110" i="4" s="1"/>
  <c r="M1111" i="4" s="1"/>
  <c r="M1112" i="4" s="1"/>
  <c r="M1113" i="4" s="1"/>
  <c r="M1114" i="4" s="1"/>
  <c r="M1115" i="4" s="1"/>
  <c r="M1116" i="4" s="1"/>
  <c r="M1117" i="4" s="1"/>
  <c r="L1102" i="4"/>
  <c r="O1102" i="4" s="1"/>
  <c r="D1102" i="4"/>
  <c r="D1103" i="4" s="1"/>
  <c r="D1104" i="4" s="1"/>
  <c r="D1105" i="4" s="1"/>
  <c r="D1106" i="4" s="1"/>
  <c r="D1107" i="4" s="1"/>
  <c r="D1108" i="4" s="1"/>
  <c r="D1109" i="4" s="1"/>
  <c r="D1110" i="4" s="1"/>
  <c r="D1111" i="4" s="1"/>
  <c r="D1112" i="4" s="1"/>
  <c r="D1113" i="4" s="1"/>
  <c r="D1114" i="4" s="1"/>
  <c r="D1115" i="4" s="1"/>
  <c r="D1116" i="4" s="1"/>
  <c r="D1117" i="4" s="1"/>
  <c r="T1100" i="4"/>
  <c r="T1099" i="4"/>
  <c r="T1098" i="4"/>
  <c r="T1097" i="4"/>
  <c r="T1096" i="4"/>
  <c r="T1095" i="4"/>
  <c r="T1094" i="4"/>
  <c r="T1093" i="4"/>
  <c r="T1092" i="4"/>
  <c r="T1091" i="4"/>
  <c r="T1090" i="4"/>
  <c r="T1089" i="4"/>
  <c r="T1088" i="4"/>
  <c r="T1087" i="4"/>
  <c r="T1086" i="4"/>
  <c r="J1086" i="4"/>
  <c r="T1085" i="4"/>
  <c r="Q1085" i="4"/>
  <c r="Q1086" i="4" s="1"/>
  <c r="Q1087" i="4" s="1"/>
  <c r="Q1088" i="4" s="1"/>
  <c r="Q1089" i="4" s="1"/>
  <c r="Q1090" i="4" s="1"/>
  <c r="Q1091" i="4" s="1"/>
  <c r="Q1092" i="4" s="1"/>
  <c r="Q1093" i="4" s="1"/>
  <c r="Q1094" i="4" s="1"/>
  <c r="Q1095" i="4" s="1"/>
  <c r="Q1096" i="4" s="1"/>
  <c r="Q1097" i="4" s="1"/>
  <c r="Q1098" i="4" s="1"/>
  <c r="Q1099" i="4" s="1"/>
  <c r="Q1100" i="4" s="1"/>
  <c r="N1085" i="4"/>
  <c r="N1086" i="4" s="1"/>
  <c r="N1087" i="4" s="1"/>
  <c r="N1088" i="4" s="1"/>
  <c r="N1089" i="4" s="1"/>
  <c r="N1090" i="4" s="1"/>
  <c r="N1091" i="4" s="1"/>
  <c r="N1092" i="4" s="1"/>
  <c r="N1093" i="4" s="1"/>
  <c r="N1094" i="4" s="1"/>
  <c r="N1095" i="4" s="1"/>
  <c r="N1096" i="4" s="1"/>
  <c r="N1097" i="4" s="1"/>
  <c r="N1098" i="4" s="1"/>
  <c r="N1099" i="4" s="1"/>
  <c r="N1100" i="4" s="1"/>
  <c r="M1085" i="4"/>
  <c r="M1086" i="4" s="1"/>
  <c r="M1087" i="4" s="1"/>
  <c r="M1088" i="4" s="1"/>
  <c r="M1089" i="4" s="1"/>
  <c r="M1090" i="4" s="1"/>
  <c r="M1091" i="4" s="1"/>
  <c r="M1092" i="4" s="1"/>
  <c r="M1093" i="4" s="1"/>
  <c r="M1094" i="4" s="1"/>
  <c r="M1095" i="4" s="1"/>
  <c r="M1096" i="4" s="1"/>
  <c r="M1097" i="4" s="1"/>
  <c r="M1098" i="4" s="1"/>
  <c r="M1099" i="4" s="1"/>
  <c r="M1100" i="4" s="1"/>
  <c r="L1085" i="4"/>
  <c r="L1086" i="4" s="1"/>
  <c r="O1086" i="4" s="1"/>
  <c r="D1085" i="4"/>
  <c r="D1086" i="4" s="1"/>
  <c r="D1087" i="4" s="1"/>
  <c r="D1088" i="4" s="1"/>
  <c r="D1089" i="4" s="1"/>
  <c r="D1090" i="4" s="1"/>
  <c r="D1091" i="4" s="1"/>
  <c r="D1092" i="4" s="1"/>
  <c r="D1093" i="4" s="1"/>
  <c r="D1094" i="4" s="1"/>
  <c r="D1095" i="4" s="1"/>
  <c r="D1096" i="4" s="1"/>
  <c r="D1097" i="4" s="1"/>
  <c r="D1098" i="4" s="1"/>
  <c r="D1099" i="4" s="1"/>
  <c r="D1100" i="4" s="1"/>
  <c r="S83" i="4"/>
  <c r="S84" i="4"/>
  <c r="S85" i="4"/>
  <c r="S86" i="4"/>
  <c r="S87" i="4"/>
  <c r="S88" i="4"/>
  <c r="S89" i="4"/>
  <c r="S90" i="4"/>
  <c r="S91" i="4"/>
  <c r="S92" i="4"/>
  <c r="S93" i="4"/>
  <c r="S94" i="4"/>
  <c r="S95" i="4"/>
  <c r="S96" i="4"/>
  <c r="S97" i="4"/>
  <c r="S82" i="4"/>
  <c r="K148" i="4"/>
  <c r="N148" i="4"/>
  <c r="J148" i="4"/>
  <c r="D148" i="4"/>
  <c r="D149" i="4" s="1"/>
  <c r="D150" i="4" s="1"/>
  <c r="D151" i="4" s="1"/>
  <c r="D152" i="4" s="1"/>
  <c r="D153" i="4" s="1"/>
  <c r="D154" i="4" s="1"/>
  <c r="D155" i="4" s="1"/>
  <c r="D156" i="4" s="1"/>
  <c r="D138" i="4"/>
  <c r="D139" i="4" s="1"/>
  <c r="D140" i="4" s="1"/>
  <c r="D141" i="4" s="1"/>
  <c r="D142" i="4" s="1"/>
  <c r="D143" i="4" s="1"/>
  <c r="D144" i="4" s="1"/>
  <c r="D145" i="4" s="1"/>
  <c r="D146" i="4" s="1"/>
  <c r="M138" i="4"/>
  <c r="M139" i="4" s="1"/>
  <c r="M140" i="4" s="1"/>
  <c r="M141" i="4" s="1"/>
  <c r="M142" i="4" s="1"/>
  <c r="M143" i="4" s="1"/>
  <c r="M144" i="4" s="1"/>
  <c r="M145" i="4" s="1"/>
  <c r="M146" i="4" s="1"/>
  <c r="N138" i="4"/>
  <c r="N139" i="4" s="1"/>
  <c r="N140" i="4" s="1"/>
  <c r="N141" i="4" s="1"/>
  <c r="N142" i="4" s="1"/>
  <c r="N143" i="4" s="1"/>
  <c r="N144" i="4" s="1"/>
  <c r="N145" i="4" s="1"/>
  <c r="N146" i="4" s="1"/>
  <c r="L138" i="4"/>
  <c r="L139" i="4" s="1"/>
  <c r="L140" i="4" s="1"/>
  <c r="L141" i="4" s="1"/>
  <c r="L142" i="4" s="1"/>
  <c r="L143" i="4" s="1"/>
  <c r="L144" i="4" s="1"/>
  <c r="L145" i="4" s="1"/>
  <c r="L146" i="4" s="1"/>
  <c r="J138" i="4"/>
  <c r="S148" i="4"/>
  <c r="S149" i="4"/>
  <c r="S150" i="4"/>
  <c r="S151" i="4"/>
  <c r="S152" i="4"/>
  <c r="S153" i="4"/>
  <c r="S154" i="4"/>
  <c r="S155" i="4"/>
  <c r="S156" i="4"/>
  <c r="J1104" i="4" l="1"/>
  <c r="J1087" i="4"/>
  <c r="O1085" i="4"/>
  <c r="J1121" i="4"/>
  <c r="L1120" i="4"/>
  <c r="L1103" i="4"/>
  <c r="O1103" i="4" s="1"/>
  <c r="L1087" i="4"/>
  <c r="O1087" i="4" s="1"/>
  <c r="S146" i="4"/>
  <c r="S145" i="4"/>
  <c r="S138" i="4"/>
  <c r="S139" i="4"/>
  <c r="S140" i="4"/>
  <c r="S141" i="4"/>
  <c r="S142" i="4"/>
  <c r="S143" i="4"/>
  <c r="S144" i="4"/>
  <c r="S100" i="4"/>
  <c r="S101" i="4"/>
  <c r="S102" i="4"/>
  <c r="S103" i="4"/>
  <c r="S104" i="4"/>
  <c r="S105" i="4"/>
  <c r="S106" i="4"/>
  <c r="S107" i="4"/>
  <c r="S108" i="4"/>
  <c r="S109" i="4"/>
  <c r="S110" i="4"/>
  <c r="S111" i="4"/>
  <c r="S112" i="4"/>
  <c r="S113" i="4"/>
  <c r="S114" i="4"/>
  <c r="S99" i="4"/>
  <c r="R1069" i="4"/>
  <c r="R1070" i="4"/>
  <c r="R1071" i="4"/>
  <c r="R1072" i="4"/>
  <c r="R1073" i="4"/>
  <c r="R1074" i="4"/>
  <c r="R1075" i="4"/>
  <c r="R1076" i="4"/>
  <c r="R1077" i="4"/>
  <c r="R1078" i="4"/>
  <c r="R1079" i="4"/>
  <c r="R1080" i="4"/>
  <c r="R1081" i="4"/>
  <c r="R1082" i="4"/>
  <c r="R1083" i="4"/>
  <c r="R1068" i="4"/>
  <c r="R1067" i="4"/>
  <c r="O1067" i="4"/>
  <c r="R1051" i="4"/>
  <c r="R1052" i="4"/>
  <c r="R1053" i="4"/>
  <c r="R1054" i="4"/>
  <c r="R1055" i="4"/>
  <c r="R1056" i="4"/>
  <c r="R1057" i="4"/>
  <c r="R1058" i="4"/>
  <c r="R1059" i="4"/>
  <c r="R1060" i="4"/>
  <c r="R1061" i="4"/>
  <c r="R1062" i="4"/>
  <c r="R1063" i="4"/>
  <c r="R1064" i="4"/>
  <c r="R1065" i="4"/>
  <c r="R1066" i="4"/>
  <c r="R1050" i="4"/>
  <c r="T1066" i="4"/>
  <c r="T1065" i="4"/>
  <c r="T1064" i="4"/>
  <c r="T1063" i="4"/>
  <c r="T1062" i="4"/>
  <c r="T1061" i="4"/>
  <c r="T1060" i="4"/>
  <c r="T1059" i="4"/>
  <c r="T1058" i="4"/>
  <c r="T1057" i="4"/>
  <c r="T1056" i="4"/>
  <c r="T1055" i="4"/>
  <c r="T1054" i="4"/>
  <c r="T1053" i="4"/>
  <c r="T1052" i="4"/>
  <c r="T1051" i="4"/>
  <c r="T1049" i="4"/>
  <c r="T1048" i="4"/>
  <c r="T1047" i="4"/>
  <c r="T1046" i="4"/>
  <c r="T1045" i="4"/>
  <c r="T1044" i="4"/>
  <c r="T1043" i="4"/>
  <c r="T1042" i="4"/>
  <c r="T1041" i="4"/>
  <c r="T1040" i="4"/>
  <c r="T1039" i="4"/>
  <c r="T1038" i="4"/>
  <c r="T1037" i="4"/>
  <c r="T1036" i="4"/>
  <c r="T1035" i="4"/>
  <c r="T1034" i="4"/>
  <c r="S1053" i="4"/>
  <c r="S1054" i="4"/>
  <c r="S1055" i="4"/>
  <c r="S1056" i="4"/>
  <c r="S1057" i="4"/>
  <c r="S1058" i="4"/>
  <c r="S1059" i="4"/>
  <c r="S1060" i="4"/>
  <c r="S1061" i="4"/>
  <c r="S1062" i="4"/>
  <c r="S1063" i="4"/>
  <c r="S1064" i="4"/>
  <c r="S1065" i="4"/>
  <c r="S1066" i="4"/>
  <c r="S1052" i="4"/>
  <c r="S1051" i="4"/>
  <c r="O1050" i="4"/>
  <c r="O1033" i="4"/>
  <c r="R1034" i="4"/>
  <c r="R1035" i="4"/>
  <c r="R1036" i="4"/>
  <c r="R1037" i="4"/>
  <c r="R1038" i="4"/>
  <c r="R1039" i="4"/>
  <c r="R1040" i="4"/>
  <c r="R1041" i="4"/>
  <c r="R1042" i="4"/>
  <c r="R1043" i="4"/>
  <c r="R1044" i="4"/>
  <c r="R1045" i="4"/>
  <c r="R1046" i="4"/>
  <c r="R1047" i="4"/>
  <c r="R1048" i="4"/>
  <c r="R1049" i="4"/>
  <c r="R1033" i="4"/>
  <c r="T1032" i="4"/>
  <c r="T1031" i="4"/>
  <c r="T1030" i="4"/>
  <c r="T1029" i="4"/>
  <c r="T1028" i="4"/>
  <c r="T1027" i="4"/>
  <c r="T1026" i="4"/>
  <c r="T1025" i="4"/>
  <c r="T1024" i="4"/>
  <c r="T1023" i="4"/>
  <c r="T1022" i="4"/>
  <c r="T1021" i="4"/>
  <c r="T1020" i="4"/>
  <c r="T1019" i="4"/>
  <c r="T1018" i="4"/>
  <c r="T1017" i="4"/>
  <c r="S1019" i="4"/>
  <c r="S1020" i="4"/>
  <c r="S1021" i="4"/>
  <c r="S1022" i="4"/>
  <c r="S1023" i="4"/>
  <c r="S1024" i="4"/>
  <c r="S1025" i="4"/>
  <c r="S1026" i="4"/>
  <c r="S1027" i="4"/>
  <c r="S1028" i="4"/>
  <c r="S1029" i="4"/>
  <c r="S1030" i="4"/>
  <c r="S1031" i="4"/>
  <c r="S1032" i="4"/>
  <c r="S1018" i="4"/>
  <c r="S1017" i="4"/>
  <c r="R1017" i="4"/>
  <c r="R1018" i="4"/>
  <c r="R1019" i="4"/>
  <c r="R1020" i="4"/>
  <c r="R1021" i="4"/>
  <c r="R1022" i="4"/>
  <c r="R1023" i="4"/>
  <c r="R1024" i="4"/>
  <c r="R1025" i="4"/>
  <c r="R1026" i="4"/>
  <c r="R1027" i="4"/>
  <c r="R1028" i="4"/>
  <c r="R1029" i="4"/>
  <c r="R1030" i="4"/>
  <c r="R1031" i="4"/>
  <c r="R1032" i="4"/>
  <c r="R1016" i="4"/>
  <c r="O1016" i="4"/>
  <c r="T1015" i="4"/>
  <c r="T1014" i="4"/>
  <c r="T1013" i="4"/>
  <c r="T1012" i="4"/>
  <c r="T1011" i="4"/>
  <c r="T1010" i="4"/>
  <c r="T1009" i="4"/>
  <c r="T1008" i="4"/>
  <c r="T1007" i="4"/>
  <c r="T1006" i="4"/>
  <c r="T1005" i="4"/>
  <c r="T1004" i="4"/>
  <c r="T1003" i="4"/>
  <c r="T1002" i="4"/>
  <c r="T1001" i="4"/>
  <c r="T1000" i="4"/>
  <c r="S1001" i="4"/>
  <c r="S1002" i="4"/>
  <c r="S1003" i="4"/>
  <c r="S1004" i="4"/>
  <c r="S1005" i="4"/>
  <c r="S1006" i="4"/>
  <c r="S1007" i="4"/>
  <c r="S1008" i="4"/>
  <c r="S1009" i="4"/>
  <c r="S1010" i="4"/>
  <c r="S1011" i="4"/>
  <c r="S1012" i="4"/>
  <c r="S1013" i="4"/>
  <c r="S1014" i="4"/>
  <c r="S1015" i="4"/>
  <c r="S1000" i="4"/>
  <c r="R1000" i="4"/>
  <c r="R1001" i="4"/>
  <c r="R1002" i="4"/>
  <c r="R1003" i="4"/>
  <c r="R1004" i="4"/>
  <c r="R1005" i="4"/>
  <c r="R1006" i="4"/>
  <c r="R1007" i="4"/>
  <c r="R1008" i="4"/>
  <c r="R1009" i="4"/>
  <c r="R1010" i="4"/>
  <c r="R1011" i="4"/>
  <c r="R1012" i="4"/>
  <c r="R1013" i="4"/>
  <c r="R1014" i="4"/>
  <c r="R1015" i="4"/>
  <c r="R999" i="4"/>
  <c r="R983" i="4"/>
  <c r="R984" i="4"/>
  <c r="R985" i="4"/>
  <c r="R986" i="4"/>
  <c r="R987" i="4"/>
  <c r="R988" i="4"/>
  <c r="R989" i="4"/>
  <c r="R990" i="4"/>
  <c r="R991" i="4"/>
  <c r="R992" i="4"/>
  <c r="R993" i="4"/>
  <c r="R994" i="4"/>
  <c r="R995" i="4"/>
  <c r="R996" i="4"/>
  <c r="R997" i="4"/>
  <c r="R998" i="4"/>
  <c r="O999" i="4"/>
  <c r="K1069" i="4"/>
  <c r="J1069" i="4"/>
  <c r="Q1068" i="4"/>
  <c r="Q1069" i="4" s="1"/>
  <c r="Q1070" i="4" s="1"/>
  <c r="Q1071" i="4" s="1"/>
  <c r="Q1072" i="4" s="1"/>
  <c r="Q1073" i="4" s="1"/>
  <c r="Q1074" i="4" s="1"/>
  <c r="Q1075" i="4" s="1"/>
  <c r="Q1076" i="4" s="1"/>
  <c r="Q1077" i="4" s="1"/>
  <c r="Q1078" i="4" s="1"/>
  <c r="Q1079" i="4" s="1"/>
  <c r="Q1080" i="4" s="1"/>
  <c r="Q1081" i="4" s="1"/>
  <c r="Q1082" i="4" s="1"/>
  <c r="Q1083" i="4" s="1"/>
  <c r="N1068" i="4"/>
  <c r="N1069" i="4" s="1"/>
  <c r="N1070" i="4" s="1"/>
  <c r="N1071" i="4" s="1"/>
  <c r="N1072" i="4" s="1"/>
  <c r="N1073" i="4" s="1"/>
  <c r="N1074" i="4" s="1"/>
  <c r="N1075" i="4" s="1"/>
  <c r="N1076" i="4" s="1"/>
  <c r="N1077" i="4" s="1"/>
  <c r="N1078" i="4" s="1"/>
  <c r="N1079" i="4" s="1"/>
  <c r="N1080" i="4" s="1"/>
  <c r="N1081" i="4" s="1"/>
  <c r="N1082" i="4" s="1"/>
  <c r="N1083" i="4" s="1"/>
  <c r="M1068" i="4"/>
  <c r="M1069" i="4" s="1"/>
  <c r="M1070" i="4" s="1"/>
  <c r="M1071" i="4" s="1"/>
  <c r="M1072" i="4" s="1"/>
  <c r="M1073" i="4" s="1"/>
  <c r="M1074" i="4" s="1"/>
  <c r="M1075" i="4" s="1"/>
  <c r="M1076" i="4" s="1"/>
  <c r="M1077" i="4" s="1"/>
  <c r="M1078" i="4" s="1"/>
  <c r="M1079" i="4" s="1"/>
  <c r="M1080" i="4" s="1"/>
  <c r="M1081" i="4" s="1"/>
  <c r="M1082" i="4" s="1"/>
  <c r="M1083" i="4" s="1"/>
  <c r="L1068" i="4"/>
  <c r="O1068" i="4" s="1"/>
  <c r="D1068" i="4"/>
  <c r="D1069" i="4" s="1"/>
  <c r="D1070" i="4" s="1"/>
  <c r="D1071" i="4" s="1"/>
  <c r="D1072" i="4" s="1"/>
  <c r="D1073" i="4" s="1"/>
  <c r="D1074" i="4" s="1"/>
  <c r="D1075" i="4" s="1"/>
  <c r="D1076" i="4" s="1"/>
  <c r="D1077" i="4" s="1"/>
  <c r="D1078" i="4" s="1"/>
  <c r="D1079" i="4" s="1"/>
  <c r="D1080" i="4" s="1"/>
  <c r="D1081" i="4" s="1"/>
  <c r="D1082" i="4" s="1"/>
  <c r="D1083" i="4" s="1"/>
  <c r="K1052" i="4"/>
  <c r="J1052" i="4"/>
  <c r="Q1051" i="4"/>
  <c r="Q1052" i="4" s="1"/>
  <c r="Q1053" i="4" s="1"/>
  <c r="Q1054" i="4" s="1"/>
  <c r="Q1055" i="4" s="1"/>
  <c r="Q1056" i="4" s="1"/>
  <c r="Q1057" i="4" s="1"/>
  <c r="Q1058" i="4" s="1"/>
  <c r="Q1059" i="4" s="1"/>
  <c r="Q1060" i="4" s="1"/>
  <c r="Q1061" i="4" s="1"/>
  <c r="Q1062" i="4" s="1"/>
  <c r="Q1063" i="4" s="1"/>
  <c r="Q1064" i="4" s="1"/>
  <c r="Q1065" i="4" s="1"/>
  <c r="Q1066" i="4" s="1"/>
  <c r="N1051" i="4"/>
  <c r="N1052" i="4" s="1"/>
  <c r="N1053" i="4" s="1"/>
  <c r="N1054" i="4" s="1"/>
  <c r="N1055" i="4" s="1"/>
  <c r="N1056" i="4" s="1"/>
  <c r="N1057" i="4" s="1"/>
  <c r="N1058" i="4" s="1"/>
  <c r="N1059" i="4" s="1"/>
  <c r="N1060" i="4" s="1"/>
  <c r="N1061" i="4" s="1"/>
  <c r="N1062" i="4" s="1"/>
  <c r="N1063" i="4" s="1"/>
  <c r="N1064" i="4" s="1"/>
  <c r="N1065" i="4" s="1"/>
  <c r="N1066" i="4" s="1"/>
  <c r="M1051" i="4"/>
  <c r="M1052" i="4" s="1"/>
  <c r="M1053" i="4" s="1"/>
  <c r="M1054" i="4" s="1"/>
  <c r="M1055" i="4" s="1"/>
  <c r="M1056" i="4" s="1"/>
  <c r="M1057" i="4" s="1"/>
  <c r="M1058" i="4" s="1"/>
  <c r="M1059" i="4" s="1"/>
  <c r="M1060" i="4" s="1"/>
  <c r="M1061" i="4" s="1"/>
  <c r="M1062" i="4" s="1"/>
  <c r="M1063" i="4" s="1"/>
  <c r="M1064" i="4" s="1"/>
  <c r="M1065" i="4" s="1"/>
  <c r="M1066" i="4" s="1"/>
  <c r="L1051" i="4"/>
  <c r="O1051" i="4" s="1"/>
  <c r="D1051" i="4"/>
  <c r="D1052" i="4" s="1"/>
  <c r="D1053" i="4" s="1"/>
  <c r="D1054" i="4" s="1"/>
  <c r="D1055" i="4" s="1"/>
  <c r="D1056" i="4" s="1"/>
  <c r="D1057" i="4" s="1"/>
  <c r="D1058" i="4" s="1"/>
  <c r="D1059" i="4" s="1"/>
  <c r="D1060" i="4" s="1"/>
  <c r="D1061" i="4" s="1"/>
  <c r="D1062" i="4" s="1"/>
  <c r="D1063" i="4" s="1"/>
  <c r="D1064" i="4" s="1"/>
  <c r="D1065" i="4" s="1"/>
  <c r="D1066" i="4" s="1"/>
  <c r="S1049" i="4"/>
  <c r="S1048" i="4"/>
  <c r="S1047" i="4"/>
  <c r="S1046" i="4"/>
  <c r="S1045" i="4"/>
  <c r="S1044" i="4"/>
  <c r="S1043" i="4"/>
  <c r="S1042" i="4"/>
  <c r="S1041" i="4"/>
  <c r="S1040" i="4"/>
  <c r="S1039" i="4"/>
  <c r="S1038" i="4"/>
  <c r="S1037" i="4"/>
  <c r="S1036" i="4"/>
  <c r="S1035" i="4"/>
  <c r="K1035" i="4"/>
  <c r="J1035" i="4"/>
  <c r="S1034" i="4"/>
  <c r="Q1034" i="4"/>
  <c r="Q1035" i="4" s="1"/>
  <c r="Q1036" i="4" s="1"/>
  <c r="Q1037" i="4" s="1"/>
  <c r="Q1038" i="4" s="1"/>
  <c r="Q1039" i="4" s="1"/>
  <c r="Q1040" i="4" s="1"/>
  <c r="Q1041" i="4" s="1"/>
  <c r="Q1042" i="4" s="1"/>
  <c r="Q1043" i="4" s="1"/>
  <c r="Q1044" i="4" s="1"/>
  <c r="Q1045" i="4" s="1"/>
  <c r="Q1046" i="4" s="1"/>
  <c r="Q1047" i="4" s="1"/>
  <c r="Q1048" i="4" s="1"/>
  <c r="Q1049" i="4" s="1"/>
  <c r="N1034" i="4"/>
  <c r="N1035" i="4" s="1"/>
  <c r="N1036" i="4" s="1"/>
  <c r="N1037" i="4" s="1"/>
  <c r="N1038" i="4" s="1"/>
  <c r="N1039" i="4" s="1"/>
  <c r="N1040" i="4" s="1"/>
  <c r="N1041" i="4" s="1"/>
  <c r="N1042" i="4" s="1"/>
  <c r="N1043" i="4" s="1"/>
  <c r="N1044" i="4" s="1"/>
  <c r="N1045" i="4" s="1"/>
  <c r="N1046" i="4" s="1"/>
  <c r="N1047" i="4" s="1"/>
  <c r="N1048" i="4" s="1"/>
  <c r="N1049" i="4" s="1"/>
  <c r="M1034" i="4"/>
  <c r="M1035" i="4" s="1"/>
  <c r="M1036" i="4" s="1"/>
  <c r="M1037" i="4" s="1"/>
  <c r="M1038" i="4" s="1"/>
  <c r="M1039" i="4" s="1"/>
  <c r="M1040" i="4" s="1"/>
  <c r="M1041" i="4" s="1"/>
  <c r="M1042" i="4" s="1"/>
  <c r="M1043" i="4" s="1"/>
  <c r="M1044" i="4" s="1"/>
  <c r="M1045" i="4" s="1"/>
  <c r="M1046" i="4" s="1"/>
  <c r="M1047" i="4" s="1"/>
  <c r="M1048" i="4" s="1"/>
  <c r="M1049" i="4" s="1"/>
  <c r="L1034" i="4"/>
  <c r="O1034" i="4" s="1"/>
  <c r="D1034" i="4"/>
  <c r="D1035" i="4" s="1"/>
  <c r="D1036" i="4" s="1"/>
  <c r="D1037" i="4" s="1"/>
  <c r="D1038" i="4" s="1"/>
  <c r="D1039" i="4" s="1"/>
  <c r="D1040" i="4" s="1"/>
  <c r="D1041" i="4" s="1"/>
  <c r="D1042" i="4" s="1"/>
  <c r="D1043" i="4" s="1"/>
  <c r="D1044" i="4" s="1"/>
  <c r="D1045" i="4" s="1"/>
  <c r="D1046" i="4" s="1"/>
  <c r="D1047" i="4" s="1"/>
  <c r="D1048" i="4" s="1"/>
  <c r="D1049" i="4" s="1"/>
  <c r="K1018" i="4"/>
  <c r="J1018" i="4"/>
  <c r="Q1017" i="4"/>
  <c r="Q1018" i="4" s="1"/>
  <c r="Q1019" i="4" s="1"/>
  <c r="Q1020" i="4" s="1"/>
  <c r="Q1021" i="4" s="1"/>
  <c r="Q1022" i="4" s="1"/>
  <c r="Q1023" i="4" s="1"/>
  <c r="Q1024" i="4" s="1"/>
  <c r="Q1025" i="4" s="1"/>
  <c r="Q1026" i="4" s="1"/>
  <c r="Q1027" i="4" s="1"/>
  <c r="Q1028" i="4" s="1"/>
  <c r="Q1029" i="4" s="1"/>
  <c r="Q1030" i="4" s="1"/>
  <c r="Q1031" i="4" s="1"/>
  <c r="Q1032" i="4" s="1"/>
  <c r="N1017" i="4"/>
  <c r="N1018" i="4" s="1"/>
  <c r="N1019" i="4" s="1"/>
  <c r="N1020" i="4" s="1"/>
  <c r="N1021" i="4" s="1"/>
  <c r="N1022" i="4" s="1"/>
  <c r="N1023" i="4" s="1"/>
  <c r="N1024" i="4" s="1"/>
  <c r="N1025" i="4" s="1"/>
  <c r="N1026" i="4" s="1"/>
  <c r="N1027" i="4" s="1"/>
  <c r="N1028" i="4" s="1"/>
  <c r="N1029" i="4" s="1"/>
  <c r="N1030" i="4" s="1"/>
  <c r="N1031" i="4" s="1"/>
  <c r="N1032" i="4" s="1"/>
  <c r="M1017" i="4"/>
  <c r="M1018" i="4" s="1"/>
  <c r="M1019" i="4" s="1"/>
  <c r="M1020" i="4" s="1"/>
  <c r="M1021" i="4" s="1"/>
  <c r="M1022" i="4" s="1"/>
  <c r="M1023" i="4" s="1"/>
  <c r="M1024" i="4" s="1"/>
  <c r="M1025" i="4" s="1"/>
  <c r="M1026" i="4" s="1"/>
  <c r="M1027" i="4" s="1"/>
  <c r="M1028" i="4" s="1"/>
  <c r="M1029" i="4" s="1"/>
  <c r="M1030" i="4" s="1"/>
  <c r="M1031" i="4" s="1"/>
  <c r="M1032" i="4" s="1"/>
  <c r="L1017" i="4"/>
  <c r="O1017" i="4" s="1"/>
  <c r="D1017" i="4"/>
  <c r="D1018" i="4" s="1"/>
  <c r="D1019" i="4" s="1"/>
  <c r="D1020" i="4" s="1"/>
  <c r="D1021" i="4" s="1"/>
  <c r="D1022" i="4" s="1"/>
  <c r="D1023" i="4" s="1"/>
  <c r="D1024" i="4" s="1"/>
  <c r="D1025" i="4" s="1"/>
  <c r="D1026" i="4" s="1"/>
  <c r="D1027" i="4" s="1"/>
  <c r="D1028" i="4" s="1"/>
  <c r="D1029" i="4" s="1"/>
  <c r="D1030" i="4" s="1"/>
  <c r="D1031" i="4" s="1"/>
  <c r="D1032" i="4" s="1"/>
  <c r="K1001" i="4"/>
  <c r="J1001" i="4"/>
  <c r="Q1000" i="4"/>
  <c r="Q1001" i="4" s="1"/>
  <c r="Q1002" i="4" s="1"/>
  <c r="Q1003" i="4" s="1"/>
  <c r="Q1004" i="4" s="1"/>
  <c r="Q1005" i="4" s="1"/>
  <c r="Q1006" i="4" s="1"/>
  <c r="Q1007" i="4" s="1"/>
  <c r="Q1008" i="4" s="1"/>
  <c r="Q1009" i="4" s="1"/>
  <c r="Q1010" i="4" s="1"/>
  <c r="Q1011" i="4" s="1"/>
  <c r="Q1012" i="4" s="1"/>
  <c r="Q1013" i="4" s="1"/>
  <c r="Q1014" i="4" s="1"/>
  <c r="Q1015" i="4" s="1"/>
  <c r="N1000" i="4"/>
  <c r="N1001" i="4" s="1"/>
  <c r="N1002" i="4" s="1"/>
  <c r="N1003" i="4" s="1"/>
  <c r="N1004" i="4" s="1"/>
  <c r="N1005" i="4" s="1"/>
  <c r="N1006" i="4" s="1"/>
  <c r="N1007" i="4" s="1"/>
  <c r="N1008" i="4" s="1"/>
  <c r="N1009" i="4" s="1"/>
  <c r="N1010" i="4" s="1"/>
  <c r="N1011" i="4" s="1"/>
  <c r="N1012" i="4" s="1"/>
  <c r="N1013" i="4" s="1"/>
  <c r="N1014" i="4" s="1"/>
  <c r="N1015" i="4" s="1"/>
  <c r="M1000" i="4"/>
  <c r="M1001" i="4" s="1"/>
  <c r="M1002" i="4" s="1"/>
  <c r="M1003" i="4" s="1"/>
  <c r="M1004" i="4" s="1"/>
  <c r="M1005" i="4" s="1"/>
  <c r="M1006" i="4" s="1"/>
  <c r="M1007" i="4" s="1"/>
  <c r="M1008" i="4" s="1"/>
  <c r="M1009" i="4" s="1"/>
  <c r="M1010" i="4" s="1"/>
  <c r="M1011" i="4" s="1"/>
  <c r="M1012" i="4" s="1"/>
  <c r="M1013" i="4" s="1"/>
  <c r="M1014" i="4" s="1"/>
  <c r="M1015" i="4" s="1"/>
  <c r="L1000" i="4"/>
  <c r="L1001" i="4" s="1"/>
  <c r="L1002" i="4" s="1"/>
  <c r="O1002" i="4" s="1"/>
  <c r="D1000" i="4"/>
  <c r="D1001" i="4" s="1"/>
  <c r="D1002" i="4" s="1"/>
  <c r="D1003" i="4" s="1"/>
  <c r="D1004" i="4" s="1"/>
  <c r="D1005" i="4" s="1"/>
  <c r="D1006" i="4" s="1"/>
  <c r="D1007" i="4" s="1"/>
  <c r="D1008" i="4" s="1"/>
  <c r="D1009" i="4" s="1"/>
  <c r="D1010" i="4" s="1"/>
  <c r="D1011" i="4" s="1"/>
  <c r="D1012" i="4" s="1"/>
  <c r="D1013" i="4" s="1"/>
  <c r="D1014" i="4" s="1"/>
  <c r="D1015" i="4" s="1"/>
  <c r="O982" i="4"/>
  <c r="R982" i="4"/>
  <c r="T998" i="4"/>
  <c r="T997" i="4"/>
  <c r="T996" i="4"/>
  <c r="T995" i="4"/>
  <c r="T994" i="4"/>
  <c r="T993" i="4"/>
  <c r="T992" i="4"/>
  <c r="T991" i="4"/>
  <c r="T990" i="4"/>
  <c r="T989" i="4"/>
  <c r="T988" i="4"/>
  <c r="T987" i="4"/>
  <c r="T986" i="4"/>
  <c r="T985" i="4"/>
  <c r="T984" i="4"/>
  <c r="T983" i="4"/>
  <c r="S984" i="4"/>
  <c r="S985" i="4"/>
  <c r="S986" i="4"/>
  <c r="S987" i="4"/>
  <c r="S988" i="4"/>
  <c r="S989" i="4"/>
  <c r="S990" i="4"/>
  <c r="S991" i="4"/>
  <c r="S992" i="4"/>
  <c r="S993" i="4"/>
  <c r="S994" i="4"/>
  <c r="S995" i="4"/>
  <c r="S996" i="4"/>
  <c r="S997" i="4"/>
  <c r="S998" i="4"/>
  <c r="S983" i="4"/>
  <c r="T981" i="4"/>
  <c r="T980" i="4"/>
  <c r="T979" i="4"/>
  <c r="T978" i="4"/>
  <c r="T977" i="4"/>
  <c r="T976" i="4"/>
  <c r="T975" i="4"/>
  <c r="T974" i="4"/>
  <c r="T973" i="4"/>
  <c r="T972" i="4"/>
  <c r="T971" i="4"/>
  <c r="T970" i="4"/>
  <c r="T969" i="4"/>
  <c r="T968" i="4"/>
  <c r="T967" i="4"/>
  <c r="T966" i="4"/>
  <c r="S967" i="4"/>
  <c r="S968" i="4"/>
  <c r="S969" i="4"/>
  <c r="S970" i="4"/>
  <c r="S971" i="4"/>
  <c r="S972" i="4"/>
  <c r="S973" i="4"/>
  <c r="S974" i="4"/>
  <c r="S975" i="4"/>
  <c r="S976" i="4"/>
  <c r="S977" i="4"/>
  <c r="S978" i="4"/>
  <c r="S979" i="4"/>
  <c r="S980" i="4"/>
  <c r="S981" i="4"/>
  <c r="S966" i="4"/>
  <c r="O965" i="4"/>
  <c r="R950" i="4"/>
  <c r="R951" i="4"/>
  <c r="R952" i="4"/>
  <c r="R953" i="4"/>
  <c r="R954" i="4"/>
  <c r="R955" i="4"/>
  <c r="R956" i="4"/>
  <c r="R957" i="4"/>
  <c r="R958" i="4"/>
  <c r="R959" i="4"/>
  <c r="R960" i="4"/>
  <c r="R961" i="4"/>
  <c r="R962" i="4"/>
  <c r="R963" i="4"/>
  <c r="R964" i="4"/>
  <c r="R948" i="4"/>
  <c r="R949" i="4"/>
  <c r="S950" i="4"/>
  <c r="S951" i="4"/>
  <c r="S952" i="4"/>
  <c r="S953" i="4"/>
  <c r="S954" i="4"/>
  <c r="S955" i="4"/>
  <c r="S956" i="4"/>
  <c r="S957" i="4"/>
  <c r="S958" i="4"/>
  <c r="S959" i="4"/>
  <c r="S960" i="4"/>
  <c r="S961" i="4"/>
  <c r="S962" i="4"/>
  <c r="S963" i="4"/>
  <c r="S964" i="4"/>
  <c r="S949" i="4"/>
  <c r="O948" i="4"/>
  <c r="K984" i="4"/>
  <c r="J984" i="4"/>
  <c r="Q983" i="4"/>
  <c r="Q984" i="4" s="1"/>
  <c r="Q985" i="4" s="1"/>
  <c r="Q986" i="4" s="1"/>
  <c r="Q987" i="4" s="1"/>
  <c r="Q988" i="4" s="1"/>
  <c r="Q989" i="4" s="1"/>
  <c r="Q990" i="4" s="1"/>
  <c r="Q991" i="4" s="1"/>
  <c r="Q992" i="4" s="1"/>
  <c r="Q993" i="4" s="1"/>
  <c r="Q994" i="4" s="1"/>
  <c r="Q995" i="4" s="1"/>
  <c r="Q996" i="4" s="1"/>
  <c r="Q997" i="4" s="1"/>
  <c r="Q998" i="4" s="1"/>
  <c r="N983" i="4"/>
  <c r="N984" i="4" s="1"/>
  <c r="N985" i="4" s="1"/>
  <c r="N986" i="4" s="1"/>
  <c r="N987" i="4" s="1"/>
  <c r="N988" i="4" s="1"/>
  <c r="N989" i="4" s="1"/>
  <c r="N990" i="4" s="1"/>
  <c r="N991" i="4" s="1"/>
  <c r="N992" i="4" s="1"/>
  <c r="N993" i="4" s="1"/>
  <c r="N994" i="4" s="1"/>
  <c r="N995" i="4" s="1"/>
  <c r="N996" i="4" s="1"/>
  <c r="N997" i="4" s="1"/>
  <c r="N998" i="4" s="1"/>
  <c r="M983" i="4"/>
  <c r="M984" i="4" s="1"/>
  <c r="M985" i="4" s="1"/>
  <c r="M986" i="4" s="1"/>
  <c r="M987" i="4" s="1"/>
  <c r="M988" i="4" s="1"/>
  <c r="M989" i="4" s="1"/>
  <c r="M990" i="4" s="1"/>
  <c r="M991" i="4" s="1"/>
  <c r="M992" i="4" s="1"/>
  <c r="M993" i="4" s="1"/>
  <c r="M994" i="4" s="1"/>
  <c r="M995" i="4" s="1"/>
  <c r="M996" i="4" s="1"/>
  <c r="M997" i="4" s="1"/>
  <c r="M998" i="4" s="1"/>
  <c r="L983" i="4"/>
  <c r="O983" i="4" s="1"/>
  <c r="D983" i="4"/>
  <c r="D984" i="4" s="1"/>
  <c r="D985" i="4" s="1"/>
  <c r="D986" i="4" s="1"/>
  <c r="D987" i="4" s="1"/>
  <c r="D988" i="4" s="1"/>
  <c r="D989" i="4" s="1"/>
  <c r="D990" i="4" s="1"/>
  <c r="D991" i="4" s="1"/>
  <c r="D992" i="4" s="1"/>
  <c r="D993" i="4" s="1"/>
  <c r="D994" i="4" s="1"/>
  <c r="D995" i="4" s="1"/>
  <c r="D996" i="4" s="1"/>
  <c r="D997" i="4" s="1"/>
  <c r="D998" i="4" s="1"/>
  <c r="K967" i="4"/>
  <c r="J967" i="4"/>
  <c r="Q966" i="4"/>
  <c r="Q967" i="4" s="1"/>
  <c r="Q968" i="4" s="1"/>
  <c r="Q969" i="4" s="1"/>
  <c r="Q970" i="4" s="1"/>
  <c r="Q971" i="4" s="1"/>
  <c r="Q972" i="4" s="1"/>
  <c r="Q973" i="4" s="1"/>
  <c r="Q974" i="4" s="1"/>
  <c r="Q975" i="4" s="1"/>
  <c r="Q976" i="4" s="1"/>
  <c r="Q977" i="4" s="1"/>
  <c r="Q978" i="4" s="1"/>
  <c r="Q979" i="4" s="1"/>
  <c r="Q980" i="4" s="1"/>
  <c r="Q981" i="4" s="1"/>
  <c r="N966" i="4"/>
  <c r="N967" i="4" s="1"/>
  <c r="N968" i="4" s="1"/>
  <c r="N969" i="4" s="1"/>
  <c r="N970" i="4" s="1"/>
  <c r="N971" i="4" s="1"/>
  <c r="N972" i="4" s="1"/>
  <c r="N973" i="4" s="1"/>
  <c r="N974" i="4" s="1"/>
  <c r="N975" i="4" s="1"/>
  <c r="N976" i="4" s="1"/>
  <c r="N977" i="4" s="1"/>
  <c r="N978" i="4" s="1"/>
  <c r="N979" i="4" s="1"/>
  <c r="N980" i="4" s="1"/>
  <c r="N981" i="4" s="1"/>
  <c r="M966" i="4"/>
  <c r="M967" i="4" s="1"/>
  <c r="M968" i="4" s="1"/>
  <c r="M969" i="4" s="1"/>
  <c r="M970" i="4" s="1"/>
  <c r="M971" i="4" s="1"/>
  <c r="M972" i="4" s="1"/>
  <c r="M973" i="4" s="1"/>
  <c r="M974" i="4" s="1"/>
  <c r="M975" i="4" s="1"/>
  <c r="M976" i="4" s="1"/>
  <c r="M977" i="4" s="1"/>
  <c r="M978" i="4" s="1"/>
  <c r="M979" i="4" s="1"/>
  <c r="M980" i="4" s="1"/>
  <c r="M981" i="4" s="1"/>
  <c r="L966" i="4"/>
  <c r="O966" i="4" s="1"/>
  <c r="D966" i="4"/>
  <c r="D967" i="4" s="1"/>
  <c r="D968" i="4" s="1"/>
  <c r="D969" i="4" s="1"/>
  <c r="D970" i="4" s="1"/>
  <c r="D971" i="4" s="1"/>
  <c r="D972" i="4" s="1"/>
  <c r="D973" i="4" s="1"/>
  <c r="D974" i="4" s="1"/>
  <c r="D975" i="4" s="1"/>
  <c r="D976" i="4" s="1"/>
  <c r="D977" i="4" s="1"/>
  <c r="D978" i="4" s="1"/>
  <c r="D979" i="4" s="1"/>
  <c r="D980" i="4" s="1"/>
  <c r="D981" i="4" s="1"/>
  <c r="T964" i="4"/>
  <c r="T963" i="4"/>
  <c r="T962" i="4"/>
  <c r="T961" i="4"/>
  <c r="T960" i="4"/>
  <c r="T959" i="4"/>
  <c r="T958" i="4"/>
  <c r="T957" i="4"/>
  <c r="T956" i="4"/>
  <c r="T955" i="4"/>
  <c r="T954" i="4"/>
  <c r="T953" i="4"/>
  <c r="T952" i="4"/>
  <c r="T951" i="4"/>
  <c r="T950" i="4"/>
  <c r="J950" i="4"/>
  <c r="T949" i="4"/>
  <c r="Q949" i="4"/>
  <c r="Q950" i="4" s="1"/>
  <c r="Q951" i="4" s="1"/>
  <c r="Q952" i="4" s="1"/>
  <c r="Q953" i="4" s="1"/>
  <c r="Q954" i="4" s="1"/>
  <c r="Q955" i="4" s="1"/>
  <c r="Q956" i="4" s="1"/>
  <c r="Q957" i="4" s="1"/>
  <c r="Q958" i="4" s="1"/>
  <c r="Q959" i="4" s="1"/>
  <c r="Q960" i="4" s="1"/>
  <c r="Q961" i="4" s="1"/>
  <c r="Q962" i="4" s="1"/>
  <c r="Q963" i="4" s="1"/>
  <c r="Q964" i="4" s="1"/>
  <c r="N949" i="4"/>
  <c r="N950" i="4" s="1"/>
  <c r="N951" i="4" s="1"/>
  <c r="N952" i="4" s="1"/>
  <c r="N953" i="4" s="1"/>
  <c r="N954" i="4" s="1"/>
  <c r="N955" i="4" s="1"/>
  <c r="N956" i="4" s="1"/>
  <c r="N957" i="4" s="1"/>
  <c r="N958" i="4" s="1"/>
  <c r="N959" i="4" s="1"/>
  <c r="N960" i="4" s="1"/>
  <c r="N961" i="4" s="1"/>
  <c r="N962" i="4" s="1"/>
  <c r="N963" i="4" s="1"/>
  <c r="N964" i="4" s="1"/>
  <c r="M949" i="4"/>
  <c r="M950" i="4" s="1"/>
  <c r="M951" i="4" s="1"/>
  <c r="M952" i="4" s="1"/>
  <c r="M953" i="4" s="1"/>
  <c r="M954" i="4" s="1"/>
  <c r="M955" i="4" s="1"/>
  <c r="M956" i="4" s="1"/>
  <c r="M957" i="4" s="1"/>
  <c r="M958" i="4" s="1"/>
  <c r="M959" i="4" s="1"/>
  <c r="M960" i="4" s="1"/>
  <c r="M961" i="4" s="1"/>
  <c r="M962" i="4" s="1"/>
  <c r="M963" i="4" s="1"/>
  <c r="M964" i="4" s="1"/>
  <c r="L949" i="4"/>
  <c r="O949" i="4" s="1"/>
  <c r="D949" i="4"/>
  <c r="D950" i="4" s="1"/>
  <c r="D951" i="4" s="1"/>
  <c r="D952" i="4" s="1"/>
  <c r="D953" i="4" s="1"/>
  <c r="D954" i="4" s="1"/>
  <c r="D955" i="4" s="1"/>
  <c r="D956" i="4" s="1"/>
  <c r="D957" i="4" s="1"/>
  <c r="D958" i="4" s="1"/>
  <c r="D959" i="4" s="1"/>
  <c r="D960" i="4" s="1"/>
  <c r="D961" i="4" s="1"/>
  <c r="D962" i="4" s="1"/>
  <c r="D963" i="4" s="1"/>
  <c r="D964" i="4" s="1"/>
  <c r="R932" i="4"/>
  <c r="R933" i="4"/>
  <c r="R934" i="4"/>
  <c r="R935" i="4"/>
  <c r="R936" i="4"/>
  <c r="R937" i="4"/>
  <c r="R938" i="4"/>
  <c r="R939" i="4"/>
  <c r="R940" i="4"/>
  <c r="R941" i="4"/>
  <c r="R942" i="4"/>
  <c r="R943" i="4"/>
  <c r="R944" i="4"/>
  <c r="R945" i="4"/>
  <c r="R946" i="4"/>
  <c r="R947" i="4"/>
  <c r="R931" i="4"/>
  <c r="S933" i="4"/>
  <c r="S934" i="4"/>
  <c r="S935" i="4"/>
  <c r="S936" i="4"/>
  <c r="S937" i="4"/>
  <c r="S938" i="4"/>
  <c r="S939" i="4"/>
  <c r="S940" i="4"/>
  <c r="S941" i="4"/>
  <c r="S942" i="4"/>
  <c r="S943" i="4"/>
  <c r="S944" i="4"/>
  <c r="S945" i="4"/>
  <c r="S946" i="4"/>
  <c r="S947" i="4"/>
  <c r="S932" i="4"/>
  <c r="O931" i="4"/>
  <c r="S916" i="4"/>
  <c r="S917" i="4"/>
  <c r="S918" i="4"/>
  <c r="S919" i="4"/>
  <c r="S920" i="4"/>
  <c r="S921" i="4"/>
  <c r="S922" i="4"/>
  <c r="S923" i="4"/>
  <c r="S924" i="4"/>
  <c r="S925" i="4"/>
  <c r="S926" i="4"/>
  <c r="S927" i="4"/>
  <c r="S928" i="4"/>
  <c r="S929" i="4"/>
  <c r="S930" i="4"/>
  <c r="S915" i="4"/>
  <c r="R915" i="4"/>
  <c r="R916" i="4"/>
  <c r="R917" i="4"/>
  <c r="R918" i="4"/>
  <c r="R919" i="4"/>
  <c r="R920" i="4"/>
  <c r="R921" i="4"/>
  <c r="R922" i="4"/>
  <c r="R923" i="4"/>
  <c r="R924" i="4"/>
  <c r="R925" i="4"/>
  <c r="R926" i="4"/>
  <c r="R927" i="4"/>
  <c r="R928" i="4"/>
  <c r="R929" i="4"/>
  <c r="R930" i="4"/>
  <c r="R914" i="4"/>
  <c r="L932" i="4"/>
  <c r="L933" i="4" s="1"/>
  <c r="L934" i="4" s="1"/>
  <c r="L935" i="4" s="1"/>
  <c r="L936" i="4" s="1"/>
  <c r="L937" i="4" s="1"/>
  <c r="L938" i="4" s="1"/>
  <c r="L939" i="4" s="1"/>
  <c r="L940" i="4" s="1"/>
  <c r="L941" i="4" s="1"/>
  <c r="L942" i="4" s="1"/>
  <c r="L943" i="4" s="1"/>
  <c r="L944" i="4" s="1"/>
  <c r="L945" i="4" s="1"/>
  <c r="L946" i="4" s="1"/>
  <c r="L947" i="4" s="1"/>
  <c r="O947" i="4" s="1"/>
  <c r="O914" i="4"/>
  <c r="T947" i="4"/>
  <c r="T946" i="4"/>
  <c r="T945" i="4"/>
  <c r="T944" i="4"/>
  <c r="T943" i="4"/>
  <c r="T942" i="4"/>
  <c r="T941" i="4"/>
  <c r="T940" i="4"/>
  <c r="T939" i="4"/>
  <c r="T938" i="4"/>
  <c r="T937" i="4"/>
  <c r="T936" i="4"/>
  <c r="T935" i="4"/>
  <c r="T934" i="4"/>
  <c r="T933" i="4"/>
  <c r="J933" i="4"/>
  <c r="T932" i="4"/>
  <c r="Q932" i="4"/>
  <c r="Q933" i="4" s="1"/>
  <c r="Q934" i="4" s="1"/>
  <c r="Q935" i="4" s="1"/>
  <c r="Q936" i="4" s="1"/>
  <c r="Q937" i="4" s="1"/>
  <c r="Q938" i="4" s="1"/>
  <c r="Q939" i="4" s="1"/>
  <c r="Q940" i="4" s="1"/>
  <c r="Q941" i="4" s="1"/>
  <c r="Q942" i="4" s="1"/>
  <c r="Q943" i="4" s="1"/>
  <c r="Q944" i="4" s="1"/>
  <c r="Q945" i="4" s="1"/>
  <c r="Q946" i="4" s="1"/>
  <c r="Q947" i="4" s="1"/>
  <c r="N932" i="4"/>
  <c r="N933" i="4" s="1"/>
  <c r="N934" i="4" s="1"/>
  <c r="N935" i="4" s="1"/>
  <c r="N936" i="4" s="1"/>
  <c r="N937" i="4" s="1"/>
  <c r="N938" i="4" s="1"/>
  <c r="N939" i="4" s="1"/>
  <c r="N940" i="4" s="1"/>
  <c r="N941" i="4" s="1"/>
  <c r="N942" i="4" s="1"/>
  <c r="N943" i="4" s="1"/>
  <c r="N944" i="4" s="1"/>
  <c r="N945" i="4" s="1"/>
  <c r="N946" i="4" s="1"/>
  <c r="N947" i="4" s="1"/>
  <c r="M932" i="4"/>
  <c r="M933" i="4" s="1"/>
  <c r="M934" i="4" s="1"/>
  <c r="M935" i="4" s="1"/>
  <c r="M936" i="4" s="1"/>
  <c r="M937" i="4" s="1"/>
  <c r="M938" i="4" s="1"/>
  <c r="M939" i="4" s="1"/>
  <c r="M940" i="4" s="1"/>
  <c r="M941" i="4" s="1"/>
  <c r="M942" i="4" s="1"/>
  <c r="M943" i="4" s="1"/>
  <c r="M944" i="4" s="1"/>
  <c r="M945" i="4" s="1"/>
  <c r="M946" i="4" s="1"/>
  <c r="M947" i="4" s="1"/>
  <c r="D932" i="4"/>
  <c r="D933" i="4" s="1"/>
  <c r="D934" i="4" s="1"/>
  <c r="D935" i="4" s="1"/>
  <c r="D936" i="4" s="1"/>
  <c r="D937" i="4" s="1"/>
  <c r="D938" i="4" s="1"/>
  <c r="D939" i="4" s="1"/>
  <c r="D940" i="4" s="1"/>
  <c r="D941" i="4" s="1"/>
  <c r="D942" i="4" s="1"/>
  <c r="D943" i="4" s="1"/>
  <c r="D944" i="4" s="1"/>
  <c r="D945" i="4" s="1"/>
  <c r="D946" i="4" s="1"/>
  <c r="D947" i="4" s="1"/>
  <c r="T930" i="4"/>
  <c r="T929" i="4"/>
  <c r="T928" i="4"/>
  <c r="T927" i="4"/>
  <c r="T926" i="4"/>
  <c r="T925" i="4"/>
  <c r="T924" i="4"/>
  <c r="T923" i="4"/>
  <c r="T922" i="4"/>
  <c r="T921" i="4"/>
  <c r="T920" i="4"/>
  <c r="T919" i="4"/>
  <c r="T918" i="4"/>
  <c r="T917" i="4"/>
  <c r="T916" i="4"/>
  <c r="K916" i="4"/>
  <c r="J916" i="4"/>
  <c r="T915" i="4"/>
  <c r="Q915" i="4"/>
  <c r="Q916" i="4" s="1"/>
  <c r="Q917" i="4" s="1"/>
  <c r="Q918" i="4" s="1"/>
  <c r="Q919" i="4" s="1"/>
  <c r="Q920" i="4" s="1"/>
  <c r="Q921" i="4" s="1"/>
  <c r="Q922" i="4" s="1"/>
  <c r="Q923" i="4" s="1"/>
  <c r="Q924" i="4" s="1"/>
  <c r="Q925" i="4" s="1"/>
  <c r="Q926" i="4" s="1"/>
  <c r="Q927" i="4" s="1"/>
  <c r="Q928" i="4" s="1"/>
  <c r="Q929" i="4" s="1"/>
  <c r="Q930" i="4" s="1"/>
  <c r="N915" i="4"/>
  <c r="N916" i="4" s="1"/>
  <c r="N917" i="4" s="1"/>
  <c r="N918" i="4" s="1"/>
  <c r="N919" i="4" s="1"/>
  <c r="N920" i="4" s="1"/>
  <c r="N921" i="4" s="1"/>
  <c r="N922" i="4" s="1"/>
  <c r="N923" i="4" s="1"/>
  <c r="N924" i="4" s="1"/>
  <c r="N925" i="4" s="1"/>
  <c r="N926" i="4" s="1"/>
  <c r="N927" i="4" s="1"/>
  <c r="N928" i="4" s="1"/>
  <c r="N929" i="4" s="1"/>
  <c r="N930" i="4" s="1"/>
  <c r="M915" i="4"/>
  <c r="M916" i="4" s="1"/>
  <c r="M917" i="4" s="1"/>
  <c r="M918" i="4" s="1"/>
  <c r="M919" i="4" s="1"/>
  <c r="M920" i="4" s="1"/>
  <c r="M921" i="4" s="1"/>
  <c r="M922" i="4" s="1"/>
  <c r="M923" i="4" s="1"/>
  <c r="M924" i="4" s="1"/>
  <c r="M925" i="4" s="1"/>
  <c r="M926" i="4" s="1"/>
  <c r="M927" i="4" s="1"/>
  <c r="M928" i="4" s="1"/>
  <c r="M929" i="4" s="1"/>
  <c r="M930" i="4" s="1"/>
  <c r="L915" i="4"/>
  <c r="L916" i="4" s="1"/>
  <c r="L917" i="4" s="1"/>
  <c r="L918" i="4" s="1"/>
  <c r="L919" i="4" s="1"/>
  <c r="L920" i="4" s="1"/>
  <c r="L921" i="4" s="1"/>
  <c r="L922" i="4" s="1"/>
  <c r="L923" i="4" s="1"/>
  <c r="L924" i="4" s="1"/>
  <c r="L925" i="4" s="1"/>
  <c r="L926" i="4" s="1"/>
  <c r="L927" i="4" s="1"/>
  <c r="L928" i="4" s="1"/>
  <c r="L929" i="4" s="1"/>
  <c r="L930" i="4" s="1"/>
  <c r="O930" i="4" s="1"/>
  <c r="D915" i="4"/>
  <c r="D916" i="4" s="1"/>
  <c r="D917" i="4" s="1"/>
  <c r="D918" i="4" s="1"/>
  <c r="D919" i="4" s="1"/>
  <c r="D920" i="4" s="1"/>
  <c r="D921" i="4" s="1"/>
  <c r="D922" i="4" s="1"/>
  <c r="D923" i="4" s="1"/>
  <c r="D924" i="4" s="1"/>
  <c r="D925" i="4" s="1"/>
  <c r="D926" i="4" s="1"/>
  <c r="D927" i="4" s="1"/>
  <c r="D928" i="4" s="1"/>
  <c r="D929" i="4" s="1"/>
  <c r="D930" i="4" s="1"/>
  <c r="R898" i="4"/>
  <c r="R899" i="4"/>
  <c r="R900" i="4"/>
  <c r="R901" i="4"/>
  <c r="R902" i="4"/>
  <c r="R903" i="4"/>
  <c r="R904" i="4"/>
  <c r="R905" i="4"/>
  <c r="R906" i="4"/>
  <c r="R907" i="4"/>
  <c r="R908" i="4"/>
  <c r="R909" i="4"/>
  <c r="R910" i="4"/>
  <c r="R911" i="4"/>
  <c r="R912" i="4"/>
  <c r="R913" i="4"/>
  <c r="R897" i="4"/>
  <c r="O899" i="4"/>
  <c r="O900" i="4"/>
  <c r="O901" i="4"/>
  <c r="O902" i="4"/>
  <c r="O903" i="4"/>
  <c r="O904" i="4"/>
  <c r="O905" i="4"/>
  <c r="O906" i="4"/>
  <c r="O907" i="4"/>
  <c r="O908" i="4"/>
  <c r="O909" i="4"/>
  <c r="O910" i="4"/>
  <c r="O911" i="4"/>
  <c r="O912" i="4"/>
  <c r="O913" i="4"/>
  <c r="O898" i="4"/>
  <c r="O897" i="4"/>
  <c r="T913" i="4"/>
  <c r="T912" i="4"/>
  <c r="T911" i="4"/>
  <c r="T910" i="4"/>
  <c r="T909" i="4"/>
  <c r="T908" i="4"/>
  <c r="T907" i="4"/>
  <c r="T906" i="4"/>
  <c r="T905" i="4"/>
  <c r="T904" i="4"/>
  <c r="T903" i="4"/>
  <c r="T902" i="4"/>
  <c r="T901" i="4"/>
  <c r="T900" i="4"/>
  <c r="T899" i="4"/>
  <c r="T898" i="4"/>
  <c r="T896" i="4"/>
  <c r="T895" i="4"/>
  <c r="T894" i="4"/>
  <c r="T893" i="4"/>
  <c r="T892" i="4"/>
  <c r="T891" i="4"/>
  <c r="T890" i="4"/>
  <c r="T889" i="4"/>
  <c r="T888" i="4"/>
  <c r="T887" i="4"/>
  <c r="T886" i="4"/>
  <c r="T885" i="4"/>
  <c r="T884" i="4"/>
  <c r="T883" i="4"/>
  <c r="T882" i="4"/>
  <c r="T881" i="4"/>
  <c r="K899" i="4"/>
  <c r="J899" i="4"/>
  <c r="Q898" i="4"/>
  <c r="Q899" i="4" s="1"/>
  <c r="Q900" i="4" s="1"/>
  <c r="Q901" i="4" s="1"/>
  <c r="Q902" i="4" s="1"/>
  <c r="Q903" i="4" s="1"/>
  <c r="Q904" i="4" s="1"/>
  <c r="Q905" i="4" s="1"/>
  <c r="Q906" i="4" s="1"/>
  <c r="Q907" i="4" s="1"/>
  <c r="Q908" i="4" s="1"/>
  <c r="Q909" i="4" s="1"/>
  <c r="Q910" i="4" s="1"/>
  <c r="Q911" i="4" s="1"/>
  <c r="Q912" i="4" s="1"/>
  <c r="Q913" i="4" s="1"/>
  <c r="N898" i="4"/>
  <c r="N899" i="4" s="1"/>
  <c r="N900" i="4" s="1"/>
  <c r="N901" i="4" s="1"/>
  <c r="N902" i="4" s="1"/>
  <c r="N903" i="4" s="1"/>
  <c r="N904" i="4" s="1"/>
  <c r="N905" i="4" s="1"/>
  <c r="N906" i="4" s="1"/>
  <c r="N907" i="4" s="1"/>
  <c r="N908" i="4" s="1"/>
  <c r="N909" i="4" s="1"/>
  <c r="N910" i="4" s="1"/>
  <c r="N911" i="4" s="1"/>
  <c r="N912" i="4" s="1"/>
  <c r="N913" i="4" s="1"/>
  <c r="M898" i="4"/>
  <c r="M899" i="4" s="1"/>
  <c r="M900" i="4" s="1"/>
  <c r="M901" i="4" s="1"/>
  <c r="M902" i="4" s="1"/>
  <c r="M903" i="4" s="1"/>
  <c r="M904" i="4" s="1"/>
  <c r="M905" i="4" s="1"/>
  <c r="M906" i="4" s="1"/>
  <c r="M907" i="4" s="1"/>
  <c r="M908" i="4" s="1"/>
  <c r="M909" i="4" s="1"/>
  <c r="M910" i="4" s="1"/>
  <c r="M911" i="4" s="1"/>
  <c r="M912" i="4" s="1"/>
  <c r="M913" i="4" s="1"/>
  <c r="L898" i="4"/>
  <c r="L899" i="4" s="1"/>
  <c r="D898" i="4"/>
  <c r="D899" i="4" s="1"/>
  <c r="D900" i="4" s="1"/>
  <c r="D901" i="4" s="1"/>
  <c r="D902" i="4" s="1"/>
  <c r="D903" i="4" s="1"/>
  <c r="D904" i="4" s="1"/>
  <c r="D905" i="4" s="1"/>
  <c r="D906" i="4" s="1"/>
  <c r="D907" i="4" s="1"/>
  <c r="D908" i="4" s="1"/>
  <c r="D909" i="4" s="1"/>
  <c r="D910" i="4" s="1"/>
  <c r="D911" i="4" s="1"/>
  <c r="D912" i="4" s="1"/>
  <c r="D913" i="4" s="1"/>
  <c r="O880" i="4"/>
  <c r="R880" i="4"/>
  <c r="R881" i="4"/>
  <c r="R882" i="4"/>
  <c r="R883" i="4"/>
  <c r="R884" i="4"/>
  <c r="R885" i="4"/>
  <c r="R886" i="4"/>
  <c r="R887" i="4"/>
  <c r="R888" i="4"/>
  <c r="R889" i="4"/>
  <c r="R890" i="4"/>
  <c r="R891" i="4"/>
  <c r="R892" i="4"/>
  <c r="R894" i="4"/>
  <c r="R895" i="4"/>
  <c r="R896" i="4"/>
  <c r="R893" i="4"/>
  <c r="K882" i="4"/>
  <c r="Q881" i="4"/>
  <c r="Q882" i="4" s="1"/>
  <c r="Q883" i="4" s="1"/>
  <c r="Q884" i="4" s="1"/>
  <c r="Q885" i="4" s="1"/>
  <c r="Q886" i="4" s="1"/>
  <c r="Q887" i="4" s="1"/>
  <c r="Q888" i="4" s="1"/>
  <c r="Q889" i="4" s="1"/>
  <c r="Q890" i="4" s="1"/>
  <c r="Q891" i="4" s="1"/>
  <c r="Q892" i="4" s="1"/>
  <c r="Q893" i="4" s="1"/>
  <c r="Q894" i="4" s="1"/>
  <c r="Q895" i="4" s="1"/>
  <c r="Q896" i="4" s="1"/>
  <c r="N881" i="4"/>
  <c r="N882" i="4" s="1"/>
  <c r="N883" i="4" s="1"/>
  <c r="N884" i="4" s="1"/>
  <c r="N885" i="4" s="1"/>
  <c r="N886" i="4" s="1"/>
  <c r="N887" i="4" s="1"/>
  <c r="N888" i="4" s="1"/>
  <c r="N889" i="4" s="1"/>
  <c r="N890" i="4" s="1"/>
  <c r="N891" i="4" s="1"/>
  <c r="N892" i="4" s="1"/>
  <c r="N893" i="4" s="1"/>
  <c r="N894" i="4" s="1"/>
  <c r="N895" i="4" s="1"/>
  <c r="N896" i="4" s="1"/>
  <c r="M881" i="4"/>
  <c r="M882" i="4" s="1"/>
  <c r="M883" i="4" s="1"/>
  <c r="M884" i="4" s="1"/>
  <c r="M885" i="4" s="1"/>
  <c r="M886" i="4" s="1"/>
  <c r="M887" i="4" s="1"/>
  <c r="M888" i="4" s="1"/>
  <c r="M889" i="4" s="1"/>
  <c r="M890" i="4" s="1"/>
  <c r="M891" i="4" s="1"/>
  <c r="M892" i="4" s="1"/>
  <c r="M893" i="4" s="1"/>
  <c r="M894" i="4" s="1"/>
  <c r="M895" i="4" s="1"/>
  <c r="M896" i="4" s="1"/>
  <c r="L881" i="4"/>
  <c r="O881" i="4" s="1"/>
  <c r="J882" i="4"/>
  <c r="D881" i="4"/>
  <c r="D882" i="4" s="1"/>
  <c r="D883" i="4" s="1"/>
  <c r="D884" i="4" s="1"/>
  <c r="D885" i="4" s="1"/>
  <c r="D886" i="4" s="1"/>
  <c r="D887" i="4" s="1"/>
  <c r="D888" i="4" s="1"/>
  <c r="D889" i="4" s="1"/>
  <c r="D890" i="4" s="1"/>
  <c r="D891" i="4" s="1"/>
  <c r="D892" i="4" s="1"/>
  <c r="D893" i="4" s="1"/>
  <c r="D894" i="4" s="1"/>
  <c r="D895" i="4" s="1"/>
  <c r="D896" i="4" s="1"/>
  <c r="O863" i="4"/>
  <c r="R864" i="4"/>
  <c r="R865" i="4"/>
  <c r="R866" i="4"/>
  <c r="R867" i="4"/>
  <c r="R868" i="4"/>
  <c r="R869" i="4"/>
  <c r="R870" i="4"/>
  <c r="R871" i="4"/>
  <c r="R872" i="4"/>
  <c r="R873" i="4"/>
  <c r="R874" i="4"/>
  <c r="R875" i="4"/>
  <c r="R876" i="4"/>
  <c r="R877" i="4"/>
  <c r="R878" i="4"/>
  <c r="R879" i="4"/>
  <c r="R863" i="4"/>
  <c r="T879" i="4"/>
  <c r="T878" i="4"/>
  <c r="T877" i="4"/>
  <c r="T876" i="4"/>
  <c r="T875" i="4"/>
  <c r="T874" i="4"/>
  <c r="T873" i="4"/>
  <c r="T872" i="4"/>
  <c r="T871" i="4"/>
  <c r="T870" i="4"/>
  <c r="T869" i="4"/>
  <c r="T868" i="4"/>
  <c r="T867" i="4"/>
  <c r="T866" i="4"/>
  <c r="T865" i="4"/>
  <c r="K865" i="4"/>
  <c r="T864" i="4"/>
  <c r="Q864" i="4"/>
  <c r="Q865" i="4" s="1"/>
  <c r="Q866" i="4" s="1"/>
  <c r="Q867" i="4" s="1"/>
  <c r="Q868" i="4" s="1"/>
  <c r="Q869" i="4" s="1"/>
  <c r="Q870" i="4" s="1"/>
  <c r="Q871" i="4" s="1"/>
  <c r="Q872" i="4" s="1"/>
  <c r="Q873" i="4" s="1"/>
  <c r="Q874" i="4" s="1"/>
  <c r="Q875" i="4" s="1"/>
  <c r="Q876" i="4" s="1"/>
  <c r="Q877" i="4" s="1"/>
  <c r="Q878" i="4" s="1"/>
  <c r="Q879" i="4" s="1"/>
  <c r="N864" i="4"/>
  <c r="N865" i="4" s="1"/>
  <c r="N866" i="4" s="1"/>
  <c r="N867" i="4" s="1"/>
  <c r="N868" i="4" s="1"/>
  <c r="N869" i="4" s="1"/>
  <c r="N870" i="4" s="1"/>
  <c r="N871" i="4" s="1"/>
  <c r="N872" i="4" s="1"/>
  <c r="N873" i="4" s="1"/>
  <c r="N874" i="4" s="1"/>
  <c r="N875" i="4" s="1"/>
  <c r="N876" i="4" s="1"/>
  <c r="N877" i="4" s="1"/>
  <c r="N878" i="4" s="1"/>
  <c r="N879" i="4" s="1"/>
  <c r="L864" i="4"/>
  <c r="O864" i="4" s="1"/>
  <c r="J864" i="4"/>
  <c r="D864" i="4"/>
  <c r="D865" i="4" s="1"/>
  <c r="D866" i="4" s="1"/>
  <c r="D867" i="4" s="1"/>
  <c r="D868" i="4" s="1"/>
  <c r="D869" i="4" s="1"/>
  <c r="D870" i="4" s="1"/>
  <c r="D871" i="4" s="1"/>
  <c r="D872" i="4" s="1"/>
  <c r="D873" i="4" s="1"/>
  <c r="D874" i="4" s="1"/>
  <c r="D875" i="4" s="1"/>
  <c r="D876" i="4" s="1"/>
  <c r="D877" i="4" s="1"/>
  <c r="D878" i="4" s="1"/>
  <c r="D879" i="4" s="1"/>
  <c r="T862" i="4"/>
  <c r="T861" i="4"/>
  <c r="T860" i="4"/>
  <c r="T859" i="4"/>
  <c r="T858" i="4"/>
  <c r="T857" i="4"/>
  <c r="T856" i="4"/>
  <c r="T855" i="4"/>
  <c r="T854" i="4"/>
  <c r="T853" i="4"/>
  <c r="T852" i="4"/>
  <c r="T851" i="4"/>
  <c r="T850" i="4"/>
  <c r="T849" i="4"/>
  <c r="T848" i="4"/>
  <c r="T847" i="4"/>
  <c r="R847" i="4"/>
  <c r="R848" i="4"/>
  <c r="R849" i="4"/>
  <c r="R850" i="4"/>
  <c r="R851" i="4"/>
  <c r="R852" i="4"/>
  <c r="R853" i="4"/>
  <c r="R854" i="4"/>
  <c r="R855" i="4"/>
  <c r="R856" i="4"/>
  <c r="R857" i="4"/>
  <c r="R858" i="4"/>
  <c r="R859" i="4"/>
  <c r="R860" i="4"/>
  <c r="R861" i="4"/>
  <c r="R862" i="4"/>
  <c r="R846" i="4"/>
  <c r="O846" i="4"/>
  <c r="K848" i="4"/>
  <c r="Q847" i="4"/>
  <c r="Q848" i="4" s="1"/>
  <c r="Q849" i="4" s="1"/>
  <c r="Q850" i="4" s="1"/>
  <c r="Q851" i="4" s="1"/>
  <c r="Q852" i="4" s="1"/>
  <c r="Q853" i="4" s="1"/>
  <c r="Q854" i="4" s="1"/>
  <c r="Q855" i="4" s="1"/>
  <c r="Q856" i="4" s="1"/>
  <c r="Q857" i="4" s="1"/>
  <c r="Q858" i="4" s="1"/>
  <c r="Q859" i="4" s="1"/>
  <c r="Q860" i="4" s="1"/>
  <c r="Q861" i="4" s="1"/>
  <c r="Q862" i="4" s="1"/>
  <c r="N847" i="4"/>
  <c r="N848" i="4" s="1"/>
  <c r="N849" i="4" s="1"/>
  <c r="N850" i="4" s="1"/>
  <c r="N851" i="4" s="1"/>
  <c r="N852" i="4" s="1"/>
  <c r="N853" i="4" s="1"/>
  <c r="N854" i="4" s="1"/>
  <c r="N855" i="4" s="1"/>
  <c r="N856" i="4" s="1"/>
  <c r="N857" i="4" s="1"/>
  <c r="N858" i="4" s="1"/>
  <c r="N859" i="4" s="1"/>
  <c r="N860" i="4" s="1"/>
  <c r="N861" i="4" s="1"/>
  <c r="N862" i="4" s="1"/>
  <c r="M847" i="4"/>
  <c r="M848" i="4" s="1"/>
  <c r="M849" i="4" s="1"/>
  <c r="M850" i="4" s="1"/>
  <c r="M851" i="4" s="1"/>
  <c r="M852" i="4" s="1"/>
  <c r="M853" i="4" s="1"/>
  <c r="M854" i="4" s="1"/>
  <c r="M855" i="4" s="1"/>
  <c r="M856" i="4" s="1"/>
  <c r="M857" i="4" s="1"/>
  <c r="M858" i="4" s="1"/>
  <c r="M859" i="4" s="1"/>
  <c r="M860" i="4" s="1"/>
  <c r="M861" i="4" s="1"/>
  <c r="M862" i="4" s="1"/>
  <c r="M863" i="4" s="1"/>
  <c r="M864" i="4" s="1"/>
  <c r="M865" i="4" s="1"/>
  <c r="M866" i="4" s="1"/>
  <c r="M867" i="4" s="1"/>
  <c r="M868" i="4" s="1"/>
  <c r="M869" i="4" s="1"/>
  <c r="M870" i="4" s="1"/>
  <c r="M871" i="4" s="1"/>
  <c r="M872" i="4" s="1"/>
  <c r="M873" i="4" s="1"/>
  <c r="M874" i="4" s="1"/>
  <c r="M875" i="4" s="1"/>
  <c r="M876" i="4" s="1"/>
  <c r="M877" i="4" s="1"/>
  <c r="M878" i="4" s="1"/>
  <c r="M879" i="4" s="1"/>
  <c r="L847" i="4"/>
  <c r="O847" i="4" s="1"/>
  <c r="J847" i="4"/>
  <c r="D847" i="4"/>
  <c r="D848" i="4" s="1"/>
  <c r="D849" i="4" s="1"/>
  <c r="D850" i="4" s="1"/>
  <c r="D851" i="4" s="1"/>
  <c r="D852" i="4" s="1"/>
  <c r="D853" i="4" s="1"/>
  <c r="D854" i="4" s="1"/>
  <c r="D855" i="4" s="1"/>
  <c r="D856" i="4" s="1"/>
  <c r="D857" i="4" s="1"/>
  <c r="D858" i="4" s="1"/>
  <c r="D859" i="4" s="1"/>
  <c r="D860" i="4" s="1"/>
  <c r="D861" i="4" s="1"/>
  <c r="D862" i="4" s="1"/>
  <c r="R830" i="4"/>
  <c r="R831" i="4"/>
  <c r="R832" i="4"/>
  <c r="R833" i="4"/>
  <c r="R834" i="4"/>
  <c r="R835" i="4"/>
  <c r="R836" i="4"/>
  <c r="R837" i="4"/>
  <c r="R838" i="4"/>
  <c r="R839" i="4"/>
  <c r="R840" i="4"/>
  <c r="R841" i="4"/>
  <c r="R842" i="4"/>
  <c r="R843" i="4"/>
  <c r="R844" i="4"/>
  <c r="R845" i="4"/>
  <c r="R829" i="4"/>
  <c r="O829" i="4"/>
  <c r="T845" i="4"/>
  <c r="T844" i="4"/>
  <c r="T843" i="4"/>
  <c r="T842" i="4"/>
  <c r="T841" i="4"/>
  <c r="T840" i="4"/>
  <c r="T839" i="4"/>
  <c r="T838" i="4"/>
  <c r="T837" i="4"/>
  <c r="T836" i="4"/>
  <c r="T835" i="4"/>
  <c r="T834" i="4"/>
  <c r="T833" i="4"/>
  <c r="T832" i="4"/>
  <c r="T831" i="4"/>
  <c r="K831" i="4"/>
  <c r="T830" i="4"/>
  <c r="Q830" i="4"/>
  <c r="Q831" i="4" s="1"/>
  <c r="Q832" i="4" s="1"/>
  <c r="Q833" i="4" s="1"/>
  <c r="Q834" i="4" s="1"/>
  <c r="Q835" i="4" s="1"/>
  <c r="Q836" i="4" s="1"/>
  <c r="Q837" i="4" s="1"/>
  <c r="Q838" i="4" s="1"/>
  <c r="Q839" i="4" s="1"/>
  <c r="Q840" i="4" s="1"/>
  <c r="Q841" i="4" s="1"/>
  <c r="Q842" i="4" s="1"/>
  <c r="Q843" i="4" s="1"/>
  <c r="Q844" i="4" s="1"/>
  <c r="Q845" i="4" s="1"/>
  <c r="N830" i="4"/>
  <c r="N831" i="4" s="1"/>
  <c r="N832" i="4" s="1"/>
  <c r="N833" i="4" s="1"/>
  <c r="N834" i="4" s="1"/>
  <c r="N835" i="4" s="1"/>
  <c r="N836" i="4" s="1"/>
  <c r="N837" i="4" s="1"/>
  <c r="N838" i="4" s="1"/>
  <c r="N839" i="4" s="1"/>
  <c r="N840" i="4" s="1"/>
  <c r="N841" i="4" s="1"/>
  <c r="N842" i="4" s="1"/>
  <c r="N843" i="4" s="1"/>
  <c r="N844" i="4" s="1"/>
  <c r="N845" i="4" s="1"/>
  <c r="M830" i="4"/>
  <c r="M831" i="4" s="1"/>
  <c r="M832" i="4" s="1"/>
  <c r="M833" i="4" s="1"/>
  <c r="M834" i="4" s="1"/>
  <c r="M835" i="4" s="1"/>
  <c r="M836" i="4" s="1"/>
  <c r="M837" i="4" s="1"/>
  <c r="M838" i="4" s="1"/>
  <c r="M839" i="4" s="1"/>
  <c r="M840" i="4" s="1"/>
  <c r="M841" i="4" s="1"/>
  <c r="M842" i="4" s="1"/>
  <c r="M843" i="4" s="1"/>
  <c r="M844" i="4" s="1"/>
  <c r="M845" i="4" s="1"/>
  <c r="L830" i="4"/>
  <c r="L831" i="4" s="1"/>
  <c r="O831" i="4" s="1"/>
  <c r="J830" i="4"/>
  <c r="D830" i="4"/>
  <c r="D831" i="4" s="1"/>
  <c r="D832" i="4" s="1"/>
  <c r="D833" i="4" s="1"/>
  <c r="D834" i="4" s="1"/>
  <c r="D835" i="4" s="1"/>
  <c r="D836" i="4" s="1"/>
  <c r="D837" i="4" s="1"/>
  <c r="D838" i="4" s="1"/>
  <c r="D839" i="4" s="1"/>
  <c r="D840" i="4" s="1"/>
  <c r="D841" i="4" s="1"/>
  <c r="D842" i="4" s="1"/>
  <c r="D843" i="4" s="1"/>
  <c r="D844" i="4" s="1"/>
  <c r="D845" i="4" s="1"/>
  <c r="T828" i="4"/>
  <c r="T827" i="4"/>
  <c r="T826" i="4"/>
  <c r="T825" i="4"/>
  <c r="T824" i="4"/>
  <c r="T823" i="4"/>
  <c r="T822" i="4"/>
  <c r="T821" i="4"/>
  <c r="T820" i="4"/>
  <c r="T819" i="4"/>
  <c r="T818" i="4"/>
  <c r="T817" i="4"/>
  <c r="T816" i="4"/>
  <c r="T815" i="4"/>
  <c r="T814" i="4"/>
  <c r="T813" i="4"/>
  <c r="R813" i="4"/>
  <c r="R814" i="4"/>
  <c r="R815" i="4"/>
  <c r="R816" i="4"/>
  <c r="R817" i="4"/>
  <c r="R818" i="4"/>
  <c r="R819" i="4"/>
  <c r="R820" i="4"/>
  <c r="R821" i="4"/>
  <c r="R822" i="4"/>
  <c r="R823" i="4"/>
  <c r="R824" i="4"/>
  <c r="R825" i="4"/>
  <c r="R826" i="4"/>
  <c r="R827" i="4"/>
  <c r="R828" i="4"/>
  <c r="R812" i="4"/>
  <c r="O812" i="4"/>
  <c r="T810" i="4"/>
  <c r="T809" i="4"/>
  <c r="T808" i="4"/>
  <c r="T807" i="4"/>
  <c r="T806" i="4"/>
  <c r="T805" i="4"/>
  <c r="T804" i="4"/>
  <c r="T803" i="4"/>
  <c r="T802" i="4"/>
  <c r="T801" i="4"/>
  <c r="T800" i="4"/>
  <c r="T799" i="4"/>
  <c r="T798" i="4"/>
  <c r="T797" i="4"/>
  <c r="T796" i="4"/>
  <c r="T795" i="4"/>
  <c r="T736" i="4"/>
  <c r="T735" i="4"/>
  <c r="T734" i="4"/>
  <c r="T733" i="4"/>
  <c r="T732" i="4"/>
  <c r="T731" i="4"/>
  <c r="T730" i="4"/>
  <c r="T729" i="4"/>
  <c r="T728" i="4"/>
  <c r="T727" i="4"/>
  <c r="T726" i="4"/>
  <c r="T725" i="4"/>
  <c r="T724" i="4"/>
  <c r="T723" i="4"/>
  <c r="T722" i="4"/>
  <c r="T721" i="4"/>
  <c r="T718" i="4"/>
  <c r="T717" i="4"/>
  <c r="T716" i="4"/>
  <c r="T715" i="4"/>
  <c r="T714" i="4"/>
  <c r="T713" i="4"/>
  <c r="T712" i="4"/>
  <c r="T711" i="4"/>
  <c r="T710" i="4"/>
  <c r="T709" i="4"/>
  <c r="T708" i="4"/>
  <c r="T707" i="4"/>
  <c r="T706" i="4"/>
  <c r="T705" i="4"/>
  <c r="T704" i="4"/>
  <c r="T703" i="4"/>
  <c r="T701" i="4"/>
  <c r="T700" i="4"/>
  <c r="T699" i="4"/>
  <c r="T698" i="4"/>
  <c r="T697" i="4"/>
  <c r="T696" i="4"/>
  <c r="T695" i="4"/>
  <c r="T694" i="4"/>
  <c r="T693" i="4"/>
  <c r="T692" i="4"/>
  <c r="T691" i="4"/>
  <c r="T690" i="4"/>
  <c r="T689" i="4"/>
  <c r="T688" i="4"/>
  <c r="T687" i="4"/>
  <c r="T686" i="4"/>
  <c r="T612" i="4"/>
  <c r="T611" i="4"/>
  <c r="T610" i="4"/>
  <c r="T609" i="4"/>
  <c r="T608" i="4"/>
  <c r="T607" i="4"/>
  <c r="T606" i="4"/>
  <c r="T605" i="4"/>
  <c r="T604" i="4"/>
  <c r="T603" i="4"/>
  <c r="T602" i="4"/>
  <c r="T601" i="4"/>
  <c r="T600" i="4"/>
  <c r="T599" i="4"/>
  <c r="T598" i="4"/>
  <c r="T597" i="4"/>
  <c r="T488" i="4"/>
  <c r="T487" i="4"/>
  <c r="T486" i="4"/>
  <c r="T485" i="4"/>
  <c r="T484" i="4"/>
  <c r="T483" i="4"/>
  <c r="T482" i="4"/>
  <c r="T481" i="4"/>
  <c r="T480" i="4"/>
  <c r="T479" i="4"/>
  <c r="T478" i="4"/>
  <c r="T477" i="4"/>
  <c r="T476" i="4"/>
  <c r="T475" i="4"/>
  <c r="T474" i="4"/>
  <c r="T473" i="4"/>
  <c r="T418" i="4"/>
  <c r="T417" i="4"/>
  <c r="T416" i="4"/>
  <c r="T415" i="4"/>
  <c r="T414" i="4"/>
  <c r="T413" i="4"/>
  <c r="T412" i="4"/>
  <c r="T411" i="4"/>
  <c r="T410" i="4"/>
  <c r="T409" i="4"/>
  <c r="T408" i="4"/>
  <c r="T407" i="4"/>
  <c r="T406" i="4"/>
  <c r="T405" i="4"/>
  <c r="T404" i="4"/>
  <c r="T403" i="4"/>
  <c r="T399" i="4"/>
  <c r="T398" i="4"/>
  <c r="T397" i="4"/>
  <c r="T396" i="4"/>
  <c r="T395" i="4"/>
  <c r="T394" i="4"/>
  <c r="T393" i="4"/>
  <c r="T392" i="4"/>
  <c r="T391" i="4"/>
  <c r="T390" i="4"/>
  <c r="T389" i="4"/>
  <c r="T388" i="4"/>
  <c r="T387" i="4"/>
  <c r="T386" i="4"/>
  <c r="T385" i="4"/>
  <c r="T384" i="4"/>
  <c r="T382" i="4"/>
  <c r="T381" i="4"/>
  <c r="T380" i="4"/>
  <c r="T379" i="4"/>
  <c r="T378" i="4"/>
  <c r="T377" i="4"/>
  <c r="T376" i="4"/>
  <c r="T375" i="4"/>
  <c r="T374" i="4"/>
  <c r="T373" i="4"/>
  <c r="T372" i="4"/>
  <c r="T371" i="4"/>
  <c r="T370" i="4"/>
  <c r="T369" i="4"/>
  <c r="T368" i="4"/>
  <c r="T367" i="4"/>
  <c r="T362" i="4"/>
  <c r="T361" i="4"/>
  <c r="T360" i="4"/>
  <c r="T359" i="4"/>
  <c r="T358" i="4"/>
  <c r="T357" i="4"/>
  <c r="T356" i="4"/>
  <c r="T355" i="4"/>
  <c r="T354" i="4"/>
  <c r="T353" i="4"/>
  <c r="T352" i="4"/>
  <c r="T351" i="4"/>
  <c r="T350" i="4"/>
  <c r="T349" i="4"/>
  <c r="T348" i="4"/>
  <c r="T347" i="4"/>
  <c r="T345" i="4"/>
  <c r="T344" i="4"/>
  <c r="T343" i="4"/>
  <c r="T342" i="4"/>
  <c r="T341" i="4"/>
  <c r="T340" i="4"/>
  <c r="T339" i="4"/>
  <c r="T338" i="4"/>
  <c r="T337" i="4"/>
  <c r="T336" i="4"/>
  <c r="T335" i="4"/>
  <c r="T334" i="4"/>
  <c r="T333" i="4"/>
  <c r="T332" i="4"/>
  <c r="T331" i="4"/>
  <c r="T330" i="4"/>
  <c r="T327" i="4"/>
  <c r="T326" i="4"/>
  <c r="T325" i="4"/>
  <c r="T324" i="4"/>
  <c r="T323" i="4"/>
  <c r="T322" i="4"/>
  <c r="T321" i="4"/>
  <c r="T320" i="4"/>
  <c r="T319" i="4"/>
  <c r="T318" i="4"/>
  <c r="T317" i="4"/>
  <c r="T316" i="4"/>
  <c r="T315" i="4"/>
  <c r="T314" i="4"/>
  <c r="T313" i="4"/>
  <c r="T312" i="4"/>
  <c r="T310" i="4"/>
  <c r="T309" i="4"/>
  <c r="T308" i="4"/>
  <c r="T307" i="4"/>
  <c r="T306" i="4"/>
  <c r="T305" i="4"/>
  <c r="T304" i="4"/>
  <c r="T303" i="4"/>
  <c r="T302" i="4"/>
  <c r="T301" i="4"/>
  <c r="T300" i="4"/>
  <c r="T299" i="4"/>
  <c r="T298" i="4"/>
  <c r="T297" i="4"/>
  <c r="T296" i="4"/>
  <c r="T295" i="4"/>
  <c r="T289" i="4"/>
  <c r="T288" i="4"/>
  <c r="T287" i="4"/>
  <c r="T286" i="4"/>
  <c r="T285" i="4"/>
  <c r="T284" i="4"/>
  <c r="T283" i="4"/>
  <c r="T282" i="4"/>
  <c r="T281" i="4"/>
  <c r="T280" i="4"/>
  <c r="T279" i="4"/>
  <c r="T278" i="4"/>
  <c r="T277" i="4"/>
  <c r="T276" i="4"/>
  <c r="T275" i="4"/>
  <c r="T274" i="4"/>
  <c r="T252" i="4"/>
  <c r="T246" i="4"/>
  <c r="T247" i="4"/>
  <c r="T248" i="4"/>
  <c r="T249" i="4"/>
  <c r="T250" i="4"/>
  <c r="T251" i="4"/>
  <c r="T253" i="4"/>
  <c r="T254" i="4"/>
  <c r="T245" i="4"/>
  <c r="T257" i="4"/>
  <c r="T258" i="4"/>
  <c r="T259" i="4"/>
  <c r="T260" i="4"/>
  <c r="T208" i="4"/>
  <c r="T207" i="4"/>
  <c r="T206" i="4"/>
  <c r="T205" i="4"/>
  <c r="T204" i="4"/>
  <c r="T203" i="4"/>
  <c r="T202" i="4"/>
  <c r="T201" i="4"/>
  <c r="T200" i="4"/>
  <c r="T199" i="4"/>
  <c r="T198" i="4"/>
  <c r="T197" i="4"/>
  <c r="T196" i="4"/>
  <c r="T195" i="4"/>
  <c r="T194" i="4"/>
  <c r="T193" i="4"/>
  <c r="T156" i="4"/>
  <c r="T155" i="4"/>
  <c r="T154" i="4"/>
  <c r="T153" i="4"/>
  <c r="T152" i="4"/>
  <c r="T151" i="4"/>
  <c r="T150" i="4"/>
  <c r="T149" i="4"/>
  <c r="T148" i="4"/>
  <c r="T146" i="4"/>
  <c r="T145" i="4"/>
  <c r="T144" i="4"/>
  <c r="T143" i="4"/>
  <c r="T142" i="4"/>
  <c r="T141" i="4"/>
  <c r="T140" i="4"/>
  <c r="T139" i="4"/>
  <c r="T138" i="4"/>
  <c r="T133" i="4"/>
  <c r="T132" i="4"/>
  <c r="T131" i="4"/>
  <c r="T130" i="4"/>
  <c r="T129" i="4"/>
  <c r="T128" i="4"/>
  <c r="T127" i="4"/>
  <c r="T126" i="4"/>
  <c r="T125" i="4"/>
  <c r="T124" i="4"/>
  <c r="T123" i="4"/>
  <c r="T122" i="4"/>
  <c r="T121" i="4"/>
  <c r="T120" i="4"/>
  <c r="T119" i="4"/>
  <c r="T118" i="4"/>
  <c r="T684" i="4"/>
  <c r="T683" i="4"/>
  <c r="T682" i="4"/>
  <c r="T681" i="4"/>
  <c r="T680" i="4"/>
  <c r="T679" i="4"/>
  <c r="T678" i="4"/>
  <c r="T677" i="4"/>
  <c r="T676" i="4"/>
  <c r="T675" i="4"/>
  <c r="T674" i="4"/>
  <c r="T673" i="4"/>
  <c r="T672" i="4"/>
  <c r="T671" i="4"/>
  <c r="T670" i="4"/>
  <c r="T669" i="4"/>
  <c r="T667" i="4"/>
  <c r="T666" i="4"/>
  <c r="T665" i="4"/>
  <c r="T664" i="4"/>
  <c r="T663" i="4"/>
  <c r="T662" i="4"/>
  <c r="T661" i="4"/>
  <c r="T660" i="4"/>
  <c r="T659" i="4"/>
  <c r="T658" i="4"/>
  <c r="T657" i="4"/>
  <c r="T656" i="4"/>
  <c r="T655" i="4"/>
  <c r="T654" i="4"/>
  <c r="T653" i="4"/>
  <c r="T652" i="4"/>
  <c r="T650" i="4"/>
  <c r="T649" i="4"/>
  <c r="T648" i="4"/>
  <c r="T647" i="4"/>
  <c r="T646" i="4"/>
  <c r="T645" i="4"/>
  <c r="T644" i="4"/>
  <c r="T643" i="4"/>
  <c r="T642" i="4"/>
  <c r="T641" i="4"/>
  <c r="T640" i="4"/>
  <c r="T639" i="4"/>
  <c r="T638" i="4"/>
  <c r="T637" i="4"/>
  <c r="T636" i="4"/>
  <c r="T635" i="4"/>
  <c r="T633" i="4"/>
  <c r="T632" i="4"/>
  <c r="T631" i="4"/>
  <c r="T630" i="4"/>
  <c r="T629" i="4"/>
  <c r="T628" i="4"/>
  <c r="T627" i="4"/>
  <c r="T626" i="4"/>
  <c r="T625" i="4"/>
  <c r="T624" i="4"/>
  <c r="T623" i="4"/>
  <c r="T622" i="4"/>
  <c r="T621" i="4"/>
  <c r="T620" i="4"/>
  <c r="T619" i="4"/>
  <c r="T618" i="4"/>
  <c r="T471" i="4"/>
  <c r="T470" i="4"/>
  <c r="T469" i="4"/>
  <c r="T468" i="4"/>
  <c r="T467" i="4"/>
  <c r="T466" i="4"/>
  <c r="T465" i="4"/>
  <c r="T464" i="4"/>
  <c r="T463" i="4"/>
  <c r="T462" i="4"/>
  <c r="T461" i="4"/>
  <c r="T460" i="4"/>
  <c r="T459" i="4"/>
  <c r="T458" i="4"/>
  <c r="T457" i="4"/>
  <c r="T456" i="4"/>
  <c r="T454" i="4"/>
  <c r="T453" i="4"/>
  <c r="T452" i="4"/>
  <c r="T451" i="4"/>
  <c r="T450" i="4"/>
  <c r="T449" i="4"/>
  <c r="T448" i="4"/>
  <c r="T447" i="4"/>
  <c r="T446" i="4"/>
  <c r="T445" i="4"/>
  <c r="T444" i="4"/>
  <c r="T443" i="4"/>
  <c r="T442" i="4"/>
  <c r="T441" i="4"/>
  <c r="T440" i="4"/>
  <c r="T439" i="4"/>
  <c r="T436" i="4"/>
  <c r="T435" i="4"/>
  <c r="T434" i="4"/>
  <c r="T433" i="4"/>
  <c r="T432" i="4"/>
  <c r="T431" i="4"/>
  <c r="T430" i="4"/>
  <c r="T429" i="4"/>
  <c r="T428" i="4"/>
  <c r="T427" i="4"/>
  <c r="T426" i="4"/>
  <c r="T425" i="4"/>
  <c r="T424" i="4"/>
  <c r="T423" i="4"/>
  <c r="T422" i="4"/>
  <c r="T421" i="4"/>
  <c r="T272" i="4"/>
  <c r="T271" i="4"/>
  <c r="T270" i="4"/>
  <c r="T269" i="4"/>
  <c r="T268" i="4"/>
  <c r="T267" i="4"/>
  <c r="T266" i="4"/>
  <c r="T265" i="4"/>
  <c r="T264" i="4"/>
  <c r="T263" i="4"/>
  <c r="T262" i="4"/>
  <c r="T261" i="4"/>
  <c r="T243" i="4"/>
  <c r="T242" i="4"/>
  <c r="T241" i="4"/>
  <c r="T240" i="4"/>
  <c r="T239" i="4"/>
  <c r="T238" i="4"/>
  <c r="T237" i="4"/>
  <c r="T236" i="4"/>
  <c r="T235" i="4"/>
  <c r="T234" i="4"/>
  <c r="T233" i="4"/>
  <c r="T232" i="4"/>
  <c r="T231" i="4"/>
  <c r="T230" i="4"/>
  <c r="T229" i="4"/>
  <c r="T228" i="4"/>
  <c r="T225" i="4"/>
  <c r="T224" i="4"/>
  <c r="T223" i="4"/>
  <c r="T222" i="4"/>
  <c r="T221" i="4"/>
  <c r="T220" i="4"/>
  <c r="T219" i="4"/>
  <c r="T218" i="4"/>
  <c r="T217" i="4"/>
  <c r="T216" i="4"/>
  <c r="T215" i="4"/>
  <c r="T214" i="4"/>
  <c r="T213" i="4"/>
  <c r="T212" i="4"/>
  <c r="T211" i="4"/>
  <c r="T210" i="4"/>
  <c r="T190" i="4"/>
  <c r="T189" i="4"/>
  <c r="T188" i="4"/>
  <c r="T187" i="4"/>
  <c r="T186" i="4"/>
  <c r="T185" i="4"/>
  <c r="T184" i="4"/>
  <c r="T183" i="4"/>
  <c r="T182" i="4"/>
  <c r="T181" i="4"/>
  <c r="T180" i="4"/>
  <c r="T179" i="4"/>
  <c r="T178" i="4"/>
  <c r="T177" i="4"/>
  <c r="T176" i="4"/>
  <c r="T175" i="4"/>
  <c r="T173" i="4"/>
  <c r="T172" i="4"/>
  <c r="T171" i="4"/>
  <c r="T170" i="4"/>
  <c r="T169" i="4"/>
  <c r="T168" i="4"/>
  <c r="T167" i="4"/>
  <c r="T166" i="4"/>
  <c r="T165" i="4"/>
  <c r="T164" i="4"/>
  <c r="T163" i="4"/>
  <c r="T162" i="4"/>
  <c r="T161" i="4"/>
  <c r="T160" i="4"/>
  <c r="T159" i="4"/>
  <c r="T158" i="4"/>
  <c r="T114" i="4"/>
  <c r="T113" i="4"/>
  <c r="T112" i="4"/>
  <c r="T111" i="4"/>
  <c r="T110" i="4"/>
  <c r="T109" i="4"/>
  <c r="T108" i="4"/>
  <c r="T107" i="4"/>
  <c r="T106" i="4"/>
  <c r="T105" i="4"/>
  <c r="T104" i="4"/>
  <c r="T103" i="4"/>
  <c r="T102" i="4"/>
  <c r="T101" i="4"/>
  <c r="T100" i="4"/>
  <c r="T99" i="4"/>
  <c r="T97" i="4"/>
  <c r="T96" i="4"/>
  <c r="T95" i="4"/>
  <c r="T94" i="4"/>
  <c r="T93" i="4"/>
  <c r="T92" i="4"/>
  <c r="T91" i="4"/>
  <c r="T90" i="4"/>
  <c r="T89" i="4"/>
  <c r="T88" i="4"/>
  <c r="T87" i="4"/>
  <c r="T86" i="4"/>
  <c r="T85" i="4"/>
  <c r="T84" i="4"/>
  <c r="T83" i="4"/>
  <c r="T82" i="4"/>
  <c r="T80" i="4"/>
  <c r="T79" i="4"/>
  <c r="T78" i="4"/>
  <c r="T77" i="4"/>
  <c r="T76" i="4"/>
  <c r="T75" i="4"/>
  <c r="T74" i="4"/>
  <c r="T73" i="4"/>
  <c r="T72" i="4"/>
  <c r="T71" i="4"/>
  <c r="T70" i="4"/>
  <c r="T69" i="4"/>
  <c r="T68" i="4"/>
  <c r="T67" i="4"/>
  <c r="T66" i="4"/>
  <c r="T65" i="4"/>
  <c r="T62" i="4"/>
  <c r="T61" i="4"/>
  <c r="T60" i="4"/>
  <c r="T59" i="4"/>
  <c r="T58" i="4"/>
  <c r="T57" i="4"/>
  <c r="T56" i="4"/>
  <c r="T55" i="4"/>
  <c r="T54" i="4"/>
  <c r="T53" i="4"/>
  <c r="T52" i="4"/>
  <c r="T51" i="4"/>
  <c r="T50" i="4"/>
  <c r="T49" i="4"/>
  <c r="T48" i="4"/>
  <c r="T47" i="4"/>
  <c r="T42" i="4"/>
  <c r="T31" i="4"/>
  <c r="T32" i="4"/>
  <c r="T33" i="4"/>
  <c r="T34" i="4"/>
  <c r="T35" i="4"/>
  <c r="T36" i="4"/>
  <c r="T37" i="4"/>
  <c r="T38" i="4"/>
  <c r="T39" i="4"/>
  <c r="T40" i="4"/>
  <c r="T41" i="4"/>
  <c r="T43" i="4"/>
  <c r="T44" i="4"/>
  <c r="T45" i="4"/>
  <c r="T30" i="4"/>
  <c r="T28" i="4"/>
  <c r="O811" i="4"/>
  <c r="R795" i="4"/>
  <c r="R796" i="4"/>
  <c r="R797" i="4"/>
  <c r="R798" i="4"/>
  <c r="R799" i="4"/>
  <c r="R800" i="4"/>
  <c r="R801" i="4"/>
  <c r="R802" i="4"/>
  <c r="R803" i="4"/>
  <c r="R804" i="4"/>
  <c r="R805" i="4"/>
  <c r="R806" i="4"/>
  <c r="R807" i="4"/>
  <c r="R808" i="4"/>
  <c r="R809" i="4"/>
  <c r="R810" i="4"/>
  <c r="R794" i="4"/>
  <c r="S796" i="4"/>
  <c r="S797" i="4"/>
  <c r="S798" i="4"/>
  <c r="S799" i="4"/>
  <c r="S800" i="4"/>
  <c r="S801" i="4"/>
  <c r="S802" i="4"/>
  <c r="S803" i="4"/>
  <c r="S804" i="4"/>
  <c r="S805" i="4"/>
  <c r="S806" i="4"/>
  <c r="S807" i="4"/>
  <c r="S808" i="4"/>
  <c r="S809" i="4"/>
  <c r="S810" i="4"/>
  <c r="S795" i="4"/>
  <c r="O794" i="4"/>
  <c r="O793" i="4"/>
  <c r="R793" i="4"/>
  <c r="O776" i="4"/>
  <c r="T792" i="4"/>
  <c r="T791" i="4"/>
  <c r="T790" i="4"/>
  <c r="T789" i="4"/>
  <c r="T788" i="4"/>
  <c r="T787" i="4"/>
  <c r="T786" i="4"/>
  <c r="T785" i="4"/>
  <c r="T784" i="4"/>
  <c r="T783" i="4"/>
  <c r="T782" i="4"/>
  <c r="T781" i="4"/>
  <c r="T780" i="4"/>
  <c r="T779" i="4"/>
  <c r="T778" i="4"/>
  <c r="T777" i="4"/>
  <c r="S778" i="4"/>
  <c r="S779" i="4"/>
  <c r="S780" i="4"/>
  <c r="S781" i="4"/>
  <c r="S782" i="4"/>
  <c r="S783" i="4"/>
  <c r="S784" i="4"/>
  <c r="S785" i="4"/>
  <c r="S786" i="4"/>
  <c r="S787" i="4"/>
  <c r="S788" i="4"/>
  <c r="S789" i="4"/>
  <c r="S790" i="4"/>
  <c r="S791" i="4"/>
  <c r="S792" i="4"/>
  <c r="S777" i="4"/>
  <c r="R777" i="4"/>
  <c r="R778" i="4"/>
  <c r="R779" i="4"/>
  <c r="R780" i="4"/>
  <c r="R781" i="4"/>
  <c r="R782" i="4"/>
  <c r="R783" i="4"/>
  <c r="R784" i="4"/>
  <c r="R785" i="4"/>
  <c r="R786" i="4"/>
  <c r="R787" i="4"/>
  <c r="R788" i="4"/>
  <c r="R789" i="4"/>
  <c r="R790" i="4"/>
  <c r="R791" i="4"/>
  <c r="R792" i="4"/>
  <c r="R776" i="4"/>
  <c r="O775" i="4"/>
  <c r="O774" i="4"/>
  <c r="O773" i="4"/>
  <c r="O772" i="4"/>
  <c r="O771" i="4"/>
  <c r="R771" i="4"/>
  <c r="R755" i="4"/>
  <c r="R756" i="4"/>
  <c r="R757" i="4"/>
  <c r="R758" i="4"/>
  <c r="R759" i="4"/>
  <c r="R760" i="4"/>
  <c r="R761" i="4"/>
  <c r="R762" i="4"/>
  <c r="R763" i="4"/>
  <c r="R764" i="4"/>
  <c r="R765" i="4"/>
  <c r="R766" i="4"/>
  <c r="R767" i="4"/>
  <c r="R768" i="4"/>
  <c r="R769" i="4"/>
  <c r="R770" i="4"/>
  <c r="T770" i="4"/>
  <c r="T769" i="4"/>
  <c r="T768" i="4"/>
  <c r="T767" i="4"/>
  <c r="T766" i="4"/>
  <c r="T765" i="4"/>
  <c r="T764" i="4"/>
  <c r="T763" i="4"/>
  <c r="T762" i="4"/>
  <c r="T761" i="4"/>
  <c r="T760" i="4"/>
  <c r="T759" i="4"/>
  <c r="T758" i="4"/>
  <c r="T757" i="4"/>
  <c r="T756" i="4"/>
  <c r="T755" i="4"/>
  <c r="S756" i="4"/>
  <c r="S757" i="4"/>
  <c r="S758" i="4"/>
  <c r="S759" i="4"/>
  <c r="S760" i="4"/>
  <c r="S761" i="4"/>
  <c r="S762" i="4"/>
  <c r="S763" i="4"/>
  <c r="S764" i="4"/>
  <c r="S765" i="4"/>
  <c r="S766" i="4"/>
  <c r="S767" i="4"/>
  <c r="S768" i="4"/>
  <c r="S769" i="4"/>
  <c r="S770" i="4"/>
  <c r="S755" i="4"/>
  <c r="O754" i="4"/>
  <c r="R754" i="4"/>
  <c r="T753" i="4"/>
  <c r="T752" i="4"/>
  <c r="T751" i="4"/>
  <c r="T750" i="4"/>
  <c r="T749" i="4"/>
  <c r="T748" i="4"/>
  <c r="T747" i="4"/>
  <c r="T746" i="4"/>
  <c r="T745" i="4"/>
  <c r="T744" i="4"/>
  <c r="T743" i="4"/>
  <c r="T742" i="4"/>
  <c r="T741" i="4"/>
  <c r="T740" i="4"/>
  <c r="T739" i="4"/>
  <c r="T738" i="4"/>
  <c r="S739" i="4"/>
  <c r="S740" i="4"/>
  <c r="S741" i="4"/>
  <c r="S742" i="4"/>
  <c r="S743" i="4"/>
  <c r="S744" i="4"/>
  <c r="S745" i="4"/>
  <c r="S746" i="4"/>
  <c r="S747" i="4"/>
  <c r="S748" i="4"/>
  <c r="S749" i="4"/>
  <c r="S750" i="4"/>
  <c r="S751" i="4"/>
  <c r="S752" i="4"/>
  <c r="S753" i="4"/>
  <c r="S738" i="4"/>
  <c r="R738" i="4"/>
  <c r="R739" i="4"/>
  <c r="R740" i="4"/>
  <c r="R741" i="4"/>
  <c r="R742" i="4"/>
  <c r="R743" i="4"/>
  <c r="R744" i="4"/>
  <c r="R745" i="4"/>
  <c r="R746" i="4"/>
  <c r="R747" i="4"/>
  <c r="R748" i="4"/>
  <c r="R749" i="4"/>
  <c r="R750" i="4"/>
  <c r="R751" i="4"/>
  <c r="R752" i="4"/>
  <c r="R753" i="4"/>
  <c r="R737" i="4"/>
  <c r="O737" i="4"/>
  <c r="S726" i="4"/>
  <c r="S727" i="4"/>
  <c r="S728" i="4"/>
  <c r="S729" i="4"/>
  <c r="S730" i="4"/>
  <c r="S731" i="4"/>
  <c r="S732" i="4"/>
  <c r="S733" i="4"/>
  <c r="S734" i="4"/>
  <c r="S735" i="4"/>
  <c r="S736" i="4"/>
  <c r="S725" i="4"/>
  <c r="S722" i="4"/>
  <c r="S723" i="4"/>
  <c r="S724" i="4"/>
  <c r="S721" i="4"/>
  <c r="R721" i="4"/>
  <c r="R722" i="4"/>
  <c r="R723" i="4"/>
  <c r="R724" i="4"/>
  <c r="R725" i="4"/>
  <c r="R726" i="4"/>
  <c r="R727" i="4"/>
  <c r="R728" i="4"/>
  <c r="R729" i="4"/>
  <c r="R730" i="4"/>
  <c r="R731" i="4"/>
  <c r="R732" i="4"/>
  <c r="R733" i="4"/>
  <c r="R734" i="4"/>
  <c r="R735" i="4"/>
  <c r="R736" i="4"/>
  <c r="R720" i="4"/>
  <c r="R719" i="4"/>
  <c r="O719" i="4"/>
  <c r="J1105" i="4" l="1"/>
  <c r="J1088" i="4"/>
  <c r="K832" i="4"/>
  <c r="J848" i="4"/>
  <c r="K883" i="4"/>
  <c r="K1036" i="4"/>
  <c r="J900" i="4"/>
  <c r="K917" i="4"/>
  <c r="J968" i="4"/>
  <c r="J985" i="4"/>
  <c r="K1070" i="4"/>
  <c r="J831" i="4"/>
  <c r="J865" i="4"/>
  <c r="K900" i="4"/>
  <c r="K968" i="4"/>
  <c r="K985" i="4"/>
  <c r="J1002" i="4"/>
  <c r="J1019" i="4"/>
  <c r="J1053" i="4"/>
  <c r="K866" i="4"/>
  <c r="K1002" i="4"/>
  <c r="K1019" i="4"/>
  <c r="J1036" i="4"/>
  <c r="J1122" i="4"/>
  <c r="L1121" i="4"/>
  <c r="O1120" i="4"/>
  <c r="L1104" i="4"/>
  <c r="O1104" i="4" s="1"/>
  <c r="L1088" i="4"/>
  <c r="O1088" i="4" s="1"/>
  <c r="J1070" i="4"/>
  <c r="O1001" i="4"/>
  <c r="O1000" i="4"/>
  <c r="K1053" i="4"/>
  <c r="L1069" i="4"/>
  <c r="O1069" i="4" s="1"/>
  <c r="L1052" i="4"/>
  <c r="O1052" i="4" s="1"/>
  <c r="L1035" i="4"/>
  <c r="O1035" i="4" s="1"/>
  <c r="L1018" i="4"/>
  <c r="O1018" i="4" s="1"/>
  <c r="O919" i="4"/>
  <c r="O915" i="4"/>
  <c r="O927" i="4"/>
  <c r="O925" i="4"/>
  <c r="O917" i="4"/>
  <c r="O923" i="4"/>
  <c r="O929" i="4"/>
  <c r="O921" i="4"/>
  <c r="O935" i="4"/>
  <c r="O928" i="4"/>
  <c r="O924" i="4"/>
  <c r="O920" i="4"/>
  <c r="O916" i="4"/>
  <c r="O946" i="4"/>
  <c r="O942" i="4"/>
  <c r="O938" i="4"/>
  <c r="O934" i="4"/>
  <c r="J951" i="4"/>
  <c r="O943" i="4"/>
  <c r="O945" i="4"/>
  <c r="O941" i="4"/>
  <c r="O937" i="4"/>
  <c r="O933" i="4"/>
  <c r="O939" i="4"/>
  <c r="O926" i="4"/>
  <c r="O922" i="4"/>
  <c r="O918" i="4"/>
  <c r="O932" i="4"/>
  <c r="O944" i="4"/>
  <c r="O940" i="4"/>
  <c r="O936" i="4"/>
  <c r="L1003" i="4"/>
  <c r="O1003" i="4" s="1"/>
  <c r="L984" i="4"/>
  <c r="O984" i="4" s="1"/>
  <c r="L967" i="4"/>
  <c r="O967" i="4" s="1"/>
  <c r="L950" i="4"/>
  <c r="O950" i="4" s="1"/>
  <c r="J934" i="4"/>
  <c r="J917" i="4"/>
  <c r="L900" i="4"/>
  <c r="O830" i="4"/>
  <c r="L882" i="4"/>
  <c r="O882" i="4" s="1"/>
  <c r="J883" i="4"/>
  <c r="L865" i="4"/>
  <c r="O865" i="4" s="1"/>
  <c r="L848" i="4"/>
  <c r="O848" i="4" s="1"/>
  <c r="K849" i="4"/>
  <c r="L832" i="4"/>
  <c r="O832" i="4" s="1"/>
  <c r="T558" i="4"/>
  <c r="T541" i="4"/>
  <c r="T524" i="4"/>
  <c r="T25" i="4"/>
  <c r="T592" i="4"/>
  <c r="T575" i="4"/>
  <c r="T507" i="4"/>
  <c r="K884" i="4" l="1"/>
  <c r="J1106" i="4"/>
  <c r="K1071" i="4"/>
  <c r="J866" i="4"/>
  <c r="J969" i="4"/>
  <c r="J1037" i="4"/>
  <c r="K986" i="4"/>
  <c r="K1020" i="4"/>
  <c r="J1089" i="4"/>
  <c r="J1003" i="4"/>
  <c r="J1054" i="4"/>
  <c r="K1003" i="4"/>
  <c r="J901" i="4"/>
  <c r="J1020" i="4"/>
  <c r="J849" i="4"/>
  <c r="K867" i="4"/>
  <c r="K918" i="4"/>
  <c r="J832" i="4"/>
  <c r="J986" i="4"/>
  <c r="K1037" i="4"/>
  <c r="J1071" i="4"/>
  <c r="J952" i="4"/>
  <c r="K901" i="4"/>
  <c r="K969" i="4"/>
  <c r="K833" i="4"/>
  <c r="J1123" i="4"/>
  <c r="O1121" i="4"/>
  <c r="L1122" i="4"/>
  <c r="L1105" i="4"/>
  <c r="O1105" i="4" s="1"/>
  <c r="L1089" i="4"/>
  <c r="O1089" i="4" s="1"/>
  <c r="K1054" i="4"/>
  <c r="L1070" i="4"/>
  <c r="O1070" i="4" s="1"/>
  <c r="L1053" i="4"/>
  <c r="O1053" i="4" s="1"/>
  <c r="L1036" i="4"/>
  <c r="O1036" i="4" s="1"/>
  <c r="L1019" i="4"/>
  <c r="O1019" i="4" s="1"/>
  <c r="L1004" i="4"/>
  <c r="O1004" i="4" s="1"/>
  <c r="L985" i="4"/>
  <c r="O985" i="4" s="1"/>
  <c r="L968" i="4"/>
  <c r="O968" i="4" s="1"/>
  <c r="L951" i="4"/>
  <c r="O951" i="4" s="1"/>
  <c r="J935" i="4"/>
  <c r="J918" i="4"/>
  <c r="L901" i="4"/>
  <c r="J884" i="4"/>
  <c r="L883" i="4"/>
  <c r="O883" i="4" s="1"/>
  <c r="L866" i="4"/>
  <c r="O866" i="4" s="1"/>
  <c r="L849" i="4"/>
  <c r="O849" i="4" s="1"/>
  <c r="K850" i="4"/>
  <c r="L833" i="4"/>
  <c r="O833" i="4" s="1"/>
  <c r="T14" i="4"/>
  <c r="T15" i="4"/>
  <c r="T16" i="4"/>
  <c r="T17" i="4"/>
  <c r="T18" i="4"/>
  <c r="T19" i="4"/>
  <c r="T20" i="4"/>
  <c r="T21" i="4"/>
  <c r="T22" i="4"/>
  <c r="T23" i="4"/>
  <c r="T24" i="4"/>
  <c r="T26" i="4"/>
  <c r="T27" i="4"/>
  <c r="T13" i="4"/>
  <c r="J970" i="4" l="1"/>
  <c r="J971" i="4" s="1"/>
  <c r="K1038" i="4"/>
  <c r="K1072" i="4"/>
  <c r="K1073" i="4" s="1"/>
  <c r="K885" i="4"/>
  <c r="K886" i="4" s="1"/>
  <c r="K987" i="4"/>
  <c r="J1107" i="4"/>
  <c r="J867" i="4"/>
  <c r="J850" i="4"/>
  <c r="J1004" i="4"/>
  <c r="J1038" i="4"/>
  <c r="K1004" i="4"/>
  <c r="K1021" i="4"/>
  <c r="K868" i="4"/>
  <c r="J1090" i="4"/>
  <c r="K919" i="4"/>
  <c r="J1055" i="4"/>
  <c r="J902" i="4"/>
  <c r="J987" i="4"/>
  <c r="J833" i="4"/>
  <c r="J1021" i="4"/>
  <c r="J1072" i="4"/>
  <c r="J953" i="4"/>
  <c r="K834" i="4"/>
  <c r="K970" i="4"/>
  <c r="K902" i="4"/>
  <c r="J1124" i="4"/>
  <c r="L1123" i="4"/>
  <c r="O1122" i="4"/>
  <c r="L1106" i="4"/>
  <c r="O1106" i="4" s="1"/>
  <c r="L1090" i="4"/>
  <c r="O1090" i="4" s="1"/>
  <c r="K1055" i="4"/>
  <c r="L1071" i="4"/>
  <c r="O1071" i="4" s="1"/>
  <c r="L1054" i="4"/>
  <c r="O1054" i="4" s="1"/>
  <c r="L1037" i="4"/>
  <c r="O1037" i="4" s="1"/>
  <c r="L1020" i="4"/>
  <c r="O1020" i="4" s="1"/>
  <c r="L1005" i="4"/>
  <c r="O1005" i="4" s="1"/>
  <c r="L986" i="4"/>
  <c r="O986" i="4" s="1"/>
  <c r="L969" i="4"/>
  <c r="O969" i="4" s="1"/>
  <c r="L952" i="4"/>
  <c r="O952" i="4" s="1"/>
  <c r="J936" i="4"/>
  <c r="J919" i="4"/>
  <c r="L902" i="4"/>
  <c r="J885" i="4"/>
  <c r="L884" i="4"/>
  <c r="O884" i="4" s="1"/>
  <c r="L867" i="4"/>
  <c r="O867" i="4" s="1"/>
  <c r="K851" i="4"/>
  <c r="L850" i="4"/>
  <c r="O850" i="4" s="1"/>
  <c r="L834" i="4"/>
  <c r="O834" i="4" s="1"/>
  <c r="J868" i="4" l="1"/>
  <c r="K1039" i="4"/>
  <c r="J1108" i="4"/>
  <c r="K988" i="4"/>
  <c r="J851" i="4"/>
  <c r="J1005" i="4"/>
  <c r="J834" i="4"/>
  <c r="K1005" i="4"/>
  <c r="K869" i="4"/>
  <c r="J1039" i="4"/>
  <c r="K1022" i="4"/>
  <c r="J1091" i="4"/>
  <c r="J1022" i="4"/>
  <c r="J1056" i="4"/>
  <c r="J903" i="4"/>
  <c r="J1073" i="4"/>
  <c r="J988" i="4"/>
  <c r="K920" i="4"/>
  <c r="K1074" i="4"/>
  <c r="J954" i="4"/>
  <c r="K971" i="4"/>
  <c r="K903" i="4"/>
  <c r="K835" i="4"/>
  <c r="J1125" i="4"/>
  <c r="O1123" i="4"/>
  <c r="L1124" i="4"/>
  <c r="L1107" i="4"/>
  <c r="O1107" i="4" s="1"/>
  <c r="L1091" i="4"/>
  <c r="O1091" i="4" s="1"/>
  <c r="K1056" i="4"/>
  <c r="L1072" i="4"/>
  <c r="O1072" i="4" s="1"/>
  <c r="L1055" i="4"/>
  <c r="O1055" i="4" s="1"/>
  <c r="L1038" i="4"/>
  <c r="O1038" i="4" s="1"/>
  <c r="L1021" i="4"/>
  <c r="O1021" i="4" s="1"/>
  <c r="L1006" i="4"/>
  <c r="O1006" i="4" s="1"/>
  <c r="L987" i="4"/>
  <c r="O987" i="4" s="1"/>
  <c r="J972" i="4"/>
  <c r="L970" i="4"/>
  <c r="O970" i="4" s="1"/>
  <c r="L953" i="4"/>
  <c r="O953" i="4" s="1"/>
  <c r="J937" i="4"/>
  <c r="J920" i="4"/>
  <c r="L903" i="4"/>
  <c r="L885" i="4"/>
  <c r="O885" i="4" s="1"/>
  <c r="K887" i="4"/>
  <c r="J886" i="4"/>
  <c r="L868" i="4"/>
  <c r="O868" i="4" s="1"/>
  <c r="K852" i="4"/>
  <c r="L851" i="4"/>
  <c r="O851" i="4" s="1"/>
  <c r="L835" i="4"/>
  <c r="O835" i="4" s="1"/>
  <c r="R703" i="4"/>
  <c r="R704" i="4"/>
  <c r="R705" i="4"/>
  <c r="R706" i="4"/>
  <c r="R707" i="4"/>
  <c r="R708" i="4"/>
  <c r="R709" i="4"/>
  <c r="R710" i="4"/>
  <c r="R711" i="4"/>
  <c r="R712" i="4"/>
  <c r="R713" i="4"/>
  <c r="R714" i="4"/>
  <c r="R715" i="4"/>
  <c r="R716" i="4"/>
  <c r="R717" i="4"/>
  <c r="R718" i="4"/>
  <c r="R702" i="4"/>
  <c r="O702" i="4"/>
  <c r="R686" i="4"/>
  <c r="R687" i="4"/>
  <c r="R688" i="4"/>
  <c r="R689" i="4"/>
  <c r="R690" i="4"/>
  <c r="R691" i="4"/>
  <c r="R692" i="4"/>
  <c r="R693" i="4"/>
  <c r="R694" i="4"/>
  <c r="R695" i="4"/>
  <c r="R696" i="4"/>
  <c r="R697" i="4"/>
  <c r="R698" i="4"/>
  <c r="R699" i="4"/>
  <c r="R700" i="4"/>
  <c r="R701" i="4"/>
  <c r="R685" i="4"/>
  <c r="O685" i="4"/>
  <c r="R669" i="4"/>
  <c r="R670" i="4"/>
  <c r="R671" i="4"/>
  <c r="R672" i="4"/>
  <c r="R673" i="4"/>
  <c r="R674" i="4"/>
  <c r="R675" i="4"/>
  <c r="R676" i="4"/>
  <c r="R677" i="4"/>
  <c r="R678" i="4"/>
  <c r="R679" i="4"/>
  <c r="R680" i="4"/>
  <c r="R681" i="4"/>
  <c r="R682" i="4"/>
  <c r="R683" i="4"/>
  <c r="R684" i="4"/>
  <c r="R668" i="4"/>
  <c r="O668" i="4"/>
  <c r="S669" i="4"/>
  <c r="S670" i="4"/>
  <c r="S671" i="4"/>
  <c r="S672" i="4"/>
  <c r="S677" i="4"/>
  <c r="S678" i="4"/>
  <c r="S679" i="4"/>
  <c r="S680" i="4"/>
  <c r="S681" i="4"/>
  <c r="S682" i="4"/>
  <c r="S683" i="4"/>
  <c r="S684" i="4"/>
  <c r="S674" i="4"/>
  <c r="S675" i="4"/>
  <c r="S676" i="4"/>
  <c r="S673" i="4"/>
  <c r="R653" i="4"/>
  <c r="R654" i="4"/>
  <c r="R655" i="4"/>
  <c r="R656" i="4"/>
  <c r="R657" i="4"/>
  <c r="R658" i="4"/>
  <c r="R659" i="4"/>
  <c r="R660" i="4"/>
  <c r="R661" i="4"/>
  <c r="R662" i="4"/>
  <c r="R663" i="4"/>
  <c r="R664" i="4"/>
  <c r="R665" i="4"/>
  <c r="R666" i="4"/>
  <c r="R667" i="4"/>
  <c r="R652" i="4"/>
  <c r="R651" i="4"/>
  <c r="O634" i="4"/>
  <c r="O651" i="4"/>
  <c r="R635" i="4"/>
  <c r="R636" i="4"/>
  <c r="R637" i="4"/>
  <c r="R638" i="4"/>
  <c r="R639" i="4"/>
  <c r="R640" i="4"/>
  <c r="R641" i="4"/>
  <c r="R642" i="4"/>
  <c r="R643" i="4"/>
  <c r="R644" i="4"/>
  <c r="R645" i="4"/>
  <c r="R646" i="4"/>
  <c r="R647" i="4"/>
  <c r="R648" i="4"/>
  <c r="R649" i="4"/>
  <c r="R650" i="4"/>
  <c r="R634" i="4"/>
  <c r="R619" i="4"/>
  <c r="R620" i="4"/>
  <c r="R621" i="4"/>
  <c r="R622" i="4"/>
  <c r="R623" i="4"/>
  <c r="R624" i="4"/>
  <c r="R625" i="4"/>
  <c r="R626" i="4"/>
  <c r="R627" i="4"/>
  <c r="R628" i="4"/>
  <c r="R629" i="4"/>
  <c r="R630" i="4"/>
  <c r="R631" i="4"/>
  <c r="R632" i="4"/>
  <c r="R633" i="4"/>
  <c r="R618" i="4"/>
  <c r="R617" i="4"/>
  <c r="O617" i="4"/>
  <c r="R616" i="4"/>
  <c r="R615" i="4"/>
  <c r="O615" i="4"/>
  <c r="O614" i="4"/>
  <c r="R614" i="4"/>
  <c r="R613" i="4"/>
  <c r="O613" i="4"/>
  <c r="K1040" i="4" l="1"/>
  <c r="K1041" i="4" s="1"/>
  <c r="J869" i="4"/>
  <c r="J870" i="4" s="1"/>
  <c r="J1109" i="4"/>
  <c r="J1110" i="4" s="1"/>
  <c r="K989" i="4"/>
  <c r="K1023" i="4"/>
  <c r="K1024" i="4" s="1"/>
  <c r="J852" i="4"/>
  <c r="J1006" i="4"/>
  <c r="K870" i="4"/>
  <c r="K1006" i="4"/>
  <c r="J1040" i="4"/>
  <c r="J1057" i="4"/>
  <c r="J835" i="4"/>
  <c r="J1092" i="4"/>
  <c r="J1023" i="4"/>
  <c r="J955" i="4"/>
  <c r="J904" i="4"/>
  <c r="J989" i="4"/>
  <c r="J1074" i="4"/>
  <c r="K921" i="4"/>
  <c r="K1075" i="4"/>
  <c r="K904" i="4"/>
  <c r="K836" i="4"/>
  <c r="K972" i="4"/>
  <c r="L1125" i="4"/>
  <c r="O1124" i="4"/>
  <c r="J1126" i="4"/>
  <c r="L1108" i="4"/>
  <c r="O1108" i="4" s="1"/>
  <c r="L1092" i="4"/>
  <c r="O1092" i="4" s="1"/>
  <c r="K1057" i="4"/>
  <c r="L1073" i="4"/>
  <c r="O1073" i="4" s="1"/>
  <c r="L1056" i="4"/>
  <c r="O1056" i="4" s="1"/>
  <c r="L1039" i="4"/>
  <c r="O1039" i="4" s="1"/>
  <c r="L1022" i="4"/>
  <c r="O1022" i="4" s="1"/>
  <c r="L1007" i="4"/>
  <c r="O1007" i="4" s="1"/>
  <c r="L988" i="4"/>
  <c r="O988" i="4" s="1"/>
  <c r="L971" i="4"/>
  <c r="O971" i="4" s="1"/>
  <c r="J973" i="4"/>
  <c r="L954" i="4"/>
  <c r="O954" i="4" s="1"/>
  <c r="J938" i="4"/>
  <c r="J921" i="4"/>
  <c r="L904" i="4"/>
  <c r="L886" i="4"/>
  <c r="O886" i="4" s="1"/>
  <c r="J887" i="4"/>
  <c r="K888" i="4"/>
  <c r="L869" i="4"/>
  <c r="O869" i="4" s="1"/>
  <c r="K853" i="4"/>
  <c r="L852" i="4"/>
  <c r="O852" i="4" s="1"/>
  <c r="L836" i="4"/>
  <c r="O836" i="4" s="1"/>
  <c r="R295" i="4"/>
  <c r="R296" i="4"/>
  <c r="R297" i="4"/>
  <c r="R298" i="4"/>
  <c r="R299" i="4"/>
  <c r="R300" i="4"/>
  <c r="R301" i="4"/>
  <c r="R302" i="4"/>
  <c r="R303" i="4"/>
  <c r="R304" i="4"/>
  <c r="R305" i="4"/>
  <c r="R306" i="4"/>
  <c r="R307" i="4"/>
  <c r="R308" i="4"/>
  <c r="R309" i="4"/>
  <c r="R310" i="4"/>
  <c r="R294" i="4"/>
  <c r="R293" i="4"/>
  <c r="R290" i="4"/>
  <c r="R274" i="4"/>
  <c r="R275" i="4"/>
  <c r="R276" i="4"/>
  <c r="R277" i="4"/>
  <c r="R278" i="4"/>
  <c r="R279" i="4"/>
  <c r="R280" i="4"/>
  <c r="R281" i="4"/>
  <c r="R282" i="4"/>
  <c r="R283" i="4"/>
  <c r="R284" i="4"/>
  <c r="R285" i="4"/>
  <c r="R286" i="4"/>
  <c r="R287" i="4"/>
  <c r="R288" i="4"/>
  <c r="R289" i="4"/>
  <c r="R273" i="4"/>
  <c r="R257" i="4"/>
  <c r="R258" i="4"/>
  <c r="R259" i="4"/>
  <c r="R260" i="4"/>
  <c r="R261" i="4"/>
  <c r="R262" i="4"/>
  <c r="R263" i="4"/>
  <c r="R264" i="4"/>
  <c r="R265" i="4"/>
  <c r="R266" i="4"/>
  <c r="R267" i="4"/>
  <c r="R268" i="4"/>
  <c r="R269" i="4"/>
  <c r="R270" i="4"/>
  <c r="R271" i="4"/>
  <c r="R272" i="4"/>
  <c r="R256" i="4"/>
  <c r="R255" i="4"/>
  <c r="R245" i="4"/>
  <c r="R246" i="4"/>
  <c r="R247" i="4"/>
  <c r="R248" i="4"/>
  <c r="R249" i="4"/>
  <c r="R250" i="4"/>
  <c r="R251" i="4"/>
  <c r="R252" i="4"/>
  <c r="R253" i="4"/>
  <c r="R254" i="4"/>
  <c r="R244" i="4"/>
  <c r="R228" i="4"/>
  <c r="R229" i="4"/>
  <c r="R230" i="4"/>
  <c r="R231" i="4"/>
  <c r="R232" i="4"/>
  <c r="R233" i="4"/>
  <c r="R234" i="4"/>
  <c r="R235" i="4"/>
  <c r="R236" i="4"/>
  <c r="R237" i="4"/>
  <c r="R238" i="4"/>
  <c r="R239" i="4"/>
  <c r="R240" i="4"/>
  <c r="R241" i="4"/>
  <c r="R242" i="4"/>
  <c r="R243" i="4"/>
  <c r="R227" i="4"/>
  <c r="R226" i="4"/>
  <c r="R210" i="4"/>
  <c r="R211" i="4"/>
  <c r="R212" i="4"/>
  <c r="R213" i="4"/>
  <c r="R214" i="4"/>
  <c r="R215" i="4"/>
  <c r="R216" i="4"/>
  <c r="R217" i="4"/>
  <c r="R218" i="4"/>
  <c r="R219" i="4"/>
  <c r="R220" i="4"/>
  <c r="R221" i="4"/>
  <c r="R222" i="4"/>
  <c r="R223" i="4"/>
  <c r="R224" i="4"/>
  <c r="R225" i="4"/>
  <c r="R209" i="4"/>
  <c r="R191" i="4"/>
  <c r="R175" i="4"/>
  <c r="R176" i="4"/>
  <c r="R177" i="4"/>
  <c r="R178" i="4"/>
  <c r="R179" i="4"/>
  <c r="R180" i="4"/>
  <c r="R181" i="4"/>
  <c r="R182" i="4"/>
  <c r="R183" i="4"/>
  <c r="R184" i="4"/>
  <c r="R185" i="4"/>
  <c r="R186" i="4"/>
  <c r="R187" i="4"/>
  <c r="R188" i="4"/>
  <c r="R189" i="4"/>
  <c r="R190" i="4"/>
  <c r="R174" i="4"/>
  <c r="R148" i="4"/>
  <c r="R149" i="4"/>
  <c r="R150" i="4"/>
  <c r="R151" i="4"/>
  <c r="R152" i="4"/>
  <c r="R153" i="4"/>
  <c r="R154" i="4"/>
  <c r="R155" i="4"/>
  <c r="R156" i="4"/>
  <c r="R147" i="4"/>
  <c r="R138" i="4"/>
  <c r="R139" i="4"/>
  <c r="R140" i="4"/>
  <c r="R141" i="4"/>
  <c r="R142" i="4"/>
  <c r="R143" i="4"/>
  <c r="R144" i="4"/>
  <c r="R145" i="4"/>
  <c r="R146" i="4"/>
  <c r="R137" i="4"/>
  <c r="R135" i="4"/>
  <c r="R134" i="4"/>
  <c r="R119" i="4"/>
  <c r="R120" i="4"/>
  <c r="R121" i="4"/>
  <c r="R122" i="4"/>
  <c r="R123" i="4"/>
  <c r="R124" i="4"/>
  <c r="R125" i="4"/>
  <c r="R126" i="4"/>
  <c r="R127" i="4"/>
  <c r="R128" i="4"/>
  <c r="R129" i="4"/>
  <c r="R130" i="4"/>
  <c r="R131" i="4"/>
  <c r="R132" i="4"/>
  <c r="R133" i="4"/>
  <c r="R118" i="4"/>
  <c r="R117" i="4"/>
  <c r="R116" i="4"/>
  <c r="R115" i="4"/>
  <c r="R100" i="4"/>
  <c r="R101" i="4"/>
  <c r="R102" i="4"/>
  <c r="R103" i="4"/>
  <c r="R104" i="4"/>
  <c r="R105" i="4"/>
  <c r="R106" i="4"/>
  <c r="R107" i="4"/>
  <c r="R108" i="4"/>
  <c r="R109" i="4"/>
  <c r="R110" i="4"/>
  <c r="R111" i="4"/>
  <c r="R112" i="4"/>
  <c r="R113" i="4"/>
  <c r="R114" i="4"/>
  <c r="R98" i="4"/>
  <c r="R99" i="4"/>
  <c r="R82" i="4"/>
  <c r="R83" i="4"/>
  <c r="R84" i="4"/>
  <c r="R85" i="4"/>
  <c r="R86" i="4"/>
  <c r="R87" i="4"/>
  <c r="R88" i="4"/>
  <c r="R89" i="4"/>
  <c r="R90" i="4"/>
  <c r="R91" i="4"/>
  <c r="R92" i="4"/>
  <c r="R93" i="4"/>
  <c r="R94" i="4"/>
  <c r="R95" i="4"/>
  <c r="R96" i="4"/>
  <c r="R97" i="4"/>
  <c r="R81" i="4"/>
  <c r="R65" i="4"/>
  <c r="R66" i="4"/>
  <c r="R67" i="4"/>
  <c r="R68" i="4"/>
  <c r="R69" i="4"/>
  <c r="R70" i="4"/>
  <c r="R71" i="4"/>
  <c r="R72" i="4"/>
  <c r="R73" i="4"/>
  <c r="R74" i="4"/>
  <c r="R75" i="4"/>
  <c r="R76" i="4"/>
  <c r="R77" i="4"/>
  <c r="R78" i="4"/>
  <c r="R79" i="4"/>
  <c r="R80" i="4"/>
  <c r="R64" i="4"/>
  <c r="R63" i="4"/>
  <c r="R48" i="4"/>
  <c r="R49" i="4"/>
  <c r="R50" i="4"/>
  <c r="R51" i="4"/>
  <c r="R52" i="4"/>
  <c r="R53" i="4"/>
  <c r="R54" i="4"/>
  <c r="R55" i="4"/>
  <c r="R56" i="4"/>
  <c r="R57" i="4"/>
  <c r="R58" i="4"/>
  <c r="R59" i="4"/>
  <c r="R60" i="4"/>
  <c r="R61" i="4"/>
  <c r="R62" i="4"/>
  <c r="R47" i="4"/>
  <c r="R31" i="4"/>
  <c r="R32" i="4"/>
  <c r="R33" i="4"/>
  <c r="R34" i="4"/>
  <c r="R35" i="4"/>
  <c r="R36" i="4"/>
  <c r="R37" i="4"/>
  <c r="R38" i="4"/>
  <c r="R39" i="4"/>
  <c r="R40" i="4"/>
  <c r="R41" i="4"/>
  <c r="R42" i="4"/>
  <c r="R43" i="4"/>
  <c r="R44" i="4"/>
  <c r="R45" i="4"/>
  <c r="R30" i="4"/>
  <c r="R29" i="4"/>
  <c r="R16" i="4"/>
  <c r="R17" i="4"/>
  <c r="R18" i="4"/>
  <c r="R19" i="4"/>
  <c r="R20" i="4"/>
  <c r="R21" i="4"/>
  <c r="R22" i="4"/>
  <c r="R23" i="4"/>
  <c r="R24" i="4"/>
  <c r="R25" i="4"/>
  <c r="R26" i="4"/>
  <c r="R27" i="4"/>
  <c r="R28" i="4"/>
  <c r="R14" i="4"/>
  <c r="R15" i="4"/>
  <c r="R13" i="4"/>
  <c r="R12" i="4"/>
  <c r="K990" i="4" l="1"/>
  <c r="K991" i="4" s="1"/>
  <c r="J1058" i="4"/>
  <c r="J1059" i="4" s="1"/>
  <c r="J853" i="4"/>
  <c r="J854" i="4" s="1"/>
  <c r="J1007" i="4"/>
  <c r="K1007" i="4"/>
  <c r="K871" i="4"/>
  <c r="K872" i="4" s="1"/>
  <c r="J836" i="4"/>
  <c r="J1041" i="4"/>
  <c r="J956" i="4"/>
  <c r="K1076" i="4"/>
  <c r="J1093" i="4"/>
  <c r="J990" i="4"/>
  <c r="J905" i="4"/>
  <c r="J1024" i="4"/>
  <c r="K922" i="4"/>
  <c r="J1075" i="4"/>
  <c r="K1042" i="4"/>
  <c r="K837" i="4"/>
  <c r="K973" i="4"/>
  <c r="K905" i="4"/>
  <c r="O1125" i="4"/>
  <c r="L1126" i="4"/>
  <c r="J1127" i="4"/>
  <c r="L1109" i="4"/>
  <c r="O1109" i="4" s="1"/>
  <c r="J1111" i="4"/>
  <c r="L1093" i="4"/>
  <c r="O1093" i="4" s="1"/>
  <c r="K1058" i="4"/>
  <c r="L1074" i="4"/>
  <c r="O1074" i="4" s="1"/>
  <c r="L1057" i="4"/>
  <c r="O1057" i="4" s="1"/>
  <c r="L1040" i="4"/>
  <c r="O1040" i="4" s="1"/>
  <c r="L1023" i="4"/>
  <c r="O1023" i="4" s="1"/>
  <c r="K1025" i="4"/>
  <c r="L1008" i="4"/>
  <c r="O1008" i="4" s="1"/>
  <c r="L989" i="4"/>
  <c r="O989" i="4" s="1"/>
  <c r="L972" i="4"/>
  <c r="O972" i="4" s="1"/>
  <c r="J974" i="4"/>
  <c r="L955" i="4"/>
  <c r="O955" i="4" s="1"/>
  <c r="J939" i="4"/>
  <c r="J922" i="4"/>
  <c r="L905" i="4"/>
  <c r="K889" i="4"/>
  <c r="L887" i="4"/>
  <c r="O887" i="4" s="1"/>
  <c r="J888" i="4"/>
  <c r="L870" i="4"/>
  <c r="O870" i="4" s="1"/>
  <c r="J871" i="4"/>
  <c r="L853" i="4"/>
  <c r="O853" i="4" s="1"/>
  <c r="K854" i="4"/>
  <c r="L837" i="4"/>
  <c r="O837" i="4" s="1"/>
  <c r="O596" i="4"/>
  <c r="T595" i="4"/>
  <c r="T594" i="4"/>
  <c r="T593" i="4"/>
  <c r="T591" i="4"/>
  <c r="T590" i="4"/>
  <c r="T589" i="4"/>
  <c r="T588" i="4"/>
  <c r="T587" i="4"/>
  <c r="T586" i="4"/>
  <c r="T585" i="4"/>
  <c r="T584" i="4"/>
  <c r="T583" i="4"/>
  <c r="T582" i="4"/>
  <c r="T581" i="4"/>
  <c r="T580" i="4"/>
  <c r="O579" i="4"/>
  <c r="J1042" i="4" l="1"/>
  <c r="J1043" i="4" s="1"/>
  <c r="J1008" i="4"/>
  <c r="K1008" i="4"/>
  <c r="J837" i="4"/>
  <c r="K1077" i="4"/>
  <c r="J957" i="4"/>
  <c r="J1076" i="4"/>
  <c r="J991" i="4"/>
  <c r="J1094" i="4"/>
  <c r="J906" i="4"/>
  <c r="J1025" i="4"/>
  <c r="K992" i="4"/>
  <c r="K923" i="4"/>
  <c r="K1043" i="4"/>
  <c r="K974" i="4"/>
  <c r="K906" i="4"/>
  <c r="K838" i="4"/>
  <c r="J1128" i="4"/>
  <c r="L1127" i="4"/>
  <c r="O1126" i="4"/>
  <c r="L1110" i="4"/>
  <c r="O1110" i="4" s="1"/>
  <c r="J1112" i="4"/>
  <c r="L1094" i="4"/>
  <c r="O1094" i="4" s="1"/>
  <c r="K1059" i="4"/>
  <c r="L1075" i="4"/>
  <c r="O1075" i="4" s="1"/>
  <c r="J1060" i="4"/>
  <c r="L1058" i="4"/>
  <c r="O1058" i="4" s="1"/>
  <c r="L1041" i="4"/>
  <c r="O1041" i="4" s="1"/>
  <c r="K1026" i="4"/>
  <c r="L1024" i="4"/>
  <c r="O1024" i="4" s="1"/>
  <c r="L1009" i="4"/>
  <c r="O1009" i="4" s="1"/>
  <c r="L990" i="4"/>
  <c r="O990" i="4" s="1"/>
  <c r="J975" i="4"/>
  <c r="L973" i="4"/>
  <c r="O973" i="4" s="1"/>
  <c r="L956" i="4"/>
  <c r="O956" i="4" s="1"/>
  <c r="J940" i="4"/>
  <c r="J923" i="4"/>
  <c r="L906" i="4"/>
  <c r="L888" i="4"/>
  <c r="O888" i="4" s="1"/>
  <c r="J889" i="4"/>
  <c r="K890" i="4"/>
  <c r="L871" i="4"/>
  <c r="O871" i="4" s="1"/>
  <c r="K873" i="4"/>
  <c r="J872" i="4"/>
  <c r="J855" i="4"/>
  <c r="L854" i="4"/>
  <c r="O854" i="4" s="1"/>
  <c r="K855" i="4"/>
  <c r="L838" i="4"/>
  <c r="O838" i="4" s="1"/>
  <c r="T578" i="4"/>
  <c r="T577" i="4"/>
  <c r="T576" i="4"/>
  <c r="T574" i="4"/>
  <c r="T573" i="4"/>
  <c r="T572" i="4"/>
  <c r="T571" i="4"/>
  <c r="T570" i="4"/>
  <c r="T569" i="4"/>
  <c r="T568" i="4"/>
  <c r="T567" i="4"/>
  <c r="T566" i="4"/>
  <c r="T565" i="4"/>
  <c r="T564" i="4"/>
  <c r="T563" i="4"/>
  <c r="O562" i="4"/>
  <c r="T561" i="4"/>
  <c r="T560" i="4"/>
  <c r="T559" i="4"/>
  <c r="T557" i="4"/>
  <c r="T556" i="4"/>
  <c r="T555" i="4"/>
  <c r="T554" i="4"/>
  <c r="T553" i="4"/>
  <c r="T552" i="4"/>
  <c r="T551" i="4"/>
  <c r="T550" i="4"/>
  <c r="T549" i="4"/>
  <c r="T548" i="4"/>
  <c r="T547" i="4"/>
  <c r="T546" i="4"/>
  <c r="O545" i="4"/>
  <c r="T544" i="4"/>
  <c r="T543" i="4"/>
  <c r="T542" i="4"/>
  <c r="T540" i="4"/>
  <c r="T539" i="4"/>
  <c r="T538" i="4"/>
  <c r="T537" i="4"/>
  <c r="T536" i="4"/>
  <c r="T535" i="4"/>
  <c r="T534" i="4"/>
  <c r="T533" i="4"/>
  <c r="T532" i="4"/>
  <c r="T531" i="4"/>
  <c r="T530" i="4"/>
  <c r="T529" i="4"/>
  <c r="T513" i="4"/>
  <c r="T514" i="4"/>
  <c r="T515" i="4"/>
  <c r="T516" i="4"/>
  <c r="T517" i="4"/>
  <c r="T518" i="4"/>
  <c r="T519" i="4"/>
  <c r="T520" i="4"/>
  <c r="T521" i="4"/>
  <c r="T522" i="4"/>
  <c r="T523" i="4"/>
  <c r="T525" i="4"/>
  <c r="T526" i="4"/>
  <c r="T527" i="4"/>
  <c r="T512" i="4"/>
  <c r="O528" i="4"/>
  <c r="T510" i="4"/>
  <c r="T495" i="4"/>
  <c r="T496" i="4"/>
  <c r="T497" i="4"/>
  <c r="T498" i="4"/>
  <c r="T499" i="4"/>
  <c r="T500" i="4"/>
  <c r="T501" i="4"/>
  <c r="T502" i="4"/>
  <c r="T503" i="4"/>
  <c r="T504" i="4"/>
  <c r="T505" i="4"/>
  <c r="T506" i="4"/>
  <c r="T508" i="4"/>
  <c r="T509" i="4"/>
  <c r="O511" i="4"/>
  <c r="S498" i="4"/>
  <c r="S499" i="4"/>
  <c r="S500" i="4"/>
  <c r="S501" i="4"/>
  <c r="S502" i="4"/>
  <c r="S503" i="4"/>
  <c r="S504" i="4"/>
  <c r="S505" i="4"/>
  <c r="S506" i="4"/>
  <c r="S507" i="4"/>
  <c r="S508" i="4"/>
  <c r="S509" i="4"/>
  <c r="S510" i="4"/>
  <c r="S496" i="4"/>
  <c r="S497" i="4"/>
  <c r="S495" i="4"/>
  <c r="S370" i="4"/>
  <c r="S371" i="4"/>
  <c r="S372" i="4"/>
  <c r="S373" i="4"/>
  <c r="S374" i="4"/>
  <c r="S375" i="4"/>
  <c r="S376" i="4"/>
  <c r="S377" i="4"/>
  <c r="S378" i="4"/>
  <c r="S379" i="4"/>
  <c r="S380" i="4"/>
  <c r="S381" i="4"/>
  <c r="S382" i="4"/>
  <c r="S368" i="4"/>
  <c r="S369" i="4"/>
  <c r="S367" i="4"/>
  <c r="O329" i="4"/>
  <c r="S330" i="4"/>
  <c r="S331" i="4"/>
  <c r="S332" i="4"/>
  <c r="S333" i="4"/>
  <c r="S334" i="4"/>
  <c r="S335" i="4"/>
  <c r="S336" i="4"/>
  <c r="S337" i="4"/>
  <c r="S338" i="4"/>
  <c r="S339" i="4"/>
  <c r="S340" i="4"/>
  <c r="S341" i="4"/>
  <c r="S343" i="4"/>
  <c r="S344" i="4"/>
  <c r="S345" i="4"/>
  <c r="S342" i="4"/>
  <c r="S171" i="4"/>
  <c r="S172" i="4"/>
  <c r="S173" i="4"/>
  <c r="S158" i="4"/>
  <c r="S159" i="4"/>
  <c r="S160" i="4"/>
  <c r="S161" i="4"/>
  <c r="S162" i="4"/>
  <c r="S163" i="4"/>
  <c r="S164" i="4"/>
  <c r="S165" i="4"/>
  <c r="S166" i="4"/>
  <c r="S167" i="4"/>
  <c r="S168" i="4"/>
  <c r="S169" i="4"/>
  <c r="S170" i="4"/>
  <c r="J1009" i="4" l="1"/>
  <c r="J1010" i="4" s="1"/>
  <c r="J838" i="4"/>
  <c r="J839" i="4" s="1"/>
  <c r="K1009" i="4"/>
  <c r="K1010" i="4" s="1"/>
  <c r="J958" i="4"/>
  <c r="J907" i="4"/>
  <c r="K1078" i="4"/>
  <c r="J1077" i="4"/>
  <c r="J992" i="4"/>
  <c r="J1095" i="4"/>
  <c r="K924" i="4"/>
  <c r="J1026" i="4"/>
  <c r="K993" i="4"/>
  <c r="K1044" i="4"/>
  <c r="K907" i="4"/>
  <c r="K839" i="4"/>
  <c r="K975" i="4"/>
  <c r="O1127" i="4"/>
  <c r="L1128" i="4"/>
  <c r="J1129" i="4"/>
  <c r="J1113" i="4"/>
  <c r="L1111" i="4"/>
  <c r="O1111" i="4" s="1"/>
  <c r="L1095" i="4"/>
  <c r="O1095" i="4" s="1"/>
  <c r="K1060" i="4"/>
  <c r="L1076" i="4"/>
  <c r="O1076" i="4" s="1"/>
  <c r="L1059" i="4"/>
  <c r="O1059" i="4" s="1"/>
  <c r="J1061" i="4"/>
  <c r="L1042" i="4"/>
  <c r="O1042" i="4" s="1"/>
  <c r="J1044" i="4"/>
  <c r="L1025" i="4"/>
  <c r="O1025" i="4" s="1"/>
  <c r="K1027" i="4"/>
  <c r="L1010" i="4"/>
  <c r="O1010" i="4" s="1"/>
  <c r="L991" i="4"/>
  <c r="O991" i="4" s="1"/>
  <c r="J976" i="4"/>
  <c r="L974" i="4"/>
  <c r="O974" i="4" s="1"/>
  <c r="L957" i="4"/>
  <c r="O957" i="4" s="1"/>
  <c r="J941" i="4"/>
  <c r="J924" i="4"/>
  <c r="L907" i="4"/>
  <c r="K891" i="4"/>
  <c r="J890" i="4"/>
  <c r="L889" i="4"/>
  <c r="O889" i="4" s="1"/>
  <c r="K874" i="4"/>
  <c r="L872" i="4"/>
  <c r="O872" i="4" s="1"/>
  <c r="J873" i="4"/>
  <c r="K856" i="4"/>
  <c r="L855" i="4"/>
  <c r="O855" i="4" s="1"/>
  <c r="J856" i="4"/>
  <c r="L839" i="4"/>
  <c r="O839" i="4" s="1"/>
  <c r="S357" i="4"/>
  <c r="S347" i="4"/>
  <c r="S348" i="4"/>
  <c r="S349" i="4"/>
  <c r="S350" i="4"/>
  <c r="S351" i="4"/>
  <c r="S352" i="4"/>
  <c r="S353" i="4"/>
  <c r="S356" i="4"/>
  <c r="S358" i="4"/>
  <c r="S359" i="4"/>
  <c r="S360" i="4"/>
  <c r="S361" i="4"/>
  <c r="S362" i="4"/>
  <c r="S355" i="4"/>
  <c r="S354" i="4"/>
  <c r="S280" i="4"/>
  <c r="S281" i="4"/>
  <c r="S282" i="4"/>
  <c r="S283" i="4"/>
  <c r="S284" i="4"/>
  <c r="S285" i="4"/>
  <c r="S286" i="4"/>
  <c r="S287" i="4"/>
  <c r="S288" i="4"/>
  <c r="S289" i="4"/>
  <c r="S274" i="4"/>
  <c r="S275" i="4"/>
  <c r="S276" i="4"/>
  <c r="S277" i="4"/>
  <c r="S279" i="4"/>
  <c r="S278" i="4"/>
  <c r="Q245" i="4"/>
  <c r="K245" i="4"/>
  <c r="L245" i="4"/>
  <c r="M245" i="4"/>
  <c r="N245" i="4"/>
  <c r="J245" i="4"/>
  <c r="J959" i="4" l="1"/>
  <c r="J960" i="4" s="1"/>
  <c r="K1079" i="4"/>
  <c r="K1080" i="4" s="1"/>
  <c r="K1045" i="4"/>
  <c r="K1046" i="4" s="1"/>
  <c r="J908" i="4"/>
  <c r="J1078" i="4"/>
  <c r="J1079" i="4" s="1"/>
  <c r="J1096" i="4"/>
  <c r="J993" i="4"/>
  <c r="K925" i="4"/>
  <c r="J1027" i="4"/>
  <c r="J1028" i="4" s="1"/>
  <c r="K994" i="4"/>
  <c r="K840" i="4"/>
  <c r="K976" i="4"/>
  <c r="K908" i="4"/>
  <c r="L1129" i="4"/>
  <c r="O1128" i="4"/>
  <c r="J1130" i="4"/>
  <c r="L1112" i="4"/>
  <c r="O1112" i="4" s="1"/>
  <c r="J1114" i="4"/>
  <c r="L1096" i="4"/>
  <c r="O1096" i="4" s="1"/>
  <c r="K1061" i="4"/>
  <c r="L1077" i="4"/>
  <c r="O1077" i="4" s="1"/>
  <c r="J1062" i="4"/>
  <c r="L1060" i="4"/>
  <c r="O1060" i="4" s="1"/>
  <c r="J1045" i="4"/>
  <c r="L1043" i="4"/>
  <c r="O1043" i="4" s="1"/>
  <c r="K1028" i="4"/>
  <c r="L1026" i="4"/>
  <c r="O1026" i="4" s="1"/>
  <c r="J1011" i="4"/>
  <c r="K1011" i="4"/>
  <c r="L1011" i="4"/>
  <c r="O1011" i="4" s="1"/>
  <c r="L992" i="4"/>
  <c r="O992" i="4" s="1"/>
  <c r="J977" i="4"/>
  <c r="L975" i="4"/>
  <c r="O975" i="4" s="1"/>
  <c r="L958" i="4"/>
  <c r="O958" i="4" s="1"/>
  <c r="J942" i="4"/>
  <c r="J925" i="4"/>
  <c r="L908" i="4"/>
  <c r="J909" i="4"/>
  <c r="J891" i="4"/>
  <c r="L890" i="4"/>
  <c r="O890" i="4" s="1"/>
  <c r="K892" i="4"/>
  <c r="L873" i="4"/>
  <c r="O873" i="4" s="1"/>
  <c r="J874" i="4"/>
  <c r="K875" i="4"/>
  <c r="J857" i="4"/>
  <c r="K857" i="4"/>
  <c r="L856" i="4"/>
  <c r="O856" i="4" s="1"/>
  <c r="J840" i="4"/>
  <c r="L840" i="4"/>
  <c r="O840" i="4" s="1"/>
  <c r="S259" i="4"/>
  <c r="S260" i="4"/>
  <c r="S261" i="4"/>
  <c r="S262" i="4"/>
  <c r="S263" i="4"/>
  <c r="S264" i="4"/>
  <c r="S265" i="4"/>
  <c r="S266" i="4"/>
  <c r="S267" i="4"/>
  <c r="S268" i="4"/>
  <c r="S269" i="4"/>
  <c r="S270" i="4"/>
  <c r="S271" i="4"/>
  <c r="S272" i="4"/>
  <c r="S258" i="4"/>
  <c r="S257" i="4"/>
  <c r="S245" i="4"/>
  <c r="S246" i="4"/>
  <c r="S247" i="4"/>
  <c r="S248" i="4"/>
  <c r="S249" i="4"/>
  <c r="S250" i="4"/>
  <c r="S251" i="4"/>
  <c r="S253" i="4"/>
  <c r="S254" i="4"/>
  <c r="S252" i="4"/>
  <c r="K926" i="4" l="1"/>
  <c r="K927" i="4" s="1"/>
  <c r="J1097" i="4"/>
  <c r="J1098" i="4" s="1"/>
  <c r="J994" i="4"/>
  <c r="J995" i="4" s="1"/>
  <c r="K995" i="4"/>
  <c r="K977" i="4"/>
  <c r="K909" i="4"/>
  <c r="K841" i="4"/>
  <c r="O1129" i="4"/>
  <c r="L1130" i="4"/>
  <c r="J1131" i="4"/>
  <c r="J1115" i="4"/>
  <c r="L1113" i="4"/>
  <c r="O1113" i="4" s="1"/>
  <c r="L1097" i="4"/>
  <c r="O1097" i="4" s="1"/>
  <c r="K1062" i="4"/>
  <c r="J1080" i="4"/>
  <c r="L1078" i="4"/>
  <c r="O1078" i="4" s="1"/>
  <c r="K1081" i="4"/>
  <c r="L1061" i="4"/>
  <c r="O1061" i="4" s="1"/>
  <c r="J1063" i="4"/>
  <c r="K1047" i="4"/>
  <c r="L1044" i="4"/>
  <c r="O1044" i="4" s="1"/>
  <c r="J1046" i="4"/>
  <c r="K1029" i="4"/>
  <c r="L1027" i="4"/>
  <c r="O1027" i="4" s="1"/>
  <c r="J1029" i="4"/>
  <c r="L1012" i="4"/>
  <c r="O1012" i="4" s="1"/>
  <c r="J1012" i="4"/>
  <c r="K1012" i="4"/>
  <c r="L993" i="4"/>
  <c r="O993" i="4" s="1"/>
  <c r="L976" i="4"/>
  <c r="O976" i="4" s="1"/>
  <c r="J978" i="4"/>
  <c r="L959" i="4"/>
  <c r="O959" i="4" s="1"/>
  <c r="J961" i="4"/>
  <c r="J943" i="4"/>
  <c r="J926" i="4"/>
  <c r="J910" i="4"/>
  <c r="L909" i="4"/>
  <c r="L891" i="4"/>
  <c r="O891" i="4" s="1"/>
  <c r="K893" i="4"/>
  <c r="J892" i="4"/>
  <c r="L874" i="4"/>
  <c r="O874" i="4" s="1"/>
  <c r="K876" i="4"/>
  <c r="J875" i="4"/>
  <c r="L857" i="4"/>
  <c r="O857" i="4" s="1"/>
  <c r="K858" i="4"/>
  <c r="J858" i="4"/>
  <c r="L841" i="4"/>
  <c r="O841" i="4" s="1"/>
  <c r="J841" i="4"/>
  <c r="O494" i="4"/>
  <c r="O493" i="4"/>
  <c r="O492" i="4"/>
  <c r="O491" i="4"/>
  <c r="O490" i="4"/>
  <c r="O489" i="4"/>
  <c r="K473" i="4"/>
  <c r="O472" i="4"/>
  <c r="O455" i="4"/>
  <c r="O438" i="4"/>
  <c r="K996" i="4" l="1"/>
  <c r="K910" i="4"/>
  <c r="K842" i="4"/>
  <c r="K978" i="4"/>
  <c r="J1132" i="4"/>
  <c r="L1131" i="4"/>
  <c r="O1130" i="4"/>
  <c r="L1114" i="4"/>
  <c r="O1114" i="4" s="1"/>
  <c r="J1116" i="4"/>
  <c r="J1099" i="4"/>
  <c r="L1098" i="4"/>
  <c r="O1098" i="4" s="1"/>
  <c r="K1063" i="4"/>
  <c r="K1082" i="4"/>
  <c r="L1079" i="4"/>
  <c r="O1079" i="4" s="1"/>
  <c r="J1081" i="4"/>
  <c r="J1064" i="4"/>
  <c r="L1062" i="4"/>
  <c r="O1062" i="4" s="1"/>
  <c r="J1047" i="4"/>
  <c r="K1048" i="4"/>
  <c r="L1045" i="4"/>
  <c r="O1045" i="4" s="1"/>
  <c r="J1030" i="4"/>
  <c r="L1028" i="4"/>
  <c r="O1028" i="4" s="1"/>
  <c r="K1030" i="4"/>
  <c r="K1013" i="4"/>
  <c r="L1013" i="4"/>
  <c r="O1013" i="4" s="1"/>
  <c r="J1013" i="4"/>
  <c r="L994" i="4"/>
  <c r="O994" i="4" s="1"/>
  <c r="J996" i="4"/>
  <c r="L977" i="4"/>
  <c r="O977" i="4" s="1"/>
  <c r="J979" i="4"/>
  <c r="L960" i="4"/>
  <c r="O960" i="4" s="1"/>
  <c r="J962" i="4"/>
  <c r="J944" i="4"/>
  <c r="J927" i="4"/>
  <c r="K928" i="4"/>
  <c r="L910" i="4"/>
  <c r="J911" i="4"/>
  <c r="L892" i="4"/>
  <c r="O892" i="4" s="1"/>
  <c r="J893" i="4"/>
  <c r="K894" i="4"/>
  <c r="J876" i="4"/>
  <c r="L875" i="4"/>
  <c r="O875" i="4" s="1"/>
  <c r="K877" i="4"/>
  <c r="J859" i="4"/>
  <c r="K859" i="4"/>
  <c r="L858" i="4"/>
  <c r="O858" i="4" s="1"/>
  <c r="L842" i="4"/>
  <c r="O842" i="4" s="1"/>
  <c r="J842" i="4"/>
  <c r="O437" i="4"/>
  <c r="J439" i="4"/>
  <c r="M439" i="4"/>
  <c r="M440" i="4" s="1"/>
  <c r="M441" i="4" s="1"/>
  <c r="M442" i="4" s="1"/>
  <c r="M443" i="4" s="1"/>
  <c r="M444" i="4" s="1"/>
  <c r="M445" i="4" s="1"/>
  <c r="M446" i="4" s="1"/>
  <c r="M447" i="4" s="1"/>
  <c r="M448" i="4" s="1"/>
  <c r="M449" i="4" s="1"/>
  <c r="M450" i="4" s="1"/>
  <c r="M451" i="4" s="1"/>
  <c r="M452" i="4" s="1"/>
  <c r="M453" i="4" s="1"/>
  <c r="M454" i="4" s="1"/>
  <c r="M456" i="4" s="1"/>
  <c r="M457" i="4" s="1"/>
  <c r="M458" i="4" s="1"/>
  <c r="M459" i="4" s="1"/>
  <c r="M460" i="4" s="1"/>
  <c r="M461" i="4" s="1"/>
  <c r="M462" i="4" s="1"/>
  <c r="M463" i="4" s="1"/>
  <c r="M464" i="4" s="1"/>
  <c r="M465" i="4" s="1"/>
  <c r="M466" i="4" s="1"/>
  <c r="M467" i="4" s="1"/>
  <c r="M468" i="4" s="1"/>
  <c r="M469" i="4" s="1"/>
  <c r="M470" i="4" s="1"/>
  <c r="M471" i="4" s="1"/>
  <c r="M473" i="4" s="1"/>
  <c r="M474" i="4" s="1"/>
  <c r="M475" i="4" s="1"/>
  <c r="M476" i="4" s="1"/>
  <c r="M477" i="4" s="1"/>
  <c r="M478" i="4" s="1"/>
  <c r="M479" i="4" s="1"/>
  <c r="M480" i="4" s="1"/>
  <c r="M481" i="4" s="1"/>
  <c r="M482" i="4" s="1"/>
  <c r="M483" i="4" s="1"/>
  <c r="M484" i="4" s="1"/>
  <c r="M485" i="4" s="1"/>
  <c r="M486" i="4" s="1"/>
  <c r="M487" i="4" s="1"/>
  <c r="M488" i="4" s="1"/>
  <c r="M495" i="4" s="1"/>
  <c r="M496" i="4" s="1"/>
  <c r="M497" i="4" s="1"/>
  <c r="M498" i="4" s="1"/>
  <c r="M499" i="4" s="1"/>
  <c r="M500" i="4" s="1"/>
  <c r="M501" i="4" s="1"/>
  <c r="M502" i="4" s="1"/>
  <c r="M503" i="4" s="1"/>
  <c r="M504" i="4" s="1"/>
  <c r="M505" i="4" s="1"/>
  <c r="M506" i="4" s="1"/>
  <c r="M507" i="4" s="1"/>
  <c r="M508" i="4" s="1"/>
  <c r="M509" i="4" s="1"/>
  <c r="M510" i="4" s="1"/>
  <c r="M512" i="4" s="1"/>
  <c r="M513" i="4" s="1"/>
  <c r="M514" i="4" s="1"/>
  <c r="M515" i="4" s="1"/>
  <c r="M516" i="4" s="1"/>
  <c r="M517" i="4" s="1"/>
  <c r="M518" i="4" s="1"/>
  <c r="M519" i="4" s="1"/>
  <c r="M520" i="4" s="1"/>
  <c r="M521" i="4" s="1"/>
  <c r="M522" i="4" s="1"/>
  <c r="M523" i="4" s="1"/>
  <c r="M524" i="4" s="1"/>
  <c r="M525" i="4" s="1"/>
  <c r="M526" i="4" s="1"/>
  <c r="M527" i="4" s="1"/>
  <c r="M529" i="4" s="1"/>
  <c r="M530" i="4" s="1"/>
  <c r="M531" i="4" s="1"/>
  <c r="M532" i="4" s="1"/>
  <c r="M533" i="4" s="1"/>
  <c r="M534" i="4" s="1"/>
  <c r="M535" i="4" s="1"/>
  <c r="M536" i="4" s="1"/>
  <c r="M537" i="4" s="1"/>
  <c r="M538" i="4" s="1"/>
  <c r="M539" i="4" s="1"/>
  <c r="M540" i="4" s="1"/>
  <c r="M541" i="4" s="1"/>
  <c r="M542" i="4" s="1"/>
  <c r="M543" i="4" s="1"/>
  <c r="M544" i="4" s="1"/>
  <c r="M546" i="4" s="1"/>
  <c r="M547" i="4" s="1"/>
  <c r="M548" i="4" s="1"/>
  <c r="M549" i="4" s="1"/>
  <c r="M550" i="4" s="1"/>
  <c r="M551" i="4" s="1"/>
  <c r="M552" i="4" s="1"/>
  <c r="M553" i="4" s="1"/>
  <c r="M554" i="4" s="1"/>
  <c r="M555" i="4" s="1"/>
  <c r="M556" i="4" s="1"/>
  <c r="M557" i="4" s="1"/>
  <c r="M558" i="4" s="1"/>
  <c r="M559" i="4" s="1"/>
  <c r="M560" i="4" s="1"/>
  <c r="M561" i="4" s="1"/>
  <c r="M563" i="4" s="1"/>
  <c r="M564" i="4" s="1"/>
  <c r="M565" i="4" s="1"/>
  <c r="M566" i="4" s="1"/>
  <c r="M567" i="4" s="1"/>
  <c r="M568" i="4" s="1"/>
  <c r="M569" i="4" s="1"/>
  <c r="M570" i="4" s="1"/>
  <c r="M571" i="4" s="1"/>
  <c r="M572" i="4" s="1"/>
  <c r="M573" i="4" s="1"/>
  <c r="M574" i="4" s="1"/>
  <c r="M575" i="4" s="1"/>
  <c r="M576" i="4" s="1"/>
  <c r="M577" i="4" s="1"/>
  <c r="M578" i="4" s="1"/>
  <c r="M580" i="4" s="1"/>
  <c r="M581" i="4" s="1"/>
  <c r="M582" i="4" s="1"/>
  <c r="M583" i="4" s="1"/>
  <c r="M584" i="4" s="1"/>
  <c r="M585" i="4" s="1"/>
  <c r="M586" i="4" s="1"/>
  <c r="M587" i="4" s="1"/>
  <c r="M588" i="4" s="1"/>
  <c r="M589" i="4" s="1"/>
  <c r="M590" i="4" s="1"/>
  <c r="M591" i="4" s="1"/>
  <c r="M592" i="4" s="1"/>
  <c r="M593" i="4" s="1"/>
  <c r="M594" i="4" s="1"/>
  <c r="M595" i="4" s="1"/>
  <c r="M597" i="4" s="1"/>
  <c r="M598" i="4" s="1"/>
  <c r="M599" i="4" s="1"/>
  <c r="M600" i="4" s="1"/>
  <c r="M601" i="4" s="1"/>
  <c r="M602" i="4" s="1"/>
  <c r="M603" i="4" s="1"/>
  <c r="M604" i="4" s="1"/>
  <c r="M605" i="4" s="1"/>
  <c r="M606" i="4" s="1"/>
  <c r="M607" i="4" s="1"/>
  <c r="M608" i="4" s="1"/>
  <c r="M609" i="4" s="1"/>
  <c r="M610" i="4" s="1"/>
  <c r="M611" i="4" s="1"/>
  <c r="M612" i="4" s="1"/>
  <c r="M618" i="4" s="1"/>
  <c r="M619" i="4" s="1"/>
  <c r="M620" i="4" s="1"/>
  <c r="M621" i="4" s="1"/>
  <c r="M622" i="4" s="1"/>
  <c r="M623" i="4" s="1"/>
  <c r="M624" i="4" s="1"/>
  <c r="M625" i="4" s="1"/>
  <c r="M626" i="4" s="1"/>
  <c r="M627" i="4" s="1"/>
  <c r="M628" i="4" s="1"/>
  <c r="M629" i="4" s="1"/>
  <c r="M630" i="4" s="1"/>
  <c r="M631" i="4" s="1"/>
  <c r="M632" i="4" s="1"/>
  <c r="M633" i="4" s="1"/>
  <c r="M635" i="4" s="1"/>
  <c r="M636" i="4" s="1"/>
  <c r="M637" i="4" s="1"/>
  <c r="M638" i="4" s="1"/>
  <c r="M639" i="4" s="1"/>
  <c r="M640" i="4" s="1"/>
  <c r="M641" i="4" s="1"/>
  <c r="M642" i="4" s="1"/>
  <c r="M643" i="4" s="1"/>
  <c r="M644" i="4" s="1"/>
  <c r="M645" i="4" s="1"/>
  <c r="M646" i="4" s="1"/>
  <c r="M647" i="4" s="1"/>
  <c r="M648" i="4" s="1"/>
  <c r="M649" i="4" s="1"/>
  <c r="M650" i="4" s="1"/>
  <c r="M652" i="4" s="1"/>
  <c r="M653" i="4" s="1"/>
  <c r="M654" i="4" s="1"/>
  <c r="M655" i="4" s="1"/>
  <c r="M656" i="4" s="1"/>
  <c r="M657" i="4" s="1"/>
  <c r="M658" i="4" s="1"/>
  <c r="M659" i="4" s="1"/>
  <c r="M660" i="4" s="1"/>
  <c r="M661" i="4" s="1"/>
  <c r="M662" i="4" s="1"/>
  <c r="M663" i="4" s="1"/>
  <c r="M664" i="4" s="1"/>
  <c r="M665" i="4" s="1"/>
  <c r="M666" i="4" s="1"/>
  <c r="M667" i="4" s="1"/>
  <c r="M669" i="4" s="1"/>
  <c r="M670" i="4" s="1"/>
  <c r="M671" i="4" s="1"/>
  <c r="M672" i="4" s="1"/>
  <c r="M673" i="4" s="1"/>
  <c r="M674" i="4" s="1"/>
  <c r="M675" i="4" s="1"/>
  <c r="M676" i="4" s="1"/>
  <c r="M677" i="4" s="1"/>
  <c r="M678" i="4" s="1"/>
  <c r="M679" i="4" s="1"/>
  <c r="M680" i="4" s="1"/>
  <c r="M681" i="4" s="1"/>
  <c r="M682" i="4" s="1"/>
  <c r="M683" i="4" s="1"/>
  <c r="M684" i="4" s="1"/>
  <c r="M686" i="4" s="1"/>
  <c r="M687" i="4" s="1"/>
  <c r="M688" i="4" s="1"/>
  <c r="M689" i="4" s="1"/>
  <c r="M690" i="4" s="1"/>
  <c r="M691" i="4" s="1"/>
  <c r="M692" i="4" s="1"/>
  <c r="M693" i="4" s="1"/>
  <c r="M694" i="4" s="1"/>
  <c r="M695" i="4" s="1"/>
  <c r="M696" i="4" s="1"/>
  <c r="M697" i="4" s="1"/>
  <c r="M698" i="4" s="1"/>
  <c r="M699" i="4" s="1"/>
  <c r="M700" i="4" s="1"/>
  <c r="M701" i="4" s="1"/>
  <c r="M703" i="4" s="1"/>
  <c r="M704" i="4" s="1"/>
  <c r="M705" i="4" s="1"/>
  <c r="M706" i="4" s="1"/>
  <c r="M707" i="4" s="1"/>
  <c r="M708" i="4" s="1"/>
  <c r="M709" i="4" s="1"/>
  <c r="M710" i="4" s="1"/>
  <c r="M711" i="4" s="1"/>
  <c r="M712" i="4" s="1"/>
  <c r="M713" i="4" s="1"/>
  <c r="M714" i="4" s="1"/>
  <c r="M715" i="4" s="1"/>
  <c r="M716" i="4" s="1"/>
  <c r="M717" i="4" s="1"/>
  <c r="M718" i="4" s="1"/>
  <c r="M721" i="4" s="1"/>
  <c r="M722" i="4" s="1"/>
  <c r="M723" i="4" s="1"/>
  <c r="M724" i="4" s="1"/>
  <c r="M725" i="4" s="1"/>
  <c r="M726" i="4" s="1"/>
  <c r="M727" i="4" s="1"/>
  <c r="M728" i="4" s="1"/>
  <c r="M729" i="4" s="1"/>
  <c r="M730" i="4" s="1"/>
  <c r="M731" i="4" s="1"/>
  <c r="M732" i="4" s="1"/>
  <c r="M733" i="4" s="1"/>
  <c r="M734" i="4" s="1"/>
  <c r="M735" i="4" s="1"/>
  <c r="M736" i="4" s="1"/>
  <c r="M738" i="4" s="1"/>
  <c r="M739" i="4" s="1"/>
  <c r="M740" i="4" s="1"/>
  <c r="M741" i="4" s="1"/>
  <c r="M742" i="4" s="1"/>
  <c r="M743" i="4" s="1"/>
  <c r="M744" i="4" s="1"/>
  <c r="M745" i="4" s="1"/>
  <c r="M746" i="4" s="1"/>
  <c r="M747" i="4" s="1"/>
  <c r="M748" i="4" s="1"/>
  <c r="M749" i="4" s="1"/>
  <c r="M750" i="4" s="1"/>
  <c r="M751" i="4" s="1"/>
  <c r="M752" i="4" s="1"/>
  <c r="M753" i="4" s="1"/>
  <c r="M755" i="4" s="1"/>
  <c r="M756" i="4" s="1"/>
  <c r="M757" i="4" s="1"/>
  <c r="M758" i="4" s="1"/>
  <c r="M759" i="4" s="1"/>
  <c r="M760" i="4" s="1"/>
  <c r="M761" i="4" s="1"/>
  <c r="M762" i="4" s="1"/>
  <c r="M763" i="4" s="1"/>
  <c r="M764" i="4" s="1"/>
  <c r="M765" i="4" s="1"/>
  <c r="M766" i="4" s="1"/>
  <c r="M767" i="4" s="1"/>
  <c r="M768" i="4" s="1"/>
  <c r="M769" i="4" s="1"/>
  <c r="M770" i="4" s="1"/>
  <c r="M777" i="4" s="1"/>
  <c r="M778" i="4" s="1"/>
  <c r="M779" i="4" s="1"/>
  <c r="M780" i="4" s="1"/>
  <c r="M781" i="4" s="1"/>
  <c r="M782" i="4" s="1"/>
  <c r="M783" i="4" s="1"/>
  <c r="M784" i="4" s="1"/>
  <c r="M785" i="4" s="1"/>
  <c r="M786" i="4" s="1"/>
  <c r="M787" i="4" s="1"/>
  <c r="M788" i="4" s="1"/>
  <c r="M789" i="4" s="1"/>
  <c r="M790" i="4" s="1"/>
  <c r="M791" i="4" s="1"/>
  <c r="M792" i="4" s="1"/>
  <c r="M795" i="4" s="1"/>
  <c r="M796" i="4" s="1"/>
  <c r="M797" i="4" s="1"/>
  <c r="M798" i="4" s="1"/>
  <c r="M799" i="4" s="1"/>
  <c r="M800" i="4" s="1"/>
  <c r="M801" i="4" s="1"/>
  <c r="M802" i="4" s="1"/>
  <c r="M803" i="4" s="1"/>
  <c r="M804" i="4" s="1"/>
  <c r="M805" i="4" s="1"/>
  <c r="M806" i="4" s="1"/>
  <c r="M807" i="4" s="1"/>
  <c r="M808" i="4" s="1"/>
  <c r="M809" i="4" s="1"/>
  <c r="M810" i="4" s="1"/>
  <c r="M813" i="4" s="1"/>
  <c r="M814" i="4" s="1"/>
  <c r="M815" i="4" s="1"/>
  <c r="M816" i="4" s="1"/>
  <c r="M817" i="4" s="1"/>
  <c r="M818" i="4" s="1"/>
  <c r="M819" i="4" s="1"/>
  <c r="M820" i="4" s="1"/>
  <c r="M821" i="4" s="1"/>
  <c r="M822" i="4" s="1"/>
  <c r="M823" i="4" s="1"/>
  <c r="M824" i="4" s="1"/>
  <c r="M825" i="4" s="1"/>
  <c r="M826" i="4" s="1"/>
  <c r="M827" i="4" s="1"/>
  <c r="M828" i="4" s="1"/>
  <c r="N439" i="4"/>
  <c r="N440" i="4" s="1"/>
  <c r="N441" i="4" s="1"/>
  <c r="N442" i="4" s="1"/>
  <c r="N443" i="4" s="1"/>
  <c r="N444" i="4" s="1"/>
  <c r="N445" i="4" s="1"/>
  <c r="N446" i="4" s="1"/>
  <c r="N447" i="4" s="1"/>
  <c r="N448" i="4" s="1"/>
  <c r="N449" i="4" s="1"/>
  <c r="N450" i="4" s="1"/>
  <c r="N451" i="4" s="1"/>
  <c r="N452" i="4" s="1"/>
  <c r="N453" i="4" s="1"/>
  <c r="N454" i="4" s="1"/>
  <c r="N456" i="4" s="1"/>
  <c r="N457" i="4" s="1"/>
  <c r="N458" i="4" s="1"/>
  <c r="N459" i="4" s="1"/>
  <c r="N460" i="4" s="1"/>
  <c r="N461" i="4" s="1"/>
  <c r="N462" i="4" s="1"/>
  <c r="N463" i="4" s="1"/>
  <c r="N464" i="4" s="1"/>
  <c r="N465" i="4" s="1"/>
  <c r="N466" i="4" s="1"/>
  <c r="N467" i="4" s="1"/>
  <c r="N468" i="4" s="1"/>
  <c r="N469" i="4" s="1"/>
  <c r="N470" i="4" s="1"/>
  <c r="N471" i="4" s="1"/>
  <c r="N473" i="4" s="1"/>
  <c r="N474" i="4" s="1"/>
  <c r="N475" i="4" s="1"/>
  <c r="N476" i="4" s="1"/>
  <c r="N477" i="4" s="1"/>
  <c r="N478" i="4" s="1"/>
  <c r="N479" i="4" s="1"/>
  <c r="N480" i="4" s="1"/>
  <c r="N481" i="4" s="1"/>
  <c r="N482" i="4" s="1"/>
  <c r="N483" i="4" s="1"/>
  <c r="N484" i="4" s="1"/>
  <c r="N485" i="4" s="1"/>
  <c r="N486" i="4" s="1"/>
  <c r="N487" i="4" s="1"/>
  <c r="N488" i="4" s="1"/>
  <c r="N495" i="4" s="1"/>
  <c r="N496" i="4" s="1"/>
  <c r="N497" i="4" s="1"/>
  <c r="N498" i="4" s="1"/>
  <c r="N499" i="4" s="1"/>
  <c r="N500" i="4" s="1"/>
  <c r="N501" i="4" s="1"/>
  <c r="N502" i="4" s="1"/>
  <c r="N503" i="4" s="1"/>
  <c r="N504" i="4" s="1"/>
  <c r="N505" i="4" s="1"/>
  <c r="N506" i="4" s="1"/>
  <c r="N507" i="4" s="1"/>
  <c r="N508" i="4" s="1"/>
  <c r="N509" i="4" s="1"/>
  <c r="N510" i="4" s="1"/>
  <c r="N512" i="4" s="1"/>
  <c r="N513" i="4" s="1"/>
  <c r="N514" i="4" s="1"/>
  <c r="N515" i="4" s="1"/>
  <c r="N516" i="4" s="1"/>
  <c r="N517" i="4" s="1"/>
  <c r="N518" i="4" s="1"/>
  <c r="N519" i="4" s="1"/>
  <c r="N520" i="4" s="1"/>
  <c r="N521" i="4" s="1"/>
  <c r="N522" i="4" s="1"/>
  <c r="N523" i="4" s="1"/>
  <c r="N524" i="4" s="1"/>
  <c r="N525" i="4" s="1"/>
  <c r="N526" i="4" s="1"/>
  <c r="N527" i="4" s="1"/>
  <c r="N529" i="4" s="1"/>
  <c r="N530" i="4" s="1"/>
  <c r="N531" i="4" s="1"/>
  <c r="N532" i="4" s="1"/>
  <c r="N533" i="4" s="1"/>
  <c r="N534" i="4" s="1"/>
  <c r="N535" i="4" s="1"/>
  <c r="N536" i="4" s="1"/>
  <c r="N537" i="4" s="1"/>
  <c r="N538" i="4" s="1"/>
  <c r="N539" i="4" s="1"/>
  <c r="N540" i="4" s="1"/>
  <c r="N541" i="4" s="1"/>
  <c r="N542" i="4" s="1"/>
  <c r="N543" i="4" s="1"/>
  <c r="N544" i="4" s="1"/>
  <c r="N546" i="4" s="1"/>
  <c r="N547" i="4" s="1"/>
  <c r="N548" i="4" s="1"/>
  <c r="N549" i="4" s="1"/>
  <c r="N550" i="4" s="1"/>
  <c r="N551" i="4" s="1"/>
  <c r="N552" i="4" s="1"/>
  <c r="N553" i="4" s="1"/>
  <c r="N554" i="4" s="1"/>
  <c r="N555" i="4" s="1"/>
  <c r="N556" i="4" s="1"/>
  <c r="N557" i="4" s="1"/>
  <c r="N558" i="4" s="1"/>
  <c r="N559" i="4" s="1"/>
  <c r="N560" i="4" s="1"/>
  <c r="N561" i="4" s="1"/>
  <c r="N563" i="4" s="1"/>
  <c r="N564" i="4" s="1"/>
  <c r="N565" i="4" s="1"/>
  <c r="N566" i="4" s="1"/>
  <c r="N567" i="4" s="1"/>
  <c r="N568" i="4" s="1"/>
  <c r="N569" i="4" s="1"/>
  <c r="N570" i="4" s="1"/>
  <c r="N571" i="4" s="1"/>
  <c r="N572" i="4" s="1"/>
  <c r="N573" i="4" s="1"/>
  <c r="N574" i="4" s="1"/>
  <c r="N575" i="4" s="1"/>
  <c r="N576" i="4" s="1"/>
  <c r="N577" i="4" s="1"/>
  <c r="N578" i="4" s="1"/>
  <c r="N580" i="4" s="1"/>
  <c r="N581" i="4" s="1"/>
  <c r="N582" i="4" s="1"/>
  <c r="N583" i="4" s="1"/>
  <c r="N584" i="4" s="1"/>
  <c r="N585" i="4" s="1"/>
  <c r="N586" i="4" s="1"/>
  <c r="N587" i="4" s="1"/>
  <c r="N588" i="4" s="1"/>
  <c r="N589" i="4" s="1"/>
  <c r="N590" i="4" s="1"/>
  <c r="N591" i="4" s="1"/>
  <c r="N592" i="4" s="1"/>
  <c r="N593" i="4" s="1"/>
  <c r="N594" i="4" s="1"/>
  <c r="N595" i="4" s="1"/>
  <c r="N597" i="4" s="1"/>
  <c r="N598" i="4" s="1"/>
  <c r="N599" i="4" s="1"/>
  <c r="N600" i="4" s="1"/>
  <c r="N601" i="4" s="1"/>
  <c r="N602" i="4" s="1"/>
  <c r="N603" i="4" s="1"/>
  <c r="N604" i="4" s="1"/>
  <c r="N605" i="4" s="1"/>
  <c r="N606" i="4" s="1"/>
  <c r="N607" i="4" s="1"/>
  <c r="N608" i="4" s="1"/>
  <c r="N609" i="4" s="1"/>
  <c r="N610" i="4" s="1"/>
  <c r="N611" i="4" s="1"/>
  <c r="N612" i="4" s="1"/>
  <c r="N618" i="4" s="1"/>
  <c r="N619" i="4" s="1"/>
  <c r="N620" i="4" s="1"/>
  <c r="N621" i="4" s="1"/>
  <c r="N622" i="4" s="1"/>
  <c r="N623" i="4" s="1"/>
  <c r="N624" i="4" s="1"/>
  <c r="N625" i="4" s="1"/>
  <c r="N626" i="4" s="1"/>
  <c r="N627" i="4" s="1"/>
  <c r="N628" i="4" s="1"/>
  <c r="N629" i="4" s="1"/>
  <c r="N630" i="4" s="1"/>
  <c r="N631" i="4" s="1"/>
  <c r="N632" i="4" s="1"/>
  <c r="N633" i="4" s="1"/>
  <c r="N635" i="4" s="1"/>
  <c r="N636" i="4" s="1"/>
  <c r="N637" i="4" s="1"/>
  <c r="N638" i="4" s="1"/>
  <c r="N639" i="4" s="1"/>
  <c r="N640" i="4" s="1"/>
  <c r="N641" i="4" s="1"/>
  <c r="N642" i="4" s="1"/>
  <c r="N643" i="4" s="1"/>
  <c r="N644" i="4" s="1"/>
  <c r="N645" i="4" s="1"/>
  <c r="N646" i="4" s="1"/>
  <c r="N647" i="4" s="1"/>
  <c r="N648" i="4" s="1"/>
  <c r="N649" i="4" s="1"/>
  <c r="N650" i="4" s="1"/>
  <c r="N652" i="4" s="1"/>
  <c r="N653" i="4" s="1"/>
  <c r="N654" i="4" s="1"/>
  <c r="N655" i="4" s="1"/>
  <c r="N656" i="4" s="1"/>
  <c r="N657" i="4" s="1"/>
  <c r="N658" i="4" s="1"/>
  <c r="N659" i="4" s="1"/>
  <c r="N660" i="4" s="1"/>
  <c r="N661" i="4" s="1"/>
  <c r="N662" i="4" s="1"/>
  <c r="N663" i="4" s="1"/>
  <c r="N664" i="4" s="1"/>
  <c r="N665" i="4" s="1"/>
  <c r="N666" i="4" s="1"/>
  <c r="N667" i="4" s="1"/>
  <c r="N669" i="4" s="1"/>
  <c r="N670" i="4" s="1"/>
  <c r="N671" i="4" s="1"/>
  <c r="N672" i="4" s="1"/>
  <c r="N673" i="4" s="1"/>
  <c r="N674" i="4" s="1"/>
  <c r="N675" i="4" s="1"/>
  <c r="N676" i="4" s="1"/>
  <c r="N677" i="4" s="1"/>
  <c r="N678" i="4" s="1"/>
  <c r="N679" i="4" s="1"/>
  <c r="N680" i="4" s="1"/>
  <c r="N681" i="4" s="1"/>
  <c r="N682" i="4" s="1"/>
  <c r="N683" i="4" s="1"/>
  <c r="N684" i="4" s="1"/>
  <c r="N686" i="4" s="1"/>
  <c r="N687" i="4" s="1"/>
  <c r="N688" i="4" s="1"/>
  <c r="N689" i="4" s="1"/>
  <c r="N690" i="4" s="1"/>
  <c r="N691" i="4" s="1"/>
  <c r="N692" i="4" s="1"/>
  <c r="N693" i="4" s="1"/>
  <c r="N694" i="4" s="1"/>
  <c r="N695" i="4" s="1"/>
  <c r="N696" i="4" s="1"/>
  <c r="N697" i="4" s="1"/>
  <c r="N698" i="4" s="1"/>
  <c r="N699" i="4" s="1"/>
  <c r="N700" i="4" s="1"/>
  <c r="N701" i="4" s="1"/>
  <c r="N703" i="4" s="1"/>
  <c r="N704" i="4" s="1"/>
  <c r="N705" i="4" s="1"/>
  <c r="N706" i="4" s="1"/>
  <c r="N707" i="4" s="1"/>
  <c r="N708" i="4" s="1"/>
  <c r="N709" i="4" s="1"/>
  <c r="N710" i="4" s="1"/>
  <c r="N711" i="4" s="1"/>
  <c r="N712" i="4" s="1"/>
  <c r="N713" i="4" s="1"/>
  <c r="N714" i="4" s="1"/>
  <c r="N715" i="4" s="1"/>
  <c r="N716" i="4" s="1"/>
  <c r="N717" i="4" s="1"/>
  <c r="N718" i="4" s="1"/>
  <c r="N721" i="4" s="1"/>
  <c r="N722" i="4" s="1"/>
  <c r="N723" i="4" s="1"/>
  <c r="N724" i="4" s="1"/>
  <c r="N725" i="4" s="1"/>
  <c r="N726" i="4" s="1"/>
  <c r="N727" i="4" s="1"/>
  <c r="N728" i="4" s="1"/>
  <c r="N729" i="4" s="1"/>
  <c r="N730" i="4" s="1"/>
  <c r="N731" i="4" s="1"/>
  <c r="N732" i="4" s="1"/>
  <c r="N733" i="4" s="1"/>
  <c r="N734" i="4" s="1"/>
  <c r="N735" i="4" s="1"/>
  <c r="N736" i="4" s="1"/>
  <c r="N738" i="4" s="1"/>
  <c r="N739" i="4" s="1"/>
  <c r="N740" i="4" s="1"/>
  <c r="N741" i="4" s="1"/>
  <c r="N742" i="4" s="1"/>
  <c r="N743" i="4" s="1"/>
  <c r="N744" i="4" s="1"/>
  <c r="N745" i="4" s="1"/>
  <c r="N746" i="4" s="1"/>
  <c r="N747" i="4" s="1"/>
  <c r="N748" i="4" s="1"/>
  <c r="N749" i="4" s="1"/>
  <c r="N750" i="4" s="1"/>
  <c r="N751" i="4" s="1"/>
  <c r="N752" i="4" s="1"/>
  <c r="N753" i="4" s="1"/>
  <c r="N755" i="4" s="1"/>
  <c r="N756" i="4" s="1"/>
  <c r="N757" i="4" s="1"/>
  <c r="N758" i="4" s="1"/>
  <c r="N759" i="4" s="1"/>
  <c r="N760" i="4" s="1"/>
  <c r="N761" i="4" s="1"/>
  <c r="N762" i="4" s="1"/>
  <c r="N763" i="4" s="1"/>
  <c r="N764" i="4" s="1"/>
  <c r="N765" i="4" s="1"/>
  <c r="N766" i="4" s="1"/>
  <c r="N767" i="4" s="1"/>
  <c r="N768" i="4" s="1"/>
  <c r="N769" i="4" s="1"/>
  <c r="N770" i="4" s="1"/>
  <c r="N777" i="4" s="1"/>
  <c r="N778" i="4" s="1"/>
  <c r="N779" i="4" s="1"/>
  <c r="N780" i="4" s="1"/>
  <c r="N781" i="4" s="1"/>
  <c r="N782" i="4" s="1"/>
  <c r="N783" i="4" s="1"/>
  <c r="N784" i="4" s="1"/>
  <c r="N785" i="4" s="1"/>
  <c r="N786" i="4" s="1"/>
  <c r="N787" i="4" s="1"/>
  <c r="N788" i="4" s="1"/>
  <c r="N789" i="4" s="1"/>
  <c r="N790" i="4" s="1"/>
  <c r="N791" i="4" s="1"/>
  <c r="N792" i="4" s="1"/>
  <c r="N795" i="4" s="1"/>
  <c r="N796" i="4" s="1"/>
  <c r="N797" i="4" s="1"/>
  <c r="N798" i="4" s="1"/>
  <c r="N799" i="4" s="1"/>
  <c r="N800" i="4" s="1"/>
  <c r="N801" i="4" s="1"/>
  <c r="N802" i="4" s="1"/>
  <c r="N803" i="4" s="1"/>
  <c r="N804" i="4" s="1"/>
  <c r="N805" i="4" s="1"/>
  <c r="N806" i="4" s="1"/>
  <c r="N807" i="4" s="1"/>
  <c r="N808" i="4" s="1"/>
  <c r="N809" i="4" s="1"/>
  <c r="N810" i="4" s="1"/>
  <c r="N813" i="4" s="1"/>
  <c r="N814" i="4" s="1"/>
  <c r="N815" i="4" s="1"/>
  <c r="N816" i="4" s="1"/>
  <c r="N817" i="4" s="1"/>
  <c r="N818" i="4" s="1"/>
  <c r="N819" i="4" s="1"/>
  <c r="N820" i="4" s="1"/>
  <c r="N821" i="4" s="1"/>
  <c r="N822" i="4" s="1"/>
  <c r="N823" i="4" s="1"/>
  <c r="N824" i="4" s="1"/>
  <c r="N825" i="4" s="1"/>
  <c r="N826" i="4" s="1"/>
  <c r="N827" i="4" s="1"/>
  <c r="N828" i="4" s="1"/>
  <c r="D439" i="4"/>
  <c r="D440" i="4" s="1"/>
  <c r="D441" i="4" s="1"/>
  <c r="D442" i="4" s="1"/>
  <c r="D443" i="4" s="1"/>
  <c r="D444" i="4" s="1"/>
  <c r="D445" i="4" s="1"/>
  <c r="D446" i="4" s="1"/>
  <c r="D447" i="4" s="1"/>
  <c r="D448" i="4" s="1"/>
  <c r="D449" i="4" s="1"/>
  <c r="D450" i="4" s="1"/>
  <c r="D451" i="4" s="1"/>
  <c r="D452" i="4" s="1"/>
  <c r="D453" i="4" s="1"/>
  <c r="D454" i="4" s="1"/>
  <c r="D456" i="4" s="1"/>
  <c r="D457" i="4" s="1"/>
  <c r="D458" i="4" s="1"/>
  <c r="D459" i="4" s="1"/>
  <c r="D460" i="4" s="1"/>
  <c r="D461" i="4" s="1"/>
  <c r="D462" i="4" s="1"/>
  <c r="D463" i="4" s="1"/>
  <c r="D464" i="4" s="1"/>
  <c r="D465" i="4" s="1"/>
  <c r="D466" i="4" s="1"/>
  <c r="D467" i="4" s="1"/>
  <c r="D468" i="4" s="1"/>
  <c r="D469" i="4" s="1"/>
  <c r="D470" i="4" s="1"/>
  <c r="D471" i="4" s="1"/>
  <c r="D473" i="4" s="1"/>
  <c r="D474" i="4" s="1"/>
  <c r="D475" i="4" s="1"/>
  <c r="D476" i="4" s="1"/>
  <c r="D477" i="4" s="1"/>
  <c r="D478" i="4" s="1"/>
  <c r="D479" i="4" s="1"/>
  <c r="D480" i="4" s="1"/>
  <c r="D481" i="4" s="1"/>
  <c r="D482" i="4" s="1"/>
  <c r="D483" i="4" s="1"/>
  <c r="D484" i="4" s="1"/>
  <c r="D485" i="4" s="1"/>
  <c r="D486" i="4" s="1"/>
  <c r="D487" i="4" s="1"/>
  <c r="D488" i="4" s="1"/>
  <c r="D491" i="4" s="1"/>
  <c r="Q439" i="4"/>
  <c r="Q440" i="4" s="1"/>
  <c r="Q441" i="4" s="1"/>
  <c r="Q442" i="4" s="1"/>
  <c r="Q443" i="4" s="1"/>
  <c r="Q444" i="4" s="1"/>
  <c r="Q445" i="4" s="1"/>
  <c r="Q446" i="4" s="1"/>
  <c r="Q447" i="4" s="1"/>
  <c r="Q448" i="4" s="1"/>
  <c r="Q449" i="4" s="1"/>
  <c r="Q450" i="4" s="1"/>
  <c r="Q451" i="4" s="1"/>
  <c r="Q452" i="4" s="1"/>
  <c r="Q453" i="4" s="1"/>
  <c r="Q454" i="4" s="1"/>
  <c r="Q456" i="4" s="1"/>
  <c r="Q457" i="4" s="1"/>
  <c r="Q458" i="4" s="1"/>
  <c r="Q459" i="4" s="1"/>
  <c r="Q460" i="4" s="1"/>
  <c r="Q461" i="4" s="1"/>
  <c r="Q462" i="4" s="1"/>
  <c r="Q463" i="4" s="1"/>
  <c r="Q464" i="4" s="1"/>
  <c r="Q465" i="4" s="1"/>
  <c r="Q466" i="4" s="1"/>
  <c r="Q467" i="4" s="1"/>
  <c r="Q468" i="4" s="1"/>
  <c r="Q469" i="4" s="1"/>
  <c r="Q470" i="4" s="1"/>
  <c r="Q471" i="4" s="1"/>
  <c r="Q473" i="4" s="1"/>
  <c r="Q474" i="4" s="1"/>
  <c r="Q475" i="4" s="1"/>
  <c r="Q476" i="4" s="1"/>
  <c r="Q477" i="4" s="1"/>
  <c r="Q478" i="4" s="1"/>
  <c r="Q479" i="4" s="1"/>
  <c r="Q480" i="4" s="1"/>
  <c r="Q481" i="4" s="1"/>
  <c r="Q482" i="4" s="1"/>
  <c r="Q483" i="4" s="1"/>
  <c r="Q484" i="4" s="1"/>
  <c r="Q485" i="4" s="1"/>
  <c r="Q486" i="4" s="1"/>
  <c r="Q487" i="4" s="1"/>
  <c r="Q488" i="4" s="1"/>
  <c r="Q495" i="4" s="1"/>
  <c r="Q496" i="4" s="1"/>
  <c r="Q497" i="4" s="1"/>
  <c r="Q498" i="4" s="1"/>
  <c r="Q499" i="4" s="1"/>
  <c r="Q500" i="4" s="1"/>
  <c r="Q501" i="4" s="1"/>
  <c r="Q502" i="4" s="1"/>
  <c r="Q503" i="4" s="1"/>
  <c r="Q504" i="4" s="1"/>
  <c r="Q505" i="4" s="1"/>
  <c r="Q506" i="4" s="1"/>
  <c r="Q507" i="4" s="1"/>
  <c r="Q508" i="4" s="1"/>
  <c r="Q509" i="4" s="1"/>
  <c r="Q510" i="4" s="1"/>
  <c r="Q512" i="4" s="1"/>
  <c r="Q513" i="4" s="1"/>
  <c r="Q514" i="4" s="1"/>
  <c r="Q515" i="4" s="1"/>
  <c r="Q516" i="4" s="1"/>
  <c r="Q517" i="4" s="1"/>
  <c r="Q518" i="4" s="1"/>
  <c r="Q519" i="4" s="1"/>
  <c r="Q520" i="4" s="1"/>
  <c r="Q521" i="4" s="1"/>
  <c r="Q522" i="4" s="1"/>
  <c r="Q523" i="4" s="1"/>
  <c r="Q524" i="4" s="1"/>
  <c r="Q525" i="4" s="1"/>
  <c r="Q526" i="4" s="1"/>
  <c r="Q527" i="4" s="1"/>
  <c r="Q529" i="4" s="1"/>
  <c r="Q530" i="4" s="1"/>
  <c r="Q531" i="4" s="1"/>
  <c r="Q532" i="4" s="1"/>
  <c r="Q533" i="4" s="1"/>
  <c r="Q534" i="4" s="1"/>
  <c r="Q535" i="4" s="1"/>
  <c r="Q536" i="4" s="1"/>
  <c r="Q537" i="4" s="1"/>
  <c r="Q538" i="4" s="1"/>
  <c r="Q539" i="4" s="1"/>
  <c r="Q540" i="4" s="1"/>
  <c r="Q541" i="4" s="1"/>
  <c r="Q542" i="4" s="1"/>
  <c r="Q543" i="4" s="1"/>
  <c r="Q544" i="4" s="1"/>
  <c r="Q546" i="4" s="1"/>
  <c r="Q547" i="4" s="1"/>
  <c r="Q548" i="4" s="1"/>
  <c r="Q549" i="4" s="1"/>
  <c r="Q550" i="4" s="1"/>
  <c r="Q551" i="4" s="1"/>
  <c r="Q552" i="4" s="1"/>
  <c r="Q553" i="4" s="1"/>
  <c r="Q554" i="4" s="1"/>
  <c r="Q555" i="4" s="1"/>
  <c r="Q556" i="4" s="1"/>
  <c r="Q557" i="4" s="1"/>
  <c r="Q558" i="4" s="1"/>
  <c r="Q559" i="4" s="1"/>
  <c r="Q560" i="4" s="1"/>
  <c r="Q561" i="4" s="1"/>
  <c r="Q563" i="4" s="1"/>
  <c r="Q564" i="4" s="1"/>
  <c r="Q565" i="4" s="1"/>
  <c r="Q566" i="4" s="1"/>
  <c r="Q567" i="4" s="1"/>
  <c r="Q568" i="4" s="1"/>
  <c r="Q569" i="4" s="1"/>
  <c r="Q570" i="4" s="1"/>
  <c r="Q571" i="4" s="1"/>
  <c r="Q572" i="4" s="1"/>
  <c r="Q573" i="4" s="1"/>
  <c r="Q574" i="4" s="1"/>
  <c r="Q575" i="4" s="1"/>
  <c r="Q576" i="4" s="1"/>
  <c r="Q577" i="4" s="1"/>
  <c r="Q578" i="4" s="1"/>
  <c r="Q580" i="4" s="1"/>
  <c r="Q581" i="4" s="1"/>
  <c r="Q582" i="4" s="1"/>
  <c r="Q583" i="4" s="1"/>
  <c r="Q584" i="4" s="1"/>
  <c r="Q585" i="4" s="1"/>
  <c r="Q586" i="4" s="1"/>
  <c r="Q587" i="4" s="1"/>
  <c r="Q588" i="4" s="1"/>
  <c r="Q589" i="4" s="1"/>
  <c r="Q590" i="4" s="1"/>
  <c r="Q591" i="4" s="1"/>
  <c r="Q592" i="4" s="1"/>
  <c r="Q593" i="4" s="1"/>
  <c r="Q594" i="4" s="1"/>
  <c r="Q595" i="4" s="1"/>
  <c r="Q597" i="4" s="1"/>
  <c r="Q598" i="4" s="1"/>
  <c r="Q599" i="4" s="1"/>
  <c r="Q600" i="4" s="1"/>
  <c r="Q601" i="4" s="1"/>
  <c r="Q602" i="4" s="1"/>
  <c r="Q603" i="4" s="1"/>
  <c r="Q604" i="4" s="1"/>
  <c r="Q605" i="4" s="1"/>
  <c r="Q606" i="4" s="1"/>
  <c r="Q607" i="4" s="1"/>
  <c r="Q608" i="4" s="1"/>
  <c r="Q609" i="4" s="1"/>
  <c r="Q610" i="4" s="1"/>
  <c r="Q611" i="4" s="1"/>
  <c r="Q612" i="4" s="1"/>
  <c r="Q618" i="4" s="1"/>
  <c r="Q619" i="4" s="1"/>
  <c r="Q620" i="4" s="1"/>
  <c r="Q621" i="4" s="1"/>
  <c r="Q622" i="4" s="1"/>
  <c r="Q623" i="4" s="1"/>
  <c r="Q624" i="4" s="1"/>
  <c r="Q625" i="4" s="1"/>
  <c r="Q626" i="4" s="1"/>
  <c r="Q627" i="4" s="1"/>
  <c r="Q628" i="4" s="1"/>
  <c r="Q629" i="4" s="1"/>
  <c r="Q630" i="4" s="1"/>
  <c r="Q631" i="4" s="1"/>
  <c r="Q632" i="4" s="1"/>
  <c r="Q633" i="4" s="1"/>
  <c r="Q635" i="4" s="1"/>
  <c r="Q636" i="4" s="1"/>
  <c r="Q637" i="4" s="1"/>
  <c r="Q638" i="4" s="1"/>
  <c r="Q639" i="4" s="1"/>
  <c r="Q640" i="4" s="1"/>
  <c r="Q641" i="4" s="1"/>
  <c r="Q642" i="4" s="1"/>
  <c r="Q643" i="4" s="1"/>
  <c r="Q644" i="4" s="1"/>
  <c r="Q645" i="4" s="1"/>
  <c r="Q646" i="4" s="1"/>
  <c r="Q647" i="4" s="1"/>
  <c r="Q648" i="4" s="1"/>
  <c r="Q649" i="4" s="1"/>
  <c r="Q650" i="4" s="1"/>
  <c r="Q652" i="4" s="1"/>
  <c r="Q653" i="4" s="1"/>
  <c r="Q654" i="4" s="1"/>
  <c r="Q655" i="4" s="1"/>
  <c r="Q656" i="4" s="1"/>
  <c r="Q657" i="4" s="1"/>
  <c r="Q658" i="4" s="1"/>
  <c r="Q659" i="4" s="1"/>
  <c r="Q660" i="4" s="1"/>
  <c r="Q661" i="4" s="1"/>
  <c r="Q662" i="4" s="1"/>
  <c r="Q663" i="4" s="1"/>
  <c r="Q664" i="4" s="1"/>
  <c r="Q665" i="4" s="1"/>
  <c r="Q666" i="4" s="1"/>
  <c r="Q667" i="4" s="1"/>
  <c r="Q668" i="4" s="1"/>
  <c r="Q669" i="4" s="1"/>
  <c r="Q670" i="4" s="1"/>
  <c r="Q671" i="4" s="1"/>
  <c r="Q672" i="4" s="1"/>
  <c r="Q673" i="4" s="1"/>
  <c r="Q674" i="4" s="1"/>
  <c r="Q675" i="4" s="1"/>
  <c r="Q676" i="4" s="1"/>
  <c r="Q677" i="4" s="1"/>
  <c r="Q678" i="4" s="1"/>
  <c r="Q679" i="4" s="1"/>
  <c r="Q680" i="4" s="1"/>
  <c r="Q681" i="4" s="1"/>
  <c r="Q682" i="4" s="1"/>
  <c r="Q683" i="4" s="1"/>
  <c r="Q684" i="4" s="1"/>
  <c r="Q686" i="4" s="1"/>
  <c r="Q687" i="4" s="1"/>
  <c r="Q688" i="4" s="1"/>
  <c r="Q689" i="4" s="1"/>
  <c r="Q690" i="4" s="1"/>
  <c r="Q691" i="4" s="1"/>
  <c r="Q692" i="4" s="1"/>
  <c r="Q693" i="4" s="1"/>
  <c r="Q694" i="4" s="1"/>
  <c r="Q695" i="4" s="1"/>
  <c r="Q696" i="4" s="1"/>
  <c r="Q697" i="4" s="1"/>
  <c r="Q698" i="4" s="1"/>
  <c r="Q699" i="4" s="1"/>
  <c r="Q700" i="4" s="1"/>
  <c r="Q701" i="4" s="1"/>
  <c r="Q703" i="4" s="1"/>
  <c r="Q704" i="4" s="1"/>
  <c r="Q705" i="4" s="1"/>
  <c r="Q706" i="4" s="1"/>
  <c r="Q707" i="4" s="1"/>
  <c r="Q708" i="4" s="1"/>
  <c r="Q709" i="4" s="1"/>
  <c r="Q710" i="4" s="1"/>
  <c r="Q711" i="4" s="1"/>
  <c r="Q712" i="4" s="1"/>
  <c r="Q713" i="4" s="1"/>
  <c r="Q714" i="4" s="1"/>
  <c r="Q715" i="4" s="1"/>
  <c r="Q716" i="4" s="1"/>
  <c r="Q717" i="4" s="1"/>
  <c r="Q718" i="4" s="1"/>
  <c r="Q721" i="4" s="1"/>
  <c r="Q722" i="4" s="1"/>
  <c r="Q723" i="4" s="1"/>
  <c r="Q724" i="4" s="1"/>
  <c r="Q725" i="4" s="1"/>
  <c r="Q726" i="4" s="1"/>
  <c r="Q727" i="4" s="1"/>
  <c r="Q728" i="4" s="1"/>
  <c r="Q729" i="4" s="1"/>
  <c r="Q730" i="4" s="1"/>
  <c r="Q731" i="4" s="1"/>
  <c r="Q732" i="4" s="1"/>
  <c r="Q733" i="4" s="1"/>
  <c r="Q734" i="4" s="1"/>
  <c r="Q735" i="4" s="1"/>
  <c r="Q736" i="4" s="1"/>
  <c r="Q738" i="4" s="1"/>
  <c r="Q739" i="4" s="1"/>
  <c r="Q740" i="4" s="1"/>
  <c r="Q741" i="4" s="1"/>
  <c r="Q742" i="4" s="1"/>
  <c r="Q743" i="4" s="1"/>
  <c r="Q744" i="4" s="1"/>
  <c r="Q745" i="4" s="1"/>
  <c r="Q746" i="4" s="1"/>
  <c r="Q747" i="4" s="1"/>
  <c r="Q748" i="4" s="1"/>
  <c r="Q749" i="4" s="1"/>
  <c r="Q750" i="4" s="1"/>
  <c r="Q751" i="4" s="1"/>
  <c r="Q752" i="4" s="1"/>
  <c r="Q753" i="4" s="1"/>
  <c r="Q755" i="4" s="1"/>
  <c r="Q756" i="4" s="1"/>
  <c r="Q757" i="4" s="1"/>
  <c r="Q758" i="4" s="1"/>
  <c r="Q759" i="4" s="1"/>
  <c r="Q760" i="4" s="1"/>
  <c r="Q761" i="4" s="1"/>
  <c r="Q762" i="4" s="1"/>
  <c r="Q763" i="4" s="1"/>
  <c r="Q764" i="4" s="1"/>
  <c r="Q765" i="4" s="1"/>
  <c r="Q766" i="4" s="1"/>
  <c r="Q767" i="4" s="1"/>
  <c r="Q768" i="4" s="1"/>
  <c r="Q769" i="4" s="1"/>
  <c r="Q770" i="4" s="1"/>
  <c r="Q777" i="4" s="1"/>
  <c r="Q778" i="4" s="1"/>
  <c r="Q779" i="4" s="1"/>
  <c r="Q780" i="4" s="1"/>
  <c r="Q781" i="4" s="1"/>
  <c r="Q782" i="4" s="1"/>
  <c r="Q783" i="4" s="1"/>
  <c r="Q784" i="4" s="1"/>
  <c r="Q785" i="4" s="1"/>
  <c r="Q786" i="4" s="1"/>
  <c r="Q787" i="4" s="1"/>
  <c r="Q788" i="4" s="1"/>
  <c r="Q789" i="4" s="1"/>
  <c r="Q790" i="4" s="1"/>
  <c r="Q791" i="4" s="1"/>
  <c r="Q792" i="4" s="1"/>
  <c r="Q795" i="4" s="1"/>
  <c r="Q796" i="4" s="1"/>
  <c r="Q797" i="4" s="1"/>
  <c r="Q798" i="4" s="1"/>
  <c r="Q799" i="4" s="1"/>
  <c r="Q800" i="4" s="1"/>
  <c r="Q801" i="4" s="1"/>
  <c r="Q802" i="4" s="1"/>
  <c r="Q803" i="4" s="1"/>
  <c r="Q804" i="4" s="1"/>
  <c r="Q805" i="4" s="1"/>
  <c r="Q806" i="4" s="1"/>
  <c r="Q807" i="4" s="1"/>
  <c r="Q808" i="4" s="1"/>
  <c r="Q809" i="4" s="1"/>
  <c r="Q810" i="4" s="1"/>
  <c r="Q813" i="4" s="1"/>
  <c r="Q814" i="4" s="1"/>
  <c r="Q815" i="4" s="1"/>
  <c r="Q816" i="4" s="1"/>
  <c r="Q817" i="4" s="1"/>
  <c r="Q818" i="4" s="1"/>
  <c r="Q819" i="4" s="1"/>
  <c r="Q820" i="4" s="1"/>
  <c r="Q821" i="4" s="1"/>
  <c r="Q822" i="4" s="1"/>
  <c r="Q823" i="4" s="1"/>
  <c r="Q824" i="4" s="1"/>
  <c r="Q825" i="4" s="1"/>
  <c r="Q826" i="4" s="1"/>
  <c r="Q827" i="4" s="1"/>
  <c r="Q828" i="4" s="1"/>
  <c r="O420" i="4"/>
  <c r="O419" i="4"/>
  <c r="O402" i="4"/>
  <c r="O401" i="4"/>
  <c r="O400" i="4"/>
  <c r="O64" i="4"/>
  <c r="S66" i="4"/>
  <c r="S65" i="4"/>
  <c r="S68" i="4"/>
  <c r="S67" i="4"/>
  <c r="S69" i="4"/>
  <c r="S70" i="4"/>
  <c r="S71" i="4"/>
  <c r="S72" i="4"/>
  <c r="S73" i="4"/>
  <c r="S74" i="4"/>
  <c r="S75" i="4"/>
  <c r="S76" i="4"/>
  <c r="S77" i="4"/>
  <c r="S78" i="4"/>
  <c r="S79" i="4"/>
  <c r="S80" i="4"/>
  <c r="S48" i="4"/>
  <c r="S49" i="4"/>
  <c r="S50" i="4"/>
  <c r="S51" i="4"/>
  <c r="S52" i="4"/>
  <c r="S53" i="4"/>
  <c r="S54" i="4"/>
  <c r="S55" i="4"/>
  <c r="S56" i="4"/>
  <c r="S57" i="4"/>
  <c r="S58" i="4"/>
  <c r="S59" i="4"/>
  <c r="S60" i="4"/>
  <c r="S61" i="4"/>
  <c r="S62" i="4"/>
  <c r="S47" i="4"/>
  <c r="O46" i="4"/>
  <c r="S26" i="4"/>
  <c r="S27" i="4"/>
  <c r="S28" i="4"/>
  <c r="S31" i="4"/>
  <c r="S32" i="4"/>
  <c r="S33" i="4"/>
  <c r="S34" i="4"/>
  <c r="S35" i="4"/>
  <c r="S36" i="4"/>
  <c r="S37" i="4"/>
  <c r="S38" i="4"/>
  <c r="S39" i="4"/>
  <c r="S40" i="4"/>
  <c r="S41" i="4"/>
  <c r="S42" i="4"/>
  <c r="S43" i="4"/>
  <c r="S44" i="4"/>
  <c r="S45" i="4"/>
  <c r="S30" i="4"/>
  <c r="S13" i="4"/>
  <c r="S14" i="4"/>
  <c r="S15" i="4"/>
  <c r="S16" i="4"/>
  <c r="S17" i="4"/>
  <c r="S18" i="4"/>
  <c r="S19" i="4"/>
  <c r="S20" i="4"/>
  <c r="S21" i="4"/>
  <c r="S22" i="4"/>
  <c r="S23" i="4"/>
  <c r="S24" i="4"/>
  <c r="S25" i="4"/>
  <c r="N149" i="4"/>
  <c r="N150" i="4" s="1"/>
  <c r="N151" i="4" s="1"/>
  <c r="N152" i="4" s="1"/>
  <c r="N153" i="4" s="1"/>
  <c r="N154" i="4" s="1"/>
  <c r="N155" i="4" s="1"/>
  <c r="N156" i="4" s="1"/>
  <c r="Q148" i="4"/>
  <c r="Q149" i="4"/>
  <c r="Q150" i="4"/>
  <c r="Q151" i="4"/>
  <c r="Q152" i="4"/>
  <c r="Q153" i="4"/>
  <c r="Q154" i="4"/>
  <c r="Q155" i="4"/>
  <c r="Q156" i="4"/>
  <c r="Q157" i="4"/>
  <c r="O137" i="4"/>
  <c r="Q138" i="4"/>
  <c r="Q139" i="4"/>
  <c r="Q140" i="4"/>
  <c r="Q141" i="4"/>
  <c r="Q142" i="4"/>
  <c r="Q143" i="4"/>
  <c r="Q144" i="4"/>
  <c r="Q145" i="4"/>
  <c r="Q146" i="4"/>
  <c r="O383" i="4"/>
  <c r="D384" i="4"/>
  <c r="O365" i="4"/>
  <c r="O364" i="4"/>
  <c r="O346" i="4"/>
  <c r="O328" i="4"/>
  <c r="O363" i="4"/>
  <c r="O311" i="4"/>
  <c r="S312" i="4"/>
  <c r="S313" i="4"/>
  <c r="S314" i="4"/>
  <c r="S315" i="4"/>
  <c r="S316" i="4"/>
  <c r="S317" i="4"/>
  <c r="S318" i="4"/>
  <c r="S319" i="4"/>
  <c r="S320" i="4"/>
  <c r="S321" i="4"/>
  <c r="S322" i="4"/>
  <c r="S323" i="4"/>
  <c r="S325" i="4"/>
  <c r="S326" i="4"/>
  <c r="S327" i="4"/>
  <c r="S324" i="4"/>
  <c r="O294" i="4"/>
  <c r="O174" i="4"/>
  <c r="S295" i="4"/>
  <c r="S296" i="4"/>
  <c r="S297" i="4"/>
  <c r="S298" i="4"/>
  <c r="S299" i="4"/>
  <c r="S300" i="4"/>
  <c r="S301" i="4"/>
  <c r="S302" i="4"/>
  <c r="S303" i="4"/>
  <c r="S304" i="4"/>
  <c r="S305" i="4"/>
  <c r="S306" i="4"/>
  <c r="S308" i="4"/>
  <c r="S309" i="4"/>
  <c r="S310" i="4"/>
  <c r="S307" i="4"/>
  <c r="O293" i="4"/>
  <c r="O292" i="4"/>
  <c r="O291" i="4"/>
  <c r="O290" i="4"/>
  <c r="O273" i="4"/>
  <c r="O256" i="4"/>
  <c r="K997" i="4" l="1"/>
  <c r="J440" i="4"/>
  <c r="K843" i="4"/>
  <c r="K979" i="4"/>
  <c r="K911" i="4"/>
  <c r="O1131" i="4"/>
  <c r="L1132" i="4"/>
  <c r="J1133" i="4"/>
  <c r="L1115" i="4"/>
  <c r="O1115" i="4" s="1"/>
  <c r="J1117" i="4"/>
  <c r="L1099" i="4"/>
  <c r="O1099" i="4" s="1"/>
  <c r="J1100" i="4"/>
  <c r="K1064" i="4"/>
  <c r="J1082" i="4"/>
  <c r="L1080" i="4"/>
  <c r="O1080" i="4" s="1"/>
  <c r="K1083" i="4"/>
  <c r="L1063" i="4"/>
  <c r="O1063" i="4" s="1"/>
  <c r="J1065" i="4"/>
  <c r="L1046" i="4"/>
  <c r="O1046" i="4" s="1"/>
  <c r="K1049" i="4"/>
  <c r="J1048" i="4"/>
  <c r="L1029" i="4"/>
  <c r="O1029" i="4" s="1"/>
  <c r="K1031" i="4"/>
  <c r="J1031" i="4"/>
  <c r="K1014" i="4"/>
  <c r="J1014" i="4"/>
  <c r="L1014" i="4"/>
  <c r="O1014" i="4" s="1"/>
  <c r="J997" i="4"/>
  <c r="L995" i="4"/>
  <c r="O995" i="4" s="1"/>
  <c r="J980" i="4"/>
  <c r="L978" i="4"/>
  <c r="O978" i="4" s="1"/>
  <c r="L961" i="4"/>
  <c r="O961" i="4" s="1"/>
  <c r="J963" i="4"/>
  <c r="J945" i="4"/>
  <c r="K929" i="4"/>
  <c r="J928" i="4"/>
  <c r="J912" i="4"/>
  <c r="L911" i="4"/>
  <c r="K895" i="4"/>
  <c r="L893" i="4"/>
  <c r="O893" i="4" s="1"/>
  <c r="J894" i="4"/>
  <c r="L876" i="4"/>
  <c r="O876" i="4" s="1"/>
  <c r="K878" i="4"/>
  <c r="J877" i="4"/>
  <c r="K860" i="4"/>
  <c r="J860" i="4"/>
  <c r="L859" i="4"/>
  <c r="O859" i="4" s="1"/>
  <c r="L843" i="4"/>
  <c r="O843" i="4" s="1"/>
  <c r="J843" i="4"/>
  <c r="D495" i="4"/>
  <c r="D496" i="4" s="1"/>
  <c r="D497" i="4" s="1"/>
  <c r="D498" i="4" s="1"/>
  <c r="D499" i="4" s="1"/>
  <c r="D500" i="4" s="1"/>
  <c r="D501" i="4" s="1"/>
  <c r="D502" i="4" s="1"/>
  <c r="D503" i="4" s="1"/>
  <c r="D504" i="4" s="1"/>
  <c r="D505" i="4" s="1"/>
  <c r="D506" i="4" s="1"/>
  <c r="D507" i="4" s="1"/>
  <c r="D508" i="4" s="1"/>
  <c r="D509" i="4" s="1"/>
  <c r="D510" i="4" s="1"/>
  <c r="D512" i="4" s="1"/>
  <c r="D513" i="4" s="1"/>
  <c r="D514" i="4" s="1"/>
  <c r="D515" i="4" s="1"/>
  <c r="D516" i="4" s="1"/>
  <c r="D517" i="4" s="1"/>
  <c r="D518" i="4" s="1"/>
  <c r="D519" i="4" s="1"/>
  <c r="D520" i="4" s="1"/>
  <c r="D521" i="4" s="1"/>
  <c r="D522" i="4" s="1"/>
  <c r="D523" i="4" s="1"/>
  <c r="D524" i="4" s="1"/>
  <c r="D525" i="4" s="1"/>
  <c r="D526" i="4" s="1"/>
  <c r="D527" i="4" s="1"/>
  <c r="D529" i="4" s="1"/>
  <c r="D530" i="4" s="1"/>
  <c r="D531" i="4" s="1"/>
  <c r="D532" i="4" s="1"/>
  <c r="D533" i="4" s="1"/>
  <c r="D534" i="4" s="1"/>
  <c r="D535" i="4" s="1"/>
  <c r="D536" i="4" s="1"/>
  <c r="D537" i="4" s="1"/>
  <c r="D538" i="4" s="1"/>
  <c r="D539" i="4" s="1"/>
  <c r="D540" i="4" s="1"/>
  <c r="D541" i="4" s="1"/>
  <c r="D542" i="4" s="1"/>
  <c r="D543" i="4" s="1"/>
  <c r="D544" i="4" s="1"/>
  <c r="D546" i="4" s="1"/>
  <c r="D547" i="4" s="1"/>
  <c r="D548" i="4" s="1"/>
  <c r="D549" i="4" s="1"/>
  <c r="D550" i="4" s="1"/>
  <c r="D551" i="4" s="1"/>
  <c r="D552" i="4" s="1"/>
  <c r="D553" i="4" s="1"/>
  <c r="D554" i="4" s="1"/>
  <c r="D555" i="4" s="1"/>
  <c r="D556" i="4" s="1"/>
  <c r="D557" i="4" s="1"/>
  <c r="D558" i="4" s="1"/>
  <c r="D559" i="4" s="1"/>
  <c r="D560" i="4" s="1"/>
  <c r="D561" i="4" s="1"/>
  <c r="D563" i="4" s="1"/>
  <c r="D564" i="4" s="1"/>
  <c r="D565" i="4" s="1"/>
  <c r="D566" i="4" s="1"/>
  <c r="D567" i="4" s="1"/>
  <c r="D568" i="4" s="1"/>
  <c r="D569" i="4" s="1"/>
  <c r="D570" i="4" s="1"/>
  <c r="D571" i="4" s="1"/>
  <c r="D572" i="4" s="1"/>
  <c r="D573" i="4" s="1"/>
  <c r="D574" i="4" s="1"/>
  <c r="D575" i="4" s="1"/>
  <c r="D576" i="4" s="1"/>
  <c r="D577" i="4" s="1"/>
  <c r="D578" i="4" s="1"/>
  <c r="D580" i="4" s="1"/>
  <c r="D581" i="4" s="1"/>
  <c r="D582" i="4" s="1"/>
  <c r="D583" i="4" s="1"/>
  <c r="D584" i="4" s="1"/>
  <c r="D585" i="4" s="1"/>
  <c r="D586" i="4" s="1"/>
  <c r="D587" i="4" s="1"/>
  <c r="D588" i="4" s="1"/>
  <c r="D589" i="4" s="1"/>
  <c r="D590" i="4" s="1"/>
  <c r="D591" i="4" s="1"/>
  <c r="D592" i="4" s="1"/>
  <c r="D593" i="4" s="1"/>
  <c r="D594" i="4" s="1"/>
  <c r="D595" i="4" s="1"/>
  <c r="D597" i="4" s="1"/>
  <c r="D598" i="4" s="1"/>
  <c r="D599" i="4" s="1"/>
  <c r="D600" i="4" s="1"/>
  <c r="D601" i="4" s="1"/>
  <c r="D602" i="4" s="1"/>
  <c r="D603" i="4" s="1"/>
  <c r="D604" i="4" s="1"/>
  <c r="D605" i="4" s="1"/>
  <c r="D606" i="4" s="1"/>
  <c r="D607" i="4" s="1"/>
  <c r="D608" i="4" s="1"/>
  <c r="D609" i="4" s="1"/>
  <c r="D610" i="4" s="1"/>
  <c r="D611" i="4" s="1"/>
  <c r="D612" i="4" s="1"/>
  <c r="D618" i="4" s="1"/>
  <c r="D619" i="4" s="1"/>
  <c r="D620" i="4" s="1"/>
  <c r="D621" i="4" s="1"/>
  <c r="D622" i="4" s="1"/>
  <c r="D623" i="4" s="1"/>
  <c r="D624" i="4" s="1"/>
  <c r="D625" i="4" s="1"/>
  <c r="D626" i="4" s="1"/>
  <c r="D627" i="4" s="1"/>
  <c r="D628" i="4" s="1"/>
  <c r="D629" i="4" s="1"/>
  <c r="D630" i="4" s="1"/>
  <c r="D631" i="4" s="1"/>
  <c r="D632" i="4" s="1"/>
  <c r="D633" i="4" s="1"/>
  <c r="D635" i="4" s="1"/>
  <c r="D636" i="4" s="1"/>
  <c r="D637" i="4" s="1"/>
  <c r="D638" i="4" s="1"/>
  <c r="D639" i="4" s="1"/>
  <c r="D640" i="4" s="1"/>
  <c r="D641" i="4" s="1"/>
  <c r="D642" i="4" s="1"/>
  <c r="D643" i="4" s="1"/>
  <c r="D644" i="4" s="1"/>
  <c r="D645" i="4" s="1"/>
  <c r="D646" i="4" s="1"/>
  <c r="D647" i="4" s="1"/>
  <c r="D648" i="4" s="1"/>
  <c r="D649" i="4" s="1"/>
  <c r="D650" i="4" s="1"/>
  <c r="D652" i="4" s="1"/>
  <c r="D653" i="4" s="1"/>
  <c r="D654" i="4" s="1"/>
  <c r="D655" i="4" s="1"/>
  <c r="D656" i="4" s="1"/>
  <c r="D657" i="4" s="1"/>
  <c r="D658" i="4" s="1"/>
  <c r="D659" i="4" s="1"/>
  <c r="D660" i="4" s="1"/>
  <c r="D661" i="4" s="1"/>
  <c r="D662" i="4" s="1"/>
  <c r="D663" i="4" s="1"/>
  <c r="D664" i="4" s="1"/>
  <c r="D665" i="4" s="1"/>
  <c r="D666" i="4" s="1"/>
  <c r="D667" i="4" s="1"/>
  <c r="D669" i="4" s="1"/>
  <c r="D670" i="4" s="1"/>
  <c r="D671" i="4" s="1"/>
  <c r="D672" i="4" s="1"/>
  <c r="D673" i="4" s="1"/>
  <c r="D674" i="4" s="1"/>
  <c r="D675" i="4" s="1"/>
  <c r="D676" i="4" s="1"/>
  <c r="D677" i="4" s="1"/>
  <c r="D678" i="4" s="1"/>
  <c r="D679" i="4" s="1"/>
  <c r="D680" i="4" s="1"/>
  <c r="D681" i="4" s="1"/>
  <c r="D682" i="4" s="1"/>
  <c r="D683" i="4" s="1"/>
  <c r="D684" i="4" s="1"/>
  <c r="D686" i="4" s="1"/>
  <c r="D687" i="4" s="1"/>
  <c r="D688" i="4" s="1"/>
  <c r="D689" i="4" s="1"/>
  <c r="D690" i="4" s="1"/>
  <c r="D691" i="4" s="1"/>
  <c r="D692" i="4" s="1"/>
  <c r="D693" i="4" s="1"/>
  <c r="D694" i="4" s="1"/>
  <c r="D695" i="4" s="1"/>
  <c r="D696" i="4" s="1"/>
  <c r="D697" i="4" s="1"/>
  <c r="D698" i="4" s="1"/>
  <c r="D699" i="4" s="1"/>
  <c r="D700" i="4" s="1"/>
  <c r="D701" i="4" s="1"/>
  <c r="D703" i="4" s="1"/>
  <c r="D704" i="4" s="1"/>
  <c r="D705" i="4" s="1"/>
  <c r="D706" i="4" s="1"/>
  <c r="D707" i="4" s="1"/>
  <c r="D708" i="4" s="1"/>
  <c r="D709" i="4" s="1"/>
  <c r="D710" i="4" s="1"/>
  <c r="D711" i="4" s="1"/>
  <c r="D712" i="4" s="1"/>
  <c r="D713" i="4" s="1"/>
  <c r="D714" i="4" s="1"/>
  <c r="D715" i="4" s="1"/>
  <c r="D716" i="4" s="1"/>
  <c r="D717" i="4" s="1"/>
  <c r="D718" i="4" s="1"/>
  <c r="D721" i="4" s="1"/>
  <c r="D722" i="4" s="1"/>
  <c r="D723" i="4" s="1"/>
  <c r="D724" i="4" s="1"/>
  <c r="D725" i="4" s="1"/>
  <c r="D726" i="4" s="1"/>
  <c r="D727" i="4" s="1"/>
  <c r="D728" i="4" s="1"/>
  <c r="D729" i="4" s="1"/>
  <c r="D730" i="4" s="1"/>
  <c r="D731" i="4" s="1"/>
  <c r="D732" i="4" s="1"/>
  <c r="D733" i="4" s="1"/>
  <c r="D734" i="4" s="1"/>
  <c r="D735" i="4" s="1"/>
  <c r="D736" i="4" s="1"/>
  <c r="D738" i="4" s="1"/>
  <c r="D739" i="4" s="1"/>
  <c r="D740" i="4" s="1"/>
  <c r="D741" i="4" s="1"/>
  <c r="D742" i="4" s="1"/>
  <c r="D743" i="4" s="1"/>
  <c r="D744" i="4" s="1"/>
  <c r="D745" i="4" s="1"/>
  <c r="D746" i="4" s="1"/>
  <c r="D747" i="4" s="1"/>
  <c r="D748" i="4" s="1"/>
  <c r="D749" i="4" s="1"/>
  <c r="D750" i="4" s="1"/>
  <c r="D751" i="4" s="1"/>
  <c r="D752" i="4" s="1"/>
  <c r="D753" i="4" s="1"/>
  <c r="D755" i="4" s="1"/>
  <c r="D756" i="4" s="1"/>
  <c r="D757" i="4" s="1"/>
  <c r="D758" i="4" s="1"/>
  <c r="D759" i="4" s="1"/>
  <c r="D760" i="4" s="1"/>
  <c r="D761" i="4" s="1"/>
  <c r="D762" i="4" s="1"/>
  <c r="D763" i="4" s="1"/>
  <c r="D764" i="4" s="1"/>
  <c r="D765" i="4" s="1"/>
  <c r="D766" i="4" s="1"/>
  <c r="D767" i="4" s="1"/>
  <c r="D768" i="4" s="1"/>
  <c r="D769" i="4" s="1"/>
  <c r="D770" i="4" s="1"/>
  <c r="D777" i="4" s="1"/>
  <c r="D778" i="4" s="1"/>
  <c r="D779" i="4" s="1"/>
  <c r="D780" i="4" s="1"/>
  <c r="D781" i="4" s="1"/>
  <c r="D782" i="4" s="1"/>
  <c r="D783" i="4" s="1"/>
  <c r="D784" i="4" s="1"/>
  <c r="D785" i="4" s="1"/>
  <c r="D786" i="4" s="1"/>
  <c r="D787" i="4" s="1"/>
  <c r="D788" i="4" s="1"/>
  <c r="D789" i="4" s="1"/>
  <c r="D790" i="4" s="1"/>
  <c r="D791" i="4" s="1"/>
  <c r="D792" i="4" s="1"/>
  <c r="D795" i="4" s="1"/>
  <c r="D796" i="4" s="1"/>
  <c r="D797" i="4" s="1"/>
  <c r="D798" i="4" s="1"/>
  <c r="D799" i="4" s="1"/>
  <c r="D800" i="4" s="1"/>
  <c r="D801" i="4" s="1"/>
  <c r="D802" i="4" s="1"/>
  <c r="D803" i="4" s="1"/>
  <c r="D804" i="4" s="1"/>
  <c r="D805" i="4" s="1"/>
  <c r="D806" i="4" s="1"/>
  <c r="D807" i="4" s="1"/>
  <c r="D808" i="4" s="1"/>
  <c r="D809" i="4" s="1"/>
  <c r="D810" i="4" s="1"/>
  <c r="D813" i="4" s="1"/>
  <c r="D814" i="4" s="1"/>
  <c r="D815" i="4" s="1"/>
  <c r="D816" i="4" s="1"/>
  <c r="D817" i="4" s="1"/>
  <c r="D818" i="4" s="1"/>
  <c r="D819" i="4" s="1"/>
  <c r="D820" i="4" s="1"/>
  <c r="D821" i="4" s="1"/>
  <c r="D822" i="4" s="1"/>
  <c r="D823" i="4" s="1"/>
  <c r="D824" i="4" s="1"/>
  <c r="D825" i="4" s="1"/>
  <c r="D826" i="4" s="1"/>
  <c r="D827" i="4" s="1"/>
  <c r="D828" i="4" s="1"/>
  <c r="D492" i="4"/>
  <c r="L439" i="4"/>
  <c r="O245" i="4"/>
  <c r="O246" i="4"/>
  <c r="O247" i="4"/>
  <c r="O248" i="4"/>
  <c r="O249" i="4"/>
  <c r="O250" i="4"/>
  <c r="O251" i="4"/>
  <c r="O252" i="4"/>
  <c r="O253" i="4"/>
  <c r="O254" i="4"/>
  <c r="S119" i="4"/>
  <c r="S120" i="4"/>
  <c r="S121" i="4"/>
  <c r="S122" i="4"/>
  <c r="S123" i="4"/>
  <c r="S124" i="4"/>
  <c r="S125" i="4"/>
  <c r="S126" i="4"/>
  <c r="S127" i="4"/>
  <c r="S128" i="4"/>
  <c r="S129" i="4"/>
  <c r="S130" i="4"/>
  <c r="S131" i="4"/>
  <c r="S132" i="4"/>
  <c r="S133" i="4"/>
  <c r="S118" i="4"/>
  <c r="N210" i="4"/>
  <c r="S228" i="4"/>
  <c r="S229" i="4"/>
  <c r="S230" i="4"/>
  <c r="S231" i="4"/>
  <c r="S232" i="4"/>
  <c r="S233" i="4"/>
  <c r="S234" i="4"/>
  <c r="S235" i="4"/>
  <c r="S236" i="4"/>
  <c r="S237" i="4"/>
  <c r="S238" i="4"/>
  <c r="S239" i="4"/>
  <c r="S241" i="4"/>
  <c r="S242" i="4"/>
  <c r="S243" i="4"/>
  <c r="S240" i="4"/>
  <c r="K998" i="4" l="1"/>
  <c r="K912" i="4"/>
  <c r="K844" i="4"/>
  <c r="K980" i="4"/>
  <c r="J441" i="4"/>
  <c r="L1133" i="4"/>
  <c r="O1132" i="4"/>
  <c r="J1134" i="4"/>
  <c r="L1116" i="4"/>
  <c r="O1116" i="4" s="1"/>
  <c r="L1100" i="4"/>
  <c r="O1100" i="4" s="1"/>
  <c r="K1065" i="4"/>
  <c r="J1083" i="4"/>
  <c r="L1081" i="4"/>
  <c r="O1081" i="4" s="1"/>
  <c r="L1064" i="4"/>
  <c r="O1064" i="4" s="1"/>
  <c r="J1066" i="4"/>
  <c r="J1049" i="4"/>
  <c r="L1047" i="4"/>
  <c r="O1047" i="4" s="1"/>
  <c r="J1032" i="4"/>
  <c r="L1030" i="4"/>
  <c r="O1030" i="4" s="1"/>
  <c r="K1032" i="4"/>
  <c r="J1015" i="4"/>
  <c r="L1015" i="4"/>
  <c r="O1015" i="4" s="1"/>
  <c r="K1015" i="4"/>
  <c r="L996" i="4"/>
  <c r="O996" i="4" s="1"/>
  <c r="J998" i="4"/>
  <c r="J981" i="4"/>
  <c r="L979" i="4"/>
  <c r="O979" i="4" s="1"/>
  <c r="J964" i="4"/>
  <c r="L962" i="4"/>
  <c r="O962" i="4" s="1"/>
  <c r="J946" i="4"/>
  <c r="J929" i="4"/>
  <c r="K930" i="4"/>
  <c r="L912" i="4"/>
  <c r="J913" i="4"/>
  <c r="L894" i="4"/>
  <c r="O894" i="4" s="1"/>
  <c r="K896" i="4"/>
  <c r="J895" i="4"/>
  <c r="J878" i="4"/>
  <c r="L877" i="4"/>
  <c r="O877" i="4" s="1"/>
  <c r="K879" i="4"/>
  <c r="L860" i="4"/>
  <c r="O860" i="4" s="1"/>
  <c r="K861" i="4"/>
  <c r="J861" i="4"/>
  <c r="L844" i="4"/>
  <c r="O844" i="4" s="1"/>
  <c r="J844" i="4"/>
  <c r="L440" i="4"/>
  <c r="O439" i="4"/>
  <c r="K149" i="4"/>
  <c r="J139" i="4"/>
  <c r="K139" i="4"/>
  <c r="O226" i="4"/>
  <c r="O192" i="4"/>
  <c r="O31" i="4"/>
  <c r="O32" i="4"/>
  <c r="O33" i="4"/>
  <c r="O34" i="4"/>
  <c r="O35" i="4"/>
  <c r="O36" i="4"/>
  <c r="O37" i="4"/>
  <c r="O38" i="4"/>
  <c r="O39" i="4"/>
  <c r="O40" i="4"/>
  <c r="O41" i="4"/>
  <c r="O42" i="4"/>
  <c r="O43" i="4"/>
  <c r="O44" i="4"/>
  <c r="O45" i="4"/>
  <c r="O30" i="4"/>
  <c r="K193" i="4"/>
  <c r="Q192" i="4"/>
  <c r="S194" i="4"/>
  <c r="S195" i="4"/>
  <c r="S196" i="4"/>
  <c r="S197" i="4"/>
  <c r="S198" i="4"/>
  <c r="S199" i="4"/>
  <c r="S200" i="4"/>
  <c r="S201" i="4"/>
  <c r="S202" i="4"/>
  <c r="S203" i="4"/>
  <c r="S204" i="4"/>
  <c r="S205" i="4"/>
  <c r="S206" i="4"/>
  <c r="S207" i="4"/>
  <c r="S208" i="4"/>
  <c r="S193" i="4"/>
  <c r="S211" i="4"/>
  <c r="S212" i="4"/>
  <c r="S213" i="4"/>
  <c r="S214" i="4"/>
  <c r="S215" i="4"/>
  <c r="S216" i="4"/>
  <c r="S217" i="4"/>
  <c r="S218" i="4"/>
  <c r="S219" i="4"/>
  <c r="S220" i="4"/>
  <c r="S221" i="4"/>
  <c r="S222" i="4"/>
  <c r="S223" i="4"/>
  <c r="S224" i="4"/>
  <c r="S225" i="4"/>
  <c r="S210" i="4"/>
  <c r="K140" i="4" l="1"/>
  <c r="K845" i="4"/>
  <c r="J140" i="4"/>
  <c r="J442" i="4"/>
  <c r="K150" i="4"/>
  <c r="K981" i="4"/>
  <c r="K913" i="4"/>
  <c r="O1133" i="4"/>
  <c r="L1134" i="4"/>
  <c r="O1134" i="4" s="1"/>
  <c r="L1117" i="4"/>
  <c r="O1117" i="4" s="1"/>
  <c r="K1066" i="4"/>
  <c r="L1082" i="4"/>
  <c r="O1082" i="4" s="1"/>
  <c r="L1065" i="4"/>
  <c r="O1065" i="4" s="1"/>
  <c r="L1048" i="4"/>
  <c r="O1048" i="4" s="1"/>
  <c r="L1031" i="4"/>
  <c r="O1031" i="4" s="1"/>
  <c r="L997" i="4"/>
  <c r="O997" i="4" s="1"/>
  <c r="L980" i="4"/>
  <c r="O980" i="4" s="1"/>
  <c r="L963" i="4"/>
  <c r="O963" i="4" s="1"/>
  <c r="J947" i="4"/>
  <c r="J930" i="4"/>
  <c r="L913" i="4"/>
  <c r="J896" i="4"/>
  <c r="L895" i="4"/>
  <c r="O895" i="4" s="1"/>
  <c r="J879" i="4"/>
  <c r="L878" i="4"/>
  <c r="O878" i="4" s="1"/>
  <c r="J862" i="4"/>
  <c r="K862" i="4"/>
  <c r="L861" i="4"/>
  <c r="O861" i="4" s="1"/>
  <c r="L845" i="4"/>
  <c r="O845" i="4" s="1"/>
  <c r="J845" i="4"/>
  <c r="L441" i="4"/>
  <c r="O440" i="4"/>
  <c r="J149" i="4"/>
  <c r="O209" i="4"/>
  <c r="O194" i="4"/>
  <c r="O195" i="4"/>
  <c r="O196" i="4"/>
  <c r="O197" i="4"/>
  <c r="O198" i="4"/>
  <c r="O199" i="4"/>
  <c r="O200" i="4"/>
  <c r="O201" i="4"/>
  <c r="O202" i="4"/>
  <c r="O203" i="4"/>
  <c r="O204" i="4"/>
  <c r="O205" i="4"/>
  <c r="O206" i="4"/>
  <c r="O207" i="4"/>
  <c r="O208" i="4"/>
  <c r="O193" i="4"/>
  <c r="J150" i="4" l="1"/>
  <c r="J443" i="4"/>
  <c r="K151" i="4"/>
  <c r="J141" i="4"/>
  <c r="L1083" i="4"/>
  <c r="O1083" i="4" s="1"/>
  <c r="L1066" i="4"/>
  <c r="O1066" i="4" s="1"/>
  <c r="L1049" i="4"/>
  <c r="O1049" i="4" s="1"/>
  <c r="L1032" i="4"/>
  <c r="O1032" i="4" s="1"/>
  <c r="L998" i="4"/>
  <c r="O998" i="4" s="1"/>
  <c r="L981" i="4"/>
  <c r="O981" i="4" s="1"/>
  <c r="L964" i="4"/>
  <c r="O964" i="4" s="1"/>
  <c r="L896" i="4"/>
  <c r="O896" i="4" s="1"/>
  <c r="L879" i="4"/>
  <c r="O879" i="4" s="1"/>
  <c r="L862" i="4"/>
  <c r="O862" i="4" s="1"/>
  <c r="L442" i="4"/>
  <c r="O441" i="4"/>
  <c r="O138" i="4"/>
  <c r="J142" i="4" l="1"/>
  <c r="J444" i="4"/>
  <c r="K152" i="4"/>
  <c r="J151" i="4"/>
  <c r="L443" i="4"/>
  <c r="O442" i="4"/>
  <c r="O139" i="4"/>
  <c r="K141" i="4"/>
  <c r="L147" i="4"/>
  <c r="L148" i="4" s="1"/>
  <c r="M147" i="4"/>
  <c r="J152" i="4" l="1"/>
  <c r="J445" i="4"/>
  <c r="K153" i="4"/>
  <c r="J143" i="4"/>
  <c r="M148" i="4"/>
  <c r="M149" i="4" s="1"/>
  <c r="M150" i="4" s="1"/>
  <c r="M151" i="4" s="1"/>
  <c r="M152" i="4" s="1"/>
  <c r="M153" i="4" s="1"/>
  <c r="M154" i="4" s="1"/>
  <c r="M155" i="4" s="1"/>
  <c r="M156" i="4" s="1"/>
  <c r="L444" i="4"/>
  <c r="O443" i="4"/>
  <c r="O147" i="4"/>
  <c r="K142" i="4"/>
  <c r="M99" i="4"/>
  <c r="K82" i="4"/>
  <c r="J144" i="4" l="1"/>
  <c r="J446" i="4"/>
  <c r="K154" i="4"/>
  <c r="J153" i="4"/>
  <c r="L445" i="4"/>
  <c r="O444" i="4"/>
  <c r="O140" i="4"/>
  <c r="K143" i="4"/>
  <c r="K144" i="4" l="1"/>
  <c r="J154" i="4"/>
  <c r="J447" i="4"/>
  <c r="K155" i="4"/>
  <c r="J145" i="4"/>
  <c r="L446" i="4"/>
  <c r="O445" i="4"/>
  <c r="O141" i="4"/>
  <c r="M13" i="4"/>
  <c r="K156" i="4" l="1"/>
  <c r="J155" i="4"/>
  <c r="J146" i="4"/>
  <c r="J448" i="4"/>
  <c r="K145" i="4"/>
  <c r="L447" i="4"/>
  <c r="O446" i="4"/>
  <c r="O142" i="4"/>
  <c r="K14" i="4"/>
  <c r="K15" i="4" l="1"/>
  <c r="J449" i="4"/>
  <c r="J156" i="4"/>
  <c r="L448" i="4"/>
  <c r="O447" i="4"/>
  <c r="L149" i="4"/>
  <c r="L150" i="4" s="1"/>
  <c r="L151" i="4" s="1"/>
  <c r="L152" i="4" s="1"/>
  <c r="L153" i="4" s="1"/>
  <c r="L154" i="4" s="1"/>
  <c r="L155" i="4" s="1"/>
  <c r="L156" i="4" s="1"/>
  <c r="O148" i="4"/>
  <c r="O143" i="4"/>
  <c r="O117" i="4"/>
  <c r="O115" i="4"/>
  <c r="O98" i="4"/>
  <c r="M100" i="4"/>
  <c r="M101" i="4" s="1"/>
  <c r="M102" i="4" s="1"/>
  <c r="M103" i="4" s="1"/>
  <c r="M104" i="4" s="1"/>
  <c r="M105" i="4" s="1"/>
  <c r="M106" i="4" s="1"/>
  <c r="M107" i="4" s="1"/>
  <c r="M108" i="4" s="1"/>
  <c r="M109" i="4" s="1"/>
  <c r="M110" i="4" s="1"/>
  <c r="M111" i="4" s="1"/>
  <c r="M112" i="4" s="1"/>
  <c r="M113" i="4" s="1"/>
  <c r="M114" i="4" s="1"/>
  <c r="M118" i="4" s="1"/>
  <c r="M119" i="4" s="1"/>
  <c r="M120" i="4" s="1"/>
  <c r="M121" i="4" s="1"/>
  <c r="M122" i="4" s="1"/>
  <c r="M123" i="4" s="1"/>
  <c r="M124" i="4" s="1"/>
  <c r="M125" i="4" s="1"/>
  <c r="M126" i="4" s="1"/>
  <c r="M127" i="4" s="1"/>
  <c r="M128" i="4" s="1"/>
  <c r="M129" i="4" s="1"/>
  <c r="M130" i="4" s="1"/>
  <c r="M131" i="4" s="1"/>
  <c r="M132" i="4" s="1"/>
  <c r="M133" i="4" s="1"/>
  <c r="M135" i="4" s="1"/>
  <c r="M158" i="4" s="1"/>
  <c r="M159" i="4" s="1"/>
  <c r="M160" i="4" s="1"/>
  <c r="M161" i="4" s="1"/>
  <c r="M162" i="4" s="1"/>
  <c r="M163" i="4" s="1"/>
  <c r="M164" i="4" s="1"/>
  <c r="M165" i="4" s="1"/>
  <c r="M166" i="4" s="1"/>
  <c r="M167" i="4" s="1"/>
  <c r="M168" i="4" s="1"/>
  <c r="M169" i="4" s="1"/>
  <c r="M170" i="4" s="1"/>
  <c r="M171" i="4" s="1"/>
  <c r="M172" i="4" s="1"/>
  <c r="M173" i="4" s="1"/>
  <c r="M175" i="4" s="1"/>
  <c r="M176" i="4" s="1"/>
  <c r="M177" i="4" s="1"/>
  <c r="M178" i="4" s="1"/>
  <c r="M179" i="4" s="1"/>
  <c r="M180" i="4" s="1"/>
  <c r="M181" i="4" s="1"/>
  <c r="M182" i="4" s="1"/>
  <c r="M183" i="4" s="1"/>
  <c r="M184" i="4" s="1"/>
  <c r="M185" i="4" s="1"/>
  <c r="M186" i="4" s="1"/>
  <c r="M187" i="4" s="1"/>
  <c r="M188" i="4" s="1"/>
  <c r="M189" i="4" s="1"/>
  <c r="M190" i="4" s="1"/>
  <c r="M193" i="4" s="1"/>
  <c r="M194" i="4" s="1"/>
  <c r="M195" i="4" s="1"/>
  <c r="M196" i="4" s="1"/>
  <c r="M197" i="4" s="1"/>
  <c r="M198" i="4" s="1"/>
  <c r="M199" i="4" s="1"/>
  <c r="M200" i="4" s="1"/>
  <c r="M201" i="4" s="1"/>
  <c r="M202" i="4" s="1"/>
  <c r="M203" i="4" s="1"/>
  <c r="M204" i="4" s="1"/>
  <c r="M205" i="4" s="1"/>
  <c r="M206" i="4" s="1"/>
  <c r="M207" i="4" s="1"/>
  <c r="M208" i="4" s="1"/>
  <c r="M210" i="4" s="1"/>
  <c r="M211" i="4" s="1"/>
  <c r="M212" i="4" s="1"/>
  <c r="M213" i="4" s="1"/>
  <c r="M214" i="4" s="1"/>
  <c r="M215" i="4" s="1"/>
  <c r="M216" i="4" s="1"/>
  <c r="M217" i="4" s="1"/>
  <c r="M218" i="4" s="1"/>
  <c r="M219" i="4" s="1"/>
  <c r="M220" i="4" s="1"/>
  <c r="M221" i="4" s="1"/>
  <c r="M222" i="4" s="1"/>
  <c r="M223" i="4" s="1"/>
  <c r="M224" i="4" s="1"/>
  <c r="M225" i="4" s="1"/>
  <c r="M227" i="4" s="1"/>
  <c r="M228" i="4" s="1"/>
  <c r="M229" i="4" s="1"/>
  <c r="M230" i="4" s="1"/>
  <c r="M231" i="4" s="1"/>
  <c r="M232" i="4" s="1"/>
  <c r="M233" i="4" s="1"/>
  <c r="M234" i="4" s="1"/>
  <c r="M235" i="4" s="1"/>
  <c r="M236" i="4" s="1"/>
  <c r="M237" i="4" s="1"/>
  <c r="M238" i="4" s="1"/>
  <c r="M239" i="4" s="1"/>
  <c r="M240" i="4" s="1"/>
  <c r="M241" i="4" s="1"/>
  <c r="M242" i="4" s="1"/>
  <c r="M243" i="4" s="1"/>
  <c r="M246" i="4" s="1"/>
  <c r="M247" i="4" s="1"/>
  <c r="M248" i="4" s="1"/>
  <c r="M249" i="4" s="1"/>
  <c r="M250" i="4" s="1"/>
  <c r="M251" i="4" s="1"/>
  <c r="N99" i="4"/>
  <c r="N100" i="4" s="1"/>
  <c r="N101" i="4" s="1"/>
  <c r="N102" i="4" s="1"/>
  <c r="N103" i="4" s="1"/>
  <c r="N104" i="4" s="1"/>
  <c r="N105" i="4" s="1"/>
  <c r="N106" i="4" s="1"/>
  <c r="N107" i="4" s="1"/>
  <c r="N108" i="4" s="1"/>
  <c r="N109" i="4" s="1"/>
  <c r="N110" i="4" s="1"/>
  <c r="N111" i="4" s="1"/>
  <c r="N112" i="4" s="1"/>
  <c r="N113" i="4" s="1"/>
  <c r="N114" i="4" s="1"/>
  <c r="N118" i="4" s="1"/>
  <c r="N119" i="4" s="1"/>
  <c r="N120" i="4" s="1"/>
  <c r="N121" i="4" s="1"/>
  <c r="N122" i="4" s="1"/>
  <c r="N123" i="4" s="1"/>
  <c r="N124" i="4" s="1"/>
  <c r="N125" i="4" s="1"/>
  <c r="N126" i="4" s="1"/>
  <c r="N127" i="4" s="1"/>
  <c r="N128" i="4" s="1"/>
  <c r="N129" i="4" s="1"/>
  <c r="N130" i="4" s="1"/>
  <c r="N131" i="4" s="1"/>
  <c r="N132" i="4" s="1"/>
  <c r="N133" i="4" s="1"/>
  <c r="N158" i="4" s="1"/>
  <c r="N159" i="4" s="1"/>
  <c r="N160" i="4" s="1"/>
  <c r="N161" i="4" s="1"/>
  <c r="N162" i="4" s="1"/>
  <c r="N163" i="4" s="1"/>
  <c r="N164" i="4" s="1"/>
  <c r="N165" i="4" s="1"/>
  <c r="N166" i="4" s="1"/>
  <c r="N167" i="4" s="1"/>
  <c r="N168" i="4" s="1"/>
  <c r="N169" i="4" s="1"/>
  <c r="N170" i="4" s="1"/>
  <c r="N171" i="4" s="1"/>
  <c r="N172" i="4" s="1"/>
  <c r="N173" i="4" s="1"/>
  <c r="N175" i="4" s="1"/>
  <c r="N176" i="4" s="1"/>
  <c r="N177" i="4" s="1"/>
  <c r="N178" i="4" s="1"/>
  <c r="N179" i="4" s="1"/>
  <c r="N180" i="4" s="1"/>
  <c r="N181" i="4" s="1"/>
  <c r="N182" i="4" s="1"/>
  <c r="N183" i="4" s="1"/>
  <c r="N184" i="4" s="1"/>
  <c r="N185" i="4" s="1"/>
  <c r="N186" i="4" s="1"/>
  <c r="N187" i="4" s="1"/>
  <c r="N188" i="4" s="1"/>
  <c r="N189" i="4" s="1"/>
  <c r="N190" i="4" s="1"/>
  <c r="N194" i="4" s="1"/>
  <c r="N195" i="4" s="1"/>
  <c r="N196" i="4" s="1"/>
  <c r="N197" i="4" s="1"/>
  <c r="N198" i="4" s="1"/>
  <c r="N199" i="4" s="1"/>
  <c r="N200" i="4" s="1"/>
  <c r="N201" i="4" s="1"/>
  <c r="N202" i="4" s="1"/>
  <c r="N203" i="4" s="1"/>
  <c r="N204" i="4" s="1"/>
  <c r="N205" i="4" s="1"/>
  <c r="N206" i="4" s="1"/>
  <c r="N207" i="4" s="1"/>
  <c r="N208" i="4" s="1"/>
  <c r="N211" i="4" s="1"/>
  <c r="N212" i="4" s="1"/>
  <c r="N213" i="4" s="1"/>
  <c r="N214" i="4" s="1"/>
  <c r="N215" i="4" s="1"/>
  <c r="N216" i="4" s="1"/>
  <c r="N217" i="4" s="1"/>
  <c r="N218" i="4" s="1"/>
  <c r="N219" i="4" s="1"/>
  <c r="N220" i="4" s="1"/>
  <c r="N221" i="4" s="1"/>
  <c r="N222" i="4" s="1"/>
  <c r="N223" i="4" s="1"/>
  <c r="N224" i="4" s="1"/>
  <c r="N225" i="4" s="1"/>
  <c r="N228" i="4" s="1"/>
  <c r="N229" i="4" s="1"/>
  <c r="N230" i="4" s="1"/>
  <c r="N231" i="4" s="1"/>
  <c r="N232" i="4" s="1"/>
  <c r="N233" i="4" s="1"/>
  <c r="N234" i="4" s="1"/>
  <c r="N235" i="4" s="1"/>
  <c r="N236" i="4" s="1"/>
  <c r="N237" i="4" s="1"/>
  <c r="N238" i="4" s="1"/>
  <c r="N239" i="4" s="1"/>
  <c r="N240" i="4" s="1"/>
  <c r="N241" i="4" s="1"/>
  <c r="N242" i="4" s="1"/>
  <c r="N243" i="4" s="1"/>
  <c r="N246" i="4" s="1"/>
  <c r="N247" i="4" s="1"/>
  <c r="N248" i="4" s="1"/>
  <c r="N249" i="4" s="1"/>
  <c r="N250" i="4" s="1"/>
  <c r="N251" i="4" s="1"/>
  <c r="K99" i="4"/>
  <c r="L99" i="4"/>
  <c r="O99" i="4" s="1"/>
  <c r="J99" i="4"/>
  <c r="D99" i="4"/>
  <c r="D100" i="4" s="1"/>
  <c r="D101" i="4" s="1"/>
  <c r="D102" i="4" s="1"/>
  <c r="D103" i="4" s="1"/>
  <c r="D104" i="4" s="1"/>
  <c r="D105" i="4" s="1"/>
  <c r="D106" i="4" s="1"/>
  <c r="D107" i="4" s="1"/>
  <c r="D108" i="4" s="1"/>
  <c r="D109" i="4" s="1"/>
  <c r="D110" i="4" s="1"/>
  <c r="D111" i="4" s="1"/>
  <c r="D112" i="4" s="1"/>
  <c r="D113" i="4" s="1"/>
  <c r="D114" i="4" s="1"/>
  <c r="D118" i="4" s="1"/>
  <c r="D119" i="4" s="1"/>
  <c r="D120" i="4" s="1"/>
  <c r="D121" i="4" s="1"/>
  <c r="D122" i="4" s="1"/>
  <c r="D123" i="4" s="1"/>
  <c r="D124" i="4" s="1"/>
  <c r="D125" i="4" s="1"/>
  <c r="D126" i="4" s="1"/>
  <c r="D127" i="4" s="1"/>
  <c r="D128" i="4" s="1"/>
  <c r="D129" i="4" s="1"/>
  <c r="D130" i="4" s="1"/>
  <c r="D131" i="4" s="1"/>
  <c r="D132" i="4" s="1"/>
  <c r="D133" i="4" s="1"/>
  <c r="D135" i="4" s="1"/>
  <c r="D158" i="4" s="1"/>
  <c r="D159" i="4" s="1"/>
  <c r="D160" i="4" s="1"/>
  <c r="D161" i="4" s="1"/>
  <c r="D162" i="4" s="1"/>
  <c r="D163" i="4" s="1"/>
  <c r="D164" i="4" s="1"/>
  <c r="D165" i="4" s="1"/>
  <c r="D166" i="4" s="1"/>
  <c r="D167" i="4" s="1"/>
  <c r="D168" i="4" s="1"/>
  <c r="D169" i="4" s="1"/>
  <c r="D170" i="4" s="1"/>
  <c r="D171" i="4" s="1"/>
  <c r="D172" i="4" s="1"/>
  <c r="D173" i="4" s="1"/>
  <c r="D175" i="4" s="1"/>
  <c r="D176" i="4" s="1"/>
  <c r="D177" i="4" s="1"/>
  <c r="D178" i="4" s="1"/>
  <c r="D179" i="4" s="1"/>
  <c r="D180" i="4" s="1"/>
  <c r="D181" i="4" s="1"/>
  <c r="D182" i="4" s="1"/>
  <c r="D183" i="4" s="1"/>
  <c r="D184" i="4" s="1"/>
  <c r="D185" i="4" s="1"/>
  <c r="D186" i="4" s="1"/>
  <c r="D187" i="4" s="1"/>
  <c r="D188" i="4" s="1"/>
  <c r="D189" i="4" s="1"/>
  <c r="D190"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7" i="4" s="1"/>
  <c r="D228" i="4" s="1"/>
  <c r="D229" i="4" s="1"/>
  <c r="D230" i="4" s="1"/>
  <c r="D231" i="4" s="1"/>
  <c r="D232" i="4" s="1"/>
  <c r="D233" i="4" s="1"/>
  <c r="D234" i="4" s="1"/>
  <c r="D235" i="4" s="1"/>
  <c r="D236" i="4" s="1"/>
  <c r="D237" i="4" s="1"/>
  <c r="D238" i="4" s="1"/>
  <c r="D239" i="4" s="1"/>
  <c r="D240" i="4" s="1"/>
  <c r="D241" i="4" s="1"/>
  <c r="D242" i="4" s="1"/>
  <c r="D243" i="4" s="1"/>
  <c r="D244" i="4" s="1"/>
  <c r="D82" i="4"/>
  <c r="D83" i="4" s="1"/>
  <c r="D84" i="4" s="1"/>
  <c r="D85" i="4" s="1"/>
  <c r="D86" i="4" s="1"/>
  <c r="D87" i="4" s="1"/>
  <c r="D88" i="4" s="1"/>
  <c r="D89" i="4" s="1"/>
  <c r="D90" i="4" s="1"/>
  <c r="D91" i="4" s="1"/>
  <c r="D92" i="4" s="1"/>
  <c r="D93" i="4" s="1"/>
  <c r="D94" i="4" s="1"/>
  <c r="D95" i="4" s="1"/>
  <c r="D96" i="4" s="1"/>
  <c r="D97" i="4" s="1"/>
  <c r="O81" i="4"/>
  <c r="N82" i="4"/>
  <c r="N83" i="4" s="1"/>
  <c r="N84" i="4" s="1"/>
  <c r="N85" i="4" s="1"/>
  <c r="N86" i="4" s="1"/>
  <c r="N87" i="4" s="1"/>
  <c r="N88" i="4" s="1"/>
  <c r="N89" i="4" s="1"/>
  <c r="N90" i="4" s="1"/>
  <c r="N91" i="4" s="1"/>
  <c r="N92" i="4" s="1"/>
  <c r="N93" i="4" s="1"/>
  <c r="N94" i="4" s="1"/>
  <c r="N95" i="4" s="1"/>
  <c r="N96" i="4" s="1"/>
  <c r="N97" i="4" s="1"/>
  <c r="L82" i="4"/>
  <c r="L83" i="4" s="1"/>
  <c r="M82" i="4"/>
  <c r="M83" i="4" s="1"/>
  <c r="M84" i="4" s="1"/>
  <c r="M85" i="4" s="1"/>
  <c r="M86" i="4" s="1"/>
  <c r="M87" i="4" s="1"/>
  <c r="M88" i="4" s="1"/>
  <c r="M89" i="4" s="1"/>
  <c r="M90" i="4" s="1"/>
  <c r="M91" i="4" s="1"/>
  <c r="M92" i="4" s="1"/>
  <c r="M93" i="4" s="1"/>
  <c r="M94" i="4" s="1"/>
  <c r="M95" i="4" s="1"/>
  <c r="M96" i="4" s="1"/>
  <c r="M97" i="4" s="1"/>
  <c r="M65" i="4"/>
  <c r="M66" i="4" s="1"/>
  <c r="M67" i="4" s="1"/>
  <c r="M68" i="4" s="1"/>
  <c r="M69" i="4" s="1"/>
  <c r="M70" i="4" s="1"/>
  <c r="M71" i="4" s="1"/>
  <c r="M72" i="4" s="1"/>
  <c r="M73" i="4" s="1"/>
  <c r="M74" i="4" s="1"/>
  <c r="M75" i="4" s="1"/>
  <c r="M76" i="4" s="1"/>
  <c r="M77" i="4" s="1"/>
  <c r="M78" i="4" s="1"/>
  <c r="M79" i="4" s="1"/>
  <c r="M80" i="4" s="1"/>
  <c r="K65" i="4"/>
  <c r="N65" i="4"/>
  <c r="N66" i="4" s="1"/>
  <c r="N67" i="4" s="1"/>
  <c r="N68" i="4" s="1"/>
  <c r="N69" i="4" s="1"/>
  <c r="N70" i="4" s="1"/>
  <c r="N71" i="4" s="1"/>
  <c r="N72" i="4" s="1"/>
  <c r="N73" i="4" s="1"/>
  <c r="N74" i="4" s="1"/>
  <c r="N75" i="4" s="1"/>
  <c r="N76" i="4" s="1"/>
  <c r="N77" i="4" s="1"/>
  <c r="N78" i="4" s="1"/>
  <c r="N79" i="4" s="1"/>
  <c r="N80" i="4" s="1"/>
  <c r="J450" i="4" l="1"/>
  <c r="J100" i="4"/>
  <c r="K66" i="4"/>
  <c r="K16" i="4"/>
  <c r="M257" i="4"/>
  <c r="M258" i="4" s="1"/>
  <c r="M259" i="4" s="1"/>
  <c r="M260" i="4" s="1"/>
  <c r="M261" i="4" s="1"/>
  <c r="M262" i="4" s="1"/>
  <c r="M263" i="4" s="1"/>
  <c r="M264" i="4" s="1"/>
  <c r="M265" i="4" s="1"/>
  <c r="M266" i="4" s="1"/>
  <c r="M267" i="4" s="1"/>
  <c r="M268" i="4" s="1"/>
  <c r="M269" i="4" s="1"/>
  <c r="M270" i="4" s="1"/>
  <c r="M271" i="4" s="1"/>
  <c r="M272" i="4" s="1"/>
  <c r="M274" i="4" s="1"/>
  <c r="M275" i="4" s="1"/>
  <c r="M276" i="4" s="1"/>
  <c r="M277" i="4" s="1"/>
  <c r="M278" i="4" s="1"/>
  <c r="M279" i="4" s="1"/>
  <c r="M280" i="4" s="1"/>
  <c r="M281" i="4" s="1"/>
  <c r="M282" i="4" s="1"/>
  <c r="M283" i="4" s="1"/>
  <c r="M284" i="4" s="1"/>
  <c r="M285" i="4" s="1"/>
  <c r="M286" i="4" s="1"/>
  <c r="M287" i="4" s="1"/>
  <c r="M288" i="4" s="1"/>
  <c r="M289" i="4" s="1"/>
  <c r="M295" i="4" s="1"/>
  <c r="M296" i="4" s="1"/>
  <c r="M297" i="4" s="1"/>
  <c r="M298" i="4" s="1"/>
  <c r="M299" i="4" s="1"/>
  <c r="M300" i="4" s="1"/>
  <c r="M301" i="4" s="1"/>
  <c r="M302" i="4" s="1"/>
  <c r="M303" i="4" s="1"/>
  <c r="M304" i="4" s="1"/>
  <c r="M305" i="4" s="1"/>
  <c r="M306" i="4" s="1"/>
  <c r="M307" i="4" s="1"/>
  <c r="M308" i="4" s="1"/>
  <c r="M309" i="4" s="1"/>
  <c r="M310" i="4" s="1"/>
  <c r="M312" i="4" s="1"/>
  <c r="M313" i="4" s="1"/>
  <c r="M314" i="4" s="1"/>
  <c r="M315" i="4" s="1"/>
  <c r="M316" i="4" s="1"/>
  <c r="M317" i="4" s="1"/>
  <c r="M318" i="4" s="1"/>
  <c r="M319" i="4" s="1"/>
  <c r="M320" i="4" s="1"/>
  <c r="M321" i="4" s="1"/>
  <c r="M322" i="4" s="1"/>
  <c r="M323" i="4" s="1"/>
  <c r="M324" i="4" s="1"/>
  <c r="M325" i="4" s="1"/>
  <c r="M326" i="4" s="1"/>
  <c r="M327" i="4" s="1"/>
  <c r="M330" i="4" s="1"/>
  <c r="M331" i="4" s="1"/>
  <c r="M332" i="4" s="1"/>
  <c r="M333" i="4" s="1"/>
  <c r="M334" i="4" s="1"/>
  <c r="M335" i="4" s="1"/>
  <c r="M336" i="4" s="1"/>
  <c r="M337" i="4" s="1"/>
  <c r="M338" i="4" s="1"/>
  <c r="M339" i="4" s="1"/>
  <c r="M340" i="4" s="1"/>
  <c r="M341" i="4" s="1"/>
  <c r="M342" i="4" s="1"/>
  <c r="M343" i="4" s="1"/>
  <c r="M344" i="4" s="1"/>
  <c r="M345" i="4" s="1"/>
  <c r="M347" i="4" s="1"/>
  <c r="M348" i="4" s="1"/>
  <c r="M349" i="4" s="1"/>
  <c r="M350" i="4" s="1"/>
  <c r="M351" i="4" s="1"/>
  <c r="M352" i="4" s="1"/>
  <c r="M353" i="4" s="1"/>
  <c r="M354" i="4" s="1"/>
  <c r="M355" i="4" s="1"/>
  <c r="M356" i="4" s="1"/>
  <c r="M357" i="4" s="1"/>
  <c r="M358" i="4" s="1"/>
  <c r="M359" i="4" s="1"/>
  <c r="M360" i="4" s="1"/>
  <c r="M361" i="4" s="1"/>
  <c r="M362" i="4" s="1"/>
  <c r="M366" i="4" s="1"/>
  <c r="M367" i="4" s="1"/>
  <c r="M368" i="4" s="1"/>
  <c r="M369" i="4" s="1"/>
  <c r="M370" i="4" s="1"/>
  <c r="M371" i="4" s="1"/>
  <c r="M372" i="4" s="1"/>
  <c r="M373" i="4" s="1"/>
  <c r="M374" i="4" s="1"/>
  <c r="M375" i="4" s="1"/>
  <c r="M376" i="4" s="1"/>
  <c r="M377" i="4" s="1"/>
  <c r="M378" i="4" s="1"/>
  <c r="M379" i="4" s="1"/>
  <c r="M380" i="4" s="1"/>
  <c r="M381" i="4" s="1"/>
  <c r="M382" i="4" s="1"/>
  <c r="M384" i="4" s="1"/>
  <c r="M385" i="4" s="1"/>
  <c r="M386" i="4" s="1"/>
  <c r="M387" i="4" s="1"/>
  <c r="M388" i="4" s="1"/>
  <c r="M389" i="4" s="1"/>
  <c r="M390" i="4" s="1"/>
  <c r="M391" i="4" s="1"/>
  <c r="M392" i="4" s="1"/>
  <c r="M393" i="4" s="1"/>
  <c r="M394" i="4" s="1"/>
  <c r="M395" i="4" s="1"/>
  <c r="M396" i="4" s="1"/>
  <c r="M397" i="4" s="1"/>
  <c r="M398" i="4" s="1"/>
  <c r="M399" i="4" s="1"/>
  <c r="M403" i="4" s="1"/>
  <c r="M404" i="4" s="1"/>
  <c r="M405" i="4" s="1"/>
  <c r="M406" i="4" s="1"/>
  <c r="M407" i="4" s="1"/>
  <c r="M408" i="4" s="1"/>
  <c r="M409" i="4" s="1"/>
  <c r="M410" i="4" s="1"/>
  <c r="M411" i="4" s="1"/>
  <c r="M412" i="4" s="1"/>
  <c r="M413" i="4" s="1"/>
  <c r="M414" i="4" s="1"/>
  <c r="M415" i="4" s="1"/>
  <c r="M416" i="4" s="1"/>
  <c r="M417" i="4" s="1"/>
  <c r="M418" i="4" s="1"/>
  <c r="M421" i="4" s="1"/>
  <c r="M422" i="4" s="1"/>
  <c r="M423" i="4" s="1"/>
  <c r="M424" i="4" s="1"/>
  <c r="M425" i="4" s="1"/>
  <c r="M426" i="4" s="1"/>
  <c r="M427" i="4" s="1"/>
  <c r="M428" i="4" s="1"/>
  <c r="M429" i="4" s="1"/>
  <c r="M430" i="4" s="1"/>
  <c r="M431" i="4" s="1"/>
  <c r="M432" i="4" s="1"/>
  <c r="M433" i="4" s="1"/>
  <c r="M434" i="4" s="1"/>
  <c r="M435" i="4" s="1"/>
  <c r="M436" i="4" s="1"/>
  <c r="M252" i="4"/>
  <c r="M253" i="4" s="1"/>
  <c r="M254" i="4" s="1"/>
  <c r="N257" i="4"/>
  <c r="N258" i="4" s="1"/>
  <c r="N259" i="4" s="1"/>
  <c r="N260" i="4" s="1"/>
  <c r="N261" i="4" s="1"/>
  <c r="N262" i="4" s="1"/>
  <c r="N263" i="4" s="1"/>
  <c r="N264" i="4" s="1"/>
  <c r="N265" i="4" s="1"/>
  <c r="N266" i="4" s="1"/>
  <c r="N267" i="4" s="1"/>
  <c r="N268" i="4" s="1"/>
  <c r="N269" i="4" s="1"/>
  <c r="N270" i="4" s="1"/>
  <c r="N271" i="4" s="1"/>
  <c r="N272" i="4" s="1"/>
  <c r="N274" i="4" s="1"/>
  <c r="N275" i="4" s="1"/>
  <c r="N276" i="4" s="1"/>
  <c r="N277" i="4" s="1"/>
  <c r="N278" i="4" s="1"/>
  <c r="N279" i="4" s="1"/>
  <c r="N280" i="4" s="1"/>
  <c r="N281" i="4" s="1"/>
  <c r="N282" i="4" s="1"/>
  <c r="N283" i="4" s="1"/>
  <c r="N284" i="4" s="1"/>
  <c r="N285" i="4" s="1"/>
  <c r="N286" i="4" s="1"/>
  <c r="N287" i="4" s="1"/>
  <c r="N288" i="4" s="1"/>
  <c r="N289" i="4" s="1"/>
  <c r="N295" i="4" s="1"/>
  <c r="N296" i="4" s="1"/>
  <c r="N297" i="4" s="1"/>
  <c r="N298" i="4" s="1"/>
  <c r="N299" i="4" s="1"/>
  <c r="N300" i="4" s="1"/>
  <c r="N301" i="4" s="1"/>
  <c r="N302" i="4" s="1"/>
  <c r="N303" i="4" s="1"/>
  <c r="N304" i="4" s="1"/>
  <c r="N305" i="4" s="1"/>
  <c r="N306" i="4" s="1"/>
  <c r="N307" i="4" s="1"/>
  <c r="N308" i="4" s="1"/>
  <c r="N309" i="4" s="1"/>
  <c r="N310" i="4" s="1"/>
  <c r="N312" i="4" s="1"/>
  <c r="N313" i="4" s="1"/>
  <c r="N314" i="4" s="1"/>
  <c r="N315" i="4" s="1"/>
  <c r="N316" i="4" s="1"/>
  <c r="N317" i="4" s="1"/>
  <c r="N318" i="4" s="1"/>
  <c r="N319" i="4" s="1"/>
  <c r="N320" i="4" s="1"/>
  <c r="N321" i="4" s="1"/>
  <c r="N322" i="4" s="1"/>
  <c r="N323" i="4" s="1"/>
  <c r="N324" i="4" s="1"/>
  <c r="N325" i="4" s="1"/>
  <c r="N326" i="4" s="1"/>
  <c r="N327" i="4" s="1"/>
  <c r="N330" i="4" s="1"/>
  <c r="N331" i="4" s="1"/>
  <c r="N332" i="4" s="1"/>
  <c r="N333" i="4" s="1"/>
  <c r="N334" i="4" s="1"/>
  <c r="N335" i="4" s="1"/>
  <c r="N336" i="4" s="1"/>
  <c r="N337" i="4" s="1"/>
  <c r="N338" i="4" s="1"/>
  <c r="N339" i="4" s="1"/>
  <c r="N340" i="4" s="1"/>
  <c r="N341" i="4" s="1"/>
  <c r="N342" i="4" s="1"/>
  <c r="N343" i="4" s="1"/>
  <c r="N344" i="4" s="1"/>
  <c r="N345" i="4" s="1"/>
  <c r="N347" i="4" s="1"/>
  <c r="N348" i="4" s="1"/>
  <c r="N349" i="4" s="1"/>
  <c r="N350" i="4" s="1"/>
  <c r="N351" i="4" s="1"/>
  <c r="N352" i="4" s="1"/>
  <c r="N353" i="4" s="1"/>
  <c r="N354" i="4" s="1"/>
  <c r="N355" i="4" s="1"/>
  <c r="N356" i="4" s="1"/>
  <c r="N357" i="4" s="1"/>
  <c r="N358" i="4" s="1"/>
  <c r="N359" i="4" s="1"/>
  <c r="N360" i="4" s="1"/>
  <c r="N361" i="4" s="1"/>
  <c r="N362" i="4" s="1"/>
  <c r="N366" i="4" s="1"/>
  <c r="N367" i="4" s="1"/>
  <c r="N368" i="4" s="1"/>
  <c r="N369" i="4" s="1"/>
  <c r="N370" i="4" s="1"/>
  <c r="N371" i="4" s="1"/>
  <c r="N372" i="4" s="1"/>
  <c r="N373" i="4" s="1"/>
  <c r="N374" i="4" s="1"/>
  <c r="N375" i="4" s="1"/>
  <c r="N376" i="4" s="1"/>
  <c r="N377" i="4" s="1"/>
  <c r="N378" i="4" s="1"/>
  <c r="N379" i="4" s="1"/>
  <c r="N380" i="4" s="1"/>
  <c r="N381" i="4" s="1"/>
  <c r="N382" i="4" s="1"/>
  <c r="N384" i="4" s="1"/>
  <c r="N385" i="4" s="1"/>
  <c r="N386" i="4" s="1"/>
  <c r="N387" i="4" s="1"/>
  <c r="N388" i="4" s="1"/>
  <c r="N389" i="4" s="1"/>
  <c r="N390" i="4" s="1"/>
  <c r="N391" i="4" s="1"/>
  <c r="N392" i="4" s="1"/>
  <c r="N393" i="4" s="1"/>
  <c r="N394" i="4" s="1"/>
  <c r="N395" i="4" s="1"/>
  <c r="N396" i="4" s="1"/>
  <c r="N397" i="4" s="1"/>
  <c r="N398" i="4" s="1"/>
  <c r="N399" i="4" s="1"/>
  <c r="N403" i="4" s="1"/>
  <c r="N404" i="4" s="1"/>
  <c r="N405" i="4" s="1"/>
  <c r="N406" i="4" s="1"/>
  <c r="N407" i="4" s="1"/>
  <c r="N408" i="4" s="1"/>
  <c r="N409" i="4" s="1"/>
  <c r="N410" i="4" s="1"/>
  <c r="N411" i="4" s="1"/>
  <c r="N412" i="4" s="1"/>
  <c r="N413" i="4" s="1"/>
  <c r="N414" i="4" s="1"/>
  <c r="N415" i="4" s="1"/>
  <c r="N416" i="4" s="1"/>
  <c r="N417" i="4" s="1"/>
  <c r="N418" i="4" s="1"/>
  <c r="N421" i="4" s="1"/>
  <c r="N422" i="4" s="1"/>
  <c r="N423" i="4" s="1"/>
  <c r="N424" i="4" s="1"/>
  <c r="N425" i="4" s="1"/>
  <c r="N426" i="4" s="1"/>
  <c r="N427" i="4" s="1"/>
  <c r="N428" i="4" s="1"/>
  <c r="N429" i="4" s="1"/>
  <c r="N430" i="4" s="1"/>
  <c r="N431" i="4" s="1"/>
  <c r="N432" i="4" s="1"/>
  <c r="N433" i="4" s="1"/>
  <c r="N434" i="4" s="1"/>
  <c r="N435" i="4" s="1"/>
  <c r="N436" i="4" s="1"/>
  <c r="N252" i="4"/>
  <c r="N253" i="4" s="1"/>
  <c r="N254" i="4" s="1"/>
  <c r="D245" i="4"/>
  <c r="D246" i="4" s="1"/>
  <c r="D247" i="4" s="1"/>
  <c r="D248" i="4" s="1"/>
  <c r="D249" i="4" s="1"/>
  <c r="D250" i="4" s="1"/>
  <c r="D251" i="4" s="1"/>
  <c r="L449" i="4"/>
  <c r="O448" i="4"/>
  <c r="O149" i="4"/>
  <c r="O82" i="4"/>
  <c r="K100" i="4"/>
  <c r="L100" i="4"/>
  <c r="L84" i="4"/>
  <c r="O83" i="4"/>
  <c r="K83" i="4"/>
  <c r="J83" i="4"/>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Q7" i="6"/>
  <c r="Q8" i="6"/>
  <c r="Q9" i="6"/>
  <c r="Q10" i="6"/>
  <c r="Q11" i="6"/>
  <c r="Q12" i="6"/>
  <c r="Q13" i="6"/>
  <c r="Q14" i="6"/>
  <c r="Q15" i="6"/>
  <c r="Q16" i="6"/>
  <c r="K67" i="4" l="1"/>
  <c r="J101" i="4"/>
  <c r="K17" i="4"/>
  <c r="J451" i="4"/>
  <c r="D257" i="4"/>
  <c r="D258" i="4" s="1"/>
  <c r="D259" i="4" s="1"/>
  <c r="D260" i="4" s="1"/>
  <c r="D261" i="4" s="1"/>
  <c r="D262" i="4" s="1"/>
  <c r="D263" i="4" s="1"/>
  <c r="D264" i="4" s="1"/>
  <c r="D265" i="4" s="1"/>
  <c r="D266" i="4" s="1"/>
  <c r="D267" i="4" s="1"/>
  <c r="D268" i="4" s="1"/>
  <c r="D269" i="4" s="1"/>
  <c r="D270" i="4" s="1"/>
  <c r="D271" i="4" s="1"/>
  <c r="D272" i="4" s="1"/>
  <c r="D274" i="4" s="1"/>
  <c r="D275" i="4" s="1"/>
  <c r="D276" i="4" s="1"/>
  <c r="D277" i="4" s="1"/>
  <c r="D278" i="4" s="1"/>
  <c r="D279" i="4" s="1"/>
  <c r="D280" i="4" s="1"/>
  <c r="D281" i="4" s="1"/>
  <c r="D282" i="4" s="1"/>
  <c r="D283" i="4" s="1"/>
  <c r="D284" i="4" s="1"/>
  <c r="D285" i="4" s="1"/>
  <c r="D286" i="4" s="1"/>
  <c r="D287" i="4" s="1"/>
  <c r="D288" i="4" s="1"/>
  <c r="D289" i="4" s="1"/>
  <c r="D294" i="4" s="1"/>
  <c r="D295" i="4" s="1"/>
  <c r="D296" i="4" s="1"/>
  <c r="D297" i="4" s="1"/>
  <c r="D298" i="4" s="1"/>
  <c r="D299" i="4" s="1"/>
  <c r="D300" i="4" s="1"/>
  <c r="D301" i="4" s="1"/>
  <c r="D302" i="4" s="1"/>
  <c r="D303" i="4" s="1"/>
  <c r="D304" i="4" s="1"/>
  <c r="D305" i="4" s="1"/>
  <c r="D306" i="4" s="1"/>
  <c r="D307" i="4" s="1"/>
  <c r="D308" i="4" s="1"/>
  <c r="D309" i="4" s="1"/>
  <c r="D310" i="4" s="1"/>
  <c r="D312" i="4" s="1"/>
  <c r="D313" i="4" s="1"/>
  <c r="D314" i="4" s="1"/>
  <c r="D315" i="4" s="1"/>
  <c r="D316" i="4" s="1"/>
  <c r="D317" i="4" s="1"/>
  <c r="D318" i="4" s="1"/>
  <c r="D319" i="4" s="1"/>
  <c r="D320" i="4" s="1"/>
  <c r="D321" i="4" s="1"/>
  <c r="D322" i="4" s="1"/>
  <c r="D323" i="4" s="1"/>
  <c r="D324" i="4" s="1"/>
  <c r="D325" i="4" s="1"/>
  <c r="D326" i="4" s="1"/>
  <c r="D327" i="4" s="1"/>
  <c r="D330" i="4" s="1"/>
  <c r="D331" i="4" s="1"/>
  <c r="D332" i="4" s="1"/>
  <c r="D333" i="4" s="1"/>
  <c r="D334" i="4" s="1"/>
  <c r="D335" i="4" s="1"/>
  <c r="D336" i="4" s="1"/>
  <c r="D337" i="4" s="1"/>
  <c r="D338" i="4" s="1"/>
  <c r="D339" i="4" s="1"/>
  <c r="D340" i="4" s="1"/>
  <c r="D341" i="4" s="1"/>
  <c r="D342" i="4" s="1"/>
  <c r="D343" i="4" s="1"/>
  <c r="D344" i="4" s="1"/>
  <c r="D345" i="4" s="1"/>
  <c r="D347" i="4" s="1"/>
  <c r="D348" i="4" s="1"/>
  <c r="D349" i="4" s="1"/>
  <c r="D350" i="4" s="1"/>
  <c r="D351" i="4" s="1"/>
  <c r="D352" i="4" s="1"/>
  <c r="D353" i="4" s="1"/>
  <c r="D354" i="4" s="1"/>
  <c r="D355" i="4" s="1"/>
  <c r="D356" i="4" s="1"/>
  <c r="D357" i="4" s="1"/>
  <c r="D358" i="4" s="1"/>
  <c r="D359" i="4" s="1"/>
  <c r="D360" i="4" s="1"/>
  <c r="D361" i="4" s="1"/>
  <c r="D362" i="4" s="1"/>
  <c r="D364" i="4" s="1"/>
  <c r="D367" i="4" s="1"/>
  <c r="D368" i="4" s="1"/>
  <c r="D369" i="4" s="1"/>
  <c r="D370" i="4" s="1"/>
  <c r="D371" i="4" s="1"/>
  <c r="D372" i="4" s="1"/>
  <c r="D373" i="4" s="1"/>
  <c r="D374" i="4" s="1"/>
  <c r="D375" i="4" s="1"/>
  <c r="D376" i="4" s="1"/>
  <c r="D377" i="4" s="1"/>
  <c r="D378" i="4" s="1"/>
  <c r="D379" i="4" s="1"/>
  <c r="D380" i="4" s="1"/>
  <c r="D381" i="4" s="1"/>
  <c r="D382" i="4" s="1"/>
  <c r="D385" i="4" s="1"/>
  <c r="D386" i="4" s="1"/>
  <c r="D387" i="4" s="1"/>
  <c r="D388" i="4" s="1"/>
  <c r="D389" i="4" s="1"/>
  <c r="D390" i="4" s="1"/>
  <c r="D391" i="4" s="1"/>
  <c r="D392" i="4" s="1"/>
  <c r="D393" i="4" s="1"/>
  <c r="D394" i="4" s="1"/>
  <c r="D395" i="4" s="1"/>
  <c r="D396" i="4" s="1"/>
  <c r="D397" i="4" s="1"/>
  <c r="D398" i="4" s="1"/>
  <c r="D399" i="4" s="1"/>
  <c r="D401" i="4" s="1"/>
  <c r="D403" i="4" s="1"/>
  <c r="D404" i="4" s="1"/>
  <c r="D405" i="4" s="1"/>
  <c r="D406" i="4" s="1"/>
  <c r="D407" i="4" s="1"/>
  <c r="D408" i="4" s="1"/>
  <c r="D409" i="4" s="1"/>
  <c r="D410" i="4" s="1"/>
  <c r="D411" i="4" s="1"/>
  <c r="D412" i="4" s="1"/>
  <c r="D413" i="4" s="1"/>
  <c r="D414" i="4" s="1"/>
  <c r="D415" i="4" s="1"/>
  <c r="D416" i="4" s="1"/>
  <c r="D417" i="4" s="1"/>
  <c r="D418" i="4" s="1"/>
  <c r="D421" i="4" s="1"/>
  <c r="D422" i="4" s="1"/>
  <c r="D423" i="4" s="1"/>
  <c r="D424" i="4" s="1"/>
  <c r="D425" i="4" s="1"/>
  <c r="D426" i="4" s="1"/>
  <c r="D427" i="4" s="1"/>
  <c r="D428" i="4" s="1"/>
  <c r="D429" i="4" s="1"/>
  <c r="D430" i="4" s="1"/>
  <c r="D431" i="4" s="1"/>
  <c r="D432" i="4" s="1"/>
  <c r="D433" i="4" s="1"/>
  <c r="D434" i="4" s="1"/>
  <c r="D435" i="4" s="1"/>
  <c r="D436" i="4" s="1"/>
  <c r="D252" i="4"/>
  <c r="D253" i="4" s="1"/>
  <c r="D254" i="4" s="1"/>
  <c r="L450" i="4"/>
  <c r="O449" i="4"/>
  <c r="O100" i="4"/>
  <c r="L101" i="4"/>
  <c r="K101" i="4"/>
  <c r="L85" i="4"/>
  <c r="O84" i="4"/>
  <c r="J84" i="4"/>
  <c r="K84" i="4"/>
  <c r="D65" i="4"/>
  <c r="D66" i="4" s="1"/>
  <c r="D67" i="4" s="1"/>
  <c r="D68" i="4" s="1"/>
  <c r="D69" i="4" s="1"/>
  <c r="D70" i="4" s="1"/>
  <c r="D71" i="4" s="1"/>
  <c r="D72" i="4" s="1"/>
  <c r="D73" i="4" s="1"/>
  <c r="D74" i="4" s="1"/>
  <c r="D75" i="4" s="1"/>
  <c r="D76" i="4" s="1"/>
  <c r="D77" i="4" s="1"/>
  <c r="D78" i="4" s="1"/>
  <c r="D79" i="4" s="1"/>
  <c r="D80" i="4" s="1"/>
  <c r="M47" i="4"/>
  <c r="M48" i="4" s="1"/>
  <c r="M49" i="4" s="1"/>
  <c r="M50" i="4" s="1"/>
  <c r="M51" i="4" s="1"/>
  <c r="M52" i="4" s="1"/>
  <c r="M53" i="4" s="1"/>
  <c r="M54" i="4" s="1"/>
  <c r="M55" i="4" s="1"/>
  <c r="M56" i="4" s="1"/>
  <c r="M57" i="4" s="1"/>
  <c r="M58" i="4" s="1"/>
  <c r="M59" i="4" s="1"/>
  <c r="M60" i="4" s="1"/>
  <c r="M61" i="4" s="1"/>
  <c r="M62" i="4" s="1"/>
  <c r="N47" i="4"/>
  <c r="N48" i="4" s="1"/>
  <c r="N49" i="4" s="1"/>
  <c r="N50" i="4" s="1"/>
  <c r="N51" i="4" s="1"/>
  <c r="N52" i="4" s="1"/>
  <c r="N53" i="4" s="1"/>
  <c r="N54" i="4" s="1"/>
  <c r="N55" i="4" s="1"/>
  <c r="N56" i="4" s="1"/>
  <c r="N57" i="4" s="1"/>
  <c r="N58" i="4" s="1"/>
  <c r="N59" i="4" s="1"/>
  <c r="N60" i="4" s="1"/>
  <c r="N61" i="4" s="1"/>
  <c r="N62" i="4" s="1"/>
  <c r="L47" i="4"/>
  <c r="D47" i="4"/>
  <c r="D48" i="4" s="1"/>
  <c r="D49" i="4" s="1"/>
  <c r="D50" i="4" s="1"/>
  <c r="D51" i="4" s="1"/>
  <c r="D52" i="4" s="1"/>
  <c r="D53" i="4" s="1"/>
  <c r="D54" i="4" s="1"/>
  <c r="D55" i="4" s="1"/>
  <c r="D56" i="4" s="1"/>
  <c r="D57" i="4" s="1"/>
  <c r="D58" i="4" s="1"/>
  <c r="D59" i="4" s="1"/>
  <c r="D60" i="4" s="1"/>
  <c r="D61" i="4" s="1"/>
  <c r="D62" i="4" s="1"/>
  <c r="Q47" i="4"/>
  <c r="Q48" i="4" s="1"/>
  <c r="Q49" i="4" s="1"/>
  <c r="Q50" i="4" s="1"/>
  <c r="Q51" i="4" s="1"/>
  <c r="Q52" i="4" s="1"/>
  <c r="Q53" i="4" s="1"/>
  <c r="Q54" i="4" s="1"/>
  <c r="Q55" i="4" s="1"/>
  <c r="Q56" i="4" s="1"/>
  <c r="Q57" i="4" s="1"/>
  <c r="Q58" i="4" s="1"/>
  <c r="Q59" i="4" s="1"/>
  <c r="Q60" i="4" s="1"/>
  <c r="Q61" i="4" s="1"/>
  <c r="Q62" i="4" s="1"/>
  <c r="Q63" i="4" s="1"/>
  <c r="H31" i="4"/>
  <c r="H32" i="4" s="1"/>
  <c r="J31" i="4"/>
  <c r="K31" i="4"/>
  <c r="D30" i="4"/>
  <c r="D31" i="4" s="1"/>
  <c r="D32" i="4" s="1"/>
  <c r="D33" i="4" s="1"/>
  <c r="D34" i="4" s="1"/>
  <c r="D35" i="4" s="1"/>
  <c r="D36" i="4" s="1"/>
  <c r="D37" i="4" s="1"/>
  <c r="D38" i="4" s="1"/>
  <c r="D39" i="4" s="1"/>
  <c r="D40" i="4" s="1"/>
  <c r="D41" i="4" s="1"/>
  <c r="D42" i="4" s="1"/>
  <c r="D43" i="4" s="1"/>
  <c r="D44" i="4" s="1"/>
  <c r="D45" i="4" s="1"/>
  <c r="L30" i="4"/>
  <c r="L31" i="4" s="1"/>
  <c r="L32" i="4" s="1"/>
  <c r="L33" i="4" s="1"/>
  <c r="L34" i="4" s="1"/>
  <c r="L35" i="4" s="1"/>
  <c r="L36" i="4" s="1"/>
  <c r="L37" i="4" s="1"/>
  <c r="L38" i="4" s="1"/>
  <c r="L39" i="4" s="1"/>
  <c r="L40" i="4" s="1"/>
  <c r="L41" i="4" s="1"/>
  <c r="L42" i="4" s="1"/>
  <c r="L43" i="4" s="1"/>
  <c r="L44" i="4" s="1"/>
  <c r="L45" i="4" s="1"/>
  <c r="N30" i="4"/>
  <c r="N31" i="4" s="1"/>
  <c r="N32" i="4" s="1"/>
  <c r="N33" i="4" s="1"/>
  <c r="N34" i="4" s="1"/>
  <c r="N35" i="4" s="1"/>
  <c r="N36" i="4" s="1"/>
  <c r="N37" i="4" s="1"/>
  <c r="N38" i="4" s="1"/>
  <c r="N39" i="4" s="1"/>
  <c r="N40" i="4" s="1"/>
  <c r="N41" i="4" s="1"/>
  <c r="N42" i="4" s="1"/>
  <c r="N43" i="4" s="1"/>
  <c r="N44" i="4" s="1"/>
  <c r="N45" i="4" s="1"/>
  <c r="M30" i="4"/>
  <c r="M31" i="4" s="1"/>
  <c r="M32" i="4" s="1"/>
  <c r="M33" i="4" s="1"/>
  <c r="M34" i="4" s="1"/>
  <c r="M35" i="4" s="1"/>
  <c r="M36" i="4" s="1"/>
  <c r="M37" i="4" s="1"/>
  <c r="M38" i="4" s="1"/>
  <c r="M39" i="4" s="1"/>
  <c r="M40" i="4" s="1"/>
  <c r="M41" i="4" s="1"/>
  <c r="M42" i="4" s="1"/>
  <c r="M43" i="4" s="1"/>
  <c r="M44" i="4" s="1"/>
  <c r="M45" i="4" s="1"/>
  <c r="H14" i="4"/>
  <c r="H15" i="4" s="1"/>
  <c r="H16" i="4" s="1"/>
  <c r="H17" i="4" s="1"/>
  <c r="H18" i="4" s="1"/>
  <c r="H19" i="4" s="1"/>
  <c r="H20" i="4" s="1"/>
  <c r="H21" i="4" s="1"/>
  <c r="H22" i="4" s="1"/>
  <c r="H23" i="4" s="1"/>
  <c r="H24" i="4" s="1"/>
  <c r="H25" i="4" s="1"/>
  <c r="H26" i="4" s="1"/>
  <c r="H27" i="4" s="1"/>
  <c r="H28" i="4" s="1"/>
  <c r="O12" i="4"/>
  <c r="O13" i="4"/>
  <c r="D13" i="4"/>
  <c r="D14" i="4" s="1"/>
  <c r="D15" i="4" s="1"/>
  <c r="D16" i="4" s="1"/>
  <c r="D17" i="4" s="1"/>
  <c r="D18" i="4" s="1"/>
  <c r="D19" i="4" s="1"/>
  <c r="D20" i="4" s="1"/>
  <c r="D21" i="4" s="1"/>
  <c r="D22" i="4" s="1"/>
  <c r="D23" i="4" s="1"/>
  <c r="D24" i="4" s="1"/>
  <c r="D25" i="4" s="1"/>
  <c r="D26" i="4" s="1"/>
  <c r="D27" i="4" s="1"/>
  <c r="D28" i="4" s="1"/>
  <c r="C13" i="4"/>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B13" i="4"/>
  <c r="V13" i="4" s="1"/>
  <c r="N14" i="4"/>
  <c r="N15" i="4" s="1"/>
  <c r="N16" i="4" s="1"/>
  <c r="N17" i="4" s="1"/>
  <c r="N18" i="4" s="1"/>
  <c r="N19" i="4" s="1"/>
  <c r="N20" i="4" s="1"/>
  <c r="N21" i="4" s="1"/>
  <c r="N22" i="4" s="1"/>
  <c r="N23" i="4" s="1"/>
  <c r="N24" i="4" s="1"/>
  <c r="N25" i="4" s="1"/>
  <c r="N26" i="4" s="1"/>
  <c r="N27" i="4" s="1"/>
  <c r="N28" i="4" s="1"/>
  <c r="M14" i="4"/>
  <c r="M15" i="4" s="1"/>
  <c r="M16" i="4" s="1"/>
  <c r="M17" i="4" s="1"/>
  <c r="M18" i="4" s="1"/>
  <c r="M19" i="4" s="1"/>
  <c r="M20" i="4" s="1"/>
  <c r="M21" i="4" s="1"/>
  <c r="M22" i="4" s="1"/>
  <c r="M23" i="4" s="1"/>
  <c r="M24" i="4" s="1"/>
  <c r="M25" i="4" s="1"/>
  <c r="M26" i="4" s="1"/>
  <c r="M27" i="4" s="1"/>
  <c r="M28" i="4" s="1"/>
  <c r="L14" i="4"/>
  <c r="O14" i="4" s="1"/>
  <c r="K68" i="4" l="1"/>
  <c r="K69" i="4" s="1"/>
  <c r="J102" i="4"/>
  <c r="K32" i="4"/>
  <c r="K18" i="4"/>
  <c r="B14" i="4"/>
  <c r="V14" i="4" s="1"/>
  <c r="J452" i="4"/>
  <c r="L451" i="4"/>
  <c r="O450" i="4"/>
  <c r="C65" i="4"/>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Q65" i="4"/>
  <c r="Q66" i="4" s="1"/>
  <c r="Q67" i="4" s="1"/>
  <c r="Q68" i="4" s="1"/>
  <c r="Q69" i="4" s="1"/>
  <c r="Q70" i="4" s="1"/>
  <c r="Q71" i="4" s="1"/>
  <c r="Q72" i="4" s="1"/>
  <c r="Q73" i="4" s="1"/>
  <c r="Q74" i="4" s="1"/>
  <c r="Q75" i="4" s="1"/>
  <c r="Q76" i="4" s="1"/>
  <c r="Q77" i="4" s="1"/>
  <c r="Q78" i="4" s="1"/>
  <c r="Q79" i="4" s="1"/>
  <c r="Q80" i="4" s="1"/>
  <c r="Q82" i="4" s="1"/>
  <c r="Q83" i="4" s="1"/>
  <c r="Q84" i="4" s="1"/>
  <c r="Q85" i="4" s="1"/>
  <c r="Q86" i="4" s="1"/>
  <c r="Q87" i="4" s="1"/>
  <c r="Q88" i="4" s="1"/>
  <c r="Q89" i="4" s="1"/>
  <c r="Q90" i="4" s="1"/>
  <c r="Q91" i="4" s="1"/>
  <c r="Q92" i="4" s="1"/>
  <c r="Q93" i="4" s="1"/>
  <c r="Q94" i="4" s="1"/>
  <c r="Q95" i="4" s="1"/>
  <c r="Q96" i="4" s="1"/>
  <c r="Q97" i="4" s="1"/>
  <c r="Q99" i="4" s="1"/>
  <c r="Q100" i="4" s="1"/>
  <c r="Q101" i="4" s="1"/>
  <c r="Q102" i="4" s="1"/>
  <c r="Q103" i="4" s="1"/>
  <c r="Q104" i="4" s="1"/>
  <c r="Q105" i="4" s="1"/>
  <c r="Q106" i="4" s="1"/>
  <c r="Q107" i="4" s="1"/>
  <c r="Q108" i="4" s="1"/>
  <c r="Q109" i="4" s="1"/>
  <c r="Q110" i="4" s="1"/>
  <c r="Q111" i="4" s="1"/>
  <c r="Q112" i="4" s="1"/>
  <c r="Q113" i="4" s="1"/>
  <c r="Q114" i="4" s="1"/>
  <c r="Q118" i="4" s="1"/>
  <c r="Q119" i="4" s="1"/>
  <c r="Q120" i="4" s="1"/>
  <c r="Q121" i="4" s="1"/>
  <c r="Q122" i="4" s="1"/>
  <c r="Q123" i="4" s="1"/>
  <c r="Q124" i="4" s="1"/>
  <c r="Q125" i="4" s="1"/>
  <c r="Q126" i="4" s="1"/>
  <c r="Q127" i="4" s="1"/>
  <c r="Q128" i="4" s="1"/>
  <c r="Q129" i="4" s="1"/>
  <c r="Q130" i="4" s="1"/>
  <c r="Q131" i="4" s="1"/>
  <c r="Q132" i="4" s="1"/>
  <c r="Q133" i="4" s="1"/>
  <c r="Q158" i="4" s="1"/>
  <c r="Q159" i="4" s="1"/>
  <c r="Q160" i="4" s="1"/>
  <c r="Q161" i="4" s="1"/>
  <c r="Q162" i="4" s="1"/>
  <c r="Q163" i="4" s="1"/>
  <c r="Q164" i="4" s="1"/>
  <c r="Q165" i="4" s="1"/>
  <c r="Q166" i="4" s="1"/>
  <c r="Q167" i="4" s="1"/>
  <c r="Q168" i="4" s="1"/>
  <c r="Q169" i="4" s="1"/>
  <c r="Q170" i="4" s="1"/>
  <c r="Q171" i="4" s="1"/>
  <c r="Q172" i="4" s="1"/>
  <c r="Q173" i="4" s="1"/>
  <c r="Q175" i="4" s="1"/>
  <c r="Q176" i="4" s="1"/>
  <c r="Q177" i="4" s="1"/>
  <c r="Q178" i="4" s="1"/>
  <c r="Q179" i="4" s="1"/>
  <c r="Q180" i="4" s="1"/>
  <c r="Q181" i="4" s="1"/>
  <c r="Q182" i="4" s="1"/>
  <c r="Q183" i="4" s="1"/>
  <c r="Q184" i="4" s="1"/>
  <c r="Q185" i="4" s="1"/>
  <c r="Q186" i="4" s="1"/>
  <c r="Q187" i="4" s="1"/>
  <c r="Q188" i="4" s="1"/>
  <c r="Q189" i="4" s="1"/>
  <c r="Q190" i="4" s="1"/>
  <c r="Q193" i="4" s="1"/>
  <c r="Q194" i="4" s="1"/>
  <c r="Q195" i="4" s="1"/>
  <c r="Q196" i="4" s="1"/>
  <c r="Q197" i="4" s="1"/>
  <c r="Q198" i="4" s="1"/>
  <c r="Q199" i="4" s="1"/>
  <c r="Q200" i="4" s="1"/>
  <c r="Q201" i="4" s="1"/>
  <c r="Q202" i="4" s="1"/>
  <c r="Q203" i="4" s="1"/>
  <c r="Q204" i="4" s="1"/>
  <c r="Q205" i="4" s="1"/>
  <c r="Q206" i="4" s="1"/>
  <c r="Q207" i="4" s="1"/>
  <c r="Q208" i="4" s="1"/>
  <c r="Q210" i="4" s="1"/>
  <c r="Q211" i="4" s="1"/>
  <c r="Q212" i="4" s="1"/>
  <c r="Q213" i="4" s="1"/>
  <c r="Q214" i="4" s="1"/>
  <c r="Q215" i="4" s="1"/>
  <c r="Q216" i="4" s="1"/>
  <c r="Q217" i="4" s="1"/>
  <c r="Q218" i="4" s="1"/>
  <c r="Q219" i="4" s="1"/>
  <c r="Q220" i="4" s="1"/>
  <c r="Q221" i="4" s="1"/>
  <c r="Q222" i="4" s="1"/>
  <c r="Q223" i="4" s="1"/>
  <c r="Q224" i="4" s="1"/>
  <c r="Q225" i="4" s="1"/>
  <c r="Q227" i="4" s="1"/>
  <c r="Q228" i="4" s="1"/>
  <c r="Q229" i="4" s="1"/>
  <c r="Q230" i="4" s="1"/>
  <c r="Q231" i="4" s="1"/>
  <c r="Q232" i="4" s="1"/>
  <c r="Q233" i="4" s="1"/>
  <c r="Q234" i="4" s="1"/>
  <c r="Q235" i="4" s="1"/>
  <c r="Q236" i="4" s="1"/>
  <c r="Q237" i="4" s="1"/>
  <c r="Q238" i="4" s="1"/>
  <c r="Q239" i="4" s="1"/>
  <c r="Q240" i="4" s="1"/>
  <c r="Q241" i="4" s="1"/>
  <c r="Q242" i="4" s="1"/>
  <c r="Q243" i="4" s="1"/>
  <c r="Q246" i="4" s="1"/>
  <c r="Q247" i="4" s="1"/>
  <c r="Q248" i="4" s="1"/>
  <c r="Q249" i="4" s="1"/>
  <c r="Q250" i="4" s="1"/>
  <c r="Q251" i="4" s="1"/>
  <c r="L48" i="4"/>
  <c r="O48" i="4" s="1"/>
  <c r="O47" i="4"/>
  <c r="O150" i="4"/>
  <c r="O144" i="4"/>
  <c r="K146" i="4"/>
  <c r="J32" i="4"/>
  <c r="K102" i="4"/>
  <c r="L102" i="4"/>
  <c r="O101" i="4"/>
  <c r="L86" i="4"/>
  <c r="O85" i="4"/>
  <c r="K85" i="4"/>
  <c r="J85" i="4"/>
  <c r="L15" i="4"/>
  <c r="O15" i="4" s="1"/>
  <c r="H33" i="4"/>
  <c r="H34" i="4" s="1"/>
  <c r="H35" i="4" s="1"/>
  <c r="H36" i="4" s="1"/>
  <c r="H37" i="4" s="1"/>
  <c r="H38" i="4" s="1"/>
  <c r="H39" i="4" s="1"/>
  <c r="H40" i="4" s="1"/>
  <c r="H41" i="4" s="1"/>
  <c r="H42" i="4" s="1"/>
  <c r="H43" i="4" s="1"/>
  <c r="H44" i="4" s="1"/>
  <c r="H45" i="4" s="1"/>
  <c r="K33" i="4" l="1"/>
  <c r="J103" i="4"/>
  <c r="J104" i="4" s="1"/>
  <c r="J453" i="4"/>
  <c r="K19" i="4"/>
  <c r="K70" i="4"/>
  <c r="B15" i="4"/>
  <c r="V15" i="4" s="1"/>
  <c r="Q257" i="4"/>
  <c r="Q258" i="4" s="1"/>
  <c r="Q259" i="4" s="1"/>
  <c r="Q260" i="4" s="1"/>
  <c r="Q261" i="4" s="1"/>
  <c r="Q262" i="4" s="1"/>
  <c r="Q263" i="4" s="1"/>
  <c r="Q264" i="4" s="1"/>
  <c r="Q265" i="4" s="1"/>
  <c r="Q266" i="4" s="1"/>
  <c r="Q267" i="4" s="1"/>
  <c r="Q268" i="4" s="1"/>
  <c r="Q269" i="4" s="1"/>
  <c r="Q270" i="4" s="1"/>
  <c r="Q271" i="4" s="1"/>
  <c r="Q272" i="4" s="1"/>
  <c r="Q273" i="4" s="1"/>
  <c r="Q274" i="4" s="1"/>
  <c r="Q275" i="4" s="1"/>
  <c r="Q276" i="4" s="1"/>
  <c r="Q277" i="4" s="1"/>
  <c r="Q278" i="4" s="1"/>
  <c r="Q279" i="4" s="1"/>
  <c r="Q280" i="4" s="1"/>
  <c r="Q281" i="4" s="1"/>
  <c r="Q282" i="4" s="1"/>
  <c r="Q283" i="4" s="1"/>
  <c r="Q284" i="4" s="1"/>
  <c r="Q285" i="4" s="1"/>
  <c r="Q286" i="4" s="1"/>
  <c r="Q287" i="4" s="1"/>
  <c r="Q288" i="4" s="1"/>
  <c r="Q289" i="4" s="1"/>
  <c r="Q290" i="4" s="1"/>
  <c r="Q293" i="4" s="1"/>
  <c r="Q295" i="4" s="1"/>
  <c r="Q296" i="4" s="1"/>
  <c r="Q297" i="4" s="1"/>
  <c r="Q298" i="4" s="1"/>
  <c r="Q299" i="4" s="1"/>
  <c r="Q300" i="4" s="1"/>
  <c r="Q301" i="4" s="1"/>
  <c r="Q302" i="4" s="1"/>
  <c r="Q303" i="4" s="1"/>
  <c r="Q304" i="4" s="1"/>
  <c r="Q305" i="4" s="1"/>
  <c r="Q306" i="4" s="1"/>
  <c r="Q307" i="4" s="1"/>
  <c r="Q308" i="4" s="1"/>
  <c r="Q309" i="4" s="1"/>
  <c r="Q310" i="4" s="1"/>
  <c r="Q312" i="4" s="1"/>
  <c r="Q313" i="4" s="1"/>
  <c r="Q314" i="4" s="1"/>
  <c r="Q315" i="4" s="1"/>
  <c r="Q316" i="4" s="1"/>
  <c r="Q317" i="4" s="1"/>
  <c r="Q318" i="4" s="1"/>
  <c r="Q319" i="4" s="1"/>
  <c r="Q320" i="4" s="1"/>
  <c r="Q321" i="4" s="1"/>
  <c r="Q322" i="4" s="1"/>
  <c r="Q323" i="4" s="1"/>
  <c r="Q324" i="4" s="1"/>
  <c r="Q325" i="4" s="1"/>
  <c r="Q326" i="4" s="1"/>
  <c r="Q327" i="4" s="1"/>
  <c r="Q330" i="4" s="1"/>
  <c r="Q331" i="4" s="1"/>
  <c r="Q332" i="4" s="1"/>
  <c r="Q333" i="4" s="1"/>
  <c r="Q334" i="4" s="1"/>
  <c r="Q335" i="4" s="1"/>
  <c r="Q336" i="4" s="1"/>
  <c r="Q337" i="4" s="1"/>
  <c r="Q338" i="4" s="1"/>
  <c r="Q339" i="4" s="1"/>
  <c r="Q340" i="4" s="1"/>
  <c r="Q341" i="4" s="1"/>
  <c r="Q342" i="4" s="1"/>
  <c r="Q343" i="4" s="1"/>
  <c r="Q344" i="4" s="1"/>
  <c r="Q345" i="4" s="1"/>
  <c r="Q347" i="4" s="1"/>
  <c r="Q348" i="4" s="1"/>
  <c r="Q349" i="4" s="1"/>
  <c r="Q350" i="4" s="1"/>
  <c r="Q351" i="4" s="1"/>
  <c r="Q352" i="4" s="1"/>
  <c r="Q353" i="4" s="1"/>
  <c r="Q354" i="4" s="1"/>
  <c r="Q355" i="4" s="1"/>
  <c r="Q356" i="4" s="1"/>
  <c r="Q357" i="4" s="1"/>
  <c r="Q358" i="4" s="1"/>
  <c r="Q359" i="4" s="1"/>
  <c r="Q360" i="4" s="1"/>
  <c r="Q361" i="4" s="1"/>
  <c r="Q362" i="4" s="1"/>
  <c r="Q367" i="4" s="1"/>
  <c r="Q368" i="4" s="1"/>
  <c r="Q369" i="4" s="1"/>
  <c r="Q370" i="4" s="1"/>
  <c r="Q371" i="4" s="1"/>
  <c r="Q372" i="4" s="1"/>
  <c r="Q373" i="4" s="1"/>
  <c r="Q374" i="4" s="1"/>
  <c r="Q375" i="4" s="1"/>
  <c r="Q376" i="4" s="1"/>
  <c r="Q377" i="4" s="1"/>
  <c r="Q378" i="4" s="1"/>
  <c r="Q379" i="4" s="1"/>
  <c r="Q380" i="4" s="1"/>
  <c r="Q381" i="4" s="1"/>
  <c r="Q382" i="4" s="1"/>
  <c r="Q384" i="4" s="1"/>
  <c r="Q385" i="4" s="1"/>
  <c r="Q386" i="4" s="1"/>
  <c r="Q387" i="4" s="1"/>
  <c r="Q388" i="4" s="1"/>
  <c r="Q389" i="4" s="1"/>
  <c r="Q390" i="4" s="1"/>
  <c r="Q391" i="4" s="1"/>
  <c r="Q392" i="4" s="1"/>
  <c r="Q393" i="4" s="1"/>
  <c r="Q394" i="4" s="1"/>
  <c r="Q395" i="4" s="1"/>
  <c r="Q396" i="4" s="1"/>
  <c r="Q397" i="4" s="1"/>
  <c r="Q398" i="4" s="1"/>
  <c r="Q399" i="4" s="1"/>
  <c r="Q403" i="4" s="1"/>
  <c r="Q404" i="4" s="1"/>
  <c r="Q405" i="4" s="1"/>
  <c r="Q406" i="4" s="1"/>
  <c r="Q407" i="4" s="1"/>
  <c r="Q408" i="4" s="1"/>
  <c r="Q409" i="4" s="1"/>
  <c r="Q410" i="4" s="1"/>
  <c r="Q411" i="4" s="1"/>
  <c r="Q412" i="4" s="1"/>
  <c r="Q413" i="4" s="1"/>
  <c r="Q414" i="4" s="1"/>
  <c r="Q415" i="4" s="1"/>
  <c r="Q416" i="4" s="1"/>
  <c r="Q417" i="4" s="1"/>
  <c r="Q418" i="4" s="1"/>
  <c r="Q421" i="4" s="1"/>
  <c r="Q422" i="4" s="1"/>
  <c r="Q423" i="4" s="1"/>
  <c r="Q424" i="4" s="1"/>
  <c r="Q425" i="4" s="1"/>
  <c r="Q426" i="4" s="1"/>
  <c r="Q427" i="4" s="1"/>
  <c r="Q428" i="4" s="1"/>
  <c r="Q429" i="4" s="1"/>
  <c r="Q430" i="4" s="1"/>
  <c r="Q431" i="4" s="1"/>
  <c r="Q432" i="4" s="1"/>
  <c r="Q433" i="4" s="1"/>
  <c r="Q434" i="4" s="1"/>
  <c r="Q435" i="4" s="1"/>
  <c r="Q436" i="4" s="1"/>
  <c r="Q252" i="4"/>
  <c r="Q253" i="4" s="1"/>
  <c r="Q254" i="4" s="1"/>
  <c r="L49" i="4"/>
  <c r="O49" i="4" s="1"/>
  <c r="C116" i="4"/>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L452" i="4"/>
  <c r="O451" i="4"/>
  <c r="J474" i="4"/>
  <c r="J65" i="4"/>
  <c r="O151" i="4"/>
  <c r="J33" i="4"/>
  <c r="K103" i="4"/>
  <c r="L103" i="4"/>
  <c r="O102" i="4"/>
  <c r="L87" i="4"/>
  <c r="O86" i="4"/>
  <c r="J86" i="4"/>
  <c r="K86" i="4"/>
  <c r="L16" i="4"/>
  <c r="O16" i="4" s="1"/>
  <c r="K34" i="4"/>
  <c r="B16" i="4" l="1"/>
  <c r="V16" i="4" s="1"/>
  <c r="K20" i="4"/>
  <c r="J66" i="4"/>
  <c r="K71" i="4"/>
  <c r="J454" i="4"/>
  <c r="C148" i="4"/>
  <c r="C149" i="4" s="1"/>
  <c r="C150" i="4" s="1"/>
  <c r="C151" i="4" s="1"/>
  <c r="C152" i="4" s="1"/>
  <c r="C153" i="4" s="1"/>
  <c r="C154" i="4" s="1"/>
  <c r="C155" i="4" s="1"/>
  <c r="C156" i="4" s="1"/>
  <c r="C157" i="4" s="1"/>
  <c r="C158" i="4" s="1"/>
  <c r="C159" i="4" s="1"/>
  <c r="C160" i="4" s="1"/>
  <c r="L50" i="4"/>
  <c r="L51" i="4" s="1"/>
  <c r="K439" i="4"/>
  <c r="L453" i="4"/>
  <c r="O452" i="4"/>
  <c r="J475" i="4"/>
  <c r="O152" i="4"/>
  <c r="O146" i="4"/>
  <c r="O145" i="4"/>
  <c r="J34" i="4"/>
  <c r="J105" i="4"/>
  <c r="K104" i="4"/>
  <c r="L104" i="4"/>
  <c r="O103" i="4"/>
  <c r="L88" i="4"/>
  <c r="O87" i="4"/>
  <c r="K87" i="4"/>
  <c r="J87" i="4"/>
  <c r="L17" i="4"/>
  <c r="L18" i="4" s="1"/>
  <c r="K35" i="4"/>
  <c r="K72" i="4" l="1"/>
  <c r="K21" i="4"/>
  <c r="J456" i="4"/>
  <c r="J67" i="4"/>
  <c r="B17" i="4"/>
  <c r="V17" i="4" s="1"/>
  <c r="O50" i="4"/>
  <c r="K440" i="4"/>
  <c r="L454" i="4"/>
  <c r="O453" i="4"/>
  <c r="J476" i="4"/>
  <c r="O153" i="4"/>
  <c r="J35" i="4"/>
  <c r="L105" i="4"/>
  <c r="O104" i="4"/>
  <c r="K105" i="4"/>
  <c r="J106" i="4"/>
  <c r="L89" i="4"/>
  <c r="O88" i="4"/>
  <c r="J88" i="4"/>
  <c r="K88" i="4"/>
  <c r="O17" i="4"/>
  <c r="L19" i="4"/>
  <c r="O18" i="4"/>
  <c r="O51" i="4"/>
  <c r="L52" i="4"/>
  <c r="K36" i="4"/>
  <c r="J68" i="4" l="1"/>
  <c r="K73" i="4"/>
  <c r="K22" i="4"/>
  <c r="B18" i="4"/>
  <c r="V18" i="4" s="1"/>
  <c r="J457" i="4"/>
  <c r="K441" i="4"/>
  <c r="L456" i="4"/>
  <c r="O454" i="4"/>
  <c r="J477" i="4"/>
  <c r="J36" i="4"/>
  <c r="J107" i="4"/>
  <c r="K106" i="4"/>
  <c r="L106" i="4"/>
  <c r="O105" i="4"/>
  <c r="L90" i="4"/>
  <c r="O89" i="4"/>
  <c r="K89" i="4"/>
  <c r="J89" i="4"/>
  <c r="O52" i="4"/>
  <c r="L53" i="4"/>
  <c r="K37" i="4"/>
  <c r="L20" i="4"/>
  <c r="O19" i="4"/>
  <c r="K74" i="4" l="1"/>
  <c r="B19" i="4"/>
  <c r="V19" i="4" s="1"/>
  <c r="J458" i="4"/>
  <c r="K23" i="4"/>
  <c r="J69" i="4"/>
  <c r="C161" i="4"/>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3" i="4" s="1"/>
  <c r="C354" i="4" s="1"/>
  <c r="C355" i="4" s="1"/>
  <c r="C356" i="4" s="1"/>
  <c r="C357" i="4" s="1"/>
  <c r="C358" i="4" s="1"/>
  <c r="C359" i="4" s="1"/>
  <c r="C360" i="4" s="1"/>
  <c r="C361" i="4" s="1"/>
  <c r="C362" i="4" s="1"/>
  <c r="C363" i="4" s="1"/>
  <c r="C364" i="4" s="1"/>
  <c r="C365" i="4" s="1"/>
  <c r="C366" i="4" s="1"/>
  <c r="C367" i="4" s="1"/>
  <c r="C368" i="4" s="1"/>
  <c r="C369" i="4" s="1"/>
  <c r="C370" i="4" s="1"/>
  <c r="C371" i="4" s="1"/>
  <c r="C372" i="4" s="1"/>
  <c r="C373" i="4" s="1"/>
  <c r="C374" i="4" s="1"/>
  <c r="C375" i="4" s="1"/>
  <c r="C376" i="4" s="1"/>
  <c r="C377" i="4" s="1"/>
  <c r="C378" i="4" s="1"/>
  <c r="C379" i="4" s="1"/>
  <c r="C380" i="4" s="1"/>
  <c r="C381" i="4" s="1"/>
  <c r="C382" i="4" s="1"/>
  <c r="C383" i="4" s="1"/>
  <c r="C384" i="4" s="1"/>
  <c r="C385" i="4" s="1"/>
  <c r="C386" i="4" s="1"/>
  <c r="C387" i="4" s="1"/>
  <c r="C388" i="4" s="1"/>
  <c r="C389" i="4" s="1"/>
  <c r="C390" i="4" s="1"/>
  <c r="C391" i="4" s="1"/>
  <c r="C392" i="4" s="1"/>
  <c r="C393" i="4" s="1"/>
  <c r="C394" i="4" s="1"/>
  <c r="C395" i="4" s="1"/>
  <c r="C396" i="4" s="1"/>
  <c r="C397" i="4" s="1"/>
  <c r="C398" i="4" s="1"/>
  <c r="C399" i="4" s="1"/>
  <c r="C400" i="4" s="1"/>
  <c r="C401" i="4" s="1"/>
  <c r="C402" i="4" s="1"/>
  <c r="C403" i="4" s="1"/>
  <c r="C404" i="4" s="1"/>
  <c r="C405" i="4" s="1"/>
  <c r="C406" i="4" s="1"/>
  <c r="C407" i="4" s="1"/>
  <c r="C408" i="4" s="1"/>
  <c r="C409" i="4" s="1"/>
  <c r="C410" i="4" s="1"/>
  <c r="C411" i="4" s="1"/>
  <c r="C412" i="4" s="1"/>
  <c r="C413" i="4" s="1"/>
  <c r="C414" i="4" s="1"/>
  <c r="C415" i="4" s="1"/>
  <c r="C416" i="4" s="1"/>
  <c r="C417" i="4" s="1"/>
  <c r="C418" i="4" s="1"/>
  <c r="C419" i="4" s="1"/>
  <c r="C420" i="4" s="1"/>
  <c r="C421" i="4" s="1"/>
  <c r="C422" i="4" s="1"/>
  <c r="C423" i="4" s="1"/>
  <c r="C424" i="4" s="1"/>
  <c r="C425" i="4" s="1"/>
  <c r="C426" i="4" s="1"/>
  <c r="C427" i="4" s="1"/>
  <c r="C428" i="4" s="1"/>
  <c r="C429" i="4" s="1"/>
  <c r="C430" i="4" s="1"/>
  <c r="C431" i="4" s="1"/>
  <c r="C432" i="4" s="1"/>
  <c r="C433" i="4" s="1"/>
  <c r="C434" i="4" s="1"/>
  <c r="C435" i="4" s="1"/>
  <c r="C436" i="4" s="1"/>
  <c r="C437" i="4" s="1"/>
  <c r="C438" i="4" s="1"/>
  <c r="C439" i="4" s="1"/>
  <c r="C440" i="4" s="1"/>
  <c r="C441" i="4" s="1"/>
  <c r="C442" i="4" s="1"/>
  <c r="C443" i="4" s="1"/>
  <c r="C444" i="4" s="1"/>
  <c r="C445" i="4" s="1"/>
  <c r="C446" i="4" s="1"/>
  <c r="C447" i="4" s="1"/>
  <c r="C448" i="4" s="1"/>
  <c r="C449" i="4" s="1"/>
  <c r="C450" i="4" s="1"/>
  <c r="C451" i="4" s="1"/>
  <c r="C452" i="4" s="1"/>
  <c r="C453" i="4" s="1"/>
  <c r="C454" i="4" s="1"/>
  <c r="C455" i="4" s="1"/>
  <c r="C456" i="4" s="1"/>
  <c r="C457" i="4" s="1"/>
  <c r="C458" i="4" s="1"/>
  <c r="C459" i="4" s="1"/>
  <c r="C460" i="4" s="1"/>
  <c r="C461" i="4" s="1"/>
  <c r="C462" i="4" s="1"/>
  <c r="C463" i="4" s="1"/>
  <c r="C464" i="4" s="1"/>
  <c r="C465" i="4" s="1"/>
  <c r="C466" i="4" s="1"/>
  <c r="C467" i="4" s="1"/>
  <c r="C468" i="4" s="1"/>
  <c r="C469" i="4" s="1"/>
  <c r="C470" i="4" s="1"/>
  <c r="C471" i="4" s="1"/>
  <c r="C472" i="4" s="1"/>
  <c r="C473" i="4" s="1"/>
  <c r="C474" i="4" s="1"/>
  <c r="C475" i="4" s="1"/>
  <c r="C476" i="4" s="1"/>
  <c r="C477" i="4" s="1"/>
  <c r="C478" i="4" s="1"/>
  <c r="C479" i="4" s="1"/>
  <c r="C480" i="4" s="1"/>
  <c r="C481" i="4" s="1"/>
  <c r="C482" i="4" s="1"/>
  <c r="C483" i="4" s="1"/>
  <c r="C484" i="4" s="1"/>
  <c r="C485" i="4" s="1"/>
  <c r="C486" i="4" s="1"/>
  <c r="C487" i="4" s="1"/>
  <c r="C488" i="4" s="1"/>
  <c r="C489" i="4" s="1"/>
  <c r="C490" i="4" s="1"/>
  <c r="C491" i="4" s="1"/>
  <c r="C492" i="4" s="1"/>
  <c r="C493" i="4" s="1"/>
  <c r="C494" i="4" s="1"/>
  <c r="C495" i="4" s="1"/>
  <c r="C496" i="4" s="1"/>
  <c r="C497" i="4" s="1"/>
  <c r="C498" i="4" s="1"/>
  <c r="C499" i="4" s="1"/>
  <c r="C500" i="4" s="1"/>
  <c r="C501" i="4" s="1"/>
  <c r="C502" i="4" s="1"/>
  <c r="C503" i="4" s="1"/>
  <c r="C504" i="4" s="1"/>
  <c r="C505" i="4" s="1"/>
  <c r="C506" i="4" s="1"/>
  <c r="C507" i="4" s="1"/>
  <c r="C508" i="4" s="1"/>
  <c r="C509" i="4" s="1"/>
  <c r="C510" i="4" s="1"/>
  <c r="C511" i="4" s="1"/>
  <c r="C512" i="4" s="1"/>
  <c r="C513" i="4" s="1"/>
  <c r="C514" i="4" s="1"/>
  <c r="C515" i="4" s="1"/>
  <c r="C516" i="4" s="1"/>
  <c r="C517" i="4" s="1"/>
  <c r="C518" i="4" s="1"/>
  <c r="C519" i="4" s="1"/>
  <c r="C520" i="4" s="1"/>
  <c r="C521" i="4" s="1"/>
  <c r="C522" i="4" s="1"/>
  <c r="C523" i="4" s="1"/>
  <c r="C524" i="4" s="1"/>
  <c r="C525" i="4" s="1"/>
  <c r="C526" i="4" s="1"/>
  <c r="C527" i="4" s="1"/>
  <c r="C528" i="4" s="1"/>
  <c r="C529" i="4" s="1"/>
  <c r="C530" i="4" s="1"/>
  <c r="C531" i="4" s="1"/>
  <c r="C532" i="4" s="1"/>
  <c r="C533" i="4" s="1"/>
  <c r="C534" i="4" s="1"/>
  <c r="C535" i="4" s="1"/>
  <c r="C536" i="4" s="1"/>
  <c r="C537" i="4" s="1"/>
  <c r="C538" i="4" s="1"/>
  <c r="C539" i="4" s="1"/>
  <c r="C540" i="4" s="1"/>
  <c r="C541" i="4" s="1"/>
  <c r="C542" i="4" s="1"/>
  <c r="C543" i="4" s="1"/>
  <c r="C544" i="4" s="1"/>
  <c r="C545" i="4" s="1"/>
  <c r="C546" i="4" s="1"/>
  <c r="C547" i="4" s="1"/>
  <c r="C548" i="4" s="1"/>
  <c r="C549" i="4" s="1"/>
  <c r="C550" i="4" s="1"/>
  <c r="C551" i="4" s="1"/>
  <c r="C552" i="4" s="1"/>
  <c r="C553" i="4" s="1"/>
  <c r="C554" i="4" s="1"/>
  <c r="C555" i="4" s="1"/>
  <c r="C556" i="4" s="1"/>
  <c r="C557" i="4" s="1"/>
  <c r="C558" i="4" s="1"/>
  <c r="C559" i="4" s="1"/>
  <c r="C560" i="4" s="1"/>
  <c r="C561" i="4" s="1"/>
  <c r="C562" i="4" s="1"/>
  <c r="C563" i="4" s="1"/>
  <c r="C564" i="4" s="1"/>
  <c r="C565" i="4" s="1"/>
  <c r="C566" i="4" s="1"/>
  <c r="C567" i="4" s="1"/>
  <c r="C568" i="4" s="1"/>
  <c r="C569" i="4" s="1"/>
  <c r="C570" i="4" s="1"/>
  <c r="C571" i="4" s="1"/>
  <c r="C572" i="4" s="1"/>
  <c r="C573" i="4" s="1"/>
  <c r="C574" i="4" s="1"/>
  <c r="C575" i="4" s="1"/>
  <c r="C576" i="4" s="1"/>
  <c r="C577" i="4" s="1"/>
  <c r="C578" i="4" s="1"/>
  <c r="C579" i="4" s="1"/>
  <c r="C580" i="4" s="1"/>
  <c r="C581" i="4" s="1"/>
  <c r="C582" i="4" s="1"/>
  <c r="C583" i="4" s="1"/>
  <c r="C584" i="4" s="1"/>
  <c r="C585" i="4" s="1"/>
  <c r="C586" i="4" s="1"/>
  <c r="C587" i="4" s="1"/>
  <c r="C588" i="4" s="1"/>
  <c r="C589" i="4" s="1"/>
  <c r="C590" i="4" s="1"/>
  <c r="C591" i="4" s="1"/>
  <c r="C592" i="4" s="1"/>
  <c r="C593" i="4" s="1"/>
  <c r="C594" i="4" s="1"/>
  <c r="C595" i="4" s="1"/>
  <c r="C596" i="4" s="1"/>
  <c r="C597" i="4" s="1"/>
  <c r="C598" i="4" s="1"/>
  <c r="C599" i="4" s="1"/>
  <c r="C600" i="4" s="1"/>
  <c r="C601" i="4" s="1"/>
  <c r="C602" i="4" s="1"/>
  <c r="C603" i="4" s="1"/>
  <c r="C604" i="4" s="1"/>
  <c r="C605" i="4" s="1"/>
  <c r="C606" i="4" s="1"/>
  <c r="C607" i="4" s="1"/>
  <c r="C608" i="4" s="1"/>
  <c r="C609" i="4" s="1"/>
  <c r="C610" i="4" s="1"/>
  <c r="C611" i="4" s="1"/>
  <c r="C612" i="4" s="1"/>
  <c r="C613" i="4" s="1"/>
  <c r="C614" i="4" s="1"/>
  <c r="C615" i="4" s="1"/>
  <c r="C616" i="4" s="1"/>
  <c r="C617" i="4" s="1"/>
  <c r="C618" i="4" s="1"/>
  <c r="C619" i="4" s="1"/>
  <c r="C620" i="4" s="1"/>
  <c r="C621" i="4" s="1"/>
  <c r="C622" i="4" s="1"/>
  <c r="C623" i="4" s="1"/>
  <c r="C624" i="4" s="1"/>
  <c r="C625" i="4" s="1"/>
  <c r="C626" i="4" s="1"/>
  <c r="C627" i="4" s="1"/>
  <c r="C628" i="4" s="1"/>
  <c r="C629" i="4" s="1"/>
  <c r="C630" i="4" s="1"/>
  <c r="C631" i="4" s="1"/>
  <c r="C632" i="4" s="1"/>
  <c r="C633" i="4" s="1"/>
  <c r="C634" i="4" s="1"/>
  <c r="C635" i="4" s="1"/>
  <c r="C636" i="4" s="1"/>
  <c r="C637" i="4" s="1"/>
  <c r="C638" i="4" s="1"/>
  <c r="C639" i="4" s="1"/>
  <c r="C640" i="4" s="1"/>
  <c r="C641" i="4" s="1"/>
  <c r="C642" i="4" s="1"/>
  <c r="C643" i="4" s="1"/>
  <c r="C644" i="4" s="1"/>
  <c r="C645" i="4" s="1"/>
  <c r="C646" i="4" s="1"/>
  <c r="C647" i="4" s="1"/>
  <c r="C648" i="4" s="1"/>
  <c r="C649" i="4" s="1"/>
  <c r="C650" i="4" s="1"/>
  <c r="C651" i="4" s="1"/>
  <c r="C652" i="4" s="1"/>
  <c r="C653" i="4" s="1"/>
  <c r="C654" i="4" s="1"/>
  <c r="C655" i="4" s="1"/>
  <c r="C656" i="4" s="1"/>
  <c r="C657" i="4" s="1"/>
  <c r="C658" i="4" s="1"/>
  <c r="C659" i="4" s="1"/>
  <c r="C660" i="4" s="1"/>
  <c r="C661" i="4" s="1"/>
  <c r="C662" i="4" s="1"/>
  <c r="C663" i="4" s="1"/>
  <c r="C664" i="4" s="1"/>
  <c r="C665" i="4" s="1"/>
  <c r="C666" i="4" s="1"/>
  <c r="C667" i="4" s="1"/>
  <c r="C668" i="4" s="1"/>
  <c r="C669" i="4" s="1"/>
  <c r="C670" i="4" s="1"/>
  <c r="C671" i="4" s="1"/>
  <c r="C672" i="4" s="1"/>
  <c r="C673" i="4" s="1"/>
  <c r="C674" i="4" s="1"/>
  <c r="C675" i="4" s="1"/>
  <c r="C676" i="4" s="1"/>
  <c r="C677" i="4" s="1"/>
  <c r="C678" i="4" s="1"/>
  <c r="C679" i="4" s="1"/>
  <c r="C680" i="4" s="1"/>
  <c r="C681" i="4" s="1"/>
  <c r="C682" i="4" s="1"/>
  <c r="C683" i="4" s="1"/>
  <c r="C684" i="4" s="1"/>
  <c r="C685" i="4" s="1"/>
  <c r="C686" i="4" s="1"/>
  <c r="C687" i="4" s="1"/>
  <c r="C688" i="4" s="1"/>
  <c r="C689" i="4" s="1"/>
  <c r="C690" i="4" s="1"/>
  <c r="C691" i="4" s="1"/>
  <c r="C692" i="4" s="1"/>
  <c r="C693" i="4" s="1"/>
  <c r="C694" i="4" s="1"/>
  <c r="C695" i="4" s="1"/>
  <c r="C696" i="4" s="1"/>
  <c r="C697" i="4" s="1"/>
  <c r="C698" i="4" s="1"/>
  <c r="C699" i="4" s="1"/>
  <c r="C700" i="4" s="1"/>
  <c r="C701" i="4" s="1"/>
  <c r="C702" i="4" s="1"/>
  <c r="C703" i="4" s="1"/>
  <c r="C704" i="4" s="1"/>
  <c r="C705" i="4" s="1"/>
  <c r="C706" i="4" s="1"/>
  <c r="C707" i="4" s="1"/>
  <c r="C708" i="4" s="1"/>
  <c r="C709" i="4" s="1"/>
  <c r="C710" i="4" s="1"/>
  <c r="C711" i="4" s="1"/>
  <c r="C712" i="4" s="1"/>
  <c r="C713" i="4" s="1"/>
  <c r="C714" i="4" s="1"/>
  <c r="C715" i="4" s="1"/>
  <c r="C716" i="4" s="1"/>
  <c r="C717" i="4" s="1"/>
  <c r="C718" i="4" s="1"/>
  <c r="C719" i="4" s="1"/>
  <c r="C720" i="4" s="1"/>
  <c r="C721" i="4" s="1"/>
  <c r="C722" i="4" s="1"/>
  <c r="C723" i="4" s="1"/>
  <c r="C724" i="4" s="1"/>
  <c r="C725" i="4" s="1"/>
  <c r="C726" i="4" s="1"/>
  <c r="C727" i="4" s="1"/>
  <c r="C728" i="4" s="1"/>
  <c r="C729" i="4" s="1"/>
  <c r="C730" i="4" s="1"/>
  <c r="C731" i="4" s="1"/>
  <c r="C732" i="4" s="1"/>
  <c r="C733" i="4" s="1"/>
  <c r="C734" i="4" s="1"/>
  <c r="C735" i="4" s="1"/>
  <c r="C736" i="4" s="1"/>
  <c r="C737" i="4" s="1"/>
  <c r="C738" i="4" s="1"/>
  <c r="C739" i="4" s="1"/>
  <c r="C740" i="4" s="1"/>
  <c r="C741" i="4" s="1"/>
  <c r="C742" i="4" s="1"/>
  <c r="C743" i="4" s="1"/>
  <c r="C744" i="4" s="1"/>
  <c r="C745" i="4" s="1"/>
  <c r="C746" i="4" s="1"/>
  <c r="C747" i="4" s="1"/>
  <c r="C748" i="4" s="1"/>
  <c r="C749" i="4" s="1"/>
  <c r="C750" i="4" s="1"/>
  <c r="C751" i="4" s="1"/>
  <c r="C752" i="4" s="1"/>
  <c r="C753" i="4" s="1"/>
  <c r="C754" i="4" s="1"/>
  <c r="C755" i="4" s="1"/>
  <c r="C756" i="4" s="1"/>
  <c r="C757" i="4" s="1"/>
  <c r="C758" i="4" s="1"/>
  <c r="C759" i="4" s="1"/>
  <c r="C760" i="4" s="1"/>
  <c r="C761" i="4" s="1"/>
  <c r="C762" i="4" s="1"/>
  <c r="C763" i="4" s="1"/>
  <c r="C764" i="4" s="1"/>
  <c r="C765" i="4" s="1"/>
  <c r="C766" i="4" s="1"/>
  <c r="C767" i="4" s="1"/>
  <c r="C768" i="4" s="1"/>
  <c r="C769" i="4" s="1"/>
  <c r="C770" i="4" s="1"/>
  <c r="C771" i="4" s="1"/>
  <c r="C772" i="4" s="1"/>
  <c r="C773" i="4" s="1"/>
  <c r="C774" i="4" s="1"/>
  <c r="C775" i="4" s="1"/>
  <c r="C776" i="4" s="1"/>
  <c r="C777" i="4" s="1"/>
  <c r="C778" i="4" s="1"/>
  <c r="C779" i="4" s="1"/>
  <c r="C780" i="4" s="1"/>
  <c r="C781" i="4" s="1"/>
  <c r="C782" i="4" s="1"/>
  <c r="C783" i="4" s="1"/>
  <c r="C784" i="4" s="1"/>
  <c r="C785" i="4" s="1"/>
  <c r="C786" i="4" s="1"/>
  <c r="C787" i="4" s="1"/>
  <c r="C788" i="4" s="1"/>
  <c r="C789" i="4" s="1"/>
  <c r="C790" i="4" s="1"/>
  <c r="C791" i="4" s="1"/>
  <c r="C792" i="4" s="1"/>
  <c r="C793" i="4" s="1"/>
  <c r="C794" i="4" s="1"/>
  <c r="C795" i="4" s="1"/>
  <c r="C796" i="4" s="1"/>
  <c r="C797" i="4" s="1"/>
  <c r="C798" i="4" s="1"/>
  <c r="C799" i="4" s="1"/>
  <c r="C800" i="4" s="1"/>
  <c r="C801" i="4" s="1"/>
  <c r="C802" i="4" s="1"/>
  <c r="C803" i="4" s="1"/>
  <c r="C804" i="4" s="1"/>
  <c r="C805" i="4" s="1"/>
  <c r="C806" i="4" s="1"/>
  <c r="C807" i="4" s="1"/>
  <c r="C808" i="4" s="1"/>
  <c r="C809" i="4" s="1"/>
  <c r="C810" i="4" s="1"/>
  <c r="C811" i="4" s="1"/>
  <c r="C812" i="4" s="1"/>
  <c r="C813" i="4" s="1"/>
  <c r="C814" i="4" s="1"/>
  <c r="C815" i="4" s="1"/>
  <c r="C816" i="4" s="1"/>
  <c r="C817" i="4" s="1"/>
  <c r="C818" i="4" s="1"/>
  <c r="C819" i="4" s="1"/>
  <c r="C820" i="4" s="1"/>
  <c r="C821" i="4" s="1"/>
  <c r="C822" i="4" s="1"/>
  <c r="C823" i="4" s="1"/>
  <c r="C824" i="4" s="1"/>
  <c r="C825" i="4" s="1"/>
  <c r="C826" i="4" s="1"/>
  <c r="C827" i="4" s="1"/>
  <c r="C828" i="4" s="1"/>
  <c r="K442" i="4"/>
  <c r="L457" i="4"/>
  <c r="O456" i="4"/>
  <c r="J478" i="4"/>
  <c r="J37" i="4"/>
  <c r="L107" i="4"/>
  <c r="O106" i="4"/>
  <c r="K107" i="4"/>
  <c r="J108" i="4"/>
  <c r="L91" i="4"/>
  <c r="O90" i="4"/>
  <c r="J90" i="4"/>
  <c r="K90" i="4"/>
  <c r="K38" i="4"/>
  <c r="L21" i="4"/>
  <c r="O20" i="4"/>
  <c r="O53" i="4"/>
  <c r="L54" i="4"/>
  <c r="K24" i="4" l="1"/>
  <c r="B20" i="4"/>
  <c r="V20" i="4" s="1"/>
  <c r="K75" i="4"/>
  <c r="J70" i="4"/>
  <c r="J459" i="4"/>
  <c r="C829" i="4"/>
  <c r="C830" i="4" s="1"/>
  <c r="C831" i="4" s="1"/>
  <c r="C832" i="4" s="1"/>
  <c r="C833" i="4" s="1"/>
  <c r="C834" i="4" s="1"/>
  <c r="C835" i="4" s="1"/>
  <c r="C836" i="4" s="1"/>
  <c r="C837" i="4" s="1"/>
  <c r="C838" i="4" s="1"/>
  <c r="C839" i="4" s="1"/>
  <c r="C840" i="4" s="1"/>
  <c r="C841" i="4" s="1"/>
  <c r="C842" i="4" s="1"/>
  <c r="C843" i="4" s="1"/>
  <c r="C844" i="4" s="1"/>
  <c r="C845" i="4" s="1"/>
  <c r="C846" i="4" s="1"/>
  <c r="C847" i="4" s="1"/>
  <c r="C848" i="4" s="1"/>
  <c r="C849" i="4" s="1"/>
  <c r="C850" i="4" s="1"/>
  <c r="C851" i="4" s="1"/>
  <c r="C852" i="4" s="1"/>
  <c r="C853" i="4" s="1"/>
  <c r="C854" i="4" s="1"/>
  <c r="C855" i="4" s="1"/>
  <c r="C856" i="4" s="1"/>
  <c r="C857" i="4" s="1"/>
  <c r="C858" i="4" s="1"/>
  <c r="C859" i="4" s="1"/>
  <c r="C860" i="4" s="1"/>
  <c r="C861" i="4" s="1"/>
  <c r="C862" i="4" s="1"/>
  <c r="C863" i="4" s="1"/>
  <c r="C864" i="4" s="1"/>
  <c r="C865" i="4" s="1"/>
  <c r="C866" i="4" s="1"/>
  <c r="C867" i="4" s="1"/>
  <c r="C868" i="4" s="1"/>
  <c r="C869" i="4" s="1"/>
  <c r="C870" i="4" s="1"/>
  <c r="C871" i="4" s="1"/>
  <c r="C872" i="4" s="1"/>
  <c r="C873" i="4" s="1"/>
  <c r="C874" i="4" s="1"/>
  <c r="C875" i="4" s="1"/>
  <c r="C876" i="4" s="1"/>
  <c r="C877" i="4" s="1"/>
  <c r="C878" i="4" s="1"/>
  <c r="C879" i="4" s="1"/>
  <c r="C880" i="4" s="1"/>
  <c r="C881" i="4" s="1"/>
  <c r="C882" i="4" s="1"/>
  <c r="C883" i="4" s="1"/>
  <c r="C884" i="4" s="1"/>
  <c r="C885" i="4" s="1"/>
  <c r="C886" i="4" s="1"/>
  <c r="C887" i="4" s="1"/>
  <c r="C888" i="4" s="1"/>
  <c r="C889" i="4" s="1"/>
  <c r="C890" i="4" s="1"/>
  <c r="C891" i="4" s="1"/>
  <c r="C892" i="4" s="1"/>
  <c r="C893" i="4" s="1"/>
  <c r="C894" i="4" s="1"/>
  <c r="C895" i="4" s="1"/>
  <c r="C896" i="4" s="1"/>
  <c r="K443" i="4"/>
  <c r="L458" i="4"/>
  <c r="O457" i="4"/>
  <c r="J479" i="4"/>
  <c r="O154" i="4"/>
  <c r="J38" i="4"/>
  <c r="J109" i="4"/>
  <c r="K108" i="4"/>
  <c r="L108" i="4"/>
  <c r="O107" i="4"/>
  <c r="L92" i="4"/>
  <c r="O91" i="4"/>
  <c r="K91" i="4"/>
  <c r="J91" i="4"/>
  <c r="L65" i="4"/>
  <c r="O65" i="4" s="1"/>
  <c r="O54" i="4"/>
  <c r="L55" i="4"/>
  <c r="L22" i="4"/>
  <c r="O21" i="4"/>
  <c r="K39" i="4"/>
  <c r="J71" i="4" l="1"/>
  <c r="B21" i="4"/>
  <c r="V21" i="4" s="1"/>
  <c r="K76" i="4"/>
  <c r="J460" i="4"/>
  <c r="K25" i="4"/>
  <c r="C897" i="4"/>
  <c r="C898" i="4" s="1"/>
  <c r="C899" i="4" s="1"/>
  <c r="C900" i="4" s="1"/>
  <c r="C901" i="4" s="1"/>
  <c r="C902" i="4" s="1"/>
  <c r="C903" i="4" s="1"/>
  <c r="C904" i="4" s="1"/>
  <c r="C905" i="4" s="1"/>
  <c r="C906" i="4" s="1"/>
  <c r="C907" i="4" s="1"/>
  <c r="C908" i="4" s="1"/>
  <c r="C909" i="4" s="1"/>
  <c r="C910" i="4" s="1"/>
  <c r="C911" i="4" s="1"/>
  <c r="C912" i="4" s="1"/>
  <c r="C913" i="4" s="1"/>
  <c r="C914" i="4" s="1"/>
  <c r="C915" i="4" s="1"/>
  <c r="C916" i="4" s="1"/>
  <c r="C917" i="4" s="1"/>
  <c r="C918" i="4" s="1"/>
  <c r="C919" i="4" s="1"/>
  <c r="C920" i="4" s="1"/>
  <c r="C921" i="4" s="1"/>
  <c r="C922" i="4" s="1"/>
  <c r="C923" i="4" s="1"/>
  <c r="C924" i="4" s="1"/>
  <c r="C925" i="4" s="1"/>
  <c r="C926" i="4" s="1"/>
  <c r="C927" i="4" s="1"/>
  <c r="C928" i="4" s="1"/>
  <c r="C929" i="4" s="1"/>
  <c r="C930" i="4" s="1"/>
  <c r="C931" i="4" s="1"/>
  <c r="C932" i="4" s="1"/>
  <c r="C933" i="4" s="1"/>
  <c r="C934" i="4" s="1"/>
  <c r="C935" i="4" s="1"/>
  <c r="C936" i="4" s="1"/>
  <c r="C937" i="4" s="1"/>
  <c r="C938" i="4" s="1"/>
  <c r="C939" i="4" s="1"/>
  <c r="C940" i="4" s="1"/>
  <c r="C941" i="4" s="1"/>
  <c r="C942" i="4" s="1"/>
  <c r="C943" i="4" s="1"/>
  <c r="C944" i="4" s="1"/>
  <c r="C945" i="4" s="1"/>
  <c r="C946" i="4" s="1"/>
  <c r="C947" i="4" s="1"/>
  <c r="K444" i="4"/>
  <c r="L459" i="4"/>
  <c r="O458" i="4"/>
  <c r="J480" i="4"/>
  <c r="J39" i="4"/>
  <c r="L109" i="4"/>
  <c r="O108" i="4"/>
  <c r="K109" i="4"/>
  <c r="J110" i="4"/>
  <c r="L93" i="4"/>
  <c r="O92" i="4"/>
  <c r="J92" i="4"/>
  <c r="K92" i="4"/>
  <c r="L66" i="4"/>
  <c r="O66" i="4" s="1"/>
  <c r="L23" i="4"/>
  <c r="O22" i="4"/>
  <c r="L56" i="4"/>
  <c r="O55" i="4"/>
  <c r="K40" i="4"/>
  <c r="J461" i="4" l="1"/>
  <c r="B22" i="4"/>
  <c r="V22" i="4" s="1"/>
  <c r="K77" i="4"/>
  <c r="K26" i="4"/>
  <c r="J72" i="4"/>
  <c r="C948" i="4"/>
  <c r="C949" i="4" s="1"/>
  <c r="C950" i="4" s="1"/>
  <c r="C951" i="4" s="1"/>
  <c r="C952" i="4" s="1"/>
  <c r="C953" i="4" s="1"/>
  <c r="C954" i="4" s="1"/>
  <c r="C955" i="4" s="1"/>
  <c r="C956" i="4" s="1"/>
  <c r="C957" i="4" s="1"/>
  <c r="C958" i="4" s="1"/>
  <c r="C959" i="4" s="1"/>
  <c r="C960" i="4" s="1"/>
  <c r="C961" i="4" s="1"/>
  <c r="C962" i="4" s="1"/>
  <c r="C963" i="4" s="1"/>
  <c r="C964" i="4" s="1"/>
  <c r="C965" i="4" s="1"/>
  <c r="C966" i="4" s="1"/>
  <c r="C967" i="4" s="1"/>
  <c r="C968" i="4" s="1"/>
  <c r="C969" i="4" s="1"/>
  <c r="C970" i="4" s="1"/>
  <c r="C971" i="4" s="1"/>
  <c r="C972" i="4" s="1"/>
  <c r="C973" i="4" s="1"/>
  <c r="C974" i="4" s="1"/>
  <c r="C975" i="4" s="1"/>
  <c r="C976" i="4" s="1"/>
  <c r="C977" i="4" s="1"/>
  <c r="C978" i="4" s="1"/>
  <c r="C979" i="4" s="1"/>
  <c r="C980" i="4" s="1"/>
  <c r="C981" i="4" s="1"/>
  <c r="C982" i="4" s="1"/>
  <c r="C983" i="4" s="1"/>
  <c r="C984" i="4" s="1"/>
  <c r="C985" i="4" s="1"/>
  <c r="C986" i="4" s="1"/>
  <c r="C987" i="4" s="1"/>
  <c r="C988" i="4" s="1"/>
  <c r="C989" i="4" s="1"/>
  <c r="C990" i="4" s="1"/>
  <c r="C991" i="4" s="1"/>
  <c r="C992" i="4" s="1"/>
  <c r="C993" i="4" s="1"/>
  <c r="C994" i="4" s="1"/>
  <c r="C995" i="4" s="1"/>
  <c r="C996" i="4" s="1"/>
  <c r="C997" i="4" s="1"/>
  <c r="C998" i="4" s="1"/>
  <c r="C999" i="4" s="1"/>
  <c r="C1000" i="4" s="1"/>
  <c r="C1001" i="4" s="1"/>
  <c r="C1002" i="4" s="1"/>
  <c r="C1003" i="4" s="1"/>
  <c r="C1004" i="4" s="1"/>
  <c r="C1005" i="4" s="1"/>
  <c r="C1006" i="4" s="1"/>
  <c r="C1007" i="4" s="1"/>
  <c r="C1008" i="4" s="1"/>
  <c r="C1009" i="4" s="1"/>
  <c r="C1010" i="4" s="1"/>
  <c r="C1011" i="4" s="1"/>
  <c r="C1012" i="4" s="1"/>
  <c r="C1013" i="4" s="1"/>
  <c r="C1014" i="4" s="1"/>
  <c r="C1015" i="4" s="1"/>
  <c r="K445" i="4"/>
  <c r="L460" i="4"/>
  <c r="O459" i="4"/>
  <c r="J481" i="4"/>
  <c r="O156" i="4"/>
  <c r="O155" i="4"/>
  <c r="J40" i="4"/>
  <c r="J111" i="4"/>
  <c r="K110" i="4"/>
  <c r="L110" i="4"/>
  <c r="O109" i="4"/>
  <c r="L94" i="4"/>
  <c r="O93" i="4"/>
  <c r="K93" i="4"/>
  <c r="J93" i="4"/>
  <c r="L67" i="4"/>
  <c r="O67" i="4" s="1"/>
  <c r="O56" i="4"/>
  <c r="L57" i="4"/>
  <c r="K41" i="4"/>
  <c r="L24" i="4"/>
  <c r="O23" i="4"/>
  <c r="K27" i="4" l="1"/>
  <c r="B23" i="4"/>
  <c r="V23" i="4" s="1"/>
  <c r="J73" i="4"/>
  <c r="K78" i="4"/>
  <c r="J462" i="4"/>
  <c r="C1016" i="4"/>
  <c r="C1017" i="4" s="1"/>
  <c r="C1018" i="4" s="1"/>
  <c r="C1019" i="4" s="1"/>
  <c r="C1020" i="4" s="1"/>
  <c r="C1021" i="4" s="1"/>
  <c r="C1022" i="4" s="1"/>
  <c r="C1023" i="4" s="1"/>
  <c r="C1024" i="4" s="1"/>
  <c r="C1025" i="4" s="1"/>
  <c r="C1026" i="4" s="1"/>
  <c r="C1027" i="4" s="1"/>
  <c r="C1028" i="4" s="1"/>
  <c r="C1029" i="4" s="1"/>
  <c r="C1030" i="4" s="1"/>
  <c r="C1031" i="4" s="1"/>
  <c r="C1032" i="4" s="1"/>
  <c r="C1033" i="4" s="1"/>
  <c r="C1034" i="4" s="1"/>
  <c r="C1035" i="4" s="1"/>
  <c r="C1036" i="4" s="1"/>
  <c r="C1037" i="4" s="1"/>
  <c r="C1038" i="4" s="1"/>
  <c r="C1039" i="4" s="1"/>
  <c r="C1040" i="4" s="1"/>
  <c r="C1041" i="4" s="1"/>
  <c r="C1042" i="4" s="1"/>
  <c r="C1043" i="4" s="1"/>
  <c r="C1044" i="4" s="1"/>
  <c r="C1045" i="4" s="1"/>
  <c r="C1046" i="4" s="1"/>
  <c r="C1047" i="4" s="1"/>
  <c r="C1048" i="4" s="1"/>
  <c r="C1049" i="4" s="1"/>
  <c r="C1050" i="4" s="1"/>
  <c r="C1051" i="4" s="1"/>
  <c r="C1052" i="4" s="1"/>
  <c r="C1053" i="4" s="1"/>
  <c r="C1054" i="4" s="1"/>
  <c r="C1055" i="4" s="1"/>
  <c r="C1056" i="4" s="1"/>
  <c r="C1057" i="4" s="1"/>
  <c r="C1058" i="4" s="1"/>
  <c r="C1059" i="4" s="1"/>
  <c r="C1060" i="4" s="1"/>
  <c r="C1061" i="4" s="1"/>
  <c r="C1062" i="4" s="1"/>
  <c r="C1063" i="4" s="1"/>
  <c r="C1064" i="4" s="1"/>
  <c r="C1065" i="4" s="1"/>
  <c r="C1066" i="4" s="1"/>
  <c r="C1067" i="4" s="1"/>
  <c r="C1068" i="4" s="1"/>
  <c r="C1069" i="4" s="1"/>
  <c r="C1070" i="4" s="1"/>
  <c r="C1071" i="4" s="1"/>
  <c r="C1072" i="4" s="1"/>
  <c r="C1073" i="4" s="1"/>
  <c r="C1074" i="4" s="1"/>
  <c r="C1075" i="4" s="1"/>
  <c r="C1076" i="4" s="1"/>
  <c r="C1077" i="4" s="1"/>
  <c r="C1078" i="4" s="1"/>
  <c r="C1079" i="4" s="1"/>
  <c r="C1080" i="4" s="1"/>
  <c r="C1081" i="4" s="1"/>
  <c r="C1082" i="4" s="1"/>
  <c r="C1083" i="4" s="1"/>
  <c r="K446" i="4"/>
  <c r="L461" i="4"/>
  <c r="O460" i="4"/>
  <c r="J482" i="4"/>
  <c r="J41" i="4"/>
  <c r="L111" i="4"/>
  <c r="O110" i="4"/>
  <c r="K111" i="4"/>
  <c r="J112" i="4"/>
  <c r="L95" i="4"/>
  <c r="O94" i="4"/>
  <c r="J94" i="4"/>
  <c r="K94" i="4"/>
  <c r="L68" i="4"/>
  <c r="O68" i="4" s="1"/>
  <c r="K42" i="4"/>
  <c r="O57" i="4"/>
  <c r="L58" i="4"/>
  <c r="L25" i="4"/>
  <c r="O24" i="4"/>
  <c r="K79" i="4" l="1"/>
  <c r="B24" i="4"/>
  <c r="V24" i="4" s="1"/>
  <c r="J463" i="4"/>
  <c r="J74" i="4"/>
  <c r="K28" i="4"/>
  <c r="C1084" i="4"/>
  <c r="C1085" i="4" s="1"/>
  <c r="C1086" i="4" s="1"/>
  <c r="C1087" i="4" s="1"/>
  <c r="C1088" i="4" s="1"/>
  <c r="C1089" i="4" s="1"/>
  <c r="C1090" i="4" s="1"/>
  <c r="C1091" i="4" s="1"/>
  <c r="C1092" i="4" s="1"/>
  <c r="C1093" i="4" s="1"/>
  <c r="C1094" i="4" s="1"/>
  <c r="C1095" i="4" s="1"/>
  <c r="C1096" i="4" s="1"/>
  <c r="C1097" i="4" s="1"/>
  <c r="C1098" i="4" s="1"/>
  <c r="C1099" i="4" s="1"/>
  <c r="C1100" i="4" s="1"/>
  <c r="C1101" i="4" s="1"/>
  <c r="C1102" i="4" s="1"/>
  <c r="C1103" i="4" s="1"/>
  <c r="C1104" i="4" s="1"/>
  <c r="C1105" i="4" s="1"/>
  <c r="C1106" i="4" s="1"/>
  <c r="C1107" i="4" s="1"/>
  <c r="C1108" i="4" s="1"/>
  <c r="C1109" i="4" s="1"/>
  <c r="C1110" i="4" s="1"/>
  <c r="C1111" i="4" s="1"/>
  <c r="C1112" i="4" s="1"/>
  <c r="C1113" i="4" s="1"/>
  <c r="C1114" i="4" s="1"/>
  <c r="C1115" i="4" s="1"/>
  <c r="C1116" i="4" s="1"/>
  <c r="C1117" i="4" s="1"/>
  <c r="K447" i="4"/>
  <c r="L462" i="4"/>
  <c r="O461" i="4"/>
  <c r="J483" i="4"/>
  <c r="J42" i="4"/>
  <c r="J113" i="4"/>
  <c r="K112" i="4"/>
  <c r="L112" i="4"/>
  <c r="O111" i="4"/>
  <c r="L96" i="4"/>
  <c r="O95" i="4"/>
  <c r="K95" i="4"/>
  <c r="J95" i="4"/>
  <c r="L69" i="4"/>
  <c r="O69" i="4" s="1"/>
  <c r="K43" i="4"/>
  <c r="L26" i="4"/>
  <c r="O25" i="4"/>
  <c r="L59" i="4"/>
  <c r="O58" i="4"/>
  <c r="J75" i="4" l="1"/>
  <c r="B25" i="4"/>
  <c r="V25" i="4" s="1"/>
  <c r="J464" i="4"/>
  <c r="K80" i="4"/>
  <c r="C1118" i="4"/>
  <c r="C1119" i="4" s="1"/>
  <c r="C1120" i="4" s="1"/>
  <c r="C1121" i="4" s="1"/>
  <c r="C1122" i="4" s="1"/>
  <c r="C1123" i="4" s="1"/>
  <c r="C1124" i="4" s="1"/>
  <c r="C1125" i="4" s="1"/>
  <c r="C1126" i="4" s="1"/>
  <c r="C1127" i="4" s="1"/>
  <c r="C1128" i="4" s="1"/>
  <c r="C1129" i="4" s="1"/>
  <c r="C1130" i="4" s="1"/>
  <c r="C1131" i="4" s="1"/>
  <c r="C1132" i="4" s="1"/>
  <c r="C1133" i="4" s="1"/>
  <c r="C1134" i="4" s="1"/>
  <c r="C1135" i="4" s="1"/>
  <c r="C1136" i="4" s="1"/>
  <c r="C1137" i="4" s="1"/>
  <c r="C1138" i="4" s="1"/>
  <c r="C1139" i="4" s="1"/>
  <c r="C1140" i="4" s="1"/>
  <c r="C1141" i="4" s="1"/>
  <c r="C1142" i="4" s="1"/>
  <c r="C1143" i="4" s="1"/>
  <c r="C1144" i="4" s="1"/>
  <c r="C1145" i="4" s="1"/>
  <c r="C1146" i="4" s="1"/>
  <c r="C1147" i="4" s="1"/>
  <c r="C1148" i="4" s="1"/>
  <c r="C1149" i="4" s="1"/>
  <c r="C1150" i="4" s="1"/>
  <c r="C1151" i="4" s="1"/>
  <c r="K448" i="4"/>
  <c r="L463" i="4"/>
  <c r="O462" i="4"/>
  <c r="J484" i="4"/>
  <c r="J43" i="4"/>
  <c r="L113" i="4"/>
  <c r="O112" i="4"/>
  <c r="K113" i="4"/>
  <c r="J114" i="4"/>
  <c r="L97" i="4"/>
  <c r="O97" i="4" s="1"/>
  <c r="O96" i="4"/>
  <c r="J96" i="4"/>
  <c r="K96" i="4"/>
  <c r="L70" i="4"/>
  <c r="O70" i="4" s="1"/>
  <c r="O59" i="4"/>
  <c r="L60" i="4"/>
  <c r="L27" i="4"/>
  <c r="O26" i="4"/>
  <c r="K44" i="4"/>
  <c r="B26" i="4" l="1"/>
  <c r="V26" i="4" s="1"/>
  <c r="J465" i="4"/>
  <c r="J76" i="4"/>
  <c r="K449" i="4"/>
  <c r="L464" i="4"/>
  <c r="O463" i="4"/>
  <c r="J485" i="4"/>
  <c r="J44" i="4"/>
  <c r="K114" i="4"/>
  <c r="L114" i="4"/>
  <c r="O113" i="4"/>
  <c r="K97" i="4"/>
  <c r="J97" i="4"/>
  <c r="L71" i="4"/>
  <c r="O71" i="4" s="1"/>
  <c r="L28" i="4"/>
  <c r="O28" i="4" s="1"/>
  <c r="O27" i="4"/>
  <c r="L61" i="4"/>
  <c r="O60" i="4"/>
  <c r="K45" i="4"/>
  <c r="J466" i="4" l="1"/>
  <c r="J77" i="4"/>
  <c r="B27" i="4"/>
  <c r="V27" i="4" s="1"/>
  <c r="K450" i="4"/>
  <c r="L465" i="4"/>
  <c r="O464" i="4"/>
  <c r="J486" i="4"/>
  <c r="J45" i="4"/>
  <c r="O114" i="4"/>
  <c r="L72" i="4"/>
  <c r="O72" i="4" s="1"/>
  <c r="O61" i="4"/>
  <c r="L62" i="4"/>
  <c r="O62" i="4" s="1"/>
  <c r="J78" i="4" l="1"/>
  <c r="J467" i="4"/>
  <c r="B28" i="4"/>
  <c r="V28" i="4" s="1"/>
  <c r="K451" i="4"/>
  <c r="L466" i="4"/>
  <c r="O465" i="4"/>
  <c r="J487" i="4"/>
  <c r="L73" i="4"/>
  <c r="O73" i="4" s="1"/>
  <c r="J468" i="4" l="1"/>
  <c r="J79" i="4"/>
  <c r="B29" i="4"/>
  <c r="V29" i="4" s="1"/>
  <c r="K452" i="4"/>
  <c r="L467" i="4"/>
  <c r="O466" i="4"/>
  <c r="J488" i="4"/>
  <c r="J47" i="4"/>
  <c r="L74" i="4"/>
  <c r="O74" i="4" s="1"/>
  <c r="K48" i="4"/>
  <c r="J80" i="4" l="1"/>
  <c r="J469" i="4"/>
  <c r="B30" i="4"/>
  <c r="V30" i="4" s="1"/>
  <c r="K453" i="4"/>
  <c r="L468" i="4"/>
  <c r="O467" i="4"/>
  <c r="J489" i="4"/>
  <c r="J48" i="4"/>
  <c r="L75" i="4"/>
  <c r="O75" i="4" s="1"/>
  <c r="K49" i="4"/>
  <c r="Q13" i="4"/>
  <c r="U13" i="4"/>
  <c r="Q14" i="4"/>
  <c r="U14" i="4"/>
  <c r="Q15" i="4"/>
  <c r="U15" i="4"/>
  <c r="Q16" i="4"/>
  <c r="U16" i="4"/>
  <c r="Q17" i="4"/>
  <c r="U17" i="4"/>
  <c r="Q18" i="4"/>
  <c r="U18" i="4"/>
  <c r="Q19" i="4"/>
  <c r="U19" i="4"/>
  <c r="Q20" i="4"/>
  <c r="U20" i="4"/>
  <c r="Q21" i="4"/>
  <c r="U21" i="4"/>
  <c r="Q22" i="4"/>
  <c r="U22" i="4"/>
  <c r="Q23" i="4"/>
  <c r="U23" i="4"/>
  <c r="Q24" i="4"/>
  <c r="U24" i="4"/>
  <c r="Q25" i="4"/>
  <c r="U25" i="4"/>
  <c r="Q26" i="4"/>
  <c r="U26" i="4"/>
  <c r="Q27" i="4"/>
  <c r="U27" i="4"/>
  <c r="Q28" i="4"/>
  <c r="U28" i="4"/>
  <c r="J470" i="4" l="1"/>
  <c r="B31" i="4"/>
  <c r="V31" i="4" s="1"/>
  <c r="K454" i="4"/>
  <c r="L469" i="4"/>
  <c r="O468" i="4"/>
  <c r="J49" i="4"/>
  <c r="K118" i="4"/>
  <c r="L76" i="4"/>
  <c r="O76" i="4" s="1"/>
  <c r="K50" i="4"/>
  <c r="U29" i="4"/>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2" i="4" s="1"/>
  <c r="U53" i="4" s="1"/>
  <c r="U54" i="4" s="1"/>
  <c r="U55" i="4" s="1"/>
  <c r="U56" i="4" s="1"/>
  <c r="U57" i="4" s="1"/>
  <c r="U58" i="4" s="1"/>
  <c r="U59" i="4" s="1"/>
  <c r="U60" i="4" s="1"/>
  <c r="U61" i="4" s="1"/>
  <c r="U62" i="4" s="1"/>
  <c r="U63" i="4" s="1"/>
  <c r="U64" i="4" s="1"/>
  <c r="C4" i="6"/>
  <c r="K4" i="6"/>
  <c r="O4" i="6"/>
  <c r="G4" i="6"/>
  <c r="Q4" i="6"/>
  <c r="S4" i="6" s="1"/>
  <c r="N5" i="6"/>
  <c r="O5" i="6" s="1"/>
  <c r="J5" i="6"/>
  <c r="J6" i="6" s="1"/>
  <c r="F5" i="6"/>
  <c r="G5" i="6" s="1"/>
  <c r="B5" i="6"/>
  <c r="C5" i="6" s="1"/>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4" i="6"/>
  <c r="Q29" i="4"/>
  <c r="Q30" i="4" s="1"/>
  <c r="Q31" i="4" s="1"/>
  <c r="Q32" i="4" s="1"/>
  <c r="Q33" i="4" s="1"/>
  <c r="Q34" i="4" s="1"/>
  <c r="Q35" i="4" s="1"/>
  <c r="Q36" i="4" s="1"/>
  <c r="Q37" i="4" s="1"/>
  <c r="Q38" i="4" s="1"/>
  <c r="Q39" i="4" s="1"/>
  <c r="Q40" i="4" s="1"/>
  <c r="Q41" i="4" s="1"/>
  <c r="Q42" i="4" s="1"/>
  <c r="Q43" i="4" s="1"/>
  <c r="Q44" i="4" s="1"/>
  <c r="Q45" i="4" s="1"/>
  <c r="Y385" i="4" l="1"/>
  <c r="Y389" i="4"/>
  <c r="Y393" i="4"/>
  <c r="Y397" i="4"/>
  <c r="Y401" i="4"/>
  <c r="Y386" i="4"/>
  <c r="Y390" i="4"/>
  <c r="Y394" i="4"/>
  <c r="Y398" i="4"/>
  <c r="Y383" i="4"/>
  <c r="Y387" i="4"/>
  <c r="Y391" i="4"/>
  <c r="Y395" i="4"/>
  <c r="Y399" i="4"/>
  <c r="Y392" i="4"/>
  <c r="Y396" i="4"/>
  <c r="Y384" i="4"/>
  <c r="Y400" i="4"/>
  <c r="Y388" i="4"/>
  <c r="Y100" i="4"/>
  <c r="Y104" i="4"/>
  <c r="Y108" i="4"/>
  <c r="Y112" i="4"/>
  <c r="Y101" i="4"/>
  <c r="Y105" i="4"/>
  <c r="Y98" i="4"/>
  <c r="Y102" i="4"/>
  <c r="Y106" i="4"/>
  <c r="Y110" i="4"/>
  <c r="Y114" i="4"/>
  <c r="Y103" i="4"/>
  <c r="Y113" i="4"/>
  <c r="Y617" i="4"/>
  <c r="Y621" i="4"/>
  <c r="Y625" i="4"/>
  <c r="Y629" i="4"/>
  <c r="Y633" i="4"/>
  <c r="Y107" i="4"/>
  <c r="Y618" i="4"/>
  <c r="Y622" i="4"/>
  <c r="Y626" i="4"/>
  <c r="Y630" i="4"/>
  <c r="Y109" i="4"/>
  <c r="Y619" i="4"/>
  <c r="Y623" i="4"/>
  <c r="Y627" i="4"/>
  <c r="Y631" i="4"/>
  <c r="Y632" i="4"/>
  <c r="Y99" i="4"/>
  <c r="Y620" i="4"/>
  <c r="Y111" i="4"/>
  <c r="Y624" i="4"/>
  <c r="Y628" i="4"/>
  <c r="Z470" i="4"/>
  <c r="AA13" i="4"/>
  <c r="AA64" i="4"/>
  <c r="AA14" i="4"/>
  <c r="AA15" i="4"/>
  <c r="AA65" i="4"/>
  <c r="AA16" i="4"/>
  <c r="AA66" i="4"/>
  <c r="AA17" i="4"/>
  <c r="AA67" i="4"/>
  <c r="AA18" i="4"/>
  <c r="AA69" i="4"/>
  <c r="AA68" i="4"/>
  <c r="AA70" i="4"/>
  <c r="AA19" i="4"/>
  <c r="AA20" i="4"/>
  <c r="AA71" i="4"/>
  <c r="AA21" i="4"/>
  <c r="AA72" i="4"/>
  <c r="AA22" i="4"/>
  <c r="AA73" i="4"/>
  <c r="AA23" i="4"/>
  <c r="AA74" i="4"/>
  <c r="AA75" i="4"/>
  <c r="AA24" i="4"/>
  <c r="AA76" i="4"/>
  <c r="AA25" i="4"/>
  <c r="AA26" i="4"/>
  <c r="AA77" i="4"/>
  <c r="AA78" i="4"/>
  <c r="AA27" i="4"/>
  <c r="AA28" i="4"/>
  <c r="AA79" i="4"/>
  <c r="AA80" i="4"/>
  <c r="Z30" i="4"/>
  <c r="Z227" i="4"/>
  <c r="Z256" i="4"/>
  <c r="Z455" i="4"/>
  <c r="Z529" i="4"/>
  <c r="Z898" i="4"/>
  <c r="Z932" i="4"/>
  <c r="Z1034" i="4"/>
  <c r="Z1068" i="4"/>
  <c r="Z158" i="4"/>
  <c r="Z228" i="4"/>
  <c r="Z63" i="4"/>
  <c r="Z98" i="4"/>
  <c r="Z512" i="4"/>
  <c r="Z668" i="4"/>
  <c r="Z881" i="4"/>
  <c r="Z915" i="4"/>
  <c r="Z949" i="4"/>
  <c r="Z1017" i="4"/>
  <c r="Z1051" i="4"/>
  <c r="Z618" i="4"/>
  <c r="Z1016" i="4"/>
  <c r="Z1342" i="4"/>
  <c r="Z1346" i="4"/>
  <c r="Z1350" i="4"/>
  <c r="Z1354" i="4"/>
  <c r="Z1434" i="4"/>
  <c r="Z1438" i="4"/>
  <c r="Z1442" i="4"/>
  <c r="Z1446" i="4"/>
  <c r="Z1450" i="4"/>
  <c r="Z1454" i="4"/>
  <c r="Z1458" i="4"/>
  <c r="Z1462" i="4"/>
  <c r="Z1522" i="4"/>
  <c r="Z1526" i="4"/>
  <c r="Z1530" i="4"/>
  <c r="Z1534" i="4"/>
  <c r="Z1554" i="4"/>
  <c r="Z1558" i="4"/>
  <c r="Z1562" i="4"/>
  <c r="Z1566" i="4"/>
  <c r="Z1678" i="4"/>
  <c r="Z1682" i="4"/>
  <c r="Z1686" i="4"/>
  <c r="Z1690" i="4"/>
  <c r="Z1694" i="4"/>
  <c r="Z1698" i="4"/>
  <c r="Z1702" i="4"/>
  <c r="Z1706" i="4"/>
  <c r="Z635" i="4"/>
  <c r="Z1033" i="4"/>
  <c r="Z1343" i="4"/>
  <c r="Z1347" i="4"/>
  <c r="Z1351" i="4"/>
  <c r="Z1355" i="4"/>
  <c r="Z175" i="4"/>
  <c r="Z652" i="4"/>
  <c r="Z1050" i="4"/>
  <c r="Z1344" i="4"/>
  <c r="Z1348" i="4"/>
  <c r="Z1352" i="4"/>
  <c r="Z1356" i="4"/>
  <c r="Z1432" i="4"/>
  <c r="Z1436" i="4"/>
  <c r="Z1440" i="4"/>
  <c r="Z1444" i="4"/>
  <c r="Z1452" i="4"/>
  <c r="Z1456" i="4"/>
  <c r="Z1460" i="4"/>
  <c r="Z1464" i="4"/>
  <c r="Z1520" i="4"/>
  <c r="Z1524" i="4"/>
  <c r="Z1528" i="4"/>
  <c r="Z1532" i="4"/>
  <c r="Z1556" i="4"/>
  <c r="Z1560" i="4"/>
  <c r="Z1564" i="4"/>
  <c r="Z1568" i="4"/>
  <c r="Z1676" i="4"/>
  <c r="Z1680" i="4"/>
  <c r="Z1684" i="4"/>
  <c r="Z1688" i="4"/>
  <c r="Z1696" i="4"/>
  <c r="Z1700" i="4"/>
  <c r="Z1704" i="4"/>
  <c r="Z1708" i="4"/>
  <c r="Z1349" i="4"/>
  <c r="Z1435" i="4"/>
  <c r="Z1443" i="4"/>
  <c r="Z1451" i="4"/>
  <c r="Z1459" i="4"/>
  <c r="Z1523" i="4"/>
  <c r="Z1531" i="4"/>
  <c r="Z1555" i="4"/>
  <c r="Z1563" i="4"/>
  <c r="Z1683" i="4"/>
  <c r="Z1691" i="4"/>
  <c r="Z1699" i="4"/>
  <c r="Z1707" i="4"/>
  <c r="Z438" i="4"/>
  <c r="Z669" i="4"/>
  <c r="Z1353" i="4"/>
  <c r="Z1437" i="4"/>
  <c r="Z1445" i="4"/>
  <c r="Z1453" i="4"/>
  <c r="Z1461" i="4"/>
  <c r="Z1525" i="4"/>
  <c r="Z1533" i="4"/>
  <c r="Z1557" i="4"/>
  <c r="Z1565" i="4"/>
  <c r="Z1677" i="4"/>
  <c r="Z1685" i="4"/>
  <c r="Z1693" i="4"/>
  <c r="Z1701" i="4"/>
  <c r="Z1357" i="4"/>
  <c r="Z1439" i="4"/>
  <c r="Z1447" i="4"/>
  <c r="Z1455" i="4"/>
  <c r="Z1463" i="4"/>
  <c r="Z1527" i="4"/>
  <c r="Z1535" i="4"/>
  <c r="Z1559" i="4"/>
  <c r="Z1567" i="4"/>
  <c r="Z1679" i="4"/>
  <c r="Z1687" i="4"/>
  <c r="Z1695" i="4"/>
  <c r="Z1703" i="4"/>
  <c r="Z1441" i="4"/>
  <c r="Z1569" i="4"/>
  <c r="Z1697" i="4"/>
  <c r="Z1449" i="4"/>
  <c r="Z1705" i="4"/>
  <c r="Z1345" i="4"/>
  <c r="Z1457" i="4"/>
  <c r="Z1521" i="4"/>
  <c r="Z1681" i="4"/>
  <c r="Z1529" i="4"/>
  <c r="Z1433" i="4"/>
  <c r="Z1561" i="4"/>
  <c r="Z1689" i="4"/>
  <c r="Z1069" i="4"/>
  <c r="Z933" i="4"/>
  <c r="Z1035" i="4"/>
  <c r="Z950" i="4"/>
  <c r="Z1018" i="4"/>
  <c r="Z916" i="4"/>
  <c r="Z899" i="4"/>
  <c r="Z1052" i="4"/>
  <c r="Z882" i="4"/>
  <c r="Z917" i="4"/>
  <c r="Z934" i="4"/>
  <c r="Z1070" i="4"/>
  <c r="Z951" i="4"/>
  <c r="Z1036" i="4"/>
  <c r="Z900" i="4"/>
  <c r="Z1019" i="4"/>
  <c r="Z883" i="4"/>
  <c r="Z1053" i="4"/>
  <c r="Z935" i="4"/>
  <c r="Z1071" i="4"/>
  <c r="Z1020" i="4"/>
  <c r="Z884" i="4"/>
  <c r="Z918" i="4"/>
  <c r="Z901" i="4"/>
  <c r="Z1054" i="4"/>
  <c r="Z952" i="4"/>
  <c r="Z1037" i="4"/>
  <c r="Z1021" i="4"/>
  <c r="Z902" i="4"/>
  <c r="Z1055" i="4"/>
  <c r="Z885" i="4"/>
  <c r="Z936" i="4"/>
  <c r="Z1038" i="4"/>
  <c r="Z919" i="4"/>
  <c r="Z953" i="4"/>
  <c r="Z1072" i="4"/>
  <c r="Z1039" i="4"/>
  <c r="Z1022" i="4"/>
  <c r="Z886" i="4"/>
  <c r="Z954" i="4"/>
  <c r="Z903" i="4"/>
  <c r="Z1056" i="4"/>
  <c r="Z920" i="4"/>
  <c r="Z1073" i="4"/>
  <c r="Z937" i="4"/>
  <c r="Z938" i="4"/>
  <c r="Z1040" i="4"/>
  <c r="Z921" i="4"/>
  <c r="Z955" i="4"/>
  <c r="Z1074" i="4"/>
  <c r="Z904" i="4"/>
  <c r="Z1057" i="4"/>
  <c r="Z887" i="4"/>
  <c r="Z1023" i="4"/>
  <c r="Z1075" i="4"/>
  <c r="Z1024" i="4"/>
  <c r="Z888" i="4"/>
  <c r="Z905" i="4"/>
  <c r="Z939" i="4"/>
  <c r="Z1041" i="4"/>
  <c r="Z922" i="4"/>
  <c r="Z956" i="4"/>
  <c r="Z1059" i="4"/>
  <c r="Z1058" i="4"/>
  <c r="Z1060" i="4"/>
  <c r="Z906" i="4"/>
  <c r="Z889" i="4"/>
  <c r="Z1043" i="4"/>
  <c r="Z923" i="4"/>
  <c r="Z940" i="4"/>
  <c r="Z1025" i="4"/>
  <c r="Z1042" i="4"/>
  <c r="Z1076" i="4"/>
  <c r="Z957" i="4"/>
  <c r="Z941" i="4"/>
  <c r="Z924" i="4"/>
  <c r="Z1026" i="4"/>
  <c r="Z907" i="4"/>
  <c r="Z1061" i="4"/>
  <c r="Z1077" i="4"/>
  <c r="Z890" i="4"/>
  <c r="Z958" i="4"/>
  <c r="Z1044" i="4"/>
  <c r="Z1062" i="4"/>
  <c r="Z959" i="4"/>
  <c r="Z942" i="4"/>
  <c r="Z1045" i="4"/>
  <c r="Z909" i="4"/>
  <c r="Z1027" i="4"/>
  <c r="Z925" i="4"/>
  <c r="Z1079" i="4"/>
  <c r="Z960" i="4"/>
  <c r="Z1028" i="4"/>
  <c r="Z1078" i="4"/>
  <c r="Z908" i="4"/>
  <c r="Z891" i="4"/>
  <c r="Z961" i="4"/>
  <c r="Z926" i="4"/>
  <c r="Z943" i="4"/>
  <c r="Z1080" i="4"/>
  <c r="Z1046" i="4"/>
  <c r="Z892" i="4"/>
  <c r="Z1029" i="4"/>
  <c r="Z910" i="4"/>
  <c r="Z1063" i="4"/>
  <c r="Z1030" i="4"/>
  <c r="Z1064" i="4"/>
  <c r="Z893" i="4"/>
  <c r="Z1081" i="4"/>
  <c r="Z439" i="4"/>
  <c r="Z962" i="4"/>
  <c r="Z1047" i="4"/>
  <c r="Z911" i="4"/>
  <c r="Z927" i="4"/>
  <c r="Z944" i="4"/>
  <c r="Z945" i="4"/>
  <c r="Z1082" i="4"/>
  <c r="Z894" i="4"/>
  <c r="Z1048" i="4"/>
  <c r="Z928" i="4"/>
  <c r="Z912" i="4"/>
  <c r="Z440" i="4"/>
  <c r="Z963" i="4"/>
  <c r="Z1031" i="4"/>
  <c r="Z1065" i="4"/>
  <c r="Z1032" i="4"/>
  <c r="Z929" i="4"/>
  <c r="Z913" i="4"/>
  <c r="Z1083" i="4"/>
  <c r="Z964" i="4"/>
  <c r="Z946" i="4"/>
  <c r="Z441" i="4"/>
  <c r="Z1049" i="4"/>
  <c r="Z1066" i="4"/>
  <c r="Z895" i="4"/>
  <c r="Z442" i="4"/>
  <c r="Z896" i="4"/>
  <c r="Z947" i="4"/>
  <c r="Z930" i="4"/>
  <c r="Z443" i="4"/>
  <c r="Z444" i="4"/>
  <c r="Z445" i="4"/>
  <c r="Z446" i="4"/>
  <c r="Z447" i="4"/>
  <c r="Z448" i="4"/>
  <c r="Z449" i="4"/>
  <c r="Z99" i="4"/>
  <c r="Z450" i="4"/>
  <c r="Z100" i="4"/>
  <c r="Z451" i="4"/>
  <c r="Z101" i="4"/>
  <c r="Z31" i="4"/>
  <c r="Z452" i="4"/>
  <c r="Z102" i="4"/>
  <c r="Z32" i="4"/>
  <c r="Z103" i="4"/>
  <c r="Z104" i="4"/>
  <c r="Z33" i="4"/>
  <c r="Z453" i="4"/>
  <c r="Z34" i="4"/>
  <c r="Z454" i="4"/>
  <c r="Z105" i="4"/>
  <c r="Z456" i="4"/>
  <c r="Z106" i="4"/>
  <c r="Z35" i="4"/>
  <c r="Z107" i="4"/>
  <c r="Z457" i="4"/>
  <c r="Z36" i="4"/>
  <c r="Z458" i="4"/>
  <c r="Z108" i="4"/>
  <c r="Z37" i="4"/>
  <c r="Z38" i="4"/>
  <c r="Z109" i="4"/>
  <c r="Z459" i="4"/>
  <c r="Z110" i="4"/>
  <c r="Z460" i="4"/>
  <c r="Z39" i="4"/>
  <c r="Z461" i="4"/>
  <c r="Z40" i="4"/>
  <c r="Z111" i="4"/>
  <c r="Z41" i="4"/>
  <c r="Z112" i="4"/>
  <c r="Z462" i="4"/>
  <c r="Z113" i="4"/>
  <c r="Z463" i="4"/>
  <c r="Z42" i="4"/>
  <c r="Z43" i="4"/>
  <c r="Z114" i="4"/>
  <c r="Z464" i="4"/>
  <c r="Z465" i="4"/>
  <c r="Z44" i="4"/>
  <c r="Z45" i="4"/>
  <c r="Z466" i="4"/>
  <c r="Z467" i="4"/>
  <c r="Z468" i="4"/>
  <c r="X83" i="4"/>
  <c r="X87" i="4"/>
  <c r="X91" i="4"/>
  <c r="X95" i="4"/>
  <c r="X84" i="4"/>
  <c r="X88" i="4"/>
  <c r="X92" i="4"/>
  <c r="X96" i="4"/>
  <c r="X81" i="4"/>
  <c r="X85" i="4"/>
  <c r="X89" i="4"/>
  <c r="X93" i="4"/>
  <c r="X97" i="4"/>
  <c r="X94" i="4"/>
  <c r="X82" i="4"/>
  <c r="X86" i="4"/>
  <c r="X90" i="4"/>
  <c r="X671" i="4"/>
  <c r="X675" i="4"/>
  <c r="X679" i="4"/>
  <c r="X683" i="4"/>
  <c r="X687" i="4"/>
  <c r="X691" i="4"/>
  <c r="X695" i="4"/>
  <c r="X699" i="4"/>
  <c r="X703" i="4"/>
  <c r="X707" i="4"/>
  <c r="X711" i="4"/>
  <c r="X715" i="4"/>
  <c r="X668" i="4"/>
  <c r="X672" i="4"/>
  <c r="X676" i="4"/>
  <c r="X680" i="4"/>
  <c r="X684" i="4"/>
  <c r="X688" i="4"/>
  <c r="X692" i="4"/>
  <c r="X696" i="4"/>
  <c r="X700" i="4"/>
  <c r="X704" i="4"/>
  <c r="X708" i="4"/>
  <c r="X712" i="4"/>
  <c r="X716" i="4"/>
  <c r="X669" i="4"/>
  <c r="X673" i="4"/>
  <c r="X677" i="4"/>
  <c r="X681" i="4"/>
  <c r="X685" i="4"/>
  <c r="X689" i="4"/>
  <c r="X693" i="4"/>
  <c r="X697" i="4"/>
  <c r="X701" i="4"/>
  <c r="X705" i="4"/>
  <c r="X709" i="4"/>
  <c r="X713" i="4"/>
  <c r="X717" i="4"/>
  <c r="X674" i="4"/>
  <c r="X690" i="4"/>
  <c r="X706" i="4"/>
  <c r="X678" i="4"/>
  <c r="X694" i="4"/>
  <c r="X710" i="4"/>
  <c r="X682" i="4"/>
  <c r="X698" i="4"/>
  <c r="X714" i="4"/>
  <c r="X670" i="4"/>
  <c r="X686" i="4"/>
  <c r="X702" i="4"/>
  <c r="X718" i="4"/>
  <c r="Z469" i="4"/>
  <c r="AA12" i="4"/>
  <c r="B32" i="4"/>
  <c r="V32" i="4" s="1"/>
  <c r="J471" i="4"/>
  <c r="Z471" i="4" s="1"/>
  <c r="K456" i="4"/>
  <c r="L470" i="4"/>
  <c r="O469" i="4"/>
  <c r="U65" i="4"/>
  <c r="U66" i="4" s="1"/>
  <c r="U67" i="4" s="1"/>
  <c r="U68" i="4" s="1"/>
  <c r="U69" i="4" s="1"/>
  <c r="U70" i="4" s="1"/>
  <c r="U71" i="4" s="1"/>
  <c r="U72" i="4" s="1"/>
  <c r="U73" i="4" s="1"/>
  <c r="U74" i="4" s="1"/>
  <c r="U75" i="4" s="1"/>
  <c r="U76" i="4" s="1"/>
  <c r="U77" i="4" s="1"/>
  <c r="U78" i="4" s="1"/>
  <c r="U79" i="4" s="1"/>
  <c r="U80" i="4" s="1"/>
  <c r="U81" i="4" s="1"/>
  <c r="U82" i="4" s="1"/>
  <c r="U83" i="4" s="1"/>
  <c r="U84" i="4" s="1"/>
  <c r="U85" i="4" s="1"/>
  <c r="U86" i="4" s="1"/>
  <c r="U87" i="4" s="1"/>
  <c r="U88" i="4" s="1"/>
  <c r="U89" i="4" s="1"/>
  <c r="U90" i="4" s="1"/>
  <c r="U91" i="4" s="1"/>
  <c r="U92" i="4" s="1"/>
  <c r="U93" i="4" s="1"/>
  <c r="U94" i="4" s="1"/>
  <c r="U95" i="4" s="1"/>
  <c r="U96" i="4" s="1"/>
  <c r="U97" i="4" s="1"/>
  <c r="U98" i="4" s="1"/>
  <c r="U99" i="4" s="1"/>
  <c r="U100" i="4" s="1"/>
  <c r="U101" i="4" s="1"/>
  <c r="U102" i="4" s="1"/>
  <c r="U103" i="4" s="1"/>
  <c r="U104" i="4" s="1"/>
  <c r="U105" i="4" s="1"/>
  <c r="U106" i="4" s="1"/>
  <c r="U107" i="4" s="1"/>
  <c r="U108" i="4" s="1"/>
  <c r="U109" i="4" s="1"/>
  <c r="U110" i="4" s="1"/>
  <c r="U111" i="4" s="1"/>
  <c r="U112" i="4" s="1"/>
  <c r="U113" i="4" s="1"/>
  <c r="U114" i="4" s="1"/>
  <c r="U115" i="4" s="1"/>
  <c r="J50" i="4"/>
  <c r="K119" i="4"/>
  <c r="L77" i="4"/>
  <c r="O77" i="4" s="1"/>
  <c r="K51" i="4"/>
  <c r="B6" i="6"/>
  <c r="J7" i="6"/>
  <c r="K6" i="6"/>
  <c r="K5" i="6"/>
  <c r="F6" i="6"/>
  <c r="F7" i="6" s="1"/>
  <c r="U4" i="6"/>
  <c r="Y4" i="6" s="1"/>
  <c r="W1553" i="4" s="1"/>
  <c r="Q5" i="6"/>
  <c r="Q6" i="6" s="1"/>
  <c r="N6" i="6"/>
  <c r="U345" i="6"/>
  <c r="Y345" i="6" s="1"/>
  <c r="U266" i="6"/>
  <c r="Y266" i="6" s="1"/>
  <c r="U193" i="6"/>
  <c r="Y193" i="6" s="1"/>
  <c r="U120" i="6"/>
  <c r="Y120" i="6" s="1"/>
  <c r="U303" i="6"/>
  <c r="Y303" i="6" s="1"/>
  <c r="U221" i="6"/>
  <c r="Y221" i="6" s="1"/>
  <c r="U147" i="6"/>
  <c r="Y147" i="6" s="1"/>
  <c r="U74" i="6"/>
  <c r="Y74" i="6" s="1"/>
  <c r="U361" i="6"/>
  <c r="Y361" i="6" s="1"/>
  <c r="U294" i="6"/>
  <c r="Y294" i="6" s="1"/>
  <c r="U211" i="6"/>
  <c r="Y211" i="6" s="1"/>
  <c r="U138" i="6"/>
  <c r="Y138" i="6" s="1"/>
  <c r="U65" i="6"/>
  <c r="Y65" i="6" s="1"/>
  <c r="U313" i="6"/>
  <c r="Y313" i="6" s="1"/>
  <c r="U230" i="6"/>
  <c r="Y230" i="6" s="1"/>
  <c r="U157" i="6"/>
  <c r="Y157" i="6" s="1"/>
  <c r="U83" i="6"/>
  <c r="Y83" i="6" s="1"/>
  <c r="U359" i="6"/>
  <c r="Y359" i="6" s="1"/>
  <c r="U285" i="6"/>
  <c r="Y285" i="6" s="1"/>
  <c r="U202" i="6"/>
  <c r="Y202" i="6" s="1"/>
  <c r="U129" i="6"/>
  <c r="Y129" i="6" s="1"/>
  <c r="U56" i="6"/>
  <c r="Y56" i="6" s="1"/>
  <c r="U343" i="6"/>
  <c r="Y343" i="6" s="1"/>
  <c r="U257" i="6"/>
  <c r="Y257" i="6" s="1"/>
  <c r="U184" i="6"/>
  <c r="Y184" i="6" s="1"/>
  <c r="U111" i="6"/>
  <c r="Y111" i="6" s="1"/>
  <c r="U333" i="6"/>
  <c r="Y333" i="6" s="1"/>
  <c r="U248" i="6"/>
  <c r="Y248" i="6" s="1"/>
  <c r="U175" i="6"/>
  <c r="Y175" i="6" s="1"/>
  <c r="U102" i="6"/>
  <c r="Y102" i="6" s="1"/>
  <c r="U322" i="6"/>
  <c r="Y322" i="6" s="1"/>
  <c r="U239" i="6"/>
  <c r="Y239" i="6" s="1"/>
  <c r="U166" i="6"/>
  <c r="Y166" i="6" s="1"/>
  <c r="U93" i="6"/>
  <c r="Y93" i="6" s="1"/>
  <c r="U47" i="6"/>
  <c r="Y47" i="6" s="1"/>
  <c r="U38" i="6"/>
  <c r="Y38" i="6" s="1"/>
  <c r="U29" i="6"/>
  <c r="Y29" i="6" s="1"/>
  <c r="U364" i="6"/>
  <c r="Y364" i="6" s="1"/>
  <c r="U356" i="6"/>
  <c r="Y356" i="6" s="1"/>
  <c r="U348" i="6"/>
  <c r="Y348" i="6" s="1"/>
  <c r="U340" i="6"/>
  <c r="Y340" i="6" s="1"/>
  <c r="U332" i="6"/>
  <c r="Y332" i="6" s="1"/>
  <c r="U324" i="6"/>
  <c r="Y324" i="6" s="1"/>
  <c r="U316" i="6"/>
  <c r="Y316" i="6" s="1"/>
  <c r="U308" i="6"/>
  <c r="Y308" i="6" s="1"/>
  <c r="U300" i="6"/>
  <c r="Y300" i="6" s="1"/>
  <c r="U292" i="6"/>
  <c r="Y292" i="6" s="1"/>
  <c r="U284" i="6"/>
  <c r="Y284" i="6" s="1"/>
  <c r="U260" i="6"/>
  <c r="Y260" i="6" s="1"/>
  <c r="U252" i="6"/>
  <c r="Y252" i="6" s="1"/>
  <c r="U244" i="6"/>
  <c r="Y244" i="6" s="1"/>
  <c r="U236" i="6"/>
  <c r="Y236" i="6" s="1"/>
  <c r="U228" i="6"/>
  <c r="Y228" i="6" s="1"/>
  <c r="U220" i="6"/>
  <c r="Y220" i="6" s="1"/>
  <c r="U212" i="6"/>
  <c r="Y212" i="6" s="1"/>
  <c r="U204" i="6"/>
  <c r="Y204" i="6" s="1"/>
  <c r="U196" i="6"/>
  <c r="Y196" i="6" s="1"/>
  <c r="U188" i="6"/>
  <c r="Y188" i="6" s="1"/>
  <c r="U180" i="6"/>
  <c r="Y180" i="6" s="1"/>
  <c r="U172" i="6"/>
  <c r="Y172" i="6" s="1"/>
  <c r="U164" i="6"/>
  <c r="Y164" i="6" s="1"/>
  <c r="U156" i="6"/>
  <c r="Y156" i="6" s="1"/>
  <c r="U148" i="6"/>
  <c r="Y148" i="6" s="1"/>
  <c r="U140" i="6"/>
  <c r="Y140" i="6" s="1"/>
  <c r="U132" i="6"/>
  <c r="Y132" i="6" s="1"/>
  <c r="U124" i="6"/>
  <c r="Y124" i="6" s="1"/>
  <c r="U116" i="6"/>
  <c r="Y116" i="6" s="1"/>
  <c r="U108" i="6"/>
  <c r="Y108" i="6" s="1"/>
  <c r="U100" i="6"/>
  <c r="Y100" i="6" s="1"/>
  <c r="U92" i="6"/>
  <c r="Y92" i="6" s="1"/>
  <c r="U84" i="6"/>
  <c r="Y84" i="6" s="1"/>
  <c r="U76" i="6"/>
  <c r="Y76" i="6" s="1"/>
  <c r="U68" i="6"/>
  <c r="Y68" i="6" s="1"/>
  <c r="U60" i="6"/>
  <c r="Y60" i="6" s="1"/>
  <c r="U52" i="6"/>
  <c r="Y52" i="6" s="1"/>
  <c r="U44" i="6"/>
  <c r="Y44" i="6" s="1"/>
  <c r="U36" i="6"/>
  <c r="Y36" i="6" s="1"/>
  <c r="U28" i="6"/>
  <c r="Y28" i="6" s="1"/>
  <c r="U330" i="6"/>
  <c r="Y330" i="6" s="1"/>
  <c r="U321" i="6"/>
  <c r="Y321" i="6" s="1"/>
  <c r="U312" i="6"/>
  <c r="Y312" i="6" s="1"/>
  <c r="U302" i="6"/>
  <c r="Y302" i="6" s="1"/>
  <c r="U293" i="6"/>
  <c r="Y293" i="6" s="1"/>
  <c r="U265" i="6"/>
  <c r="Y265" i="6" s="1"/>
  <c r="U256" i="6"/>
  <c r="Y256" i="6" s="1"/>
  <c r="U247" i="6"/>
  <c r="Y247" i="6" s="1"/>
  <c r="U238" i="6"/>
  <c r="Y238" i="6" s="1"/>
  <c r="U229" i="6"/>
  <c r="Y229" i="6" s="1"/>
  <c r="U219" i="6"/>
  <c r="Y219" i="6" s="1"/>
  <c r="U210" i="6"/>
  <c r="Y210" i="6" s="1"/>
  <c r="U201" i="6"/>
  <c r="Y201" i="6" s="1"/>
  <c r="U192" i="6"/>
  <c r="Y192" i="6" s="1"/>
  <c r="U183" i="6"/>
  <c r="Y183" i="6" s="1"/>
  <c r="U174" i="6"/>
  <c r="Y174" i="6" s="1"/>
  <c r="U165" i="6"/>
  <c r="Y165" i="6" s="1"/>
  <c r="U155" i="6"/>
  <c r="Y155" i="6" s="1"/>
  <c r="U146" i="6"/>
  <c r="Y146" i="6" s="1"/>
  <c r="U137" i="6"/>
  <c r="Y137" i="6" s="1"/>
  <c r="U128" i="6"/>
  <c r="Y128" i="6" s="1"/>
  <c r="U119" i="6"/>
  <c r="Y119" i="6" s="1"/>
  <c r="U110" i="6"/>
  <c r="Y110" i="6" s="1"/>
  <c r="U101" i="6"/>
  <c r="Y101" i="6" s="1"/>
  <c r="U91" i="6"/>
  <c r="Y91" i="6" s="1"/>
  <c r="U82" i="6"/>
  <c r="Y82" i="6" s="1"/>
  <c r="U73" i="6"/>
  <c r="Y73" i="6" s="1"/>
  <c r="U64" i="6"/>
  <c r="Y64" i="6" s="1"/>
  <c r="U55" i="6"/>
  <c r="Y55" i="6" s="1"/>
  <c r="U46" i="6"/>
  <c r="Y46" i="6" s="1"/>
  <c r="U37" i="6"/>
  <c r="Y37" i="6" s="1"/>
  <c r="U27" i="6"/>
  <c r="Y27" i="6" s="1"/>
  <c r="U363" i="6"/>
  <c r="Y363" i="6" s="1"/>
  <c r="U355" i="6"/>
  <c r="Y355" i="6" s="1"/>
  <c r="U347" i="6"/>
  <c r="Y347" i="6" s="1"/>
  <c r="U339" i="6"/>
  <c r="Y339" i="6" s="1"/>
  <c r="U331" i="6"/>
  <c r="Y331" i="6" s="1"/>
  <c r="U307" i="6"/>
  <c r="Y307" i="6" s="1"/>
  <c r="U358" i="6"/>
  <c r="Y358" i="6" s="1"/>
  <c r="U342" i="6"/>
  <c r="Y342" i="6" s="1"/>
  <c r="U329" i="6"/>
  <c r="Y329" i="6" s="1"/>
  <c r="U320" i="6"/>
  <c r="Y320" i="6" s="1"/>
  <c r="U311" i="6"/>
  <c r="Y311" i="6" s="1"/>
  <c r="U301" i="6"/>
  <c r="Y301" i="6" s="1"/>
  <c r="U291" i="6"/>
  <c r="Y291" i="6" s="1"/>
  <c r="U264" i="6"/>
  <c r="Y264" i="6" s="1"/>
  <c r="U255" i="6"/>
  <c r="Y255" i="6" s="1"/>
  <c r="U246" i="6"/>
  <c r="Y246" i="6" s="1"/>
  <c r="U237" i="6"/>
  <c r="Y237" i="6" s="1"/>
  <c r="U227" i="6"/>
  <c r="Y227" i="6" s="1"/>
  <c r="U218" i="6"/>
  <c r="Y218" i="6" s="1"/>
  <c r="U209" i="6"/>
  <c r="Y209" i="6" s="1"/>
  <c r="U200" i="6"/>
  <c r="Y200" i="6" s="1"/>
  <c r="U191" i="6"/>
  <c r="Y191" i="6" s="1"/>
  <c r="U182" i="6"/>
  <c r="Y182" i="6" s="1"/>
  <c r="U173" i="6"/>
  <c r="Y173" i="6" s="1"/>
  <c r="U163" i="6"/>
  <c r="Y163" i="6" s="1"/>
  <c r="U154" i="6"/>
  <c r="Y154" i="6" s="1"/>
  <c r="U145" i="6"/>
  <c r="Y145" i="6" s="1"/>
  <c r="U136" i="6"/>
  <c r="Y136" i="6" s="1"/>
  <c r="U127" i="6"/>
  <c r="Y127" i="6" s="1"/>
  <c r="U118" i="6"/>
  <c r="Y118" i="6" s="1"/>
  <c r="U109" i="6"/>
  <c r="Y109" i="6" s="1"/>
  <c r="U99" i="6"/>
  <c r="Y99" i="6" s="1"/>
  <c r="U90" i="6"/>
  <c r="Y90" i="6" s="1"/>
  <c r="U81" i="6"/>
  <c r="Y81" i="6" s="1"/>
  <c r="U72" i="6"/>
  <c r="Y72" i="6" s="1"/>
  <c r="U63" i="6"/>
  <c r="Y63" i="6" s="1"/>
  <c r="U54" i="6"/>
  <c r="Y54" i="6" s="1"/>
  <c r="U35" i="6"/>
  <c r="Y35" i="6" s="1"/>
  <c r="U26" i="6"/>
  <c r="Y26" i="6" s="1"/>
  <c r="U354" i="6"/>
  <c r="Y354" i="6" s="1"/>
  <c r="U341" i="6"/>
  <c r="Y341" i="6" s="1"/>
  <c r="U328" i="6"/>
  <c r="Y328" i="6" s="1"/>
  <c r="U319" i="6"/>
  <c r="Y319" i="6" s="1"/>
  <c r="U310" i="6"/>
  <c r="Y310" i="6" s="1"/>
  <c r="U299" i="6"/>
  <c r="Y299" i="6" s="1"/>
  <c r="U290" i="6"/>
  <c r="Y290" i="6" s="1"/>
  <c r="U263" i="6"/>
  <c r="Y263" i="6" s="1"/>
  <c r="U254" i="6"/>
  <c r="Y254" i="6" s="1"/>
  <c r="U245" i="6"/>
  <c r="Y245" i="6" s="1"/>
  <c r="U235" i="6"/>
  <c r="Y235" i="6" s="1"/>
  <c r="U226" i="6"/>
  <c r="Y226" i="6" s="1"/>
  <c r="U217" i="6"/>
  <c r="Y217" i="6" s="1"/>
  <c r="U208" i="6"/>
  <c r="Y208" i="6" s="1"/>
  <c r="U199" i="6"/>
  <c r="Y199" i="6" s="1"/>
  <c r="U190" i="6"/>
  <c r="Y190" i="6" s="1"/>
  <c r="U181" i="6"/>
  <c r="Y181" i="6" s="1"/>
  <c r="U171" i="6"/>
  <c r="Y171" i="6" s="1"/>
  <c r="U162" i="6"/>
  <c r="Y162" i="6" s="1"/>
  <c r="U153" i="6"/>
  <c r="Y153" i="6" s="1"/>
  <c r="U144" i="6"/>
  <c r="Y144" i="6" s="1"/>
  <c r="U135" i="6"/>
  <c r="Y135" i="6" s="1"/>
  <c r="U126" i="6"/>
  <c r="Y126" i="6" s="1"/>
  <c r="U117" i="6"/>
  <c r="Y117" i="6" s="1"/>
  <c r="U107" i="6"/>
  <c r="Y107" i="6" s="1"/>
  <c r="U98" i="6"/>
  <c r="Y98" i="6" s="1"/>
  <c r="U89" i="6"/>
  <c r="Y89" i="6" s="1"/>
  <c r="U80" i="6"/>
  <c r="Y80" i="6" s="1"/>
  <c r="U71" i="6"/>
  <c r="Y71" i="6" s="1"/>
  <c r="U62" i="6"/>
  <c r="Y62" i="6" s="1"/>
  <c r="U53" i="6"/>
  <c r="Y53" i="6" s="1"/>
  <c r="U43" i="6"/>
  <c r="Y43" i="6" s="1"/>
  <c r="U34" i="6"/>
  <c r="Y34" i="6" s="1"/>
  <c r="U25" i="6"/>
  <c r="Y25" i="6" s="1"/>
  <c r="U353" i="6"/>
  <c r="Y353" i="6" s="1"/>
  <c r="U338" i="6"/>
  <c r="Y338" i="6" s="1"/>
  <c r="U327" i="6"/>
  <c r="Y327" i="6" s="1"/>
  <c r="U318" i="6"/>
  <c r="Y318" i="6" s="1"/>
  <c r="U309" i="6"/>
  <c r="Y309" i="6" s="1"/>
  <c r="U298" i="6"/>
  <c r="Y298" i="6" s="1"/>
  <c r="U289" i="6"/>
  <c r="Y289" i="6" s="1"/>
  <c r="U262" i="6"/>
  <c r="Y262" i="6" s="1"/>
  <c r="U253" i="6"/>
  <c r="Y253" i="6" s="1"/>
  <c r="U243" i="6"/>
  <c r="Y243" i="6" s="1"/>
  <c r="U234" i="6"/>
  <c r="Y234" i="6" s="1"/>
  <c r="U225" i="6"/>
  <c r="Y225" i="6" s="1"/>
  <c r="U216" i="6"/>
  <c r="Y216" i="6" s="1"/>
  <c r="U207" i="6"/>
  <c r="Y207" i="6" s="1"/>
  <c r="U198" i="6"/>
  <c r="Y198" i="6" s="1"/>
  <c r="U189" i="6"/>
  <c r="Y189" i="6" s="1"/>
  <c r="U179" i="6"/>
  <c r="Y179" i="6" s="1"/>
  <c r="U170" i="6"/>
  <c r="Y170" i="6" s="1"/>
  <c r="U161" i="6"/>
  <c r="Y161" i="6" s="1"/>
  <c r="U152" i="6"/>
  <c r="Y152" i="6" s="1"/>
  <c r="U143" i="6"/>
  <c r="Y143" i="6" s="1"/>
  <c r="U134" i="6"/>
  <c r="Y134" i="6" s="1"/>
  <c r="U125" i="6"/>
  <c r="Y125" i="6" s="1"/>
  <c r="U115" i="6"/>
  <c r="Y115" i="6" s="1"/>
  <c r="U106" i="6"/>
  <c r="Y106" i="6" s="1"/>
  <c r="U97" i="6"/>
  <c r="Y97" i="6" s="1"/>
  <c r="U88" i="6"/>
  <c r="Y88" i="6" s="1"/>
  <c r="U79" i="6"/>
  <c r="Y79" i="6" s="1"/>
  <c r="U70" i="6"/>
  <c r="Y70" i="6" s="1"/>
  <c r="U61" i="6"/>
  <c r="Y61" i="6" s="1"/>
  <c r="U51" i="6"/>
  <c r="Y51" i="6" s="1"/>
  <c r="U42" i="6"/>
  <c r="Y42" i="6" s="1"/>
  <c r="U33" i="6"/>
  <c r="Y33" i="6" s="1"/>
  <c r="U24" i="6"/>
  <c r="Y24" i="6" s="1"/>
  <c r="U360" i="6"/>
  <c r="Y360" i="6" s="1"/>
  <c r="U352" i="6"/>
  <c r="Y352" i="6" s="1"/>
  <c r="U344" i="6"/>
  <c r="Y344" i="6" s="1"/>
  <c r="U336" i="6"/>
  <c r="Y336" i="6" s="1"/>
  <c r="U351" i="6"/>
  <c r="Y351" i="6" s="1"/>
  <c r="U337" i="6"/>
  <c r="Y337" i="6" s="1"/>
  <c r="U326" i="6"/>
  <c r="Y326" i="6" s="1"/>
  <c r="U317" i="6"/>
  <c r="Y317" i="6" s="1"/>
  <c r="U306" i="6"/>
  <c r="Y306" i="6" s="1"/>
  <c r="U297" i="6"/>
  <c r="Y297" i="6" s="1"/>
  <c r="U288" i="6"/>
  <c r="Y288" i="6" s="1"/>
  <c r="U261" i="6"/>
  <c r="Y261" i="6" s="1"/>
  <c r="U251" i="6"/>
  <c r="Y251" i="6" s="1"/>
  <c r="U242" i="6"/>
  <c r="Y242" i="6" s="1"/>
  <c r="U233" i="6"/>
  <c r="Y233" i="6" s="1"/>
  <c r="U224" i="6"/>
  <c r="Y224" i="6" s="1"/>
  <c r="U215" i="6"/>
  <c r="Y215" i="6" s="1"/>
  <c r="U206" i="6"/>
  <c r="Y206" i="6" s="1"/>
  <c r="U197" i="6"/>
  <c r="Y197" i="6" s="1"/>
  <c r="U187" i="6"/>
  <c r="Y187" i="6" s="1"/>
  <c r="U178" i="6"/>
  <c r="Y178" i="6" s="1"/>
  <c r="U169" i="6"/>
  <c r="Y169" i="6" s="1"/>
  <c r="U160" i="6"/>
  <c r="Y160" i="6" s="1"/>
  <c r="U151" i="6"/>
  <c r="Y151" i="6" s="1"/>
  <c r="U142" i="6"/>
  <c r="Y142" i="6" s="1"/>
  <c r="U133" i="6"/>
  <c r="Y133" i="6" s="1"/>
  <c r="U123" i="6"/>
  <c r="Y123" i="6" s="1"/>
  <c r="U114" i="6"/>
  <c r="Y114" i="6" s="1"/>
  <c r="U105" i="6"/>
  <c r="Y105" i="6" s="1"/>
  <c r="U96" i="6"/>
  <c r="Y96" i="6" s="1"/>
  <c r="U87" i="6"/>
  <c r="Y87" i="6" s="1"/>
  <c r="U78" i="6"/>
  <c r="Y78" i="6" s="1"/>
  <c r="U69" i="6"/>
  <c r="Y69" i="6" s="1"/>
  <c r="U59" i="6"/>
  <c r="Y59" i="6" s="1"/>
  <c r="U50" i="6"/>
  <c r="Y50" i="6" s="1"/>
  <c r="U41" i="6"/>
  <c r="Y41" i="6" s="1"/>
  <c r="U32" i="6"/>
  <c r="Y32" i="6" s="1"/>
  <c r="U23" i="6"/>
  <c r="Y23" i="6" s="1"/>
  <c r="U350" i="6"/>
  <c r="Y350" i="6" s="1"/>
  <c r="U335" i="6"/>
  <c r="Y335" i="6" s="1"/>
  <c r="U325" i="6"/>
  <c r="Y325" i="6" s="1"/>
  <c r="U315" i="6"/>
  <c r="Y315" i="6" s="1"/>
  <c r="U305" i="6"/>
  <c r="Y305" i="6" s="1"/>
  <c r="U296" i="6"/>
  <c r="Y296" i="6" s="1"/>
  <c r="U287" i="6"/>
  <c r="Y287" i="6" s="1"/>
  <c r="U259" i="6"/>
  <c r="Y259" i="6" s="1"/>
  <c r="U250" i="6"/>
  <c r="Y250" i="6" s="1"/>
  <c r="U241" i="6"/>
  <c r="Y241" i="6" s="1"/>
  <c r="U232" i="6"/>
  <c r="Y232" i="6" s="1"/>
  <c r="U223" i="6"/>
  <c r="Y223" i="6" s="1"/>
  <c r="U214" i="6"/>
  <c r="Y214" i="6" s="1"/>
  <c r="U205" i="6"/>
  <c r="Y205" i="6" s="1"/>
  <c r="U195" i="6"/>
  <c r="Y195" i="6" s="1"/>
  <c r="U186" i="6"/>
  <c r="Y186" i="6" s="1"/>
  <c r="U177" i="6"/>
  <c r="Y177" i="6" s="1"/>
  <c r="U168" i="6"/>
  <c r="Y168" i="6" s="1"/>
  <c r="U159" i="6"/>
  <c r="Y159" i="6" s="1"/>
  <c r="U150" i="6"/>
  <c r="Y150" i="6" s="1"/>
  <c r="U141" i="6"/>
  <c r="Y141" i="6" s="1"/>
  <c r="U131" i="6"/>
  <c r="Y131" i="6" s="1"/>
  <c r="U122" i="6"/>
  <c r="Y122" i="6" s="1"/>
  <c r="U113" i="6"/>
  <c r="Y113" i="6" s="1"/>
  <c r="U104" i="6"/>
  <c r="Y104" i="6" s="1"/>
  <c r="U95" i="6"/>
  <c r="Y95" i="6" s="1"/>
  <c r="U86" i="6"/>
  <c r="Y86" i="6" s="1"/>
  <c r="U77" i="6"/>
  <c r="Y77" i="6" s="1"/>
  <c r="U67" i="6"/>
  <c r="Y67" i="6" s="1"/>
  <c r="U58" i="6"/>
  <c r="Y58" i="6" s="1"/>
  <c r="U49" i="6"/>
  <c r="Y49" i="6" s="1"/>
  <c r="U40" i="6"/>
  <c r="Y40" i="6" s="1"/>
  <c r="U31" i="6"/>
  <c r="Y31" i="6" s="1"/>
  <c r="U22" i="6"/>
  <c r="Y22" i="6" s="1"/>
  <c r="U362" i="6"/>
  <c r="Y362" i="6" s="1"/>
  <c r="U346" i="6"/>
  <c r="Y346" i="6" s="1"/>
  <c r="U334" i="6"/>
  <c r="Y334" i="6" s="1"/>
  <c r="U323" i="6"/>
  <c r="Y323" i="6" s="1"/>
  <c r="U314" i="6"/>
  <c r="Y314" i="6" s="1"/>
  <c r="U304" i="6"/>
  <c r="Y304" i="6" s="1"/>
  <c r="U295" i="6"/>
  <c r="Y295" i="6" s="1"/>
  <c r="U286" i="6"/>
  <c r="Y286" i="6" s="1"/>
  <c r="U267" i="6"/>
  <c r="Y267" i="6" s="1"/>
  <c r="U258" i="6"/>
  <c r="Y258" i="6" s="1"/>
  <c r="U249" i="6"/>
  <c r="Y249" i="6" s="1"/>
  <c r="U240" i="6"/>
  <c r="Y240" i="6" s="1"/>
  <c r="U231" i="6"/>
  <c r="Y231" i="6" s="1"/>
  <c r="U222" i="6"/>
  <c r="Y222" i="6" s="1"/>
  <c r="U213" i="6"/>
  <c r="Y213" i="6" s="1"/>
  <c r="U203" i="6"/>
  <c r="Y203" i="6" s="1"/>
  <c r="U194" i="6"/>
  <c r="Y194" i="6" s="1"/>
  <c r="U185" i="6"/>
  <c r="Y185" i="6" s="1"/>
  <c r="U176" i="6"/>
  <c r="Y176" i="6" s="1"/>
  <c r="U167" i="6"/>
  <c r="Y167" i="6" s="1"/>
  <c r="U158" i="6"/>
  <c r="Y158" i="6" s="1"/>
  <c r="U149" i="6"/>
  <c r="Y149" i="6" s="1"/>
  <c r="U139" i="6"/>
  <c r="Y139" i="6" s="1"/>
  <c r="U130" i="6"/>
  <c r="Y130" i="6" s="1"/>
  <c r="U121" i="6"/>
  <c r="Y121" i="6" s="1"/>
  <c r="U112" i="6"/>
  <c r="Y112" i="6" s="1"/>
  <c r="U103" i="6"/>
  <c r="Y103" i="6" s="1"/>
  <c r="U94" i="6"/>
  <c r="Y94" i="6" s="1"/>
  <c r="U85" i="6"/>
  <c r="Y85" i="6" s="1"/>
  <c r="U75" i="6"/>
  <c r="Y75" i="6" s="1"/>
  <c r="U66" i="6"/>
  <c r="Y66" i="6" s="1"/>
  <c r="U57" i="6"/>
  <c r="Y57" i="6" s="1"/>
  <c r="U48" i="6"/>
  <c r="Y48" i="6" s="1"/>
  <c r="U39" i="6"/>
  <c r="Y39" i="6" s="1"/>
  <c r="U30" i="6"/>
  <c r="Y30" i="6" s="1"/>
  <c r="U365" i="6"/>
  <c r="Y365" i="6" s="1"/>
  <c r="U357" i="6"/>
  <c r="Y357" i="6" s="1"/>
  <c r="U349" i="6"/>
  <c r="Y349" i="6" s="1"/>
  <c r="W1638" i="4" l="1"/>
  <c r="W1588" i="4"/>
  <c r="W1713" i="4"/>
  <c r="W1587" i="4"/>
  <c r="W1625" i="4"/>
  <c r="W1623" i="4"/>
  <c r="Z14" i="4"/>
  <c r="Z18" i="4"/>
  <c r="Z22" i="4"/>
  <c r="Z26" i="4"/>
  <c r="Z116" i="4"/>
  <c r="Z191" i="4"/>
  <c r="Z292" i="4"/>
  <c r="Z330" i="4"/>
  <c r="Z364" i="4"/>
  <c r="Z383" i="4"/>
  <c r="Z491" i="4"/>
  <c r="Z495" i="4"/>
  <c r="Z563" i="4"/>
  <c r="Z613" i="4"/>
  <c r="Z719" i="4"/>
  <c r="Z738" i="4"/>
  <c r="Z772" i="4"/>
  <c r="Z777" i="4"/>
  <c r="Z811" i="4"/>
  <c r="Z863" i="4"/>
  <c r="Z966" i="4"/>
  <c r="Z1000" i="4"/>
  <c r="Z1102" i="4"/>
  <c r="Z1136" i="4"/>
  <c r="Z1155" i="4"/>
  <c r="Z1159" i="4"/>
  <c r="Z1163" i="4"/>
  <c r="Z1167" i="4"/>
  <c r="Z1187" i="4"/>
  <c r="Z1191" i="4"/>
  <c r="Z1195" i="4"/>
  <c r="Z1199" i="4"/>
  <c r="Z1207" i="4"/>
  <c r="Z1211" i="4"/>
  <c r="Z1215" i="4"/>
  <c r="Z1219" i="4"/>
  <c r="Z1223" i="4"/>
  <c r="Z1227" i="4"/>
  <c r="Z1231" i="4"/>
  <c r="Z1235" i="4"/>
  <c r="Z1239" i="4"/>
  <c r="Z1243" i="4"/>
  <c r="Z1247" i="4"/>
  <c r="Z1251" i="4"/>
  <c r="Z1255" i="4"/>
  <c r="Z1259" i="4"/>
  <c r="Z15" i="4"/>
  <c r="Z19" i="4"/>
  <c r="Z23" i="4"/>
  <c r="Z27" i="4"/>
  <c r="Z82" i="4"/>
  <c r="Z136" i="4"/>
  <c r="Z293" i="4"/>
  <c r="Z312" i="4"/>
  <c r="Z365" i="4"/>
  <c r="Z400" i="4"/>
  <c r="Z421" i="4"/>
  <c r="Z16" i="4"/>
  <c r="Z20" i="4"/>
  <c r="Z24" i="4"/>
  <c r="Z28" i="4"/>
  <c r="Z118" i="4"/>
  <c r="Z244" i="4"/>
  <c r="Z274" i="4"/>
  <c r="Z328" i="4"/>
  <c r="Z347" i="4"/>
  <c r="Z473" i="4"/>
  <c r="Z546" i="4"/>
  <c r="Z615" i="4"/>
  <c r="Z721" i="4"/>
  <c r="Z755" i="4"/>
  <c r="Z775" i="4"/>
  <c r="Z829" i="4"/>
  <c r="Z983" i="4"/>
  <c r="Z1085" i="4"/>
  <c r="Z1119" i="4"/>
  <c r="Z1153" i="4"/>
  <c r="Z1157" i="4"/>
  <c r="Z1161" i="4"/>
  <c r="Z1165" i="4"/>
  <c r="Z1189" i="4"/>
  <c r="Z1193" i="4"/>
  <c r="Z1197" i="4"/>
  <c r="Z1201" i="4"/>
  <c r="Z1205" i="4"/>
  <c r="Z1209" i="4"/>
  <c r="Z1213" i="4"/>
  <c r="Z1217" i="4"/>
  <c r="Z1221" i="4"/>
  <c r="Z1225" i="4"/>
  <c r="Z1229" i="4"/>
  <c r="Z1233" i="4"/>
  <c r="Z1241" i="4"/>
  <c r="Z1245" i="4"/>
  <c r="Z1249" i="4"/>
  <c r="Z1253" i="4"/>
  <c r="Z1257" i="4"/>
  <c r="Z25" i="4"/>
  <c r="Z134" i="4"/>
  <c r="Z363" i="4"/>
  <c r="Z686" i="4"/>
  <c r="Z793" i="4"/>
  <c r="Z1160" i="4"/>
  <c r="Z1168" i="4"/>
  <c r="Z1192" i="4"/>
  <c r="Z1200" i="4"/>
  <c r="Z1208" i="4"/>
  <c r="Z1216" i="4"/>
  <c r="Z1224" i="4"/>
  <c r="Z1232" i="4"/>
  <c r="Z1240" i="4"/>
  <c r="Z1248" i="4"/>
  <c r="Z1256" i="4"/>
  <c r="Z1262" i="4"/>
  <c r="Z1266" i="4"/>
  <c r="Z1270" i="4"/>
  <c r="Z1322" i="4"/>
  <c r="Z1326" i="4"/>
  <c r="Z1330" i="4"/>
  <c r="Z1334" i="4"/>
  <c r="Z1338" i="4"/>
  <c r="Z1358" i="4"/>
  <c r="Z1386" i="4"/>
  <c r="Z1390" i="4"/>
  <c r="Z1394" i="4"/>
  <c r="Z1402" i="4"/>
  <c r="Z1406" i="4"/>
  <c r="Z1410" i="4"/>
  <c r="Z1418" i="4"/>
  <c r="Z1422" i="4"/>
  <c r="Z1426" i="4"/>
  <c r="Z1430" i="4"/>
  <c r="Z1466" i="4"/>
  <c r="Z1470" i="4"/>
  <c r="Z1474" i="4"/>
  <c r="Z1478" i="4"/>
  <c r="Z1482" i="4"/>
  <c r="Z1486" i="4"/>
  <c r="Z1490" i="4"/>
  <c r="Z1494" i="4"/>
  <c r="Z1498" i="4"/>
  <c r="Z1506" i="4"/>
  <c r="Z1510" i="4"/>
  <c r="Z1514" i="4"/>
  <c r="Z1518" i="4"/>
  <c r="Z1538" i="4"/>
  <c r="Z1542" i="4"/>
  <c r="Z1546" i="4"/>
  <c r="Z1550" i="4"/>
  <c r="Z1574" i="4"/>
  <c r="Z1578" i="4"/>
  <c r="Z1582" i="4"/>
  <c r="Z1586" i="4"/>
  <c r="Z1590" i="4"/>
  <c r="Z1594" i="4"/>
  <c r="Z1598" i="4"/>
  <c r="Z1602" i="4"/>
  <c r="Z1606" i="4"/>
  <c r="Z1610" i="4"/>
  <c r="Z1614" i="4"/>
  <c r="Z1618" i="4"/>
  <c r="Z13" i="4"/>
  <c r="Z291" i="4"/>
  <c r="Z367" i="4"/>
  <c r="Z490" i="4"/>
  <c r="Z597" i="4"/>
  <c r="Z703" i="4"/>
  <c r="Z1101" i="4"/>
  <c r="Z1154" i="4"/>
  <c r="Z1162" i="4"/>
  <c r="Z1194" i="4"/>
  <c r="Z1202" i="4"/>
  <c r="Z1210" i="4"/>
  <c r="Z1218" i="4"/>
  <c r="Z1226" i="4"/>
  <c r="Z1234" i="4"/>
  <c r="Z1242" i="4"/>
  <c r="Z1250" i="4"/>
  <c r="Z1258" i="4"/>
  <c r="Z1263" i="4"/>
  <c r="Z1267" i="4"/>
  <c r="Z1323" i="4"/>
  <c r="Z1327" i="4"/>
  <c r="Z1331" i="4"/>
  <c r="Z1335" i="4"/>
  <c r="Z1339" i="4"/>
  <c r="Z1359" i="4"/>
  <c r="Z17" i="4"/>
  <c r="Z295" i="4"/>
  <c r="Z492" i="4"/>
  <c r="Z774" i="4"/>
  <c r="Z812" i="4"/>
  <c r="Z1118" i="4"/>
  <c r="Z1156" i="4"/>
  <c r="Z1164" i="4"/>
  <c r="Z1188" i="4"/>
  <c r="Z1196" i="4"/>
  <c r="Z1204" i="4"/>
  <c r="Z1212" i="4"/>
  <c r="Z1228" i="4"/>
  <c r="Z1236" i="4"/>
  <c r="Z1244" i="4"/>
  <c r="Z1252" i="4"/>
  <c r="Z1260" i="4"/>
  <c r="Z1264" i="4"/>
  <c r="Z1268" i="4"/>
  <c r="Z1324" i="4"/>
  <c r="Z1328" i="4"/>
  <c r="Z1332" i="4"/>
  <c r="Z1336" i="4"/>
  <c r="Z1340" i="4"/>
  <c r="Z1384" i="4"/>
  <c r="Z1388" i="4"/>
  <c r="Z1392" i="4"/>
  <c r="Z1396" i="4"/>
  <c r="Z1400" i="4"/>
  <c r="Z1404" i="4"/>
  <c r="Z1408" i="4"/>
  <c r="Z1412" i="4"/>
  <c r="Z1416" i="4"/>
  <c r="Z1420" i="4"/>
  <c r="Z1424" i="4"/>
  <c r="Z1428" i="4"/>
  <c r="Z1468" i="4"/>
  <c r="Z1472" i="4"/>
  <c r="Z1476" i="4"/>
  <c r="Z1480" i="4"/>
  <c r="Z1488" i="4"/>
  <c r="Z1492" i="4"/>
  <c r="Z1496" i="4"/>
  <c r="Z1500" i="4"/>
  <c r="Z1504" i="4"/>
  <c r="Z1508" i="4"/>
  <c r="Z1512" i="4"/>
  <c r="Z1516" i="4"/>
  <c r="Z1540" i="4"/>
  <c r="Z1544" i="4"/>
  <c r="Z1548" i="4"/>
  <c r="Z1552" i="4"/>
  <c r="Z1572" i="4"/>
  <c r="Z1576" i="4"/>
  <c r="Z1580" i="4"/>
  <c r="Z1584" i="4"/>
  <c r="Z1588" i="4"/>
  <c r="Z1592" i="4"/>
  <c r="Z1596" i="4"/>
  <c r="Z1600" i="4"/>
  <c r="Z1604" i="4"/>
  <c r="Z1608" i="4"/>
  <c r="Z1612" i="4"/>
  <c r="Z1616" i="4"/>
  <c r="Z1620" i="4"/>
  <c r="Z1712" i="4"/>
  <c r="Z846" i="4"/>
  <c r="Z1135" i="4"/>
  <c r="Z1214" i="4"/>
  <c r="Z1246" i="4"/>
  <c r="Z1269" i="4"/>
  <c r="Z1333" i="4"/>
  <c r="Z1387" i="4"/>
  <c r="Z1395" i="4"/>
  <c r="Z1403" i="4"/>
  <c r="Z1411" i="4"/>
  <c r="Z1419" i="4"/>
  <c r="Z1427" i="4"/>
  <c r="Z1467" i="4"/>
  <c r="Z1475" i="4"/>
  <c r="Z1483" i="4"/>
  <c r="Z1491" i="4"/>
  <c r="Z1499" i="4"/>
  <c r="Z1507" i="4"/>
  <c r="Z1515" i="4"/>
  <c r="Z1539" i="4"/>
  <c r="Z1547" i="4"/>
  <c r="Z1571" i="4"/>
  <c r="Z1579" i="4"/>
  <c r="Z1587" i="4"/>
  <c r="Z1595" i="4"/>
  <c r="Z1603" i="4"/>
  <c r="Z1611" i="4"/>
  <c r="Z1619" i="4"/>
  <c r="Z1828" i="4"/>
  <c r="Z1832" i="4"/>
  <c r="Z1836" i="4"/>
  <c r="Z1840" i="4"/>
  <c r="Z1844" i="4"/>
  <c r="Z1848" i="4"/>
  <c r="Z1852" i="4"/>
  <c r="Z1856" i="4"/>
  <c r="Z1860" i="4"/>
  <c r="Z1864" i="4"/>
  <c r="Z1868" i="4"/>
  <c r="Z1872" i="4"/>
  <c r="Z1876" i="4"/>
  <c r="Z1880" i="4"/>
  <c r="Z1884" i="4"/>
  <c r="Z1888" i="4"/>
  <c r="Z1896" i="4"/>
  <c r="Z1900" i="4"/>
  <c r="Z1904" i="4"/>
  <c r="Z1908" i="4"/>
  <c r="Z1912" i="4"/>
  <c r="Z1916" i="4"/>
  <c r="Z1920" i="4"/>
  <c r="Z1924" i="4"/>
  <c r="Z1928" i="4"/>
  <c r="Z1932" i="4"/>
  <c r="Z1936" i="4"/>
  <c r="Z1940" i="4"/>
  <c r="Z1944" i="4"/>
  <c r="Z1948" i="4"/>
  <c r="Z1952" i="4"/>
  <c r="Z1956" i="4"/>
  <c r="Z1960" i="4"/>
  <c r="Z1984" i="4"/>
  <c r="Z1988" i="4"/>
  <c r="Z1992" i="4"/>
  <c r="Z1996" i="4"/>
  <c r="Z2016" i="4"/>
  <c r="Z2020" i="4"/>
  <c r="Z2024" i="4"/>
  <c r="Z2028" i="4"/>
  <c r="Z2036" i="4"/>
  <c r="Z2040" i="4"/>
  <c r="Z2044" i="4"/>
  <c r="Z2048" i="4"/>
  <c r="Z21" i="4"/>
  <c r="Z1158" i="4"/>
  <c r="Z1190" i="4"/>
  <c r="Z1222" i="4"/>
  <c r="Z1337" i="4"/>
  <c r="Z1381" i="4"/>
  <c r="Z1389" i="4"/>
  <c r="Z1397" i="4"/>
  <c r="Z1405" i="4"/>
  <c r="Z1413" i="4"/>
  <c r="Z1421" i="4"/>
  <c r="Z1429" i="4"/>
  <c r="Z1469" i="4"/>
  <c r="Z1477" i="4"/>
  <c r="Z1485" i="4"/>
  <c r="Z1493" i="4"/>
  <c r="Z1509" i="4"/>
  <c r="Z1517" i="4"/>
  <c r="Z1541" i="4"/>
  <c r="Z1549" i="4"/>
  <c r="Z1573" i="4"/>
  <c r="Z1581" i="4"/>
  <c r="Z1589" i="4"/>
  <c r="Z1597" i="4"/>
  <c r="Z1605" i="4"/>
  <c r="Z1613" i="4"/>
  <c r="Z1621" i="4"/>
  <c r="Z1825" i="4"/>
  <c r="Z1829" i="4"/>
  <c r="Z1833" i="4"/>
  <c r="Z1837" i="4"/>
  <c r="Z1845" i="4"/>
  <c r="Z1849" i="4"/>
  <c r="Z1853" i="4"/>
  <c r="Z1857" i="4"/>
  <c r="Z1861" i="4"/>
  <c r="Z1865" i="4"/>
  <c r="Z1869" i="4"/>
  <c r="Z1873" i="4"/>
  <c r="Z1877" i="4"/>
  <c r="Z1881" i="4"/>
  <c r="Z1885" i="4"/>
  <c r="Z1889" i="4"/>
  <c r="Z1893" i="4"/>
  <c r="Z1897" i="4"/>
  <c r="Z1901" i="4"/>
  <c r="Z1905" i="4"/>
  <c r="Z1913" i="4"/>
  <c r="Z1917" i="4"/>
  <c r="Z1921" i="4"/>
  <c r="Z1925" i="4"/>
  <c r="Z1933" i="4"/>
  <c r="Z1937" i="4"/>
  <c r="Z1941" i="4"/>
  <c r="Z1945" i="4"/>
  <c r="Z1949" i="4"/>
  <c r="Z1953" i="4"/>
  <c r="Z1957" i="4"/>
  <c r="Z1961" i="4"/>
  <c r="Z1981" i="4"/>
  <c r="Z1985" i="4"/>
  <c r="Z1989" i="4"/>
  <c r="Z1993" i="4"/>
  <c r="Z1997" i="4"/>
  <c r="Z2017" i="4"/>
  <c r="Z2021" i="4"/>
  <c r="Z2025" i="4"/>
  <c r="Z2029" i="4"/>
  <c r="Z2033" i="4"/>
  <c r="Z2037" i="4"/>
  <c r="Z2041" i="4"/>
  <c r="Z2045" i="4"/>
  <c r="Z1166" i="4"/>
  <c r="Z1198" i="4"/>
  <c r="Z1230" i="4"/>
  <c r="Z1261" i="4"/>
  <c r="Z1325" i="4"/>
  <c r="Z1383" i="4"/>
  <c r="Z1391" i="4"/>
  <c r="Z1399" i="4"/>
  <c r="Z1407" i="4"/>
  <c r="Z1423" i="4"/>
  <c r="Z1471" i="4"/>
  <c r="Z1479" i="4"/>
  <c r="Z1487" i="4"/>
  <c r="Z1495" i="4"/>
  <c r="Z1503" i="4"/>
  <c r="Z1511" i="4"/>
  <c r="Z1543" i="4"/>
  <c r="Z1551" i="4"/>
  <c r="Z1575" i="4"/>
  <c r="Z1583" i="4"/>
  <c r="Z1591" i="4"/>
  <c r="Z1599" i="4"/>
  <c r="Z1607" i="4"/>
  <c r="Z1615" i="4"/>
  <c r="Z1826" i="4"/>
  <c r="Z1830" i="4"/>
  <c r="Z1834" i="4"/>
  <c r="Z1838" i="4"/>
  <c r="Z1842" i="4"/>
  <c r="Z1846" i="4"/>
  <c r="Z1850" i="4"/>
  <c r="Z1854" i="4"/>
  <c r="Z1862" i="4"/>
  <c r="Z1866" i="4"/>
  <c r="Z1870" i="4"/>
  <c r="Z1874" i="4"/>
  <c r="Z1878" i="4"/>
  <c r="Z1882" i="4"/>
  <c r="Z1886" i="4"/>
  <c r="Z1890" i="4"/>
  <c r="Z1894" i="4"/>
  <c r="Z1898" i="4"/>
  <c r="Z1902" i="4"/>
  <c r="Z1906" i="4"/>
  <c r="Z1910" i="4"/>
  <c r="Z1914" i="4"/>
  <c r="Z1918" i="4"/>
  <c r="Z1922" i="4"/>
  <c r="Z1926" i="4"/>
  <c r="Z1930" i="4"/>
  <c r="Z1934" i="4"/>
  <c r="Z1938" i="4"/>
  <c r="Z1942" i="4"/>
  <c r="Z1950" i="4"/>
  <c r="Z1954" i="4"/>
  <c r="Z1958" i="4"/>
  <c r="Z1962" i="4"/>
  <c r="Z1982" i="4"/>
  <c r="Z1986" i="4"/>
  <c r="Z1990" i="4"/>
  <c r="Z1994" i="4"/>
  <c r="Z2018" i="4"/>
  <c r="Z2022" i="4"/>
  <c r="Z2026" i="4"/>
  <c r="Z2030" i="4"/>
  <c r="Z2034" i="4"/>
  <c r="Z2038" i="4"/>
  <c r="Z2042" i="4"/>
  <c r="Z2046" i="4"/>
  <c r="Z1238" i="4"/>
  <c r="Z1409" i="4"/>
  <c r="Z1473" i="4"/>
  <c r="Z1505" i="4"/>
  <c r="Z1537" i="4"/>
  <c r="Z1601" i="4"/>
  <c r="Z1835" i="4"/>
  <c r="Z1851" i="4"/>
  <c r="Z1867" i="4"/>
  <c r="Z1883" i="4"/>
  <c r="Z1899" i="4"/>
  <c r="Z1915" i="4"/>
  <c r="Z1931" i="4"/>
  <c r="Z1947" i="4"/>
  <c r="Z1963" i="4"/>
  <c r="Z1995" i="4"/>
  <c r="Z2027" i="4"/>
  <c r="Z2043" i="4"/>
  <c r="Z1265" i="4"/>
  <c r="Z1329" i="4"/>
  <c r="Z1385" i="4"/>
  <c r="Z1417" i="4"/>
  <c r="Z1481" i="4"/>
  <c r="Z1513" i="4"/>
  <c r="Z1545" i="4"/>
  <c r="Z1577" i="4"/>
  <c r="Z1609" i="4"/>
  <c r="Z1839" i="4"/>
  <c r="Z1855" i="4"/>
  <c r="Z1871" i="4"/>
  <c r="Z1887" i="4"/>
  <c r="Z1903" i="4"/>
  <c r="Z1919" i="4"/>
  <c r="Z1935" i="4"/>
  <c r="Z1951" i="4"/>
  <c r="Z1983" i="4"/>
  <c r="Z2031" i="4"/>
  <c r="Z2047" i="4"/>
  <c r="Z210" i="4"/>
  <c r="Z1393" i="4"/>
  <c r="Z1425" i="4"/>
  <c r="Z1489" i="4"/>
  <c r="Z1585" i="4"/>
  <c r="Z1617" i="4"/>
  <c r="Z1827" i="4"/>
  <c r="Z1843" i="4"/>
  <c r="Z1859" i="4"/>
  <c r="Z1891" i="4"/>
  <c r="Z1907" i="4"/>
  <c r="Z1923" i="4"/>
  <c r="Z1939" i="4"/>
  <c r="Z1955" i="4"/>
  <c r="Z1987" i="4"/>
  <c r="Z2019" i="4"/>
  <c r="Z2035" i="4"/>
  <c r="Z1497" i="4"/>
  <c r="Z1863" i="4"/>
  <c r="Z1927" i="4"/>
  <c r="Z1991" i="4"/>
  <c r="Z1401" i="4"/>
  <c r="Z1879" i="4"/>
  <c r="Z1943" i="4"/>
  <c r="Z1206" i="4"/>
  <c r="Z1831" i="4"/>
  <c r="Z1895" i="4"/>
  <c r="Z1959" i="4"/>
  <c r="Z2023" i="4"/>
  <c r="Z2039" i="4"/>
  <c r="Z1847" i="4"/>
  <c r="Z1593" i="4"/>
  <c r="Z1911" i="4"/>
  <c r="Z1137" i="4"/>
  <c r="Z1138" i="4"/>
  <c r="Z1139" i="4"/>
  <c r="Z1140" i="4"/>
  <c r="Z1141" i="4"/>
  <c r="Z1142" i="4"/>
  <c r="Z1143" i="4"/>
  <c r="Z1144" i="4"/>
  <c r="Z1145" i="4"/>
  <c r="Z1146" i="4"/>
  <c r="Z1147" i="4"/>
  <c r="Z1148" i="4"/>
  <c r="Z1149" i="4"/>
  <c r="Z1150" i="4"/>
  <c r="Z1151" i="4"/>
  <c r="Z1086" i="4"/>
  <c r="Z1120" i="4"/>
  <c r="Z1103" i="4"/>
  <c r="Z830" i="4"/>
  <c r="Z847" i="4"/>
  <c r="Z1087" i="4"/>
  <c r="Z967" i="4"/>
  <c r="Z864" i="4"/>
  <c r="Z1001" i="4"/>
  <c r="Z1121" i="4"/>
  <c r="Z984" i="4"/>
  <c r="Z1104" i="4"/>
  <c r="Z865" i="4"/>
  <c r="Z985" i="4"/>
  <c r="Z1122" i="4"/>
  <c r="Z968" i="4"/>
  <c r="Z831" i="4"/>
  <c r="Z1088" i="4"/>
  <c r="Z1002" i="4"/>
  <c r="Z1105" i="4"/>
  <c r="Z848" i="4"/>
  <c r="Z969" i="4"/>
  <c r="Z986" i="4"/>
  <c r="Z866" i="4"/>
  <c r="Z849" i="4"/>
  <c r="Z1123" i="4"/>
  <c r="Z1003" i="4"/>
  <c r="Z1089" i="4"/>
  <c r="Z832" i="4"/>
  <c r="Z1106" i="4"/>
  <c r="Z833" i="4"/>
  <c r="Z987" i="4"/>
  <c r="Z1090" i="4"/>
  <c r="Z971" i="4"/>
  <c r="Z867" i="4"/>
  <c r="Z1124" i="4"/>
  <c r="Z1004" i="4"/>
  <c r="Z850" i="4"/>
  <c r="Z970" i="4"/>
  <c r="Z1107" i="4"/>
  <c r="Z988" i="4"/>
  <c r="Z1108" i="4"/>
  <c r="Z972" i="4"/>
  <c r="Z1091" i="4"/>
  <c r="Z1005" i="4"/>
  <c r="Z1125" i="4"/>
  <c r="Z868" i="4"/>
  <c r="Z851" i="4"/>
  <c r="Z834" i="4"/>
  <c r="Z869" i="4"/>
  <c r="Z1110" i="4"/>
  <c r="Z835" i="4"/>
  <c r="Z1006" i="4"/>
  <c r="Z870" i="4"/>
  <c r="Z1109" i="4"/>
  <c r="Z852" i="4"/>
  <c r="Z1092" i="4"/>
  <c r="Z973" i="4"/>
  <c r="Z1126" i="4"/>
  <c r="Z989" i="4"/>
  <c r="Z871" i="4"/>
  <c r="Z974" i="4"/>
  <c r="Z836" i="4"/>
  <c r="Z990" i="4"/>
  <c r="Z1111" i="4"/>
  <c r="Z854" i="4"/>
  <c r="Z1127" i="4"/>
  <c r="Z1093" i="4"/>
  <c r="Z853" i="4"/>
  <c r="Z1007" i="4"/>
  <c r="Z872" i="4"/>
  <c r="Z855" i="4"/>
  <c r="Z1094" i="4"/>
  <c r="Z991" i="4"/>
  <c r="Z1112" i="4"/>
  <c r="Z837" i="4"/>
  <c r="Z975" i="4"/>
  <c r="Z1128" i="4"/>
  <c r="Z1008" i="4"/>
  <c r="Z245" i="4"/>
  <c r="Z992" i="4"/>
  <c r="Z856" i="4"/>
  <c r="Z1095" i="4"/>
  <c r="Z1009" i="4"/>
  <c r="Z1113" i="4"/>
  <c r="Z839" i="4"/>
  <c r="Z873" i="4"/>
  <c r="Z1010" i="4"/>
  <c r="Z838" i="4"/>
  <c r="Z976" i="4"/>
  <c r="Z1129" i="4"/>
  <c r="Z993" i="4"/>
  <c r="Z840" i="4"/>
  <c r="Z874" i="4"/>
  <c r="Z857" i="4"/>
  <c r="Z1114" i="4"/>
  <c r="Z977" i="4"/>
  <c r="Z1096" i="4"/>
  <c r="Z1011" i="4"/>
  <c r="Z1130" i="4"/>
  <c r="Z1098" i="4"/>
  <c r="Z841" i="4"/>
  <c r="Z994" i="4"/>
  <c r="Z995" i="4"/>
  <c r="Z1131" i="4"/>
  <c r="Z1012" i="4"/>
  <c r="Z875" i="4"/>
  <c r="Z978" i="4"/>
  <c r="Z1097" i="4"/>
  <c r="Z1115" i="4"/>
  <c r="Z858" i="4"/>
  <c r="Z1013" i="4"/>
  <c r="Z876" i="4"/>
  <c r="Z1116" i="4"/>
  <c r="Z842" i="4"/>
  <c r="Z996" i="4"/>
  <c r="Z1099" i="4"/>
  <c r="Z1132" i="4"/>
  <c r="Z859" i="4"/>
  <c r="Z979" i="4"/>
  <c r="Z877" i="4"/>
  <c r="Z980" i="4"/>
  <c r="Z1117" i="4"/>
  <c r="Z997" i="4"/>
  <c r="Z1100" i="4"/>
  <c r="Z843" i="4"/>
  <c r="Z1014" i="4"/>
  <c r="Z1133" i="4"/>
  <c r="Z860" i="4"/>
  <c r="Z861" i="4"/>
  <c r="Z878" i="4"/>
  <c r="Z998" i="4"/>
  <c r="Z1015" i="4"/>
  <c r="Z844" i="4"/>
  <c r="Z1134" i="4"/>
  <c r="Z981" i="4"/>
  <c r="Z845" i="4"/>
  <c r="Z879" i="4"/>
  <c r="Z862" i="4"/>
  <c r="Z83" i="4"/>
  <c r="Z84" i="4"/>
  <c r="Z85" i="4"/>
  <c r="Z474" i="4"/>
  <c r="Z86" i="4"/>
  <c r="Z87" i="4"/>
  <c r="Z475" i="4"/>
  <c r="Z476" i="4"/>
  <c r="Z88" i="4"/>
  <c r="Z477" i="4"/>
  <c r="Z89" i="4"/>
  <c r="Z478" i="4"/>
  <c r="Z90" i="4"/>
  <c r="Z479" i="4"/>
  <c r="Z91" i="4"/>
  <c r="Z480" i="4"/>
  <c r="Z92" i="4"/>
  <c r="Z481" i="4"/>
  <c r="Z93" i="4"/>
  <c r="Z94" i="4"/>
  <c r="Z482" i="4"/>
  <c r="Z483" i="4"/>
  <c r="Z95" i="4"/>
  <c r="Z484" i="4"/>
  <c r="Z96" i="4"/>
  <c r="Z97" i="4"/>
  <c r="Z485" i="4"/>
  <c r="Z486" i="4"/>
  <c r="Z487" i="4"/>
  <c r="Z488" i="4"/>
  <c r="Z489" i="4"/>
  <c r="W1636" i="4"/>
  <c r="W1536" i="4"/>
  <c r="W1624" i="4"/>
  <c r="W1519" i="4"/>
  <c r="W1630" i="4"/>
  <c r="W1709" i="4"/>
  <c r="W1605" i="4"/>
  <c r="W1712" i="4"/>
  <c r="W1692" i="4"/>
  <c r="W1711" i="4"/>
  <c r="W1710" i="4"/>
  <c r="W1622" i="4"/>
  <c r="W1673" i="4"/>
  <c r="Z81" i="4"/>
  <c r="Z157" i="4"/>
  <c r="Z311" i="4"/>
  <c r="Z420" i="4"/>
  <c r="Z685" i="4"/>
  <c r="Z1203" i="4"/>
  <c r="Z117" i="4"/>
  <c r="Z192" i="4"/>
  <c r="Z273" i="4"/>
  <c r="Z346" i="4"/>
  <c r="Z174" i="4"/>
  <c r="Z209" i="4"/>
  <c r="Z294" i="4"/>
  <c r="Z366" i="4"/>
  <c r="Z437" i="4"/>
  <c r="Z596" i="4"/>
  <c r="Z702" i="4"/>
  <c r="Z1237" i="4"/>
  <c r="Z255" i="4"/>
  <c r="Z472" i="4"/>
  <c r="Z579" i="4"/>
  <c r="Z754" i="4"/>
  <c r="Z1084" i="4"/>
  <c r="Z1152" i="4"/>
  <c r="Z1274" i="4"/>
  <c r="Z1278" i="4"/>
  <c r="Z1282" i="4"/>
  <c r="Z1286" i="4"/>
  <c r="Z1306" i="4"/>
  <c r="Z1310" i="4"/>
  <c r="Z1314" i="4"/>
  <c r="Z1318" i="4"/>
  <c r="Z1362" i="4"/>
  <c r="Z1366" i="4"/>
  <c r="Z1370" i="4"/>
  <c r="Z1374" i="4"/>
  <c r="Z1378" i="4"/>
  <c r="Z1382" i="4"/>
  <c r="Z1398" i="4"/>
  <c r="Z1414" i="4"/>
  <c r="Z1502" i="4"/>
  <c r="Z965" i="4"/>
  <c r="Z1186" i="4"/>
  <c r="Z1275" i="4"/>
  <c r="Z1279" i="4"/>
  <c r="Z1283" i="4"/>
  <c r="Z1287" i="4"/>
  <c r="Z1307" i="4"/>
  <c r="Z1311" i="4"/>
  <c r="Z1315" i="4"/>
  <c r="Z1319" i="4"/>
  <c r="Z1363" i="4"/>
  <c r="Z1367" i="4"/>
  <c r="Z1371" i="4"/>
  <c r="Z1375" i="4"/>
  <c r="Z64" i="4"/>
  <c r="Z419" i="4"/>
  <c r="Z545" i="4"/>
  <c r="Z720" i="4"/>
  <c r="Z982" i="4"/>
  <c r="Z1220" i="4"/>
  <c r="Z1272" i="4"/>
  <c r="Z1276" i="4"/>
  <c r="Z1280" i="4"/>
  <c r="Z1284" i="4"/>
  <c r="Z1308" i="4"/>
  <c r="Z1312" i="4"/>
  <c r="Z1316" i="4"/>
  <c r="Z1320" i="4"/>
  <c r="Z1360" i="4"/>
  <c r="Z1364" i="4"/>
  <c r="Z1368" i="4"/>
  <c r="Z1372" i="4"/>
  <c r="Z1376" i="4"/>
  <c r="Z1484" i="4"/>
  <c r="Z1536" i="4"/>
  <c r="Z329" i="4"/>
  <c r="Z1285" i="4"/>
  <c r="Z1317" i="4"/>
  <c r="Z1365" i="4"/>
  <c r="Z1824" i="4"/>
  <c r="Z1892" i="4"/>
  <c r="Z2032" i="4"/>
  <c r="Z1254" i="4"/>
  <c r="Z1273" i="4"/>
  <c r="Z1321" i="4"/>
  <c r="Z1369" i="4"/>
  <c r="Z1841" i="4"/>
  <c r="Z1909" i="4"/>
  <c r="Z1929" i="4"/>
  <c r="Z115" i="4"/>
  <c r="Z494" i="4"/>
  <c r="Z737" i="4"/>
  <c r="Z999" i="4"/>
  <c r="Z1277" i="4"/>
  <c r="Z1309" i="4"/>
  <c r="Z1373" i="4"/>
  <c r="Z1415" i="4"/>
  <c r="Z1858" i="4"/>
  <c r="Z1946" i="4"/>
  <c r="Z776" i="4"/>
  <c r="Z1313" i="4"/>
  <c r="Z1377" i="4"/>
  <c r="Z2015" i="4"/>
  <c r="Z1281" i="4"/>
  <c r="Z1875" i="4"/>
  <c r="Z562" i="4"/>
  <c r="Z1465" i="4"/>
  <c r="Z65" i="4"/>
  <c r="Z66" i="4"/>
  <c r="Z67" i="4"/>
  <c r="Z68" i="4"/>
  <c r="Z69" i="4"/>
  <c r="Z70" i="4"/>
  <c r="Z71" i="4"/>
  <c r="Z72" i="4"/>
  <c r="Z73" i="4"/>
  <c r="Z74" i="4"/>
  <c r="Z75" i="4"/>
  <c r="Z76" i="4"/>
  <c r="Z77" i="4"/>
  <c r="Z78" i="4"/>
  <c r="Z79" i="4"/>
  <c r="Z80" i="4"/>
  <c r="W1675" i="4"/>
  <c r="W1672" i="4"/>
  <c r="W1655" i="4"/>
  <c r="W1674" i="4"/>
  <c r="W1570" i="4"/>
  <c r="W1637" i="4"/>
  <c r="W1220" i="4"/>
  <c r="W812" i="4"/>
  <c r="W614" i="4"/>
  <c r="W489" i="4"/>
  <c r="W12" i="4"/>
  <c r="Z12" i="4"/>
  <c r="W1360" i="4"/>
  <c r="W1203" i="4"/>
  <c r="W1050" i="4"/>
  <c r="W794" i="4"/>
  <c r="W1033" i="4"/>
  <c r="W328" i="4"/>
  <c r="W615" i="4"/>
  <c r="W294" i="4"/>
  <c r="W880" i="4"/>
  <c r="W157" i="4"/>
  <c r="W346" i="4"/>
  <c r="W490" i="4"/>
  <c r="W634" i="4"/>
  <c r="W363" i="4"/>
  <c r="W491" i="4"/>
  <c r="W651" i="4"/>
  <c r="W400" i="4"/>
  <c r="W528" i="4"/>
  <c r="W829" i="4"/>
  <c r="W1101" i="4"/>
  <c r="W1341" i="4"/>
  <c r="W1501" i="4"/>
  <c r="W81" i="4"/>
  <c r="W209" i="4"/>
  <c r="W273" i="4"/>
  <c r="W401" i="4"/>
  <c r="W846" i="4"/>
  <c r="W1118" i="4"/>
  <c r="W1358" i="4"/>
  <c r="W1502" i="4"/>
  <c r="W116" i="4"/>
  <c r="W244" i="4"/>
  <c r="W863" i="4"/>
  <c r="W46" i="4"/>
  <c r="W174" i="4"/>
  <c r="W366" i="4"/>
  <c r="W494" i="4"/>
  <c r="W702" i="4"/>
  <c r="W63" i="4"/>
  <c r="W191" i="4"/>
  <c r="W255" i="4"/>
  <c r="W383" i="4"/>
  <c r="W511" i="4"/>
  <c r="W472" i="4"/>
  <c r="W737" i="4"/>
  <c r="W897" i="4"/>
  <c r="W1169" i="4"/>
  <c r="W1361" i="4"/>
  <c r="W754" i="4"/>
  <c r="W914" i="4"/>
  <c r="W1186" i="4"/>
  <c r="W1378" i="4"/>
  <c r="W775" i="4"/>
  <c r="W999" i="4"/>
  <c r="W1415" i="4"/>
  <c r="W293" i="4"/>
  <c r="W613" i="4"/>
  <c r="W98" i="4"/>
  <c r="W226" i="4"/>
  <c r="W290" i="4"/>
  <c r="W402" i="4"/>
  <c r="W562" i="4"/>
  <c r="W115" i="4"/>
  <c r="W147" i="4"/>
  <c r="W227" i="4"/>
  <c r="W291" i="4"/>
  <c r="W419" i="4"/>
  <c r="W579" i="4"/>
  <c r="W64" i="4"/>
  <c r="W192" i="4"/>
  <c r="W256" i="4"/>
  <c r="W773" i="4"/>
  <c r="W965" i="4"/>
  <c r="W1237" i="4"/>
  <c r="W1381" i="4"/>
  <c r="W545" i="4"/>
  <c r="W774" i="4"/>
  <c r="W982" i="4"/>
  <c r="W1254" i="4"/>
  <c r="W1382" i="4"/>
  <c r="W1398" i="4"/>
  <c r="W1414" i="4"/>
  <c r="W596" i="4"/>
  <c r="W719" i="4"/>
  <c r="W1135" i="4"/>
  <c r="W1359" i="4"/>
  <c r="W117" i="4"/>
  <c r="W437" i="4"/>
  <c r="W931" i="4"/>
  <c r="W1016" i="4"/>
  <c r="W1484" i="4"/>
  <c r="W438" i="4"/>
  <c r="W311" i="4"/>
  <c r="W616" i="4"/>
  <c r="W793" i="4"/>
  <c r="W1305" i="4"/>
  <c r="W137" i="4"/>
  <c r="W1322" i="4"/>
  <c r="W292" i="4"/>
  <c r="W1271" i="4"/>
  <c r="W811" i="4"/>
  <c r="W668" i="4"/>
  <c r="W1084" i="4"/>
  <c r="W1340" i="4"/>
  <c r="W772" i="4"/>
  <c r="W1483" i="4"/>
  <c r="W493" i="4"/>
  <c r="W685" i="4"/>
  <c r="W134" i="4"/>
  <c r="W135" i="4"/>
  <c r="W455" i="4"/>
  <c r="W136" i="4"/>
  <c r="W1431" i="4"/>
  <c r="W776" i="4"/>
  <c r="W492" i="4"/>
  <c r="W771" i="4"/>
  <c r="W1067" i="4"/>
  <c r="W1152" i="4"/>
  <c r="W1465" i="4"/>
  <c r="W329" i="4"/>
  <c r="W1482" i="4"/>
  <c r="W420" i="4"/>
  <c r="W720" i="4"/>
  <c r="W1379" i="4"/>
  <c r="W1448" i="4"/>
  <c r="W948" i="4"/>
  <c r="W1380" i="4"/>
  <c r="W1339" i="4"/>
  <c r="W365" i="4"/>
  <c r="W29" i="4"/>
  <c r="W1288" i="4"/>
  <c r="W364" i="4"/>
  <c r="W617" i="4"/>
  <c r="B33" i="4"/>
  <c r="V33" i="4" s="1"/>
  <c r="K7" i="6"/>
  <c r="J8" i="6"/>
  <c r="U116" i="4"/>
  <c r="U117" i="4" s="1"/>
  <c r="U118" i="4" s="1"/>
  <c r="U119" i="4" s="1"/>
  <c r="U120" i="4" s="1"/>
  <c r="U121" i="4" s="1"/>
  <c r="U122" i="4" s="1"/>
  <c r="U123" i="4" s="1"/>
  <c r="U124" i="4" s="1"/>
  <c r="U125" i="4" s="1"/>
  <c r="U126" i="4" s="1"/>
  <c r="U127" i="4" s="1"/>
  <c r="U128" i="4" s="1"/>
  <c r="U129" i="4" s="1"/>
  <c r="U130" i="4" s="1"/>
  <c r="U131" i="4" s="1"/>
  <c r="U132" i="4" s="1"/>
  <c r="U133" i="4" s="1"/>
  <c r="U134" i="4" s="1"/>
  <c r="U135" i="4" s="1"/>
  <c r="U136" i="4" s="1"/>
  <c r="U137" i="4" s="1"/>
  <c r="K457" i="4"/>
  <c r="L471" i="4"/>
  <c r="O470" i="4"/>
  <c r="G7" i="6"/>
  <c r="F8" i="6"/>
  <c r="O6" i="6"/>
  <c r="N7" i="6"/>
  <c r="J51" i="4"/>
  <c r="K120" i="4"/>
  <c r="L78" i="4"/>
  <c r="O78" i="4" s="1"/>
  <c r="K52" i="4"/>
  <c r="B7" i="6"/>
  <c r="C6" i="6"/>
  <c r="G6" i="6"/>
  <c r="Y273" i="4" l="1"/>
  <c r="Y277" i="4"/>
  <c r="Y281" i="4"/>
  <c r="Y285" i="4"/>
  <c r="Y289" i="4"/>
  <c r="Y493" i="4"/>
  <c r="Y497" i="4"/>
  <c r="Y501" i="4"/>
  <c r="Y505" i="4"/>
  <c r="Y509" i="4"/>
  <c r="Y721" i="4"/>
  <c r="Y725" i="4"/>
  <c r="Y729" i="4"/>
  <c r="Y733" i="4"/>
  <c r="Y737" i="4"/>
  <c r="Y741" i="4"/>
  <c r="Y745" i="4"/>
  <c r="Y749" i="4"/>
  <c r="Y753" i="4"/>
  <c r="Y757" i="4"/>
  <c r="Y761" i="4"/>
  <c r="Y765" i="4"/>
  <c r="Y769" i="4"/>
  <c r="Y777" i="4"/>
  <c r="Y781" i="4"/>
  <c r="Y785" i="4"/>
  <c r="Y789" i="4"/>
  <c r="Y793" i="4"/>
  <c r="Y917" i="4"/>
  <c r="Y921" i="4"/>
  <c r="Y925" i="4"/>
  <c r="Y929" i="4"/>
  <c r="Y933" i="4"/>
  <c r="Y937" i="4"/>
  <c r="Y941" i="4"/>
  <c r="Y945" i="4"/>
  <c r="Y274" i="4"/>
  <c r="Y278" i="4"/>
  <c r="Y282" i="4"/>
  <c r="Y286" i="4"/>
  <c r="Y494" i="4"/>
  <c r="Y498" i="4"/>
  <c r="Y502" i="4"/>
  <c r="Y506" i="4"/>
  <c r="Y510" i="4"/>
  <c r="Y722" i="4"/>
  <c r="Y726" i="4"/>
  <c r="Y730" i="4"/>
  <c r="Y734" i="4"/>
  <c r="Y738" i="4"/>
  <c r="Y742" i="4"/>
  <c r="Y746" i="4"/>
  <c r="Y750" i="4"/>
  <c r="Y754" i="4"/>
  <c r="Y758" i="4"/>
  <c r="Y762" i="4"/>
  <c r="Y766" i="4"/>
  <c r="Y770" i="4"/>
  <c r="Y778" i="4"/>
  <c r="Y782" i="4"/>
  <c r="Y786" i="4"/>
  <c r="Y790" i="4"/>
  <c r="Y914" i="4"/>
  <c r="Y918" i="4"/>
  <c r="Y922" i="4"/>
  <c r="Y926" i="4"/>
  <c r="Y930" i="4"/>
  <c r="Y934" i="4"/>
  <c r="Y938" i="4"/>
  <c r="Y942" i="4"/>
  <c r="Y946" i="4"/>
  <c r="Y275" i="4"/>
  <c r="Y279" i="4"/>
  <c r="Y283" i="4"/>
  <c r="Y287" i="4"/>
  <c r="Y495" i="4"/>
  <c r="Y499" i="4"/>
  <c r="Y503" i="4"/>
  <c r="Y507" i="4"/>
  <c r="Y723" i="4"/>
  <c r="Y727" i="4"/>
  <c r="Y731" i="4"/>
  <c r="Y735" i="4"/>
  <c r="Y739" i="4"/>
  <c r="Y743" i="4"/>
  <c r="Y747" i="4"/>
  <c r="Y751" i="4"/>
  <c r="Y755" i="4"/>
  <c r="Y759" i="4"/>
  <c r="Y763" i="4"/>
  <c r="Y767" i="4"/>
  <c r="Y779" i="4"/>
  <c r="Y783" i="4"/>
  <c r="Y787" i="4"/>
  <c r="Y791" i="4"/>
  <c r="Y915" i="4"/>
  <c r="Y919" i="4"/>
  <c r="Y923" i="4"/>
  <c r="Y927" i="4"/>
  <c r="Y931" i="4"/>
  <c r="Y935" i="4"/>
  <c r="Y939" i="4"/>
  <c r="Y943" i="4"/>
  <c r="Y947" i="4"/>
  <c r="Y280" i="4"/>
  <c r="Y504" i="4"/>
  <c r="Y728" i="4"/>
  <c r="Y744" i="4"/>
  <c r="Y760" i="4"/>
  <c r="Y776" i="4"/>
  <c r="Y792" i="4"/>
  <c r="Y920" i="4"/>
  <c r="Y936" i="4"/>
  <c r="Y284" i="4"/>
  <c r="Y508" i="4"/>
  <c r="Y732" i="4"/>
  <c r="Y748" i="4"/>
  <c r="Y764" i="4"/>
  <c r="Y780" i="4"/>
  <c r="Y924" i="4"/>
  <c r="Y940" i="4"/>
  <c r="Y288" i="4"/>
  <c r="Y496" i="4"/>
  <c r="Y720" i="4"/>
  <c r="Y736" i="4"/>
  <c r="Y752" i="4"/>
  <c r="Y768" i="4"/>
  <c r="Y784" i="4"/>
  <c r="Y928" i="4"/>
  <c r="Y944" i="4"/>
  <c r="Y276" i="4"/>
  <c r="Y724" i="4"/>
  <c r="Y788" i="4"/>
  <c r="Y916" i="4"/>
  <c r="Y740" i="4"/>
  <c r="Y932" i="4"/>
  <c r="Y500" i="4"/>
  <c r="Y756" i="4"/>
  <c r="AA29" i="4"/>
  <c r="AA30" i="4"/>
  <c r="AA31" i="4"/>
  <c r="AA32" i="4"/>
  <c r="AA33" i="4"/>
  <c r="AA34" i="4"/>
  <c r="AA35" i="4"/>
  <c r="AA36" i="4"/>
  <c r="AA37" i="4"/>
  <c r="AA38" i="4"/>
  <c r="AA39" i="4"/>
  <c r="AA40" i="4"/>
  <c r="AA41" i="4"/>
  <c r="AA42" i="4"/>
  <c r="AA43" i="4"/>
  <c r="AA44" i="4"/>
  <c r="AA45" i="4"/>
  <c r="Y881" i="4"/>
  <c r="Y885" i="4"/>
  <c r="Y889" i="4"/>
  <c r="Y893" i="4"/>
  <c r="Y897" i="4"/>
  <c r="Y901" i="4"/>
  <c r="Y905" i="4"/>
  <c r="Y909" i="4"/>
  <c r="Y913" i="4"/>
  <c r="Y882" i="4"/>
  <c r="Y886" i="4"/>
  <c r="Y890" i="4"/>
  <c r="Y894" i="4"/>
  <c r="Y898" i="4"/>
  <c r="Y902" i="4"/>
  <c r="Y906" i="4"/>
  <c r="Y910" i="4"/>
  <c r="Y883" i="4"/>
  <c r="Y887" i="4"/>
  <c r="Y891" i="4"/>
  <c r="Y895" i="4"/>
  <c r="Y899" i="4"/>
  <c r="Y903" i="4"/>
  <c r="Y907" i="4"/>
  <c r="Y911" i="4"/>
  <c r="Y888" i="4"/>
  <c r="Y904" i="4"/>
  <c r="Y892" i="4"/>
  <c r="Y908" i="4"/>
  <c r="Y880" i="4"/>
  <c r="Y896" i="4"/>
  <c r="Y912" i="4"/>
  <c r="Y884" i="4"/>
  <c r="Y900" i="4"/>
  <c r="X15" i="4"/>
  <c r="X19" i="4"/>
  <c r="X23" i="4"/>
  <c r="X27" i="4"/>
  <c r="X16" i="4"/>
  <c r="X20" i="4"/>
  <c r="X24" i="4"/>
  <c r="X28" i="4"/>
  <c r="X13" i="4"/>
  <c r="X17" i="4"/>
  <c r="X21" i="4"/>
  <c r="X25" i="4"/>
  <c r="X14" i="4"/>
  <c r="X18" i="4"/>
  <c r="X22" i="4"/>
  <c r="X26" i="4"/>
  <c r="X12" i="4"/>
  <c r="B34" i="4"/>
  <c r="V34" i="4" s="1"/>
  <c r="O7" i="6"/>
  <c r="AA52" i="4" s="1"/>
  <c r="N8" i="6"/>
  <c r="K8" i="6"/>
  <c r="J9" i="6"/>
  <c r="U143" i="4"/>
  <c r="U139" i="4"/>
  <c r="U142" i="4"/>
  <c r="U144" i="4"/>
  <c r="U147" i="4"/>
  <c r="U138" i="4"/>
  <c r="U141" i="4"/>
  <c r="U146" i="4"/>
  <c r="U140" i="4"/>
  <c r="U145" i="4"/>
  <c r="K458" i="4"/>
  <c r="L473" i="4"/>
  <c r="O471" i="4"/>
  <c r="C7" i="6"/>
  <c r="X63" i="4" s="1"/>
  <c r="B8" i="6"/>
  <c r="G8" i="6"/>
  <c r="F9" i="6"/>
  <c r="J52" i="4"/>
  <c r="K121" i="4"/>
  <c r="L79" i="4"/>
  <c r="O79" i="4" s="1"/>
  <c r="K53" i="4"/>
  <c r="AA53" i="4" s="1"/>
  <c r="Z52" i="4" l="1"/>
  <c r="AA47" i="4"/>
  <c r="AA46" i="4"/>
  <c r="AA48" i="4"/>
  <c r="AA49" i="4"/>
  <c r="AA50" i="4"/>
  <c r="AA51" i="4"/>
  <c r="Y16" i="4"/>
  <c r="Y20" i="4"/>
  <c r="Y24" i="4"/>
  <c r="Y28" i="4"/>
  <c r="Y64" i="4"/>
  <c r="Y68" i="4"/>
  <c r="Y72" i="4"/>
  <c r="Y76" i="4"/>
  <c r="Y80" i="4"/>
  <c r="Y13" i="4"/>
  <c r="Y17" i="4"/>
  <c r="Y21" i="4"/>
  <c r="Y25" i="4"/>
  <c r="Y65" i="4"/>
  <c r="Y69" i="4"/>
  <c r="Y73" i="4"/>
  <c r="Y77" i="4"/>
  <c r="Y14" i="4"/>
  <c r="Y18" i="4"/>
  <c r="Y22" i="4"/>
  <c r="Y26" i="4"/>
  <c r="Y66" i="4"/>
  <c r="Y70" i="4"/>
  <c r="Y74" i="4"/>
  <c r="Y78" i="4"/>
  <c r="Y23" i="4"/>
  <c r="Y71" i="4"/>
  <c r="Y27" i="4"/>
  <c r="Y75" i="4"/>
  <c r="Y15" i="4"/>
  <c r="Y63" i="4"/>
  <c r="Y79" i="4"/>
  <c r="Y19" i="4"/>
  <c r="Y67" i="4"/>
  <c r="Z617" i="4"/>
  <c r="Z651" i="4"/>
  <c r="Z46" i="4"/>
  <c r="Z634" i="4"/>
  <c r="Z511" i="4"/>
  <c r="Z880" i="4"/>
  <c r="Z948" i="4"/>
  <c r="Z1570" i="4"/>
  <c r="Z29" i="4"/>
  <c r="Z528" i="4"/>
  <c r="Z897" i="4"/>
  <c r="Z914" i="4"/>
  <c r="Z1448" i="4"/>
  <c r="Z1692" i="4"/>
  <c r="Z1675" i="4"/>
  <c r="Z931" i="4"/>
  <c r="Z1305" i="4"/>
  <c r="Z1341" i="4"/>
  <c r="Z1431" i="4"/>
  <c r="Z1519" i="4"/>
  <c r="Z1067" i="4"/>
  <c r="Z1553" i="4"/>
  <c r="Z1361" i="4"/>
  <c r="Z47" i="4"/>
  <c r="Z48" i="4"/>
  <c r="Z49" i="4"/>
  <c r="Z50" i="4"/>
  <c r="Z51" i="4"/>
  <c r="Y12" i="4"/>
  <c r="B35" i="4"/>
  <c r="V35" i="4" s="1"/>
  <c r="O8" i="6"/>
  <c r="AA63" i="4" s="1"/>
  <c r="N9" i="6"/>
  <c r="J10" i="6"/>
  <c r="K9" i="6"/>
  <c r="Z135" i="4" s="1"/>
  <c r="U151" i="4"/>
  <c r="U156" i="4"/>
  <c r="U153" i="4"/>
  <c r="U157" i="4"/>
  <c r="U158" i="4" s="1"/>
  <c r="U159" i="4" s="1"/>
  <c r="U160" i="4" s="1"/>
  <c r="U161" i="4" s="1"/>
  <c r="U162" i="4" s="1"/>
  <c r="U163" i="4" s="1"/>
  <c r="U164" i="4" s="1"/>
  <c r="U165" i="4" s="1"/>
  <c r="U166" i="4" s="1"/>
  <c r="U167" i="4" s="1"/>
  <c r="U168" i="4" s="1"/>
  <c r="U169" i="4" s="1"/>
  <c r="U170" i="4" s="1"/>
  <c r="U171" i="4" s="1"/>
  <c r="U172" i="4" s="1"/>
  <c r="U173" i="4" s="1"/>
  <c r="U174" i="4" s="1"/>
  <c r="U175" i="4" s="1"/>
  <c r="U176" i="4" s="1"/>
  <c r="U177" i="4" s="1"/>
  <c r="U178" i="4" s="1"/>
  <c r="U179" i="4" s="1"/>
  <c r="U180" i="4" s="1"/>
  <c r="U181" i="4" s="1"/>
  <c r="U182" i="4" s="1"/>
  <c r="U183" i="4" s="1"/>
  <c r="U184" i="4" s="1"/>
  <c r="U185" i="4" s="1"/>
  <c r="U186" i="4" s="1"/>
  <c r="U187" i="4" s="1"/>
  <c r="U188" i="4" s="1"/>
  <c r="U189" i="4" s="1"/>
  <c r="U190" i="4" s="1"/>
  <c r="U191" i="4" s="1"/>
  <c r="U193" i="4" s="1"/>
  <c r="U194" i="4" s="1"/>
  <c r="U195" i="4" s="1"/>
  <c r="U196" i="4" s="1"/>
  <c r="U197" i="4" s="1"/>
  <c r="U198" i="4" s="1"/>
  <c r="U199" i="4" s="1"/>
  <c r="U200" i="4" s="1"/>
  <c r="U201" i="4" s="1"/>
  <c r="U202" i="4" s="1"/>
  <c r="U203" i="4" s="1"/>
  <c r="U204" i="4" s="1"/>
  <c r="U205" i="4" s="1"/>
  <c r="U206" i="4" s="1"/>
  <c r="U207" i="4" s="1"/>
  <c r="U208" i="4" s="1"/>
  <c r="U209" i="4" s="1"/>
  <c r="U210" i="4" s="1"/>
  <c r="U211" i="4" s="1"/>
  <c r="U212" i="4" s="1"/>
  <c r="U213" i="4" s="1"/>
  <c r="U214" i="4" s="1"/>
  <c r="U215" i="4" s="1"/>
  <c r="U216" i="4" s="1"/>
  <c r="U217" i="4" s="1"/>
  <c r="U218" i="4" s="1"/>
  <c r="U219" i="4" s="1"/>
  <c r="U220" i="4" s="1"/>
  <c r="U221" i="4" s="1"/>
  <c r="U222" i="4" s="1"/>
  <c r="U223" i="4" s="1"/>
  <c r="U224" i="4" s="1"/>
  <c r="U225" i="4" s="1"/>
  <c r="U226" i="4" s="1"/>
  <c r="U227" i="4" s="1"/>
  <c r="U228" i="4" s="1"/>
  <c r="U229" i="4" s="1"/>
  <c r="U230" i="4" s="1"/>
  <c r="U231" i="4" s="1"/>
  <c r="U232" i="4" s="1"/>
  <c r="U233" i="4" s="1"/>
  <c r="U234" i="4" s="1"/>
  <c r="U235" i="4" s="1"/>
  <c r="U236" i="4" s="1"/>
  <c r="U237" i="4" s="1"/>
  <c r="U238" i="4" s="1"/>
  <c r="U239" i="4" s="1"/>
  <c r="U240" i="4" s="1"/>
  <c r="U241" i="4" s="1"/>
  <c r="U242" i="4" s="1"/>
  <c r="U243" i="4" s="1"/>
  <c r="U244" i="4" s="1"/>
  <c r="U245" i="4" s="1"/>
  <c r="U246" i="4" s="1"/>
  <c r="U247" i="4" s="1"/>
  <c r="U248" i="4" s="1"/>
  <c r="U249" i="4" s="1"/>
  <c r="U250" i="4" s="1"/>
  <c r="U251" i="4" s="1"/>
  <c r="U148" i="4"/>
  <c r="U154" i="4"/>
  <c r="U152" i="4"/>
  <c r="U149" i="4"/>
  <c r="U155" i="4"/>
  <c r="U150" i="4"/>
  <c r="L474" i="4"/>
  <c r="O473" i="4"/>
  <c r="K459" i="4"/>
  <c r="G9" i="6"/>
  <c r="F10" i="6"/>
  <c r="C8" i="6"/>
  <c r="B9" i="6"/>
  <c r="J53" i="4"/>
  <c r="Z53" i="4" s="1"/>
  <c r="K122" i="4"/>
  <c r="J119" i="4"/>
  <c r="Z119" i="4" s="1"/>
  <c r="L80" i="4"/>
  <c r="O80" i="4" s="1"/>
  <c r="K54" i="4"/>
  <c r="AA54" i="4" s="1"/>
  <c r="X135" i="4" l="1"/>
  <c r="X134" i="4"/>
  <c r="Y48" i="4"/>
  <c r="Y52" i="4"/>
  <c r="Y56" i="4"/>
  <c r="Y60" i="4"/>
  <c r="Y120" i="4"/>
  <c r="Y124" i="4"/>
  <c r="Y128" i="4"/>
  <c r="Y132" i="4"/>
  <c r="Y192" i="4"/>
  <c r="Y196" i="4"/>
  <c r="Y200" i="4"/>
  <c r="Y204" i="4"/>
  <c r="Y208" i="4"/>
  <c r="Y212" i="4"/>
  <c r="Y216" i="4"/>
  <c r="Y220" i="4"/>
  <c r="Y224" i="4"/>
  <c r="Y49" i="4"/>
  <c r="Y53" i="4"/>
  <c r="Y57" i="4"/>
  <c r="Y61" i="4"/>
  <c r="Y46" i="4"/>
  <c r="Y50" i="4"/>
  <c r="Y54" i="4"/>
  <c r="Y58" i="4"/>
  <c r="Y62" i="4"/>
  <c r="Y118" i="4"/>
  <c r="Y122" i="4"/>
  <c r="Y126" i="4"/>
  <c r="Y130" i="4"/>
  <c r="Y194" i="4"/>
  <c r="Y198" i="4"/>
  <c r="Y202" i="4"/>
  <c r="Y206" i="4"/>
  <c r="Y210" i="4"/>
  <c r="Y214" i="4"/>
  <c r="Y218" i="4"/>
  <c r="Y222" i="4"/>
  <c r="Y55" i="4"/>
  <c r="Y121" i="4"/>
  <c r="Y129" i="4"/>
  <c r="Y193" i="4"/>
  <c r="Y201" i="4"/>
  <c r="Y209" i="4"/>
  <c r="Y217" i="4"/>
  <c r="Y225" i="4"/>
  <c r="Y293" i="4"/>
  <c r="Y297" i="4"/>
  <c r="Y301" i="4"/>
  <c r="Y305" i="4"/>
  <c r="Y309" i="4"/>
  <c r="Y581" i="4"/>
  <c r="Y585" i="4"/>
  <c r="Y589" i="4"/>
  <c r="Y593" i="4"/>
  <c r="Y597" i="4"/>
  <c r="Y601" i="4"/>
  <c r="Y605" i="4"/>
  <c r="Y609" i="4"/>
  <c r="Y613" i="4"/>
  <c r="Y1205" i="4"/>
  <c r="Y1209" i="4"/>
  <c r="Y1213" i="4"/>
  <c r="Y1217" i="4"/>
  <c r="Y59" i="4"/>
  <c r="Y123" i="4"/>
  <c r="Y131" i="4"/>
  <c r="Y195" i="4"/>
  <c r="Y203" i="4"/>
  <c r="Y211" i="4"/>
  <c r="Y219" i="4"/>
  <c r="Y290" i="4"/>
  <c r="Y294" i="4"/>
  <c r="Y298" i="4"/>
  <c r="Y302" i="4"/>
  <c r="Y306" i="4"/>
  <c r="Y310" i="4"/>
  <c r="Y582" i="4"/>
  <c r="Y586" i="4"/>
  <c r="Y590" i="4"/>
  <c r="Y594" i="4"/>
  <c r="Y598" i="4"/>
  <c r="Y602" i="4"/>
  <c r="Y606" i="4"/>
  <c r="Y610" i="4"/>
  <c r="Y614" i="4"/>
  <c r="Y47" i="4"/>
  <c r="Y117" i="4"/>
  <c r="Y125" i="4"/>
  <c r="Y133" i="4"/>
  <c r="Y197" i="4"/>
  <c r="Y205" i="4"/>
  <c r="Y213" i="4"/>
  <c r="Y221" i="4"/>
  <c r="Y291" i="4"/>
  <c r="Y295" i="4"/>
  <c r="Y299" i="4"/>
  <c r="Y303" i="4"/>
  <c r="Y307" i="4"/>
  <c r="Y579" i="4"/>
  <c r="Y583" i="4"/>
  <c r="Y587" i="4"/>
  <c r="Y591" i="4"/>
  <c r="Y595" i="4"/>
  <c r="Y599" i="4"/>
  <c r="Y603" i="4"/>
  <c r="Y607" i="4"/>
  <c r="Y611" i="4"/>
  <c r="Y1203" i="4"/>
  <c r="Y1207" i="4"/>
  <c r="Y1211" i="4"/>
  <c r="Y1215" i="4"/>
  <c r="Y1219" i="4"/>
  <c r="Y127" i="4"/>
  <c r="Y191" i="4"/>
  <c r="Y223" i="4"/>
  <c r="Y296" i="4"/>
  <c r="Y584" i="4"/>
  <c r="Y600" i="4"/>
  <c r="Y1208" i="4"/>
  <c r="Y1216" i="4"/>
  <c r="Y199" i="4"/>
  <c r="Y300" i="4"/>
  <c r="Y588" i="4"/>
  <c r="Y604" i="4"/>
  <c r="Y1210" i="4"/>
  <c r="Y1218" i="4"/>
  <c r="Y51" i="4"/>
  <c r="Y207" i="4"/>
  <c r="Y304" i="4"/>
  <c r="Y592" i="4"/>
  <c r="Y608" i="4"/>
  <c r="Y1204" i="4"/>
  <c r="Y1212" i="4"/>
  <c r="Y596" i="4"/>
  <c r="Y215" i="4"/>
  <c r="Y292" i="4"/>
  <c r="Y612" i="4"/>
  <c r="Y119" i="4"/>
  <c r="Y308" i="4"/>
  <c r="Y1206" i="4"/>
  <c r="Y580" i="4"/>
  <c r="Y1214" i="4"/>
  <c r="B36" i="4"/>
  <c r="V36" i="4" s="1"/>
  <c r="K10" i="6"/>
  <c r="J11" i="6"/>
  <c r="N10" i="6"/>
  <c r="O9" i="6"/>
  <c r="G10" i="6"/>
  <c r="F11" i="6"/>
  <c r="U192" i="4"/>
  <c r="U252" i="4"/>
  <c r="U253" i="4" s="1"/>
  <c r="U254" i="4" s="1"/>
  <c r="U255" i="4" s="1"/>
  <c r="U256" i="4" s="1"/>
  <c r="U257" i="4" s="1"/>
  <c r="U258" i="4" s="1"/>
  <c r="U259" i="4" s="1"/>
  <c r="U260" i="4" s="1"/>
  <c r="U261" i="4" s="1"/>
  <c r="U262" i="4" s="1"/>
  <c r="U263" i="4" s="1"/>
  <c r="U264" i="4" s="1"/>
  <c r="U265" i="4" s="1"/>
  <c r="U266" i="4" s="1"/>
  <c r="U267" i="4" s="1"/>
  <c r="U268" i="4" s="1"/>
  <c r="U269" i="4" s="1"/>
  <c r="U270" i="4" s="1"/>
  <c r="U271" i="4" s="1"/>
  <c r="U272" i="4" s="1"/>
  <c r="U273" i="4" s="1"/>
  <c r="U274" i="4" s="1"/>
  <c r="U275" i="4" s="1"/>
  <c r="U276" i="4" s="1"/>
  <c r="U277" i="4" s="1"/>
  <c r="U278" i="4" s="1"/>
  <c r="U279" i="4" s="1"/>
  <c r="U280" i="4" s="1"/>
  <c r="U281" i="4" s="1"/>
  <c r="U282" i="4" s="1"/>
  <c r="U283" i="4" s="1"/>
  <c r="U284" i="4" s="1"/>
  <c r="U285" i="4" s="1"/>
  <c r="U286" i="4" s="1"/>
  <c r="U287" i="4" s="1"/>
  <c r="U288" i="4" s="1"/>
  <c r="U289" i="4" s="1"/>
  <c r="U290" i="4" s="1"/>
  <c r="U291" i="4" s="1"/>
  <c r="U292" i="4" s="1"/>
  <c r="U293" i="4" s="1"/>
  <c r="U294" i="4" s="1"/>
  <c r="U295" i="4" s="1"/>
  <c r="U296" i="4" s="1"/>
  <c r="U297" i="4" s="1"/>
  <c r="U298" i="4" s="1"/>
  <c r="U299" i="4" s="1"/>
  <c r="U300" i="4" s="1"/>
  <c r="U301" i="4" s="1"/>
  <c r="U302" i="4" s="1"/>
  <c r="U303" i="4" s="1"/>
  <c r="U304" i="4" s="1"/>
  <c r="U305" i="4" s="1"/>
  <c r="U306" i="4" s="1"/>
  <c r="U307" i="4" s="1"/>
  <c r="U308" i="4" s="1"/>
  <c r="U309" i="4" s="1"/>
  <c r="U310" i="4" s="1"/>
  <c r="U311" i="4" s="1"/>
  <c r="U312" i="4" s="1"/>
  <c r="U313" i="4" s="1"/>
  <c r="U314" i="4" s="1"/>
  <c r="U315" i="4" s="1"/>
  <c r="U316" i="4" s="1"/>
  <c r="U317" i="4" s="1"/>
  <c r="U318" i="4" s="1"/>
  <c r="U319" i="4" s="1"/>
  <c r="U320" i="4" s="1"/>
  <c r="U321" i="4" s="1"/>
  <c r="U322" i="4" s="1"/>
  <c r="U323" i="4" s="1"/>
  <c r="U324" i="4" s="1"/>
  <c r="U325" i="4" s="1"/>
  <c r="U326" i="4" s="1"/>
  <c r="U327" i="4" s="1"/>
  <c r="U328" i="4" s="1"/>
  <c r="U329" i="4" s="1"/>
  <c r="U330" i="4" s="1"/>
  <c r="U331" i="4" s="1"/>
  <c r="U332" i="4" s="1"/>
  <c r="U333" i="4" s="1"/>
  <c r="U334" i="4" s="1"/>
  <c r="U335" i="4" s="1"/>
  <c r="U336" i="4" s="1"/>
  <c r="U337" i="4" s="1"/>
  <c r="U338" i="4" s="1"/>
  <c r="U339" i="4" s="1"/>
  <c r="U340" i="4" s="1"/>
  <c r="U341" i="4" s="1"/>
  <c r="U342" i="4" s="1"/>
  <c r="U343" i="4" s="1"/>
  <c r="U344" i="4" s="1"/>
  <c r="U345" i="4" s="1"/>
  <c r="U346" i="4" s="1"/>
  <c r="U347" i="4" s="1"/>
  <c r="U348" i="4" s="1"/>
  <c r="U349" i="4" s="1"/>
  <c r="U350" i="4" s="1"/>
  <c r="U351" i="4" s="1"/>
  <c r="U352" i="4" s="1"/>
  <c r="U353" i="4" s="1"/>
  <c r="U354" i="4" s="1"/>
  <c r="U355" i="4" s="1"/>
  <c r="U356" i="4" s="1"/>
  <c r="U357" i="4" s="1"/>
  <c r="U358" i="4" s="1"/>
  <c r="U359" i="4" s="1"/>
  <c r="U360" i="4" s="1"/>
  <c r="U361" i="4" s="1"/>
  <c r="U362" i="4" s="1"/>
  <c r="U363" i="4" s="1"/>
  <c r="U364" i="4" s="1"/>
  <c r="U365" i="4" s="1"/>
  <c r="U366" i="4" s="1"/>
  <c r="U367" i="4" s="1"/>
  <c r="U368" i="4" s="1"/>
  <c r="U369" i="4" s="1"/>
  <c r="U370" i="4" s="1"/>
  <c r="U371" i="4" s="1"/>
  <c r="U372" i="4" s="1"/>
  <c r="U373" i="4" s="1"/>
  <c r="U374" i="4" s="1"/>
  <c r="U375" i="4" s="1"/>
  <c r="U376" i="4" s="1"/>
  <c r="U377" i="4" s="1"/>
  <c r="U378" i="4" s="1"/>
  <c r="U379" i="4" s="1"/>
  <c r="U380" i="4" s="1"/>
  <c r="U381" i="4" s="1"/>
  <c r="U382" i="4" s="1"/>
  <c r="U383" i="4" s="1"/>
  <c r="U384" i="4" s="1"/>
  <c r="U385" i="4" s="1"/>
  <c r="U386" i="4" s="1"/>
  <c r="U387" i="4" s="1"/>
  <c r="U388" i="4" s="1"/>
  <c r="U389" i="4" s="1"/>
  <c r="U390" i="4" s="1"/>
  <c r="U391" i="4" s="1"/>
  <c r="U392" i="4" s="1"/>
  <c r="U393" i="4" s="1"/>
  <c r="U394" i="4" s="1"/>
  <c r="U395" i="4" s="1"/>
  <c r="U396" i="4" s="1"/>
  <c r="U397" i="4" s="1"/>
  <c r="U398" i="4" s="1"/>
  <c r="U399" i="4" s="1"/>
  <c r="U400" i="4" s="1"/>
  <c r="U401" i="4" s="1"/>
  <c r="U402" i="4" s="1"/>
  <c r="U403" i="4" s="1"/>
  <c r="U404" i="4" s="1"/>
  <c r="U405" i="4" s="1"/>
  <c r="U406" i="4" s="1"/>
  <c r="U407" i="4" s="1"/>
  <c r="U408" i="4" s="1"/>
  <c r="U409" i="4" s="1"/>
  <c r="U410" i="4" s="1"/>
  <c r="U411" i="4" s="1"/>
  <c r="U412" i="4" s="1"/>
  <c r="U413" i="4" s="1"/>
  <c r="U414" i="4" s="1"/>
  <c r="U415" i="4" s="1"/>
  <c r="U416" i="4" s="1"/>
  <c r="U417" i="4" s="1"/>
  <c r="U418" i="4" s="1"/>
  <c r="U419" i="4" s="1"/>
  <c r="U420" i="4" s="1"/>
  <c r="U421" i="4" s="1"/>
  <c r="U422" i="4" s="1"/>
  <c r="U423" i="4" s="1"/>
  <c r="U424" i="4" s="1"/>
  <c r="U425" i="4" s="1"/>
  <c r="U426" i="4" s="1"/>
  <c r="U427" i="4" s="1"/>
  <c r="U428" i="4" s="1"/>
  <c r="U429" i="4" s="1"/>
  <c r="U430" i="4" s="1"/>
  <c r="U431" i="4" s="1"/>
  <c r="U432" i="4" s="1"/>
  <c r="U433" i="4" s="1"/>
  <c r="U434" i="4" s="1"/>
  <c r="U435" i="4" s="1"/>
  <c r="U436" i="4" s="1"/>
  <c r="U437" i="4" s="1"/>
  <c r="L475" i="4"/>
  <c r="O474" i="4"/>
  <c r="K460" i="4"/>
  <c r="B10" i="6"/>
  <c r="C9" i="6"/>
  <c r="J54" i="4"/>
  <c r="Z54" i="4" s="1"/>
  <c r="J120" i="4"/>
  <c r="Z120" i="4" s="1"/>
  <c r="K123" i="4"/>
  <c r="K55" i="4"/>
  <c r="AA55" i="4" s="1"/>
  <c r="AA81" i="4" l="1"/>
  <c r="AA82" i="4"/>
  <c r="AA83" i="4"/>
  <c r="AA84" i="4"/>
  <c r="AA85" i="4"/>
  <c r="AA86" i="4"/>
  <c r="AA87" i="4"/>
  <c r="AA88" i="4"/>
  <c r="AA89" i="4"/>
  <c r="AA90" i="4"/>
  <c r="AA91" i="4"/>
  <c r="AA92" i="4"/>
  <c r="AA93" i="4"/>
  <c r="AA94" i="4"/>
  <c r="AA95" i="4"/>
  <c r="AA96" i="4"/>
  <c r="AA97" i="4"/>
  <c r="X159" i="4"/>
  <c r="X163" i="4"/>
  <c r="X167" i="4"/>
  <c r="X171" i="4"/>
  <c r="X160" i="4"/>
  <c r="X164" i="4"/>
  <c r="X168" i="4"/>
  <c r="X172" i="4"/>
  <c r="X157" i="4"/>
  <c r="X161" i="4"/>
  <c r="X165" i="4"/>
  <c r="X169" i="4"/>
  <c r="X173" i="4"/>
  <c r="X158" i="4"/>
  <c r="X162" i="4"/>
  <c r="X166" i="4"/>
  <c r="X170" i="4"/>
  <c r="Y116" i="4"/>
  <c r="Y140" i="4"/>
  <c r="Y144" i="4"/>
  <c r="Y148" i="4"/>
  <c r="Y152" i="4"/>
  <c r="Y156" i="4"/>
  <c r="Y228" i="4"/>
  <c r="Y232" i="4"/>
  <c r="Y236" i="4"/>
  <c r="Y240" i="4"/>
  <c r="Y138" i="4"/>
  <c r="Y142" i="4"/>
  <c r="Y146" i="4"/>
  <c r="Y150" i="4"/>
  <c r="Y154" i="4"/>
  <c r="Y226" i="4"/>
  <c r="Y230" i="4"/>
  <c r="Y234" i="4"/>
  <c r="Y238" i="4"/>
  <c r="Y137" i="4"/>
  <c r="Y145" i="4"/>
  <c r="Y153" i="4"/>
  <c r="Y233" i="4"/>
  <c r="Y241" i="4"/>
  <c r="Y245" i="4"/>
  <c r="Y249" i="4"/>
  <c r="Y253" i="4"/>
  <c r="Y313" i="4"/>
  <c r="Y317" i="4"/>
  <c r="Y321" i="4"/>
  <c r="Y325" i="4"/>
  <c r="Y349" i="4"/>
  <c r="Y353" i="4"/>
  <c r="Y357" i="4"/>
  <c r="Y361" i="4"/>
  <c r="Y115" i="4"/>
  <c r="Y139" i="4"/>
  <c r="Y147" i="4"/>
  <c r="Y155" i="4"/>
  <c r="Y227" i="4"/>
  <c r="Y235" i="4"/>
  <c r="Y242" i="4"/>
  <c r="Y246" i="4"/>
  <c r="Y250" i="4"/>
  <c r="Y254" i="4"/>
  <c r="Y314" i="4"/>
  <c r="Y318" i="4"/>
  <c r="Y322" i="4"/>
  <c r="Y326" i="4"/>
  <c r="Y346" i="4"/>
  <c r="Y350" i="4"/>
  <c r="Y354" i="4"/>
  <c r="Y358" i="4"/>
  <c r="Y362" i="4"/>
  <c r="Y141" i="4"/>
  <c r="Y149" i="4"/>
  <c r="Y229" i="4"/>
  <c r="Y237" i="4"/>
  <c r="Y243" i="4"/>
  <c r="Y247" i="4"/>
  <c r="Y251" i="4"/>
  <c r="Y311" i="4"/>
  <c r="Y315" i="4"/>
  <c r="Y319" i="4"/>
  <c r="Y323" i="4"/>
  <c r="Y327" i="4"/>
  <c r="Y347" i="4"/>
  <c r="Y351" i="4"/>
  <c r="Y355" i="4"/>
  <c r="Y359" i="4"/>
  <c r="Y363" i="4"/>
  <c r="Y248" i="4"/>
  <c r="Y312" i="4"/>
  <c r="Y328" i="4"/>
  <c r="Y360" i="4"/>
  <c r="Y231" i="4"/>
  <c r="Y252" i="4"/>
  <c r="Y316" i="4"/>
  <c r="Y348" i="4"/>
  <c r="Y364" i="4"/>
  <c r="Y143" i="4"/>
  <c r="Y239" i="4"/>
  <c r="Y320" i="4"/>
  <c r="Y352" i="4"/>
  <c r="Y356" i="4"/>
  <c r="Y244" i="4"/>
  <c r="Y151" i="4"/>
  <c r="Y324" i="4"/>
  <c r="Z137" i="4"/>
  <c r="Z138" i="4"/>
  <c r="Z139" i="4"/>
  <c r="Z140" i="4"/>
  <c r="Z141" i="4"/>
  <c r="Z142" i="4"/>
  <c r="Z143" i="4"/>
  <c r="Z144" i="4"/>
  <c r="Z145" i="4"/>
  <c r="Z146" i="4"/>
  <c r="B37" i="4"/>
  <c r="V37" i="4" s="1"/>
  <c r="J12" i="6"/>
  <c r="K11" i="6"/>
  <c r="O10" i="6"/>
  <c r="N11" i="6"/>
  <c r="G11" i="6"/>
  <c r="F12" i="6"/>
  <c r="U438" i="4"/>
  <c r="U439" i="4" s="1"/>
  <c r="U440" i="4" s="1"/>
  <c r="U441" i="4" s="1"/>
  <c r="U442" i="4" s="1"/>
  <c r="U443" i="4" s="1"/>
  <c r="U444" i="4" s="1"/>
  <c r="U445" i="4" s="1"/>
  <c r="U446" i="4" s="1"/>
  <c r="U447" i="4" s="1"/>
  <c r="U448" i="4" s="1"/>
  <c r="U449" i="4" s="1"/>
  <c r="U450" i="4" s="1"/>
  <c r="U451" i="4" s="1"/>
  <c r="U452" i="4" s="1"/>
  <c r="U453" i="4" s="1"/>
  <c r="U454" i="4" s="1"/>
  <c r="U455" i="4" s="1"/>
  <c r="U456" i="4" s="1"/>
  <c r="U457" i="4" s="1"/>
  <c r="U458" i="4" s="1"/>
  <c r="U459" i="4" s="1"/>
  <c r="U460" i="4" s="1"/>
  <c r="U461" i="4" s="1"/>
  <c r="U462" i="4" s="1"/>
  <c r="U463" i="4" s="1"/>
  <c r="U464" i="4" s="1"/>
  <c r="U465" i="4" s="1"/>
  <c r="U466" i="4" s="1"/>
  <c r="U467" i="4" s="1"/>
  <c r="U468" i="4" s="1"/>
  <c r="U469" i="4" s="1"/>
  <c r="U470" i="4" s="1"/>
  <c r="U471" i="4" s="1"/>
  <c r="U472" i="4" s="1"/>
  <c r="U473" i="4" s="1"/>
  <c r="U474" i="4" s="1"/>
  <c r="U475" i="4" s="1"/>
  <c r="U476" i="4" s="1"/>
  <c r="U477" i="4" s="1"/>
  <c r="U478" i="4" s="1"/>
  <c r="U479" i="4" s="1"/>
  <c r="U480" i="4" s="1"/>
  <c r="U481" i="4" s="1"/>
  <c r="U482" i="4" s="1"/>
  <c r="U483" i="4" s="1"/>
  <c r="U484" i="4" s="1"/>
  <c r="U485" i="4" s="1"/>
  <c r="U486" i="4" s="1"/>
  <c r="U487" i="4" s="1"/>
  <c r="U488" i="4" s="1"/>
  <c r="U489" i="4" s="1"/>
  <c r="U490" i="4" s="1"/>
  <c r="U491" i="4" s="1"/>
  <c r="U492" i="4" s="1"/>
  <c r="U493" i="4" s="1"/>
  <c r="U494" i="4" s="1"/>
  <c r="U495" i="4" s="1"/>
  <c r="U496" i="4" s="1"/>
  <c r="U497" i="4" s="1"/>
  <c r="U498" i="4" s="1"/>
  <c r="U499" i="4" s="1"/>
  <c r="U500" i="4" s="1"/>
  <c r="U501" i="4" s="1"/>
  <c r="U502" i="4" s="1"/>
  <c r="U503" i="4" s="1"/>
  <c r="U504" i="4" s="1"/>
  <c r="U505" i="4" s="1"/>
  <c r="U506" i="4" s="1"/>
  <c r="U507" i="4" s="1"/>
  <c r="U508" i="4" s="1"/>
  <c r="U509" i="4" s="1"/>
  <c r="U510" i="4" s="1"/>
  <c r="U511" i="4" s="1"/>
  <c r="U512" i="4" s="1"/>
  <c r="U513" i="4" s="1"/>
  <c r="U514" i="4" s="1"/>
  <c r="U515" i="4" s="1"/>
  <c r="U516" i="4" s="1"/>
  <c r="U517" i="4" s="1"/>
  <c r="U518" i="4" s="1"/>
  <c r="U519" i="4" s="1"/>
  <c r="U520" i="4" s="1"/>
  <c r="U521" i="4" s="1"/>
  <c r="U522" i="4" s="1"/>
  <c r="U523" i="4" s="1"/>
  <c r="U524" i="4" s="1"/>
  <c r="U525" i="4" s="1"/>
  <c r="U526" i="4" s="1"/>
  <c r="U527" i="4" s="1"/>
  <c r="U528" i="4" s="1"/>
  <c r="U529" i="4" s="1"/>
  <c r="U530" i="4" s="1"/>
  <c r="U531" i="4" s="1"/>
  <c r="U532" i="4" s="1"/>
  <c r="U533" i="4" s="1"/>
  <c r="U534" i="4" s="1"/>
  <c r="U535" i="4" s="1"/>
  <c r="U536" i="4" s="1"/>
  <c r="U537" i="4" s="1"/>
  <c r="U538" i="4" s="1"/>
  <c r="U539" i="4" s="1"/>
  <c r="U540" i="4" s="1"/>
  <c r="U541" i="4" s="1"/>
  <c r="U542" i="4" s="1"/>
  <c r="U543" i="4" s="1"/>
  <c r="U544" i="4" s="1"/>
  <c r="U545" i="4" s="1"/>
  <c r="U546" i="4" s="1"/>
  <c r="U547" i="4" s="1"/>
  <c r="U548" i="4" s="1"/>
  <c r="U549" i="4" s="1"/>
  <c r="U550" i="4" s="1"/>
  <c r="U551" i="4" s="1"/>
  <c r="U552" i="4" s="1"/>
  <c r="U553" i="4" s="1"/>
  <c r="U554" i="4" s="1"/>
  <c r="U555" i="4" s="1"/>
  <c r="U556" i="4" s="1"/>
  <c r="U557" i="4" s="1"/>
  <c r="U558" i="4" s="1"/>
  <c r="U559" i="4" s="1"/>
  <c r="U560" i="4" s="1"/>
  <c r="U561" i="4" s="1"/>
  <c r="U562" i="4" s="1"/>
  <c r="U563" i="4" s="1"/>
  <c r="U564" i="4" s="1"/>
  <c r="U565" i="4" s="1"/>
  <c r="U566" i="4" s="1"/>
  <c r="U567" i="4" s="1"/>
  <c r="U568" i="4" s="1"/>
  <c r="U569" i="4" s="1"/>
  <c r="U570" i="4" s="1"/>
  <c r="U571" i="4" s="1"/>
  <c r="U572" i="4" s="1"/>
  <c r="U573" i="4" s="1"/>
  <c r="U574" i="4" s="1"/>
  <c r="U575" i="4" s="1"/>
  <c r="U576" i="4" s="1"/>
  <c r="U577" i="4" s="1"/>
  <c r="U578" i="4" s="1"/>
  <c r="U579" i="4" s="1"/>
  <c r="U580" i="4" s="1"/>
  <c r="U581" i="4" s="1"/>
  <c r="U582" i="4" s="1"/>
  <c r="U583" i="4" s="1"/>
  <c r="U584" i="4" s="1"/>
  <c r="U585" i="4" s="1"/>
  <c r="U586" i="4" s="1"/>
  <c r="U587" i="4" s="1"/>
  <c r="U588" i="4" s="1"/>
  <c r="U589" i="4" s="1"/>
  <c r="U590" i="4" s="1"/>
  <c r="U591" i="4" s="1"/>
  <c r="U592" i="4" s="1"/>
  <c r="U593" i="4" s="1"/>
  <c r="U594" i="4" s="1"/>
  <c r="U595" i="4" s="1"/>
  <c r="U596" i="4" s="1"/>
  <c r="U597" i="4" s="1"/>
  <c r="U598" i="4" s="1"/>
  <c r="U599" i="4" s="1"/>
  <c r="U600" i="4" s="1"/>
  <c r="U601" i="4" s="1"/>
  <c r="U602" i="4" s="1"/>
  <c r="U603" i="4" s="1"/>
  <c r="U604" i="4" s="1"/>
  <c r="U605" i="4" s="1"/>
  <c r="U606" i="4" s="1"/>
  <c r="U607" i="4" s="1"/>
  <c r="U608" i="4" s="1"/>
  <c r="U609" i="4" s="1"/>
  <c r="U610" i="4" s="1"/>
  <c r="U611" i="4" s="1"/>
  <c r="U612" i="4" s="1"/>
  <c r="U613" i="4" s="1"/>
  <c r="U614" i="4" s="1"/>
  <c r="U615" i="4" s="1"/>
  <c r="U616" i="4" s="1"/>
  <c r="U617" i="4" s="1"/>
  <c r="U618" i="4" s="1"/>
  <c r="U619" i="4" s="1"/>
  <c r="U620" i="4" s="1"/>
  <c r="U621" i="4" s="1"/>
  <c r="U622" i="4" s="1"/>
  <c r="U623" i="4" s="1"/>
  <c r="U624" i="4" s="1"/>
  <c r="U625" i="4" s="1"/>
  <c r="U626" i="4" s="1"/>
  <c r="U627" i="4" s="1"/>
  <c r="U628" i="4" s="1"/>
  <c r="U629" i="4" s="1"/>
  <c r="U630" i="4" s="1"/>
  <c r="U631" i="4" s="1"/>
  <c r="U632" i="4" s="1"/>
  <c r="U633" i="4" s="1"/>
  <c r="U634" i="4" s="1"/>
  <c r="U635" i="4" s="1"/>
  <c r="U636" i="4" s="1"/>
  <c r="U637" i="4" s="1"/>
  <c r="U638" i="4" s="1"/>
  <c r="U639" i="4" s="1"/>
  <c r="U640" i="4" s="1"/>
  <c r="U641" i="4" s="1"/>
  <c r="U642" i="4" s="1"/>
  <c r="U643" i="4" s="1"/>
  <c r="U644" i="4" s="1"/>
  <c r="U645" i="4" s="1"/>
  <c r="U646" i="4" s="1"/>
  <c r="U647" i="4" s="1"/>
  <c r="U648" i="4" s="1"/>
  <c r="U649" i="4" s="1"/>
  <c r="U650" i="4" s="1"/>
  <c r="U651" i="4" s="1"/>
  <c r="U652" i="4" s="1"/>
  <c r="U653" i="4" s="1"/>
  <c r="U654" i="4" s="1"/>
  <c r="U655" i="4" s="1"/>
  <c r="U656" i="4" s="1"/>
  <c r="U657" i="4" s="1"/>
  <c r="U658" i="4" s="1"/>
  <c r="U659" i="4" s="1"/>
  <c r="U660" i="4" s="1"/>
  <c r="U661" i="4" s="1"/>
  <c r="U662" i="4" s="1"/>
  <c r="U663" i="4" s="1"/>
  <c r="U664" i="4" s="1"/>
  <c r="U665" i="4" s="1"/>
  <c r="U666" i="4" s="1"/>
  <c r="U667" i="4" s="1"/>
  <c r="U668" i="4" s="1"/>
  <c r="U669" i="4" s="1"/>
  <c r="U670" i="4" s="1"/>
  <c r="U671" i="4" s="1"/>
  <c r="U672" i="4" s="1"/>
  <c r="U673" i="4" s="1"/>
  <c r="U674" i="4" s="1"/>
  <c r="U675" i="4" s="1"/>
  <c r="U676" i="4" s="1"/>
  <c r="U677" i="4" s="1"/>
  <c r="U678" i="4" s="1"/>
  <c r="U679" i="4" s="1"/>
  <c r="U680" i="4" s="1"/>
  <c r="U681" i="4" s="1"/>
  <c r="U682" i="4" s="1"/>
  <c r="U683" i="4" s="1"/>
  <c r="U684" i="4" s="1"/>
  <c r="U685" i="4" s="1"/>
  <c r="U686" i="4" s="1"/>
  <c r="U687" i="4" s="1"/>
  <c r="U688" i="4" s="1"/>
  <c r="U689" i="4" s="1"/>
  <c r="U690" i="4" s="1"/>
  <c r="U691" i="4" s="1"/>
  <c r="U692" i="4" s="1"/>
  <c r="U693" i="4" s="1"/>
  <c r="U694" i="4" s="1"/>
  <c r="U695" i="4" s="1"/>
  <c r="U696" i="4" s="1"/>
  <c r="U697" i="4" s="1"/>
  <c r="U698" i="4" s="1"/>
  <c r="U699" i="4" s="1"/>
  <c r="U700" i="4" s="1"/>
  <c r="U701" i="4" s="1"/>
  <c r="U702" i="4" s="1"/>
  <c r="U703" i="4" s="1"/>
  <c r="U704" i="4" s="1"/>
  <c r="U705" i="4" s="1"/>
  <c r="U706" i="4" s="1"/>
  <c r="U707" i="4" s="1"/>
  <c r="U708" i="4" s="1"/>
  <c r="U709" i="4" s="1"/>
  <c r="U710" i="4" s="1"/>
  <c r="U711" i="4" s="1"/>
  <c r="U712" i="4" s="1"/>
  <c r="U713" i="4" s="1"/>
  <c r="U714" i="4" s="1"/>
  <c r="U715" i="4" s="1"/>
  <c r="U716" i="4" s="1"/>
  <c r="U717" i="4" s="1"/>
  <c r="U718" i="4" s="1"/>
  <c r="U719" i="4" s="1"/>
  <c r="U720" i="4" s="1"/>
  <c r="U721" i="4" s="1"/>
  <c r="U722" i="4" s="1"/>
  <c r="U723" i="4" s="1"/>
  <c r="U724" i="4" s="1"/>
  <c r="U725" i="4" s="1"/>
  <c r="U726" i="4" s="1"/>
  <c r="U727" i="4" s="1"/>
  <c r="U728" i="4" s="1"/>
  <c r="U729" i="4" s="1"/>
  <c r="U730" i="4" s="1"/>
  <c r="U731" i="4" s="1"/>
  <c r="U732" i="4" s="1"/>
  <c r="U733" i="4" s="1"/>
  <c r="U734" i="4" s="1"/>
  <c r="U735" i="4" s="1"/>
  <c r="U736" i="4" s="1"/>
  <c r="U737" i="4" s="1"/>
  <c r="U738" i="4" s="1"/>
  <c r="U739" i="4" s="1"/>
  <c r="U740" i="4" s="1"/>
  <c r="U741" i="4" s="1"/>
  <c r="U742" i="4" s="1"/>
  <c r="U743" i="4" s="1"/>
  <c r="U744" i="4" s="1"/>
  <c r="U745" i="4" s="1"/>
  <c r="U746" i="4" s="1"/>
  <c r="U747" i="4" s="1"/>
  <c r="U748" i="4" s="1"/>
  <c r="U749" i="4" s="1"/>
  <c r="U750" i="4" s="1"/>
  <c r="U751" i="4" s="1"/>
  <c r="U752" i="4" s="1"/>
  <c r="U753" i="4" s="1"/>
  <c r="U754" i="4" s="1"/>
  <c r="U755" i="4" s="1"/>
  <c r="U756" i="4" s="1"/>
  <c r="U757" i="4" s="1"/>
  <c r="U758" i="4" s="1"/>
  <c r="U759" i="4" s="1"/>
  <c r="U760" i="4" s="1"/>
  <c r="U761" i="4" s="1"/>
  <c r="U762" i="4" s="1"/>
  <c r="U763" i="4" s="1"/>
  <c r="U764" i="4" s="1"/>
  <c r="U765" i="4" s="1"/>
  <c r="U766" i="4" s="1"/>
  <c r="U767" i="4" s="1"/>
  <c r="U768" i="4" s="1"/>
  <c r="U769" i="4" s="1"/>
  <c r="U770" i="4" s="1"/>
  <c r="U771" i="4" s="1"/>
  <c r="U772" i="4" s="1"/>
  <c r="U773" i="4" s="1"/>
  <c r="U774" i="4" s="1"/>
  <c r="U775" i="4" s="1"/>
  <c r="U776" i="4" s="1"/>
  <c r="U777" i="4" s="1"/>
  <c r="U778" i="4" s="1"/>
  <c r="U779" i="4" s="1"/>
  <c r="U780" i="4" s="1"/>
  <c r="U781" i="4" s="1"/>
  <c r="U782" i="4" s="1"/>
  <c r="U783" i="4" s="1"/>
  <c r="U784" i="4" s="1"/>
  <c r="U785" i="4" s="1"/>
  <c r="U786" i="4" s="1"/>
  <c r="U787" i="4" s="1"/>
  <c r="U788" i="4" s="1"/>
  <c r="U789" i="4" s="1"/>
  <c r="U790" i="4" s="1"/>
  <c r="U791" i="4" s="1"/>
  <c r="U792" i="4" s="1"/>
  <c r="U793" i="4" s="1"/>
  <c r="U794" i="4" s="1"/>
  <c r="U795" i="4" s="1"/>
  <c r="U796" i="4" s="1"/>
  <c r="U797" i="4" s="1"/>
  <c r="U798" i="4" s="1"/>
  <c r="U799" i="4" s="1"/>
  <c r="U800" i="4" s="1"/>
  <c r="U801" i="4" s="1"/>
  <c r="U802" i="4" s="1"/>
  <c r="U803" i="4" s="1"/>
  <c r="U804" i="4" s="1"/>
  <c r="U805" i="4" s="1"/>
  <c r="U806" i="4" s="1"/>
  <c r="U807" i="4" s="1"/>
  <c r="U808" i="4" s="1"/>
  <c r="U809" i="4" s="1"/>
  <c r="U810" i="4" s="1"/>
  <c r="U811" i="4" s="1"/>
  <c r="U812" i="4" s="1"/>
  <c r="U813" i="4" s="1"/>
  <c r="U814" i="4" s="1"/>
  <c r="U815" i="4" s="1"/>
  <c r="U816" i="4" s="1"/>
  <c r="U817" i="4" s="1"/>
  <c r="U818" i="4" s="1"/>
  <c r="U819" i="4" s="1"/>
  <c r="U820" i="4" s="1"/>
  <c r="U821" i="4" s="1"/>
  <c r="U822" i="4" s="1"/>
  <c r="U823" i="4" s="1"/>
  <c r="U824" i="4" s="1"/>
  <c r="U825" i="4" s="1"/>
  <c r="U826" i="4" s="1"/>
  <c r="U827" i="4" s="1"/>
  <c r="U828" i="4" s="1"/>
  <c r="L476" i="4"/>
  <c r="O475" i="4"/>
  <c r="K461" i="4"/>
  <c r="J496" i="4"/>
  <c r="Z496" i="4" s="1"/>
  <c r="C10" i="6"/>
  <c r="B11" i="6"/>
  <c r="J55" i="4"/>
  <c r="Z55" i="4" s="1"/>
  <c r="K124" i="4"/>
  <c r="J121" i="4"/>
  <c r="Z121" i="4" s="1"/>
  <c r="K56" i="4"/>
  <c r="AA56" i="4" s="1"/>
  <c r="S5" i="6"/>
  <c r="S6" i="6"/>
  <c r="Y176" i="4" l="1"/>
  <c r="Y180" i="4"/>
  <c r="Y184" i="4"/>
  <c r="Y188" i="4"/>
  <c r="Y174" i="4"/>
  <c r="Y178" i="4"/>
  <c r="Y182" i="4"/>
  <c r="Y186" i="4"/>
  <c r="Y190" i="4"/>
  <c r="Y177" i="4"/>
  <c r="Y185" i="4"/>
  <c r="Y179" i="4"/>
  <c r="Y187" i="4"/>
  <c r="Y181" i="4"/>
  <c r="Y189" i="4"/>
  <c r="Y1827" i="4"/>
  <c r="Y1831" i="4"/>
  <c r="Y1835" i="4"/>
  <c r="Y1839" i="4"/>
  <c r="Y1843" i="4"/>
  <c r="Y1847" i="4"/>
  <c r="Y1851" i="4"/>
  <c r="Y1855" i="4"/>
  <c r="Y1859" i="4"/>
  <c r="Y1863" i="4"/>
  <c r="Y1867" i="4"/>
  <c r="Y1871" i="4"/>
  <c r="Y1824" i="4"/>
  <c r="Y1828" i="4"/>
  <c r="Y1832" i="4"/>
  <c r="Y1836" i="4"/>
  <c r="Y1840" i="4"/>
  <c r="Y1844" i="4"/>
  <c r="Y1848" i="4"/>
  <c r="Y1852" i="4"/>
  <c r="Y1856" i="4"/>
  <c r="Y1860" i="4"/>
  <c r="Y1864" i="4"/>
  <c r="Y1868" i="4"/>
  <c r="Y1872" i="4"/>
  <c r="Y175" i="4"/>
  <c r="Y1825" i="4"/>
  <c r="Y1829" i="4"/>
  <c r="Y1833" i="4"/>
  <c r="Y1837" i="4"/>
  <c r="Y1841" i="4"/>
  <c r="Y1845" i="4"/>
  <c r="Y1849" i="4"/>
  <c r="Y1853" i="4"/>
  <c r="Y1857" i="4"/>
  <c r="Y1861" i="4"/>
  <c r="Y1865" i="4"/>
  <c r="Y1869" i="4"/>
  <c r="Y1873" i="4"/>
  <c r="Y183" i="4"/>
  <c r="Y1826" i="4"/>
  <c r="Y1842" i="4"/>
  <c r="Y1858" i="4"/>
  <c r="Y1874" i="4"/>
  <c r="Y1830" i="4"/>
  <c r="Y1846" i="4"/>
  <c r="Y1862" i="4"/>
  <c r="Y1834" i="4"/>
  <c r="Y1850" i="4"/>
  <c r="Y1866" i="4"/>
  <c r="Y1838" i="4"/>
  <c r="Y1854" i="4"/>
  <c r="Y1870" i="4"/>
  <c r="X259" i="4"/>
  <c r="X263" i="4"/>
  <c r="X267" i="4"/>
  <c r="X271" i="4"/>
  <c r="X257" i="4"/>
  <c r="X261" i="4"/>
  <c r="X265" i="4"/>
  <c r="X269" i="4"/>
  <c r="X256" i="4"/>
  <c r="X264" i="4"/>
  <c r="X272" i="4"/>
  <c r="X258" i="4"/>
  <c r="X266" i="4"/>
  <c r="X260" i="4"/>
  <c r="X268" i="4"/>
  <c r="X262" i="4"/>
  <c r="X270" i="4"/>
  <c r="AA98" i="4"/>
  <c r="AA99" i="4"/>
  <c r="AA100" i="4"/>
  <c r="AA101" i="4"/>
  <c r="AA102" i="4"/>
  <c r="AA103" i="4"/>
  <c r="AA104" i="4"/>
  <c r="AA105" i="4"/>
  <c r="AA106" i="4"/>
  <c r="AA107" i="4"/>
  <c r="AA108" i="4"/>
  <c r="AA109" i="4"/>
  <c r="AA110" i="4"/>
  <c r="AA111" i="4"/>
  <c r="AA112" i="4"/>
  <c r="AA113" i="4"/>
  <c r="AA114" i="4"/>
  <c r="Z147" i="4"/>
  <c r="Z148" i="4"/>
  <c r="Z149" i="4"/>
  <c r="Z150" i="4"/>
  <c r="Z151" i="4"/>
  <c r="Z152" i="4"/>
  <c r="Z153" i="4"/>
  <c r="Z154" i="4"/>
  <c r="Z155" i="4"/>
  <c r="Z156" i="4"/>
  <c r="B38" i="4"/>
  <c r="V38" i="4" s="1"/>
  <c r="F13" i="6"/>
  <c r="G12" i="6"/>
  <c r="C11" i="6"/>
  <c r="X793" i="4" s="1"/>
  <c r="B12" i="6"/>
  <c r="N12" i="6"/>
  <c r="O11" i="6"/>
  <c r="AA115" i="4" s="1"/>
  <c r="K12" i="6"/>
  <c r="Z402" i="4" s="1"/>
  <c r="J13" i="6"/>
  <c r="U829" i="4"/>
  <c r="U830" i="4" s="1"/>
  <c r="U831" i="4" s="1"/>
  <c r="U832" i="4" s="1"/>
  <c r="U833" i="4" s="1"/>
  <c r="U834" i="4" s="1"/>
  <c r="U835" i="4" s="1"/>
  <c r="U836" i="4" s="1"/>
  <c r="U837" i="4" s="1"/>
  <c r="U838" i="4" s="1"/>
  <c r="U839" i="4" s="1"/>
  <c r="U840" i="4" s="1"/>
  <c r="U841" i="4" s="1"/>
  <c r="U842" i="4" s="1"/>
  <c r="U843" i="4" s="1"/>
  <c r="U844" i="4" s="1"/>
  <c r="U845" i="4" s="1"/>
  <c r="U846" i="4" s="1"/>
  <c r="U847" i="4" s="1"/>
  <c r="U848" i="4" s="1"/>
  <c r="U849" i="4" s="1"/>
  <c r="U850" i="4" s="1"/>
  <c r="U851" i="4" s="1"/>
  <c r="U852" i="4" s="1"/>
  <c r="U853" i="4" s="1"/>
  <c r="U854" i="4" s="1"/>
  <c r="U855" i="4" s="1"/>
  <c r="U856" i="4" s="1"/>
  <c r="U857" i="4" s="1"/>
  <c r="U858" i="4" s="1"/>
  <c r="U859" i="4" s="1"/>
  <c r="U860" i="4" s="1"/>
  <c r="U861" i="4" s="1"/>
  <c r="U862" i="4" s="1"/>
  <c r="U863" i="4" s="1"/>
  <c r="U864" i="4" s="1"/>
  <c r="U865" i="4" s="1"/>
  <c r="U866" i="4" s="1"/>
  <c r="U867" i="4" s="1"/>
  <c r="U868" i="4" s="1"/>
  <c r="U869" i="4" s="1"/>
  <c r="U870" i="4" s="1"/>
  <c r="U871" i="4" s="1"/>
  <c r="U872" i="4" s="1"/>
  <c r="U873" i="4" s="1"/>
  <c r="U874" i="4" s="1"/>
  <c r="U875" i="4" s="1"/>
  <c r="U876" i="4" s="1"/>
  <c r="U877" i="4" s="1"/>
  <c r="U878" i="4" s="1"/>
  <c r="U879" i="4" s="1"/>
  <c r="U880" i="4" s="1"/>
  <c r="U881" i="4" s="1"/>
  <c r="U882" i="4" s="1"/>
  <c r="U883" i="4" s="1"/>
  <c r="U884" i="4" s="1"/>
  <c r="U885" i="4" s="1"/>
  <c r="U886" i="4" s="1"/>
  <c r="U887" i="4" s="1"/>
  <c r="U888" i="4" s="1"/>
  <c r="U889" i="4" s="1"/>
  <c r="U890" i="4" s="1"/>
  <c r="U891" i="4" s="1"/>
  <c r="U892" i="4" s="1"/>
  <c r="U893" i="4" s="1"/>
  <c r="U894" i="4" s="1"/>
  <c r="U895" i="4" s="1"/>
  <c r="U896" i="4" s="1"/>
  <c r="L477" i="4"/>
  <c r="O476" i="4"/>
  <c r="K462" i="4"/>
  <c r="J497" i="4"/>
  <c r="Z497" i="4" s="1"/>
  <c r="J56" i="4"/>
  <c r="Z56" i="4" s="1"/>
  <c r="J122" i="4"/>
  <c r="Z122" i="4" s="1"/>
  <c r="K125" i="4"/>
  <c r="K57" i="4"/>
  <c r="AA57" i="4" s="1"/>
  <c r="U269" i="6"/>
  <c r="Y269" i="6" s="1"/>
  <c r="U21" i="6"/>
  <c r="Y21" i="6" s="1"/>
  <c r="U45" i="6"/>
  <c r="Y45" i="6" s="1"/>
  <c r="U20" i="6"/>
  <c r="Y20" i="6" s="1"/>
  <c r="U7" i="6"/>
  <c r="Y7" i="6" s="1"/>
  <c r="U12" i="6"/>
  <c r="Y12" i="6" s="1"/>
  <c r="U14" i="6"/>
  <c r="Y14" i="6" s="1"/>
  <c r="U18" i="6"/>
  <c r="Y18" i="6" s="1"/>
  <c r="U17" i="6"/>
  <c r="Y17" i="6" s="1"/>
  <c r="U9" i="6"/>
  <c r="Y9" i="6" s="1"/>
  <c r="U8" i="6"/>
  <c r="Y8" i="6" s="1"/>
  <c r="U6" i="6"/>
  <c r="Y6" i="6" s="1"/>
  <c r="U5" i="6"/>
  <c r="Y5" i="6" s="1"/>
  <c r="U11" i="6"/>
  <c r="Y11" i="6" s="1"/>
  <c r="U19" i="6"/>
  <c r="Y19" i="6" s="1"/>
  <c r="U10" i="6"/>
  <c r="Y10" i="6" s="1"/>
  <c r="U16" i="6"/>
  <c r="Y16" i="6" s="1"/>
  <c r="U13" i="6"/>
  <c r="Y13" i="6" s="1"/>
  <c r="U15" i="6"/>
  <c r="Y15" i="6" s="1"/>
  <c r="U270" i="6"/>
  <c r="Y270" i="6" s="1"/>
  <c r="U282" i="6"/>
  <c r="Y282" i="6" s="1"/>
  <c r="U268" i="6"/>
  <c r="Y268" i="6" s="1"/>
  <c r="U277" i="6"/>
  <c r="Y277" i="6" s="1"/>
  <c r="U279" i="6"/>
  <c r="Y279" i="6" s="1"/>
  <c r="U278" i="6"/>
  <c r="Y278" i="6" s="1"/>
  <c r="U366" i="6"/>
  <c r="Y366" i="6" s="1"/>
  <c r="U272" i="6"/>
  <c r="Y272" i="6" s="1"/>
  <c r="U271" i="6"/>
  <c r="Y271" i="6" s="1"/>
  <c r="U276" i="6"/>
  <c r="Y276" i="6" s="1"/>
  <c r="U283" i="6"/>
  <c r="Y283" i="6" s="1"/>
  <c r="U281" i="6"/>
  <c r="Y281" i="6" s="1"/>
  <c r="U280" i="6"/>
  <c r="Y280" i="6" s="1"/>
  <c r="U275" i="6"/>
  <c r="Y275" i="6" s="1"/>
  <c r="U274" i="6"/>
  <c r="Y274" i="6" s="1"/>
  <c r="U273" i="6"/>
  <c r="Y273" i="6" s="1"/>
  <c r="Y255" i="4" l="1"/>
  <c r="Y419" i="4"/>
  <c r="W122" i="4"/>
  <c r="W139" i="4"/>
  <c r="W299" i="4"/>
  <c r="W443" i="4"/>
  <c r="W656" i="4"/>
  <c r="W781" i="4"/>
  <c r="W1021" i="4"/>
  <c r="W1293" i="4"/>
  <c r="W1453" i="4"/>
  <c r="W17" i="4"/>
  <c r="W1038" i="4"/>
  <c r="W1310" i="4"/>
  <c r="W1470" i="4"/>
  <c r="W799" i="4"/>
  <c r="W1055" i="4"/>
  <c r="W334" i="4"/>
  <c r="W622" i="4"/>
  <c r="W351" i="4"/>
  <c r="W639" i="4"/>
  <c r="W817" i="4"/>
  <c r="W1089" i="4"/>
  <c r="W1489" i="4"/>
  <c r="W1697" i="4"/>
  <c r="W601" i="4"/>
  <c r="W834" i="4"/>
  <c r="W1106" i="4"/>
  <c r="W1346" i="4"/>
  <c r="W388" i="4"/>
  <c r="W516" i="4"/>
  <c r="W1191" i="4"/>
  <c r="W1575" i="4"/>
  <c r="W1004" i="4"/>
  <c r="W34" i="4"/>
  <c r="W162" i="4"/>
  <c r="W690" i="4"/>
  <c r="W51" i="4"/>
  <c r="W179" i="4"/>
  <c r="W371" i="4"/>
  <c r="W499" i="4"/>
  <c r="W707" i="4"/>
  <c r="W725" i="4"/>
  <c r="W885" i="4"/>
  <c r="W1157" i="4"/>
  <c r="W1541" i="4"/>
  <c r="W673" i="4"/>
  <c r="W742" i="4"/>
  <c r="W902" i="4"/>
  <c r="W1174" i="4"/>
  <c r="W1366" i="4"/>
  <c r="W1558" i="4"/>
  <c r="W1327" i="4"/>
  <c r="W460" i="4"/>
  <c r="W247" i="4"/>
  <c r="W567" i="4"/>
  <c r="W232" i="4"/>
  <c r="W759" i="4"/>
  <c r="W149" i="4"/>
  <c r="W533" i="4"/>
  <c r="W1420" i="4"/>
  <c r="W1507" i="4"/>
  <c r="W1140" i="4"/>
  <c r="W1524" i="4"/>
  <c r="W1403" i="4"/>
  <c r="W425" i="4"/>
  <c r="W919" i="4"/>
  <c r="W69" i="4"/>
  <c r="W197" i="4"/>
  <c r="W316" i="4"/>
  <c r="W1436" i="4"/>
  <c r="W477" i="4"/>
  <c r="W1072" i="4"/>
  <c r="W1680" i="4"/>
  <c r="W86" i="4"/>
  <c r="W214" i="4"/>
  <c r="W278" i="4"/>
  <c r="W407" i="4"/>
  <c r="W953" i="4"/>
  <c r="W970" i="4"/>
  <c r="W1123" i="4"/>
  <c r="W1208" i="4"/>
  <c r="W1635" i="4"/>
  <c r="W851" i="4"/>
  <c r="W936" i="4"/>
  <c r="W1276" i="4"/>
  <c r="W1660" i="4"/>
  <c r="W584" i="4"/>
  <c r="W1593" i="4"/>
  <c r="W1610" i="4"/>
  <c r="W1387" i="4"/>
  <c r="W1643" i="4"/>
  <c r="W868" i="4"/>
  <c r="W1225" i="4"/>
  <c r="W1242" i="4"/>
  <c r="W261" i="4"/>
  <c r="W1259" i="4"/>
  <c r="W550" i="4"/>
  <c r="W103" i="4"/>
  <c r="W987" i="4"/>
  <c r="W58" i="4"/>
  <c r="W186" i="4"/>
  <c r="W378" i="4"/>
  <c r="W506" i="4"/>
  <c r="W714" i="4"/>
  <c r="W395" i="4"/>
  <c r="W523" i="4"/>
  <c r="W432" i="4"/>
  <c r="W749" i="4"/>
  <c r="W909" i="4"/>
  <c r="W1181" i="4"/>
  <c r="W1373" i="4"/>
  <c r="W1565" i="4"/>
  <c r="W766" i="4"/>
  <c r="W926" i="4"/>
  <c r="W1198" i="4"/>
  <c r="W1582" i="4"/>
  <c r="W1215" i="4"/>
  <c r="W110" i="4"/>
  <c r="W414" i="4"/>
  <c r="W574" i="4"/>
  <c r="W239" i="4"/>
  <c r="W591" i="4"/>
  <c r="W24" i="4"/>
  <c r="W977" i="4"/>
  <c r="W1249" i="4"/>
  <c r="W1617" i="4"/>
  <c r="W697" i="4"/>
  <c r="W994" i="4"/>
  <c r="W1266" i="4"/>
  <c r="W1394" i="4"/>
  <c r="W1410" i="4"/>
  <c r="W1650" i="4"/>
  <c r="W824" i="4"/>
  <c r="W306" i="4"/>
  <c r="W450" i="4"/>
  <c r="W323" i="4"/>
  <c r="W467" i="4"/>
  <c r="W608" i="4"/>
  <c r="W1045" i="4"/>
  <c r="W1317" i="4"/>
  <c r="W1477" i="4"/>
  <c r="W129" i="4"/>
  <c r="W806" i="4"/>
  <c r="W1062" i="4"/>
  <c r="W1334" i="4"/>
  <c r="W943" i="4"/>
  <c r="W629" i="4"/>
  <c r="W76" i="4"/>
  <c r="W204" i="4"/>
  <c r="W1443" i="4"/>
  <c r="W1113" i="4"/>
  <c r="W1130" i="4"/>
  <c r="W1514" i="4"/>
  <c r="W1164" i="4"/>
  <c r="W540" i="4"/>
  <c r="W1427" i="4"/>
  <c r="W1028" i="4"/>
  <c r="W1232" i="4"/>
  <c r="W646" i="4"/>
  <c r="W41" i="4"/>
  <c r="W169" i="4"/>
  <c r="W1283" i="4"/>
  <c r="W1011" i="4"/>
  <c r="W1096" i="4"/>
  <c r="W93" i="4"/>
  <c r="W221" i="4"/>
  <c r="W788" i="4"/>
  <c r="W663" i="4"/>
  <c r="W680" i="4"/>
  <c r="W1079" i="4"/>
  <c r="W1687" i="4"/>
  <c r="W341" i="4"/>
  <c r="W268" i="4"/>
  <c r="W1548" i="4"/>
  <c r="W892" i="4"/>
  <c r="W1704" i="4"/>
  <c r="W1460" i="4"/>
  <c r="W732" i="4"/>
  <c r="W1147" i="4"/>
  <c r="W875" i="4"/>
  <c r="W557" i="4"/>
  <c r="W1667" i="4"/>
  <c r="W484" i="4"/>
  <c r="W1496" i="4"/>
  <c r="W285" i="4"/>
  <c r="W960" i="4"/>
  <c r="W1300" i="4"/>
  <c r="W358" i="4"/>
  <c r="W841" i="4"/>
  <c r="W1353" i="4"/>
  <c r="W858" i="4"/>
  <c r="W1600" i="4"/>
  <c r="W1531" i="4"/>
  <c r="W74" i="4"/>
  <c r="W202" i="4"/>
  <c r="W266" i="4"/>
  <c r="W538" i="4"/>
  <c r="W91" i="4"/>
  <c r="W219" i="4"/>
  <c r="W283" i="4"/>
  <c r="W555" i="4"/>
  <c r="W304" i="4"/>
  <c r="W941" i="4"/>
  <c r="W1213" i="4"/>
  <c r="W465" i="4"/>
  <c r="W958" i="4"/>
  <c r="W1230" i="4"/>
  <c r="W1598" i="4"/>
  <c r="W1247" i="4"/>
  <c r="W430" i="4"/>
  <c r="W606" i="4"/>
  <c r="W127" i="4"/>
  <c r="W143" i="4"/>
  <c r="W56" i="4"/>
  <c r="W184" i="4"/>
  <c r="W376" i="4"/>
  <c r="W504" i="4"/>
  <c r="W1009" i="4"/>
  <c r="W1281" i="4"/>
  <c r="W1425" i="4"/>
  <c r="W1441" i="4"/>
  <c r="W1665" i="4"/>
  <c r="W153" i="4"/>
  <c r="W786" i="4"/>
  <c r="W1026" i="4"/>
  <c r="W1298" i="4"/>
  <c r="W1458" i="4"/>
  <c r="W644" i="4"/>
  <c r="W839" i="4"/>
  <c r="W1351" i="4"/>
  <c r="W1475" i="4"/>
  <c r="W482" i="4"/>
  <c r="W339" i="4"/>
  <c r="W627" i="4"/>
  <c r="W448" i="4"/>
  <c r="W1077" i="4"/>
  <c r="W1685" i="4"/>
  <c r="W321" i="4"/>
  <c r="W822" i="4"/>
  <c r="W1094" i="4"/>
  <c r="W1494" i="4"/>
  <c r="W1702" i="4"/>
  <c r="W975" i="4"/>
  <c r="W1615" i="4"/>
  <c r="W1315" i="4"/>
  <c r="W695" i="4"/>
  <c r="W393" i="4"/>
  <c r="W521" i="4"/>
  <c r="W661" i="4"/>
  <c r="W412" i="4"/>
  <c r="W1043" i="4"/>
  <c r="W1128" i="4"/>
  <c r="W1512" i="4"/>
  <c r="W1371" i="4"/>
  <c r="W1264" i="4"/>
  <c r="W589" i="4"/>
  <c r="W1060" i="4"/>
  <c r="W873" i="4"/>
  <c r="W890" i="4"/>
  <c r="W356" i="4"/>
  <c r="W856" i="4"/>
  <c r="W1196" i="4"/>
  <c r="W572" i="4"/>
  <c r="W924" i="4"/>
  <c r="W1408" i="4"/>
  <c r="W764" i="4"/>
  <c r="W1648" i="4"/>
  <c r="W22" i="4"/>
  <c r="W1145" i="4"/>
  <c r="W1529" i="4"/>
  <c r="W1162" i="4"/>
  <c r="W1546" i="4"/>
  <c r="W747" i="4"/>
  <c r="W804" i="4"/>
  <c r="W907" i="4"/>
  <c r="W992" i="4"/>
  <c r="W1332" i="4"/>
  <c r="W237" i="4"/>
  <c r="W1179" i="4"/>
  <c r="W678" i="4"/>
  <c r="W1392" i="4"/>
  <c r="W39" i="4"/>
  <c r="W712" i="4"/>
  <c r="W730" i="4"/>
  <c r="W1563" i="4"/>
  <c r="W1111" i="4"/>
  <c r="W167" i="4"/>
  <c r="W108" i="4"/>
  <c r="W1580" i="4"/>
  <c r="W138" i="4"/>
  <c r="W298" i="4"/>
  <c r="W442" i="4"/>
  <c r="W315" i="4"/>
  <c r="W459" i="4"/>
  <c r="W16" i="4"/>
  <c r="W1037" i="4"/>
  <c r="W1309" i="4"/>
  <c r="W1469" i="4"/>
  <c r="W1629" i="4"/>
  <c r="W689" i="4"/>
  <c r="W798" i="4"/>
  <c r="W1054" i="4"/>
  <c r="W1326" i="4"/>
  <c r="W350" i="4"/>
  <c r="W638" i="4"/>
  <c r="W655" i="4"/>
  <c r="W600" i="4"/>
  <c r="W833" i="4"/>
  <c r="W1105" i="4"/>
  <c r="W1345" i="4"/>
  <c r="W121" i="4"/>
  <c r="W850" i="4"/>
  <c r="W1122" i="4"/>
  <c r="W1506" i="4"/>
  <c r="W1634" i="4"/>
  <c r="W68" i="4"/>
  <c r="W196" i="4"/>
  <c r="W260" i="4"/>
  <c r="W935" i="4"/>
  <c r="W549" i="4"/>
  <c r="W50" i="4"/>
  <c r="W178" i="4"/>
  <c r="W370" i="4"/>
  <c r="W498" i="4"/>
  <c r="W706" i="4"/>
  <c r="W387" i="4"/>
  <c r="W515" i="4"/>
  <c r="W672" i="4"/>
  <c r="W741" i="4"/>
  <c r="W901" i="4"/>
  <c r="W1173" i="4"/>
  <c r="W1365" i="4"/>
  <c r="W1557" i="4"/>
  <c r="W33" i="4"/>
  <c r="W161" i="4"/>
  <c r="W758" i="4"/>
  <c r="W918" i="4"/>
  <c r="W1190" i="4"/>
  <c r="W1574" i="4"/>
  <c r="W148" i="4"/>
  <c r="W532" i="4"/>
  <c r="W1071" i="4"/>
  <c r="W1679" i="4"/>
  <c r="W246" i="4"/>
  <c r="W566" i="4"/>
  <c r="W1241" i="4"/>
  <c r="W1258" i="4"/>
  <c r="W1386" i="4"/>
  <c r="W1642" i="4"/>
  <c r="W277" i="4"/>
  <c r="W816" i="4"/>
  <c r="W1592" i="4"/>
  <c r="W884" i="4"/>
  <c r="W1696" i="4"/>
  <c r="W1540" i="4"/>
  <c r="W1435" i="4"/>
  <c r="W583" i="4"/>
  <c r="W1609" i="4"/>
  <c r="W1402" i="4"/>
  <c r="W1452" i="4"/>
  <c r="W1139" i="4"/>
  <c r="W1224" i="4"/>
  <c r="W1523" i="4"/>
  <c r="W724" i="4"/>
  <c r="W621" i="4"/>
  <c r="W1275" i="4"/>
  <c r="W406" i="4"/>
  <c r="W424" i="4"/>
  <c r="W1207" i="4"/>
  <c r="W85" i="4"/>
  <c r="W213" i="4"/>
  <c r="W867" i="4"/>
  <c r="W952" i="4"/>
  <c r="W1292" i="4"/>
  <c r="W476" i="4"/>
  <c r="W1020" i="4"/>
  <c r="W1419" i="4"/>
  <c r="W333" i="4"/>
  <c r="W780" i="4"/>
  <c r="W1488" i="4"/>
  <c r="W1659" i="4"/>
  <c r="W231" i="4"/>
  <c r="W969" i="4"/>
  <c r="W986" i="4"/>
  <c r="W1088" i="4"/>
  <c r="W1156" i="4"/>
  <c r="W102" i="4"/>
  <c r="W1003" i="4"/>
  <c r="W26" i="4"/>
  <c r="W682" i="4"/>
  <c r="W43" i="4"/>
  <c r="W171" i="4"/>
  <c r="W699" i="4"/>
  <c r="W112" i="4"/>
  <c r="W877" i="4"/>
  <c r="W1149" i="4"/>
  <c r="W1533" i="4"/>
  <c r="W241" i="4"/>
  <c r="W593" i="4"/>
  <c r="W734" i="4"/>
  <c r="W894" i="4"/>
  <c r="W1166" i="4"/>
  <c r="W1550" i="4"/>
  <c r="W308" i="4"/>
  <c r="W1183" i="4"/>
  <c r="W1375" i="4"/>
  <c r="W1567" i="4"/>
  <c r="W78" i="4"/>
  <c r="W206" i="4"/>
  <c r="W270" i="4"/>
  <c r="W542" i="4"/>
  <c r="W95" i="4"/>
  <c r="W223" i="4"/>
  <c r="W287" i="4"/>
  <c r="W559" i="4"/>
  <c r="W945" i="4"/>
  <c r="W1217" i="4"/>
  <c r="W665" i="4"/>
  <c r="W962" i="4"/>
  <c r="W1234" i="4"/>
  <c r="W1602" i="4"/>
  <c r="W452" i="4"/>
  <c r="W1319" i="4"/>
  <c r="W1479" i="4"/>
  <c r="W1132" i="4"/>
  <c r="W1516" i="4"/>
  <c r="W434" i="4"/>
  <c r="W610" i="4"/>
  <c r="W131" i="4"/>
  <c r="W416" i="4"/>
  <c r="W576" i="4"/>
  <c r="W1013" i="4"/>
  <c r="W1285" i="4"/>
  <c r="W1429" i="4"/>
  <c r="W1445" i="4"/>
  <c r="W1669" i="4"/>
  <c r="W790" i="4"/>
  <c r="W1030" i="4"/>
  <c r="W1302" i="4"/>
  <c r="W1462" i="4"/>
  <c r="W751" i="4"/>
  <c r="W911" i="4"/>
  <c r="W768" i="4"/>
  <c r="W843" i="4"/>
  <c r="W631" i="4"/>
  <c r="W360" i="4"/>
  <c r="W1706" i="4"/>
  <c r="W1251" i="4"/>
  <c r="W1336" i="4"/>
  <c r="W928" i="4"/>
  <c r="W1268" i="4"/>
  <c r="W1355" i="4"/>
  <c r="W1396" i="4"/>
  <c r="W1652" i="4"/>
  <c r="W1200" i="4"/>
  <c r="W648" i="4"/>
  <c r="W826" i="4"/>
  <c r="W1047" i="4"/>
  <c r="W325" i="4"/>
  <c r="W60" i="4"/>
  <c r="W188" i="4"/>
  <c r="W1412" i="4"/>
  <c r="W1584" i="4"/>
  <c r="W716" i="4"/>
  <c r="W996" i="4"/>
  <c r="W343" i="4"/>
  <c r="W1081" i="4"/>
  <c r="W1098" i="4"/>
  <c r="W469" i="4"/>
  <c r="W979" i="4"/>
  <c r="W1064" i="4"/>
  <c r="W1619" i="4"/>
  <c r="W1115" i="4"/>
  <c r="W525" i="4"/>
  <c r="W486" i="4"/>
  <c r="W1689" i="4"/>
  <c r="W1498" i="4"/>
  <c r="W380" i="4"/>
  <c r="W808" i="4"/>
  <c r="W508" i="4"/>
  <c r="W860" i="4"/>
  <c r="W397" i="4"/>
  <c r="W666" i="4"/>
  <c r="W27" i="4"/>
  <c r="W155" i="4"/>
  <c r="W683" i="4"/>
  <c r="W560" i="4"/>
  <c r="W717" i="4"/>
  <c r="W861" i="4"/>
  <c r="W1133" i="4"/>
  <c r="W1517" i="4"/>
  <c r="W113" i="4"/>
  <c r="W145" i="4"/>
  <c r="W878" i="4"/>
  <c r="W1150" i="4"/>
  <c r="W1534" i="4"/>
  <c r="W735" i="4"/>
  <c r="W895" i="4"/>
  <c r="W398" i="4"/>
  <c r="W526" i="4"/>
  <c r="W79" i="4"/>
  <c r="W207" i="4"/>
  <c r="W271" i="4"/>
  <c r="W543" i="4"/>
  <c r="W344" i="4"/>
  <c r="W632" i="4"/>
  <c r="W769" i="4"/>
  <c r="W929" i="4"/>
  <c r="W1201" i="4"/>
  <c r="W1585" i="4"/>
  <c r="W946" i="4"/>
  <c r="W1218" i="4"/>
  <c r="W132" i="4"/>
  <c r="W1031" i="4"/>
  <c r="W44" i="4"/>
  <c r="W172" i="4"/>
  <c r="W827" i="4"/>
  <c r="W963" i="4"/>
  <c r="W1048" i="4"/>
  <c r="W1603" i="4"/>
  <c r="W242" i="4"/>
  <c r="W594" i="4"/>
  <c r="W435" i="4"/>
  <c r="W611" i="4"/>
  <c r="W96" i="4"/>
  <c r="W224" i="4"/>
  <c r="W288" i="4"/>
  <c r="W997" i="4"/>
  <c r="W1269" i="4"/>
  <c r="W1397" i="4"/>
  <c r="W1413" i="4"/>
  <c r="W1653" i="4"/>
  <c r="W417" i="4"/>
  <c r="W577" i="4"/>
  <c r="W1014" i="4"/>
  <c r="W1286" i="4"/>
  <c r="W1430" i="4"/>
  <c r="W1446" i="4"/>
  <c r="W1670" i="4"/>
  <c r="W1167" i="4"/>
  <c r="W1551" i="4"/>
  <c r="W309" i="4"/>
  <c r="W1356" i="4"/>
  <c r="W649" i="4"/>
  <c r="W752" i="4"/>
  <c r="W61" i="4"/>
  <c r="W189" i="4"/>
  <c r="W1099" i="4"/>
  <c r="W1184" i="4"/>
  <c r="W1568" i="4"/>
  <c r="W326" i="4"/>
  <c r="W809" i="4"/>
  <c r="W1065" i="4"/>
  <c r="W1082" i="4"/>
  <c r="W791" i="4"/>
  <c r="W1303" i="4"/>
  <c r="W453" i="4"/>
  <c r="W700" i="4"/>
  <c r="W1480" i="4"/>
  <c r="W980" i="4"/>
  <c r="W1620" i="4"/>
  <c r="W1707" i="4"/>
  <c r="W912" i="4"/>
  <c r="W470" i="4"/>
  <c r="W1337" i="4"/>
  <c r="W1463" i="4"/>
  <c r="W1235" i="4"/>
  <c r="W1320" i="4"/>
  <c r="W253" i="4"/>
  <c r="W381" i="4"/>
  <c r="W509" i="4"/>
  <c r="W1376" i="4"/>
  <c r="W487" i="4"/>
  <c r="W1116" i="4"/>
  <c r="W844" i="4"/>
  <c r="W1690" i="4"/>
  <c r="W1499" i="4"/>
  <c r="W361" i="4"/>
  <c r="W1252" i="4"/>
  <c r="W426" i="4"/>
  <c r="W602" i="4"/>
  <c r="W123" i="4"/>
  <c r="W1005" i="4"/>
  <c r="W1277" i="4"/>
  <c r="W1421" i="4"/>
  <c r="W1437" i="4"/>
  <c r="W1661" i="4"/>
  <c r="W657" i="4"/>
  <c r="W782" i="4"/>
  <c r="W1022" i="4"/>
  <c r="W1294" i="4"/>
  <c r="W1454" i="4"/>
  <c r="W52" i="4"/>
  <c r="W180" i="4"/>
  <c r="W372" i="4"/>
  <c r="W500" i="4"/>
  <c r="W1311" i="4"/>
  <c r="W1471" i="4"/>
  <c r="W478" i="4"/>
  <c r="W335" i="4"/>
  <c r="W623" i="4"/>
  <c r="W248" i="4"/>
  <c r="W408" i="4"/>
  <c r="W568" i="4"/>
  <c r="W1073" i="4"/>
  <c r="W1681" i="4"/>
  <c r="W818" i="4"/>
  <c r="W1090" i="4"/>
  <c r="W1490" i="4"/>
  <c r="W1698" i="4"/>
  <c r="W708" i="4"/>
  <c r="W743" i="4"/>
  <c r="W903" i="4"/>
  <c r="W760" i="4"/>
  <c r="W300" i="4"/>
  <c r="W920" i="4"/>
  <c r="W1260" i="4"/>
  <c r="W1347" i="4"/>
  <c r="W1388" i="4"/>
  <c r="W1644" i="4"/>
  <c r="W18" i="4"/>
  <c r="W674" i="4"/>
  <c r="W35" i="4"/>
  <c r="W163" i="4"/>
  <c r="W691" i="4"/>
  <c r="W352" i="4"/>
  <c r="W640" i="4"/>
  <c r="W869" i="4"/>
  <c r="W1141" i="4"/>
  <c r="W1525" i="4"/>
  <c r="W726" i="4"/>
  <c r="W886" i="4"/>
  <c r="W1158" i="4"/>
  <c r="W1542" i="4"/>
  <c r="W1039" i="4"/>
  <c r="W800" i="4"/>
  <c r="W104" i="4"/>
  <c r="W317" i="4"/>
  <c r="W971" i="4"/>
  <c r="W1056" i="4"/>
  <c r="W1611" i="4"/>
  <c r="W70" i="4"/>
  <c r="W198" i="4"/>
  <c r="W262" i="4"/>
  <c r="W937" i="4"/>
  <c r="W954" i="4"/>
  <c r="W1175" i="4"/>
  <c r="W444" i="4"/>
  <c r="W835" i="4"/>
  <c r="W852" i="4"/>
  <c r="W1243" i="4"/>
  <c r="W534" i="4"/>
  <c r="W87" i="4"/>
  <c r="W215" i="4"/>
  <c r="W279" i="4"/>
  <c r="W1209" i="4"/>
  <c r="W585" i="4"/>
  <c r="W1226" i="4"/>
  <c r="W1594" i="4"/>
  <c r="W1559" i="4"/>
  <c r="W1107" i="4"/>
  <c r="W1192" i="4"/>
  <c r="W1404" i="4"/>
  <c r="W1576" i="4"/>
  <c r="W1367" i="4"/>
  <c r="W1328" i="4"/>
  <c r="W551" i="4"/>
  <c r="W233" i="4"/>
  <c r="W988" i="4"/>
  <c r="W1508" i="4"/>
  <c r="W389" i="4"/>
  <c r="W461" i="4"/>
  <c r="W517" i="4"/>
  <c r="W1124" i="4"/>
  <c r="W474" i="4"/>
  <c r="W331" i="4"/>
  <c r="W619" i="4"/>
  <c r="W48" i="4"/>
  <c r="W176" i="4"/>
  <c r="W368" i="4"/>
  <c r="W496" i="4"/>
  <c r="W1069" i="4"/>
  <c r="W1677" i="4"/>
  <c r="W814" i="4"/>
  <c r="W1086" i="4"/>
  <c r="W1486" i="4"/>
  <c r="W1694" i="4"/>
  <c r="W564" i="4"/>
  <c r="W831" i="4"/>
  <c r="W1343" i="4"/>
  <c r="W14" i="4"/>
  <c r="W670" i="4"/>
  <c r="W31" i="4"/>
  <c r="W159" i="4"/>
  <c r="W687" i="4"/>
  <c r="W440" i="4"/>
  <c r="W865" i="4"/>
  <c r="W1137" i="4"/>
  <c r="W1521" i="4"/>
  <c r="W313" i="4"/>
  <c r="W722" i="4"/>
  <c r="W882" i="4"/>
  <c r="W1154" i="4"/>
  <c r="W1538" i="4"/>
  <c r="W967" i="4"/>
  <c r="W1607" i="4"/>
  <c r="W229" i="4"/>
  <c r="W66" i="4"/>
  <c r="W194" i="4"/>
  <c r="W258" i="4"/>
  <c r="W530" i="4"/>
  <c r="W83" i="4"/>
  <c r="W211" i="4"/>
  <c r="W275" i="4"/>
  <c r="W547" i="4"/>
  <c r="W704" i="4"/>
  <c r="W933" i="4"/>
  <c r="W1205" i="4"/>
  <c r="W385" i="4"/>
  <c r="W513" i="4"/>
  <c r="W950" i="4"/>
  <c r="W1222" i="4"/>
  <c r="W1590" i="4"/>
  <c r="W404" i="4"/>
  <c r="W1103" i="4"/>
  <c r="W1400" i="4"/>
  <c r="W119" i="4"/>
  <c r="W1433" i="4"/>
  <c r="W1450" i="4"/>
  <c r="W1171" i="4"/>
  <c r="W1256" i="4"/>
  <c r="W1384" i="4"/>
  <c r="W1555" i="4"/>
  <c r="W1640" i="4"/>
  <c r="W1572" i="4"/>
  <c r="W1001" i="4"/>
  <c r="W1657" i="4"/>
  <c r="W1018" i="4"/>
  <c r="W100" i="4"/>
  <c r="W581" i="4"/>
  <c r="W1052" i="4"/>
  <c r="W1307" i="4"/>
  <c r="W598" i="4"/>
  <c r="W296" i="4"/>
  <c r="W1273" i="4"/>
  <c r="W457" i="4"/>
  <c r="W778" i="4"/>
  <c r="W1290" i="4"/>
  <c r="W848" i="4"/>
  <c r="W348" i="4"/>
  <c r="W1363" i="4"/>
  <c r="W1035" i="4"/>
  <c r="W1120" i="4"/>
  <c r="W1504" i="4"/>
  <c r="W1632" i="4"/>
  <c r="W1627" i="4"/>
  <c r="W422" i="4"/>
  <c r="W1417" i="4"/>
  <c r="W984" i="4"/>
  <c r="W1324" i="4"/>
  <c r="W739" i="4"/>
  <c r="W916" i="4"/>
  <c r="W796" i="4"/>
  <c r="W1188" i="4"/>
  <c r="W653" i="4"/>
  <c r="W1467" i="4"/>
  <c r="W756" i="4"/>
  <c r="W1239" i="4"/>
  <c r="W899" i="4"/>
  <c r="W636" i="4"/>
  <c r="W330" i="4"/>
  <c r="W618" i="4"/>
  <c r="W347" i="4"/>
  <c r="W635" i="4"/>
  <c r="W813" i="4"/>
  <c r="W1085" i="4"/>
  <c r="W1485" i="4"/>
  <c r="W1693" i="4"/>
  <c r="W529" i="4"/>
  <c r="W830" i="4"/>
  <c r="W1102" i="4"/>
  <c r="W1342" i="4"/>
  <c r="W1119" i="4"/>
  <c r="W1503" i="4"/>
  <c r="W1631" i="4"/>
  <c r="W30" i="4"/>
  <c r="W158" i="4"/>
  <c r="W686" i="4"/>
  <c r="W47" i="4"/>
  <c r="W175" i="4"/>
  <c r="W367" i="4"/>
  <c r="W495" i="4"/>
  <c r="W703" i="4"/>
  <c r="W312" i="4"/>
  <c r="W721" i="4"/>
  <c r="W881" i="4"/>
  <c r="W1153" i="4"/>
  <c r="W1537" i="4"/>
  <c r="W473" i="4"/>
  <c r="W738" i="4"/>
  <c r="W898" i="4"/>
  <c r="W1170" i="4"/>
  <c r="W1362" i="4"/>
  <c r="W1554" i="4"/>
  <c r="W580" i="4"/>
  <c r="W1255" i="4"/>
  <c r="W1383" i="4"/>
  <c r="W1639" i="4"/>
  <c r="W421" i="4"/>
  <c r="W1432" i="4"/>
  <c r="W82" i="4"/>
  <c r="W210" i="4"/>
  <c r="W274" i="4"/>
  <c r="W546" i="4"/>
  <c r="W99" i="4"/>
  <c r="W403" i="4"/>
  <c r="W563" i="4"/>
  <c r="W384" i="4"/>
  <c r="W512" i="4"/>
  <c r="W949" i="4"/>
  <c r="W1221" i="4"/>
  <c r="W1589" i="4"/>
  <c r="W65" i="4"/>
  <c r="W193" i="4"/>
  <c r="W257" i="4"/>
  <c r="W966" i="4"/>
  <c r="W1238" i="4"/>
  <c r="W1606" i="4"/>
  <c r="W847" i="4"/>
  <c r="W1187" i="4"/>
  <c r="W1272" i="4"/>
  <c r="W1571" i="4"/>
  <c r="W1656" i="4"/>
  <c r="W118" i="4"/>
  <c r="W439" i="4"/>
  <c r="W1399" i="4"/>
  <c r="W652" i="4"/>
  <c r="W1676" i="4"/>
  <c r="W755" i="4"/>
  <c r="W915" i="4"/>
  <c r="W1000" i="4"/>
  <c r="W1449" i="4"/>
  <c r="W1466" i="4"/>
  <c r="W1626" i="4"/>
  <c r="W1323" i="4"/>
  <c r="W1136" i="4"/>
  <c r="W932" i="4"/>
  <c r="W13" i="4"/>
  <c r="W1017" i="4"/>
  <c r="W1034" i="4"/>
  <c r="W597" i="4"/>
  <c r="W864" i="4"/>
  <c r="W1204" i="4"/>
  <c r="W1520" i="4"/>
  <c r="W295" i="4"/>
  <c r="W228" i="4"/>
  <c r="W983" i="4"/>
  <c r="W1068" i="4"/>
  <c r="W669" i="4"/>
  <c r="W777" i="4"/>
  <c r="W1289" i="4"/>
  <c r="W1306" i="4"/>
  <c r="W795" i="4"/>
  <c r="W1051" i="4"/>
  <c r="W456" i="4"/>
  <c r="W1416" i="4"/>
  <c r="W314" i="4"/>
  <c r="W458" i="4"/>
  <c r="W475" i="4"/>
  <c r="W688" i="4"/>
  <c r="W797" i="4"/>
  <c r="W1053" i="4"/>
  <c r="W1325" i="4"/>
  <c r="W49" i="4"/>
  <c r="W177" i="4"/>
  <c r="W369" i="4"/>
  <c r="W497" i="4"/>
  <c r="W1070" i="4"/>
  <c r="W1678" i="4"/>
  <c r="W1087" i="4"/>
  <c r="W1695" i="4"/>
  <c r="W654" i="4"/>
  <c r="W15" i="4"/>
  <c r="W671" i="4"/>
  <c r="W120" i="4"/>
  <c r="W849" i="4"/>
  <c r="W1121" i="4"/>
  <c r="W1505" i="4"/>
  <c r="W1633" i="4"/>
  <c r="W441" i="4"/>
  <c r="W866" i="4"/>
  <c r="W1138" i="4"/>
  <c r="W1522" i="4"/>
  <c r="W1223" i="4"/>
  <c r="W101" i="4"/>
  <c r="W386" i="4"/>
  <c r="W514" i="4"/>
  <c r="W67" i="4"/>
  <c r="W195" i="4"/>
  <c r="W259" i="4"/>
  <c r="W531" i="4"/>
  <c r="W32" i="4"/>
  <c r="W160" i="4"/>
  <c r="W757" i="4"/>
  <c r="W917" i="4"/>
  <c r="W1189" i="4"/>
  <c r="W1573" i="4"/>
  <c r="W705" i="4"/>
  <c r="W934" i="4"/>
  <c r="W1206" i="4"/>
  <c r="W84" i="4"/>
  <c r="W212" i="4"/>
  <c r="W276" i="4"/>
  <c r="W815" i="4"/>
  <c r="W1487" i="4"/>
  <c r="W245" i="4"/>
  <c r="W565" i="4"/>
  <c r="W832" i="4"/>
  <c r="W332" i="4"/>
  <c r="W779" i="4"/>
  <c r="W985" i="4"/>
  <c r="W1641" i="4"/>
  <c r="W1002" i="4"/>
  <c r="W548" i="4"/>
  <c r="W405" i="4"/>
  <c r="W1468" i="4"/>
  <c r="W582" i="4"/>
  <c r="W1257" i="4"/>
  <c r="W1385" i="4"/>
  <c r="W297" i="4"/>
  <c r="W1274" i="4"/>
  <c r="W1658" i="4"/>
  <c r="W1539" i="4"/>
  <c r="W883" i="4"/>
  <c r="W968" i="4"/>
  <c r="W1308" i="4"/>
  <c r="W1608" i="4"/>
  <c r="W349" i="4"/>
  <c r="W1364" i="4"/>
  <c r="W1451" i="4"/>
  <c r="W900" i="4"/>
  <c r="W1104" i="4"/>
  <c r="W599" i="4"/>
  <c r="W1401" i="4"/>
  <c r="W1418" i="4"/>
  <c r="W951" i="4"/>
  <c r="W1036" i="4"/>
  <c r="W723" i="4"/>
  <c r="W637" i="4"/>
  <c r="W740" i="4"/>
  <c r="W1291" i="4"/>
  <c r="W1434" i="4"/>
  <c r="W1628" i="4"/>
  <c r="W1019" i="4"/>
  <c r="W1172" i="4"/>
  <c r="W1344" i="4"/>
  <c r="W230" i="4"/>
  <c r="W620" i="4"/>
  <c r="W1556" i="4"/>
  <c r="W1155" i="4"/>
  <c r="W423" i="4"/>
  <c r="W1591" i="4"/>
  <c r="W1240" i="4"/>
  <c r="W90" i="4"/>
  <c r="W218" i="4"/>
  <c r="W282" i="4"/>
  <c r="W554" i="4"/>
  <c r="W107" i="4"/>
  <c r="W251" i="4"/>
  <c r="W411" i="4"/>
  <c r="W571" i="4"/>
  <c r="W464" i="4"/>
  <c r="W957" i="4"/>
  <c r="W1229" i="4"/>
  <c r="W1597" i="4"/>
  <c r="W974" i="4"/>
  <c r="W1246" i="4"/>
  <c r="W1614" i="4"/>
  <c r="W991" i="4"/>
  <c r="W1407" i="4"/>
  <c r="W126" i="4"/>
  <c r="W142" i="4"/>
  <c r="W303" i="4"/>
  <c r="W447" i="4"/>
  <c r="W152" i="4"/>
  <c r="W785" i="4"/>
  <c r="W1025" i="4"/>
  <c r="W1297" i="4"/>
  <c r="W1457" i="4"/>
  <c r="W537" i="4"/>
  <c r="W1042" i="4"/>
  <c r="W1314" i="4"/>
  <c r="W1474" i="4"/>
  <c r="W1127" i="4"/>
  <c r="W1511" i="4"/>
  <c r="W677" i="4"/>
  <c r="W763" i="4"/>
  <c r="W338" i="4"/>
  <c r="W626" i="4"/>
  <c r="W355" i="4"/>
  <c r="W643" i="4"/>
  <c r="W320" i="4"/>
  <c r="W821" i="4"/>
  <c r="W1093" i="4"/>
  <c r="W1493" i="4"/>
  <c r="W1701" i="4"/>
  <c r="W481" i="4"/>
  <c r="W838" i="4"/>
  <c r="W1110" i="4"/>
  <c r="W1350" i="4"/>
  <c r="W660" i="4"/>
  <c r="W1263" i="4"/>
  <c r="W1391" i="4"/>
  <c r="W1647" i="4"/>
  <c r="W588" i="4"/>
  <c r="W1059" i="4"/>
  <c r="W1144" i="4"/>
  <c r="W1528" i="4"/>
  <c r="W694" i="4"/>
  <c r="W55" i="4"/>
  <c r="W183" i="4"/>
  <c r="W375" i="4"/>
  <c r="W503" i="4"/>
  <c r="W729" i="4"/>
  <c r="W265" i="4"/>
  <c r="W746" i="4"/>
  <c r="W21" i="4"/>
  <c r="W872" i="4"/>
  <c r="W1212" i="4"/>
  <c r="W1440" i="4"/>
  <c r="W923" i="4"/>
  <c r="W711" i="4"/>
  <c r="W392" i="4"/>
  <c r="W520" i="4"/>
  <c r="W236" i="4"/>
  <c r="W940" i="4"/>
  <c r="W605" i="4"/>
  <c r="W1195" i="4"/>
  <c r="W1280" i="4"/>
  <c r="W1579" i="4"/>
  <c r="W1664" i="4"/>
  <c r="W889" i="4"/>
  <c r="W73" i="4"/>
  <c r="W201" i="4"/>
  <c r="W906" i="4"/>
  <c r="W1076" i="4"/>
  <c r="W429" i="4"/>
  <c r="W1008" i="4"/>
  <c r="W166" i="4"/>
  <c r="W1161" i="4"/>
  <c r="W1178" i="4"/>
  <c r="W855" i="4"/>
  <c r="W1424" i="4"/>
  <c r="W803" i="4"/>
  <c r="W1331" i="4"/>
  <c r="W38" i="4"/>
  <c r="W1545" i="4"/>
  <c r="W1562" i="4"/>
  <c r="W1684" i="4"/>
  <c r="W1370" i="4"/>
  <c r="W42" i="4"/>
  <c r="W154" i="4"/>
  <c r="W170" i="4"/>
  <c r="W698" i="4"/>
  <c r="W59" i="4"/>
  <c r="W187" i="4"/>
  <c r="W379" i="4"/>
  <c r="W507" i="4"/>
  <c r="W144" i="4"/>
  <c r="W240" i="4"/>
  <c r="W592" i="4"/>
  <c r="W733" i="4"/>
  <c r="W893" i="4"/>
  <c r="W1165" i="4"/>
  <c r="W1549" i="4"/>
  <c r="W433" i="4"/>
  <c r="W750" i="4"/>
  <c r="W910" i="4"/>
  <c r="W1182" i="4"/>
  <c r="W1374" i="4"/>
  <c r="W1566" i="4"/>
  <c r="W767" i="4"/>
  <c r="W927" i="4"/>
  <c r="W94" i="4"/>
  <c r="W222" i="4"/>
  <c r="W286" i="4"/>
  <c r="W558" i="4"/>
  <c r="W111" i="4"/>
  <c r="W415" i="4"/>
  <c r="W575" i="4"/>
  <c r="W664" i="4"/>
  <c r="W961" i="4"/>
  <c r="W1233" i="4"/>
  <c r="W1601" i="4"/>
  <c r="W25" i="4"/>
  <c r="W978" i="4"/>
  <c r="W1250" i="4"/>
  <c r="W1618" i="4"/>
  <c r="W324" i="4"/>
  <c r="W807" i="4"/>
  <c r="W1063" i="4"/>
  <c r="W485" i="4"/>
  <c r="W876" i="4"/>
  <c r="W1688" i="4"/>
  <c r="W130" i="4"/>
  <c r="W307" i="4"/>
  <c r="W451" i="4"/>
  <c r="W789" i="4"/>
  <c r="W1029" i="4"/>
  <c r="W1301" i="4"/>
  <c r="W1461" i="4"/>
  <c r="W609" i="4"/>
  <c r="W1046" i="4"/>
  <c r="W1318" i="4"/>
  <c r="W1478" i="4"/>
  <c r="W468" i="4"/>
  <c r="W1199" i="4"/>
  <c r="W1583" i="4"/>
  <c r="W715" i="4"/>
  <c r="W630" i="4"/>
  <c r="W1497" i="4"/>
  <c r="W1705" i="4"/>
  <c r="W396" i="4"/>
  <c r="W995" i="4"/>
  <c r="W1080" i="4"/>
  <c r="W1012" i="4"/>
  <c r="W859" i="4"/>
  <c r="W77" i="4"/>
  <c r="W647" i="4"/>
  <c r="W681" i="4"/>
  <c r="W1267" i="4"/>
  <c r="W1395" i="4"/>
  <c r="W1651" i="4"/>
  <c r="W205" i="4"/>
  <c r="W1444" i="4"/>
  <c r="W342" i="4"/>
  <c r="W825" i="4"/>
  <c r="W842" i="4"/>
  <c r="W1354" i="4"/>
  <c r="W1335" i="4"/>
  <c r="W524" i="4"/>
  <c r="W1148" i="4"/>
  <c r="W1532" i="4"/>
  <c r="W944" i="4"/>
  <c r="W1284" i="4"/>
  <c r="W252" i="4"/>
  <c r="W541" i="4"/>
  <c r="W1216" i="4"/>
  <c r="W269" i="4"/>
  <c r="W1411" i="4"/>
  <c r="W1428" i="4"/>
  <c r="W1515" i="4"/>
  <c r="W359" i="4"/>
  <c r="W1131" i="4"/>
  <c r="W1668" i="4"/>
  <c r="W1097" i="4"/>
  <c r="W1114" i="4"/>
  <c r="W362" i="4"/>
  <c r="W650" i="4"/>
  <c r="W667" i="4"/>
  <c r="W80" i="4"/>
  <c r="W208" i="4"/>
  <c r="W272" i="4"/>
  <c r="W845" i="4"/>
  <c r="W1117" i="4"/>
  <c r="W1357" i="4"/>
  <c r="W561" i="4"/>
  <c r="W718" i="4"/>
  <c r="W862" i="4"/>
  <c r="W1134" i="4"/>
  <c r="W1518" i="4"/>
  <c r="W436" i="4"/>
  <c r="W1151" i="4"/>
  <c r="W1535" i="4"/>
  <c r="W62" i="4"/>
  <c r="W190" i="4"/>
  <c r="W254" i="4"/>
  <c r="W382" i="4"/>
  <c r="W510" i="4"/>
  <c r="W399" i="4"/>
  <c r="W527" i="4"/>
  <c r="W753" i="4"/>
  <c r="W913" i="4"/>
  <c r="W1185" i="4"/>
  <c r="W1377" i="4"/>
  <c r="W1569" i="4"/>
  <c r="W345" i="4"/>
  <c r="W633" i="4"/>
  <c r="W770" i="4"/>
  <c r="W930" i="4"/>
  <c r="W1202" i="4"/>
  <c r="W1586" i="4"/>
  <c r="W1287" i="4"/>
  <c r="W1447" i="4"/>
  <c r="W1671" i="4"/>
  <c r="W792" i="4"/>
  <c r="W684" i="4"/>
  <c r="W1219" i="4"/>
  <c r="W1304" i="4"/>
  <c r="W114" i="4"/>
  <c r="W146" i="4"/>
  <c r="W418" i="4"/>
  <c r="W578" i="4"/>
  <c r="W243" i="4"/>
  <c r="W595" i="4"/>
  <c r="W544" i="4"/>
  <c r="W981" i="4"/>
  <c r="W1253" i="4"/>
  <c r="W1621" i="4"/>
  <c r="W97" i="4"/>
  <c r="W225" i="4"/>
  <c r="W289" i="4"/>
  <c r="W998" i="4"/>
  <c r="W1270" i="4"/>
  <c r="W1654" i="4"/>
  <c r="W879" i="4"/>
  <c r="W736" i="4"/>
  <c r="W1100" i="4"/>
  <c r="W310" i="4"/>
  <c r="W488" i="4"/>
  <c r="W1049" i="4"/>
  <c r="W810" i="4"/>
  <c r="W1066" i="4"/>
  <c r="W1015" i="4"/>
  <c r="W28" i="4"/>
  <c r="W156" i="4"/>
  <c r="W701" i="4"/>
  <c r="W173" i="4"/>
  <c r="W1604" i="4"/>
  <c r="W454" i="4"/>
  <c r="W327" i="4"/>
  <c r="W1321" i="4"/>
  <c r="W1338" i="4"/>
  <c r="W612" i="4"/>
  <c r="W1708" i="4"/>
  <c r="W896" i="4"/>
  <c r="W1236" i="4"/>
  <c r="W964" i="4"/>
  <c r="W471" i="4"/>
  <c r="W1464" i="4"/>
  <c r="W828" i="4"/>
  <c r="W1691" i="4"/>
  <c r="W1168" i="4"/>
  <c r="W1083" i="4"/>
  <c r="W133" i="4"/>
  <c r="W947" i="4"/>
  <c r="W1481" i="4"/>
  <c r="W1500" i="4"/>
  <c r="W1032" i="4"/>
  <c r="W1552" i="4"/>
  <c r="W45" i="4"/>
  <c r="W106" i="4"/>
  <c r="W250" i="4"/>
  <c r="W410" i="4"/>
  <c r="W570" i="4"/>
  <c r="W235" i="4"/>
  <c r="W587" i="4"/>
  <c r="W973" i="4"/>
  <c r="W1245" i="4"/>
  <c r="W1613" i="4"/>
  <c r="W337" i="4"/>
  <c r="W625" i="4"/>
  <c r="W990" i="4"/>
  <c r="W1262" i="4"/>
  <c r="W1390" i="4"/>
  <c r="W1406" i="4"/>
  <c r="W1646" i="4"/>
  <c r="W1279" i="4"/>
  <c r="W1439" i="4"/>
  <c r="W1663" i="4"/>
  <c r="W302" i="4"/>
  <c r="W446" i="4"/>
  <c r="W319" i="4"/>
  <c r="W463" i="4"/>
  <c r="W536" i="4"/>
  <c r="W1041" i="4"/>
  <c r="W1313" i="4"/>
  <c r="W1473" i="4"/>
  <c r="W89" i="4"/>
  <c r="W217" i="4"/>
  <c r="W281" i="4"/>
  <c r="W802" i="4"/>
  <c r="W1058" i="4"/>
  <c r="W1330" i="4"/>
  <c r="W871" i="4"/>
  <c r="W37" i="4"/>
  <c r="W165" i="4"/>
  <c r="W728" i="4"/>
  <c r="W428" i="4"/>
  <c r="W354" i="4"/>
  <c r="W642" i="4"/>
  <c r="W659" i="4"/>
  <c r="W480" i="4"/>
  <c r="W837" i="4"/>
  <c r="W1109" i="4"/>
  <c r="W1349" i="4"/>
  <c r="W854" i="4"/>
  <c r="W1126" i="4"/>
  <c r="W1510" i="4"/>
  <c r="W20" i="4"/>
  <c r="W1007" i="4"/>
  <c r="W1423" i="4"/>
  <c r="W693" i="4"/>
  <c r="W888" i="4"/>
  <c r="W1228" i="4"/>
  <c r="W54" i="4"/>
  <c r="W182" i="4"/>
  <c r="W374" i="4"/>
  <c r="W502" i="4"/>
  <c r="W1177" i="4"/>
  <c r="W1369" i="4"/>
  <c r="W1194" i="4"/>
  <c r="W1143" i="4"/>
  <c r="W956" i="4"/>
  <c r="W1596" i="4"/>
  <c r="W1683" i="4"/>
  <c r="W1092" i="4"/>
  <c r="W710" i="4"/>
  <c r="W391" i="4"/>
  <c r="W519" i="4"/>
  <c r="W264" i="4"/>
  <c r="W745" i="4"/>
  <c r="W1561" i="4"/>
  <c r="W553" i="4"/>
  <c r="W762" i="4"/>
  <c r="W1578" i="4"/>
  <c r="W1527" i="4"/>
  <c r="W939" i="4"/>
  <c r="W1024" i="4"/>
  <c r="W1492" i="4"/>
  <c r="W1211" i="4"/>
  <c r="W151" i="4"/>
  <c r="W676" i="4"/>
  <c r="W784" i="4"/>
  <c r="W604" i="4"/>
  <c r="W125" i="4"/>
  <c r="W1456" i="4"/>
  <c r="W72" i="4"/>
  <c r="W905" i="4"/>
  <c r="W922" i="4"/>
  <c r="W1700" i="4"/>
  <c r="W141" i="4"/>
  <c r="W1296" i="4"/>
  <c r="W200" i="4"/>
  <c r="W1160" i="4"/>
  <c r="W820" i="4"/>
  <c r="W1544" i="4"/>
  <c r="W1075" i="4"/>
  <c r="W394" i="4"/>
  <c r="W522" i="4"/>
  <c r="W75" i="4"/>
  <c r="W203" i="4"/>
  <c r="W267" i="4"/>
  <c r="W539" i="4"/>
  <c r="W765" i="4"/>
  <c r="W925" i="4"/>
  <c r="W1197" i="4"/>
  <c r="W1581" i="4"/>
  <c r="W305" i="4"/>
  <c r="W942" i="4"/>
  <c r="W1214" i="4"/>
  <c r="W628" i="4"/>
  <c r="W959" i="4"/>
  <c r="W1599" i="4"/>
  <c r="W238" i="4"/>
  <c r="W590" i="4"/>
  <c r="W431" i="4"/>
  <c r="W607" i="4"/>
  <c r="W696" i="4"/>
  <c r="W993" i="4"/>
  <c r="W1265" i="4"/>
  <c r="W1393" i="4"/>
  <c r="W1409" i="4"/>
  <c r="W1649" i="4"/>
  <c r="W57" i="4"/>
  <c r="W185" i="4"/>
  <c r="W377" i="4"/>
  <c r="W505" i="4"/>
  <c r="W1010" i="4"/>
  <c r="W1282" i="4"/>
  <c r="W1426" i="4"/>
  <c r="W1442" i="4"/>
  <c r="W1666" i="4"/>
  <c r="W1095" i="4"/>
  <c r="W1703" i="4"/>
  <c r="W357" i="4"/>
  <c r="W556" i="4"/>
  <c r="W322" i="4"/>
  <c r="W466" i="4"/>
  <c r="W483" i="4"/>
  <c r="W128" i="4"/>
  <c r="W805" i="4"/>
  <c r="W1061" i="4"/>
  <c r="W1333" i="4"/>
  <c r="W449" i="4"/>
  <c r="W1078" i="4"/>
  <c r="W1686" i="4"/>
  <c r="W340" i="4"/>
  <c r="W1231" i="4"/>
  <c r="W857" i="4"/>
  <c r="W874" i="4"/>
  <c r="W908" i="4"/>
  <c r="W284" i="4"/>
  <c r="W1299" i="4"/>
  <c r="W573" i="4"/>
  <c r="W891" i="4"/>
  <c r="W1129" i="4"/>
  <c r="W1513" i="4"/>
  <c r="W1146" i="4"/>
  <c r="W1530" i="4"/>
  <c r="W840" i="4"/>
  <c r="W731" i="4"/>
  <c r="W1027" i="4"/>
  <c r="W1112" i="4"/>
  <c r="W1180" i="4"/>
  <c r="W1352" i="4"/>
  <c r="W1564" i="4"/>
  <c r="W109" i="4"/>
  <c r="W1476" i="4"/>
  <c r="W1616" i="4"/>
  <c r="W662" i="4"/>
  <c r="W23" i="4"/>
  <c r="W40" i="4"/>
  <c r="W168" i="4"/>
  <c r="W713" i="4"/>
  <c r="W823" i="4"/>
  <c r="W92" i="4"/>
  <c r="W220" i="4"/>
  <c r="W787" i="4"/>
  <c r="W1163" i="4"/>
  <c r="W1248" i="4"/>
  <c r="W1547" i="4"/>
  <c r="W976" i="4"/>
  <c r="W1316" i="4"/>
  <c r="W645" i="4"/>
  <c r="W1459" i="4"/>
  <c r="W1044" i="4"/>
  <c r="W413" i="4"/>
  <c r="W1495" i="4"/>
  <c r="W748" i="4"/>
  <c r="W1372" i="4"/>
  <c r="W679" i="4"/>
  <c r="W234" i="4"/>
  <c r="W586" i="4"/>
  <c r="W427" i="4"/>
  <c r="W603" i="4"/>
  <c r="W336" i="4"/>
  <c r="W624" i="4"/>
  <c r="W989" i="4"/>
  <c r="W1261" i="4"/>
  <c r="W1389" i="4"/>
  <c r="W1405" i="4"/>
  <c r="W1645" i="4"/>
  <c r="W1006" i="4"/>
  <c r="W1278" i="4"/>
  <c r="W1422" i="4"/>
  <c r="W1438" i="4"/>
  <c r="W1662" i="4"/>
  <c r="W692" i="4"/>
  <c r="W1023" i="4"/>
  <c r="W318" i="4"/>
  <c r="W462" i="4"/>
  <c r="W479" i="4"/>
  <c r="W88" i="4"/>
  <c r="W216" i="4"/>
  <c r="W280" i="4"/>
  <c r="W801" i="4"/>
  <c r="W1057" i="4"/>
  <c r="W1329" i="4"/>
  <c r="W249" i="4"/>
  <c r="W409" i="4"/>
  <c r="W569" i="4"/>
  <c r="W1074" i="4"/>
  <c r="W1682" i="4"/>
  <c r="W1159" i="4"/>
  <c r="W1543" i="4"/>
  <c r="W1091" i="4"/>
  <c r="W1176" i="4"/>
  <c r="W1560" i="4"/>
  <c r="W658" i="4"/>
  <c r="W19" i="4"/>
  <c r="W675" i="4"/>
  <c r="W853" i="4"/>
  <c r="W1125" i="4"/>
  <c r="W1509" i="4"/>
  <c r="W353" i="4"/>
  <c r="W641" i="4"/>
  <c r="W870" i="4"/>
  <c r="W1142" i="4"/>
  <c r="W1526" i="4"/>
  <c r="W783" i="4"/>
  <c r="W1295" i="4"/>
  <c r="W1455" i="4"/>
  <c r="W53" i="4"/>
  <c r="W181" i="4"/>
  <c r="W373" i="4"/>
  <c r="W501" i="4"/>
  <c r="W972" i="4"/>
  <c r="W1612" i="4"/>
  <c r="W1699" i="4"/>
  <c r="W921" i="4"/>
  <c r="W938" i="4"/>
  <c r="W36" i="4"/>
  <c r="W887" i="4"/>
  <c r="W140" i="4"/>
  <c r="W819" i="4"/>
  <c r="W445" i="4"/>
  <c r="W836" i="4"/>
  <c r="W1227" i="4"/>
  <c r="W1312" i="4"/>
  <c r="W390" i="4"/>
  <c r="W518" i="4"/>
  <c r="W71" i="4"/>
  <c r="W199" i="4"/>
  <c r="W263" i="4"/>
  <c r="W1193" i="4"/>
  <c r="W1210" i="4"/>
  <c r="W709" i="4"/>
  <c r="W1368" i="4"/>
  <c r="W1108" i="4"/>
  <c r="W301" i="4"/>
  <c r="W1595" i="4"/>
  <c r="W150" i="4"/>
  <c r="W535" i="4"/>
  <c r="W552" i="4"/>
  <c r="W761" i="4"/>
  <c r="W1577" i="4"/>
  <c r="W164" i="4"/>
  <c r="W1491" i="4"/>
  <c r="W1348" i="4"/>
  <c r="W105" i="4"/>
  <c r="W744" i="4"/>
  <c r="W1040" i="4"/>
  <c r="W1472" i="4"/>
  <c r="W955" i="4"/>
  <c r="W727" i="4"/>
  <c r="W124" i="4"/>
  <c r="W904" i="4"/>
  <c r="W1244" i="4"/>
  <c r="B39" i="4"/>
  <c r="V39" i="4" s="1"/>
  <c r="J14" i="6"/>
  <c r="K13" i="6"/>
  <c r="Z493" i="4" s="1"/>
  <c r="C12" i="6"/>
  <c r="B13" i="6"/>
  <c r="N13" i="6"/>
  <c r="O12" i="6"/>
  <c r="AA116" i="4" s="1"/>
  <c r="G13" i="6"/>
  <c r="F14" i="6"/>
  <c r="U897" i="4"/>
  <c r="U898" i="4" s="1"/>
  <c r="U899" i="4" s="1"/>
  <c r="U900" i="4" s="1"/>
  <c r="U901" i="4" s="1"/>
  <c r="U902" i="4" s="1"/>
  <c r="U903" i="4" s="1"/>
  <c r="U904" i="4" s="1"/>
  <c r="U905" i="4" s="1"/>
  <c r="U906" i="4" s="1"/>
  <c r="U907" i="4" s="1"/>
  <c r="U908" i="4" s="1"/>
  <c r="U909" i="4" s="1"/>
  <c r="U910" i="4" s="1"/>
  <c r="U911" i="4" s="1"/>
  <c r="U912" i="4" s="1"/>
  <c r="U913" i="4" s="1"/>
  <c r="U914" i="4" s="1"/>
  <c r="U915" i="4" s="1"/>
  <c r="U916" i="4" s="1"/>
  <c r="U917" i="4" s="1"/>
  <c r="U918" i="4" s="1"/>
  <c r="U919" i="4" s="1"/>
  <c r="U920" i="4" s="1"/>
  <c r="U921" i="4" s="1"/>
  <c r="U922" i="4" s="1"/>
  <c r="U923" i="4" s="1"/>
  <c r="U924" i="4" s="1"/>
  <c r="U925" i="4" s="1"/>
  <c r="U926" i="4" s="1"/>
  <c r="U927" i="4" s="1"/>
  <c r="U928" i="4" s="1"/>
  <c r="U929" i="4" s="1"/>
  <c r="U930" i="4" s="1"/>
  <c r="U931" i="4" s="1"/>
  <c r="U932" i="4" s="1"/>
  <c r="U933" i="4" s="1"/>
  <c r="U934" i="4" s="1"/>
  <c r="U935" i="4" s="1"/>
  <c r="U936" i="4" s="1"/>
  <c r="U937" i="4" s="1"/>
  <c r="U938" i="4" s="1"/>
  <c r="U939" i="4" s="1"/>
  <c r="U940" i="4" s="1"/>
  <c r="U941" i="4" s="1"/>
  <c r="U942" i="4" s="1"/>
  <c r="U943" i="4" s="1"/>
  <c r="U944" i="4" s="1"/>
  <c r="U945" i="4" s="1"/>
  <c r="U946" i="4" s="1"/>
  <c r="U947" i="4" s="1"/>
  <c r="L478" i="4"/>
  <c r="O477" i="4"/>
  <c r="K463" i="4"/>
  <c r="J498" i="4"/>
  <c r="Z498" i="4" s="1"/>
  <c r="J57" i="4"/>
  <c r="Z57" i="4" s="1"/>
  <c r="K126" i="4"/>
  <c r="J123" i="4"/>
  <c r="Z123" i="4" s="1"/>
  <c r="K58" i="4"/>
  <c r="AA58" i="4" s="1"/>
  <c r="Y329" i="4" l="1"/>
  <c r="Y333" i="4"/>
  <c r="Y337" i="4"/>
  <c r="Y341" i="4"/>
  <c r="Y345" i="4"/>
  <c r="Y330" i="4"/>
  <c r="Y334" i="4"/>
  <c r="Y338" i="4"/>
  <c r="Y342" i="4"/>
  <c r="Y331" i="4"/>
  <c r="Y335" i="4"/>
  <c r="Y339" i="4"/>
  <c r="Y343" i="4"/>
  <c r="Y1323" i="4"/>
  <c r="Y1327" i="4"/>
  <c r="Y1331" i="4"/>
  <c r="Y1335" i="4"/>
  <c r="Y1339" i="4"/>
  <c r="Y1343" i="4"/>
  <c r="Y1347" i="4"/>
  <c r="Y1351" i="4"/>
  <c r="Y1355" i="4"/>
  <c r="Y344" i="4"/>
  <c r="Y1324" i="4"/>
  <c r="Y1329" i="4"/>
  <c r="Y1334" i="4"/>
  <c r="Y1340" i="4"/>
  <c r="Y1345" i="4"/>
  <c r="Y1350" i="4"/>
  <c r="Y1356" i="4"/>
  <c r="Y332" i="4"/>
  <c r="Y1325" i="4"/>
  <c r="Y1330" i="4"/>
  <c r="Y1336" i="4"/>
  <c r="Y1341" i="4"/>
  <c r="Y1346" i="4"/>
  <c r="Y1352" i="4"/>
  <c r="Y1357" i="4"/>
  <c r="Y336" i="4"/>
  <c r="Y1326" i="4"/>
  <c r="Y1332" i="4"/>
  <c r="Y1337" i="4"/>
  <c r="Y1342" i="4"/>
  <c r="Y1348" i="4"/>
  <c r="Y1353" i="4"/>
  <c r="Y1358" i="4"/>
  <c r="Y340" i="4"/>
  <c r="Y1333" i="4"/>
  <c r="Y1354" i="4"/>
  <c r="Y1338" i="4"/>
  <c r="Y1322" i="4"/>
  <c r="Y1344" i="4"/>
  <c r="Y1328" i="4"/>
  <c r="Y1349" i="4"/>
  <c r="X795" i="4"/>
  <c r="X799" i="4"/>
  <c r="X803" i="4"/>
  <c r="X807" i="4"/>
  <c r="X1087" i="4"/>
  <c r="X1091" i="4"/>
  <c r="X1095" i="4"/>
  <c r="X1099" i="4"/>
  <c r="X1103" i="4"/>
  <c r="X1107" i="4"/>
  <c r="X1111" i="4"/>
  <c r="X1115" i="4"/>
  <c r="X796" i="4"/>
  <c r="X800" i="4"/>
  <c r="X804" i="4"/>
  <c r="X808" i="4"/>
  <c r="X1084" i="4"/>
  <c r="X1088" i="4"/>
  <c r="X1092" i="4"/>
  <c r="X1096" i="4"/>
  <c r="X1100" i="4"/>
  <c r="X1104" i="4"/>
  <c r="X1108" i="4"/>
  <c r="X1112" i="4"/>
  <c r="X365" i="4"/>
  <c r="X797" i="4"/>
  <c r="X801" i="4"/>
  <c r="X805" i="4"/>
  <c r="X809" i="4"/>
  <c r="X1085" i="4"/>
  <c r="X1089" i="4"/>
  <c r="X1093" i="4"/>
  <c r="X1097" i="4"/>
  <c r="X1101" i="4"/>
  <c r="X1105" i="4"/>
  <c r="X1109" i="4"/>
  <c r="X1113" i="4"/>
  <c r="X1117" i="4"/>
  <c r="X802" i="4"/>
  <c r="X1090" i="4"/>
  <c r="X1106" i="4"/>
  <c r="X806" i="4"/>
  <c r="X1094" i="4"/>
  <c r="X1110" i="4"/>
  <c r="X794" i="4"/>
  <c r="X810" i="4"/>
  <c r="X1098" i="4"/>
  <c r="X1114" i="4"/>
  <c r="X798" i="4"/>
  <c r="X1086" i="4"/>
  <c r="X1102" i="4"/>
  <c r="X1116" i="4"/>
  <c r="B40" i="4"/>
  <c r="V40" i="4" s="1"/>
  <c r="B14" i="6"/>
  <c r="C13" i="6"/>
  <c r="K14" i="6"/>
  <c r="Z616" i="4" s="1"/>
  <c r="J15" i="6"/>
  <c r="F15" i="6"/>
  <c r="G14" i="6"/>
  <c r="N14" i="6"/>
  <c r="O13" i="6"/>
  <c r="AA126" i="4" s="1"/>
  <c r="U948" i="4"/>
  <c r="U949" i="4" s="1"/>
  <c r="U950" i="4" s="1"/>
  <c r="U951" i="4" s="1"/>
  <c r="U952" i="4" s="1"/>
  <c r="U953" i="4" s="1"/>
  <c r="U954" i="4" s="1"/>
  <c r="U955" i="4" s="1"/>
  <c r="U956" i="4" s="1"/>
  <c r="U957" i="4" s="1"/>
  <c r="U958" i="4" s="1"/>
  <c r="U959" i="4" s="1"/>
  <c r="U960" i="4" s="1"/>
  <c r="U961" i="4" s="1"/>
  <c r="U962" i="4" s="1"/>
  <c r="U963" i="4" s="1"/>
  <c r="U964" i="4" s="1"/>
  <c r="U965" i="4" s="1"/>
  <c r="U966" i="4" s="1"/>
  <c r="U967" i="4" s="1"/>
  <c r="U968" i="4" s="1"/>
  <c r="U969" i="4" s="1"/>
  <c r="U970" i="4" s="1"/>
  <c r="U971" i="4" s="1"/>
  <c r="U972" i="4" s="1"/>
  <c r="U973" i="4" s="1"/>
  <c r="U974" i="4" s="1"/>
  <c r="U975" i="4" s="1"/>
  <c r="U976" i="4" s="1"/>
  <c r="U977" i="4" s="1"/>
  <c r="U978" i="4" s="1"/>
  <c r="U979" i="4" s="1"/>
  <c r="U980" i="4" s="1"/>
  <c r="U981" i="4" s="1"/>
  <c r="U982" i="4" s="1"/>
  <c r="U983" i="4" s="1"/>
  <c r="U984" i="4" s="1"/>
  <c r="U985" i="4" s="1"/>
  <c r="U986" i="4" s="1"/>
  <c r="U987" i="4" s="1"/>
  <c r="U988" i="4" s="1"/>
  <c r="U989" i="4" s="1"/>
  <c r="U990" i="4" s="1"/>
  <c r="U991" i="4" s="1"/>
  <c r="U992" i="4" s="1"/>
  <c r="U993" i="4" s="1"/>
  <c r="U994" i="4" s="1"/>
  <c r="U995" i="4" s="1"/>
  <c r="U996" i="4" s="1"/>
  <c r="U997" i="4" s="1"/>
  <c r="U998" i="4" s="1"/>
  <c r="U999" i="4" s="1"/>
  <c r="U1000" i="4" s="1"/>
  <c r="U1001" i="4" s="1"/>
  <c r="U1002" i="4" s="1"/>
  <c r="U1003" i="4" s="1"/>
  <c r="U1004" i="4" s="1"/>
  <c r="U1005" i="4" s="1"/>
  <c r="U1006" i="4" s="1"/>
  <c r="U1007" i="4" s="1"/>
  <c r="U1008" i="4" s="1"/>
  <c r="U1009" i="4" s="1"/>
  <c r="U1010" i="4" s="1"/>
  <c r="U1011" i="4" s="1"/>
  <c r="U1012" i="4" s="1"/>
  <c r="U1013" i="4" s="1"/>
  <c r="U1014" i="4" s="1"/>
  <c r="U1015" i="4" s="1"/>
  <c r="L479" i="4"/>
  <c r="O478" i="4"/>
  <c r="K464" i="4"/>
  <c r="J499" i="4"/>
  <c r="Z499" i="4" s="1"/>
  <c r="J58" i="4"/>
  <c r="Z58" i="4" s="1"/>
  <c r="J124" i="4"/>
  <c r="Z124" i="4" s="1"/>
  <c r="K127" i="4"/>
  <c r="AA127" i="4" s="1"/>
  <c r="K59" i="4"/>
  <c r="AA59" i="4" s="1"/>
  <c r="Y405" i="4" l="1"/>
  <c r="Y409" i="4"/>
  <c r="Y413" i="4"/>
  <c r="Y417" i="4"/>
  <c r="Y402" i="4"/>
  <c r="Y406" i="4"/>
  <c r="Y410" i="4"/>
  <c r="Y414" i="4"/>
  <c r="Y418" i="4"/>
  <c r="Y403" i="4"/>
  <c r="Y407" i="4"/>
  <c r="Y411" i="4"/>
  <c r="Y415" i="4"/>
  <c r="Y408" i="4"/>
  <c r="Y412" i="4"/>
  <c r="Y416" i="4"/>
  <c r="Y404" i="4"/>
  <c r="X367" i="4"/>
  <c r="X371" i="4"/>
  <c r="X375" i="4"/>
  <c r="X379" i="4"/>
  <c r="X951" i="4"/>
  <c r="X955" i="4"/>
  <c r="X959" i="4"/>
  <c r="X963" i="4"/>
  <c r="X967" i="4"/>
  <c r="X971" i="4"/>
  <c r="X975" i="4"/>
  <c r="X979" i="4"/>
  <c r="X983" i="4"/>
  <c r="X987" i="4"/>
  <c r="X991" i="4"/>
  <c r="X995" i="4"/>
  <c r="X1119" i="4"/>
  <c r="X1123" i="4"/>
  <c r="X1127" i="4"/>
  <c r="X1131" i="4"/>
  <c r="X368" i="4"/>
  <c r="X372" i="4"/>
  <c r="X376" i="4"/>
  <c r="X380" i="4"/>
  <c r="X948" i="4"/>
  <c r="X952" i="4"/>
  <c r="X956" i="4"/>
  <c r="X960" i="4"/>
  <c r="X964" i="4"/>
  <c r="X968" i="4"/>
  <c r="X972" i="4"/>
  <c r="X976" i="4"/>
  <c r="X980" i="4"/>
  <c r="X984" i="4"/>
  <c r="X988" i="4"/>
  <c r="X992" i="4"/>
  <c r="X996" i="4"/>
  <c r="X369" i="4"/>
  <c r="X373" i="4"/>
  <c r="X377" i="4"/>
  <c r="X381" i="4"/>
  <c r="X949" i="4"/>
  <c r="X953" i="4"/>
  <c r="X957" i="4"/>
  <c r="X961" i="4"/>
  <c r="X965" i="4"/>
  <c r="X969" i="4"/>
  <c r="X973" i="4"/>
  <c r="X977" i="4"/>
  <c r="X981" i="4"/>
  <c r="X985" i="4"/>
  <c r="X989" i="4"/>
  <c r="X993" i="4"/>
  <c r="X997" i="4"/>
  <c r="X1121" i="4"/>
  <c r="X1125" i="4"/>
  <c r="X1129" i="4"/>
  <c r="X1133" i="4"/>
  <c r="X370" i="4"/>
  <c r="X962" i="4"/>
  <c r="X978" i="4"/>
  <c r="X994" i="4"/>
  <c r="X1118" i="4"/>
  <c r="X1126" i="4"/>
  <c r="X1134" i="4"/>
  <c r="X374" i="4"/>
  <c r="X950" i="4"/>
  <c r="X966" i="4"/>
  <c r="X982" i="4"/>
  <c r="X998" i="4"/>
  <c r="X1120" i="4"/>
  <c r="X1128" i="4"/>
  <c r="X378" i="4"/>
  <c r="X954" i="4"/>
  <c r="X970" i="4"/>
  <c r="X986" i="4"/>
  <c r="X1122" i="4"/>
  <c r="X1130" i="4"/>
  <c r="X366" i="4"/>
  <c r="X382" i="4"/>
  <c r="X958" i="4"/>
  <c r="X974" i="4"/>
  <c r="X990" i="4"/>
  <c r="X1124" i="4"/>
  <c r="X1132" i="4"/>
  <c r="AA117" i="4"/>
  <c r="AA118" i="4"/>
  <c r="AA119" i="4"/>
  <c r="AA120" i="4"/>
  <c r="AA121" i="4"/>
  <c r="AA122" i="4"/>
  <c r="AA123" i="4"/>
  <c r="AA124" i="4"/>
  <c r="AA125" i="4"/>
  <c r="B41" i="4"/>
  <c r="V41" i="4" s="1"/>
  <c r="O14" i="6"/>
  <c r="AA134" i="4" s="1"/>
  <c r="N15" i="6"/>
  <c r="J16" i="6"/>
  <c r="K15" i="6"/>
  <c r="G15" i="6"/>
  <c r="F16" i="6"/>
  <c r="C14" i="6"/>
  <c r="B15" i="6"/>
  <c r="U1016" i="4"/>
  <c r="U1017" i="4" s="1"/>
  <c r="U1018" i="4" s="1"/>
  <c r="U1019" i="4" s="1"/>
  <c r="U1020" i="4" s="1"/>
  <c r="U1021" i="4" s="1"/>
  <c r="U1022" i="4" s="1"/>
  <c r="U1023" i="4" s="1"/>
  <c r="U1024" i="4" s="1"/>
  <c r="U1025" i="4" s="1"/>
  <c r="U1026" i="4" s="1"/>
  <c r="U1027" i="4" s="1"/>
  <c r="U1028" i="4" s="1"/>
  <c r="U1029" i="4" s="1"/>
  <c r="U1030" i="4" s="1"/>
  <c r="U1031" i="4" s="1"/>
  <c r="U1032" i="4" s="1"/>
  <c r="U1033" i="4" s="1"/>
  <c r="U1034" i="4" s="1"/>
  <c r="U1035" i="4" s="1"/>
  <c r="U1036" i="4" s="1"/>
  <c r="U1037" i="4" s="1"/>
  <c r="U1038" i="4" s="1"/>
  <c r="U1039" i="4" s="1"/>
  <c r="U1040" i="4" s="1"/>
  <c r="U1041" i="4" s="1"/>
  <c r="U1042" i="4" s="1"/>
  <c r="U1043" i="4" s="1"/>
  <c r="U1044" i="4" s="1"/>
  <c r="U1045" i="4" s="1"/>
  <c r="U1046" i="4" s="1"/>
  <c r="U1047" i="4" s="1"/>
  <c r="U1048" i="4" s="1"/>
  <c r="U1049" i="4" s="1"/>
  <c r="U1050" i="4" s="1"/>
  <c r="U1051" i="4" s="1"/>
  <c r="U1052" i="4" s="1"/>
  <c r="U1053" i="4" s="1"/>
  <c r="U1054" i="4" s="1"/>
  <c r="U1055" i="4" s="1"/>
  <c r="U1056" i="4" s="1"/>
  <c r="U1057" i="4" s="1"/>
  <c r="U1058" i="4" s="1"/>
  <c r="U1059" i="4" s="1"/>
  <c r="U1060" i="4" s="1"/>
  <c r="U1061" i="4" s="1"/>
  <c r="U1062" i="4" s="1"/>
  <c r="U1063" i="4" s="1"/>
  <c r="U1064" i="4" s="1"/>
  <c r="U1065" i="4" s="1"/>
  <c r="U1066" i="4" s="1"/>
  <c r="U1067" i="4" s="1"/>
  <c r="U1068" i="4" s="1"/>
  <c r="U1069" i="4" s="1"/>
  <c r="U1070" i="4" s="1"/>
  <c r="U1071" i="4" s="1"/>
  <c r="U1072" i="4" s="1"/>
  <c r="U1073" i="4" s="1"/>
  <c r="U1074" i="4" s="1"/>
  <c r="U1075" i="4" s="1"/>
  <c r="U1076" i="4" s="1"/>
  <c r="U1077" i="4" s="1"/>
  <c r="U1078" i="4" s="1"/>
  <c r="U1079" i="4" s="1"/>
  <c r="U1080" i="4" s="1"/>
  <c r="U1081" i="4" s="1"/>
  <c r="U1082" i="4" s="1"/>
  <c r="U1083" i="4" s="1"/>
  <c r="L480" i="4"/>
  <c r="O479" i="4"/>
  <c r="K465" i="4"/>
  <c r="J500" i="4"/>
  <c r="Z500" i="4" s="1"/>
  <c r="J59" i="4"/>
  <c r="Z59" i="4" s="1"/>
  <c r="K128" i="4"/>
  <c r="AA128" i="4" s="1"/>
  <c r="J125" i="4"/>
  <c r="Z125" i="4" s="1"/>
  <c r="K60" i="4"/>
  <c r="AA60" i="4" s="1"/>
  <c r="Y441" i="4" l="1"/>
  <c r="Y445" i="4"/>
  <c r="Y449" i="4"/>
  <c r="Y453" i="4"/>
  <c r="Y457" i="4"/>
  <c r="Y461" i="4"/>
  <c r="Y465" i="4"/>
  <c r="Y469" i="4"/>
  <c r="Y438" i="4"/>
  <c r="Y442" i="4"/>
  <c r="Y446" i="4"/>
  <c r="Y450" i="4"/>
  <c r="Y454" i="4"/>
  <c r="Y458" i="4"/>
  <c r="Y462" i="4"/>
  <c r="Y466" i="4"/>
  <c r="Y470" i="4"/>
  <c r="Y439" i="4"/>
  <c r="Y443" i="4"/>
  <c r="Y447" i="4"/>
  <c r="Y451" i="4"/>
  <c r="Y455" i="4"/>
  <c r="Y459" i="4"/>
  <c r="Y463" i="4"/>
  <c r="Y467" i="4"/>
  <c r="Y471" i="4"/>
  <c r="Y440" i="4"/>
  <c r="Y456" i="4"/>
  <c r="Y444" i="4"/>
  <c r="Y460" i="4"/>
  <c r="Y448" i="4"/>
  <c r="Y464" i="4"/>
  <c r="Y468" i="4"/>
  <c r="Y452" i="4"/>
  <c r="X383" i="4"/>
  <c r="X387" i="4"/>
  <c r="X391" i="4"/>
  <c r="X395" i="4"/>
  <c r="X399" i="4"/>
  <c r="X384" i="4"/>
  <c r="X388" i="4"/>
  <c r="X392" i="4"/>
  <c r="X396" i="4"/>
  <c r="X400" i="4"/>
  <c r="X385" i="4"/>
  <c r="X389" i="4"/>
  <c r="X393" i="4"/>
  <c r="X397" i="4"/>
  <c r="X401" i="4"/>
  <c r="X386" i="4"/>
  <c r="X390" i="4"/>
  <c r="X394" i="4"/>
  <c r="X398" i="4"/>
  <c r="Z1171" i="4"/>
  <c r="Z1175" i="4"/>
  <c r="Z1179" i="4"/>
  <c r="Z1183" i="4"/>
  <c r="Z1173" i="4"/>
  <c r="Z1177" i="4"/>
  <c r="Z1181" i="4"/>
  <c r="Z1185" i="4"/>
  <c r="Z1176" i="4"/>
  <c r="Z1184" i="4"/>
  <c r="Z771" i="4"/>
  <c r="Z1170" i="4"/>
  <c r="Z1178" i="4"/>
  <c r="Z1172" i="4"/>
  <c r="Z1180" i="4"/>
  <c r="Z1182" i="4"/>
  <c r="Z1968" i="4"/>
  <c r="Z1972" i="4"/>
  <c r="Z1976" i="4"/>
  <c r="Z1980" i="4"/>
  <c r="Z1965" i="4"/>
  <c r="Z1969" i="4"/>
  <c r="Z1973" i="4"/>
  <c r="Z1977" i="4"/>
  <c r="Z1966" i="4"/>
  <c r="Z1970" i="4"/>
  <c r="Z1974" i="4"/>
  <c r="Z1978" i="4"/>
  <c r="Z1979" i="4"/>
  <c r="Z1967" i="4"/>
  <c r="Z1174" i="4"/>
  <c r="Z1971" i="4"/>
  <c r="Z1975" i="4"/>
  <c r="B42" i="4"/>
  <c r="V42" i="4" s="1"/>
  <c r="K16" i="6"/>
  <c r="J17" i="6"/>
  <c r="F17" i="6"/>
  <c r="G16" i="6"/>
  <c r="N16" i="6"/>
  <c r="O15" i="6"/>
  <c r="AA136" i="4" s="1"/>
  <c r="C15" i="6"/>
  <c r="B16" i="6"/>
  <c r="U1084" i="4"/>
  <c r="U1085" i="4" s="1"/>
  <c r="U1086" i="4" s="1"/>
  <c r="U1087" i="4" s="1"/>
  <c r="U1088" i="4" s="1"/>
  <c r="U1089" i="4" s="1"/>
  <c r="U1090" i="4" s="1"/>
  <c r="U1091" i="4" s="1"/>
  <c r="U1092" i="4" s="1"/>
  <c r="U1093" i="4" s="1"/>
  <c r="U1094" i="4" s="1"/>
  <c r="U1095" i="4" s="1"/>
  <c r="U1096" i="4" s="1"/>
  <c r="U1097" i="4" s="1"/>
  <c r="U1098" i="4" s="1"/>
  <c r="U1099" i="4" s="1"/>
  <c r="U1100" i="4" s="1"/>
  <c r="U1101" i="4" s="1"/>
  <c r="U1102" i="4" s="1"/>
  <c r="U1103" i="4" s="1"/>
  <c r="U1104" i="4" s="1"/>
  <c r="U1105" i="4" s="1"/>
  <c r="U1106" i="4" s="1"/>
  <c r="U1107" i="4" s="1"/>
  <c r="U1108" i="4" s="1"/>
  <c r="U1109" i="4" s="1"/>
  <c r="U1110" i="4" s="1"/>
  <c r="U1111" i="4" s="1"/>
  <c r="U1112" i="4" s="1"/>
  <c r="U1113" i="4" s="1"/>
  <c r="U1114" i="4" s="1"/>
  <c r="U1115" i="4" s="1"/>
  <c r="U1116" i="4" s="1"/>
  <c r="U1117" i="4" s="1"/>
  <c r="L481" i="4"/>
  <c r="O480" i="4"/>
  <c r="K466" i="4"/>
  <c r="J501" i="4"/>
  <c r="Z501" i="4" s="1"/>
  <c r="J60" i="4"/>
  <c r="Z60" i="4" s="1"/>
  <c r="J126" i="4"/>
  <c r="Z126" i="4" s="1"/>
  <c r="K129" i="4"/>
  <c r="AA129" i="4" s="1"/>
  <c r="K61" i="4"/>
  <c r="AA61" i="4" s="1"/>
  <c r="Y615" i="4" l="1"/>
  <c r="Y1755" i="4"/>
  <c r="Y1759" i="4"/>
  <c r="Y1763" i="4"/>
  <c r="Y1767" i="4"/>
  <c r="Y1752" i="4"/>
  <c r="Y1756" i="4"/>
  <c r="Y1760" i="4"/>
  <c r="Y1764" i="4"/>
  <c r="Y1768" i="4"/>
  <c r="Y1753" i="4"/>
  <c r="Y1757" i="4"/>
  <c r="Y1761" i="4"/>
  <c r="Y1765" i="4"/>
  <c r="Y1762" i="4"/>
  <c r="Y1766" i="4"/>
  <c r="Y1754" i="4"/>
  <c r="Y1758" i="4"/>
  <c r="X403" i="4"/>
  <c r="X407" i="4"/>
  <c r="X411" i="4"/>
  <c r="X415" i="4"/>
  <c r="X404" i="4"/>
  <c r="X408" i="4"/>
  <c r="X412" i="4"/>
  <c r="X416" i="4"/>
  <c r="X405" i="4"/>
  <c r="X409" i="4"/>
  <c r="X413" i="4"/>
  <c r="X417" i="4"/>
  <c r="X402" i="4"/>
  <c r="X418" i="4"/>
  <c r="X406" i="4"/>
  <c r="X410" i="4"/>
  <c r="X414" i="4"/>
  <c r="Z795" i="4"/>
  <c r="Z2000" i="4"/>
  <c r="Z2004" i="4"/>
  <c r="Z2008" i="4"/>
  <c r="Z2012" i="4"/>
  <c r="Z2001" i="4"/>
  <c r="Z2005" i="4"/>
  <c r="Z2009" i="4"/>
  <c r="Z2013" i="4"/>
  <c r="Z2002" i="4"/>
  <c r="Z2006" i="4"/>
  <c r="Z2010" i="4"/>
  <c r="Z2014" i="4"/>
  <c r="Z2011" i="4"/>
  <c r="Z1999" i="4"/>
  <c r="Z2003" i="4"/>
  <c r="Z2007" i="4"/>
  <c r="B43" i="4"/>
  <c r="V43" i="4" s="1"/>
  <c r="K17" i="6"/>
  <c r="J18" i="6"/>
  <c r="C16" i="6"/>
  <c r="B17" i="6"/>
  <c r="N17" i="6"/>
  <c r="O16" i="6"/>
  <c r="AA137" i="4" s="1"/>
  <c r="G17" i="6"/>
  <c r="F18" i="6"/>
  <c r="U1118" i="4"/>
  <c r="U1119" i="4" s="1"/>
  <c r="U1120" i="4" s="1"/>
  <c r="U1121" i="4" s="1"/>
  <c r="U1122" i="4" s="1"/>
  <c r="U1123" i="4" s="1"/>
  <c r="U1124" i="4" s="1"/>
  <c r="U1125" i="4" s="1"/>
  <c r="U1126" i="4" s="1"/>
  <c r="U1127" i="4" s="1"/>
  <c r="U1128" i="4" s="1"/>
  <c r="U1129" i="4" s="1"/>
  <c r="U1130" i="4" s="1"/>
  <c r="U1131" i="4" s="1"/>
  <c r="U1132" i="4" s="1"/>
  <c r="U1133" i="4" s="1"/>
  <c r="U1134" i="4" s="1"/>
  <c r="U1135" i="4" s="1"/>
  <c r="U1136" i="4" s="1"/>
  <c r="U1137" i="4" s="1"/>
  <c r="U1138" i="4" s="1"/>
  <c r="U1139" i="4" s="1"/>
  <c r="U1140" i="4" s="1"/>
  <c r="U1141" i="4" s="1"/>
  <c r="U1142" i="4" s="1"/>
  <c r="U1143" i="4" s="1"/>
  <c r="U1144" i="4" s="1"/>
  <c r="U1145" i="4" s="1"/>
  <c r="U1146" i="4" s="1"/>
  <c r="U1147" i="4" s="1"/>
  <c r="U1148" i="4" s="1"/>
  <c r="U1149" i="4" s="1"/>
  <c r="U1150" i="4" s="1"/>
  <c r="U1151" i="4" s="1"/>
  <c r="L482" i="4"/>
  <c r="O481" i="4"/>
  <c r="K467" i="4"/>
  <c r="J502" i="4"/>
  <c r="Z502" i="4" s="1"/>
  <c r="J61" i="4"/>
  <c r="Z61" i="4" s="1"/>
  <c r="O116" i="4"/>
  <c r="K130" i="4"/>
  <c r="AA130" i="4" s="1"/>
  <c r="J127" i="4"/>
  <c r="Z127" i="4" s="1"/>
  <c r="K62" i="4"/>
  <c r="AA62" i="4" s="1"/>
  <c r="Y489" i="4" l="1"/>
  <c r="Y773" i="4"/>
  <c r="Y490" i="4"/>
  <c r="Y774" i="4"/>
  <c r="Y491" i="4"/>
  <c r="Y775" i="4"/>
  <c r="Y811" i="4"/>
  <c r="Y492" i="4"/>
  <c r="Y772" i="4"/>
  <c r="Z1169" i="4"/>
  <c r="Z1964" i="4"/>
  <c r="X423" i="4"/>
  <c r="X427" i="4"/>
  <c r="X431" i="4"/>
  <c r="X435" i="4"/>
  <c r="X420" i="4"/>
  <c r="X424" i="4"/>
  <c r="X428" i="4"/>
  <c r="X432" i="4"/>
  <c r="X436" i="4"/>
  <c r="X421" i="4"/>
  <c r="X425" i="4"/>
  <c r="X429" i="4"/>
  <c r="X433" i="4"/>
  <c r="X434" i="4"/>
  <c r="X422" i="4"/>
  <c r="X426" i="4"/>
  <c r="X430" i="4"/>
  <c r="J19" i="6"/>
  <c r="K18" i="6"/>
  <c r="B44" i="4"/>
  <c r="V44" i="4" s="1"/>
  <c r="B18" i="6"/>
  <c r="C17" i="6"/>
  <c r="X437" i="4" s="1"/>
  <c r="F19" i="6"/>
  <c r="G18" i="6"/>
  <c r="N18" i="6"/>
  <c r="O17" i="6"/>
  <c r="L483" i="4"/>
  <c r="O482" i="4"/>
  <c r="K468" i="4"/>
  <c r="J503" i="4"/>
  <c r="Z503" i="4" s="1"/>
  <c r="J62" i="4"/>
  <c r="Z62" i="4" s="1"/>
  <c r="L118" i="4"/>
  <c r="J128" i="4"/>
  <c r="Z128" i="4" s="1"/>
  <c r="K131" i="4"/>
  <c r="AA131" i="4" s="1"/>
  <c r="Y1623" i="4" l="1"/>
  <c r="Y1624" i="4"/>
  <c r="Y1622" i="4"/>
  <c r="Z1271" i="4"/>
  <c r="Z1288" i="4"/>
  <c r="AA138" i="4"/>
  <c r="AA139" i="4"/>
  <c r="AA140" i="4"/>
  <c r="AA141" i="4"/>
  <c r="AA142" i="4"/>
  <c r="AA143" i="4"/>
  <c r="AA144" i="4"/>
  <c r="AA145" i="4"/>
  <c r="AA146" i="4"/>
  <c r="J20" i="6"/>
  <c r="K19" i="6"/>
  <c r="B45" i="4"/>
  <c r="V45" i="4" s="1"/>
  <c r="C18" i="6"/>
  <c r="B19" i="6"/>
  <c r="G19" i="6"/>
  <c r="F20" i="6"/>
  <c r="O18" i="6"/>
  <c r="N19" i="6"/>
  <c r="L484" i="4"/>
  <c r="O483" i="4"/>
  <c r="K469" i="4"/>
  <c r="J504" i="4"/>
  <c r="Z504" i="4" s="1"/>
  <c r="L119" i="4"/>
  <c r="O118" i="4"/>
  <c r="K132" i="4"/>
  <c r="AA132" i="4" s="1"/>
  <c r="J129" i="4"/>
  <c r="Z129" i="4" s="1"/>
  <c r="AA147" i="4" l="1"/>
  <c r="AA148" i="4"/>
  <c r="AA149" i="4"/>
  <c r="AA150" i="4"/>
  <c r="AA151" i="4"/>
  <c r="AA152" i="4"/>
  <c r="AA153" i="4"/>
  <c r="AA154" i="4"/>
  <c r="AA155" i="4"/>
  <c r="AA156" i="4"/>
  <c r="X439" i="4"/>
  <c r="X443" i="4"/>
  <c r="X447" i="4"/>
  <c r="X451" i="4"/>
  <c r="X440" i="4"/>
  <c r="X444" i="4"/>
  <c r="X448" i="4"/>
  <c r="X452" i="4"/>
  <c r="X441" i="4"/>
  <c r="X445" i="4"/>
  <c r="X449" i="4"/>
  <c r="X453" i="4"/>
  <c r="X450" i="4"/>
  <c r="X438" i="4"/>
  <c r="X454" i="4"/>
  <c r="X442" i="4"/>
  <c r="X446" i="4"/>
  <c r="Y134" i="4"/>
  <c r="Y616" i="4"/>
  <c r="Y135" i="4"/>
  <c r="Z1290" i="4"/>
  <c r="Z1294" i="4"/>
  <c r="Z1298" i="4"/>
  <c r="Z1302" i="4"/>
  <c r="Z1291" i="4"/>
  <c r="Z1295" i="4"/>
  <c r="Z1299" i="4"/>
  <c r="Z1303" i="4"/>
  <c r="Z1292" i="4"/>
  <c r="Z1296" i="4"/>
  <c r="Z1300" i="4"/>
  <c r="Z1304" i="4"/>
  <c r="Z1301" i="4"/>
  <c r="Z1289" i="4"/>
  <c r="Z1501" i="4"/>
  <c r="Z1293" i="4"/>
  <c r="Z1297" i="4"/>
  <c r="J21" i="6"/>
  <c r="K20" i="6"/>
  <c r="O19" i="6"/>
  <c r="N20" i="6"/>
  <c r="B46" i="4"/>
  <c r="V46" i="4" s="1"/>
  <c r="F21" i="6"/>
  <c r="G20" i="6"/>
  <c r="B20" i="6"/>
  <c r="C19" i="6"/>
  <c r="L485" i="4"/>
  <c r="O484" i="4"/>
  <c r="K470" i="4"/>
  <c r="J505" i="4"/>
  <c r="Z505" i="4" s="1"/>
  <c r="L120" i="4"/>
  <c r="O119" i="4"/>
  <c r="J130" i="4"/>
  <c r="Z130" i="4" s="1"/>
  <c r="K133" i="4"/>
  <c r="AA133" i="4" s="1"/>
  <c r="Y136" i="4" l="1"/>
  <c r="Y813" i="4"/>
  <c r="Y817" i="4"/>
  <c r="Y821" i="4"/>
  <c r="Y825" i="4"/>
  <c r="Y829" i="4"/>
  <c r="Y833" i="4"/>
  <c r="Y837" i="4"/>
  <c r="Y841" i="4"/>
  <c r="Y845" i="4"/>
  <c r="Y849" i="4"/>
  <c r="Y853" i="4"/>
  <c r="Y857" i="4"/>
  <c r="Y861" i="4"/>
  <c r="Y865" i="4"/>
  <c r="Y869" i="4"/>
  <c r="Y873" i="4"/>
  <c r="Y877" i="4"/>
  <c r="Y814" i="4"/>
  <c r="Y818" i="4"/>
  <c r="Y822" i="4"/>
  <c r="Y826" i="4"/>
  <c r="Y830" i="4"/>
  <c r="Y834" i="4"/>
  <c r="Y838" i="4"/>
  <c r="Y842" i="4"/>
  <c r="Y846" i="4"/>
  <c r="Y850" i="4"/>
  <c r="Y854" i="4"/>
  <c r="Y858" i="4"/>
  <c r="Y862" i="4"/>
  <c r="Y866" i="4"/>
  <c r="Y870" i="4"/>
  <c r="Y874" i="4"/>
  <c r="Y878" i="4"/>
  <c r="Y815" i="4"/>
  <c r="Y819" i="4"/>
  <c r="Y823" i="4"/>
  <c r="Y827" i="4"/>
  <c r="Y831" i="4"/>
  <c r="Y835" i="4"/>
  <c r="Y839" i="4"/>
  <c r="Y843" i="4"/>
  <c r="Y847" i="4"/>
  <c r="Y851" i="4"/>
  <c r="Y855" i="4"/>
  <c r="Y859" i="4"/>
  <c r="Y863" i="4"/>
  <c r="Y867" i="4"/>
  <c r="Y871" i="4"/>
  <c r="Y875" i="4"/>
  <c r="Y879" i="4"/>
  <c r="Y824" i="4"/>
  <c r="Y840" i="4"/>
  <c r="Y856" i="4"/>
  <c r="Y872" i="4"/>
  <c r="Y812" i="4"/>
  <c r="Y828" i="4"/>
  <c r="Y844" i="4"/>
  <c r="Y860" i="4"/>
  <c r="Y876" i="4"/>
  <c r="Y816" i="4"/>
  <c r="Y832" i="4"/>
  <c r="Y848" i="4"/>
  <c r="Y864" i="4"/>
  <c r="Y852" i="4"/>
  <c r="Y868" i="4"/>
  <c r="Y820" i="4"/>
  <c r="Y836" i="4"/>
  <c r="AA1000" i="4"/>
  <c r="AA1034" i="4"/>
  <c r="AA157" i="4"/>
  <c r="AA1050" i="4"/>
  <c r="AA256" i="4"/>
  <c r="AA1051" i="4"/>
  <c r="AA999" i="4"/>
  <c r="AA1033" i="4"/>
  <c r="AA1035" i="4"/>
  <c r="AA1052" i="4"/>
  <c r="AA1001" i="4"/>
  <c r="AA1053" i="4"/>
  <c r="AA1036" i="4"/>
  <c r="AA1002" i="4"/>
  <c r="AA1054" i="4"/>
  <c r="AA1037" i="4"/>
  <c r="AA1003" i="4"/>
  <c r="AA1038" i="4"/>
  <c r="AA1004" i="4"/>
  <c r="AA1055" i="4"/>
  <c r="AA1005" i="4"/>
  <c r="AA1056" i="4"/>
  <c r="AA1039" i="4"/>
  <c r="AA1041" i="4"/>
  <c r="AA1057" i="4"/>
  <c r="AA1006" i="4"/>
  <c r="AA1040" i="4"/>
  <c r="AA1007" i="4"/>
  <c r="AA1058" i="4"/>
  <c r="AA1042" i="4"/>
  <c r="AA1008" i="4"/>
  <c r="AA1059" i="4"/>
  <c r="AA1043" i="4"/>
  <c r="AA1060" i="4"/>
  <c r="AA1010" i="4"/>
  <c r="AA1009" i="4"/>
  <c r="AA1044" i="4"/>
  <c r="AA1046" i="4"/>
  <c r="AA1011" i="4"/>
  <c r="AA1061" i="4"/>
  <c r="AA1045" i="4"/>
  <c r="AA1047" i="4"/>
  <c r="AA1062" i="4"/>
  <c r="AA1012" i="4"/>
  <c r="AA1063" i="4"/>
  <c r="AA1013" i="4"/>
  <c r="AA1048" i="4"/>
  <c r="AA1049" i="4"/>
  <c r="AA1064" i="4"/>
  <c r="AA1014" i="4"/>
  <c r="AA1065" i="4"/>
  <c r="AA1015" i="4"/>
  <c r="AA1066" i="4"/>
  <c r="Z1379" i="4"/>
  <c r="Z1713" i="4"/>
  <c r="X455" i="4"/>
  <c r="X459" i="4"/>
  <c r="X463" i="4"/>
  <c r="X467" i="4"/>
  <c r="X471" i="4"/>
  <c r="X456" i="4"/>
  <c r="X460" i="4"/>
  <c r="X464" i="4"/>
  <c r="X468" i="4"/>
  <c r="X457" i="4"/>
  <c r="X461" i="4"/>
  <c r="X465" i="4"/>
  <c r="X469" i="4"/>
  <c r="X466" i="4"/>
  <c r="X470" i="4"/>
  <c r="X458" i="4"/>
  <c r="X462" i="4"/>
  <c r="O20" i="6"/>
  <c r="AA174" i="4" s="1"/>
  <c r="N21" i="6"/>
  <c r="J22" i="6"/>
  <c r="K21" i="6"/>
  <c r="Z1380" i="4" s="1"/>
  <c r="B47" i="4"/>
  <c r="V47" i="4" s="1"/>
  <c r="C20" i="6"/>
  <c r="B21" i="6"/>
  <c r="G21" i="6"/>
  <c r="F22" i="6"/>
  <c r="L486" i="4"/>
  <c r="O485" i="4"/>
  <c r="K471" i="4"/>
  <c r="J506" i="4"/>
  <c r="Z506" i="4" s="1"/>
  <c r="L121" i="4"/>
  <c r="O120" i="4"/>
  <c r="J131" i="4"/>
  <c r="Z131" i="4" s="1"/>
  <c r="X475" i="4" l="1"/>
  <c r="X479" i="4"/>
  <c r="X483" i="4"/>
  <c r="X487" i="4"/>
  <c r="X1255" i="4"/>
  <c r="X1259" i="4"/>
  <c r="X1263" i="4"/>
  <c r="X1267" i="4"/>
  <c r="X1291" i="4"/>
  <c r="X1295" i="4"/>
  <c r="X1299" i="4"/>
  <c r="X1303" i="4"/>
  <c r="X472" i="4"/>
  <c r="X476" i="4"/>
  <c r="X480" i="4"/>
  <c r="X484" i="4"/>
  <c r="X488" i="4"/>
  <c r="X473" i="4"/>
  <c r="X477" i="4"/>
  <c r="X481" i="4"/>
  <c r="X485" i="4"/>
  <c r="X1257" i="4"/>
  <c r="X1261" i="4"/>
  <c r="X1265" i="4"/>
  <c r="X1269" i="4"/>
  <c r="X1289" i="4"/>
  <c r="X1293" i="4"/>
  <c r="X1297" i="4"/>
  <c r="X482" i="4"/>
  <c r="X1254" i="4"/>
  <c r="X1262" i="4"/>
  <c r="X1270" i="4"/>
  <c r="X1294" i="4"/>
  <c r="X1301" i="4"/>
  <c r="X486" i="4"/>
  <c r="X1256" i="4"/>
  <c r="X1264" i="4"/>
  <c r="X1288" i="4"/>
  <c r="X1296" i="4"/>
  <c r="X1302" i="4"/>
  <c r="X474" i="4"/>
  <c r="X1258" i="4"/>
  <c r="X1266" i="4"/>
  <c r="X1290" i="4"/>
  <c r="X1298" i="4"/>
  <c r="X1304" i="4"/>
  <c r="X478" i="4"/>
  <c r="X1260" i="4"/>
  <c r="X1268" i="4"/>
  <c r="X1292" i="4"/>
  <c r="X1300" i="4"/>
  <c r="Y160" i="4"/>
  <c r="Y164" i="4"/>
  <c r="Y168" i="4"/>
  <c r="Y172" i="4"/>
  <c r="Y158" i="4"/>
  <c r="Y162" i="4"/>
  <c r="Y166" i="4"/>
  <c r="Y170" i="4"/>
  <c r="Y161" i="4"/>
  <c r="Y169" i="4"/>
  <c r="Y257" i="4"/>
  <c r="Y261" i="4"/>
  <c r="Y265" i="4"/>
  <c r="Y269" i="4"/>
  <c r="Y1001" i="4"/>
  <c r="Y1005" i="4"/>
  <c r="Y1009" i="4"/>
  <c r="Y1013" i="4"/>
  <c r="Y1017" i="4"/>
  <c r="Y1021" i="4"/>
  <c r="Y1025" i="4"/>
  <c r="Y1029" i="4"/>
  <c r="Y1033" i="4"/>
  <c r="Y1037" i="4"/>
  <c r="Y1041" i="4"/>
  <c r="Y1045" i="4"/>
  <c r="Y1049" i="4"/>
  <c r="Y1053" i="4"/>
  <c r="Y1057" i="4"/>
  <c r="Y1061" i="4"/>
  <c r="Y1065" i="4"/>
  <c r="Y1069" i="4"/>
  <c r="Y1073" i="4"/>
  <c r="Y1077" i="4"/>
  <c r="Y1081" i="4"/>
  <c r="Y163" i="4"/>
  <c r="Y171" i="4"/>
  <c r="Y258" i="4"/>
  <c r="Y262" i="4"/>
  <c r="Y266" i="4"/>
  <c r="Y270" i="4"/>
  <c r="Y1002" i="4"/>
  <c r="Y1006" i="4"/>
  <c r="Y1010" i="4"/>
  <c r="Y1014" i="4"/>
  <c r="Y1018" i="4"/>
  <c r="Y1022" i="4"/>
  <c r="Y1026" i="4"/>
  <c r="Y1030" i="4"/>
  <c r="Y1034" i="4"/>
  <c r="Y1038" i="4"/>
  <c r="Y1042" i="4"/>
  <c r="Y1046" i="4"/>
  <c r="Y1050" i="4"/>
  <c r="Y1054" i="4"/>
  <c r="Y1058" i="4"/>
  <c r="Y1062" i="4"/>
  <c r="Y1066" i="4"/>
  <c r="Y1070" i="4"/>
  <c r="Y1074" i="4"/>
  <c r="Y1078" i="4"/>
  <c r="Y1082" i="4"/>
  <c r="Y157" i="4"/>
  <c r="Y165" i="4"/>
  <c r="Y173" i="4"/>
  <c r="Y259" i="4"/>
  <c r="Y263" i="4"/>
  <c r="Y267" i="4"/>
  <c r="Y271" i="4"/>
  <c r="Y999" i="4"/>
  <c r="Y1003" i="4"/>
  <c r="Y1007" i="4"/>
  <c r="Y1011" i="4"/>
  <c r="Y1015" i="4"/>
  <c r="Y1019" i="4"/>
  <c r="Y1023" i="4"/>
  <c r="Y1027" i="4"/>
  <c r="Y1031" i="4"/>
  <c r="Y1035" i="4"/>
  <c r="Y1039" i="4"/>
  <c r="Y1043" i="4"/>
  <c r="Y1047" i="4"/>
  <c r="Y1051" i="4"/>
  <c r="Y1055" i="4"/>
  <c r="Y1059" i="4"/>
  <c r="Y1063" i="4"/>
  <c r="Y1067" i="4"/>
  <c r="Y1071" i="4"/>
  <c r="Y1075" i="4"/>
  <c r="Y1079" i="4"/>
  <c r="Y1083" i="4"/>
  <c r="Y159" i="4"/>
  <c r="Y264" i="4"/>
  <c r="Y1000" i="4"/>
  <c r="Y1016" i="4"/>
  <c r="Y1032" i="4"/>
  <c r="Y1048" i="4"/>
  <c r="Y1064" i="4"/>
  <c r="Y1080" i="4"/>
  <c r="Y167" i="4"/>
  <c r="Y268" i="4"/>
  <c r="Y1004" i="4"/>
  <c r="Y1020" i="4"/>
  <c r="Y1036" i="4"/>
  <c r="Y1052" i="4"/>
  <c r="Y1068" i="4"/>
  <c r="Y256" i="4"/>
  <c r="Y272" i="4"/>
  <c r="Y1008" i="4"/>
  <c r="Y1024" i="4"/>
  <c r="Y1040" i="4"/>
  <c r="Y1056" i="4"/>
  <c r="Y1072" i="4"/>
  <c r="Y1044" i="4"/>
  <c r="Y1060" i="4"/>
  <c r="Y1012" i="4"/>
  <c r="Y1076" i="4"/>
  <c r="Y260" i="4"/>
  <c r="Y1028" i="4"/>
  <c r="N22" i="6"/>
  <c r="O21" i="6"/>
  <c r="AA191" i="4" s="1"/>
  <c r="K22" i="6"/>
  <c r="Z614" i="4" s="1"/>
  <c r="J23" i="6"/>
  <c r="B48" i="4"/>
  <c r="V48" i="4" s="1"/>
  <c r="C21" i="6"/>
  <c r="B22" i="6"/>
  <c r="F23" i="6"/>
  <c r="G22" i="6"/>
  <c r="L487" i="4"/>
  <c r="O486" i="4"/>
  <c r="J507" i="4"/>
  <c r="Z507" i="4" s="1"/>
  <c r="L122" i="4"/>
  <c r="O121" i="4"/>
  <c r="J132" i="4"/>
  <c r="Z132" i="4" s="1"/>
  <c r="K135" i="4"/>
  <c r="AA135" i="4" s="1"/>
  <c r="X491" i="4" l="1"/>
  <c r="X492" i="4"/>
  <c r="X489" i="4"/>
  <c r="X490" i="4"/>
  <c r="Y365" i="4"/>
  <c r="Y797" i="4"/>
  <c r="Y801" i="4"/>
  <c r="Y805" i="4"/>
  <c r="Y809" i="4"/>
  <c r="Y1085" i="4"/>
  <c r="Y1089" i="4"/>
  <c r="Y1093" i="4"/>
  <c r="Y1097" i="4"/>
  <c r="Y1101" i="4"/>
  <c r="Y1105" i="4"/>
  <c r="Y1109" i="4"/>
  <c r="Y1113" i="4"/>
  <c r="Y1117" i="4"/>
  <c r="Y794" i="4"/>
  <c r="Y798" i="4"/>
  <c r="Y802" i="4"/>
  <c r="Y806" i="4"/>
  <c r="Y810" i="4"/>
  <c r="Y1086" i="4"/>
  <c r="Y1090" i="4"/>
  <c r="Y1094" i="4"/>
  <c r="Y1098" i="4"/>
  <c r="Y1102" i="4"/>
  <c r="Y1106" i="4"/>
  <c r="Y1110" i="4"/>
  <c r="Y1114" i="4"/>
  <c r="Y795" i="4"/>
  <c r="Y799" i="4"/>
  <c r="Y803" i="4"/>
  <c r="Y807" i="4"/>
  <c r="Y1087" i="4"/>
  <c r="Y1091" i="4"/>
  <c r="Y1095" i="4"/>
  <c r="Y1099" i="4"/>
  <c r="Y1103" i="4"/>
  <c r="Y1107" i="4"/>
  <c r="Y1111" i="4"/>
  <c r="Y1115" i="4"/>
  <c r="Y808" i="4"/>
  <c r="Y1096" i="4"/>
  <c r="Y1112" i="4"/>
  <c r="Y796" i="4"/>
  <c r="Y1084" i="4"/>
  <c r="Y1100" i="4"/>
  <c r="Y1116" i="4"/>
  <c r="Y800" i="4"/>
  <c r="Y1088" i="4"/>
  <c r="Y1104" i="4"/>
  <c r="Y1108" i="4"/>
  <c r="Y804" i="4"/>
  <c r="Y1092" i="4"/>
  <c r="Z794" i="4"/>
  <c r="Z1998" i="4"/>
  <c r="K23" i="6"/>
  <c r="J24" i="6"/>
  <c r="O22" i="6"/>
  <c r="N23" i="6"/>
  <c r="B49" i="4"/>
  <c r="V49" i="4" s="1"/>
  <c r="G23" i="6"/>
  <c r="F24" i="6"/>
  <c r="C22" i="6"/>
  <c r="X493" i="4" s="1"/>
  <c r="B23" i="6"/>
  <c r="L488" i="4"/>
  <c r="O487" i="4"/>
  <c r="J508" i="4"/>
  <c r="Z508" i="4" s="1"/>
  <c r="L123" i="4"/>
  <c r="O122" i="4"/>
  <c r="J133" i="4"/>
  <c r="Z133" i="4" s="1"/>
  <c r="Y369" i="4" l="1"/>
  <c r="Y373" i="4"/>
  <c r="Y377" i="4"/>
  <c r="Y381" i="4"/>
  <c r="Y949" i="4"/>
  <c r="Y953" i="4"/>
  <c r="Y957" i="4"/>
  <c r="Y961" i="4"/>
  <c r="Y965" i="4"/>
  <c r="Y969" i="4"/>
  <c r="Y973" i="4"/>
  <c r="Y977" i="4"/>
  <c r="Y981" i="4"/>
  <c r="Y985" i="4"/>
  <c r="Y989" i="4"/>
  <c r="Y993" i="4"/>
  <c r="Y997" i="4"/>
  <c r="Y1121" i="4"/>
  <c r="Y1125" i="4"/>
  <c r="Y1129" i="4"/>
  <c r="Y1133" i="4"/>
  <c r="Y366" i="4"/>
  <c r="Y370" i="4"/>
  <c r="Y374" i="4"/>
  <c r="Y378" i="4"/>
  <c r="Y382" i="4"/>
  <c r="Y950" i="4"/>
  <c r="Y954" i="4"/>
  <c r="Y958" i="4"/>
  <c r="Y962" i="4"/>
  <c r="Y966" i="4"/>
  <c r="Y970" i="4"/>
  <c r="Y974" i="4"/>
  <c r="Y978" i="4"/>
  <c r="Y982" i="4"/>
  <c r="Y986" i="4"/>
  <c r="Y990" i="4"/>
  <c r="Y994" i="4"/>
  <c r="Y998" i="4"/>
  <c r="Y1118" i="4"/>
  <c r="Y1122" i="4"/>
  <c r="Y1126" i="4"/>
  <c r="Y1130" i="4"/>
  <c r="Y1134" i="4"/>
  <c r="Y367" i="4"/>
  <c r="Y371" i="4"/>
  <c r="Y375" i="4"/>
  <c r="Y379" i="4"/>
  <c r="Y771" i="4"/>
  <c r="Y951" i="4"/>
  <c r="Y955" i="4"/>
  <c r="Y959" i="4"/>
  <c r="Y963" i="4"/>
  <c r="Y967" i="4"/>
  <c r="Y971" i="4"/>
  <c r="Y975" i="4"/>
  <c r="Y979" i="4"/>
  <c r="Y983" i="4"/>
  <c r="Y987" i="4"/>
  <c r="Y991" i="4"/>
  <c r="Y995" i="4"/>
  <c r="Y1119" i="4"/>
  <c r="Y1123" i="4"/>
  <c r="Y1127" i="4"/>
  <c r="Y1131" i="4"/>
  <c r="Y376" i="4"/>
  <c r="Y952" i="4"/>
  <c r="Y968" i="4"/>
  <c r="Y984" i="4"/>
  <c r="Y1128" i="4"/>
  <c r="Y1963" i="4"/>
  <c r="Y1967" i="4"/>
  <c r="Y1971" i="4"/>
  <c r="Y1975" i="4"/>
  <c r="Y1979" i="4"/>
  <c r="Y1983" i="4"/>
  <c r="Y1987" i="4"/>
  <c r="Y1991" i="4"/>
  <c r="Y1995" i="4"/>
  <c r="Y1999" i="4"/>
  <c r="Y2003" i="4"/>
  <c r="Y2007" i="4"/>
  <c r="Y2011" i="4"/>
  <c r="Y2015" i="4"/>
  <c r="Y2019" i="4"/>
  <c r="Y2023" i="4"/>
  <c r="Y2027" i="4"/>
  <c r="Y2031" i="4"/>
  <c r="Y2035" i="4"/>
  <c r="Y2039" i="4"/>
  <c r="Y2043" i="4"/>
  <c r="Y2047" i="4"/>
  <c r="Y380" i="4"/>
  <c r="Y956" i="4"/>
  <c r="Y972" i="4"/>
  <c r="Y988" i="4"/>
  <c r="Y1132" i="4"/>
  <c r="Y1964" i="4"/>
  <c r="Y1968" i="4"/>
  <c r="Y1972" i="4"/>
  <c r="Y1976" i="4"/>
  <c r="Y1980" i="4"/>
  <c r="Y1984" i="4"/>
  <c r="Y1988" i="4"/>
  <c r="Y1992" i="4"/>
  <c r="Y1996" i="4"/>
  <c r="Y2000" i="4"/>
  <c r="Y2004" i="4"/>
  <c r="Y2008" i="4"/>
  <c r="Y2012" i="4"/>
  <c r="Y2016" i="4"/>
  <c r="Y2020" i="4"/>
  <c r="Y2024" i="4"/>
  <c r="Y2028" i="4"/>
  <c r="Y2032" i="4"/>
  <c r="Y2036" i="4"/>
  <c r="Y2040" i="4"/>
  <c r="Y2044" i="4"/>
  <c r="Y2048" i="4"/>
  <c r="Y368" i="4"/>
  <c r="Y960" i="4"/>
  <c r="Y976" i="4"/>
  <c r="Y992" i="4"/>
  <c r="Y1120" i="4"/>
  <c r="Y1965" i="4"/>
  <c r="Y1969" i="4"/>
  <c r="Y1973" i="4"/>
  <c r="Y1977" i="4"/>
  <c r="Y1981" i="4"/>
  <c r="Y1985" i="4"/>
  <c r="Y1989" i="4"/>
  <c r="Y1993" i="4"/>
  <c r="Y1997" i="4"/>
  <c r="Y2001" i="4"/>
  <c r="Y2005" i="4"/>
  <c r="Y2009" i="4"/>
  <c r="Y2013" i="4"/>
  <c r="Y2017" i="4"/>
  <c r="Y2021" i="4"/>
  <c r="Y2025" i="4"/>
  <c r="Y2029" i="4"/>
  <c r="Y2033" i="4"/>
  <c r="Y2037" i="4"/>
  <c r="Y2041" i="4"/>
  <c r="Y2045" i="4"/>
  <c r="Y980" i="4"/>
  <c r="Y1970" i="4"/>
  <c r="Y1986" i="4"/>
  <c r="Y2002" i="4"/>
  <c r="Y2018" i="4"/>
  <c r="Y2034" i="4"/>
  <c r="Y996" i="4"/>
  <c r="Y1124" i="4"/>
  <c r="Y1974" i="4"/>
  <c r="Y1990" i="4"/>
  <c r="Y2006" i="4"/>
  <c r="Y2022" i="4"/>
  <c r="Y2038" i="4"/>
  <c r="Y372" i="4"/>
  <c r="Y948" i="4"/>
  <c r="Y1978" i="4"/>
  <c r="Y1994" i="4"/>
  <c r="Y2010" i="4"/>
  <c r="Y2026" i="4"/>
  <c r="Y2042" i="4"/>
  <c r="Y964" i="4"/>
  <c r="Y1966" i="4"/>
  <c r="Y1982" i="4"/>
  <c r="Y1998" i="4"/>
  <c r="Y2014" i="4"/>
  <c r="Y2030" i="4"/>
  <c r="Y2046" i="4"/>
  <c r="Z1622" i="4"/>
  <c r="Z1626" i="4"/>
  <c r="Z1642" i="4"/>
  <c r="Z1646" i="4"/>
  <c r="Z1650" i="4"/>
  <c r="Z1654" i="4"/>
  <c r="Z1658" i="4"/>
  <c r="Z1662" i="4"/>
  <c r="Z1666" i="4"/>
  <c r="Z1670" i="4"/>
  <c r="Z1674" i="4"/>
  <c r="Z1710" i="4"/>
  <c r="Z1624" i="4"/>
  <c r="Z1628" i="4"/>
  <c r="Z1640" i="4"/>
  <c r="Z1644" i="4"/>
  <c r="Z1648" i="4"/>
  <c r="Z1652" i="4"/>
  <c r="Z1656" i="4"/>
  <c r="Z1660" i="4"/>
  <c r="Z1664" i="4"/>
  <c r="Z1668" i="4"/>
  <c r="Z1716" i="4"/>
  <c r="Z1627" i="4"/>
  <c r="Z1643" i="4"/>
  <c r="Z1651" i="4"/>
  <c r="Z1659" i="4"/>
  <c r="Z1667" i="4"/>
  <c r="Z1719" i="4"/>
  <c r="Z1724" i="4"/>
  <c r="Z1728" i="4"/>
  <c r="Z1732" i="4"/>
  <c r="Z1736" i="4"/>
  <c r="Z1740" i="4"/>
  <c r="Z1744" i="4"/>
  <c r="Z1748" i="4"/>
  <c r="Z1756" i="4"/>
  <c r="Z1760" i="4"/>
  <c r="Z1764" i="4"/>
  <c r="Z1768" i="4"/>
  <c r="Z1772" i="4"/>
  <c r="Z1776" i="4"/>
  <c r="Z1780" i="4"/>
  <c r="Z1784" i="4"/>
  <c r="Z1788" i="4"/>
  <c r="Z1792" i="4"/>
  <c r="Z1796" i="4"/>
  <c r="Z1800" i="4"/>
  <c r="Z1804" i="4"/>
  <c r="Z1808" i="4"/>
  <c r="Z1812" i="4"/>
  <c r="Z1816" i="4"/>
  <c r="Z1820" i="4"/>
  <c r="Z1629" i="4"/>
  <c r="Z1645" i="4"/>
  <c r="Z1653" i="4"/>
  <c r="Z1661" i="4"/>
  <c r="Z1669" i="4"/>
  <c r="Z1709" i="4"/>
  <c r="Z1715" i="4"/>
  <c r="Z1721" i="4"/>
  <c r="Z1725" i="4"/>
  <c r="Z1729" i="4"/>
  <c r="Z1733" i="4"/>
  <c r="Z1741" i="4"/>
  <c r="Z1745" i="4"/>
  <c r="Z1749" i="4"/>
  <c r="Z1753" i="4"/>
  <c r="Z1757" i="4"/>
  <c r="Z1761" i="4"/>
  <c r="Z1765" i="4"/>
  <c r="Z1773" i="4"/>
  <c r="Z1777" i="4"/>
  <c r="Z1781" i="4"/>
  <c r="Z1785" i="4"/>
  <c r="Z1789" i="4"/>
  <c r="Z1793" i="4"/>
  <c r="Z1797" i="4"/>
  <c r="Z1801" i="4"/>
  <c r="Z1805" i="4"/>
  <c r="Z1809" i="4"/>
  <c r="Z1813" i="4"/>
  <c r="Z1817" i="4"/>
  <c r="Z1821" i="4"/>
  <c r="Z1623" i="4"/>
  <c r="Z1639" i="4"/>
  <c r="Z1647" i="4"/>
  <c r="Z1663" i="4"/>
  <c r="Z1671" i="4"/>
  <c r="Z1717" i="4"/>
  <c r="Z1722" i="4"/>
  <c r="Z1726" i="4"/>
  <c r="Z1730" i="4"/>
  <c r="Z1734" i="4"/>
  <c r="Z1738" i="4"/>
  <c r="Z1742" i="4"/>
  <c r="Z1746" i="4"/>
  <c r="Z1750" i="4"/>
  <c r="Z1754" i="4"/>
  <c r="Z1758" i="4"/>
  <c r="Z1762" i="4"/>
  <c r="Z1766" i="4"/>
  <c r="Z1770" i="4"/>
  <c r="Z1778" i="4"/>
  <c r="Z1782" i="4"/>
  <c r="Z1786" i="4"/>
  <c r="Z1794" i="4"/>
  <c r="Z1798" i="4"/>
  <c r="Z1802" i="4"/>
  <c r="Z1806" i="4"/>
  <c r="Z1810" i="4"/>
  <c r="Z1814" i="4"/>
  <c r="Z1818" i="4"/>
  <c r="Z1822" i="4"/>
  <c r="Z1665" i="4"/>
  <c r="Z1723" i="4"/>
  <c r="Z1739" i="4"/>
  <c r="Z1755" i="4"/>
  <c r="Z1771" i="4"/>
  <c r="Z1787" i="4"/>
  <c r="Z1803" i="4"/>
  <c r="Z1819" i="4"/>
  <c r="Z1641" i="4"/>
  <c r="Z1673" i="4"/>
  <c r="Z1727" i="4"/>
  <c r="Z1759" i="4"/>
  <c r="Z1775" i="4"/>
  <c r="Z1791" i="4"/>
  <c r="Z1823" i="4"/>
  <c r="Z1649" i="4"/>
  <c r="Z1731" i="4"/>
  <c r="Z1763" i="4"/>
  <c r="Z1779" i="4"/>
  <c r="Z1795" i="4"/>
  <c r="Z1811" i="4"/>
  <c r="Z1735" i="4"/>
  <c r="Z1799" i="4"/>
  <c r="Z1657" i="4"/>
  <c r="Z1751" i="4"/>
  <c r="Z1815" i="4"/>
  <c r="Z1767" i="4"/>
  <c r="Z1783" i="4"/>
  <c r="Z1718" i="4"/>
  <c r="AA192" i="4"/>
  <c r="AA193" i="4"/>
  <c r="N24" i="6"/>
  <c r="O23" i="6"/>
  <c r="AA209" i="4" s="1"/>
  <c r="K24" i="6"/>
  <c r="J25" i="6"/>
  <c r="K25" i="6" s="1"/>
  <c r="Z1711" i="4" s="1"/>
  <c r="B50" i="4"/>
  <c r="V50" i="4" s="1"/>
  <c r="B24" i="6"/>
  <c r="C23" i="6"/>
  <c r="F25" i="6"/>
  <c r="G24" i="6"/>
  <c r="L495" i="4"/>
  <c r="O488" i="4"/>
  <c r="K474" i="4"/>
  <c r="J509" i="4"/>
  <c r="Z509" i="4" s="1"/>
  <c r="L124" i="4"/>
  <c r="O123" i="4"/>
  <c r="Z1630" i="4" l="1"/>
  <c r="Z1634" i="4"/>
  <c r="Z1638" i="4"/>
  <c r="Z1632" i="4"/>
  <c r="Z1636" i="4"/>
  <c r="Z1672" i="4"/>
  <c r="Z1720" i="4"/>
  <c r="Z1635" i="4"/>
  <c r="Z1714" i="4"/>
  <c r="Z1752" i="4"/>
  <c r="Z1637" i="4"/>
  <c r="Z1737" i="4"/>
  <c r="Z1769" i="4"/>
  <c r="Z1631" i="4"/>
  <c r="Z1655" i="4"/>
  <c r="Z1774" i="4"/>
  <c r="Z1790" i="4"/>
  <c r="Z1633" i="4"/>
  <c r="Z1743" i="4"/>
  <c r="Z1807" i="4"/>
  <c r="Z1747" i="4"/>
  <c r="Z1625" i="4"/>
  <c r="X495" i="4"/>
  <c r="X499" i="4"/>
  <c r="X503" i="4"/>
  <c r="X507" i="4"/>
  <c r="X496" i="4"/>
  <c r="X500" i="4"/>
  <c r="X504" i="4"/>
  <c r="X508" i="4"/>
  <c r="X497" i="4"/>
  <c r="X501" i="4"/>
  <c r="X505" i="4"/>
  <c r="X509" i="4"/>
  <c r="X498" i="4"/>
  <c r="X502" i="4"/>
  <c r="X506" i="4"/>
  <c r="X494" i="4"/>
  <c r="X510" i="4"/>
  <c r="Y719" i="4"/>
  <c r="Y1775" i="4"/>
  <c r="Y1779" i="4"/>
  <c r="Y1783" i="4"/>
  <c r="Y1787" i="4"/>
  <c r="Y1791" i="4"/>
  <c r="Y1795" i="4"/>
  <c r="Y1799" i="4"/>
  <c r="Y1803" i="4"/>
  <c r="Y1807" i="4"/>
  <c r="Y1811" i="4"/>
  <c r="Y1815" i="4"/>
  <c r="Y1819" i="4"/>
  <c r="Y1823" i="4"/>
  <c r="Y1776" i="4"/>
  <c r="Y1780" i="4"/>
  <c r="Y1784" i="4"/>
  <c r="Y1788" i="4"/>
  <c r="Y1792" i="4"/>
  <c r="Y1796" i="4"/>
  <c r="Y1800" i="4"/>
  <c r="Y1804" i="4"/>
  <c r="Y1808" i="4"/>
  <c r="Y1812" i="4"/>
  <c r="Y1816" i="4"/>
  <c r="Y1820" i="4"/>
  <c r="Y1773" i="4"/>
  <c r="Y1777" i="4"/>
  <c r="Y1781" i="4"/>
  <c r="Y1785" i="4"/>
  <c r="Y1789" i="4"/>
  <c r="Y1793" i="4"/>
  <c r="Y1797" i="4"/>
  <c r="Y1801" i="4"/>
  <c r="Y1805" i="4"/>
  <c r="Y1809" i="4"/>
  <c r="Y1813" i="4"/>
  <c r="Y1817" i="4"/>
  <c r="Y1821" i="4"/>
  <c r="Y1778" i="4"/>
  <c r="Y1794" i="4"/>
  <c r="Y1810" i="4"/>
  <c r="Y1782" i="4"/>
  <c r="Y1798" i="4"/>
  <c r="Y1814" i="4"/>
  <c r="Y1786" i="4"/>
  <c r="Y1802" i="4"/>
  <c r="Y1818" i="4"/>
  <c r="Y1774" i="4"/>
  <c r="Y1790" i="4"/>
  <c r="Y1806" i="4"/>
  <c r="Y1822" i="4"/>
  <c r="O24" i="6"/>
  <c r="AA226" i="4" s="1"/>
  <c r="N25" i="6"/>
  <c r="B51" i="4"/>
  <c r="V51" i="4" s="1"/>
  <c r="G25" i="6"/>
  <c r="F26" i="6"/>
  <c r="C24" i="6"/>
  <c r="X616" i="4" s="1"/>
  <c r="B25" i="6"/>
  <c r="L496" i="4"/>
  <c r="O495" i="4"/>
  <c r="K475" i="4"/>
  <c r="J510" i="4"/>
  <c r="Z510" i="4" s="1"/>
  <c r="L125" i="4"/>
  <c r="O124" i="4"/>
  <c r="Y437" i="4" l="1"/>
  <c r="Y1555" i="4"/>
  <c r="Y1559" i="4"/>
  <c r="Y1563" i="4"/>
  <c r="Y1567" i="4"/>
  <c r="Y1571" i="4"/>
  <c r="Y1575" i="4"/>
  <c r="Y1579" i="4"/>
  <c r="Y1583" i="4"/>
  <c r="Y1587" i="4"/>
  <c r="Y1591" i="4"/>
  <c r="Y1595" i="4"/>
  <c r="Y1599" i="4"/>
  <c r="Y1603" i="4"/>
  <c r="Y1607" i="4"/>
  <c r="Y1611" i="4"/>
  <c r="Y1615" i="4"/>
  <c r="Y1619" i="4"/>
  <c r="Y1556" i="4"/>
  <c r="Y1560" i="4"/>
  <c r="Y1564" i="4"/>
  <c r="Y1568" i="4"/>
  <c r="Y1572" i="4"/>
  <c r="Y1576" i="4"/>
  <c r="Y1580" i="4"/>
  <c r="Y1584" i="4"/>
  <c r="Y1588" i="4"/>
  <c r="Y1592" i="4"/>
  <c r="Y1596" i="4"/>
  <c r="Y1600" i="4"/>
  <c r="Y1604" i="4"/>
  <c r="Y1608" i="4"/>
  <c r="Y1612" i="4"/>
  <c r="Y1616" i="4"/>
  <c r="Y1620" i="4"/>
  <c r="Y1553" i="4"/>
  <c r="Y1557" i="4"/>
  <c r="Y1561" i="4"/>
  <c r="Y1565" i="4"/>
  <c r="Y1569" i="4"/>
  <c r="Y1573" i="4"/>
  <c r="Y1577" i="4"/>
  <c r="Y1581" i="4"/>
  <c r="Y1585" i="4"/>
  <c r="Y1589" i="4"/>
  <c r="Y1593" i="4"/>
  <c r="Y1597" i="4"/>
  <c r="Y1601" i="4"/>
  <c r="Y1605" i="4"/>
  <c r="Y1609" i="4"/>
  <c r="Y1613" i="4"/>
  <c r="Y1617" i="4"/>
  <c r="Y1621" i="4"/>
  <c r="Y1554" i="4"/>
  <c r="Y1570" i="4"/>
  <c r="Y1586" i="4"/>
  <c r="Y1602" i="4"/>
  <c r="Y1618" i="4"/>
  <c r="Y1558" i="4"/>
  <c r="Y1574" i="4"/>
  <c r="Y1590" i="4"/>
  <c r="Y1606" i="4"/>
  <c r="Y1562" i="4"/>
  <c r="Y1578" i="4"/>
  <c r="Y1594" i="4"/>
  <c r="Y1610" i="4"/>
  <c r="Y1566" i="4"/>
  <c r="Y1582" i="4"/>
  <c r="Y1598" i="4"/>
  <c r="Y1614" i="4"/>
  <c r="N26" i="6"/>
  <c r="O25" i="6"/>
  <c r="AA227" i="4" s="1"/>
  <c r="B52" i="4"/>
  <c r="V52" i="4" s="1"/>
  <c r="C25" i="6"/>
  <c r="B26" i="6"/>
  <c r="F27" i="6"/>
  <c r="G26" i="6"/>
  <c r="L497" i="4"/>
  <c r="O496" i="4"/>
  <c r="K476" i="4"/>
  <c r="L126" i="4"/>
  <c r="O125" i="4"/>
  <c r="X723" i="4" l="1"/>
  <c r="X727" i="4"/>
  <c r="X731" i="4"/>
  <c r="X735" i="4"/>
  <c r="X779" i="4"/>
  <c r="X783" i="4"/>
  <c r="X787" i="4"/>
  <c r="X791" i="4"/>
  <c r="X720" i="4"/>
  <c r="X724" i="4"/>
  <c r="X728" i="4"/>
  <c r="X732" i="4"/>
  <c r="X736" i="4"/>
  <c r="X776" i="4"/>
  <c r="X780" i="4"/>
  <c r="X784" i="4"/>
  <c r="X788" i="4"/>
  <c r="X792" i="4"/>
  <c r="X721" i="4"/>
  <c r="X725" i="4"/>
  <c r="X729" i="4"/>
  <c r="X733" i="4"/>
  <c r="X777" i="4"/>
  <c r="X781" i="4"/>
  <c r="X785" i="4"/>
  <c r="X789" i="4"/>
  <c r="X722" i="4"/>
  <c r="X786" i="4"/>
  <c r="X726" i="4"/>
  <c r="X790" i="4"/>
  <c r="X730" i="4"/>
  <c r="X778" i="4"/>
  <c r="X734" i="4"/>
  <c r="X782" i="4"/>
  <c r="Y1153" i="4"/>
  <c r="Y1157" i="4"/>
  <c r="Y1161" i="4"/>
  <c r="Y1165" i="4"/>
  <c r="Y1169" i="4"/>
  <c r="Y1173" i="4"/>
  <c r="Y1177" i="4"/>
  <c r="Y1181" i="4"/>
  <c r="Y1185" i="4"/>
  <c r="Y1189" i="4"/>
  <c r="Y1193" i="4"/>
  <c r="Y1197" i="4"/>
  <c r="Y1201" i="4"/>
  <c r="Y1221" i="4"/>
  <c r="Y1225" i="4"/>
  <c r="Y1229" i="4"/>
  <c r="Y1233" i="4"/>
  <c r="Y1154" i="4"/>
  <c r="Y1158" i="4"/>
  <c r="Y1162" i="4"/>
  <c r="Y1166" i="4"/>
  <c r="Y1170" i="4"/>
  <c r="Y1174" i="4"/>
  <c r="Y1178" i="4"/>
  <c r="Y1182" i="4"/>
  <c r="Y1186" i="4"/>
  <c r="Y1190" i="4"/>
  <c r="Y1155" i="4"/>
  <c r="Y1159" i="4"/>
  <c r="Y1163" i="4"/>
  <c r="Y1167" i="4"/>
  <c r="Y1171" i="4"/>
  <c r="Y1175" i="4"/>
  <c r="Y1179" i="4"/>
  <c r="Y1183" i="4"/>
  <c r="Y1187" i="4"/>
  <c r="Y1191" i="4"/>
  <c r="Y1195" i="4"/>
  <c r="Y1199" i="4"/>
  <c r="Y1223" i="4"/>
  <c r="Y1227" i="4"/>
  <c r="Y1231" i="4"/>
  <c r="Y1235" i="4"/>
  <c r="Y1359" i="4"/>
  <c r="Y1363" i="4"/>
  <c r="Y1367" i="4"/>
  <c r="Y1371" i="4"/>
  <c r="Y1375" i="4"/>
  <c r="Y1160" i="4"/>
  <c r="Y1176" i="4"/>
  <c r="Y1192" i="4"/>
  <c r="Y1200" i="4"/>
  <c r="Y1224" i="4"/>
  <c r="Y1232" i="4"/>
  <c r="Y1361" i="4"/>
  <c r="Y1366" i="4"/>
  <c r="Y1372" i="4"/>
  <c r="Y1377" i="4"/>
  <c r="Y1164" i="4"/>
  <c r="Y1180" i="4"/>
  <c r="Y1194" i="4"/>
  <c r="Y1202" i="4"/>
  <c r="Y1226" i="4"/>
  <c r="Y1234" i="4"/>
  <c r="Y1362" i="4"/>
  <c r="Y1368" i="4"/>
  <c r="Y1373" i="4"/>
  <c r="Y1378" i="4"/>
  <c r="Y1152" i="4"/>
  <c r="Y1168" i="4"/>
  <c r="Y1184" i="4"/>
  <c r="Y1196" i="4"/>
  <c r="Y1220" i="4"/>
  <c r="Y1228" i="4"/>
  <c r="Y1236" i="4"/>
  <c r="Y1364" i="4"/>
  <c r="Y1369" i="4"/>
  <c r="Y1374" i="4"/>
  <c r="Y1188" i="4"/>
  <c r="Y1222" i="4"/>
  <c r="Y1376" i="4"/>
  <c r="Y1198" i="4"/>
  <c r="Y1230" i="4"/>
  <c r="Y1360" i="4"/>
  <c r="Y1156" i="4"/>
  <c r="Y1365" i="4"/>
  <c r="Y1172" i="4"/>
  <c r="Y1370" i="4"/>
  <c r="O26" i="6"/>
  <c r="N27" i="6"/>
  <c r="B53" i="4"/>
  <c r="V53" i="4" s="1"/>
  <c r="B27" i="6"/>
  <c r="C26" i="6"/>
  <c r="G27" i="6"/>
  <c r="F28" i="6"/>
  <c r="L498" i="4"/>
  <c r="O497" i="4"/>
  <c r="K477" i="4"/>
  <c r="L127" i="4"/>
  <c r="O126" i="4"/>
  <c r="K158" i="4"/>
  <c r="AA158" i="4" s="1"/>
  <c r="AA244" i="4" l="1"/>
  <c r="AA245" i="4"/>
  <c r="Y1379" i="4"/>
  <c r="Y1383" i="4"/>
  <c r="Y1382" i="4"/>
  <c r="Y1387" i="4"/>
  <c r="Y1391" i="4"/>
  <c r="Y1395" i="4"/>
  <c r="Y1399" i="4"/>
  <c r="Y1403" i="4"/>
  <c r="Y1407" i="4"/>
  <c r="Y1411" i="4"/>
  <c r="Y1415" i="4"/>
  <c r="Y1419" i="4"/>
  <c r="Y1423" i="4"/>
  <c r="Y1427" i="4"/>
  <c r="Y1711" i="4"/>
  <c r="Y1384" i="4"/>
  <c r="Y1388" i="4"/>
  <c r="Y1392" i="4"/>
  <c r="Y1396" i="4"/>
  <c r="Y1400" i="4"/>
  <c r="Y1404" i="4"/>
  <c r="Y1408" i="4"/>
  <c r="Y1412" i="4"/>
  <c r="Y1416" i="4"/>
  <c r="Y1420" i="4"/>
  <c r="Y1424" i="4"/>
  <c r="Y1428" i="4"/>
  <c r="Y1712" i="4"/>
  <c r="Y1380" i="4"/>
  <c r="Y1385" i="4"/>
  <c r="Y1389" i="4"/>
  <c r="Y1393" i="4"/>
  <c r="Y1397" i="4"/>
  <c r="Y1401" i="4"/>
  <c r="Y1405" i="4"/>
  <c r="Y1409" i="4"/>
  <c r="Y1413" i="4"/>
  <c r="Y1417" i="4"/>
  <c r="Y1421" i="4"/>
  <c r="Y1425" i="4"/>
  <c r="Y1429" i="4"/>
  <c r="Y1709" i="4"/>
  <c r="Y1713" i="4"/>
  <c r="Y1394" i="4"/>
  <c r="Y1410" i="4"/>
  <c r="Y1426" i="4"/>
  <c r="Y1381" i="4"/>
  <c r="Y1398" i="4"/>
  <c r="Y1414" i="4"/>
  <c r="Y1430" i="4"/>
  <c r="Y1386" i="4"/>
  <c r="Y1402" i="4"/>
  <c r="Y1418" i="4"/>
  <c r="Y1390" i="4"/>
  <c r="Y1406" i="4"/>
  <c r="Y1422" i="4"/>
  <c r="Y1710" i="4"/>
  <c r="X739" i="4"/>
  <c r="X743" i="4"/>
  <c r="X747" i="4"/>
  <c r="X751" i="4"/>
  <c r="X740" i="4"/>
  <c r="X744" i="4"/>
  <c r="X748" i="4"/>
  <c r="X752" i="4"/>
  <c r="X737" i="4"/>
  <c r="X741" i="4"/>
  <c r="X745" i="4"/>
  <c r="X749" i="4"/>
  <c r="X753" i="4"/>
  <c r="X738" i="4"/>
  <c r="X742" i="4"/>
  <c r="X746" i="4"/>
  <c r="X750" i="4"/>
  <c r="N28" i="6"/>
  <c r="O27" i="6"/>
  <c r="AA255" i="4" s="1"/>
  <c r="B54" i="4"/>
  <c r="V54" i="4" s="1"/>
  <c r="F29" i="6"/>
  <c r="G28" i="6"/>
  <c r="B28" i="6"/>
  <c r="C27" i="6"/>
  <c r="L499" i="4"/>
  <c r="O498" i="4"/>
  <c r="K478" i="4"/>
  <c r="J513" i="4"/>
  <c r="Z513" i="4" s="1"/>
  <c r="L128" i="4"/>
  <c r="O127" i="4"/>
  <c r="K159" i="4"/>
  <c r="AA159" i="4" s="1"/>
  <c r="X755" i="4" l="1"/>
  <c r="X759" i="4"/>
  <c r="X763" i="4"/>
  <c r="X767" i="4"/>
  <c r="X756" i="4"/>
  <c r="X760" i="4"/>
  <c r="X764" i="4"/>
  <c r="X768" i="4"/>
  <c r="X757" i="4"/>
  <c r="X761" i="4"/>
  <c r="X765" i="4"/>
  <c r="X769" i="4"/>
  <c r="X754" i="4"/>
  <c r="X770" i="4"/>
  <c r="X758" i="4"/>
  <c r="X762" i="4"/>
  <c r="X766" i="4"/>
  <c r="Y1135" i="4"/>
  <c r="Y1431" i="4"/>
  <c r="Y1435" i="4"/>
  <c r="Y1439" i="4"/>
  <c r="Y1443" i="4"/>
  <c r="Y1447" i="4"/>
  <c r="Y1451" i="4"/>
  <c r="Y1455" i="4"/>
  <c r="Y1459" i="4"/>
  <c r="Y1463" i="4"/>
  <c r="Y1467" i="4"/>
  <c r="Y1471" i="4"/>
  <c r="Y1475" i="4"/>
  <c r="Y1479" i="4"/>
  <c r="Y1675" i="4"/>
  <c r="Y1679" i="4"/>
  <c r="Y1683" i="4"/>
  <c r="Y1687" i="4"/>
  <c r="Y1691" i="4"/>
  <c r="Y1695" i="4"/>
  <c r="Y1699" i="4"/>
  <c r="Y1703" i="4"/>
  <c r="Y1707" i="4"/>
  <c r="Y1931" i="4"/>
  <c r="Y1935" i="4"/>
  <c r="Y1939" i="4"/>
  <c r="Y1943" i="4"/>
  <c r="Y1947" i="4"/>
  <c r="Y1951" i="4"/>
  <c r="Y1955" i="4"/>
  <c r="Y1959" i="4"/>
  <c r="Y1432" i="4"/>
  <c r="Y1436" i="4"/>
  <c r="Y1440" i="4"/>
  <c r="Y1444" i="4"/>
  <c r="Y1448" i="4"/>
  <c r="Y1452" i="4"/>
  <c r="Y1456" i="4"/>
  <c r="Y1460" i="4"/>
  <c r="Y1464" i="4"/>
  <c r="Y1468" i="4"/>
  <c r="Y1472" i="4"/>
  <c r="Y1476" i="4"/>
  <c r="Y1480" i="4"/>
  <c r="Y1676" i="4"/>
  <c r="Y1680" i="4"/>
  <c r="Y1684" i="4"/>
  <c r="Y1688" i="4"/>
  <c r="Y1692" i="4"/>
  <c r="Y1696" i="4"/>
  <c r="Y1700" i="4"/>
  <c r="Y1704" i="4"/>
  <c r="Y1708" i="4"/>
  <c r="Y1932" i="4"/>
  <c r="Y1936" i="4"/>
  <c r="Y1940" i="4"/>
  <c r="Y1944" i="4"/>
  <c r="Y1948" i="4"/>
  <c r="Y1952" i="4"/>
  <c r="Y1956" i="4"/>
  <c r="Y1960" i="4"/>
  <c r="Y1433" i="4"/>
  <c r="Y1437" i="4"/>
  <c r="Y1441" i="4"/>
  <c r="Y1445" i="4"/>
  <c r="Y1449" i="4"/>
  <c r="Y1453" i="4"/>
  <c r="Y1457" i="4"/>
  <c r="Y1461" i="4"/>
  <c r="Y1465" i="4"/>
  <c r="Y1469" i="4"/>
  <c r="Y1473" i="4"/>
  <c r="Y1477" i="4"/>
  <c r="Y1481" i="4"/>
  <c r="Y1677" i="4"/>
  <c r="Y1681" i="4"/>
  <c r="Y1685" i="4"/>
  <c r="Y1689" i="4"/>
  <c r="Y1693" i="4"/>
  <c r="Y1697" i="4"/>
  <c r="Y1701" i="4"/>
  <c r="Y1705" i="4"/>
  <c r="Y1929" i="4"/>
  <c r="Y1933" i="4"/>
  <c r="Y1937" i="4"/>
  <c r="Y1941" i="4"/>
  <c r="Y1945" i="4"/>
  <c r="Y1949" i="4"/>
  <c r="Y1953" i="4"/>
  <c r="Y1957" i="4"/>
  <c r="Y1961" i="4"/>
  <c r="Y1442" i="4"/>
  <c r="Y1458" i="4"/>
  <c r="Y1474" i="4"/>
  <c r="Y1682" i="4"/>
  <c r="Y1698" i="4"/>
  <c r="Y1938" i="4"/>
  <c r="Y1954" i="4"/>
  <c r="Y1446" i="4"/>
  <c r="Y1462" i="4"/>
  <c r="Y1478" i="4"/>
  <c r="Y1686" i="4"/>
  <c r="Y1702" i="4"/>
  <c r="Y1942" i="4"/>
  <c r="Y1958" i="4"/>
  <c r="Y1434" i="4"/>
  <c r="Y1450" i="4"/>
  <c r="Y1466" i="4"/>
  <c r="Y1690" i="4"/>
  <c r="Y1706" i="4"/>
  <c r="Y1930" i="4"/>
  <c r="Y1946" i="4"/>
  <c r="Y1962" i="4"/>
  <c r="Y1438" i="4"/>
  <c r="Y1454" i="4"/>
  <c r="Y1470" i="4"/>
  <c r="Y1678" i="4"/>
  <c r="Y1694" i="4"/>
  <c r="Y1934" i="4"/>
  <c r="Y1950" i="4"/>
  <c r="Y1136" i="4"/>
  <c r="Y1137" i="4"/>
  <c r="Y1138" i="4"/>
  <c r="Y1139" i="4"/>
  <c r="Y1140" i="4"/>
  <c r="Y1141" i="4"/>
  <c r="Y1142" i="4"/>
  <c r="Y1143" i="4"/>
  <c r="Y1144" i="4"/>
  <c r="Y1145" i="4"/>
  <c r="Y1146" i="4"/>
  <c r="Y1147" i="4"/>
  <c r="Y1148" i="4"/>
  <c r="Y1149" i="4"/>
  <c r="Y1150" i="4"/>
  <c r="Y1151" i="4"/>
  <c r="O28" i="6"/>
  <c r="AA273" i="4" s="1"/>
  <c r="N29" i="6"/>
  <c r="B55" i="4"/>
  <c r="V55" i="4" s="1"/>
  <c r="B29" i="6"/>
  <c r="C28" i="6"/>
  <c r="G29" i="6"/>
  <c r="F30" i="6"/>
  <c r="L500" i="4"/>
  <c r="O499" i="4"/>
  <c r="K479" i="4"/>
  <c r="J514" i="4"/>
  <c r="Z514" i="4" s="1"/>
  <c r="L129" i="4"/>
  <c r="O128" i="4"/>
  <c r="K160" i="4"/>
  <c r="AA160" i="4" s="1"/>
  <c r="X771" i="4" l="1"/>
  <c r="X1966" i="4"/>
  <c r="X1970" i="4"/>
  <c r="X1974" i="4"/>
  <c r="X1978" i="4"/>
  <c r="X1982" i="4"/>
  <c r="X1986" i="4"/>
  <c r="X1990" i="4"/>
  <c r="X1994" i="4"/>
  <c r="X1998" i="4"/>
  <c r="X2002" i="4"/>
  <c r="X2006" i="4"/>
  <c r="X2010" i="4"/>
  <c r="X2014" i="4"/>
  <c r="X2018" i="4"/>
  <c r="X2022" i="4"/>
  <c r="X2026" i="4"/>
  <c r="X2030" i="4"/>
  <c r="X2034" i="4"/>
  <c r="X2038" i="4"/>
  <c r="X2042" i="4"/>
  <c r="X2046" i="4"/>
  <c r="X1963" i="4"/>
  <c r="X1967" i="4"/>
  <c r="X1971" i="4"/>
  <c r="X1975" i="4"/>
  <c r="X1979" i="4"/>
  <c r="X1983" i="4"/>
  <c r="X1987" i="4"/>
  <c r="X1991" i="4"/>
  <c r="X1995" i="4"/>
  <c r="X1999" i="4"/>
  <c r="X2003" i="4"/>
  <c r="X2007" i="4"/>
  <c r="X2011" i="4"/>
  <c r="X2015" i="4"/>
  <c r="X2019" i="4"/>
  <c r="X2023" i="4"/>
  <c r="X2027" i="4"/>
  <c r="X2031" i="4"/>
  <c r="X2035" i="4"/>
  <c r="X2039" i="4"/>
  <c r="X2043" i="4"/>
  <c r="X2047" i="4"/>
  <c r="X1964" i="4"/>
  <c r="X1968" i="4"/>
  <c r="X1972" i="4"/>
  <c r="X1976" i="4"/>
  <c r="X1980" i="4"/>
  <c r="X1984" i="4"/>
  <c r="X1988" i="4"/>
  <c r="X1992" i="4"/>
  <c r="X1996" i="4"/>
  <c r="X2000" i="4"/>
  <c r="X2004" i="4"/>
  <c r="X2008" i="4"/>
  <c r="X2012" i="4"/>
  <c r="X2016" i="4"/>
  <c r="X2020" i="4"/>
  <c r="X2024" i="4"/>
  <c r="X2028" i="4"/>
  <c r="X2032" i="4"/>
  <c r="X2036" i="4"/>
  <c r="X2040" i="4"/>
  <c r="X2044" i="4"/>
  <c r="X2048" i="4"/>
  <c r="X1965" i="4"/>
  <c r="X1969" i="4"/>
  <c r="X1973" i="4"/>
  <c r="X1977" i="4"/>
  <c r="X1981" i="4"/>
  <c r="X1985" i="4"/>
  <c r="X1989" i="4"/>
  <c r="X1993" i="4"/>
  <c r="X1997" i="4"/>
  <c r="X2001" i="4"/>
  <c r="X2005" i="4"/>
  <c r="X2009" i="4"/>
  <c r="X2013" i="4"/>
  <c r="X2017" i="4"/>
  <c r="X2021" i="4"/>
  <c r="X2025" i="4"/>
  <c r="X2029" i="4"/>
  <c r="X2033" i="4"/>
  <c r="X2037" i="4"/>
  <c r="X2041" i="4"/>
  <c r="X2045" i="4"/>
  <c r="O29" i="6"/>
  <c r="AA290" i="4" s="1"/>
  <c r="N30" i="6"/>
  <c r="B56" i="4"/>
  <c r="V56" i="4" s="1"/>
  <c r="G30" i="6"/>
  <c r="F31" i="6"/>
  <c r="C29" i="6"/>
  <c r="X772" i="4" s="1"/>
  <c r="B30" i="6"/>
  <c r="L501" i="4"/>
  <c r="O500" i="4"/>
  <c r="K480" i="4"/>
  <c r="J515" i="4"/>
  <c r="Z515" i="4" s="1"/>
  <c r="L130" i="4"/>
  <c r="O129" i="4"/>
  <c r="K161" i="4"/>
  <c r="AA161" i="4" s="1"/>
  <c r="Y473" i="4" l="1"/>
  <c r="Y477" i="4"/>
  <c r="Y481" i="4"/>
  <c r="Y485" i="4"/>
  <c r="Y1237" i="4"/>
  <c r="Y1241" i="4"/>
  <c r="Y1245" i="4"/>
  <c r="Y1249" i="4"/>
  <c r="Y1253" i="4"/>
  <c r="Y1257" i="4"/>
  <c r="Y1261" i="4"/>
  <c r="Y1265" i="4"/>
  <c r="Y1269" i="4"/>
  <c r="Y1273" i="4"/>
  <c r="Y1277" i="4"/>
  <c r="Y1281" i="4"/>
  <c r="Y1285" i="4"/>
  <c r="Y1289" i="4"/>
  <c r="Y1293" i="4"/>
  <c r="Y1297" i="4"/>
  <c r="Y474" i="4"/>
  <c r="Y478" i="4"/>
  <c r="Y482" i="4"/>
  <c r="Y486" i="4"/>
  <c r="Y475" i="4"/>
  <c r="Y479" i="4"/>
  <c r="Y483" i="4"/>
  <c r="Y487" i="4"/>
  <c r="Y1239" i="4"/>
  <c r="Y1243" i="4"/>
  <c r="Y1247" i="4"/>
  <c r="Y1251" i="4"/>
  <c r="Y1255" i="4"/>
  <c r="Y1259" i="4"/>
  <c r="Y1263" i="4"/>
  <c r="Y1267" i="4"/>
  <c r="Y1271" i="4"/>
  <c r="Y1275" i="4"/>
  <c r="Y1279" i="4"/>
  <c r="Y1283" i="4"/>
  <c r="Y1287" i="4"/>
  <c r="Y1291" i="4"/>
  <c r="Y1295" i="4"/>
  <c r="Y1299" i="4"/>
  <c r="Y1303" i="4"/>
  <c r="Y1307" i="4"/>
  <c r="Y1311" i="4"/>
  <c r="Y1315" i="4"/>
  <c r="Y1319" i="4"/>
  <c r="Y472" i="4"/>
  <c r="Y488" i="4"/>
  <c r="Y1240" i="4"/>
  <c r="Y1248" i="4"/>
  <c r="Y1256" i="4"/>
  <c r="Y1264" i="4"/>
  <c r="Y1272" i="4"/>
  <c r="Y1280" i="4"/>
  <c r="Y1288" i="4"/>
  <c r="Y1296" i="4"/>
  <c r="Y1302" i="4"/>
  <c r="Y1308" i="4"/>
  <c r="Y1313" i="4"/>
  <c r="Y1318" i="4"/>
  <c r="Y476" i="4"/>
  <c r="Y1242" i="4"/>
  <c r="Y1250" i="4"/>
  <c r="Y1258" i="4"/>
  <c r="Y1266" i="4"/>
  <c r="Y1274" i="4"/>
  <c r="Y1282" i="4"/>
  <c r="Y1290" i="4"/>
  <c r="Y1298" i="4"/>
  <c r="Y1304" i="4"/>
  <c r="Y1309" i="4"/>
  <c r="Y1314" i="4"/>
  <c r="Y1320" i="4"/>
  <c r="Y480" i="4"/>
  <c r="Y1244" i="4"/>
  <c r="Y1252" i="4"/>
  <c r="Y1260" i="4"/>
  <c r="Y1268" i="4"/>
  <c r="Y1276" i="4"/>
  <c r="Y1284" i="4"/>
  <c r="Y1292" i="4"/>
  <c r="Y1300" i="4"/>
  <c r="Y1305" i="4"/>
  <c r="Y1310" i="4"/>
  <c r="Y1316" i="4"/>
  <c r="Y1321" i="4"/>
  <c r="Y1254" i="4"/>
  <c r="Y1286" i="4"/>
  <c r="Y1312" i="4"/>
  <c r="Y484" i="4"/>
  <c r="Y1262" i="4"/>
  <c r="Y1294" i="4"/>
  <c r="Y1317" i="4"/>
  <c r="Y1238" i="4"/>
  <c r="Y1270" i="4"/>
  <c r="Y1301" i="4"/>
  <c r="Y1246" i="4"/>
  <c r="Y1278" i="4"/>
  <c r="Y1306" i="4"/>
  <c r="O30" i="6"/>
  <c r="AA291" i="4" s="1"/>
  <c r="N31" i="6"/>
  <c r="B57" i="4"/>
  <c r="V57" i="4" s="1"/>
  <c r="G31" i="6"/>
  <c r="F32" i="6"/>
  <c r="B31" i="6"/>
  <c r="C30" i="6"/>
  <c r="L502" i="4"/>
  <c r="O501" i="4"/>
  <c r="K481" i="4"/>
  <c r="J516" i="4"/>
  <c r="Z516" i="4" s="1"/>
  <c r="L131" i="4"/>
  <c r="O130" i="4"/>
  <c r="K162" i="4"/>
  <c r="AA162" i="4" s="1"/>
  <c r="J159" i="4"/>
  <c r="Z159" i="4" s="1"/>
  <c r="Y1483" i="4" l="1"/>
  <c r="Y1487" i="4"/>
  <c r="Y1491" i="4"/>
  <c r="Y1495" i="4"/>
  <c r="Y1499" i="4"/>
  <c r="Y1484" i="4"/>
  <c r="Y1488" i="4"/>
  <c r="Y1492" i="4"/>
  <c r="Y1496" i="4"/>
  <c r="Y1500" i="4"/>
  <c r="Y1485" i="4"/>
  <c r="Y1489" i="4"/>
  <c r="Y1493" i="4"/>
  <c r="Y1497" i="4"/>
  <c r="Y1490" i="4"/>
  <c r="Y1494" i="4"/>
  <c r="Y1482" i="4"/>
  <c r="Y1498" i="4"/>
  <c r="Y1486" i="4"/>
  <c r="X811" i="4"/>
  <c r="X773" i="4"/>
  <c r="N32" i="6"/>
  <c r="O31" i="6"/>
  <c r="AA292" i="4" s="1"/>
  <c r="B58" i="4"/>
  <c r="V58" i="4" s="1"/>
  <c r="B32" i="6"/>
  <c r="C31" i="6"/>
  <c r="X774" i="4" s="1"/>
  <c r="F33" i="6"/>
  <c r="G32" i="6"/>
  <c r="L503" i="4"/>
  <c r="O502" i="4"/>
  <c r="K482" i="4"/>
  <c r="J517" i="4"/>
  <c r="Z517" i="4" s="1"/>
  <c r="L132" i="4"/>
  <c r="O131" i="4"/>
  <c r="J160" i="4"/>
  <c r="Z160" i="4" s="1"/>
  <c r="K163" i="4"/>
  <c r="AA163" i="4" s="1"/>
  <c r="Y32" i="4" l="1"/>
  <c r="Y36" i="4"/>
  <c r="Y40" i="4"/>
  <c r="Y44" i="4"/>
  <c r="Y29" i="4"/>
  <c r="Y33" i="4"/>
  <c r="Y37" i="4"/>
  <c r="Y41" i="4"/>
  <c r="Y45" i="4"/>
  <c r="Y30" i="4"/>
  <c r="Y34" i="4"/>
  <c r="Y38" i="4"/>
  <c r="Y42" i="4"/>
  <c r="Y39" i="4"/>
  <c r="Y513" i="4"/>
  <c r="Y517" i="4"/>
  <c r="Y521" i="4"/>
  <c r="Y525" i="4"/>
  <c r="Y529" i="4"/>
  <c r="Y533" i="4"/>
  <c r="Y537" i="4"/>
  <c r="Y541" i="4"/>
  <c r="Y545" i="4"/>
  <c r="Y549" i="4"/>
  <c r="Y553" i="4"/>
  <c r="Y557" i="4"/>
  <c r="Y561" i="4"/>
  <c r="Y565" i="4"/>
  <c r="Y569" i="4"/>
  <c r="Y573" i="4"/>
  <c r="Y577" i="4"/>
  <c r="Y637" i="4"/>
  <c r="Y641" i="4"/>
  <c r="Y645" i="4"/>
  <c r="Y649" i="4"/>
  <c r="Y653" i="4"/>
  <c r="Y657" i="4"/>
  <c r="Y661" i="4"/>
  <c r="Y665" i="4"/>
  <c r="Y669" i="4"/>
  <c r="Y673" i="4"/>
  <c r="Y677" i="4"/>
  <c r="Y681" i="4"/>
  <c r="Y685" i="4"/>
  <c r="Y689" i="4"/>
  <c r="Y693" i="4"/>
  <c r="Y697" i="4"/>
  <c r="Y701" i="4"/>
  <c r="Y705" i="4"/>
  <c r="Y709" i="4"/>
  <c r="Y713" i="4"/>
  <c r="Y717" i="4"/>
  <c r="Y43" i="4"/>
  <c r="Y514" i="4"/>
  <c r="Y518" i="4"/>
  <c r="Y522" i="4"/>
  <c r="Y526" i="4"/>
  <c r="Y530" i="4"/>
  <c r="Y534" i="4"/>
  <c r="Y538" i="4"/>
  <c r="Y542" i="4"/>
  <c r="Y546" i="4"/>
  <c r="Y550" i="4"/>
  <c r="Y554" i="4"/>
  <c r="Y558" i="4"/>
  <c r="Y562" i="4"/>
  <c r="Y566" i="4"/>
  <c r="Y570" i="4"/>
  <c r="Y574" i="4"/>
  <c r="Y578" i="4"/>
  <c r="Y634" i="4"/>
  <c r="Y638" i="4"/>
  <c r="Y642" i="4"/>
  <c r="Y646" i="4"/>
  <c r="Y650" i="4"/>
  <c r="Y654" i="4"/>
  <c r="Y658" i="4"/>
  <c r="Y662" i="4"/>
  <c r="Y666" i="4"/>
  <c r="Y670" i="4"/>
  <c r="Y674" i="4"/>
  <c r="Y678" i="4"/>
  <c r="Y682" i="4"/>
  <c r="Y686" i="4"/>
  <c r="Y690" i="4"/>
  <c r="Y694" i="4"/>
  <c r="Y698" i="4"/>
  <c r="Y702" i="4"/>
  <c r="Y706" i="4"/>
  <c r="Y710" i="4"/>
  <c r="Y714" i="4"/>
  <c r="Y718" i="4"/>
  <c r="Y31" i="4"/>
  <c r="Y511" i="4"/>
  <c r="Y515" i="4"/>
  <c r="Y519" i="4"/>
  <c r="Y523" i="4"/>
  <c r="Y527" i="4"/>
  <c r="Y531" i="4"/>
  <c r="Y535" i="4"/>
  <c r="Y539" i="4"/>
  <c r="Y543" i="4"/>
  <c r="Y547" i="4"/>
  <c r="Y551" i="4"/>
  <c r="Y555" i="4"/>
  <c r="Y559" i="4"/>
  <c r="Y563" i="4"/>
  <c r="Y567" i="4"/>
  <c r="Y571" i="4"/>
  <c r="Y575" i="4"/>
  <c r="Y635" i="4"/>
  <c r="Y639" i="4"/>
  <c r="Y643" i="4"/>
  <c r="Y647" i="4"/>
  <c r="Y651" i="4"/>
  <c r="Y655" i="4"/>
  <c r="Y659" i="4"/>
  <c r="Y663" i="4"/>
  <c r="Y667" i="4"/>
  <c r="Y671" i="4"/>
  <c r="Y675" i="4"/>
  <c r="Y679" i="4"/>
  <c r="Y683" i="4"/>
  <c r="Y687" i="4"/>
  <c r="Y691" i="4"/>
  <c r="Y695" i="4"/>
  <c r="Y699" i="4"/>
  <c r="Y703" i="4"/>
  <c r="Y707" i="4"/>
  <c r="Y711" i="4"/>
  <c r="Y715" i="4"/>
  <c r="Y520" i="4"/>
  <c r="Y536" i="4"/>
  <c r="Y552" i="4"/>
  <c r="Y568" i="4"/>
  <c r="Y648" i="4"/>
  <c r="Y664" i="4"/>
  <c r="Y680" i="4"/>
  <c r="Y696" i="4"/>
  <c r="Y712" i="4"/>
  <c r="Y35" i="4"/>
  <c r="Y524" i="4"/>
  <c r="Y540" i="4"/>
  <c r="Y556" i="4"/>
  <c r="Y572" i="4"/>
  <c r="Y636" i="4"/>
  <c r="Y652" i="4"/>
  <c r="Y668" i="4"/>
  <c r="Y684" i="4"/>
  <c r="Y700" i="4"/>
  <c r="Y716" i="4"/>
  <c r="Y512" i="4"/>
  <c r="Y528" i="4"/>
  <c r="Y544" i="4"/>
  <c r="Y560" i="4"/>
  <c r="Y576" i="4"/>
  <c r="Y640" i="4"/>
  <c r="Y656" i="4"/>
  <c r="Y672" i="4"/>
  <c r="Y688" i="4"/>
  <c r="Y704" i="4"/>
  <c r="Y532" i="4"/>
  <c r="Y660" i="4"/>
  <c r="Y548" i="4"/>
  <c r="Y676" i="4"/>
  <c r="Y564" i="4"/>
  <c r="Y692" i="4"/>
  <c r="Y516" i="4"/>
  <c r="Y644" i="4"/>
  <c r="Y708" i="4"/>
  <c r="O32" i="6"/>
  <c r="AA293" i="4" s="1"/>
  <c r="N33" i="6"/>
  <c r="B59" i="4"/>
  <c r="V59" i="4" s="1"/>
  <c r="G33" i="6"/>
  <c r="F34" i="6"/>
  <c r="B33" i="6"/>
  <c r="C32" i="6"/>
  <c r="X775" i="4" s="1"/>
  <c r="L504" i="4"/>
  <c r="O503" i="4"/>
  <c r="K483" i="4"/>
  <c r="J518" i="4"/>
  <c r="Z518" i="4" s="1"/>
  <c r="L133" i="4"/>
  <c r="O132" i="4"/>
  <c r="K164" i="4"/>
  <c r="AA164" i="4" s="1"/>
  <c r="J161" i="4"/>
  <c r="Z161" i="4" s="1"/>
  <c r="Y84" i="4" l="1"/>
  <c r="Y88" i="4"/>
  <c r="Y92" i="4"/>
  <c r="Y96" i="4"/>
  <c r="Y81" i="4"/>
  <c r="Y85" i="4"/>
  <c r="Y89" i="4"/>
  <c r="Y93" i="4"/>
  <c r="Y97" i="4"/>
  <c r="Y82" i="4"/>
  <c r="Y86" i="4"/>
  <c r="Y90" i="4"/>
  <c r="Y94" i="4"/>
  <c r="Y87" i="4"/>
  <c r="Y91" i="4"/>
  <c r="Y95" i="4"/>
  <c r="Y83" i="4"/>
  <c r="N34" i="6"/>
  <c r="O33" i="6"/>
  <c r="AA294" i="4" s="1"/>
  <c r="B60" i="4"/>
  <c r="V60" i="4" s="1"/>
  <c r="B34" i="6"/>
  <c r="C33" i="6"/>
  <c r="F35" i="6"/>
  <c r="G34" i="6"/>
  <c r="L505" i="4"/>
  <c r="O504" i="4"/>
  <c r="K484" i="4"/>
  <c r="J519" i="4"/>
  <c r="Z519" i="4" s="1"/>
  <c r="O133" i="4"/>
  <c r="J162" i="4"/>
  <c r="Z162" i="4" s="1"/>
  <c r="K165" i="4"/>
  <c r="AA165" i="4" s="1"/>
  <c r="X883" i="4" l="1"/>
  <c r="X887" i="4"/>
  <c r="X891" i="4"/>
  <c r="X895" i="4"/>
  <c r="X880" i="4"/>
  <c r="X884" i="4"/>
  <c r="X888" i="4"/>
  <c r="X892" i="4"/>
  <c r="X896" i="4"/>
  <c r="X881" i="4"/>
  <c r="X885" i="4"/>
  <c r="X889" i="4"/>
  <c r="X893" i="4"/>
  <c r="X882" i="4"/>
  <c r="X886" i="4"/>
  <c r="X890" i="4"/>
  <c r="X894" i="4"/>
  <c r="Y421" i="4"/>
  <c r="Y425" i="4"/>
  <c r="Y429" i="4"/>
  <c r="Y433" i="4"/>
  <c r="Y422" i="4"/>
  <c r="Y426" i="4"/>
  <c r="Y430" i="4"/>
  <c r="Y434" i="4"/>
  <c r="Y423" i="4"/>
  <c r="Y427" i="4"/>
  <c r="Y431" i="4"/>
  <c r="Y435" i="4"/>
  <c r="Y424" i="4"/>
  <c r="Y428" i="4"/>
  <c r="Y1672" i="4"/>
  <c r="Y432" i="4"/>
  <c r="Y1673" i="4"/>
  <c r="Y420" i="4"/>
  <c r="Y436" i="4"/>
  <c r="Y1674" i="4"/>
  <c r="N35" i="6"/>
  <c r="O34" i="6"/>
  <c r="AA311" i="4" s="1"/>
  <c r="B61" i="4"/>
  <c r="V61" i="4" s="1"/>
  <c r="G35" i="6"/>
  <c r="F36" i="6"/>
  <c r="B35" i="6"/>
  <c r="C34" i="6"/>
  <c r="L506" i="4"/>
  <c r="O505" i="4"/>
  <c r="K485" i="4"/>
  <c r="J520" i="4"/>
  <c r="Z520" i="4" s="1"/>
  <c r="L135" i="4"/>
  <c r="K166" i="4"/>
  <c r="AA166" i="4" s="1"/>
  <c r="J163" i="4"/>
  <c r="Z163" i="4" s="1"/>
  <c r="Y1503" i="4" l="1"/>
  <c r="Y1507" i="4"/>
  <c r="Y1511" i="4"/>
  <c r="Y1515" i="4"/>
  <c r="Y1504" i="4"/>
  <c r="Y1508" i="4"/>
  <c r="Y1512" i="4"/>
  <c r="Y1516" i="4"/>
  <c r="Y1501" i="4"/>
  <c r="Y1505" i="4"/>
  <c r="Y1509" i="4"/>
  <c r="Y1513" i="4"/>
  <c r="Y1517" i="4"/>
  <c r="Y1506" i="4"/>
  <c r="Y1510" i="4"/>
  <c r="Y1514" i="4"/>
  <c r="Y1502" i="4"/>
  <c r="Y1518" i="4"/>
  <c r="X899" i="4"/>
  <c r="X903" i="4"/>
  <c r="X907" i="4"/>
  <c r="X911" i="4"/>
  <c r="X900" i="4"/>
  <c r="X904" i="4"/>
  <c r="X908" i="4"/>
  <c r="X912" i="4"/>
  <c r="X897" i="4"/>
  <c r="X901" i="4"/>
  <c r="X905" i="4"/>
  <c r="X909" i="4"/>
  <c r="X913" i="4"/>
  <c r="X898" i="4"/>
  <c r="X902" i="4"/>
  <c r="X906" i="4"/>
  <c r="X910" i="4"/>
  <c r="N36" i="6"/>
  <c r="O35" i="6"/>
  <c r="AA328" i="4" s="1"/>
  <c r="B62" i="4"/>
  <c r="V62" i="4" s="1"/>
  <c r="C35" i="6"/>
  <c r="B36" i="6"/>
  <c r="F37" i="6"/>
  <c r="G36" i="6"/>
  <c r="L507" i="4"/>
  <c r="O506" i="4"/>
  <c r="K486" i="4"/>
  <c r="J521" i="4"/>
  <c r="Z521" i="4" s="1"/>
  <c r="J164" i="4"/>
  <c r="Z164" i="4" s="1"/>
  <c r="K167" i="4"/>
  <c r="AA167" i="4" s="1"/>
  <c r="X915" i="4" l="1"/>
  <c r="X919" i="4"/>
  <c r="X923" i="4"/>
  <c r="X927" i="4"/>
  <c r="X916" i="4"/>
  <c r="X920" i="4"/>
  <c r="X924" i="4"/>
  <c r="X928" i="4"/>
  <c r="X917" i="4"/>
  <c r="X921" i="4"/>
  <c r="X925" i="4"/>
  <c r="X929" i="4"/>
  <c r="X914" i="4"/>
  <c r="X930" i="4"/>
  <c r="X918" i="4"/>
  <c r="X922" i="4"/>
  <c r="X926" i="4"/>
  <c r="Y1519" i="4"/>
  <c r="Y1523" i="4"/>
  <c r="Y1527" i="4"/>
  <c r="Y1531" i="4"/>
  <c r="Y1535" i="4"/>
  <c r="Y1539" i="4"/>
  <c r="Y1543" i="4"/>
  <c r="Y1547" i="4"/>
  <c r="Y1551" i="4"/>
  <c r="Y1520" i="4"/>
  <c r="Y1524" i="4"/>
  <c r="Y1528" i="4"/>
  <c r="Y1532" i="4"/>
  <c r="Y1536" i="4"/>
  <c r="Y1540" i="4"/>
  <c r="Y1544" i="4"/>
  <c r="Y1548" i="4"/>
  <c r="Y1552" i="4"/>
  <c r="Y1521" i="4"/>
  <c r="Y1525" i="4"/>
  <c r="Y1529" i="4"/>
  <c r="Y1533" i="4"/>
  <c r="Y1537" i="4"/>
  <c r="Y1541" i="4"/>
  <c r="Y1545" i="4"/>
  <c r="Y1549" i="4"/>
  <c r="Y1522" i="4"/>
  <c r="Y1538" i="4"/>
  <c r="Y1526" i="4"/>
  <c r="Y1542" i="4"/>
  <c r="Y1530" i="4"/>
  <c r="Y1546" i="4"/>
  <c r="Y1534" i="4"/>
  <c r="Y1550" i="4"/>
  <c r="N37" i="6"/>
  <c r="O36" i="6"/>
  <c r="B63" i="4"/>
  <c r="V63" i="4" s="1"/>
  <c r="B37" i="6"/>
  <c r="C36" i="6"/>
  <c r="G37" i="6"/>
  <c r="F38" i="6"/>
  <c r="L508" i="4"/>
  <c r="O507" i="4"/>
  <c r="K487" i="4"/>
  <c r="J522" i="4"/>
  <c r="Z522" i="4" s="1"/>
  <c r="K168" i="4"/>
  <c r="AA168" i="4" s="1"/>
  <c r="J165" i="4"/>
  <c r="Z165" i="4" s="1"/>
  <c r="Y1627" i="4" l="1"/>
  <c r="Y1631" i="4"/>
  <c r="Y1635" i="4"/>
  <c r="Y1628" i="4"/>
  <c r="Y1632" i="4"/>
  <c r="Y1636" i="4"/>
  <c r="Y1625" i="4"/>
  <c r="Y1629" i="4"/>
  <c r="Y1633" i="4"/>
  <c r="Y1637" i="4"/>
  <c r="Y1634" i="4"/>
  <c r="Y1626" i="4"/>
  <c r="Y1630" i="4"/>
  <c r="AA329" i="4"/>
  <c r="AA1358" i="4"/>
  <c r="X931" i="4"/>
  <c r="X935" i="4"/>
  <c r="X939" i="4"/>
  <c r="X943" i="4"/>
  <c r="X947" i="4"/>
  <c r="X932" i="4"/>
  <c r="X936" i="4"/>
  <c r="X940" i="4"/>
  <c r="X944" i="4"/>
  <c r="X933" i="4"/>
  <c r="X937" i="4"/>
  <c r="X941" i="4"/>
  <c r="X945" i="4"/>
  <c r="X946" i="4"/>
  <c r="X934" i="4"/>
  <c r="X938" i="4"/>
  <c r="X942" i="4"/>
  <c r="N38" i="6"/>
  <c r="O37" i="6"/>
  <c r="AA346" i="4" s="1"/>
  <c r="B64" i="4"/>
  <c r="V64" i="4" s="1"/>
  <c r="K488" i="4"/>
  <c r="F39" i="6"/>
  <c r="G38" i="6"/>
  <c r="C37" i="6"/>
  <c r="B38" i="6"/>
  <c r="L509" i="4"/>
  <c r="O508" i="4"/>
  <c r="J523" i="4"/>
  <c r="Z523" i="4" s="1"/>
  <c r="J166" i="4"/>
  <c r="Z166" i="4" s="1"/>
  <c r="K169" i="4"/>
  <c r="AA169" i="4" s="1"/>
  <c r="X999" i="4" l="1"/>
  <c r="X1003" i="4"/>
  <c r="X1007" i="4"/>
  <c r="X1011" i="4"/>
  <c r="X1015" i="4"/>
  <c r="X1035" i="4"/>
  <c r="X1039" i="4"/>
  <c r="X1043" i="4"/>
  <c r="X1047" i="4"/>
  <c r="X1000" i="4"/>
  <c r="X1004" i="4"/>
  <c r="X1008" i="4"/>
  <c r="X1012" i="4"/>
  <c r="X1036" i="4"/>
  <c r="X1040" i="4"/>
  <c r="X1044" i="4"/>
  <c r="X1048" i="4"/>
  <c r="X1001" i="4"/>
  <c r="X1005" i="4"/>
  <c r="X1009" i="4"/>
  <c r="X1013" i="4"/>
  <c r="X1033" i="4"/>
  <c r="X1037" i="4"/>
  <c r="X1041" i="4"/>
  <c r="X1045" i="4"/>
  <c r="X1049" i="4"/>
  <c r="X1010" i="4"/>
  <c r="X1042" i="4"/>
  <c r="X1014" i="4"/>
  <c r="X1046" i="4"/>
  <c r="X1002" i="4"/>
  <c r="X1034" i="4"/>
  <c r="X1006" i="4"/>
  <c r="X1038" i="4"/>
  <c r="Y1639" i="4"/>
  <c r="Y1643" i="4"/>
  <c r="Y1647" i="4"/>
  <c r="Y1651" i="4"/>
  <c r="Y1655" i="4"/>
  <c r="Y1659" i="4"/>
  <c r="Y1663" i="4"/>
  <c r="Y1667" i="4"/>
  <c r="Y1671" i="4"/>
  <c r="Y1640" i="4"/>
  <c r="Y1644" i="4"/>
  <c r="Y1648" i="4"/>
  <c r="Y1652" i="4"/>
  <c r="Y1656" i="4"/>
  <c r="Y1660" i="4"/>
  <c r="Y1664" i="4"/>
  <c r="Y1668" i="4"/>
  <c r="Y1641" i="4"/>
  <c r="Y1645" i="4"/>
  <c r="Y1649" i="4"/>
  <c r="Y1653" i="4"/>
  <c r="Y1657" i="4"/>
  <c r="Y1661" i="4"/>
  <c r="Y1665" i="4"/>
  <c r="Y1669" i="4"/>
  <c r="Y1650" i="4"/>
  <c r="Y1666" i="4"/>
  <c r="Y1638" i="4"/>
  <c r="Y1654" i="4"/>
  <c r="Y1670" i="4"/>
  <c r="Y1642" i="4"/>
  <c r="Y1658" i="4"/>
  <c r="Y1646" i="4"/>
  <c r="Y1662" i="4"/>
  <c r="O38" i="6"/>
  <c r="N39" i="6"/>
  <c r="B65" i="4"/>
  <c r="V65" i="4" s="1"/>
  <c r="B39" i="6"/>
  <c r="C38" i="6"/>
  <c r="G39" i="6"/>
  <c r="F40" i="6"/>
  <c r="L510" i="4"/>
  <c r="O509" i="4"/>
  <c r="J524" i="4"/>
  <c r="Z524" i="4" s="1"/>
  <c r="K170" i="4"/>
  <c r="AA170" i="4" s="1"/>
  <c r="J167" i="4"/>
  <c r="Z167" i="4" s="1"/>
  <c r="Y1715" i="4" l="1"/>
  <c r="Y1719" i="4"/>
  <c r="Y1739" i="4"/>
  <c r="Y1743" i="4"/>
  <c r="Y1716" i="4"/>
  <c r="Y1740" i="4"/>
  <c r="Y1744" i="4"/>
  <c r="Y1717" i="4"/>
  <c r="Y1737" i="4"/>
  <c r="Y1741" i="4"/>
  <c r="Y1745" i="4"/>
  <c r="Y1714" i="4"/>
  <c r="Y1746" i="4"/>
  <c r="Y1718" i="4"/>
  <c r="Y1738" i="4"/>
  <c r="Y1742" i="4"/>
  <c r="X1019" i="4"/>
  <c r="X1023" i="4"/>
  <c r="X1027" i="4"/>
  <c r="X1031" i="4"/>
  <c r="X1016" i="4"/>
  <c r="X1020" i="4"/>
  <c r="X1024" i="4"/>
  <c r="X1028" i="4"/>
  <c r="X1032" i="4"/>
  <c r="X1017" i="4"/>
  <c r="X1021" i="4"/>
  <c r="X1025" i="4"/>
  <c r="X1029" i="4"/>
  <c r="X1026" i="4"/>
  <c r="X1030" i="4"/>
  <c r="X1018" i="4"/>
  <c r="X1022" i="4"/>
  <c r="AA363" i="4"/>
  <c r="AA364" i="4"/>
  <c r="N40" i="6"/>
  <c r="O39" i="6"/>
  <c r="AA365" i="4" s="1"/>
  <c r="B66" i="4"/>
  <c r="V66" i="4" s="1"/>
  <c r="G40" i="6"/>
  <c r="F41" i="6"/>
  <c r="B40" i="6"/>
  <c r="C39" i="6"/>
  <c r="L512" i="4"/>
  <c r="O510" i="4"/>
  <c r="L529" i="4"/>
  <c r="J525" i="4"/>
  <c r="Z525" i="4" s="1"/>
  <c r="L158" i="4"/>
  <c r="O158" i="4" s="1"/>
  <c r="K171" i="4"/>
  <c r="AA171" i="4" s="1"/>
  <c r="J168" i="4"/>
  <c r="Z168" i="4" s="1"/>
  <c r="Y1723" i="4" l="1"/>
  <c r="Y1727" i="4"/>
  <c r="Y1731" i="4"/>
  <c r="Y1735" i="4"/>
  <c r="Y1720" i="4"/>
  <c r="Y1724" i="4"/>
  <c r="Y1728" i="4"/>
  <c r="Y1732" i="4"/>
  <c r="Y1736" i="4"/>
  <c r="Y1721" i="4"/>
  <c r="Y1725" i="4"/>
  <c r="Y1729" i="4"/>
  <c r="Y1733" i="4"/>
  <c r="Y1730" i="4"/>
  <c r="Y1734" i="4"/>
  <c r="Y1722" i="4"/>
  <c r="Y1726" i="4"/>
  <c r="X1051" i="4"/>
  <c r="X1055" i="4"/>
  <c r="X1059" i="4"/>
  <c r="X1063" i="4"/>
  <c r="X1052" i="4"/>
  <c r="X1056" i="4"/>
  <c r="X1060" i="4"/>
  <c r="X1064" i="4"/>
  <c r="X1053" i="4"/>
  <c r="X1057" i="4"/>
  <c r="X1061" i="4"/>
  <c r="X1065" i="4"/>
  <c r="X1058" i="4"/>
  <c r="X1062" i="4"/>
  <c r="X1050" i="4"/>
  <c r="X1066" i="4"/>
  <c r="X1054" i="4"/>
  <c r="N41" i="6"/>
  <c r="O40" i="6"/>
  <c r="AA366" i="4" s="1"/>
  <c r="B67" i="4"/>
  <c r="V67" i="4" s="1"/>
  <c r="B41" i="6"/>
  <c r="C40" i="6"/>
  <c r="G41" i="6"/>
  <c r="F42" i="6"/>
  <c r="L513" i="4"/>
  <c r="O512" i="4"/>
  <c r="L530" i="4"/>
  <c r="O529" i="4"/>
  <c r="L618" i="4"/>
  <c r="O616" i="4"/>
  <c r="J526" i="4"/>
  <c r="Z526" i="4" s="1"/>
  <c r="L159" i="4"/>
  <c r="O159" i="4" s="1"/>
  <c r="J169" i="4"/>
  <c r="Z169" i="4" s="1"/>
  <c r="K172" i="4"/>
  <c r="AA172" i="4" s="1"/>
  <c r="Y1747" i="4" l="1"/>
  <c r="Y1751" i="4"/>
  <c r="Y1748" i="4"/>
  <c r="Y1749" i="4"/>
  <c r="Y1750" i="4"/>
  <c r="X1067" i="4"/>
  <c r="X1071" i="4"/>
  <c r="X1075" i="4"/>
  <c r="X1079" i="4"/>
  <c r="X1083" i="4"/>
  <c r="X1068" i="4"/>
  <c r="X1072" i="4"/>
  <c r="X1076" i="4"/>
  <c r="X1080" i="4"/>
  <c r="X1069" i="4"/>
  <c r="X1073" i="4"/>
  <c r="X1077" i="4"/>
  <c r="X1081" i="4"/>
  <c r="X1074" i="4"/>
  <c r="X1078" i="4"/>
  <c r="X1082" i="4"/>
  <c r="X1070" i="4"/>
  <c r="O41" i="6"/>
  <c r="AA367" i="4" s="1"/>
  <c r="N42" i="6"/>
  <c r="B68" i="4"/>
  <c r="V68" i="4" s="1"/>
  <c r="F43" i="6"/>
  <c r="G42" i="6"/>
  <c r="B42" i="6"/>
  <c r="C41" i="6"/>
  <c r="L514" i="4"/>
  <c r="O513" i="4"/>
  <c r="L619" i="4"/>
  <c r="O618" i="4"/>
  <c r="L531" i="4"/>
  <c r="O530" i="4"/>
  <c r="J527" i="4"/>
  <c r="Z527" i="4" s="1"/>
  <c r="L160" i="4"/>
  <c r="O160" i="4" s="1"/>
  <c r="K173" i="4"/>
  <c r="AA173" i="4" s="1"/>
  <c r="J170" i="4"/>
  <c r="Z170" i="4" s="1"/>
  <c r="Y1771" i="4" l="1"/>
  <c r="Y1772" i="4"/>
  <c r="Y1769" i="4"/>
  <c r="Y1770" i="4"/>
  <c r="X47" i="4"/>
  <c r="X51" i="4"/>
  <c r="X55" i="4"/>
  <c r="X59" i="4"/>
  <c r="X48" i="4"/>
  <c r="X52" i="4"/>
  <c r="X56" i="4"/>
  <c r="X60" i="4"/>
  <c r="X49" i="4"/>
  <c r="X53" i="4"/>
  <c r="X57" i="4"/>
  <c r="X61" i="4"/>
  <c r="X46" i="4"/>
  <c r="X62" i="4"/>
  <c r="X50" i="4"/>
  <c r="X54" i="4"/>
  <c r="X58" i="4"/>
  <c r="O42" i="6"/>
  <c r="AA383" i="4" s="1"/>
  <c r="N43" i="6"/>
  <c r="B69" i="4"/>
  <c r="V69" i="4" s="1"/>
  <c r="B43" i="6"/>
  <c r="C42" i="6"/>
  <c r="G43" i="6"/>
  <c r="F44" i="6"/>
  <c r="L515" i="4"/>
  <c r="O514" i="4"/>
  <c r="L620" i="4"/>
  <c r="O619" i="4"/>
  <c r="L532" i="4"/>
  <c r="O531" i="4"/>
  <c r="L161" i="4"/>
  <c r="O161" i="4" s="1"/>
  <c r="J171" i="4"/>
  <c r="Z171" i="4" s="1"/>
  <c r="Y1875" i="4" l="1"/>
  <c r="Y1879" i="4"/>
  <c r="Y1883" i="4"/>
  <c r="Y1887" i="4"/>
  <c r="Y1891" i="4"/>
  <c r="Y1895" i="4"/>
  <c r="Y1899" i="4"/>
  <c r="Y1903" i="4"/>
  <c r="Y1907" i="4"/>
  <c r="Y1911" i="4"/>
  <c r="Y1915" i="4"/>
  <c r="Y1919" i="4"/>
  <c r="Y1923" i="4"/>
  <c r="Y1876" i="4"/>
  <c r="Y1880" i="4"/>
  <c r="Y1884" i="4"/>
  <c r="Y1888" i="4"/>
  <c r="Y1892" i="4"/>
  <c r="Y1896" i="4"/>
  <c r="Y1900" i="4"/>
  <c r="Y1904" i="4"/>
  <c r="Y1908" i="4"/>
  <c r="Y1912" i="4"/>
  <c r="Y1916" i="4"/>
  <c r="Y1920" i="4"/>
  <c r="Y1924" i="4"/>
  <c r="Y1877" i="4"/>
  <c r="Y1881" i="4"/>
  <c r="Y1885" i="4"/>
  <c r="Y1889" i="4"/>
  <c r="Y1893" i="4"/>
  <c r="Y1897" i="4"/>
  <c r="Y1901" i="4"/>
  <c r="Y1905" i="4"/>
  <c r="Y1909" i="4"/>
  <c r="Y1913" i="4"/>
  <c r="Y1917" i="4"/>
  <c r="Y1921" i="4"/>
  <c r="Y1925" i="4"/>
  <c r="Y1890" i="4"/>
  <c r="Y1906" i="4"/>
  <c r="Y1922" i="4"/>
  <c r="Y1878" i="4"/>
  <c r="Y1894" i="4"/>
  <c r="Y1910" i="4"/>
  <c r="Y1882" i="4"/>
  <c r="Y1898" i="4"/>
  <c r="Y1914" i="4"/>
  <c r="Y1886" i="4"/>
  <c r="Y1902" i="4"/>
  <c r="Y1918" i="4"/>
  <c r="X67" i="4"/>
  <c r="X71" i="4"/>
  <c r="X75" i="4"/>
  <c r="X79" i="4"/>
  <c r="X64" i="4"/>
  <c r="X68" i="4"/>
  <c r="X72" i="4"/>
  <c r="X76" i="4"/>
  <c r="X80" i="4"/>
  <c r="X65" i="4"/>
  <c r="X69" i="4"/>
  <c r="X73" i="4"/>
  <c r="X77" i="4"/>
  <c r="X78" i="4"/>
  <c r="X66" i="4"/>
  <c r="X70" i="4"/>
  <c r="X74" i="4"/>
  <c r="N44" i="6"/>
  <c r="O43" i="6"/>
  <c r="AA400" i="4" s="1"/>
  <c r="B70" i="4"/>
  <c r="V70" i="4" s="1"/>
  <c r="F45" i="6"/>
  <c r="G44" i="6"/>
  <c r="C43" i="6"/>
  <c r="B44" i="6"/>
  <c r="L516" i="4"/>
  <c r="O515" i="4"/>
  <c r="L621" i="4"/>
  <c r="O620" i="4"/>
  <c r="L533" i="4"/>
  <c r="O532" i="4"/>
  <c r="L162" i="4"/>
  <c r="O162" i="4" s="1"/>
  <c r="K175" i="4"/>
  <c r="AA175" i="4" s="1"/>
  <c r="J172" i="4"/>
  <c r="Z172" i="4" s="1"/>
  <c r="X99" i="4" l="1"/>
  <c r="X103" i="4"/>
  <c r="X107" i="4"/>
  <c r="X111" i="4"/>
  <c r="X100" i="4"/>
  <c r="X104" i="4"/>
  <c r="X108" i="4"/>
  <c r="X112" i="4"/>
  <c r="X101" i="4"/>
  <c r="X105" i="4"/>
  <c r="X109" i="4"/>
  <c r="X113" i="4"/>
  <c r="X110" i="4"/>
  <c r="X619" i="4"/>
  <c r="X623" i="4"/>
  <c r="X627" i="4"/>
  <c r="X631" i="4"/>
  <c r="X98" i="4"/>
  <c r="X114" i="4"/>
  <c r="X620" i="4"/>
  <c r="X624" i="4"/>
  <c r="X628" i="4"/>
  <c r="X632" i="4"/>
  <c r="X102" i="4"/>
  <c r="X617" i="4"/>
  <c r="X621" i="4"/>
  <c r="X625" i="4"/>
  <c r="X629" i="4"/>
  <c r="X633" i="4"/>
  <c r="X106" i="4"/>
  <c r="X626" i="4"/>
  <c r="X630" i="4"/>
  <c r="X618" i="4"/>
  <c r="X622" i="4"/>
  <c r="Y1927" i="4"/>
  <c r="Y1928" i="4"/>
  <c r="Y1926" i="4"/>
  <c r="B71" i="4"/>
  <c r="V71" i="4" s="1"/>
  <c r="O44" i="6"/>
  <c r="AA401" i="4" s="1"/>
  <c r="N45" i="6"/>
  <c r="B45" i="6"/>
  <c r="C44" i="6"/>
  <c r="G45" i="6"/>
  <c r="F46" i="6"/>
  <c r="G46" i="6" s="1"/>
  <c r="L517" i="4"/>
  <c r="O516" i="4"/>
  <c r="L622" i="4"/>
  <c r="O621" i="4"/>
  <c r="L534" i="4"/>
  <c r="O533" i="4"/>
  <c r="K495" i="4"/>
  <c r="J530" i="4"/>
  <c r="Z530" i="4" s="1"/>
  <c r="L163" i="4"/>
  <c r="O163" i="4" s="1"/>
  <c r="J173" i="4"/>
  <c r="Z173" i="4" s="1"/>
  <c r="K176" i="4"/>
  <c r="AA176" i="4" s="1"/>
  <c r="B72" i="4" l="1"/>
  <c r="V72" i="4" s="1"/>
  <c r="X115" i="4"/>
  <c r="X227" i="4"/>
  <c r="X231" i="4"/>
  <c r="X235" i="4"/>
  <c r="X239" i="4"/>
  <c r="X243" i="4"/>
  <c r="X116" i="4"/>
  <c r="X229" i="4"/>
  <c r="X233" i="4"/>
  <c r="X237" i="4"/>
  <c r="X241" i="4"/>
  <c r="X232" i="4"/>
  <c r="X240" i="4"/>
  <c r="X311" i="4"/>
  <c r="X315" i="4"/>
  <c r="X319" i="4"/>
  <c r="X323" i="4"/>
  <c r="X327" i="4"/>
  <c r="X234" i="4"/>
  <c r="X242" i="4"/>
  <c r="X312" i="4"/>
  <c r="X316" i="4"/>
  <c r="X320" i="4"/>
  <c r="X324" i="4"/>
  <c r="X328" i="4"/>
  <c r="X228" i="4"/>
  <c r="X236" i="4"/>
  <c r="X313" i="4"/>
  <c r="X317" i="4"/>
  <c r="X321" i="4"/>
  <c r="X325" i="4"/>
  <c r="X230" i="4"/>
  <c r="X238" i="4"/>
  <c r="X322" i="4"/>
  <c r="X1398" i="4"/>
  <c r="X1402" i="4"/>
  <c r="X1406" i="4"/>
  <c r="X1410" i="4"/>
  <c r="X1414" i="4"/>
  <c r="X326" i="4"/>
  <c r="X1379" i="4"/>
  <c r="X1399" i="4"/>
  <c r="X1403" i="4"/>
  <c r="X1407" i="4"/>
  <c r="X1411" i="4"/>
  <c r="X314" i="4"/>
  <c r="X1380" i="4"/>
  <c r="X1400" i="4"/>
  <c r="X1404" i="4"/>
  <c r="X1408" i="4"/>
  <c r="X1412" i="4"/>
  <c r="X318" i="4"/>
  <c r="X1401" i="4"/>
  <c r="X1405" i="4"/>
  <c r="X1409" i="4"/>
  <c r="X1413" i="4"/>
  <c r="X1713" i="4"/>
  <c r="X1711" i="4"/>
  <c r="N46" i="6"/>
  <c r="O45" i="6"/>
  <c r="AA402" i="4" s="1"/>
  <c r="B46" i="6"/>
  <c r="C45" i="6"/>
  <c r="L518" i="4"/>
  <c r="O517" i="4"/>
  <c r="L623" i="4"/>
  <c r="O622" i="4"/>
  <c r="L535" i="4"/>
  <c r="O534" i="4"/>
  <c r="K496" i="4"/>
  <c r="J531" i="4"/>
  <c r="Z531" i="4" s="1"/>
  <c r="K177" i="4"/>
  <c r="AA177" i="4" s="1"/>
  <c r="L164" i="4"/>
  <c r="O164" i="4" s="1"/>
  <c r="B73" i="4"/>
  <c r="V73" i="4" s="1"/>
  <c r="X119" i="4" l="1"/>
  <c r="X123" i="4"/>
  <c r="X127" i="4"/>
  <c r="X131" i="4"/>
  <c r="X120" i="4"/>
  <c r="X124" i="4"/>
  <c r="X128" i="4"/>
  <c r="X132" i="4"/>
  <c r="X117" i="4"/>
  <c r="X121" i="4"/>
  <c r="X125" i="4"/>
  <c r="X129" i="4"/>
  <c r="X133" i="4"/>
  <c r="X126" i="4"/>
  <c r="X130" i="4"/>
  <c r="X118" i="4"/>
  <c r="X122" i="4"/>
  <c r="O46" i="6"/>
  <c r="AA419" i="4" s="1"/>
  <c r="N47" i="6"/>
  <c r="B47" i="6"/>
  <c r="C46" i="6"/>
  <c r="L519" i="4"/>
  <c r="O518" i="4"/>
  <c r="L624" i="4"/>
  <c r="O623" i="4"/>
  <c r="L536" i="4"/>
  <c r="O535" i="4"/>
  <c r="K497" i="4"/>
  <c r="J532" i="4"/>
  <c r="Z532" i="4" s="1"/>
  <c r="K178" i="4"/>
  <c r="AA178" i="4" s="1"/>
  <c r="L165" i="4"/>
  <c r="O165" i="4" s="1"/>
  <c r="B74" i="4"/>
  <c r="V74" i="4" s="1"/>
  <c r="X139" i="4" l="1"/>
  <c r="X143" i="4"/>
  <c r="X147" i="4"/>
  <c r="X151" i="4"/>
  <c r="X155" i="4"/>
  <c r="X140" i="4"/>
  <c r="X144" i="4"/>
  <c r="X148" i="4"/>
  <c r="X152" i="4"/>
  <c r="X156" i="4"/>
  <c r="X137" i="4"/>
  <c r="X141" i="4"/>
  <c r="X145" i="4"/>
  <c r="X149" i="4"/>
  <c r="X153" i="4"/>
  <c r="X142" i="4"/>
  <c r="X146" i="4"/>
  <c r="X150" i="4"/>
  <c r="X138" i="4"/>
  <c r="X154" i="4"/>
  <c r="N48" i="6"/>
  <c r="O47" i="6"/>
  <c r="AA437" i="4" s="1"/>
  <c r="C47" i="6"/>
  <c r="B48" i="6"/>
  <c r="L520" i="4"/>
  <c r="O519" i="4"/>
  <c r="L625" i="4"/>
  <c r="O624" i="4"/>
  <c r="L537" i="4"/>
  <c r="O536" i="4"/>
  <c r="K498" i="4"/>
  <c r="J533" i="4"/>
  <c r="Z533" i="4" s="1"/>
  <c r="K179" i="4"/>
  <c r="AA179" i="4" s="1"/>
  <c r="L166" i="4"/>
  <c r="O166" i="4" s="1"/>
  <c r="J176" i="4"/>
  <c r="Z176" i="4" s="1"/>
  <c r="B75" i="4"/>
  <c r="V75" i="4" s="1"/>
  <c r="X191" i="4" l="1"/>
  <c r="X195" i="4"/>
  <c r="X199" i="4"/>
  <c r="X203" i="4"/>
  <c r="X207" i="4"/>
  <c r="X211" i="4"/>
  <c r="X215" i="4"/>
  <c r="X219" i="4"/>
  <c r="X223" i="4"/>
  <c r="X193" i="4"/>
  <c r="X197" i="4"/>
  <c r="X201" i="4"/>
  <c r="X205" i="4"/>
  <c r="X209" i="4"/>
  <c r="X213" i="4"/>
  <c r="X217" i="4"/>
  <c r="X221" i="4"/>
  <c r="X225" i="4"/>
  <c r="X192" i="4"/>
  <c r="X200" i="4"/>
  <c r="X208" i="4"/>
  <c r="X216" i="4"/>
  <c r="X224" i="4"/>
  <c r="X194" i="4"/>
  <c r="X202" i="4"/>
  <c r="X210" i="4"/>
  <c r="X218" i="4"/>
  <c r="X196" i="4"/>
  <c r="X204" i="4"/>
  <c r="X212" i="4"/>
  <c r="X220" i="4"/>
  <c r="X198" i="4"/>
  <c r="X206" i="4"/>
  <c r="X214" i="4"/>
  <c r="X222" i="4"/>
  <c r="O48" i="6"/>
  <c r="N49" i="6"/>
  <c r="B49" i="6"/>
  <c r="C48" i="6"/>
  <c r="L521" i="4"/>
  <c r="O520" i="4"/>
  <c r="L626" i="4"/>
  <c r="O625" i="4"/>
  <c r="L538" i="4"/>
  <c r="O537" i="4"/>
  <c r="K499" i="4"/>
  <c r="J534" i="4"/>
  <c r="Z534" i="4" s="1"/>
  <c r="J177" i="4"/>
  <c r="Z177" i="4" s="1"/>
  <c r="K180" i="4"/>
  <c r="AA180" i="4" s="1"/>
  <c r="L167" i="4"/>
  <c r="O167" i="4" s="1"/>
  <c r="B76" i="4"/>
  <c r="V76" i="4" s="1"/>
  <c r="X347" i="4" l="1"/>
  <c r="X351" i="4"/>
  <c r="X355" i="4"/>
  <c r="X359" i="4"/>
  <c r="X226" i="4"/>
  <c r="X348" i="4"/>
  <c r="X352" i="4"/>
  <c r="X356" i="4"/>
  <c r="X360" i="4"/>
  <c r="X349" i="4"/>
  <c r="X353" i="4"/>
  <c r="X357" i="4"/>
  <c r="X361" i="4"/>
  <c r="X354" i="4"/>
  <c r="X358" i="4"/>
  <c r="X346" i="4"/>
  <c r="X362" i="4"/>
  <c r="X350" i="4"/>
  <c r="AA438" i="4"/>
  <c r="AA439" i="4"/>
  <c r="AA440" i="4"/>
  <c r="AA441" i="4"/>
  <c r="AA442" i="4"/>
  <c r="AA443" i="4"/>
  <c r="AA444" i="4"/>
  <c r="AA445" i="4"/>
  <c r="AA446" i="4"/>
  <c r="AA447" i="4"/>
  <c r="AA448" i="4"/>
  <c r="AA449" i="4"/>
  <c r="AA450" i="4"/>
  <c r="AA451" i="4"/>
  <c r="AA452" i="4"/>
  <c r="AA453" i="4"/>
  <c r="AA454" i="4"/>
  <c r="N50" i="6"/>
  <c r="O49" i="6"/>
  <c r="B50" i="6"/>
  <c r="C49" i="6"/>
  <c r="L522" i="4"/>
  <c r="O521" i="4"/>
  <c r="L627" i="4"/>
  <c r="O626" i="4"/>
  <c r="L539" i="4"/>
  <c r="O538" i="4"/>
  <c r="K500" i="4"/>
  <c r="J535" i="4"/>
  <c r="Z535" i="4" s="1"/>
  <c r="K181" i="4"/>
  <c r="AA181" i="4" s="1"/>
  <c r="J178" i="4"/>
  <c r="Z178" i="4" s="1"/>
  <c r="L168" i="4"/>
  <c r="O168" i="4" s="1"/>
  <c r="B77" i="4"/>
  <c r="V77" i="4" s="1"/>
  <c r="AA455" i="4" l="1"/>
  <c r="AA456" i="4"/>
  <c r="AA457" i="4"/>
  <c r="AA458" i="4"/>
  <c r="AA459" i="4"/>
  <c r="AA460" i="4"/>
  <c r="AA461" i="4"/>
  <c r="AA462" i="4"/>
  <c r="AA463" i="4"/>
  <c r="AA464" i="4"/>
  <c r="AA465" i="4"/>
  <c r="AA466" i="4"/>
  <c r="AA467" i="4"/>
  <c r="AA468" i="4"/>
  <c r="AA469" i="4"/>
  <c r="AA470" i="4"/>
  <c r="AA471" i="4"/>
  <c r="X247" i="4"/>
  <c r="X251" i="4"/>
  <c r="X245" i="4"/>
  <c r="X249" i="4"/>
  <c r="X253" i="4"/>
  <c r="X248" i="4"/>
  <c r="X250" i="4"/>
  <c r="X244" i="4"/>
  <c r="X252" i="4"/>
  <c r="X246" i="4"/>
  <c r="X254" i="4"/>
  <c r="O50" i="6"/>
  <c r="N51" i="6"/>
  <c r="B51" i="6"/>
  <c r="C50" i="6"/>
  <c r="L523" i="4"/>
  <c r="O522" i="4"/>
  <c r="L628" i="4"/>
  <c r="O627" i="4"/>
  <c r="L540" i="4"/>
  <c r="O539" i="4"/>
  <c r="K501" i="4"/>
  <c r="J536" i="4"/>
  <c r="Z536" i="4" s="1"/>
  <c r="J179" i="4"/>
  <c r="Z179" i="4" s="1"/>
  <c r="K182" i="4"/>
  <c r="AA182" i="4" s="1"/>
  <c r="L169" i="4"/>
  <c r="O169" i="4" s="1"/>
  <c r="B78" i="4"/>
  <c r="V78" i="4" s="1"/>
  <c r="AA472" i="4" l="1"/>
  <c r="AA473" i="4"/>
  <c r="AA474" i="4"/>
  <c r="AA475" i="4"/>
  <c r="AA476" i="4"/>
  <c r="AA477" i="4"/>
  <c r="AA478" i="4"/>
  <c r="AA479" i="4"/>
  <c r="AA480" i="4"/>
  <c r="AA481" i="4"/>
  <c r="AA482" i="4"/>
  <c r="AA483" i="4"/>
  <c r="AA484" i="4"/>
  <c r="AA485" i="4"/>
  <c r="AA486" i="4"/>
  <c r="AA487" i="4"/>
  <c r="AA488" i="4"/>
  <c r="X255" i="4"/>
  <c r="X419" i="4"/>
  <c r="N52" i="6"/>
  <c r="O51" i="6"/>
  <c r="AA489" i="4" s="1"/>
  <c r="C51" i="6"/>
  <c r="B52" i="6"/>
  <c r="L524" i="4"/>
  <c r="O523" i="4"/>
  <c r="L629" i="4"/>
  <c r="O628" i="4"/>
  <c r="L541" i="4"/>
  <c r="O540" i="4"/>
  <c r="K502" i="4"/>
  <c r="J537" i="4"/>
  <c r="Z537" i="4" s="1"/>
  <c r="K183" i="4"/>
  <c r="AA183" i="4" s="1"/>
  <c r="J180" i="4"/>
  <c r="Z180" i="4" s="1"/>
  <c r="L170" i="4"/>
  <c r="O170" i="4" s="1"/>
  <c r="B79" i="4"/>
  <c r="V79" i="4" s="1"/>
  <c r="X275" i="4" l="1"/>
  <c r="X279" i="4"/>
  <c r="X283" i="4"/>
  <c r="X287" i="4"/>
  <c r="X273" i="4"/>
  <c r="X277" i="4"/>
  <c r="X281" i="4"/>
  <c r="X285" i="4"/>
  <c r="X289" i="4"/>
  <c r="X280" i="4"/>
  <c r="X288" i="4"/>
  <c r="X274" i="4"/>
  <c r="X282" i="4"/>
  <c r="X276" i="4"/>
  <c r="X284" i="4"/>
  <c r="X278" i="4"/>
  <c r="X286" i="4"/>
  <c r="O52" i="6"/>
  <c r="AA490" i="4" s="1"/>
  <c r="N53" i="6"/>
  <c r="B53" i="6"/>
  <c r="C52" i="6"/>
  <c r="L525" i="4"/>
  <c r="O524" i="4"/>
  <c r="L630" i="4"/>
  <c r="O629" i="4"/>
  <c r="L542" i="4"/>
  <c r="O541" i="4"/>
  <c r="K503" i="4"/>
  <c r="J538" i="4"/>
  <c r="Z538" i="4" s="1"/>
  <c r="J181" i="4"/>
  <c r="Z181" i="4" s="1"/>
  <c r="K184" i="4"/>
  <c r="AA184" i="4" s="1"/>
  <c r="L171" i="4"/>
  <c r="O171" i="4" s="1"/>
  <c r="B80" i="4"/>
  <c r="V80" i="4" s="1"/>
  <c r="X291" i="4" l="1"/>
  <c r="X293" i="4"/>
  <c r="X290" i="4"/>
  <c r="X292" i="4"/>
  <c r="N54" i="6"/>
  <c r="O53" i="6"/>
  <c r="AA491" i="4" s="1"/>
  <c r="B54" i="6"/>
  <c r="C53" i="6"/>
  <c r="L526" i="4"/>
  <c r="O525" i="4"/>
  <c r="L631" i="4"/>
  <c r="O630" i="4"/>
  <c r="L543" i="4"/>
  <c r="O542" i="4"/>
  <c r="K504" i="4"/>
  <c r="J539" i="4"/>
  <c r="Z539" i="4" s="1"/>
  <c r="K185" i="4"/>
  <c r="AA185" i="4" s="1"/>
  <c r="J182" i="4"/>
  <c r="Z182" i="4" s="1"/>
  <c r="L172" i="4"/>
  <c r="O172" i="4" s="1"/>
  <c r="B81" i="4"/>
  <c r="V81" i="4" s="1"/>
  <c r="X295" i="4" l="1"/>
  <c r="X299" i="4"/>
  <c r="X297" i="4"/>
  <c r="X301" i="4"/>
  <c r="X296" i="4"/>
  <c r="X303" i="4"/>
  <c r="X307" i="4"/>
  <c r="X1203" i="4"/>
  <c r="X1207" i="4"/>
  <c r="X1211" i="4"/>
  <c r="X1215" i="4"/>
  <c r="X1219" i="4"/>
  <c r="X298" i="4"/>
  <c r="X304" i="4"/>
  <c r="X308" i="4"/>
  <c r="X300" i="4"/>
  <c r="X305" i="4"/>
  <c r="X309" i="4"/>
  <c r="X1205" i="4"/>
  <c r="X1209" i="4"/>
  <c r="X1213" i="4"/>
  <c r="X1217" i="4"/>
  <c r="X306" i="4"/>
  <c r="X1206" i="4"/>
  <c r="X1214" i="4"/>
  <c r="X310" i="4"/>
  <c r="X1208" i="4"/>
  <c r="X1216" i="4"/>
  <c r="X294" i="4"/>
  <c r="X1210" i="4"/>
  <c r="X1218" i="4"/>
  <c r="X302" i="4"/>
  <c r="X1204" i="4"/>
  <c r="X1212" i="4"/>
  <c r="O54" i="6"/>
  <c r="AA492" i="4" s="1"/>
  <c r="N55" i="6"/>
  <c r="B55" i="6"/>
  <c r="C54" i="6"/>
  <c r="L527" i="4"/>
  <c r="O527" i="4" s="1"/>
  <c r="O526" i="4"/>
  <c r="L632" i="4"/>
  <c r="O631" i="4"/>
  <c r="L544" i="4"/>
  <c r="O543" i="4"/>
  <c r="K505" i="4"/>
  <c r="J540" i="4"/>
  <c r="Z540" i="4" s="1"/>
  <c r="J183" i="4"/>
  <c r="Z183" i="4" s="1"/>
  <c r="K186" i="4"/>
  <c r="AA186" i="4" s="1"/>
  <c r="L173" i="4"/>
  <c r="O173" i="4" s="1"/>
  <c r="B82" i="4"/>
  <c r="V82" i="4" s="1"/>
  <c r="X331" i="4" l="1"/>
  <c r="X335" i="4"/>
  <c r="X339" i="4"/>
  <c r="X343" i="4"/>
  <c r="X332" i="4"/>
  <c r="X336" i="4"/>
  <c r="X340" i="4"/>
  <c r="X344" i="4"/>
  <c r="X329" i="4"/>
  <c r="X333" i="4"/>
  <c r="X337" i="4"/>
  <c r="X341" i="4"/>
  <c r="X345" i="4"/>
  <c r="X338" i="4"/>
  <c r="X1322" i="4"/>
  <c r="X1326" i="4"/>
  <c r="X1330" i="4"/>
  <c r="X1334" i="4"/>
  <c r="X1338" i="4"/>
  <c r="X1358" i="4"/>
  <c r="X342" i="4"/>
  <c r="X1323" i="4"/>
  <c r="X1327" i="4"/>
  <c r="X1331" i="4"/>
  <c r="X1335" i="4"/>
  <c r="X330" i="4"/>
  <c r="X1324" i="4"/>
  <c r="X1328" i="4"/>
  <c r="X1332" i="4"/>
  <c r="X1336" i="4"/>
  <c r="X334" i="4"/>
  <c r="X1325" i="4"/>
  <c r="X1329" i="4"/>
  <c r="X1333" i="4"/>
  <c r="X1337" i="4"/>
  <c r="N56" i="6"/>
  <c r="O55" i="6"/>
  <c r="AA493" i="4" s="1"/>
  <c r="C55" i="6"/>
  <c r="B56" i="6"/>
  <c r="L633" i="4"/>
  <c r="O632" i="4"/>
  <c r="L546" i="4"/>
  <c r="O544" i="4"/>
  <c r="K506" i="4"/>
  <c r="J541" i="4"/>
  <c r="Z541" i="4" s="1"/>
  <c r="K187" i="4"/>
  <c r="AA187" i="4" s="1"/>
  <c r="J184" i="4"/>
  <c r="Z184" i="4" s="1"/>
  <c r="B83" i="4"/>
  <c r="V83" i="4" s="1"/>
  <c r="X363" i="4" l="1"/>
  <c r="X364" i="4"/>
  <c r="X1382" i="4"/>
  <c r="X1386" i="4"/>
  <c r="X1390" i="4"/>
  <c r="X1394" i="4"/>
  <c r="X1383" i="4"/>
  <c r="X1387" i="4"/>
  <c r="X1391" i="4"/>
  <c r="X1395" i="4"/>
  <c r="X1384" i="4"/>
  <c r="X1388" i="4"/>
  <c r="X1392" i="4"/>
  <c r="X1396" i="4"/>
  <c r="X1712" i="4"/>
  <c r="X1381" i="4"/>
  <c r="X1385" i="4"/>
  <c r="X1389" i="4"/>
  <c r="X1393" i="4"/>
  <c r="X1397" i="4"/>
  <c r="X1709" i="4"/>
  <c r="AA506" i="4"/>
  <c r="O56" i="6"/>
  <c r="N57" i="6"/>
  <c r="B57" i="6"/>
  <c r="C56" i="6"/>
  <c r="L635" i="4"/>
  <c r="O633" i="4"/>
  <c r="L547" i="4"/>
  <c r="O546" i="4"/>
  <c r="K507" i="4"/>
  <c r="AA507" i="4" s="1"/>
  <c r="J542" i="4"/>
  <c r="Z542" i="4" s="1"/>
  <c r="K188" i="4"/>
  <c r="AA188" i="4" s="1"/>
  <c r="J185" i="4"/>
  <c r="Z185" i="4" s="1"/>
  <c r="L175" i="4"/>
  <c r="O175" i="4" s="1"/>
  <c r="B84" i="4"/>
  <c r="V84" i="4" s="1"/>
  <c r="X511" i="4" l="1"/>
  <c r="X515" i="4"/>
  <c r="X519" i="4"/>
  <c r="X523" i="4"/>
  <c r="X527" i="4"/>
  <c r="X531" i="4"/>
  <c r="X535" i="4"/>
  <c r="X539" i="4"/>
  <c r="X543" i="4"/>
  <c r="X547" i="4"/>
  <c r="X551" i="4"/>
  <c r="X555" i="4"/>
  <c r="X559" i="4"/>
  <c r="X635" i="4"/>
  <c r="X639" i="4"/>
  <c r="X643" i="4"/>
  <c r="X647" i="4"/>
  <c r="X651" i="4"/>
  <c r="X655" i="4"/>
  <c r="X659" i="4"/>
  <c r="X663" i="4"/>
  <c r="X667" i="4"/>
  <c r="X512" i="4"/>
  <c r="X516" i="4"/>
  <c r="X520" i="4"/>
  <c r="X524" i="4"/>
  <c r="X528" i="4"/>
  <c r="X532" i="4"/>
  <c r="X536" i="4"/>
  <c r="X540" i="4"/>
  <c r="X544" i="4"/>
  <c r="X548" i="4"/>
  <c r="X552" i="4"/>
  <c r="X556" i="4"/>
  <c r="X560" i="4"/>
  <c r="X636" i="4"/>
  <c r="X640" i="4"/>
  <c r="X644" i="4"/>
  <c r="X648" i="4"/>
  <c r="X652" i="4"/>
  <c r="X656" i="4"/>
  <c r="X660" i="4"/>
  <c r="X664" i="4"/>
  <c r="X513" i="4"/>
  <c r="X517" i="4"/>
  <c r="X521" i="4"/>
  <c r="X525" i="4"/>
  <c r="X529" i="4"/>
  <c r="X533" i="4"/>
  <c r="X537" i="4"/>
  <c r="X541" i="4"/>
  <c r="X545" i="4"/>
  <c r="X549" i="4"/>
  <c r="X553" i="4"/>
  <c r="X557" i="4"/>
  <c r="X561" i="4"/>
  <c r="X637" i="4"/>
  <c r="X641" i="4"/>
  <c r="X645" i="4"/>
  <c r="X649" i="4"/>
  <c r="X653" i="4"/>
  <c r="X657" i="4"/>
  <c r="X661" i="4"/>
  <c r="X665" i="4"/>
  <c r="X514" i="4"/>
  <c r="X530" i="4"/>
  <c r="X546" i="4"/>
  <c r="X642" i="4"/>
  <c r="X658" i="4"/>
  <c r="X518" i="4"/>
  <c r="X534" i="4"/>
  <c r="X550" i="4"/>
  <c r="X646" i="4"/>
  <c r="X662" i="4"/>
  <c r="X522" i="4"/>
  <c r="X538" i="4"/>
  <c r="X554" i="4"/>
  <c r="X634" i="4"/>
  <c r="X650" i="4"/>
  <c r="X666" i="4"/>
  <c r="X526" i="4"/>
  <c r="X542" i="4"/>
  <c r="X558" i="4"/>
  <c r="X638" i="4"/>
  <c r="X654" i="4"/>
  <c r="AA494" i="4"/>
  <c r="AA495" i="4"/>
  <c r="AA496" i="4"/>
  <c r="AA497" i="4"/>
  <c r="AA498" i="4"/>
  <c r="AA499" i="4"/>
  <c r="AA500" i="4"/>
  <c r="AA501" i="4"/>
  <c r="AA502" i="4"/>
  <c r="AA503" i="4"/>
  <c r="AA504" i="4"/>
  <c r="AA505" i="4"/>
  <c r="N58" i="6"/>
  <c r="O57" i="6"/>
  <c r="AA511" i="4" s="1"/>
  <c r="B58" i="6"/>
  <c r="C57" i="6"/>
  <c r="L636" i="4"/>
  <c r="O636" i="4" s="1"/>
  <c r="O635" i="4"/>
  <c r="L548" i="4"/>
  <c r="O547" i="4"/>
  <c r="K508" i="4"/>
  <c r="AA508" i="4" s="1"/>
  <c r="J543" i="4"/>
  <c r="Z543" i="4" s="1"/>
  <c r="K189" i="4"/>
  <c r="AA189" i="4" s="1"/>
  <c r="J186" i="4"/>
  <c r="Z186" i="4" s="1"/>
  <c r="L176" i="4"/>
  <c r="O176" i="4" s="1"/>
  <c r="B85" i="4"/>
  <c r="V85" i="4" s="1"/>
  <c r="X579" i="4" l="1"/>
  <c r="X583" i="4"/>
  <c r="X587" i="4"/>
  <c r="X591" i="4"/>
  <c r="X595" i="4"/>
  <c r="X599" i="4"/>
  <c r="X603" i="4"/>
  <c r="X607" i="4"/>
  <c r="X611" i="4"/>
  <c r="X580" i="4"/>
  <c r="X584" i="4"/>
  <c r="X588" i="4"/>
  <c r="X592" i="4"/>
  <c r="X596" i="4"/>
  <c r="X600" i="4"/>
  <c r="X604" i="4"/>
  <c r="X608" i="4"/>
  <c r="X612" i="4"/>
  <c r="X581" i="4"/>
  <c r="X585" i="4"/>
  <c r="X589" i="4"/>
  <c r="X593" i="4"/>
  <c r="X597" i="4"/>
  <c r="X601" i="4"/>
  <c r="X605" i="4"/>
  <c r="X609" i="4"/>
  <c r="X613" i="4"/>
  <c r="X594" i="4"/>
  <c r="X610" i="4"/>
  <c r="X582" i="4"/>
  <c r="X598" i="4"/>
  <c r="X614" i="4"/>
  <c r="X586" i="4"/>
  <c r="X602" i="4"/>
  <c r="X590" i="4"/>
  <c r="X606" i="4"/>
  <c r="O58" i="6"/>
  <c r="AA528" i="4" s="1"/>
  <c r="N59" i="6"/>
  <c r="B59" i="6"/>
  <c r="C58" i="6"/>
  <c r="X615" i="4" s="1"/>
  <c r="L637" i="4"/>
  <c r="O637" i="4" s="1"/>
  <c r="L549" i="4"/>
  <c r="O548" i="4"/>
  <c r="K509" i="4"/>
  <c r="AA509" i="4" s="1"/>
  <c r="J544" i="4"/>
  <c r="Z544" i="4" s="1"/>
  <c r="J187" i="4"/>
  <c r="Z187" i="4" s="1"/>
  <c r="K190" i="4"/>
  <c r="AA190" i="4" s="1"/>
  <c r="L177" i="4"/>
  <c r="O177" i="4" s="1"/>
  <c r="B86" i="4"/>
  <c r="V86" i="4" s="1"/>
  <c r="N60" i="6" l="1"/>
  <c r="O59" i="6"/>
  <c r="AA545" i="4" s="1"/>
  <c r="C59" i="6"/>
  <c r="B60" i="6"/>
  <c r="L638" i="4"/>
  <c r="O638" i="4" s="1"/>
  <c r="L550" i="4"/>
  <c r="O549" i="4"/>
  <c r="K510" i="4"/>
  <c r="AA510" i="4" s="1"/>
  <c r="L178" i="4"/>
  <c r="O178" i="4" s="1"/>
  <c r="J188" i="4"/>
  <c r="Z188" i="4" s="1"/>
  <c r="B87" i="4"/>
  <c r="V87" i="4" s="1"/>
  <c r="X136" i="4" l="1"/>
  <c r="X815" i="4"/>
  <c r="X819" i="4"/>
  <c r="X823" i="4"/>
  <c r="X827" i="4"/>
  <c r="X831" i="4"/>
  <c r="X835" i="4"/>
  <c r="X839" i="4"/>
  <c r="X843" i="4"/>
  <c r="X847" i="4"/>
  <c r="X851" i="4"/>
  <c r="X855" i="4"/>
  <c r="X859" i="4"/>
  <c r="X863" i="4"/>
  <c r="X867" i="4"/>
  <c r="X871" i="4"/>
  <c r="X875" i="4"/>
  <c r="X879" i="4"/>
  <c r="X812" i="4"/>
  <c r="X816" i="4"/>
  <c r="X820" i="4"/>
  <c r="X824" i="4"/>
  <c r="X828" i="4"/>
  <c r="X832" i="4"/>
  <c r="X836" i="4"/>
  <c r="X840" i="4"/>
  <c r="X844" i="4"/>
  <c r="X848" i="4"/>
  <c r="X852" i="4"/>
  <c r="X856" i="4"/>
  <c r="X860" i="4"/>
  <c r="X864" i="4"/>
  <c r="X868" i="4"/>
  <c r="X872" i="4"/>
  <c r="X876" i="4"/>
  <c r="X813" i="4"/>
  <c r="X817" i="4"/>
  <c r="X821" i="4"/>
  <c r="X825" i="4"/>
  <c r="X829" i="4"/>
  <c r="X833" i="4"/>
  <c r="X837" i="4"/>
  <c r="X841" i="4"/>
  <c r="X845" i="4"/>
  <c r="X849" i="4"/>
  <c r="X853" i="4"/>
  <c r="X857" i="4"/>
  <c r="X861" i="4"/>
  <c r="X865" i="4"/>
  <c r="X869" i="4"/>
  <c r="X873" i="4"/>
  <c r="X877" i="4"/>
  <c r="X818" i="4"/>
  <c r="X834" i="4"/>
  <c r="X850" i="4"/>
  <c r="X866" i="4"/>
  <c r="X822" i="4"/>
  <c r="X838" i="4"/>
  <c r="X854" i="4"/>
  <c r="X870" i="4"/>
  <c r="X826" i="4"/>
  <c r="X842" i="4"/>
  <c r="X858" i="4"/>
  <c r="X874" i="4"/>
  <c r="X814" i="4"/>
  <c r="X830" i="4"/>
  <c r="X846" i="4"/>
  <c r="X862" i="4"/>
  <c r="X878" i="4"/>
  <c r="O60" i="6"/>
  <c r="AA562" i="4" s="1"/>
  <c r="N61" i="6"/>
  <c r="B61" i="6"/>
  <c r="C60" i="6"/>
  <c r="L639" i="4"/>
  <c r="O639" i="4" s="1"/>
  <c r="L551" i="4"/>
  <c r="O550" i="4"/>
  <c r="J189" i="4"/>
  <c r="Z189" i="4" s="1"/>
  <c r="L179" i="4"/>
  <c r="O179" i="4" s="1"/>
  <c r="B88" i="4"/>
  <c r="V88" i="4" s="1"/>
  <c r="X1155" i="4" l="1"/>
  <c r="X1159" i="4"/>
  <c r="X1163" i="4"/>
  <c r="X1167" i="4"/>
  <c r="X1171" i="4"/>
  <c r="X1175" i="4"/>
  <c r="X1179" i="4"/>
  <c r="X1183" i="4"/>
  <c r="X1187" i="4"/>
  <c r="X1191" i="4"/>
  <c r="X1195" i="4"/>
  <c r="X1199" i="4"/>
  <c r="X1223" i="4"/>
  <c r="X1227" i="4"/>
  <c r="X1231" i="4"/>
  <c r="X1235" i="4"/>
  <c r="X1153" i="4"/>
  <c r="X1157" i="4"/>
  <c r="X1161" i="4"/>
  <c r="X1165" i="4"/>
  <c r="X1169" i="4"/>
  <c r="X1173" i="4"/>
  <c r="X1177" i="4"/>
  <c r="X1181" i="4"/>
  <c r="X1185" i="4"/>
  <c r="X1189" i="4"/>
  <c r="X1193" i="4"/>
  <c r="X1197" i="4"/>
  <c r="X1201" i="4"/>
  <c r="X1221" i="4"/>
  <c r="X1225" i="4"/>
  <c r="X1229" i="4"/>
  <c r="X1233" i="4"/>
  <c r="X1158" i="4"/>
  <c r="X1166" i="4"/>
  <c r="X1174" i="4"/>
  <c r="X1182" i="4"/>
  <c r="X1190" i="4"/>
  <c r="X1198" i="4"/>
  <c r="X1222" i="4"/>
  <c r="X1230" i="4"/>
  <c r="X1152" i="4"/>
  <c r="X1160" i="4"/>
  <c r="X1168" i="4"/>
  <c r="X1176" i="4"/>
  <c r="X1184" i="4"/>
  <c r="X1192" i="4"/>
  <c r="X1200" i="4"/>
  <c r="X1224" i="4"/>
  <c r="X1232" i="4"/>
  <c r="X1154" i="4"/>
  <c r="X1162" i="4"/>
  <c r="X1170" i="4"/>
  <c r="X1178" i="4"/>
  <c r="X1186" i="4"/>
  <c r="X1194" i="4"/>
  <c r="X1202" i="4"/>
  <c r="X1226" i="4"/>
  <c r="X1234" i="4"/>
  <c r="X1156" i="4"/>
  <c r="X1164" i="4"/>
  <c r="X1172" i="4"/>
  <c r="X1180" i="4"/>
  <c r="X1188" i="4"/>
  <c r="X1196" i="4"/>
  <c r="X1220" i="4"/>
  <c r="X1228" i="4"/>
  <c r="X1236" i="4"/>
  <c r="N62" i="6"/>
  <c r="O61" i="6"/>
  <c r="AA579" i="4" s="1"/>
  <c r="B62" i="6"/>
  <c r="C61" i="6"/>
  <c r="L640" i="4"/>
  <c r="O640" i="4" s="1"/>
  <c r="L552" i="4"/>
  <c r="O551" i="4"/>
  <c r="K512" i="4"/>
  <c r="AA512" i="4" s="1"/>
  <c r="J547" i="4"/>
  <c r="Z547" i="4" s="1"/>
  <c r="K194" i="4"/>
  <c r="AA194" i="4" s="1"/>
  <c r="L180" i="4"/>
  <c r="O180" i="4" s="1"/>
  <c r="J190" i="4"/>
  <c r="Z190" i="4" s="1"/>
  <c r="B89" i="4"/>
  <c r="V89" i="4" s="1"/>
  <c r="X1239" i="4" l="1"/>
  <c r="X1243" i="4"/>
  <c r="X1247" i="4"/>
  <c r="X1251" i="4"/>
  <c r="X1237" i="4"/>
  <c r="X1241" i="4"/>
  <c r="X1245" i="4"/>
  <c r="X1249" i="4"/>
  <c r="X1253" i="4"/>
  <c r="X1238" i="4"/>
  <c r="X1246" i="4"/>
  <c r="X1240" i="4"/>
  <c r="X1248" i="4"/>
  <c r="X1242" i="4"/>
  <c r="X1250" i="4"/>
  <c r="X1244" i="4"/>
  <c r="X1252" i="4"/>
  <c r="N63" i="6"/>
  <c r="O62" i="6"/>
  <c r="AA596" i="4" s="1"/>
  <c r="B63" i="6"/>
  <c r="C62" i="6"/>
  <c r="L641" i="4"/>
  <c r="O641" i="4" s="1"/>
  <c r="L553" i="4"/>
  <c r="O552" i="4"/>
  <c r="K513" i="4"/>
  <c r="AA513" i="4" s="1"/>
  <c r="J548" i="4"/>
  <c r="Z548" i="4" s="1"/>
  <c r="K195" i="4"/>
  <c r="AA195" i="4" s="1"/>
  <c r="L181" i="4"/>
  <c r="O181" i="4" s="1"/>
  <c r="B90" i="4"/>
  <c r="V90" i="4" s="1"/>
  <c r="X1271" i="4" l="1"/>
  <c r="X1275" i="4"/>
  <c r="X1279" i="4"/>
  <c r="X1283" i="4"/>
  <c r="X1287" i="4"/>
  <c r="X1307" i="4"/>
  <c r="X1311" i="4"/>
  <c r="X1315" i="4"/>
  <c r="X1319" i="4"/>
  <c r="X1273" i="4"/>
  <c r="X1277" i="4"/>
  <c r="X1281" i="4"/>
  <c r="X1285" i="4"/>
  <c r="X1278" i="4"/>
  <c r="X1286" i="4"/>
  <c r="X1306" i="4"/>
  <c r="X1312" i="4"/>
  <c r="X1317" i="4"/>
  <c r="X1272" i="4"/>
  <c r="X1280" i="4"/>
  <c r="X1308" i="4"/>
  <c r="X1313" i="4"/>
  <c r="X1318" i="4"/>
  <c r="X1274" i="4"/>
  <c r="X1282" i="4"/>
  <c r="X1309" i="4"/>
  <c r="X1314" i="4"/>
  <c r="X1320" i="4"/>
  <c r="X1276" i="4"/>
  <c r="X1284" i="4"/>
  <c r="X1305" i="4"/>
  <c r="X1310" i="4"/>
  <c r="X1316" i="4"/>
  <c r="X1321" i="4"/>
  <c r="N64" i="6"/>
  <c r="O63" i="6"/>
  <c r="B64" i="6"/>
  <c r="C63" i="6"/>
  <c r="L642" i="4"/>
  <c r="O642" i="4" s="1"/>
  <c r="L554" i="4"/>
  <c r="O553" i="4"/>
  <c r="K514" i="4"/>
  <c r="AA514" i="4" s="1"/>
  <c r="J549" i="4"/>
  <c r="Z549" i="4" s="1"/>
  <c r="K196" i="4"/>
  <c r="AA196" i="4" s="1"/>
  <c r="L182" i="4"/>
  <c r="O182" i="4" s="1"/>
  <c r="J193" i="4"/>
  <c r="Z193" i="4" s="1"/>
  <c r="B91" i="4"/>
  <c r="V91" i="4" s="1"/>
  <c r="AA613" i="4" l="1"/>
  <c r="AA614" i="4"/>
  <c r="X1342" i="4"/>
  <c r="X1346" i="4"/>
  <c r="X1350" i="4"/>
  <c r="X1354" i="4"/>
  <c r="X1343" i="4"/>
  <c r="X1347" i="4"/>
  <c r="X1351" i="4"/>
  <c r="X1355" i="4"/>
  <c r="X1344" i="4"/>
  <c r="X1348" i="4"/>
  <c r="X1352" i="4"/>
  <c r="X1356" i="4"/>
  <c r="X1341" i="4"/>
  <c r="X1345" i="4"/>
  <c r="X1349" i="4"/>
  <c r="X1353" i="4"/>
  <c r="X1357" i="4"/>
  <c r="N65" i="6"/>
  <c r="O64" i="6"/>
  <c r="AA615" i="4" s="1"/>
  <c r="B65" i="6"/>
  <c r="C64" i="6"/>
  <c r="L643" i="4"/>
  <c r="O643" i="4" s="1"/>
  <c r="L555" i="4"/>
  <c r="O554" i="4"/>
  <c r="K515" i="4"/>
  <c r="AA515" i="4" s="1"/>
  <c r="J550" i="4"/>
  <c r="Z550" i="4" s="1"/>
  <c r="L183" i="4"/>
  <c r="O183" i="4" s="1"/>
  <c r="J194" i="4"/>
  <c r="Z194" i="4" s="1"/>
  <c r="K197" i="4"/>
  <c r="AA197" i="4" s="1"/>
  <c r="B92" i="4"/>
  <c r="V92" i="4" s="1"/>
  <c r="X1362" i="4" l="1"/>
  <c r="X1366" i="4"/>
  <c r="X1370" i="4"/>
  <c r="X1374" i="4"/>
  <c r="X1378" i="4"/>
  <c r="X1359" i="4"/>
  <c r="X1363" i="4"/>
  <c r="X1367" i="4"/>
  <c r="X1371" i="4"/>
  <c r="X1375" i="4"/>
  <c r="X1360" i="4"/>
  <c r="X1364" i="4"/>
  <c r="X1368" i="4"/>
  <c r="X1372" i="4"/>
  <c r="X1376" i="4"/>
  <c r="X1361" i="4"/>
  <c r="X1365" i="4"/>
  <c r="X1369" i="4"/>
  <c r="X1373" i="4"/>
  <c r="X1377" i="4"/>
  <c r="N66" i="6"/>
  <c r="O65" i="6"/>
  <c r="AA616" i="4" s="1"/>
  <c r="C65" i="6"/>
  <c r="B66" i="6"/>
  <c r="L644" i="4"/>
  <c r="O644" i="4" s="1"/>
  <c r="L556" i="4"/>
  <c r="O555" i="4"/>
  <c r="K516" i="4"/>
  <c r="AA516" i="4" s="1"/>
  <c r="J551" i="4"/>
  <c r="Z551" i="4" s="1"/>
  <c r="L184" i="4"/>
  <c r="O184" i="4" s="1"/>
  <c r="K198" i="4"/>
  <c r="AA198" i="4" s="1"/>
  <c r="J195" i="4"/>
  <c r="Z195" i="4" s="1"/>
  <c r="B93" i="4"/>
  <c r="V93" i="4" s="1"/>
  <c r="X1418" i="4" l="1"/>
  <c r="X1422" i="4"/>
  <c r="X1426" i="4"/>
  <c r="X1430" i="4"/>
  <c r="X1415" i="4"/>
  <c r="X1419" i="4"/>
  <c r="X1423" i="4"/>
  <c r="X1427" i="4"/>
  <c r="X1416" i="4"/>
  <c r="X1420" i="4"/>
  <c r="X1424" i="4"/>
  <c r="X1428" i="4"/>
  <c r="X1417" i="4"/>
  <c r="X1421" i="4"/>
  <c r="X1425" i="4"/>
  <c r="X1429" i="4"/>
  <c r="O66" i="6"/>
  <c r="AA617" i="4" s="1"/>
  <c r="N67" i="6"/>
  <c r="B67" i="6"/>
  <c r="C66" i="6"/>
  <c r="L645" i="4"/>
  <c r="O645" i="4" s="1"/>
  <c r="L557" i="4"/>
  <c r="O556" i="4"/>
  <c r="K517" i="4"/>
  <c r="AA517" i="4" s="1"/>
  <c r="J552" i="4"/>
  <c r="Z552" i="4" s="1"/>
  <c r="J196" i="4"/>
  <c r="Z196" i="4" s="1"/>
  <c r="L185" i="4"/>
  <c r="O185" i="4" s="1"/>
  <c r="K199" i="4"/>
  <c r="AA199" i="4" s="1"/>
  <c r="B94" i="4"/>
  <c r="V94" i="4" s="1"/>
  <c r="X1434" i="4" l="1"/>
  <c r="X1438" i="4"/>
  <c r="X1442" i="4"/>
  <c r="X1446" i="4"/>
  <c r="X1678" i="4"/>
  <c r="X1682" i="4"/>
  <c r="X1686" i="4"/>
  <c r="X1690" i="4"/>
  <c r="X1431" i="4"/>
  <c r="X1435" i="4"/>
  <c r="X1439" i="4"/>
  <c r="X1443" i="4"/>
  <c r="X1447" i="4"/>
  <c r="X1675" i="4"/>
  <c r="X1679" i="4"/>
  <c r="X1683" i="4"/>
  <c r="X1687" i="4"/>
  <c r="X1691" i="4"/>
  <c r="X1432" i="4"/>
  <c r="X1436" i="4"/>
  <c r="X1440" i="4"/>
  <c r="X1444" i="4"/>
  <c r="X1676" i="4"/>
  <c r="X1680" i="4"/>
  <c r="X1684" i="4"/>
  <c r="X1688" i="4"/>
  <c r="X1433" i="4"/>
  <c r="X1437" i="4"/>
  <c r="X1441" i="4"/>
  <c r="X1445" i="4"/>
  <c r="X1677" i="4"/>
  <c r="X1681" i="4"/>
  <c r="X1685" i="4"/>
  <c r="X1689" i="4"/>
  <c r="N68" i="6"/>
  <c r="O67" i="6"/>
  <c r="B68" i="6"/>
  <c r="C67" i="6"/>
  <c r="L646" i="4"/>
  <c r="O646" i="4" s="1"/>
  <c r="L558" i="4"/>
  <c r="O557" i="4"/>
  <c r="K518" i="4"/>
  <c r="AA518" i="4" s="1"/>
  <c r="J553" i="4"/>
  <c r="Z553" i="4" s="1"/>
  <c r="K200" i="4"/>
  <c r="AA200" i="4" s="1"/>
  <c r="L186" i="4"/>
  <c r="O186" i="4" s="1"/>
  <c r="J197" i="4"/>
  <c r="Z197" i="4" s="1"/>
  <c r="B95" i="4"/>
  <c r="V95" i="4" s="1"/>
  <c r="AA634" i="4" l="1"/>
  <c r="AA651" i="4"/>
  <c r="X1450" i="4"/>
  <c r="X1454" i="4"/>
  <c r="X1458" i="4"/>
  <c r="X1462" i="4"/>
  <c r="X1694" i="4"/>
  <c r="X1698" i="4"/>
  <c r="X1702" i="4"/>
  <c r="X1706" i="4"/>
  <c r="X1451" i="4"/>
  <c r="X1455" i="4"/>
  <c r="X1459" i="4"/>
  <c r="X1463" i="4"/>
  <c r="X1695" i="4"/>
  <c r="X1699" i="4"/>
  <c r="X1448" i="4"/>
  <c r="X1452" i="4"/>
  <c r="X1456" i="4"/>
  <c r="X1460" i="4"/>
  <c r="X1464" i="4"/>
  <c r="X1692" i="4"/>
  <c r="X1696" i="4"/>
  <c r="X1700" i="4"/>
  <c r="X1704" i="4"/>
  <c r="X1708" i="4"/>
  <c r="X1449" i="4"/>
  <c r="X1453" i="4"/>
  <c r="X1457" i="4"/>
  <c r="X1461" i="4"/>
  <c r="X1693" i="4"/>
  <c r="X1705" i="4"/>
  <c r="X1697" i="4"/>
  <c r="X1707" i="4"/>
  <c r="X1701" i="4"/>
  <c r="X1703" i="4"/>
  <c r="O68" i="6"/>
  <c r="AA719" i="4" s="1"/>
  <c r="N69" i="6"/>
  <c r="B69" i="6"/>
  <c r="C68" i="6"/>
  <c r="L647" i="4"/>
  <c r="O647" i="4" s="1"/>
  <c r="L559" i="4"/>
  <c r="O558" i="4"/>
  <c r="K519" i="4"/>
  <c r="AA519" i="4" s="1"/>
  <c r="J554" i="4"/>
  <c r="Z554" i="4" s="1"/>
  <c r="L187" i="4"/>
  <c r="O187" i="4" s="1"/>
  <c r="J198" i="4"/>
  <c r="Z198" i="4" s="1"/>
  <c r="K201" i="4"/>
  <c r="AA201" i="4" s="1"/>
  <c r="B96" i="4"/>
  <c r="V96" i="4" s="1"/>
  <c r="N70" i="6" l="1"/>
  <c r="O69" i="6"/>
  <c r="AA720" i="4" s="1"/>
  <c r="C69" i="6"/>
  <c r="B70" i="6"/>
  <c r="L648" i="4"/>
  <c r="O648" i="4" s="1"/>
  <c r="L560" i="4"/>
  <c r="O559" i="4"/>
  <c r="K520" i="4"/>
  <c r="AA520" i="4" s="1"/>
  <c r="J555" i="4"/>
  <c r="Z555" i="4" s="1"/>
  <c r="L188" i="4"/>
  <c r="O188" i="4" s="1"/>
  <c r="K202" i="4"/>
  <c r="AA202" i="4" s="1"/>
  <c r="J199" i="4"/>
  <c r="Z199" i="4" s="1"/>
  <c r="B97" i="4"/>
  <c r="V97" i="4" s="1"/>
  <c r="X1135" i="4" l="1"/>
  <c r="X1136" i="4"/>
  <c r="X1137" i="4"/>
  <c r="X1138" i="4"/>
  <c r="X1139" i="4"/>
  <c r="X1140" i="4"/>
  <c r="X1141" i="4"/>
  <c r="X1142" i="4"/>
  <c r="X1143" i="4"/>
  <c r="X1144" i="4"/>
  <c r="X1145" i="4"/>
  <c r="X1146" i="4"/>
  <c r="X1147" i="4"/>
  <c r="X1148" i="4"/>
  <c r="X1149" i="4"/>
  <c r="X1150" i="4"/>
  <c r="X1151" i="4"/>
  <c r="O70" i="6"/>
  <c r="AA737" i="4" s="1"/>
  <c r="N71" i="6"/>
  <c r="B71" i="6"/>
  <c r="C70" i="6"/>
  <c r="X1339" i="4" s="1"/>
  <c r="L649" i="4"/>
  <c r="O649" i="4" s="1"/>
  <c r="L561" i="4"/>
  <c r="O560" i="4"/>
  <c r="K521" i="4"/>
  <c r="AA521" i="4" s="1"/>
  <c r="J556" i="4"/>
  <c r="Z556" i="4" s="1"/>
  <c r="J200" i="4"/>
  <c r="Z200" i="4" s="1"/>
  <c r="L189" i="4"/>
  <c r="O189" i="4" s="1"/>
  <c r="K203" i="4"/>
  <c r="AA203" i="4" s="1"/>
  <c r="B98" i="4"/>
  <c r="V98" i="4" s="1"/>
  <c r="N72" i="6" l="1"/>
  <c r="O71" i="6"/>
  <c r="AA754" i="4" s="1"/>
  <c r="B72" i="6"/>
  <c r="C71" i="6"/>
  <c r="X1340" i="4" s="1"/>
  <c r="L650" i="4"/>
  <c r="O650" i="4" s="1"/>
  <c r="L563" i="4"/>
  <c r="O561" i="4"/>
  <c r="K522" i="4"/>
  <c r="AA522" i="4" s="1"/>
  <c r="J557" i="4"/>
  <c r="Z557" i="4" s="1"/>
  <c r="K204" i="4"/>
  <c r="AA204" i="4" s="1"/>
  <c r="L190" i="4"/>
  <c r="O190" i="4" s="1"/>
  <c r="J201" i="4"/>
  <c r="Z201" i="4" s="1"/>
  <c r="B99" i="4"/>
  <c r="V99" i="4" s="1"/>
  <c r="O72" i="6" l="1"/>
  <c r="AA771" i="4" s="1"/>
  <c r="N73" i="6"/>
  <c r="B73" i="6"/>
  <c r="C72" i="6"/>
  <c r="L652" i="4"/>
  <c r="L564" i="4"/>
  <c r="O563" i="4"/>
  <c r="K523" i="4"/>
  <c r="AA523" i="4" s="1"/>
  <c r="J558" i="4"/>
  <c r="Z558" i="4" s="1"/>
  <c r="J202" i="4"/>
  <c r="Z202" i="4" s="1"/>
  <c r="K205" i="4"/>
  <c r="AA205" i="4" s="1"/>
  <c r="B100" i="4"/>
  <c r="V100" i="4" s="1"/>
  <c r="X1466" i="4" l="1"/>
  <c r="X1470" i="4"/>
  <c r="X1474" i="4"/>
  <c r="X1478" i="4"/>
  <c r="X1467" i="4"/>
  <c r="X1471" i="4"/>
  <c r="X1475" i="4"/>
  <c r="X1479" i="4"/>
  <c r="X1468" i="4"/>
  <c r="X1472" i="4"/>
  <c r="X1476" i="4"/>
  <c r="X1480" i="4"/>
  <c r="X1465" i="4"/>
  <c r="X1469" i="4"/>
  <c r="X1473" i="4"/>
  <c r="X1477" i="4"/>
  <c r="X1481" i="4"/>
  <c r="N74" i="6"/>
  <c r="O73" i="6"/>
  <c r="AA772" i="4" s="1"/>
  <c r="C73" i="6"/>
  <c r="B74" i="6"/>
  <c r="L653" i="4"/>
  <c r="O652" i="4"/>
  <c r="L565" i="4"/>
  <c r="O564" i="4"/>
  <c r="K524" i="4"/>
  <c r="AA524" i="4" s="1"/>
  <c r="J559" i="4"/>
  <c r="Z559" i="4" s="1"/>
  <c r="L193" i="4"/>
  <c r="K206" i="4"/>
  <c r="AA206" i="4" s="1"/>
  <c r="J203" i="4"/>
  <c r="Z203" i="4" s="1"/>
  <c r="B101" i="4"/>
  <c r="V101" i="4" s="1"/>
  <c r="X1482" i="4" l="1"/>
  <c r="X1486" i="4"/>
  <c r="X1490" i="4"/>
  <c r="X1494" i="4"/>
  <c r="X1498" i="4"/>
  <c r="X1483" i="4"/>
  <c r="X1487" i="4"/>
  <c r="X1491" i="4"/>
  <c r="X1495" i="4"/>
  <c r="X1499" i="4"/>
  <c r="X1484" i="4"/>
  <c r="X1488" i="4"/>
  <c r="X1492" i="4"/>
  <c r="X1496" i="4"/>
  <c r="X1500" i="4"/>
  <c r="X1485" i="4"/>
  <c r="X1489" i="4"/>
  <c r="X1493" i="4"/>
  <c r="X1497" i="4"/>
  <c r="O74" i="6"/>
  <c r="AA773" i="4" s="1"/>
  <c r="N75" i="6"/>
  <c r="B75" i="6"/>
  <c r="C74" i="6"/>
  <c r="L654" i="4"/>
  <c r="O653" i="4"/>
  <c r="L566" i="4"/>
  <c r="O565" i="4"/>
  <c r="K525" i="4"/>
  <c r="AA525" i="4" s="1"/>
  <c r="J560" i="4"/>
  <c r="Z560" i="4" s="1"/>
  <c r="J204" i="4"/>
  <c r="Z204" i="4" s="1"/>
  <c r="L194" i="4"/>
  <c r="K207" i="4"/>
  <c r="AA207" i="4" s="1"/>
  <c r="B102" i="4"/>
  <c r="V102" i="4" s="1"/>
  <c r="X31" i="4" l="1"/>
  <c r="X35" i="4"/>
  <c r="X39" i="4"/>
  <c r="X43" i="4"/>
  <c r="X32" i="4"/>
  <c r="X36" i="4"/>
  <c r="X40" i="4"/>
  <c r="X44" i="4"/>
  <c r="X29" i="4"/>
  <c r="X33" i="4"/>
  <c r="X37" i="4"/>
  <c r="X41" i="4"/>
  <c r="X45" i="4"/>
  <c r="X30" i="4"/>
  <c r="X34" i="4"/>
  <c r="X38" i="4"/>
  <c r="X42" i="4"/>
  <c r="N76" i="6"/>
  <c r="O75" i="6"/>
  <c r="AA774" i="4" s="1"/>
  <c r="B76" i="6"/>
  <c r="C75" i="6"/>
  <c r="L655" i="4"/>
  <c r="O654" i="4"/>
  <c r="L567" i="4"/>
  <c r="O566" i="4"/>
  <c r="K526" i="4"/>
  <c r="AA526" i="4" s="1"/>
  <c r="J561" i="4"/>
  <c r="Z561" i="4" s="1"/>
  <c r="K208" i="4"/>
  <c r="AA208" i="4" s="1"/>
  <c r="L195" i="4"/>
  <c r="J205" i="4"/>
  <c r="Z205" i="4" s="1"/>
  <c r="B103" i="4"/>
  <c r="V103" i="4" s="1"/>
  <c r="X175" i="4" l="1"/>
  <c r="X179" i="4"/>
  <c r="X183" i="4"/>
  <c r="X187" i="4"/>
  <c r="X176" i="4"/>
  <c r="X177" i="4"/>
  <c r="X181" i="4"/>
  <c r="X185" i="4"/>
  <c r="X189" i="4"/>
  <c r="X174" i="4"/>
  <c r="X184" i="4"/>
  <c r="X178" i="4"/>
  <c r="X186" i="4"/>
  <c r="X180" i="4"/>
  <c r="X188" i="4"/>
  <c r="X182" i="4"/>
  <c r="X190" i="4"/>
  <c r="O76" i="6"/>
  <c r="AA775" i="4" s="1"/>
  <c r="N77" i="6"/>
  <c r="C76" i="6"/>
  <c r="B77" i="6"/>
  <c r="L656" i="4"/>
  <c r="O655" i="4"/>
  <c r="L568" i="4"/>
  <c r="O567" i="4"/>
  <c r="K527" i="4"/>
  <c r="AA527" i="4" s="1"/>
  <c r="L196" i="4"/>
  <c r="J206" i="4"/>
  <c r="Z206" i="4" s="1"/>
  <c r="B104" i="4"/>
  <c r="V104" i="4" s="1"/>
  <c r="X563" i="4" l="1"/>
  <c r="X567" i="4"/>
  <c r="X571" i="4"/>
  <c r="X575" i="4"/>
  <c r="X564" i="4"/>
  <c r="X568" i="4"/>
  <c r="X572" i="4"/>
  <c r="X576" i="4"/>
  <c r="X565" i="4"/>
  <c r="X569" i="4"/>
  <c r="X573" i="4"/>
  <c r="X577" i="4"/>
  <c r="X562" i="4"/>
  <c r="X578" i="4"/>
  <c r="X566" i="4"/>
  <c r="X570" i="4"/>
  <c r="X574" i="4"/>
  <c r="N78" i="6"/>
  <c r="O77" i="6"/>
  <c r="AA776" i="4" s="1"/>
  <c r="C77" i="6"/>
  <c r="X719" i="4" s="1"/>
  <c r="B78" i="6"/>
  <c r="L657" i="4"/>
  <c r="O656" i="4"/>
  <c r="L569" i="4"/>
  <c r="O568" i="4"/>
  <c r="J207" i="4"/>
  <c r="Z207" i="4" s="1"/>
  <c r="K210" i="4"/>
  <c r="AA210" i="4" s="1"/>
  <c r="L197" i="4"/>
  <c r="B105" i="4"/>
  <c r="V105" i="4" s="1"/>
  <c r="O78" i="6" l="1"/>
  <c r="AA793" i="4" s="1"/>
  <c r="N79" i="6"/>
  <c r="C78" i="6"/>
  <c r="B79" i="6"/>
  <c r="L658" i="4"/>
  <c r="O657" i="4"/>
  <c r="L570" i="4"/>
  <c r="O569" i="4"/>
  <c r="K529" i="4"/>
  <c r="AA529" i="4" s="1"/>
  <c r="J564" i="4"/>
  <c r="Z564" i="4" s="1"/>
  <c r="L198" i="4"/>
  <c r="K211" i="4"/>
  <c r="AA211" i="4" s="1"/>
  <c r="J208" i="4"/>
  <c r="Z208" i="4" s="1"/>
  <c r="B106" i="4"/>
  <c r="V106" i="4" s="1"/>
  <c r="X1502" i="4" l="1"/>
  <c r="X1506" i="4"/>
  <c r="X1510" i="4"/>
  <c r="X1514" i="4"/>
  <c r="X1518" i="4"/>
  <c r="X1503" i="4"/>
  <c r="X1507" i="4"/>
  <c r="X1511" i="4"/>
  <c r="X1515" i="4"/>
  <c r="X1504" i="4"/>
  <c r="X1508" i="4"/>
  <c r="X1512" i="4"/>
  <c r="X1516" i="4"/>
  <c r="X1501" i="4"/>
  <c r="X1505" i="4"/>
  <c r="X1509" i="4"/>
  <c r="X1513" i="4"/>
  <c r="X1517" i="4"/>
  <c r="C79" i="6"/>
  <c r="B80" i="6"/>
  <c r="O79" i="6"/>
  <c r="AA794" i="4" s="1"/>
  <c r="N80" i="6"/>
  <c r="L659" i="4"/>
  <c r="O658" i="4"/>
  <c r="L571" i="4"/>
  <c r="O570" i="4"/>
  <c r="K530" i="4"/>
  <c r="AA530" i="4" s="1"/>
  <c r="J565" i="4"/>
  <c r="Z565" i="4" s="1"/>
  <c r="K212" i="4"/>
  <c r="AA212" i="4" s="1"/>
  <c r="L199" i="4"/>
  <c r="B107" i="4"/>
  <c r="V107" i="4" s="1"/>
  <c r="X1522" i="4" l="1"/>
  <c r="X1526" i="4"/>
  <c r="X1530" i="4"/>
  <c r="X1534" i="4"/>
  <c r="X1538" i="4"/>
  <c r="X1542" i="4"/>
  <c r="X1546" i="4"/>
  <c r="X1550" i="4"/>
  <c r="X1519" i="4"/>
  <c r="X1523" i="4"/>
  <c r="X1527" i="4"/>
  <c r="X1531" i="4"/>
  <c r="X1535" i="4"/>
  <c r="X1539" i="4"/>
  <c r="X1543" i="4"/>
  <c r="X1547" i="4"/>
  <c r="X1551" i="4"/>
  <c r="X1520" i="4"/>
  <c r="X1524" i="4"/>
  <c r="X1528" i="4"/>
  <c r="X1532" i="4"/>
  <c r="X1536" i="4"/>
  <c r="X1540" i="4"/>
  <c r="X1544" i="4"/>
  <c r="X1548" i="4"/>
  <c r="X1552" i="4"/>
  <c r="X1521" i="4"/>
  <c r="X1525" i="4"/>
  <c r="X1529" i="4"/>
  <c r="X1533" i="4"/>
  <c r="X1537" i="4"/>
  <c r="X1541" i="4"/>
  <c r="X1545" i="4"/>
  <c r="X1549" i="4"/>
  <c r="O80" i="6"/>
  <c r="AA811" i="4" s="1"/>
  <c r="N81" i="6"/>
  <c r="B81" i="6"/>
  <c r="C80" i="6"/>
  <c r="L660" i="4"/>
  <c r="O659" i="4"/>
  <c r="L572" i="4"/>
  <c r="O571" i="4"/>
  <c r="K531" i="4"/>
  <c r="AA531" i="4" s="1"/>
  <c r="J566" i="4"/>
  <c r="Z566" i="4" s="1"/>
  <c r="L200" i="4"/>
  <c r="K213" i="4"/>
  <c r="AA213" i="4" s="1"/>
  <c r="B108" i="4"/>
  <c r="V108" i="4" s="1"/>
  <c r="X1554" i="4" l="1"/>
  <c r="X1558" i="4"/>
  <c r="X1562" i="4"/>
  <c r="X1566" i="4"/>
  <c r="X1570" i="4"/>
  <c r="X1574" i="4"/>
  <c r="X1578" i="4"/>
  <c r="X1582" i="4"/>
  <c r="X1586" i="4"/>
  <c r="X1590" i="4"/>
  <c r="X1594" i="4"/>
  <c r="X1598" i="4"/>
  <c r="X1602" i="4"/>
  <c r="X1606" i="4"/>
  <c r="X1610" i="4"/>
  <c r="X1614" i="4"/>
  <c r="X1618" i="4"/>
  <c r="X1555" i="4"/>
  <c r="X1559" i="4"/>
  <c r="X1563" i="4"/>
  <c r="X1567" i="4"/>
  <c r="X1571" i="4"/>
  <c r="X1575" i="4"/>
  <c r="X1579" i="4"/>
  <c r="X1583" i="4"/>
  <c r="X1587" i="4"/>
  <c r="X1591" i="4"/>
  <c r="X1595" i="4"/>
  <c r="X1599" i="4"/>
  <c r="X1603" i="4"/>
  <c r="X1607" i="4"/>
  <c r="X1611" i="4"/>
  <c r="X1615" i="4"/>
  <c r="X1619" i="4"/>
  <c r="X1556" i="4"/>
  <c r="X1560" i="4"/>
  <c r="X1564" i="4"/>
  <c r="X1568" i="4"/>
  <c r="X1572" i="4"/>
  <c r="X1576" i="4"/>
  <c r="X1580" i="4"/>
  <c r="X1584" i="4"/>
  <c r="X1588" i="4"/>
  <c r="X1592" i="4"/>
  <c r="X1596" i="4"/>
  <c r="X1600" i="4"/>
  <c r="X1604" i="4"/>
  <c r="X1608" i="4"/>
  <c r="X1612" i="4"/>
  <c r="X1616" i="4"/>
  <c r="X1620" i="4"/>
  <c r="X1553" i="4"/>
  <c r="X1557" i="4"/>
  <c r="X1561" i="4"/>
  <c r="X1565" i="4"/>
  <c r="X1569" i="4"/>
  <c r="X1573" i="4"/>
  <c r="X1577" i="4"/>
  <c r="X1581" i="4"/>
  <c r="X1585" i="4"/>
  <c r="X1589" i="4"/>
  <c r="X1593" i="4"/>
  <c r="X1597" i="4"/>
  <c r="X1601" i="4"/>
  <c r="X1605" i="4"/>
  <c r="X1609" i="4"/>
  <c r="X1613" i="4"/>
  <c r="X1617" i="4"/>
  <c r="X1621" i="4"/>
  <c r="C81" i="6"/>
  <c r="X1622" i="4" s="1"/>
  <c r="B82" i="6"/>
  <c r="N82" i="6"/>
  <c r="O81" i="6"/>
  <c r="L661" i="4"/>
  <c r="O660" i="4"/>
  <c r="L573" i="4"/>
  <c r="O572" i="4"/>
  <c r="K532" i="4"/>
  <c r="AA532" i="4" s="1"/>
  <c r="J567" i="4"/>
  <c r="Z567" i="4" s="1"/>
  <c r="J211" i="4"/>
  <c r="Z211" i="4" s="1"/>
  <c r="K214" i="4"/>
  <c r="AA214" i="4" s="1"/>
  <c r="L201" i="4"/>
  <c r="B109" i="4"/>
  <c r="V109" i="4" s="1"/>
  <c r="AA829" i="4" l="1"/>
  <c r="AA812" i="4"/>
  <c r="O82" i="6"/>
  <c r="N83" i="6"/>
  <c r="C82" i="6"/>
  <c r="X1623" i="4" s="1"/>
  <c r="B83" i="6"/>
  <c r="L662" i="4"/>
  <c r="O661" i="4"/>
  <c r="L574" i="4"/>
  <c r="O573" i="4"/>
  <c r="K533" i="4"/>
  <c r="AA533" i="4" s="1"/>
  <c r="J568" i="4"/>
  <c r="Z568" i="4" s="1"/>
  <c r="L202" i="4"/>
  <c r="K215" i="4"/>
  <c r="AA215" i="4" s="1"/>
  <c r="J212" i="4"/>
  <c r="Z212" i="4" s="1"/>
  <c r="B110" i="4"/>
  <c r="V110" i="4" s="1"/>
  <c r="AA813" i="4" l="1"/>
  <c r="AA830" i="4"/>
  <c r="AA831" i="4"/>
  <c r="AA832" i="4"/>
  <c r="AA833" i="4"/>
  <c r="AA834" i="4"/>
  <c r="AA835" i="4"/>
  <c r="AA836" i="4"/>
  <c r="AA837" i="4"/>
  <c r="AA838" i="4"/>
  <c r="AA839" i="4"/>
  <c r="AA840" i="4"/>
  <c r="AA841" i="4"/>
  <c r="AA842" i="4"/>
  <c r="AA843" i="4"/>
  <c r="AA844" i="4"/>
  <c r="AA845" i="4"/>
  <c r="C83" i="6"/>
  <c r="X1624" i="4" s="1"/>
  <c r="B84" i="6"/>
  <c r="N84" i="6"/>
  <c r="O83" i="6"/>
  <c r="L663" i="4"/>
  <c r="O662" i="4"/>
  <c r="L575" i="4"/>
  <c r="O574" i="4"/>
  <c r="K534" i="4"/>
  <c r="AA534" i="4" s="1"/>
  <c r="J569" i="4"/>
  <c r="Z569" i="4" s="1"/>
  <c r="K216" i="4"/>
  <c r="AA216" i="4" s="1"/>
  <c r="J213" i="4"/>
  <c r="Z213" i="4" s="1"/>
  <c r="L203" i="4"/>
  <c r="B111" i="4"/>
  <c r="V111" i="4" s="1"/>
  <c r="AA847" i="4" l="1"/>
  <c r="AA863" i="4"/>
  <c r="AA864" i="4"/>
  <c r="AA846" i="4"/>
  <c r="AA848" i="4"/>
  <c r="AA865" i="4"/>
  <c r="AA849" i="4"/>
  <c r="AA866" i="4"/>
  <c r="AA867" i="4"/>
  <c r="AA850" i="4"/>
  <c r="AA851" i="4"/>
  <c r="AA868" i="4"/>
  <c r="AA852" i="4"/>
  <c r="AA869" i="4"/>
  <c r="AA870" i="4"/>
  <c r="AA853" i="4"/>
  <c r="AA854" i="4"/>
  <c r="AA872" i="4"/>
  <c r="AA871" i="4"/>
  <c r="AA873" i="4"/>
  <c r="AA855" i="4"/>
  <c r="AA856" i="4"/>
  <c r="AA874" i="4"/>
  <c r="AA875" i="4"/>
  <c r="AA857" i="4"/>
  <c r="AA876" i="4"/>
  <c r="AA858" i="4"/>
  <c r="AA859" i="4"/>
  <c r="AA877" i="4"/>
  <c r="AA878" i="4"/>
  <c r="AA860" i="4"/>
  <c r="AA879" i="4"/>
  <c r="AA861" i="4"/>
  <c r="AA862" i="4"/>
  <c r="N85" i="6"/>
  <c r="O84" i="6"/>
  <c r="B85" i="6"/>
  <c r="C84" i="6"/>
  <c r="L664" i="4"/>
  <c r="O663" i="4"/>
  <c r="L576" i="4"/>
  <c r="O575" i="4"/>
  <c r="K535" i="4"/>
  <c r="AA535" i="4" s="1"/>
  <c r="J570" i="4"/>
  <c r="Z570" i="4" s="1"/>
  <c r="L204" i="4"/>
  <c r="J214" i="4"/>
  <c r="Z214" i="4" s="1"/>
  <c r="K217" i="4"/>
  <c r="AA217" i="4" s="1"/>
  <c r="B112" i="4"/>
  <c r="V112" i="4" s="1"/>
  <c r="AA881" i="4" l="1"/>
  <c r="AA880" i="4"/>
  <c r="AA882" i="4"/>
  <c r="AA883" i="4"/>
  <c r="AA884" i="4"/>
  <c r="AA886" i="4"/>
  <c r="AA885" i="4"/>
  <c r="AA887" i="4"/>
  <c r="AA888" i="4"/>
  <c r="AA889" i="4"/>
  <c r="AA890" i="4"/>
  <c r="AA891" i="4"/>
  <c r="AA892" i="4"/>
  <c r="AA893" i="4"/>
  <c r="AA894" i="4"/>
  <c r="AA895" i="4"/>
  <c r="AA896" i="4"/>
  <c r="X1626" i="4"/>
  <c r="X1630" i="4"/>
  <c r="X1634" i="4"/>
  <c r="X1627" i="4"/>
  <c r="X1631" i="4"/>
  <c r="X1635" i="4"/>
  <c r="X1628" i="4"/>
  <c r="X1632" i="4"/>
  <c r="X1636" i="4"/>
  <c r="X1625" i="4"/>
  <c r="X1629" i="4"/>
  <c r="X1633" i="4"/>
  <c r="X1637" i="4"/>
  <c r="N86" i="6"/>
  <c r="O85" i="6"/>
  <c r="C85" i="6"/>
  <c r="B86" i="6"/>
  <c r="L665" i="4"/>
  <c r="O664" i="4"/>
  <c r="L577" i="4"/>
  <c r="O576" i="4"/>
  <c r="K536" i="4"/>
  <c r="AA536" i="4" s="1"/>
  <c r="J571" i="4"/>
  <c r="Z571" i="4" s="1"/>
  <c r="J215" i="4"/>
  <c r="Z215" i="4" s="1"/>
  <c r="L205" i="4"/>
  <c r="K218" i="4"/>
  <c r="AA218" i="4" s="1"/>
  <c r="B113" i="4"/>
  <c r="V113" i="4" s="1"/>
  <c r="AA915" i="4" l="1"/>
  <c r="AA897" i="4"/>
  <c r="AA898" i="4"/>
  <c r="AA916" i="4"/>
  <c r="AA899" i="4"/>
  <c r="AA917" i="4"/>
  <c r="AA900" i="4"/>
  <c r="AA918" i="4"/>
  <c r="AA901" i="4"/>
  <c r="AA919" i="4"/>
  <c r="AA902" i="4"/>
  <c r="AA903" i="4"/>
  <c r="AA920" i="4"/>
  <c r="AA921" i="4"/>
  <c r="AA904" i="4"/>
  <c r="AA922" i="4"/>
  <c r="AA905" i="4"/>
  <c r="AA923" i="4"/>
  <c r="AA906" i="4"/>
  <c r="AA924" i="4"/>
  <c r="AA907" i="4"/>
  <c r="AA908" i="4"/>
  <c r="AA925" i="4"/>
  <c r="AA927" i="4"/>
  <c r="AA909" i="4"/>
  <c r="AA926" i="4"/>
  <c r="AA928" i="4"/>
  <c r="AA910" i="4"/>
  <c r="AA911" i="4"/>
  <c r="AA929" i="4"/>
  <c r="AA930" i="4"/>
  <c r="AA912" i="4"/>
  <c r="AA913" i="4"/>
  <c r="X1638" i="4"/>
  <c r="X1642" i="4"/>
  <c r="X1646" i="4"/>
  <c r="X1650" i="4"/>
  <c r="X1654" i="4"/>
  <c r="X1639" i="4"/>
  <c r="X1643" i="4"/>
  <c r="X1647" i="4"/>
  <c r="X1651" i="4"/>
  <c r="X1640" i="4"/>
  <c r="X1644" i="4"/>
  <c r="X1648" i="4"/>
  <c r="X1652" i="4"/>
  <c r="X1641" i="4"/>
  <c r="X1645" i="4"/>
  <c r="X1649" i="4"/>
  <c r="X1653" i="4"/>
  <c r="C86" i="6"/>
  <c r="B87" i="6"/>
  <c r="N87" i="6"/>
  <c r="O86" i="6"/>
  <c r="AA914" i="4" s="1"/>
  <c r="L666" i="4"/>
  <c r="O665" i="4"/>
  <c r="L578" i="4"/>
  <c r="O577" i="4"/>
  <c r="K537" i="4"/>
  <c r="AA537" i="4" s="1"/>
  <c r="J572" i="4"/>
  <c r="Z572" i="4" s="1"/>
  <c r="K219" i="4"/>
  <c r="AA219" i="4" s="1"/>
  <c r="L206" i="4"/>
  <c r="J216" i="4"/>
  <c r="Z216" i="4" s="1"/>
  <c r="B114" i="4"/>
  <c r="V114" i="4" s="1"/>
  <c r="X1658" i="4" l="1"/>
  <c r="X1662" i="4"/>
  <c r="X1666" i="4"/>
  <c r="X1670" i="4"/>
  <c r="X1655" i="4"/>
  <c r="X1659" i="4"/>
  <c r="X1663" i="4"/>
  <c r="X1667" i="4"/>
  <c r="X1671" i="4"/>
  <c r="X1656" i="4"/>
  <c r="X1660" i="4"/>
  <c r="X1664" i="4"/>
  <c r="X1668" i="4"/>
  <c r="X1657" i="4"/>
  <c r="X1661" i="4"/>
  <c r="X1665" i="4"/>
  <c r="X1669" i="4"/>
  <c r="N88" i="6"/>
  <c r="O87" i="6"/>
  <c r="C87" i="6"/>
  <c r="X1672" i="4" s="1"/>
  <c r="B88" i="6"/>
  <c r="L667" i="4"/>
  <c r="O666" i="4"/>
  <c r="L580" i="4"/>
  <c r="O578" i="4"/>
  <c r="K538" i="4"/>
  <c r="AA538" i="4" s="1"/>
  <c r="J573" i="4"/>
  <c r="Z573" i="4" s="1"/>
  <c r="J217" i="4"/>
  <c r="Z217" i="4" s="1"/>
  <c r="K220" i="4"/>
  <c r="AA220" i="4" s="1"/>
  <c r="L207" i="4"/>
  <c r="B115" i="4"/>
  <c r="V115" i="4" s="1"/>
  <c r="AA934" i="4" l="1"/>
  <c r="AA938" i="4"/>
  <c r="AA942" i="4"/>
  <c r="AA946" i="4"/>
  <c r="AA931" i="4"/>
  <c r="AA935" i="4"/>
  <c r="AA939" i="4"/>
  <c r="AA943" i="4"/>
  <c r="AA947" i="4"/>
  <c r="AA932" i="4"/>
  <c r="AA936" i="4"/>
  <c r="AA940" i="4"/>
  <c r="AA944" i="4"/>
  <c r="AA945" i="4"/>
  <c r="AA933" i="4"/>
  <c r="AA937" i="4"/>
  <c r="AA941" i="4"/>
  <c r="B89" i="6"/>
  <c r="C88" i="6"/>
  <c r="X1673" i="4" s="1"/>
  <c r="O88" i="6"/>
  <c r="N89" i="6"/>
  <c r="B116" i="4"/>
  <c r="V116" i="4" s="1"/>
  <c r="L669" i="4"/>
  <c r="O667" i="4"/>
  <c r="L581" i="4"/>
  <c r="O580" i="4"/>
  <c r="K539" i="4"/>
  <c r="AA539" i="4" s="1"/>
  <c r="J574" i="4"/>
  <c r="Z574" i="4" s="1"/>
  <c r="L208" i="4"/>
  <c r="K221" i="4"/>
  <c r="AA221" i="4" s="1"/>
  <c r="J218" i="4"/>
  <c r="Z218" i="4" s="1"/>
  <c r="AA950" i="4" l="1"/>
  <c r="AA954" i="4"/>
  <c r="AA958" i="4"/>
  <c r="AA962" i="4"/>
  <c r="AA951" i="4"/>
  <c r="AA955" i="4"/>
  <c r="AA959" i="4"/>
  <c r="AA963" i="4"/>
  <c r="AA948" i="4"/>
  <c r="AA952" i="4"/>
  <c r="AA956" i="4"/>
  <c r="AA960" i="4"/>
  <c r="AA964" i="4"/>
  <c r="AA961" i="4"/>
  <c r="AA949" i="4"/>
  <c r="AA953" i="4"/>
  <c r="AA957" i="4"/>
  <c r="N90" i="6"/>
  <c r="O89" i="6"/>
  <c r="C89" i="6"/>
  <c r="X1674" i="4" s="1"/>
  <c r="B90" i="6"/>
  <c r="L670" i="4"/>
  <c r="O669" i="4"/>
  <c r="L582" i="4"/>
  <c r="O581" i="4"/>
  <c r="K540" i="4"/>
  <c r="AA540" i="4" s="1"/>
  <c r="J575" i="4"/>
  <c r="Z575" i="4" s="1"/>
  <c r="K222" i="4"/>
  <c r="AA222" i="4" s="1"/>
  <c r="J219" i="4"/>
  <c r="Z219" i="4" s="1"/>
  <c r="AA966" i="4" l="1"/>
  <c r="AA965" i="4"/>
  <c r="AA967" i="4"/>
  <c r="AA968" i="4"/>
  <c r="AA969" i="4"/>
  <c r="AA970" i="4"/>
  <c r="AA971" i="4"/>
  <c r="AA972" i="4"/>
  <c r="AA973" i="4"/>
  <c r="AA974" i="4"/>
  <c r="AA975" i="4"/>
  <c r="AA976" i="4"/>
  <c r="AA977" i="4"/>
  <c r="AA978" i="4"/>
  <c r="AA979" i="4"/>
  <c r="AA980" i="4"/>
  <c r="AA981" i="4"/>
  <c r="O90" i="6"/>
  <c r="N91" i="6"/>
  <c r="C90" i="6"/>
  <c r="X1710" i="4" s="1"/>
  <c r="B91" i="6"/>
  <c r="L671" i="4"/>
  <c r="O670" i="4"/>
  <c r="L583" i="4"/>
  <c r="O582" i="4"/>
  <c r="K541" i="4"/>
  <c r="AA541" i="4" s="1"/>
  <c r="J576" i="4"/>
  <c r="Z576" i="4" s="1"/>
  <c r="J220" i="4"/>
  <c r="Z220" i="4" s="1"/>
  <c r="L210" i="4"/>
  <c r="O210" i="4" s="1"/>
  <c r="K223" i="4"/>
  <c r="AA223" i="4" s="1"/>
  <c r="AA982" i="4" l="1"/>
  <c r="AA983" i="4"/>
  <c r="AA984" i="4"/>
  <c r="AA985" i="4"/>
  <c r="AA986" i="4"/>
  <c r="AA987" i="4"/>
  <c r="AA988" i="4"/>
  <c r="AA989" i="4"/>
  <c r="AA991" i="4"/>
  <c r="AA990" i="4"/>
  <c r="AA992" i="4"/>
  <c r="AA993" i="4"/>
  <c r="AA994" i="4"/>
  <c r="AA995" i="4"/>
  <c r="AA996" i="4"/>
  <c r="AA997" i="4"/>
  <c r="AA998" i="4"/>
  <c r="N92" i="6"/>
  <c r="O91" i="6"/>
  <c r="C91" i="6"/>
  <c r="B92" i="6"/>
  <c r="L672" i="4"/>
  <c r="O671" i="4"/>
  <c r="L584" i="4"/>
  <c r="O583" i="4"/>
  <c r="K542" i="4"/>
  <c r="AA542" i="4" s="1"/>
  <c r="J577" i="4"/>
  <c r="Z577" i="4" s="1"/>
  <c r="L211" i="4"/>
  <c r="K224" i="4"/>
  <c r="AA224" i="4" s="1"/>
  <c r="J221" i="4"/>
  <c r="Z221" i="4" s="1"/>
  <c r="X1716" i="4" l="1"/>
  <c r="X1718" i="4"/>
  <c r="X1738" i="4"/>
  <c r="X1742" i="4"/>
  <c r="X1746" i="4"/>
  <c r="X1714" i="4"/>
  <c r="X1719" i="4"/>
  <c r="X1739" i="4"/>
  <c r="X1743" i="4"/>
  <c r="X1715" i="4"/>
  <c r="X1740" i="4"/>
  <c r="X1744" i="4"/>
  <c r="X1717" i="4"/>
  <c r="X1737" i="4"/>
  <c r="X1741" i="4"/>
  <c r="X1745" i="4"/>
  <c r="AA1016" i="4"/>
  <c r="AA1017" i="4"/>
  <c r="AA1018" i="4"/>
  <c r="AA1019" i="4"/>
  <c r="AA1020" i="4"/>
  <c r="AA1021" i="4"/>
  <c r="AA1022" i="4"/>
  <c r="AA1023" i="4"/>
  <c r="AA1024" i="4"/>
  <c r="AA1025" i="4"/>
  <c r="AA1026" i="4"/>
  <c r="AA1027" i="4"/>
  <c r="AA1028" i="4"/>
  <c r="AA1029" i="4"/>
  <c r="AA1030" i="4"/>
  <c r="AA1031" i="4"/>
  <c r="AA1032" i="4"/>
  <c r="B93" i="6"/>
  <c r="C92" i="6"/>
  <c r="O92" i="6"/>
  <c r="N93" i="6"/>
  <c r="L673" i="4"/>
  <c r="O672" i="4"/>
  <c r="L585" i="4"/>
  <c r="O584" i="4"/>
  <c r="K543" i="4"/>
  <c r="AA543" i="4" s="1"/>
  <c r="J578" i="4"/>
  <c r="Z578" i="4" s="1"/>
  <c r="O211" i="4"/>
  <c r="L212" i="4"/>
  <c r="J222" i="4"/>
  <c r="Z222" i="4" s="1"/>
  <c r="K225" i="4"/>
  <c r="AA225" i="4" s="1"/>
  <c r="AA1068" i="4" l="1"/>
  <c r="AA1067" i="4"/>
  <c r="AA1069" i="4"/>
  <c r="AA1070" i="4"/>
  <c r="AA1071" i="4"/>
  <c r="AA1073" i="4"/>
  <c r="AA1072" i="4"/>
  <c r="AA1074" i="4"/>
  <c r="AA1075" i="4"/>
  <c r="AA1076" i="4"/>
  <c r="AA1077" i="4"/>
  <c r="AA1078" i="4"/>
  <c r="AA1080" i="4"/>
  <c r="AA1079" i="4"/>
  <c r="AA1081" i="4"/>
  <c r="AA1082" i="4"/>
  <c r="AA1083" i="4"/>
  <c r="X1722" i="4"/>
  <c r="X1726" i="4"/>
  <c r="X1730" i="4"/>
  <c r="X1734" i="4"/>
  <c r="X1723" i="4"/>
  <c r="X1727" i="4"/>
  <c r="X1731" i="4"/>
  <c r="X1735" i="4"/>
  <c r="X1720" i="4"/>
  <c r="X1724" i="4"/>
  <c r="X1728" i="4"/>
  <c r="X1732" i="4"/>
  <c r="X1736" i="4"/>
  <c r="X1721" i="4"/>
  <c r="X1725" i="4"/>
  <c r="X1729" i="4"/>
  <c r="X1733" i="4"/>
  <c r="O93" i="6"/>
  <c r="N94" i="6"/>
  <c r="C93" i="6"/>
  <c r="B94" i="6"/>
  <c r="L674" i="4"/>
  <c r="O673" i="4"/>
  <c r="L586" i="4"/>
  <c r="O585" i="4"/>
  <c r="K544" i="4"/>
  <c r="AA544" i="4" s="1"/>
  <c r="J223" i="4"/>
  <c r="Z223" i="4" s="1"/>
  <c r="L213" i="4"/>
  <c r="O212" i="4"/>
  <c r="AA1087" i="4" l="1"/>
  <c r="AA1091" i="4"/>
  <c r="AA1095" i="4"/>
  <c r="AA1099" i="4"/>
  <c r="AA1084" i="4"/>
  <c r="AA1088" i="4"/>
  <c r="AA1092" i="4"/>
  <c r="AA1096" i="4"/>
  <c r="AA1100" i="4"/>
  <c r="AA1085" i="4"/>
  <c r="AA1089" i="4"/>
  <c r="AA1093" i="4"/>
  <c r="AA1097" i="4"/>
  <c r="AA1098" i="4"/>
  <c r="AA1086" i="4"/>
  <c r="AA1090" i="4"/>
  <c r="AA1094" i="4"/>
  <c r="X1750" i="4"/>
  <c r="X1747" i="4"/>
  <c r="X1751" i="4"/>
  <c r="X1748" i="4"/>
  <c r="X1749" i="4"/>
  <c r="O94" i="6"/>
  <c r="N95" i="6"/>
  <c r="B95" i="6"/>
  <c r="C94" i="6"/>
  <c r="L675" i="4"/>
  <c r="O674" i="4"/>
  <c r="L587" i="4"/>
  <c r="O586" i="4"/>
  <c r="J580" i="4"/>
  <c r="Z580" i="4" s="1"/>
  <c r="O213" i="4"/>
  <c r="L214" i="4"/>
  <c r="J224" i="4"/>
  <c r="Z224" i="4" s="1"/>
  <c r="AA1103" i="4" l="1"/>
  <c r="AA1107" i="4"/>
  <c r="AA1111" i="4"/>
  <c r="AA1115" i="4"/>
  <c r="AA1119" i="4"/>
  <c r="AA1123" i="4"/>
  <c r="AA1127" i="4"/>
  <c r="AA1131" i="4"/>
  <c r="AA1104" i="4"/>
  <c r="AA1108" i="4"/>
  <c r="AA1112" i="4"/>
  <c r="AA1116" i="4"/>
  <c r="AA1120" i="4"/>
  <c r="AA1124" i="4"/>
  <c r="AA1128" i="4"/>
  <c r="AA1132" i="4"/>
  <c r="AA1101" i="4"/>
  <c r="AA1105" i="4"/>
  <c r="AA1109" i="4"/>
  <c r="AA1113" i="4"/>
  <c r="AA1117" i="4"/>
  <c r="AA1121" i="4"/>
  <c r="AA1125" i="4"/>
  <c r="AA1129" i="4"/>
  <c r="AA1133" i="4"/>
  <c r="AA1114" i="4"/>
  <c r="AA1130" i="4"/>
  <c r="AA1102" i="4"/>
  <c r="AA1134" i="4"/>
  <c r="AA1106" i="4"/>
  <c r="AA1122" i="4"/>
  <c r="AA1110" i="4"/>
  <c r="AA1126" i="4"/>
  <c r="X1754" i="4"/>
  <c r="X1758" i="4"/>
  <c r="X1762" i="4"/>
  <c r="X1766" i="4"/>
  <c r="X1755" i="4"/>
  <c r="X1759" i="4"/>
  <c r="X1763" i="4"/>
  <c r="X1767" i="4"/>
  <c r="X1752" i="4"/>
  <c r="X1756" i="4"/>
  <c r="X1760" i="4"/>
  <c r="X1764" i="4"/>
  <c r="X1768" i="4"/>
  <c r="X1753" i="4"/>
  <c r="X1757" i="4"/>
  <c r="X1761" i="4"/>
  <c r="X1765" i="4"/>
  <c r="C95" i="6"/>
  <c r="B96" i="6"/>
  <c r="N96" i="6"/>
  <c r="O95" i="6"/>
  <c r="AA1118" i="4" s="1"/>
  <c r="L676" i="4"/>
  <c r="O675" i="4"/>
  <c r="L588" i="4"/>
  <c r="O587" i="4"/>
  <c r="K546" i="4"/>
  <c r="AA546" i="4" s="1"/>
  <c r="J581" i="4"/>
  <c r="Z581" i="4" s="1"/>
  <c r="J225" i="4"/>
  <c r="Z225" i="4" s="1"/>
  <c r="L215" i="4"/>
  <c r="O214" i="4"/>
  <c r="K228" i="4"/>
  <c r="AA228" i="4" s="1"/>
  <c r="X1770" i="4" l="1"/>
  <c r="X1771" i="4"/>
  <c r="X1772" i="4"/>
  <c r="X1769" i="4"/>
  <c r="N97" i="6"/>
  <c r="O96" i="6"/>
  <c r="B97" i="6"/>
  <c r="C96" i="6"/>
  <c r="L677" i="4"/>
  <c r="O676" i="4"/>
  <c r="L589" i="4"/>
  <c r="O588" i="4"/>
  <c r="K547" i="4"/>
  <c r="AA547" i="4" s="1"/>
  <c r="J582" i="4"/>
  <c r="Z582" i="4" s="1"/>
  <c r="K229" i="4"/>
  <c r="AA229" i="4" s="1"/>
  <c r="L216" i="4"/>
  <c r="O215" i="4"/>
  <c r="J226" i="4"/>
  <c r="Z226" i="4" s="1"/>
  <c r="X1774" i="4" l="1"/>
  <c r="X1778" i="4"/>
  <c r="X1782" i="4"/>
  <c r="X1786" i="4"/>
  <c r="X1775" i="4"/>
  <c r="X1779" i="4"/>
  <c r="X1783" i="4"/>
  <c r="X1787" i="4"/>
  <c r="X1776" i="4"/>
  <c r="X1780" i="4"/>
  <c r="X1784" i="4"/>
  <c r="X1788" i="4"/>
  <c r="X1773" i="4"/>
  <c r="X1777" i="4"/>
  <c r="X1781" i="4"/>
  <c r="X1785" i="4"/>
  <c r="X1789" i="4"/>
  <c r="AA669" i="4"/>
  <c r="AA673" i="4"/>
  <c r="AA677" i="4"/>
  <c r="AA681" i="4"/>
  <c r="AA670" i="4"/>
  <c r="AA674" i="4"/>
  <c r="AA678" i="4"/>
  <c r="AA682" i="4"/>
  <c r="AA671" i="4"/>
  <c r="AA675" i="4"/>
  <c r="AA679" i="4"/>
  <c r="AA683" i="4"/>
  <c r="AA680" i="4"/>
  <c r="AA668" i="4"/>
  <c r="AA684" i="4"/>
  <c r="AA672" i="4"/>
  <c r="AA676" i="4"/>
  <c r="C97" i="6"/>
  <c r="B98" i="6"/>
  <c r="O97" i="6"/>
  <c r="N98" i="6"/>
  <c r="L678" i="4"/>
  <c r="O677" i="4"/>
  <c r="L590" i="4"/>
  <c r="O589" i="4"/>
  <c r="K548" i="4"/>
  <c r="AA548" i="4" s="1"/>
  <c r="J583" i="4"/>
  <c r="Z583" i="4" s="1"/>
  <c r="L217" i="4"/>
  <c r="O216" i="4"/>
  <c r="K230" i="4"/>
  <c r="AA230" i="4" s="1"/>
  <c r="X1790" i="4" l="1"/>
  <c r="X1794" i="4"/>
  <c r="X1798" i="4"/>
  <c r="X1802" i="4"/>
  <c r="X1806" i="4"/>
  <c r="X1791" i="4"/>
  <c r="X1795" i="4"/>
  <c r="X1799" i="4"/>
  <c r="X1803" i="4"/>
  <c r="X1792" i="4"/>
  <c r="X1796" i="4"/>
  <c r="X1800" i="4"/>
  <c r="X1804" i="4"/>
  <c r="X1793" i="4"/>
  <c r="X1797" i="4"/>
  <c r="X1801" i="4"/>
  <c r="X1805" i="4"/>
  <c r="AA685" i="4"/>
  <c r="AA689" i="4"/>
  <c r="AA693" i="4"/>
  <c r="AA697" i="4"/>
  <c r="AA701" i="4"/>
  <c r="AA686" i="4"/>
  <c r="AA690" i="4"/>
  <c r="AA694" i="4"/>
  <c r="AA698" i="4"/>
  <c r="AA687" i="4"/>
  <c r="AA691" i="4"/>
  <c r="AA695" i="4"/>
  <c r="AA699" i="4"/>
  <c r="AA696" i="4"/>
  <c r="AA700" i="4"/>
  <c r="AA688" i="4"/>
  <c r="AA692" i="4"/>
  <c r="C98" i="6"/>
  <c r="B99" i="6"/>
  <c r="O98" i="6"/>
  <c r="N99" i="6"/>
  <c r="L679" i="4"/>
  <c r="O678" i="4"/>
  <c r="L591" i="4"/>
  <c r="O590" i="4"/>
  <c r="K549" i="4"/>
  <c r="AA549" i="4" s="1"/>
  <c r="J584" i="4"/>
  <c r="Z584" i="4" s="1"/>
  <c r="K231" i="4"/>
  <c r="AA231" i="4" s="1"/>
  <c r="L218" i="4"/>
  <c r="O217" i="4"/>
  <c r="X1810" i="4" l="1"/>
  <c r="X1814" i="4"/>
  <c r="X1818" i="4"/>
  <c r="X1822" i="4"/>
  <c r="X1807" i="4"/>
  <c r="X1811" i="4"/>
  <c r="X1815" i="4"/>
  <c r="X1819" i="4"/>
  <c r="X1823" i="4"/>
  <c r="X1808" i="4"/>
  <c r="X1812" i="4"/>
  <c r="X1816" i="4"/>
  <c r="X1820" i="4"/>
  <c r="X1809" i="4"/>
  <c r="X1813" i="4"/>
  <c r="X1817" i="4"/>
  <c r="X1821" i="4"/>
  <c r="AA705" i="4"/>
  <c r="AA709" i="4"/>
  <c r="AA713" i="4"/>
  <c r="AA717" i="4"/>
  <c r="AA702" i="4"/>
  <c r="AA706" i="4"/>
  <c r="AA710" i="4"/>
  <c r="AA714" i="4"/>
  <c r="AA718" i="4"/>
  <c r="AA703" i="4"/>
  <c r="AA707" i="4"/>
  <c r="AA711" i="4"/>
  <c r="AA715" i="4"/>
  <c r="AA712" i="4"/>
  <c r="AA716" i="4"/>
  <c r="AA704" i="4"/>
  <c r="AA708" i="4"/>
  <c r="N100" i="6"/>
  <c r="O99" i="6"/>
  <c r="AA420" i="4" s="1"/>
  <c r="C99" i="6"/>
  <c r="B100" i="6"/>
  <c r="L680" i="4"/>
  <c r="O679" i="4"/>
  <c r="L592" i="4"/>
  <c r="O591" i="4"/>
  <c r="K550" i="4"/>
  <c r="AA550" i="4" s="1"/>
  <c r="J585" i="4"/>
  <c r="Z585" i="4" s="1"/>
  <c r="J229" i="4"/>
  <c r="Z229" i="4" s="1"/>
  <c r="L219" i="4"/>
  <c r="O218" i="4"/>
  <c r="K232" i="4"/>
  <c r="AA232" i="4" s="1"/>
  <c r="C100" i="6" l="1"/>
  <c r="B101" i="6"/>
  <c r="X1826" i="4"/>
  <c r="X1830" i="4"/>
  <c r="X1834" i="4"/>
  <c r="X1838" i="4"/>
  <c r="X1827" i="4"/>
  <c r="X1831" i="4"/>
  <c r="X1835" i="4"/>
  <c r="X1839" i="4"/>
  <c r="X1824" i="4"/>
  <c r="X1828" i="4"/>
  <c r="X1832" i="4"/>
  <c r="X1836" i="4"/>
  <c r="X1840" i="4"/>
  <c r="X1825" i="4"/>
  <c r="X1829" i="4"/>
  <c r="X1833" i="4"/>
  <c r="X1837" i="4"/>
  <c r="O100" i="6"/>
  <c r="N101" i="6"/>
  <c r="L681" i="4"/>
  <c r="O680" i="4"/>
  <c r="L593" i="4"/>
  <c r="O592" i="4"/>
  <c r="K551" i="4"/>
  <c r="AA551" i="4" s="1"/>
  <c r="J586" i="4"/>
  <c r="Z586" i="4" s="1"/>
  <c r="K233" i="4"/>
  <c r="AA233" i="4" s="1"/>
  <c r="L220" i="4"/>
  <c r="O219" i="4"/>
  <c r="J230" i="4"/>
  <c r="Z230" i="4" s="1"/>
  <c r="AA1135" i="4" l="1"/>
  <c r="AA1139" i="4"/>
  <c r="AA1143" i="4"/>
  <c r="AA1147" i="4"/>
  <c r="AA1151" i="4"/>
  <c r="AA1136" i="4"/>
  <c r="AA1140" i="4"/>
  <c r="AA1144" i="4"/>
  <c r="AA1148" i="4"/>
  <c r="AA1137" i="4"/>
  <c r="AA1141" i="4"/>
  <c r="AA1145" i="4"/>
  <c r="AA1149" i="4"/>
  <c r="AA1146" i="4"/>
  <c r="AA1150" i="4"/>
  <c r="AA1138" i="4"/>
  <c r="AA1142" i="4"/>
  <c r="C101" i="6"/>
  <c r="B102" i="6"/>
  <c r="X1842" i="4"/>
  <c r="X1846" i="4"/>
  <c r="X1850" i="4"/>
  <c r="X1854" i="4"/>
  <c r="X1843" i="4"/>
  <c r="X1847" i="4"/>
  <c r="X1851" i="4"/>
  <c r="X1855" i="4"/>
  <c r="X1844" i="4"/>
  <c r="X1848" i="4"/>
  <c r="X1852" i="4"/>
  <c r="X1856" i="4"/>
  <c r="X1841" i="4"/>
  <c r="X1845" i="4"/>
  <c r="X1849" i="4"/>
  <c r="X1853" i="4"/>
  <c r="X1857" i="4"/>
  <c r="N102" i="6"/>
  <c r="O101" i="6"/>
  <c r="L682" i="4"/>
  <c r="O681" i="4"/>
  <c r="L594" i="4"/>
  <c r="O593" i="4"/>
  <c r="K552" i="4"/>
  <c r="AA552" i="4" s="1"/>
  <c r="J587" i="4"/>
  <c r="Z587" i="4" s="1"/>
  <c r="L221" i="4"/>
  <c r="O220" i="4"/>
  <c r="J231" i="4"/>
  <c r="Z231" i="4" s="1"/>
  <c r="K234" i="4"/>
  <c r="AA234" i="4" s="1"/>
  <c r="C102" i="6" l="1"/>
  <c r="B103" i="6"/>
  <c r="AA1155" i="4"/>
  <c r="AA1159" i="4"/>
  <c r="AA1163" i="4"/>
  <c r="AA1167" i="4"/>
  <c r="AA1187" i="4"/>
  <c r="AA1191" i="4"/>
  <c r="AA1195" i="4"/>
  <c r="AA1199" i="4"/>
  <c r="AA1152" i="4"/>
  <c r="AA1156" i="4"/>
  <c r="AA1160" i="4"/>
  <c r="AA1164" i="4"/>
  <c r="AA1168" i="4"/>
  <c r="AA1188" i="4"/>
  <c r="AA1192" i="4"/>
  <c r="AA1196" i="4"/>
  <c r="AA1200" i="4"/>
  <c r="AA1153" i="4"/>
  <c r="AA1157" i="4"/>
  <c r="AA1161" i="4"/>
  <c r="AA1165" i="4"/>
  <c r="AA1189" i="4"/>
  <c r="AA1193" i="4"/>
  <c r="AA1197" i="4"/>
  <c r="AA1201" i="4"/>
  <c r="AA1162" i="4"/>
  <c r="AA1194" i="4"/>
  <c r="AA1166" i="4"/>
  <c r="AA1198" i="4"/>
  <c r="AA1154" i="4"/>
  <c r="AA1186" i="4"/>
  <c r="AA1202" i="4"/>
  <c r="AA1158" i="4"/>
  <c r="AA1190" i="4"/>
  <c r="X1858" i="4"/>
  <c r="X1862" i="4"/>
  <c r="X1866" i="4"/>
  <c r="X1870" i="4"/>
  <c r="X1874" i="4"/>
  <c r="X1859" i="4"/>
  <c r="X1863" i="4"/>
  <c r="X1867" i="4"/>
  <c r="X1871" i="4"/>
  <c r="X1860" i="4"/>
  <c r="X1864" i="4"/>
  <c r="X1868" i="4"/>
  <c r="X1872" i="4"/>
  <c r="X1861" i="4"/>
  <c r="X1865" i="4"/>
  <c r="X1869" i="4"/>
  <c r="X1873" i="4"/>
  <c r="O102" i="6"/>
  <c r="N103" i="6"/>
  <c r="L683" i="4"/>
  <c r="O682" i="4"/>
  <c r="L595" i="4"/>
  <c r="O594" i="4"/>
  <c r="K553" i="4"/>
  <c r="AA553" i="4" s="1"/>
  <c r="J588" i="4"/>
  <c r="Z588" i="4" s="1"/>
  <c r="K235" i="4"/>
  <c r="AA235" i="4" s="1"/>
  <c r="J232" i="4"/>
  <c r="Z232" i="4" s="1"/>
  <c r="L222" i="4"/>
  <c r="O221" i="4"/>
  <c r="AA1171" i="4" l="1"/>
  <c r="AA1175" i="4"/>
  <c r="AA1179" i="4"/>
  <c r="AA1183" i="4"/>
  <c r="AA1223" i="4"/>
  <c r="AA1172" i="4"/>
  <c r="AA1176" i="4"/>
  <c r="AA1180" i="4"/>
  <c r="AA1184" i="4"/>
  <c r="AA1220" i="4"/>
  <c r="AA1224" i="4"/>
  <c r="AA1169" i="4"/>
  <c r="AA1173" i="4"/>
  <c r="AA1177" i="4"/>
  <c r="AA1181" i="4"/>
  <c r="AA1185" i="4"/>
  <c r="AA1178" i="4"/>
  <c r="AA1222" i="4"/>
  <c r="AA1228" i="4"/>
  <c r="AA1232" i="4"/>
  <c r="AA1236" i="4"/>
  <c r="AA1182" i="4"/>
  <c r="AA1225" i="4"/>
  <c r="AA1229" i="4"/>
  <c r="AA1233" i="4"/>
  <c r="AA1170" i="4"/>
  <c r="AA1226" i="4"/>
  <c r="AA1230" i="4"/>
  <c r="AA1234" i="4"/>
  <c r="AA1235" i="4"/>
  <c r="AA1174" i="4"/>
  <c r="AA1221" i="4"/>
  <c r="AA1227" i="4"/>
  <c r="AA1231" i="4"/>
  <c r="C103" i="6"/>
  <c r="B104" i="6"/>
  <c r="X1878" i="4"/>
  <c r="X1882" i="4"/>
  <c r="X1886" i="4"/>
  <c r="X1890" i="4"/>
  <c r="X1894" i="4"/>
  <c r="X1898" i="4"/>
  <c r="X1902" i="4"/>
  <c r="X1906" i="4"/>
  <c r="X1875" i="4"/>
  <c r="X1879" i="4"/>
  <c r="X1883" i="4"/>
  <c r="X1887" i="4"/>
  <c r="X1891" i="4"/>
  <c r="X1895" i="4"/>
  <c r="X1899" i="4"/>
  <c r="X1903" i="4"/>
  <c r="X1907" i="4"/>
  <c r="X1876" i="4"/>
  <c r="X1880" i="4"/>
  <c r="X1884" i="4"/>
  <c r="X1888" i="4"/>
  <c r="X1892" i="4"/>
  <c r="X1896" i="4"/>
  <c r="X1900" i="4"/>
  <c r="X1904" i="4"/>
  <c r="X1908" i="4"/>
  <c r="X1877" i="4"/>
  <c r="X1881" i="4"/>
  <c r="X1885" i="4"/>
  <c r="X1889" i="4"/>
  <c r="X1893" i="4"/>
  <c r="X1897" i="4"/>
  <c r="X1901" i="4"/>
  <c r="X1905" i="4"/>
  <c r="N104" i="6"/>
  <c r="O103" i="6"/>
  <c r="AA1203" i="4" s="1"/>
  <c r="L684" i="4"/>
  <c r="O683" i="4"/>
  <c r="L597" i="4"/>
  <c r="O595" i="4"/>
  <c r="K554" i="4"/>
  <c r="AA554" i="4" s="1"/>
  <c r="J589" i="4"/>
  <c r="Z589" i="4" s="1"/>
  <c r="K236" i="4"/>
  <c r="AA236" i="4" s="1"/>
  <c r="L223" i="4"/>
  <c r="O222" i="4"/>
  <c r="J233" i="4"/>
  <c r="Z233" i="4" s="1"/>
  <c r="C104" i="6" l="1"/>
  <c r="B105" i="6"/>
  <c r="X1910" i="4"/>
  <c r="X1914" i="4"/>
  <c r="X1918" i="4"/>
  <c r="X1922" i="4"/>
  <c r="X1911" i="4"/>
  <c r="X1915" i="4"/>
  <c r="X1919" i="4"/>
  <c r="X1923" i="4"/>
  <c r="X1912" i="4"/>
  <c r="X1916" i="4"/>
  <c r="X1920" i="4"/>
  <c r="X1924" i="4"/>
  <c r="X1909" i="4"/>
  <c r="X1913" i="4"/>
  <c r="X1917" i="4"/>
  <c r="X1921" i="4"/>
  <c r="X1925" i="4"/>
  <c r="O104" i="6"/>
  <c r="N105" i="6"/>
  <c r="L686" i="4"/>
  <c r="O684" i="4"/>
  <c r="L598" i="4"/>
  <c r="O597" i="4"/>
  <c r="K555" i="4"/>
  <c r="AA555" i="4" s="1"/>
  <c r="J590" i="4"/>
  <c r="Z590" i="4" s="1"/>
  <c r="J234" i="4"/>
  <c r="Z234" i="4" s="1"/>
  <c r="L224" i="4"/>
  <c r="O223" i="4"/>
  <c r="K237" i="4"/>
  <c r="AA237" i="4" s="1"/>
  <c r="AA1207" i="4" l="1"/>
  <c r="AA1211" i="4"/>
  <c r="AA1215" i="4"/>
  <c r="AA1219" i="4"/>
  <c r="AA1204" i="4"/>
  <c r="AA1208" i="4"/>
  <c r="AA1212" i="4"/>
  <c r="AA1216" i="4"/>
  <c r="AA1206" i="4"/>
  <c r="AA1214" i="4"/>
  <c r="AA1209" i="4"/>
  <c r="AA1217" i="4"/>
  <c r="AA1210" i="4"/>
  <c r="AA1218" i="4"/>
  <c r="AA1213" i="4"/>
  <c r="AA1205" i="4"/>
  <c r="B106" i="6"/>
  <c r="C106" i="6" s="1"/>
  <c r="C105" i="6"/>
  <c r="X1926" i="4"/>
  <c r="X1927" i="4"/>
  <c r="X1928" i="4"/>
  <c r="N106" i="6"/>
  <c r="O105" i="6"/>
  <c r="L687" i="4"/>
  <c r="O686" i="4"/>
  <c r="L599" i="4"/>
  <c r="O598" i="4"/>
  <c r="K556" i="4"/>
  <c r="AA556" i="4" s="1"/>
  <c r="J591" i="4"/>
  <c r="Z591" i="4" s="1"/>
  <c r="L225" i="4"/>
  <c r="O224" i="4"/>
  <c r="K238" i="4"/>
  <c r="AA238" i="4" s="1"/>
  <c r="J235" i="4"/>
  <c r="Z235" i="4" s="1"/>
  <c r="B117" i="4"/>
  <c r="V117" i="4" s="1"/>
  <c r="AA1240" i="4" l="1"/>
  <c r="AA1244" i="4"/>
  <c r="AA1248" i="4"/>
  <c r="AA1252" i="4"/>
  <c r="AA1237" i="4"/>
  <c r="AA1241" i="4"/>
  <c r="AA1245" i="4"/>
  <c r="AA1249" i="4"/>
  <c r="AA1253" i="4"/>
  <c r="AA1238" i="4"/>
  <c r="AA1242" i="4"/>
  <c r="AA1246" i="4"/>
  <c r="AA1250" i="4"/>
  <c r="AA1251" i="4"/>
  <c r="AA1239" i="4"/>
  <c r="AA1243" i="4"/>
  <c r="AA1247" i="4"/>
  <c r="X1930" i="4"/>
  <c r="X1934" i="4"/>
  <c r="X1938" i="4"/>
  <c r="X1942" i="4"/>
  <c r="X1931" i="4"/>
  <c r="X1935" i="4"/>
  <c r="X1939" i="4"/>
  <c r="X1943" i="4"/>
  <c r="X1932" i="4"/>
  <c r="X1936" i="4"/>
  <c r="X1940" i="4"/>
  <c r="X1944" i="4"/>
  <c r="X1929" i="4"/>
  <c r="X1933" i="4"/>
  <c r="X1937" i="4"/>
  <c r="X1941" i="4"/>
  <c r="X1945" i="4"/>
  <c r="X1946" i="4"/>
  <c r="X1950" i="4"/>
  <c r="X1954" i="4"/>
  <c r="X1958" i="4"/>
  <c r="X1962" i="4"/>
  <c r="X1947" i="4"/>
  <c r="X1951" i="4"/>
  <c r="X1955" i="4"/>
  <c r="X1959" i="4"/>
  <c r="X1948" i="4"/>
  <c r="X1952" i="4"/>
  <c r="X1956" i="4"/>
  <c r="X1960" i="4"/>
  <c r="X1949" i="4"/>
  <c r="X1953" i="4"/>
  <c r="X1957" i="4"/>
  <c r="X1961" i="4"/>
  <c r="O106" i="6"/>
  <c r="N107" i="6"/>
  <c r="L688" i="4"/>
  <c r="O687" i="4"/>
  <c r="L600" i="4"/>
  <c r="O599" i="4"/>
  <c r="K557" i="4"/>
  <c r="AA557" i="4" s="1"/>
  <c r="J592" i="4"/>
  <c r="Z592" i="4" s="1"/>
  <c r="O225" i="4"/>
  <c r="J236" i="4"/>
  <c r="Z236" i="4" s="1"/>
  <c r="K239" i="4"/>
  <c r="AA239" i="4" s="1"/>
  <c r="B118" i="4"/>
  <c r="V118" i="4" s="1"/>
  <c r="AA1256" i="4" l="1"/>
  <c r="AA1260" i="4"/>
  <c r="AA1264" i="4"/>
  <c r="AA1268" i="4"/>
  <c r="AA1257" i="4"/>
  <c r="AA1261" i="4"/>
  <c r="AA1265" i="4"/>
  <c r="AA1269" i="4"/>
  <c r="AA1254" i="4"/>
  <c r="AA1258" i="4"/>
  <c r="AA1262" i="4"/>
  <c r="AA1266" i="4"/>
  <c r="AA1270" i="4"/>
  <c r="AA1267" i="4"/>
  <c r="AA1255" i="4"/>
  <c r="AA1259" i="4"/>
  <c r="AA1263" i="4"/>
  <c r="N108" i="6"/>
  <c r="O107" i="6"/>
  <c r="L689" i="4"/>
  <c r="O688" i="4"/>
  <c r="L601" i="4"/>
  <c r="O600" i="4"/>
  <c r="K558" i="4"/>
  <c r="AA558" i="4" s="1"/>
  <c r="J593" i="4"/>
  <c r="Z593" i="4" s="1"/>
  <c r="K240" i="4"/>
  <c r="AA240" i="4" s="1"/>
  <c r="L227" i="4"/>
  <c r="O227" i="4" s="1"/>
  <c r="J237" i="4"/>
  <c r="Z237" i="4" s="1"/>
  <c r="B119" i="4"/>
  <c r="V119" i="4" s="1"/>
  <c r="AA1272" i="4" l="1"/>
  <c r="AA1276" i="4"/>
  <c r="AA1280" i="4"/>
  <c r="AA1284" i="4"/>
  <c r="AA1273" i="4"/>
  <c r="AA1277" i="4"/>
  <c r="AA1281" i="4"/>
  <c r="AA1285" i="4"/>
  <c r="AA1274" i="4"/>
  <c r="AA1278" i="4"/>
  <c r="AA1282" i="4"/>
  <c r="AA1286" i="4"/>
  <c r="AA1283" i="4"/>
  <c r="AA1271" i="4"/>
  <c r="AA1287" i="4"/>
  <c r="AA1275" i="4"/>
  <c r="AA1279" i="4"/>
  <c r="O108" i="6"/>
  <c r="N109" i="6"/>
  <c r="L690" i="4"/>
  <c r="O689" i="4"/>
  <c r="L602" i="4"/>
  <c r="O601" i="4"/>
  <c r="K559" i="4"/>
  <c r="AA559" i="4" s="1"/>
  <c r="J594" i="4"/>
  <c r="Z594" i="4" s="1"/>
  <c r="J238" i="4"/>
  <c r="Z238" i="4" s="1"/>
  <c r="L228" i="4"/>
  <c r="O228" i="4" s="1"/>
  <c r="K241" i="4"/>
  <c r="AA241" i="4" s="1"/>
  <c r="B120" i="4"/>
  <c r="V120" i="4" s="1"/>
  <c r="AA1288" i="4" l="1"/>
  <c r="AA1292" i="4"/>
  <c r="AA1296" i="4"/>
  <c r="AA1300" i="4"/>
  <c r="AA1304" i="4"/>
  <c r="AA1289" i="4"/>
  <c r="AA1293" i="4"/>
  <c r="AA1297" i="4"/>
  <c r="AA1301" i="4"/>
  <c r="AA1290" i="4"/>
  <c r="AA1294" i="4"/>
  <c r="AA1298" i="4"/>
  <c r="AA1302" i="4"/>
  <c r="AA1299" i="4"/>
  <c r="AA1303" i="4"/>
  <c r="AA1291" i="4"/>
  <c r="AA1295" i="4"/>
  <c r="N110" i="6"/>
  <c r="O109" i="6"/>
  <c r="L691" i="4"/>
  <c r="O690" i="4"/>
  <c r="L603" i="4"/>
  <c r="O602" i="4"/>
  <c r="K560" i="4"/>
  <c r="AA560" i="4" s="1"/>
  <c r="J595" i="4"/>
  <c r="Z595" i="4" s="1"/>
  <c r="L229" i="4"/>
  <c r="O229" i="4" s="1"/>
  <c r="K242" i="4"/>
  <c r="AA242" i="4" s="1"/>
  <c r="J239" i="4"/>
  <c r="Z239" i="4" s="1"/>
  <c r="B121" i="4"/>
  <c r="V121" i="4" s="1"/>
  <c r="AA1324" i="4" l="1"/>
  <c r="AA1328" i="4"/>
  <c r="AA1332" i="4"/>
  <c r="AA1336" i="4"/>
  <c r="AA1325" i="4"/>
  <c r="AA1329" i="4"/>
  <c r="AA1333" i="4"/>
  <c r="AA1337" i="4"/>
  <c r="AA1322" i="4"/>
  <c r="AA1326" i="4"/>
  <c r="AA1330" i="4"/>
  <c r="AA1334" i="4"/>
  <c r="AA1338" i="4"/>
  <c r="AA1331" i="4"/>
  <c r="AA1335" i="4"/>
  <c r="AA1323" i="4"/>
  <c r="AA1327" i="4"/>
  <c r="O110" i="6"/>
  <c r="AA1339" i="4" s="1"/>
  <c r="N111" i="6"/>
  <c r="L692" i="4"/>
  <c r="O691" i="4"/>
  <c r="L604" i="4"/>
  <c r="O603" i="4"/>
  <c r="K561" i="4"/>
  <c r="AA561" i="4" s="1"/>
  <c r="L230" i="4"/>
  <c r="O230" i="4" s="1"/>
  <c r="J240" i="4"/>
  <c r="Z240" i="4" s="1"/>
  <c r="K243" i="4"/>
  <c r="AA243" i="4" s="1"/>
  <c r="B122" i="4"/>
  <c r="V122" i="4" s="1"/>
  <c r="N112" i="6" l="1"/>
  <c r="O111" i="6"/>
  <c r="L693" i="4"/>
  <c r="O692" i="4"/>
  <c r="L605" i="4"/>
  <c r="O604" i="4"/>
  <c r="L231" i="4"/>
  <c r="O231" i="4" s="1"/>
  <c r="J241" i="4"/>
  <c r="Z241" i="4" s="1"/>
  <c r="B123" i="4"/>
  <c r="V123" i="4" s="1"/>
  <c r="AA1340" i="4" l="1"/>
  <c r="AA1344" i="4"/>
  <c r="AA1348" i="4"/>
  <c r="AA1352" i="4"/>
  <c r="AA1356" i="4"/>
  <c r="AA1341" i="4"/>
  <c r="AA1345" i="4"/>
  <c r="AA1349" i="4"/>
  <c r="AA1353" i="4"/>
  <c r="AA1357" i="4"/>
  <c r="AA1342" i="4"/>
  <c r="AA1346" i="4"/>
  <c r="AA1350" i="4"/>
  <c r="AA1354" i="4"/>
  <c r="AA1347" i="4"/>
  <c r="AA1351" i="4"/>
  <c r="AA1355" i="4"/>
  <c r="AA1343" i="4"/>
  <c r="O112" i="6"/>
  <c r="AA1359" i="4" s="1"/>
  <c r="N113" i="6"/>
  <c r="L694" i="4"/>
  <c r="O693" i="4"/>
  <c r="L606" i="4"/>
  <c r="O605" i="4"/>
  <c r="K563" i="4"/>
  <c r="AA563" i="4" s="1"/>
  <c r="J598" i="4"/>
  <c r="Z598" i="4" s="1"/>
  <c r="J242" i="4"/>
  <c r="Z242" i="4" s="1"/>
  <c r="L232" i="4"/>
  <c r="O232" i="4" s="1"/>
  <c r="B124" i="4"/>
  <c r="V124" i="4" s="1"/>
  <c r="N114" i="6" l="1"/>
  <c r="O113" i="6"/>
  <c r="AA1360" i="4" s="1"/>
  <c r="L695" i="4"/>
  <c r="O694" i="4"/>
  <c r="L607" i="4"/>
  <c r="O606" i="4"/>
  <c r="K564" i="4"/>
  <c r="AA564" i="4" s="1"/>
  <c r="J599" i="4"/>
  <c r="Z599" i="4" s="1"/>
  <c r="L233" i="4"/>
  <c r="O233" i="4" s="1"/>
  <c r="J243" i="4"/>
  <c r="Z243" i="4" s="1"/>
  <c r="B125" i="4"/>
  <c r="V125" i="4" s="1"/>
  <c r="O114" i="6" l="1"/>
  <c r="N115" i="6"/>
  <c r="L696" i="4"/>
  <c r="O695" i="4"/>
  <c r="L608" i="4"/>
  <c r="O607" i="4"/>
  <c r="K565" i="4"/>
  <c r="AA565" i="4" s="1"/>
  <c r="J600" i="4"/>
  <c r="Z600" i="4" s="1"/>
  <c r="L234" i="4"/>
  <c r="O234" i="4" s="1"/>
  <c r="B126" i="4"/>
  <c r="V126" i="4" s="1"/>
  <c r="AA1364" i="4" l="1"/>
  <c r="AA1368" i="4"/>
  <c r="AA1372" i="4"/>
  <c r="AA1376" i="4"/>
  <c r="AA1361" i="4"/>
  <c r="AA1365" i="4"/>
  <c r="AA1369" i="4"/>
  <c r="AA1373" i="4"/>
  <c r="AA1377" i="4"/>
  <c r="AA1362" i="4"/>
  <c r="AA1366" i="4"/>
  <c r="AA1370" i="4"/>
  <c r="AA1374" i="4"/>
  <c r="AA1363" i="4"/>
  <c r="AA1367" i="4"/>
  <c r="AA1371" i="4"/>
  <c r="AA1375" i="4"/>
  <c r="N116" i="6"/>
  <c r="O115" i="6"/>
  <c r="AA1378" i="4" s="1"/>
  <c r="L697" i="4"/>
  <c r="O696" i="4"/>
  <c r="L609" i="4"/>
  <c r="O608" i="4"/>
  <c r="K566" i="4"/>
  <c r="AA566" i="4" s="1"/>
  <c r="J601" i="4"/>
  <c r="Z601" i="4" s="1"/>
  <c r="L235" i="4"/>
  <c r="O235" i="4" s="1"/>
  <c r="K246" i="4"/>
  <c r="AA246" i="4" s="1"/>
  <c r="B127" i="4"/>
  <c r="V127" i="4" s="1"/>
  <c r="O116" i="6" l="1"/>
  <c r="AA1379" i="4" s="1"/>
  <c r="N117" i="6"/>
  <c r="L698" i="4"/>
  <c r="O697" i="4"/>
  <c r="L610" i="4"/>
  <c r="O609" i="4"/>
  <c r="K567" i="4"/>
  <c r="AA567" i="4" s="1"/>
  <c r="J602" i="4"/>
  <c r="Z602" i="4" s="1"/>
  <c r="K247" i="4"/>
  <c r="AA247" i="4" s="1"/>
  <c r="L236" i="4"/>
  <c r="O236" i="4" s="1"/>
  <c r="B128" i="4"/>
  <c r="V128" i="4" s="1"/>
  <c r="O117" i="6" l="1"/>
  <c r="AA1380" i="4" s="1"/>
  <c r="N118" i="6"/>
  <c r="L699" i="4"/>
  <c r="O698" i="4"/>
  <c r="L611" i="4"/>
  <c r="O610" i="4"/>
  <c r="K568" i="4"/>
  <c r="AA568" i="4" s="1"/>
  <c r="J603" i="4"/>
  <c r="Z603" i="4" s="1"/>
  <c r="K248" i="4"/>
  <c r="AA248" i="4" s="1"/>
  <c r="L237" i="4"/>
  <c r="O237" i="4" s="1"/>
  <c r="B129" i="4"/>
  <c r="V129" i="4" s="1"/>
  <c r="N119" i="6" l="1"/>
  <c r="O118" i="6"/>
  <c r="AA1381" i="4" s="1"/>
  <c r="L700" i="4"/>
  <c r="O699" i="4"/>
  <c r="L612" i="4"/>
  <c r="O612" i="4" s="1"/>
  <c r="O611" i="4"/>
  <c r="K569" i="4"/>
  <c r="AA569" i="4" s="1"/>
  <c r="J604" i="4"/>
  <c r="Z604" i="4" s="1"/>
  <c r="K249" i="4"/>
  <c r="AA249" i="4" s="1"/>
  <c r="J246" i="4"/>
  <c r="Z246" i="4" s="1"/>
  <c r="L238" i="4"/>
  <c r="O238" i="4" s="1"/>
  <c r="B130" i="4"/>
  <c r="V130" i="4" s="1"/>
  <c r="N120" i="6" l="1"/>
  <c r="O119" i="6"/>
  <c r="L701" i="4"/>
  <c r="O700" i="4"/>
  <c r="K570" i="4"/>
  <c r="AA570" i="4" s="1"/>
  <c r="J605" i="4"/>
  <c r="Z605" i="4" s="1"/>
  <c r="L239" i="4"/>
  <c r="O239" i="4" s="1"/>
  <c r="K250" i="4"/>
  <c r="AA250" i="4" s="1"/>
  <c r="J247" i="4"/>
  <c r="Z247" i="4" s="1"/>
  <c r="B131" i="4"/>
  <c r="V131" i="4" s="1"/>
  <c r="AA1384" i="4" l="1"/>
  <c r="AA1388" i="4"/>
  <c r="AA1392" i="4"/>
  <c r="AA1396" i="4"/>
  <c r="AA1385" i="4"/>
  <c r="AA1389" i="4"/>
  <c r="AA1393" i="4"/>
  <c r="AA1397" i="4"/>
  <c r="AA1382" i="4"/>
  <c r="AA1386" i="4"/>
  <c r="AA1390" i="4"/>
  <c r="AA1394" i="4"/>
  <c r="AA1395" i="4"/>
  <c r="AA1383" i="4"/>
  <c r="AA1387" i="4"/>
  <c r="AA1391" i="4"/>
  <c r="N121" i="6"/>
  <c r="O120" i="6"/>
  <c r="L703" i="4"/>
  <c r="O701" i="4"/>
  <c r="K571" i="4"/>
  <c r="AA571" i="4" s="1"/>
  <c r="J606" i="4"/>
  <c r="Z606" i="4" s="1"/>
  <c r="K251" i="4"/>
  <c r="AA251" i="4" s="1"/>
  <c r="J248" i="4"/>
  <c r="Z248" i="4" s="1"/>
  <c r="L240" i="4"/>
  <c r="O240" i="4" s="1"/>
  <c r="B132" i="4"/>
  <c r="V132" i="4" s="1"/>
  <c r="AA1400" i="4" l="1"/>
  <c r="AA1404" i="4"/>
  <c r="AA1408" i="4"/>
  <c r="AA1412" i="4"/>
  <c r="AA1401" i="4"/>
  <c r="AA1405" i="4"/>
  <c r="AA1409" i="4"/>
  <c r="AA1413" i="4"/>
  <c r="AA1398" i="4"/>
  <c r="AA1402" i="4"/>
  <c r="AA1406" i="4"/>
  <c r="AA1410" i="4"/>
  <c r="AA1411" i="4"/>
  <c r="AA1399" i="4"/>
  <c r="AA1403" i="4"/>
  <c r="AA1407" i="4"/>
  <c r="N122" i="6"/>
  <c r="O121" i="6"/>
  <c r="AA1414" i="4" s="1"/>
  <c r="K252" i="4"/>
  <c r="AA252" i="4" s="1"/>
  <c r="L704" i="4"/>
  <c r="O703" i="4"/>
  <c r="K572" i="4"/>
  <c r="AA572" i="4" s="1"/>
  <c r="J607" i="4"/>
  <c r="Z607" i="4" s="1"/>
  <c r="J249" i="4"/>
  <c r="Z249" i="4" s="1"/>
  <c r="L241" i="4"/>
  <c r="O241" i="4" s="1"/>
  <c r="B133" i="4"/>
  <c r="V133" i="4" s="1"/>
  <c r="O122" i="6" l="1"/>
  <c r="N123" i="6"/>
  <c r="K253" i="4"/>
  <c r="AA253" i="4" s="1"/>
  <c r="L705" i="4"/>
  <c r="O704" i="4"/>
  <c r="K573" i="4"/>
  <c r="AA573" i="4" s="1"/>
  <c r="J608" i="4"/>
  <c r="Z608" i="4" s="1"/>
  <c r="L242" i="4"/>
  <c r="O242" i="4" s="1"/>
  <c r="J250" i="4"/>
  <c r="Z250" i="4" s="1"/>
  <c r="B134" i="4"/>
  <c r="V134" i="4" s="1"/>
  <c r="AA1416" i="4" l="1"/>
  <c r="AA1420" i="4"/>
  <c r="AA1424" i="4"/>
  <c r="AA1428" i="4"/>
  <c r="AA1417" i="4"/>
  <c r="AA1421" i="4"/>
  <c r="AA1425" i="4"/>
  <c r="AA1429" i="4"/>
  <c r="AA1418" i="4"/>
  <c r="AA1422" i="4"/>
  <c r="AA1426" i="4"/>
  <c r="AA1430" i="4"/>
  <c r="AA1427" i="4"/>
  <c r="AA1415" i="4"/>
  <c r="AA1419" i="4"/>
  <c r="AA1423" i="4"/>
  <c r="N124" i="6"/>
  <c r="O123" i="6"/>
  <c r="K254" i="4"/>
  <c r="AA254" i="4" s="1"/>
  <c r="L706" i="4"/>
  <c r="O705" i="4"/>
  <c r="K574" i="4"/>
  <c r="AA574" i="4" s="1"/>
  <c r="J609" i="4"/>
  <c r="Z609" i="4" s="1"/>
  <c r="J251" i="4"/>
  <c r="Z251" i="4" s="1"/>
  <c r="L243" i="4"/>
  <c r="O243" i="4" s="1"/>
  <c r="B135" i="4"/>
  <c r="V135" i="4" s="1"/>
  <c r="AA1432" i="4" l="1"/>
  <c r="AA1436" i="4"/>
  <c r="AA1440" i="4"/>
  <c r="AA1444" i="4"/>
  <c r="AA1433" i="4"/>
  <c r="AA1437" i="4"/>
  <c r="AA1441" i="4"/>
  <c r="AA1445" i="4"/>
  <c r="AA1434" i="4"/>
  <c r="AA1438" i="4"/>
  <c r="AA1442" i="4"/>
  <c r="AA1446" i="4"/>
  <c r="AA1443" i="4"/>
  <c r="AA1431" i="4"/>
  <c r="AA1447" i="4"/>
  <c r="AA1435" i="4"/>
  <c r="AA1439" i="4"/>
  <c r="O124" i="6"/>
  <c r="N125" i="6"/>
  <c r="J252" i="4"/>
  <c r="Z252" i="4" s="1"/>
  <c r="L707" i="4"/>
  <c r="O706" i="4"/>
  <c r="K575" i="4"/>
  <c r="AA575" i="4" s="1"/>
  <c r="J610" i="4"/>
  <c r="Z610" i="4" s="1"/>
  <c r="B136" i="4"/>
  <c r="V136" i="4" s="1"/>
  <c r="AA1448" i="4" l="1"/>
  <c r="AA1452" i="4"/>
  <c r="AA1456" i="4"/>
  <c r="AA1460" i="4"/>
  <c r="AA1464" i="4"/>
  <c r="AA1450" i="4"/>
  <c r="AA1454" i="4"/>
  <c r="AA1458" i="4"/>
  <c r="AA1462" i="4"/>
  <c r="AA1453" i="4"/>
  <c r="AA1461" i="4"/>
  <c r="AA1455" i="4"/>
  <c r="AA1463" i="4"/>
  <c r="AA1449" i="4"/>
  <c r="AA1457" i="4"/>
  <c r="AA1459" i="4"/>
  <c r="AA1451" i="4"/>
  <c r="N126" i="6"/>
  <c r="O125" i="6"/>
  <c r="J253" i="4"/>
  <c r="Z253" i="4" s="1"/>
  <c r="L708" i="4"/>
  <c r="O707" i="4"/>
  <c r="K576" i="4"/>
  <c r="AA576" i="4" s="1"/>
  <c r="J611" i="4"/>
  <c r="Z611" i="4" s="1"/>
  <c r="B137" i="4"/>
  <c r="V137" i="4" s="1"/>
  <c r="AA1468" i="4" l="1"/>
  <c r="AA1472" i="4"/>
  <c r="AA1476" i="4"/>
  <c r="AA1466" i="4"/>
  <c r="AA1470" i="4"/>
  <c r="AA1474" i="4"/>
  <c r="AA1469" i="4"/>
  <c r="AA1477" i="4"/>
  <c r="AA1481" i="4"/>
  <c r="AA1471" i="4"/>
  <c r="AA1478" i="4"/>
  <c r="AA1465" i="4"/>
  <c r="AA1473" i="4"/>
  <c r="AA1479" i="4"/>
  <c r="AA1467" i="4"/>
  <c r="AA1475" i="4"/>
  <c r="AA1480" i="4"/>
  <c r="O126" i="6"/>
  <c r="AA1482" i="4" s="1"/>
  <c r="N127" i="6"/>
  <c r="B138" i="4"/>
  <c r="V138" i="4" s="1"/>
  <c r="J254" i="4"/>
  <c r="Z254" i="4" s="1"/>
  <c r="L709" i="4"/>
  <c r="O708" i="4"/>
  <c r="K577" i="4"/>
  <c r="AA577" i="4" s="1"/>
  <c r="J612" i="4"/>
  <c r="Z612" i="4" s="1"/>
  <c r="B147" i="4"/>
  <c r="V147" i="4" s="1"/>
  <c r="N128" i="6" l="1"/>
  <c r="O127" i="6"/>
  <c r="B157" i="4"/>
  <c r="V157" i="4" s="1"/>
  <c r="L710" i="4"/>
  <c r="O709" i="4"/>
  <c r="K578" i="4"/>
  <c r="AA578" i="4" s="1"/>
  <c r="AA1308" i="4" l="1"/>
  <c r="AA1312" i="4"/>
  <c r="AA1316" i="4"/>
  <c r="AA1320" i="4"/>
  <c r="AA1305" i="4"/>
  <c r="AA1309" i="4"/>
  <c r="AA1313" i="4"/>
  <c r="AA1317" i="4"/>
  <c r="AA1321" i="4"/>
  <c r="AA1306" i="4"/>
  <c r="AA1310" i="4"/>
  <c r="AA1314" i="4"/>
  <c r="AA1318" i="4"/>
  <c r="AA1315" i="4"/>
  <c r="AA1319" i="4"/>
  <c r="AA1307" i="4"/>
  <c r="AA1311" i="4"/>
  <c r="O128" i="6"/>
  <c r="N129" i="6"/>
  <c r="L711" i="4"/>
  <c r="O710" i="4"/>
  <c r="B148" i="4"/>
  <c r="V148" i="4" s="1"/>
  <c r="L246" i="4"/>
  <c r="B158" i="4"/>
  <c r="V158" i="4" s="1"/>
  <c r="AA1485" i="4" l="1"/>
  <c r="AA1489" i="4"/>
  <c r="AA1493" i="4"/>
  <c r="AA1497" i="4"/>
  <c r="AA1486" i="4"/>
  <c r="AA1490" i="4"/>
  <c r="AA1494" i="4"/>
  <c r="AA1498" i="4"/>
  <c r="AA1483" i="4"/>
  <c r="AA1487" i="4"/>
  <c r="AA1491" i="4"/>
  <c r="AA1495" i="4"/>
  <c r="AA1499" i="4"/>
  <c r="AA1484" i="4"/>
  <c r="AA1500" i="4"/>
  <c r="AA1488" i="4"/>
  <c r="AA1492" i="4"/>
  <c r="AA1496" i="4"/>
  <c r="O129" i="6"/>
  <c r="N130" i="6"/>
  <c r="L712" i="4"/>
  <c r="O711" i="4"/>
  <c r="K580" i="4"/>
  <c r="AA580" i="4" s="1"/>
  <c r="B139" i="4"/>
  <c r="V139" i="4" s="1"/>
  <c r="L247" i="4"/>
  <c r="B159" i="4"/>
  <c r="V159" i="4" s="1"/>
  <c r="AA1501" i="4" l="1"/>
  <c r="AA1505" i="4"/>
  <c r="AA1509" i="4"/>
  <c r="AA1513" i="4"/>
  <c r="AA1517" i="4"/>
  <c r="AA1502" i="4"/>
  <c r="AA1506" i="4"/>
  <c r="AA1510" i="4"/>
  <c r="AA1514" i="4"/>
  <c r="AA1518" i="4"/>
  <c r="AA1503" i="4"/>
  <c r="AA1507" i="4"/>
  <c r="AA1511" i="4"/>
  <c r="AA1515" i="4"/>
  <c r="AA1516" i="4"/>
  <c r="AA1504" i="4"/>
  <c r="AA1508" i="4"/>
  <c r="AA1512" i="4"/>
  <c r="N131" i="6"/>
  <c r="O130" i="6"/>
  <c r="B149" i="4"/>
  <c r="V149" i="4" s="1"/>
  <c r="B140" i="4"/>
  <c r="V140" i="4" s="1"/>
  <c r="L713" i="4"/>
  <c r="O712" i="4"/>
  <c r="K581" i="4"/>
  <c r="AA581" i="4" s="1"/>
  <c r="K257" i="4"/>
  <c r="AA257" i="4" s="1"/>
  <c r="L248" i="4"/>
  <c r="B160" i="4"/>
  <c r="V160" i="4" s="1"/>
  <c r="AA1519" i="4" l="1"/>
  <c r="AA1536" i="4"/>
  <c r="O131" i="6"/>
  <c r="N132" i="6"/>
  <c r="B141" i="4"/>
  <c r="V141" i="4" s="1"/>
  <c r="L714" i="4"/>
  <c r="O713" i="4"/>
  <c r="K582" i="4"/>
  <c r="AA582" i="4" s="1"/>
  <c r="B150" i="4"/>
  <c r="V150" i="4" s="1"/>
  <c r="K258" i="4"/>
  <c r="AA258" i="4" s="1"/>
  <c r="L249" i="4"/>
  <c r="B161" i="4"/>
  <c r="V161" i="4" s="1"/>
  <c r="AA1521" i="4" l="1"/>
  <c r="AA1525" i="4"/>
  <c r="AA1529" i="4"/>
  <c r="AA1533" i="4"/>
  <c r="AA1537" i="4"/>
  <c r="AA1541" i="4"/>
  <c r="AA1545" i="4"/>
  <c r="AA1549" i="4"/>
  <c r="AA1522" i="4"/>
  <c r="AA1526" i="4"/>
  <c r="AA1530" i="4"/>
  <c r="AA1534" i="4"/>
  <c r="AA1538" i="4"/>
  <c r="AA1542" i="4"/>
  <c r="AA1546" i="4"/>
  <c r="AA1550" i="4"/>
  <c r="AA1523" i="4"/>
  <c r="AA1527" i="4"/>
  <c r="AA1531" i="4"/>
  <c r="AA1535" i="4"/>
  <c r="AA1539" i="4"/>
  <c r="AA1543" i="4"/>
  <c r="AA1547" i="4"/>
  <c r="AA1551" i="4"/>
  <c r="AA1532" i="4"/>
  <c r="AA1548" i="4"/>
  <c r="AA1520" i="4"/>
  <c r="AA1552" i="4"/>
  <c r="AA1524" i="4"/>
  <c r="AA1540" i="4"/>
  <c r="AA1528" i="4"/>
  <c r="AA1544" i="4"/>
  <c r="N133" i="6"/>
  <c r="O132" i="6"/>
  <c r="AA1553" i="4" s="1"/>
  <c r="B142" i="4"/>
  <c r="V142" i="4" s="1"/>
  <c r="L715" i="4"/>
  <c r="O714" i="4"/>
  <c r="K583" i="4"/>
  <c r="AA583" i="4" s="1"/>
  <c r="B151" i="4"/>
  <c r="V151" i="4" s="1"/>
  <c r="K259" i="4"/>
  <c r="AA259" i="4" s="1"/>
  <c r="L250" i="4"/>
  <c r="B162" i="4"/>
  <c r="V162" i="4" s="1"/>
  <c r="O133" i="6" l="1"/>
  <c r="N134" i="6"/>
  <c r="B143" i="4"/>
  <c r="V143" i="4" s="1"/>
  <c r="L716" i="4"/>
  <c r="O715" i="4"/>
  <c r="K584" i="4"/>
  <c r="AA584" i="4" s="1"/>
  <c r="J619" i="4"/>
  <c r="Z619" i="4" s="1"/>
  <c r="B152" i="4"/>
  <c r="V152" i="4" s="1"/>
  <c r="J257" i="4"/>
  <c r="Z257" i="4" s="1"/>
  <c r="K260" i="4"/>
  <c r="AA260" i="4" s="1"/>
  <c r="L251" i="4"/>
  <c r="L252" i="4" s="1"/>
  <c r="L253" i="4" s="1"/>
  <c r="L254" i="4" s="1"/>
  <c r="B163" i="4"/>
  <c r="V163" i="4" s="1"/>
  <c r="AA1557" i="4" l="1"/>
  <c r="AA1561" i="4"/>
  <c r="AA1565" i="4"/>
  <c r="AA1569" i="4"/>
  <c r="AA1554" i="4"/>
  <c r="AA1558" i="4"/>
  <c r="AA1562" i="4"/>
  <c r="AA1566" i="4"/>
  <c r="AA1555" i="4"/>
  <c r="AA1559" i="4"/>
  <c r="AA1563" i="4"/>
  <c r="AA1567" i="4"/>
  <c r="AA1564" i="4"/>
  <c r="AA1568" i="4"/>
  <c r="AA1556" i="4"/>
  <c r="AA1560" i="4"/>
  <c r="N135" i="6"/>
  <c r="O134" i="6"/>
  <c r="AA1570" i="4" s="1"/>
  <c r="B144" i="4"/>
  <c r="V144" i="4" s="1"/>
  <c r="L717" i="4"/>
  <c r="O716" i="4"/>
  <c r="K585" i="4"/>
  <c r="AA585" i="4" s="1"/>
  <c r="J620" i="4"/>
  <c r="Z620" i="4" s="1"/>
  <c r="B153" i="4"/>
  <c r="V153" i="4" s="1"/>
  <c r="J258" i="4"/>
  <c r="Z258" i="4" s="1"/>
  <c r="K261" i="4"/>
  <c r="AA261" i="4" s="1"/>
  <c r="B164" i="4"/>
  <c r="V164" i="4" s="1"/>
  <c r="O135" i="6" l="1"/>
  <c r="N136" i="6"/>
  <c r="B145" i="4"/>
  <c r="V145" i="4" s="1"/>
  <c r="L718" i="4"/>
  <c r="O717" i="4"/>
  <c r="K586" i="4"/>
  <c r="AA586" i="4" s="1"/>
  <c r="J621" i="4"/>
  <c r="Z621" i="4" s="1"/>
  <c r="J259" i="4"/>
  <c r="Z259" i="4" s="1"/>
  <c r="K262" i="4"/>
  <c r="AA262" i="4" s="1"/>
  <c r="B165" i="4"/>
  <c r="V165" i="4" s="1"/>
  <c r="AA1573" i="4" l="1"/>
  <c r="AA1577" i="4"/>
  <c r="AA1581" i="4"/>
  <c r="AA1585" i="4"/>
  <c r="AA1574" i="4"/>
  <c r="AA1578" i="4"/>
  <c r="AA1582" i="4"/>
  <c r="AA1586" i="4"/>
  <c r="AA1571" i="4"/>
  <c r="AA1575" i="4"/>
  <c r="AA1579" i="4"/>
  <c r="AA1583" i="4"/>
  <c r="AA1580" i="4"/>
  <c r="AA1584" i="4"/>
  <c r="AA1572" i="4"/>
  <c r="AA1576" i="4"/>
  <c r="N137" i="6"/>
  <c r="O136" i="6"/>
  <c r="B146" i="4"/>
  <c r="V146" i="4" s="1"/>
  <c r="L721" i="4"/>
  <c r="O721" i="4" s="1"/>
  <c r="O718" i="4"/>
  <c r="K587" i="4"/>
  <c r="AA587" i="4" s="1"/>
  <c r="J622" i="4"/>
  <c r="Z622" i="4" s="1"/>
  <c r="J260" i="4"/>
  <c r="Z260" i="4" s="1"/>
  <c r="K263" i="4"/>
  <c r="AA263" i="4" s="1"/>
  <c r="B166" i="4"/>
  <c r="V166" i="4" s="1"/>
  <c r="AA1589" i="4" l="1"/>
  <c r="AA1593" i="4"/>
  <c r="AA1597" i="4"/>
  <c r="AA1601" i="4"/>
  <c r="AA1590" i="4"/>
  <c r="AA1594" i="4"/>
  <c r="AA1598" i="4"/>
  <c r="AA1602" i="4"/>
  <c r="AA1587" i="4"/>
  <c r="AA1591" i="4"/>
  <c r="AA1595" i="4"/>
  <c r="AA1599" i="4"/>
  <c r="AA1603" i="4"/>
  <c r="AA1596" i="4"/>
  <c r="AA1600" i="4"/>
  <c r="AA1604" i="4"/>
  <c r="AA1592" i="4"/>
  <c r="O137" i="6"/>
  <c r="AA1588" i="4" s="1"/>
  <c r="N138" i="6"/>
  <c r="L722" i="4"/>
  <c r="O722" i="4" s="1"/>
  <c r="K588" i="4"/>
  <c r="AA588" i="4" s="1"/>
  <c r="J623" i="4"/>
  <c r="Z623" i="4" s="1"/>
  <c r="B154" i="4"/>
  <c r="V154" i="4" s="1"/>
  <c r="J261" i="4"/>
  <c r="Z261" i="4" s="1"/>
  <c r="K264" i="4"/>
  <c r="AA264" i="4" s="1"/>
  <c r="B167" i="4"/>
  <c r="V167" i="4" s="1"/>
  <c r="N139" i="6" l="1"/>
  <c r="O138" i="6"/>
  <c r="L723" i="4"/>
  <c r="O723" i="4" s="1"/>
  <c r="K589" i="4"/>
  <c r="AA589" i="4" s="1"/>
  <c r="J624" i="4"/>
  <c r="Z624" i="4" s="1"/>
  <c r="J262" i="4"/>
  <c r="Z262" i="4" s="1"/>
  <c r="K265" i="4"/>
  <c r="AA265" i="4" s="1"/>
  <c r="B168" i="4"/>
  <c r="V168" i="4" s="1"/>
  <c r="AA1605" i="4" l="1"/>
  <c r="AA1609" i="4"/>
  <c r="AA1613" i="4"/>
  <c r="AA1617" i="4"/>
  <c r="AA1621" i="4"/>
  <c r="AA1606" i="4"/>
  <c r="AA1610" i="4"/>
  <c r="AA1614" i="4"/>
  <c r="AA1618" i="4"/>
  <c r="AA1607" i="4"/>
  <c r="AA1611" i="4"/>
  <c r="AA1615" i="4"/>
  <c r="AA1619" i="4"/>
  <c r="AA1612" i="4"/>
  <c r="AA1616" i="4"/>
  <c r="AA1620" i="4"/>
  <c r="AA1608" i="4"/>
  <c r="O139" i="6"/>
  <c r="AA1622" i="4" s="1"/>
  <c r="N140" i="6"/>
  <c r="L724" i="4"/>
  <c r="O724" i="4" s="1"/>
  <c r="K590" i="4"/>
  <c r="AA590" i="4" s="1"/>
  <c r="J625" i="4"/>
  <c r="Z625" i="4" s="1"/>
  <c r="B155" i="4"/>
  <c r="V155" i="4" s="1"/>
  <c r="J263" i="4"/>
  <c r="Z263" i="4" s="1"/>
  <c r="K266" i="4"/>
  <c r="AA266" i="4" s="1"/>
  <c r="B169" i="4"/>
  <c r="V169" i="4" s="1"/>
  <c r="N141" i="6" l="1"/>
  <c r="O140" i="6"/>
  <c r="AA1623" i="4" s="1"/>
  <c r="L725" i="4"/>
  <c r="O725" i="4" s="1"/>
  <c r="K591" i="4"/>
  <c r="AA591" i="4" s="1"/>
  <c r="J626" i="4"/>
  <c r="Z626" i="4" s="1"/>
  <c r="J264" i="4"/>
  <c r="Z264" i="4" s="1"/>
  <c r="K267" i="4"/>
  <c r="AA267" i="4" s="1"/>
  <c r="B170" i="4"/>
  <c r="V170" i="4" s="1"/>
  <c r="O141" i="6" l="1"/>
  <c r="AA1624" i="4" s="1"/>
  <c r="N142" i="6"/>
  <c r="L726" i="4"/>
  <c r="O726" i="4" s="1"/>
  <c r="K592" i="4"/>
  <c r="AA592" i="4" s="1"/>
  <c r="J627" i="4"/>
  <c r="Z627" i="4" s="1"/>
  <c r="B156" i="4"/>
  <c r="V156" i="4" s="1"/>
  <c r="J265" i="4"/>
  <c r="Z265" i="4" s="1"/>
  <c r="K268" i="4"/>
  <c r="AA268" i="4" s="1"/>
  <c r="B171" i="4"/>
  <c r="V171" i="4" s="1"/>
  <c r="N143" i="6" l="1"/>
  <c r="O142" i="6"/>
  <c r="L727" i="4"/>
  <c r="O727" i="4" s="1"/>
  <c r="K593" i="4"/>
  <c r="AA593" i="4" s="1"/>
  <c r="J628" i="4"/>
  <c r="Z628" i="4" s="1"/>
  <c r="J266" i="4"/>
  <c r="Z266" i="4" s="1"/>
  <c r="K269" i="4"/>
  <c r="AA269" i="4" s="1"/>
  <c r="B172" i="4"/>
  <c r="V172" i="4" s="1"/>
  <c r="AA1625" i="4" l="1"/>
  <c r="AA1629" i="4"/>
  <c r="AA1626" i="4"/>
  <c r="AA1627" i="4"/>
  <c r="AA1628" i="4"/>
  <c r="O143" i="6"/>
  <c r="N144" i="6"/>
  <c r="L728" i="4"/>
  <c r="O728" i="4" s="1"/>
  <c r="K594" i="4"/>
  <c r="AA594" i="4" s="1"/>
  <c r="J629" i="4"/>
  <c r="Z629" i="4" s="1"/>
  <c r="J267" i="4"/>
  <c r="Z267" i="4" s="1"/>
  <c r="K270" i="4"/>
  <c r="AA270" i="4" s="1"/>
  <c r="L257" i="4"/>
  <c r="O257" i="4" s="1"/>
  <c r="B173" i="4"/>
  <c r="V173" i="4" s="1"/>
  <c r="AA1633" i="4" l="1"/>
  <c r="AA1630" i="4"/>
  <c r="AA1634" i="4"/>
  <c r="AA1631" i="4"/>
  <c r="AA1635" i="4"/>
  <c r="AA1632" i="4"/>
  <c r="N145" i="6"/>
  <c r="O144" i="6"/>
  <c r="AA1636" i="4" s="1"/>
  <c r="L729" i="4"/>
  <c r="O729" i="4" s="1"/>
  <c r="K595" i="4"/>
  <c r="AA595" i="4" s="1"/>
  <c r="J630" i="4"/>
  <c r="Z630" i="4" s="1"/>
  <c r="J268" i="4"/>
  <c r="Z268" i="4" s="1"/>
  <c r="K271" i="4"/>
  <c r="AA271" i="4" s="1"/>
  <c r="L258" i="4"/>
  <c r="O258" i="4" s="1"/>
  <c r="B174" i="4"/>
  <c r="V174" i="4" s="1"/>
  <c r="O145" i="6" l="1"/>
  <c r="AA1637" i="4" s="1"/>
  <c r="N146" i="6"/>
  <c r="L730" i="4"/>
  <c r="O730" i="4" s="1"/>
  <c r="J631" i="4"/>
  <c r="Z631" i="4" s="1"/>
  <c r="J269" i="4"/>
  <c r="Z269" i="4" s="1"/>
  <c r="K272" i="4"/>
  <c r="AA272" i="4" s="1"/>
  <c r="L259" i="4"/>
  <c r="O259" i="4" s="1"/>
  <c r="B175" i="4"/>
  <c r="V175" i="4" s="1"/>
  <c r="N147" i="6" l="1"/>
  <c r="O146" i="6"/>
  <c r="L731" i="4"/>
  <c r="O731" i="4" s="1"/>
  <c r="K597" i="4"/>
  <c r="AA597" i="4" s="1"/>
  <c r="J632" i="4"/>
  <c r="Z632" i="4" s="1"/>
  <c r="J270" i="4"/>
  <c r="Z270" i="4" s="1"/>
  <c r="L260" i="4"/>
  <c r="O260" i="4" s="1"/>
  <c r="B176" i="4"/>
  <c r="V176" i="4" s="1"/>
  <c r="AA1641" i="4" l="1"/>
  <c r="AA1645" i="4"/>
  <c r="AA1649" i="4"/>
  <c r="AA1653" i="4"/>
  <c r="AA1638" i="4"/>
  <c r="AA1642" i="4"/>
  <c r="AA1646" i="4"/>
  <c r="AA1650" i="4"/>
  <c r="AA1654" i="4"/>
  <c r="AA1639" i="4"/>
  <c r="AA1643" i="4"/>
  <c r="AA1647" i="4"/>
  <c r="AA1651" i="4"/>
  <c r="AA1644" i="4"/>
  <c r="AA1648" i="4"/>
  <c r="AA1652" i="4"/>
  <c r="AA1640" i="4"/>
  <c r="O147" i="6"/>
  <c r="N148" i="6"/>
  <c r="L732" i="4"/>
  <c r="O732" i="4" s="1"/>
  <c r="K598" i="4"/>
  <c r="AA598" i="4" s="1"/>
  <c r="J633" i="4"/>
  <c r="Z633" i="4" s="1"/>
  <c r="J271" i="4"/>
  <c r="Z271" i="4" s="1"/>
  <c r="K274" i="4"/>
  <c r="AA274" i="4" s="1"/>
  <c r="L261" i="4"/>
  <c r="O261" i="4" s="1"/>
  <c r="B177" i="4"/>
  <c r="V177" i="4" s="1"/>
  <c r="AA1657" i="4" l="1"/>
  <c r="AA1661" i="4"/>
  <c r="AA1665" i="4"/>
  <c r="AA1669" i="4"/>
  <c r="AA1658" i="4"/>
  <c r="AA1662" i="4"/>
  <c r="AA1666" i="4"/>
  <c r="AA1670" i="4"/>
  <c r="AA1655" i="4"/>
  <c r="AA1659" i="4"/>
  <c r="AA1663" i="4"/>
  <c r="AA1667" i="4"/>
  <c r="AA1671" i="4"/>
  <c r="AA1660" i="4"/>
  <c r="AA1664" i="4"/>
  <c r="AA1668" i="4"/>
  <c r="AA1656" i="4"/>
  <c r="N149" i="6"/>
  <c r="O148" i="6"/>
  <c r="AA1672" i="4" s="1"/>
  <c r="L733" i="4"/>
  <c r="O733" i="4" s="1"/>
  <c r="K599" i="4"/>
  <c r="AA599" i="4" s="1"/>
  <c r="J272" i="4"/>
  <c r="Z272" i="4" s="1"/>
  <c r="K275" i="4"/>
  <c r="AA275" i="4" s="1"/>
  <c r="L262" i="4"/>
  <c r="O262" i="4" s="1"/>
  <c r="B178" i="4"/>
  <c r="V178" i="4" s="1"/>
  <c r="O149" i="6" l="1"/>
  <c r="AA1673" i="4" s="1"/>
  <c r="N150" i="6"/>
  <c r="L734" i="4"/>
  <c r="O734" i="4" s="1"/>
  <c r="K600" i="4"/>
  <c r="AA600" i="4" s="1"/>
  <c r="K276" i="4"/>
  <c r="AA276" i="4" s="1"/>
  <c r="L263" i="4"/>
  <c r="O263" i="4" s="1"/>
  <c r="B179" i="4"/>
  <c r="V179" i="4" s="1"/>
  <c r="N151" i="6" l="1"/>
  <c r="O150" i="6"/>
  <c r="AA1674" i="4" s="1"/>
  <c r="L735" i="4"/>
  <c r="O735" i="4" s="1"/>
  <c r="K601" i="4"/>
  <c r="AA601" i="4" s="1"/>
  <c r="J636" i="4"/>
  <c r="Z636" i="4" s="1"/>
  <c r="K277" i="4"/>
  <c r="AA277" i="4" s="1"/>
  <c r="L264" i="4"/>
  <c r="O264" i="4" s="1"/>
  <c r="B180" i="4"/>
  <c r="V180" i="4" s="1"/>
  <c r="O151" i="6" l="1"/>
  <c r="N152" i="6"/>
  <c r="L736" i="4"/>
  <c r="O736" i="4" s="1"/>
  <c r="K602" i="4"/>
  <c r="AA602" i="4" s="1"/>
  <c r="J637" i="4"/>
  <c r="Z637" i="4" s="1"/>
  <c r="J275" i="4"/>
  <c r="Z275" i="4" s="1"/>
  <c r="K278" i="4"/>
  <c r="AA278" i="4" s="1"/>
  <c r="L265" i="4"/>
  <c r="O265" i="4" s="1"/>
  <c r="B181" i="4"/>
  <c r="V181" i="4" s="1"/>
  <c r="AA1677" i="4" l="1"/>
  <c r="AA1681" i="4"/>
  <c r="AA1685" i="4"/>
  <c r="AA1689" i="4"/>
  <c r="AA1678" i="4"/>
  <c r="AA1682" i="4"/>
  <c r="AA1686" i="4"/>
  <c r="AA1690" i="4"/>
  <c r="AA1675" i="4"/>
  <c r="AA1679" i="4"/>
  <c r="AA1683" i="4"/>
  <c r="AA1687" i="4"/>
  <c r="AA1691" i="4"/>
  <c r="AA1676" i="4"/>
  <c r="AA1680" i="4"/>
  <c r="AA1684" i="4"/>
  <c r="AA1688" i="4"/>
  <c r="N153" i="6"/>
  <c r="O152" i="6"/>
  <c r="L738" i="4"/>
  <c r="K603" i="4"/>
  <c r="AA603" i="4" s="1"/>
  <c r="J638" i="4"/>
  <c r="Z638" i="4" s="1"/>
  <c r="J276" i="4"/>
  <c r="Z276" i="4" s="1"/>
  <c r="K279" i="4"/>
  <c r="AA279" i="4" s="1"/>
  <c r="L266" i="4"/>
  <c r="O266" i="4" s="1"/>
  <c r="B182" i="4"/>
  <c r="V182" i="4" s="1"/>
  <c r="AA1693" i="4" l="1"/>
  <c r="AA1697" i="4"/>
  <c r="AA1701" i="4"/>
  <c r="AA1705" i="4"/>
  <c r="AA1694" i="4"/>
  <c r="AA1698" i="4"/>
  <c r="AA1702" i="4"/>
  <c r="AA1706" i="4"/>
  <c r="AA1695" i="4"/>
  <c r="AA1699" i="4"/>
  <c r="AA1703" i="4"/>
  <c r="AA1707" i="4"/>
  <c r="AA1692" i="4"/>
  <c r="AA1708" i="4"/>
  <c r="AA1696" i="4"/>
  <c r="AA1700" i="4"/>
  <c r="AA1704" i="4"/>
  <c r="O153" i="6"/>
  <c r="AA1709" i="4" s="1"/>
  <c r="N154" i="6"/>
  <c r="L739" i="4"/>
  <c r="O738" i="4"/>
  <c r="K604" i="4"/>
  <c r="AA604" i="4" s="1"/>
  <c r="J639" i="4"/>
  <c r="Z639" i="4" s="1"/>
  <c r="J277" i="4"/>
  <c r="Z277" i="4" s="1"/>
  <c r="K280" i="4"/>
  <c r="AA280" i="4" s="1"/>
  <c r="L267" i="4"/>
  <c r="O267" i="4" s="1"/>
  <c r="B183" i="4"/>
  <c r="V183" i="4" s="1"/>
  <c r="N155" i="6" l="1"/>
  <c r="O154" i="6"/>
  <c r="AA1710" i="4" s="1"/>
  <c r="L740" i="4"/>
  <c r="O739" i="4"/>
  <c r="K605" i="4"/>
  <c r="AA605" i="4" s="1"/>
  <c r="J640" i="4"/>
  <c r="Z640" i="4" s="1"/>
  <c r="J278" i="4"/>
  <c r="Z278" i="4" s="1"/>
  <c r="K281" i="4"/>
  <c r="AA281" i="4" s="1"/>
  <c r="L268" i="4"/>
  <c r="O268" i="4" s="1"/>
  <c r="B184" i="4"/>
  <c r="V184" i="4" s="1"/>
  <c r="O155" i="6" l="1"/>
  <c r="AA1711" i="4" s="1"/>
  <c r="N156" i="6"/>
  <c r="L741" i="4"/>
  <c r="O740" i="4"/>
  <c r="K606" i="4"/>
  <c r="AA606" i="4" s="1"/>
  <c r="J641" i="4"/>
  <c r="Z641" i="4" s="1"/>
  <c r="J279" i="4"/>
  <c r="Z279" i="4" s="1"/>
  <c r="K282" i="4"/>
  <c r="AA282" i="4" s="1"/>
  <c r="L269" i="4"/>
  <c r="O269" i="4" s="1"/>
  <c r="B185" i="4"/>
  <c r="V185" i="4" s="1"/>
  <c r="N157" i="6" l="1"/>
  <c r="O156" i="6"/>
  <c r="AA1712" i="4" s="1"/>
  <c r="L742" i="4"/>
  <c r="O741" i="4"/>
  <c r="K607" i="4"/>
  <c r="AA607" i="4" s="1"/>
  <c r="J642" i="4"/>
  <c r="Z642" i="4" s="1"/>
  <c r="J280" i="4"/>
  <c r="Z280" i="4" s="1"/>
  <c r="K283" i="4"/>
  <c r="AA283" i="4" s="1"/>
  <c r="L270" i="4"/>
  <c r="O270" i="4" s="1"/>
  <c r="B186" i="4"/>
  <c r="V186" i="4" s="1"/>
  <c r="O157" i="6" l="1"/>
  <c r="AA1713" i="4" s="1"/>
  <c r="N158" i="6"/>
  <c r="L743" i="4"/>
  <c r="O742" i="4"/>
  <c r="K608" i="4"/>
  <c r="AA608" i="4" s="1"/>
  <c r="J643" i="4"/>
  <c r="Z643" i="4" s="1"/>
  <c r="J281" i="4"/>
  <c r="Z281" i="4" s="1"/>
  <c r="K284" i="4"/>
  <c r="AA284" i="4" s="1"/>
  <c r="L271" i="4"/>
  <c r="O271" i="4" s="1"/>
  <c r="B187" i="4"/>
  <c r="V187" i="4" s="1"/>
  <c r="N159" i="6" l="1"/>
  <c r="O158" i="6"/>
  <c r="L744" i="4"/>
  <c r="O743" i="4"/>
  <c r="K609" i="4"/>
  <c r="AA609" i="4" s="1"/>
  <c r="J644" i="4"/>
  <c r="Z644" i="4" s="1"/>
  <c r="J282" i="4"/>
  <c r="Z282" i="4" s="1"/>
  <c r="K285" i="4"/>
  <c r="AA285" i="4" s="1"/>
  <c r="L272" i="4"/>
  <c r="O272" i="4" s="1"/>
  <c r="B188" i="4"/>
  <c r="V188" i="4" s="1"/>
  <c r="AA1717" i="4" l="1"/>
  <c r="AA1714" i="4"/>
  <c r="AA1718" i="4"/>
  <c r="AA1715" i="4"/>
  <c r="AA1719" i="4"/>
  <c r="AA1716" i="4"/>
  <c r="O159" i="6"/>
  <c r="N160" i="6"/>
  <c r="L745" i="4"/>
  <c r="O744" i="4"/>
  <c r="K610" i="4"/>
  <c r="AA610" i="4" s="1"/>
  <c r="J645" i="4"/>
  <c r="Z645" i="4" s="1"/>
  <c r="J283" i="4"/>
  <c r="Z283" i="4" s="1"/>
  <c r="K286" i="4"/>
  <c r="AA286" i="4" s="1"/>
  <c r="B189" i="4"/>
  <c r="V189" i="4" s="1"/>
  <c r="AA1721" i="4" l="1"/>
  <c r="AA1725" i="4"/>
  <c r="AA1722" i="4"/>
  <c r="AA1723" i="4"/>
  <c r="AA1727" i="4"/>
  <c r="AA1724" i="4"/>
  <c r="AA1730" i="4"/>
  <c r="AA1734" i="4"/>
  <c r="AA1726" i="4"/>
  <c r="AA1731" i="4"/>
  <c r="AA1735" i="4"/>
  <c r="AA1728" i="4"/>
  <c r="AA1732" i="4"/>
  <c r="AA1736" i="4"/>
  <c r="AA1720" i="4"/>
  <c r="AA1729" i="4"/>
  <c r="AA1733" i="4"/>
  <c r="N161" i="6"/>
  <c r="O160" i="6"/>
  <c r="L746" i="4"/>
  <c r="O745" i="4"/>
  <c r="K611" i="4"/>
  <c r="AA611" i="4" s="1"/>
  <c r="J646" i="4"/>
  <c r="Z646" i="4" s="1"/>
  <c r="J284" i="4"/>
  <c r="Z284" i="4" s="1"/>
  <c r="K287" i="4"/>
  <c r="AA287" i="4" s="1"/>
  <c r="L274" i="4"/>
  <c r="O274" i="4" s="1"/>
  <c r="B190" i="4"/>
  <c r="V190" i="4" s="1"/>
  <c r="AA1738" i="4" l="1"/>
  <c r="AA1739" i="4"/>
  <c r="AA1740" i="4"/>
  <c r="AA1741" i="4"/>
  <c r="AA1737" i="4"/>
  <c r="O161" i="6"/>
  <c r="AA1742" i="4" s="1"/>
  <c r="N162" i="6"/>
  <c r="L747" i="4"/>
  <c r="O746" i="4"/>
  <c r="K612" i="4"/>
  <c r="AA612" i="4" s="1"/>
  <c r="J647" i="4"/>
  <c r="Z647" i="4" s="1"/>
  <c r="J285" i="4"/>
  <c r="Z285" i="4" s="1"/>
  <c r="K288" i="4"/>
  <c r="AA288" i="4" s="1"/>
  <c r="L275" i="4"/>
  <c r="O275" i="4" s="1"/>
  <c r="B191" i="4"/>
  <c r="V191" i="4" s="1"/>
  <c r="N163" i="6" l="1"/>
  <c r="O162" i="6"/>
  <c r="B192" i="4"/>
  <c r="V192" i="4" s="1"/>
  <c r="L748" i="4"/>
  <c r="O747" i="4"/>
  <c r="J648" i="4"/>
  <c r="Z648" i="4" s="1"/>
  <c r="J286" i="4"/>
  <c r="Z286" i="4" s="1"/>
  <c r="K289" i="4"/>
  <c r="AA289" i="4" s="1"/>
  <c r="L276" i="4"/>
  <c r="O276" i="4" s="1"/>
  <c r="AA1746" i="4" l="1"/>
  <c r="AA1743" i="4"/>
  <c r="AA1744" i="4"/>
  <c r="AA1745" i="4"/>
  <c r="O163" i="6"/>
  <c r="N164" i="6"/>
  <c r="B193" i="4"/>
  <c r="V193" i="4" s="1"/>
  <c r="L749" i="4"/>
  <c r="O748" i="4"/>
  <c r="J649" i="4"/>
  <c r="Z649" i="4" s="1"/>
  <c r="J287" i="4"/>
  <c r="Z287" i="4" s="1"/>
  <c r="L277" i="4"/>
  <c r="O277" i="4" s="1"/>
  <c r="AA1750" i="4" l="1"/>
  <c r="AA1747" i="4"/>
  <c r="AA1751" i="4"/>
  <c r="AA1748" i="4"/>
  <c r="AA1749" i="4"/>
  <c r="N165" i="6"/>
  <c r="O164" i="6"/>
  <c r="B194" i="4"/>
  <c r="V194" i="4" s="1"/>
  <c r="L750" i="4"/>
  <c r="O749" i="4"/>
  <c r="J650" i="4"/>
  <c r="Z650" i="4" s="1"/>
  <c r="J288" i="4"/>
  <c r="Z288" i="4" s="1"/>
  <c r="L278" i="4"/>
  <c r="O278" i="4" s="1"/>
  <c r="AA1754" i="4" l="1"/>
  <c r="AA1758" i="4"/>
  <c r="AA1762" i="4"/>
  <c r="AA1766" i="4"/>
  <c r="AA1755" i="4"/>
  <c r="AA1759" i="4"/>
  <c r="AA1763" i="4"/>
  <c r="AA1767" i="4"/>
  <c r="AA1752" i="4"/>
  <c r="AA1756" i="4"/>
  <c r="AA1760" i="4"/>
  <c r="AA1764" i="4"/>
  <c r="AA1768" i="4"/>
  <c r="AA1757" i="4"/>
  <c r="AA1761" i="4"/>
  <c r="AA1765" i="4"/>
  <c r="AA1753" i="4"/>
  <c r="O165" i="6"/>
  <c r="N166" i="6"/>
  <c r="B195" i="4"/>
  <c r="V195" i="4" s="1"/>
  <c r="L751" i="4"/>
  <c r="O750" i="4"/>
  <c r="J289" i="4"/>
  <c r="Z289" i="4" s="1"/>
  <c r="L279" i="4"/>
  <c r="O279" i="4" s="1"/>
  <c r="AA1770" i="4" l="1"/>
  <c r="AA1771" i="4"/>
  <c r="AA1772" i="4"/>
  <c r="AA1769" i="4"/>
  <c r="N167" i="6"/>
  <c r="O166" i="6"/>
  <c r="B196" i="4"/>
  <c r="V196" i="4" s="1"/>
  <c r="L752" i="4"/>
  <c r="O751" i="4"/>
  <c r="J290" i="4"/>
  <c r="Z290" i="4" s="1"/>
  <c r="L280" i="4"/>
  <c r="O280" i="4" s="1"/>
  <c r="AA1774" i="4" l="1"/>
  <c r="AA1778" i="4"/>
  <c r="AA1782" i="4"/>
  <c r="AA1786" i="4"/>
  <c r="AA1775" i="4"/>
  <c r="AA1779" i="4"/>
  <c r="AA1783" i="4"/>
  <c r="AA1787" i="4"/>
  <c r="AA1776" i="4"/>
  <c r="AA1780" i="4"/>
  <c r="AA1784" i="4"/>
  <c r="AA1788" i="4"/>
  <c r="AA1773" i="4"/>
  <c r="AA1789" i="4"/>
  <c r="AA1777" i="4"/>
  <c r="AA1781" i="4"/>
  <c r="AA1785" i="4"/>
  <c r="O167" i="6"/>
  <c r="N168" i="6"/>
  <c r="B197" i="4"/>
  <c r="V197" i="4" s="1"/>
  <c r="L753" i="4"/>
  <c r="O752" i="4"/>
  <c r="K618" i="4"/>
  <c r="AA618" i="4" s="1"/>
  <c r="J653" i="4"/>
  <c r="Z653" i="4" s="1"/>
  <c r="L281" i="4"/>
  <c r="O281" i="4" s="1"/>
  <c r="AA1790" i="4" l="1"/>
  <c r="AA1794" i="4"/>
  <c r="AA1798" i="4"/>
  <c r="AA1802" i="4"/>
  <c r="AA1806" i="4"/>
  <c r="AA1791" i="4"/>
  <c r="AA1795" i="4"/>
  <c r="AA1799" i="4"/>
  <c r="AA1803" i="4"/>
  <c r="AA1792" i="4"/>
  <c r="AA1796" i="4"/>
  <c r="AA1800" i="4"/>
  <c r="AA1804" i="4"/>
  <c r="AA1805" i="4"/>
  <c r="AA1793" i="4"/>
  <c r="AA1797" i="4"/>
  <c r="AA1801" i="4"/>
  <c r="N169" i="6"/>
  <c r="O168" i="6"/>
  <c r="B198" i="4"/>
  <c r="V198" i="4" s="1"/>
  <c r="L755" i="4"/>
  <c r="O753" i="4"/>
  <c r="K619" i="4"/>
  <c r="AA619" i="4" s="1"/>
  <c r="J654" i="4"/>
  <c r="Z654" i="4" s="1"/>
  <c r="K295" i="4"/>
  <c r="AA295" i="4" s="1"/>
  <c r="L282" i="4"/>
  <c r="O282" i="4" s="1"/>
  <c r="AA1810" i="4" l="1"/>
  <c r="AA1814" i="4"/>
  <c r="AA1818" i="4"/>
  <c r="AA1822" i="4"/>
  <c r="AA1807" i="4"/>
  <c r="AA1811" i="4"/>
  <c r="AA1815" i="4"/>
  <c r="AA1819" i="4"/>
  <c r="AA1823" i="4"/>
  <c r="AA1808" i="4"/>
  <c r="AA1812" i="4"/>
  <c r="AA1816" i="4"/>
  <c r="AA1820" i="4"/>
  <c r="AA1821" i="4"/>
  <c r="AA1809" i="4"/>
  <c r="AA1813" i="4"/>
  <c r="AA1817" i="4"/>
  <c r="O169" i="6"/>
  <c r="N170" i="6"/>
  <c r="B199" i="4"/>
  <c r="V199" i="4" s="1"/>
  <c r="L756" i="4"/>
  <c r="O755" i="4"/>
  <c r="K620" i="4"/>
  <c r="AA620" i="4" s="1"/>
  <c r="J655" i="4"/>
  <c r="Z655" i="4" s="1"/>
  <c r="K296" i="4"/>
  <c r="AA296" i="4" s="1"/>
  <c r="L283" i="4"/>
  <c r="O283" i="4" s="1"/>
  <c r="AA1826" i="4" l="1"/>
  <c r="AA1830" i="4"/>
  <c r="AA1834" i="4"/>
  <c r="AA1838" i="4"/>
  <c r="AA1827" i="4"/>
  <c r="AA1831" i="4"/>
  <c r="AA1835" i="4"/>
  <c r="AA1839" i="4"/>
  <c r="AA1824" i="4"/>
  <c r="AA1828" i="4"/>
  <c r="AA1832" i="4"/>
  <c r="AA1836" i="4"/>
  <c r="AA1840" i="4"/>
  <c r="AA1837" i="4"/>
  <c r="AA1825" i="4"/>
  <c r="AA1829" i="4"/>
  <c r="AA1833" i="4"/>
  <c r="N171" i="6"/>
  <c r="O170" i="6"/>
  <c r="B200" i="4"/>
  <c r="V200" i="4" s="1"/>
  <c r="L757" i="4"/>
  <c r="O756" i="4"/>
  <c r="K621" i="4"/>
  <c r="AA621" i="4" s="1"/>
  <c r="J656" i="4"/>
  <c r="Z656" i="4" s="1"/>
  <c r="K297" i="4"/>
  <c r="AA297" i="4" s="1"/>
  <c r="L284" i="4"/>
  <c r="O284" i="4" s="1"/>
  <c r="AA1842" i="4" l="1"/>
  <c r="AA1846" i="4"/>
  <c r="AA1850" i="4"/>
  <c r="AA1854" i="4"/>
  <c r="AA1843" i="4"/>
  <c r="AA1847" i="4"/>
  <c r="AA1851" i="4"/>
  <c r="AA1855" i="4"/>
  <c r="AA1844" i="4"/>
  <c r="AA1848" i="4"/>
  <c r="AA1852" i="4"/>
  <c r="AA1856" i="4"/>
  <c r="AA1853" i="4"/>
  <c r="AA1841" i="4"/>
  <c r="AA1857" i="4"/>
  <c r="AA1845" i="4"/>
  <c r="AA1849" i="4"/>
  <c r="O171" i="6"/>
  <c r="N172" i="6"/>
  <c r="B201" i="4"/>
  <c r="V201" i="4" s="1"/>
  <c r="L758" i="4"/>
  <c r="O757" i="4"/>
  <c r="K622" i="4"/>
  <c r="AA622" i="4" s="1"/>
  <c r="J657" i="4"/>
  <c r="Z657" i="4" s="1"/>
  <c r="K298" i="4"/>
  <c r="AA298" i="4" s="1"/>
  <c r="L285" i="4"/>
  <c r="O285" i="4" s="1"/>
  <c r="B202" i="4" l="1"/>
  <c r="V202" i="4" s="1"/>
  <c r="AA1858" i="4"/>
  <c r="AA1862" i="4"/>
  <c r="AA1866" i="4"/>
  <c r="AA1870" i="4"/>
  <c r="AA1874" i="4"/>
  <c r="AA1859" i="4"/>
  <c r="AA1863" i="4"/>
  <c r="AA1867" i="4"/>
  <c r="AA1871" i="4"/>
  <c r="AA1860" i="4"/>
  <c r="AA1864" i="4"/>
  <c r="AA1868" i="4"/>
  <c r="AA1872" i="4"/>
  <c r="AA1869" i="4"/>
  <c r="AA1873" i="4"/>
  <c r="AA1861" i="4"/>
  <c r="AA1865" i="4"/>
  <c r="N173" i="6"/>
  <c r="O172" i="6"/>
  <c r="L759" i="4"/>
  <c r="O758" i="4"/>
  <c r="K623" i="4"/>
  <c r="AA623" i="4" s="1"/>
  <c r="J658" i="4"/>
  <c r="Z658" i="4" s="1"/>
  <c r="J296" i="4"/>
  <c r="Z296" i="4" s="1"/>
  <c r="K299" i="4"/>
  <c r="AA299" i="4" s="1"/>
  <c r="L286" i="4"/>
  <c r="O286" i="4" s="1"/>
  <c r="B203" i="4" l="1"/>
  <c r="V203" i="4" s="1"/>
  <c r="AA1878" i="4"/>
  <c r="AA1882" i="4"/>
  <c r="AA1886" i="4"/>
  <c r="AA1890" i="4"/>
  <c r="AA1875" i="4"/>
  <c r="AA1879" i="4"/>
  <c r="AA1883" i="4"/>
  <c r="AA1887" i="4"/>
  <c r="AA1891" i="4"/>
  <c r="AA1876" i="4"/>
  <c r="AA1880" i="4"/>
  <c r="AA1884" i="4"/>
  <c r="AA1888" i="4"/>
  <c r="AA1885" i="4"/>
  <c r="AA1889" i="4"/>
  <c r="AA1877" i="4"/>
  <c r="AA1881" i="4"/>
  <c r="O173" i="6"/>
  <c r="N174" i="6"/>
  <c r="L760" i="4"/>
  <c r="O759" i="4"/>
  <c r="K624" i="4"/>
  <c r="AA624" i="4" s="1"/>
  <c r="J659" i="4"/>
  <c r="Z659" i="4" s="1"/>
  <c r="J297" i="4"/>
  <c r="Z297" i="4" s="1"/>
  <c r="K300" i="4"/>
  <c r="AA300" i="4" s="1"/>
  <c r="L287" i="4"/>
  <c r="O287" i="4" s="1"/>
  <c r="B204" i="4" l="1"/>
  <c r="V204" i="4" s="1"/>
  <c r="AA1894" i="4"/>
  <c r="AA1898" i="4"/>
  <c r="AA1902" i="4"/>
  <c r="AA1906" i="4"/>
  <c r="AA1895" i="4"/>
  <c r="AA1899" i="4"/>
  <c r="AA1903" i="4"/>
  <c r="AA1907" i="4"/>
  <c r="AA1892" i="4"/>
  <c r="AA1896" i="4"/>
  <c r="AA1900" i="4"/>
  <c r="AA1904" i="4"/>
  <c r="AA1908" i="4"/>
  <c r="AA1901" i="4"/>
  <c r="AA1905" i="4"/>
  <c r="AA1893" i="4"/>
  <c r="AA1897" i="4"/>
  <c r="N175" i="6"/>
  <c r="O174" i="6"/>
  <c r="L761" i="4"/>
  <c r="O760" i="4"/>
  <c r="K625" i="4"/>
  <c r="AA625" i="4" s="1"/>
  <c r="J660" i="4"/>
  <c r="Z660" i="4" s="1"/>
  <c r="J298" i="4"/>
  <c r="Z298" i="4" s="1"/>
  <c r="K301" i="4"/>
  <c r="AA301" i="4" s="1"/>
  <c r="L288" i="4"/>
  <c r="O288" i="4" s="1"/>
  <c r="B205" i="4"/>
  <c r="V205" i="4" s="1"/>
  <c r="AA1910" i="4" l="1"/>
  <c r="AA1914" i="4"/>
  <c r="AA1918" i="4"/>
  <c r="AA1922" i="4"/>
  <c r="AA1911" i="4"/>
  <c r="AA1915" i="4"/>
  <c r="AA1919" i="4"/>
  <c r="AA1923" i="4"/>
  <c r="AA1912" i="4"/>
  <c r="AA1916" i="4"/>
  <c r="AA1920" i="4"/>
  <c r="AA1924" i="4"/>
  <c r="AA1917" i="4"/>
  <c r="AA1921" i="4"/>
  <c r="AA1909" i="4"/>
  <c r="AA1925" i="4"/>
  <c r="AA1913" i="4"/>
  <c r="O175" i="6"/>
  <c r="AA1926" i="4" s="1"/>
  <c r="N176" i="6"/>
  <c r="L762" i="4"/>
  <c r="O761" i="4"/>
  <c r="K626" i="4"/>
  <c r="AA626" i="4" s="1"/>
  <c r="J661" i="4"/>
  <c r="Z661" i="4" s="1"/>
  <c r="J299" i="4"/>
  <c r="Z299" i="4" s="1"/>
  <c r="K302" i="4"/>
  <c r="AA302" i="4" s="1"/>
  <c r="L289" i="4"/>
  <c r="O289" i="4" s="1"/>
  <c r="B206" i="4"/>
  <c r="V206" i="4" s="1"/>
  <c r="N177" i="6" l="1"/>
  <c r="O176" i="6"/>
  <c r="L763" i="4"/>
  <c r="O762" i="4"/>
  <c r="K627" i="4"/>
  <c r="AA627" i="4" s="1"/>
  <c r="J662" i="4"/>
  <c r="Z662" i="4" s="1"/>
  <c r="J300" i="4"/>
  <c r="Z300" i="4" s="1"/>
  <c r="K303" i="4"/>
  <c r="AA303" i="4" s="1"/>
  <c r="B207" i="4"/>
  <c r="V207" i="4" s="1"/>
  <c r="AA1927" i="4" l="1"/>
  <c r="AA1928" i="4"/>
  <c r="O177" i="6"/>
  <c r="N178" i="6"/>
  <c r="L764" i="4"/>
  <c r="O763" i="4"/>
  <c r="K628" i="4"/>
  <c r="AA628" i="4" s="1"/>
  <c r="J663" i="4"/>
  <c r="Z663" i="4" s="1"/>
  <c r="J301" i="4"/>
  <c r="Z301" i="4" s="1"/>
  <c r="K304" i="4"/>
  <c r="AA304" i="4" s="1"/>
  <c r="B208" i="4"/>
  <c r="V208" i="4" s="1"/>
  <c r="AA1930" i="4" l="1"/>
  <c r="AA1934" i="4"/>
  <c r="AA1938" i="4"/>
  <c r="AA1942" i="4"/>
  <c r="AA1931" i="4"/>
  <c r="AA1935" i="4"/>
  <c r="AA1939" i="4"/>
  <c r="AA1943" i="4"/>
  <c r="AA1932" i="4"/>
  <c r="AA1936" i="4"/>
  <c r="AA1940" i="4"/>
  <c r="AA1944" i="4"/>
  <c r="AA1933" i="4"/>
  <c r="AA1937" i="4"/>
  <c r="AA1941" i="4"/>
  <c r="AA1929" i="4"/>
  <c r="AA1945" i="4"/>
  <c r="N179" i="6"/>
  <c r="O179" i="6" s="1"/>
  <c r="O178" i="6"/>
  <c r="L765" i="4"/>
  <c r="O764" i="4"/>
  <c r="K629" i="4"/>
  <c r="AA629" i="4" s="1"/>
  <c r="J664" i="4"/>
  <c r="Z664" i="4" s="1"/>
  <c r="J302" i="4"/>
  <c r="Z302" i="4" s="1"/>
  <c r="K305" i="4"/>
  <c r="AA305" i="4" s="1"/>
  <c r="B209" i="4"/>
  <c r="V209" i="4" s="1"/>
  <c r="AA1946" i="4" l="1"/>
  <c r="AA1950" i="4"/>
  <c r="AA1954" i="4"/>
  <c r="AA1958" i="4"/>
  <c r="AA1962" i="4"/>
  <c r="AA1947" i="4"/>
  <c r="AA1951" i="4"/>
  <c r="AA1955" i="4"/>
  <c r="AA1959" i="4"/>
  <c r="AA1948" i="4"/>
  <c r="AA1952" i="4"/>
  <c r="AA1956" i="4"/>
  <c r="AA1960" i="4"/>
  <c r="AA1949" i="4"/>
  <c r="AA1953" i="4"/>
  <c r="AA1957" i="4"/>
  <c r="AA1961" i="4"/>
  <c r="AA1966" i="4"/>
  <c r="AA1970" i="4"/>
  <c r="AA1974" i="4"/>
  <c r="AA1978" i="4"/>
  <c r="AA1982" i="4"/>
  <c r="AA1986" i="4"/>
  <c r="AA1990" i="4"/>
  <c r="AA1994" i="4"/>
  <c r="AA1998" i="4"/>
  <c r="AA2002" i="4"/>
  <c r="AA2006" i="4"/>
  <c r="AA2010" i="4"/>
  <c r="AA2014" i="4"/>
  <c r="AA2018" i="4"/>
  <c r="AA2022" i="4"/>
  <c r="AA2026" i="4"/>
  <c r="AA2030" i="4"/>
  <c r="AA2034" i="4"/>
  <c r="AA2038" i="4"/>
  <c r="AA2042" i="4"/>
  <c r="AA2046" i="4"/>
  <c r="AA1963" i="4"/>
  <c r="AA1967" i="4"/>
  <c r="AA1971" i="4"/>
  <c r="AA1975" i="4"/>
  <c r="AA1979" i="4"/>
  <c r="AA1983" i="4"/>
  <c r="AA1987" i="4"/>
  <c r="AA1991" i="4"/>
  <c r="AA1995" i="4"/>
  <c r="AA1999" i="4"/>
  <c r="AA2003" i="4"/>
  <c r="AA2007" i="4"/>
  <c r="AA2011" i="4"/>
  <c r="AA2015" i="4"/>
  <c r="AA2019" i="4"/>
  <c r="AA2023" i="4"/>
  <c r="AA2027" i="4"/>
  <c r="AA2031" i="4"/>
  <c r="AA2035" i="4"/>
  <c r="AA2039" i="4"/>
  <c r="AA2043" i="4"/>
  <c r="AA2047" i="4"/>
  <c r="AA1964" i="4"/>
  <c r="AA1968" i="4"/>
  <c r="AA1972" i="4"/>
  <c r="AA1976" i="4"/>
  <c r="AA1980" i="4"/>
  <c r="AA1984" i="4"/>
  <c r="AA1988" i="4"/>
  <c r="AA1992" i="4"/>
  <c r="AA1996" i="4"/>
  <c r="AA2000" i="4"/>
  <c r="AA2004" i="4"/>
  <c r="AA2008" i="4"/>
  <c r="AA2012" i="4"/>
  <c r="AA2016" i="4"/>
  <c r="AA2020" i="4"/>
  <c r="AA2024" i="4"/>
  <c r="AA2028" i="4"/>
  <c r="AA2032" i="4"/>
  <c r="AA2036" i="4"/>
  <c r="AA2040" i="4"/>
  <c r="AA2044" i="4"/>
  <c r="AA2048" i="4"/>
  <c r="AA1965" i="4"/>
  <c r="AA1981" i="4"/>
  <c r="AA1997" i="4"/>
  <c r="AA2013" i="4"/>
  <c r="AA2029" i="4"/>
  <c r="AA2045" i="4"/>
  <c r="AA1969" i="4"/>
  <c r="AA1985" i="4"/>
  <c r="AA2001" i="4"/>
  <c r="AA2017" i="4"/>
  <c r="AA2033" i="4"/>
  <c r="AA1973" i="4"/>
  <c r="AA1989" i="4"/>
  <c r="AA2005" i="4"/>
  <c r="AA2021" i="4"/>
  <c r="AA2037" i="4"/>
  <c r="AA1977" i="4"/>
  <c r="AA2041" i="4"/>
  <c r="AA1993" i="4"/>
  <c r="AA2009" i="4"/>
  <c r="AA2025" i="4"/>
  <c r="L766" i="4"/>
  <c r="O765" i="4"/>
  <c r="K630" i="4"/>
  <c r="AA630" i="4" s="1"/>
  <c r="J665" i="4"/>
  <c r="Z665" i="4" s="1"/>
  <c r="J303" i="4"/>
  <c r="Z303" i="4" s="1"/>
  <c r="K306" i="4"/>
  <c r="AA306" i="4" s="1"/>
  <c r="B210" i="4"/>
  <c r="V210" i="4" s="1"/>
  <c r="L767" i="4" l="1"/>
  <c r="O766" i="4"/>
  <c r="K631" i="4"/>
  <c r="AA631" i="4" s="1"/>
  <c r="J666" i="4"/>
  <c r="Z666" i="4" s="1"/>
  <c r="J304" i="4"/>
  <c r="Z304" i="4" s="1"/>
  <c r="K307" i="4"/>
  <c r="AA307" i="4" s="1"/>
  <c r="B211" i="4"/>
  <c r="V211" i="4" s="1"/>
  <c r="L768" i="4" l="1"/>
  <c r="O767" i="4"/>
  <c r="K632" i="4"/>
  <c r="AA632" i="4" s="1"/>
  <c r="J667" i="4"/>
  <c r="Z667" i="4" s="1"/>
  <c r="J305" i="4"/>
  <c r="Z305" i="4" s="1"/>
  <c r="K308" i="4"/>
  <c r="AA308" i="4" s="1"/>
  <c r="L295" i="4"/>
  <c r="O295" i="4" s="1"/>
  <c r="B212" i="4"/>
  <c r="V212" i="4" s="1"/>
  <c r="L769" i="4" l="1"/>
  <c r="O768" i="4"/>
  <c r="K633" i="4"/>
  <c r="AA633" i="4" s="1"/>
  <c r="J306" i="4"/>
  <c r="Z306" i="4" s="1"/>
  <c r="K309" i="4"/>
  <c r="AA309" i="4" s="1"/>
  <c r="L296" i="4"/>
  <c r="O296" i="4" s="1"/>
  <c r="B213" i="4"/>
  <c r="V213" i="4" s="1"/>
  <c r="L770" i="4" l="1"/>
  <c r="O769" i="4"/>
  <c r="J307" i="4"/>
  <c r="Z307" i="4" s="1"/>
  <c r="K310" i="4"/>
  <c r="AA310" i="4" s="1"/>
  <c r="L297" i="4"/>
  <c r="O297" i="4" s="1"/>
  <c r="B214" i="4"/>
  <c r="V214" i="4" s="1"/>
  <c r="L777" i="4" l="1"/>
  <c r="O770" i="4"/>
  <c r="K635" i="4"/>
  <c r="AA635" i="4" s="1"/>
  <c r="J670" i="4"/>
  <c r="Z670" i="4" s="1"/>
  <c r="J308" i="4"/>
  <c r="Z308" i="4" s="1"/>
  <c r="L298" i="4"/>
  <c r="O298" i="4" s="1"/>
  <c r="B215" i="4"/>
  <c r="V215" i="4" s="1"/>
  <c r="L778" i="4" l="1"/>
  <c r="O777" i="4"/>
  <c r="K636" i="4"/>
  <c r="AA636" i="4" s="1"/>
  <c r="J671" i="4"/>
  <c r="Z671" i="4" s="1"/>
  <c r="J309" i="4"/>
  <c r="Z309" i="4" s="1"/>
  <c r="K312" i="4"/>
  <c r="AA312" i="4" s="1"/>
  <c r="L299" i="4"/>
  <c r="O299" i="4" s="1"/>
  <c r="B216" i="4"/>
  <c r="V216" i="4" s="1"/>
  <c r="L779" i="4" l="1"/>
  <c r="O778" i="4"/>
  <c r="K637" i="4"/>
  <c r="AA637" i="4" s="1"/>
  <c r="J672" i="4"/>
  <c r="Z672" i="4" s="1"/>
  <c r="J310" i="4"/>
  <c r="Z310" i="4" s="1"/>
  <c r="K313" i="4"/>
  <c r="AA313" i="4" s="1"/>
  <c r="L300" i="4"/>
  <c r="O300" i="4" s="1"/>
  <c r="B217" i="4"/>
  <c r="V217" i="4" s="1"/>
  <c r="L780" i="4" l="1"/>
  <c r="O779" i="4"/>
  <c r="K638" i="4"/>
  <c r="AA638" i="4" s="1"/>
  <c r="J673" i="4"/>
  <c r="Z673" i="4" s="1"/>
  <c r="K314" i="4"/>
  <c r="AA314" i="4" s="1"/>
  <c r="L301" i="4"/>
  <c r="O301" i="4" s="1"/>
  <c r="B218" i="4"/>
  <c r="V218" i="4" s="1"/>
  <c r="L781" i="4" l="1"/>
  <c r="O780" i="4"/>
  <c r="K639" i="4"/>
  <c r="AA639" i="4" s="1"/>
  <c r="J674" i="4"/>
  <c r="Z674" i="4" s="1"/>
  <c r="K315" i="4"/>
  <c r="AA315" i="4" s="1"/>
  <c r="L302" i="4"/>
  <c r="O302" i="4" s="1"/>
  <c r="B219" i="4"/>
  <c r="V219" i="4" s="1"/>
  <c r="L782" i="4" l="1"/>
  <c r="O781" i="4"/>
  <c r="K640" i="4"/>
  <c r="AA640" i="4" s="1"/>
  <c r="J675" i="4"/>
  <c r="Z675" i="4" s="1"/>
  <c r="J313" i="4"/>
  <c r="Z313" i="4" s="1"/>
  <c r="K316" i="4"/>
  <c r="AA316" i="4" s="1"/>
  <c r="L303" i="4"/>
  <c r="O303" i="4" s="1"/>
  <c r="B220" i="4"/>
  <c r="V220" i="4" s="1"/>
  <c r="L783" i="4" l="1"/>
  <c r="O782" i="4"/>
  <c r="K641" i="4"/>
  <c r="AA641" i="4" s="1"/>
  <c r="J676" i="4"/>
  <c r="Z676" i="4" s="1"/>
  <c r="J314" i="4"/>
  <c r="Z314" i="4" s="1"/>
  <c r="K317" i="4"/>
  <c r="AA317" i="4" s="1"/>
  <c r="L304" i="4"/>
  <c r="O304" i="4" s="1"/>
  <c r="B221" i="4"/>
  <c r="V221" i="4" s="1"/>
  <c r="L784" i="4" l="1"/>
  <c r="O783" i="4"/>
  <c r="K642" i="4"/>
  <c r="AA642" i="4" s="1"/>
  <c r="J677" i="4"/>
  <c r="Z677" i="4" s="1"/>
  <c r="J315" i="4"/>
  <c r="Z315" i="4" s="1"/>
  <c r="K318" i="4"/>
  <c r="AA318" i="4" s="1"/>
  <c r="L305" i="4"/>
  <c r="O305" i="4" s="1"/>
  <c r="B222" i="4"/>
  <c r="V222" i="4" s="1"/>
  <c r="L785" i="4" l="1"/>
  <c r="O784" i="4"/>
  <c r="K643" i="4"/>
  <c r="AA643" i="4" s="1"/>
  <c r="J678" i="4"/>
  <c r="Z678" i="4" s="1"/>
  <c r="J316" i="4"/>
  <c r="Z316" i="4" s="1"/>
  <c r="K319" i="4"/>
  <c r="AA319" i="4" s="1"/>
  <c r="L306" i="4"/>
  <c r="O306" i="4" s="1"/>
  <c r="B223" i="4"/>
  <c r="V223" i="4" s="1"/>
  <c r="L786" i="4" l="1"/>
  <c r="O785" i="4"/>
  <c r="K644" i="4"/>
  <c r="AA644" i="4" s="1"/>
  <c r="J679" i="4"/>
  <c r="Z679" i="4" s="1"/>
  <c r="J317" i="4"/>
  <c r="Z317" i="4" s="1"/>
  <c r="K320" i="4"/>
  <c r="AA320" i="4" s="1"/>
  <c r="L307" i="4"/>
  <c r="O307" i="4" s="1"/>
  <c r="B224" i="4"/>
  <c r="V224" i="4" s="1"/>
  <c r="L787" i="4" l="1"/>
  <c r="O786" i="4"/>
  <c r="K645" i="4"/>
  <c r="AA645" i="4" s="1"/>
  <c r="J680" i="4"/>
  <c r="Z680" i="4" s="1"/>
  <c r="J318" i="4"/>
  <c r="Z318" i="4" s="1"/>
  <c r="K321" i="4"/>
  <c r="AA321" i="4" s="1"/>
  <c r="L308" i="4"/>
  <c r="O308" i="4" s="1"/>
  <c r="B225" i="4"/>
  <c r="V225" i="4" s="1"/>
  <c r="L788" i="4" l="1"/>
  <c r="O787" i="4"/>
  <c r="K646" i="4"/>
  <c r="AA646" i="4" s="1"/>
  <c r="J681" i="4"/>
  <c r="Z681" i="4" s="1"/>
  <c r="J319" i="4"/>
  <c r="Z319" i="4" s="1"/>
  <c r="K322" i="4"/>
  <c r="AA322" i="4" s="1"/>
  <c r="L309" i="4"/>
  <c r="O309" i="4" s="1"/>
  <c r="B226" i="4"/>
  <c r="V226" i="4" s="1"/>
  <c r="L789" i="4" l="1"/>
  <c r="O788" i="4"/>
  <c r="K647" i="4"/>
  <c r="AA647" i="4" s="1"/>
  <c r="J682" i="4"/>
  <c r="Z682" i="4" s="1"/>
  <c r="J320" i="4"/>
  <c r="Z320" i="4" s="1"/>
  <c r="K323" i="4"/>
  <c r="AA323" i="4" s="1"/>
  <c r="L310" i="4"/>
  <c r="O310" i="4" s="1"/>
  <c r="B227" i="4"/>
  <c r="V227" i="4" s="1"/>
  <c r="L790" i="4" l="1"/>
  <c r="O789" i="4"/>
  <c r="K648" i="4"/>
  <c r="AA648" i="4" s="1"/>
  <c r="J683" i="4"/>
  <c r="Z683" i="4" s="1"/>
  <c r="J321" i="4"/>
  <c r="Z321" i="4" s="1"/>
  <c r="K324" i="4"/>
  <c r="AA324" i="4" s="1"/>
  <c r="B228" i="4"/>
  <c r="V228" i="4" s="1"/>
  <c r="L791" i="4" l="1"/>
  <c r="O790" i="4"/>
  <c r="K649" i="4"/>
  <c r="AA649" i="4" s="1"/>
  <c r="J684" i="4"/>
  <c r="Z684" i="4" s="1"/>
  <c r="J322" i="4"/>
  <c r="Z322" i="4" s="1"/>
  <c r="K325" i="4"/>
  <c r="AA325" i="4" s="1"/>
  <c r="L312" i="4"/>
  <c r="O312" i="4" s="1"/>
  <c r="B229" i="4"/>
  <c r="V229" i="4" s="1"/>
  <c r="L792" i="4" l="1"/>
  <c r="O791" i="4"/>
  <c r="K650" i="4"/>
  <c r="AA650" i="4" s="1"/>
  <c r="J323" i="4"/>
  <c r="Z323" i="4" s="1"/>
  <c r="K326" i="4"/>
  <c r="AA326" i="4" s="1"/>
  <c r="L313" i="4"/>
  <c r="O313" i="4" s="1"/>
  <c r="B230" i="4"/>
  <c r="V230" i="4" s="1"/>
  <c r="L795" i="4" l="1"/>
  <c r="O792" i="4"/>
  <c r="J324" i="4"/>
  <c r="Z324" i="4" s="1"/>
  <c r="K327" i="4"/>
  <c r="AA327" i="4" s="1"/>
  <c r="L314" i="4"/>
  <c r="O314" i="4" s="1"/>
  <c r="B231" i="4"/>
  <c r="V231" i="4" s="1"/>
  <c r="L796" i="4" l="1"/>
  <c r="O795" i="4"/>
  <c r="K652" i="4"/>
  <c r="AA652" i="4" s="1"/>
  <c r="J687" i="4"/>
  <c r="Z687" i="4" s="1"/>
  <c r="J325" i="4"/>
  <c r="Z325" i="4" s="1"/>
  <c r="L315" i="4"/>
  <c r="O315" i="4" s="1"/>
  <c r="B232" i="4"/>
  <c r="V232" i="4" s="1"/>
  <c r="L797" i="4" l="1"/>
  <c r="O796" i="4"/>
  <c r="K653" i="4"/>
  <c r="AA653" i="4" s="1"/>
  <c r="J688" i="4"/>
  <c r="Z688" i="4" s="1"/>
  <c r="J326" i="4"/>
  <c r="Z326" i="4" s="1"/>
  <c r="L316" i="4"/>
  <c r="O316" i="4" s="1"/>
  <c r="B233" i="4"/>
  <c r="V233" i="4" s="1"/>
  <c r="L798" i="4" l="1"/>
  <c r="O797" i="4"/>
  <c r="K654" i="4"/>
  <c r="AA654" i="4" s="1"/>
  <c r="J689" i="4"/>
  <c r="Z689" i="4" s="1"/>
  <c r="J327" i="4"/>
  <c r="Z327" i="4" s="1"/>
  <c r="K330" i="4"/>
  <c r="AA330" i="4" s="1"/>
  <c r="L317" i="4"/>
  <c r="O317" i="4" s="1"/>
  <c r="B234" i="4"/>
  <c r="V234" i="4" s="1"/>
  <c r="L799" i="4" l="1"/>
  <c r="O798" i="4"/>
  <c r="K655" i="4"/>
  <c r="AA655" i="4" s="1"/>
  <c r="J690" i="4"/>
  <c r="Z690" i="4" s="1"/>
  <c r="K331" i="4"/>
  <c r="AA331" i="4" s="1"/>
  <c r="L318" i="4"/>
  <c r="O318" i="4" s="1"/>
  <c r="B235" i="4"/>
  <c r="V235" i="4" s="1"/>
  <c r="L800" i="4" l="1"/>
  <c r="O799" i="4"/>
  <c r="K656" i="4"/>
  <c r="AA656" i="4" s="1"/>
  <c r="J691" i="4"/>
  <c r="Z691" i="4" s="1"/>
  <c r="K332" i="4"/>
  <c r="AA332" i="4" s="1"/>
  <c r="L319" i="4"/>
  <c r="O319" i="4" s="1"/>
  <c r="B236" i="4"/>
  <c r="V236" i="4" s="1"/>
  <c r="L801" i="4" l="1"/>
  <c r="O800" i="4"/>
  <c r="K657" i="4"/>
  <c r="AA657" i="4" s="1"/>
  <c r="J692" i="4"/>
  <c r="Z692" i="4" s="1"/>
  <c r="K333" i="4"/>
  <c r="AA333" i="4" s="1"/>
  <c r="L320" i="4"/>
  <c r="O320" i="4" s="1"/>
  <c r="B237" i="4"/>
  <c r="V237" i="4" s="1"/>
  <c r="L802" i="4" l="1"/>
  <c r="O801" i="4"/>
  <c r="K658" i="4"/>
  <c r="AA658" i="4" s="1"/>
  <c r="J693" i="4"/>
  <c r="Z693" i="4" s="1"/>
  <c r="J331" i="4"/>
  <c r="Z331" i="4" s="1"/>
  <c r="K334" i="4"/>
  <c r="AA334" i="4" s="1"/>
  <c r="L321" i="4"/>
  <c r="O321" i="4" s="1"/>
  <c r="B238" i="4"/>
  <c r="V238" i="4" s="1"/>
  <c r="L803" i="4" l="1"/>
  <c r="O802" i="4"/>
  <c r="K659" i="4"/>
  <c r="AA659" i="4" s="1"/>
  <c r="J694" i="4"/>
  <c r="Z694" i="4" s="1"/>
  <c r="J332" i="4"/>
  <c r="Z332" i="4" s="1"/>
  <c r="K335" i="4"/>
  <c r="AA335" i="4" s="1"/>
  <c r="L322" i="4"/>
  <c r="O322" i="4" s="1"/>
  <c r="B239" i="4"/>
  <c r="V239" i="4" s="1"/>
  <c r="L804" i="4" l="1"/>
  <c r="O803" i="4"/>
  <c r="K660" i="4"/>
  <c r="AA660" i="4" s="1"/>
  <c r="J695" i="4"/>
  <c r="Z695" i="4" s="1"/>
  <c r="J333" i="4"/>
  <c r="Z333" i="4" s="1"/>
  <c r="K336" i="4"/>
  <c r="AA336" i="4" s="1"/>
  <c r="L323" i="4"/>
  <c r="O323" i="4" s="1"/>
  <c r="B240" i="4"/>
  <c r="V240" i="4" s="1"/>
  <c r="L805" i="4" l="1"/>
  <c r="O804" i="4"/>
  <c r="K661" i="4"/>
  <c r="AA661" i="4" s="1"/>
  <c r="J696" i="4"/>
  <c r="Z696" i="4" s="1"/>
  <c r="J334" i="4"/>
  <c r="Z334" i="4" s="1"/>
  <c r="K337" i="4"/>
  <c r="AA337" i="4" s="1"/>
  <c r="L324" i="4"/>
  <c r="O324" i="4" s="1"/>
  <c r="B241" i="4"/>
  <c r="V241" i="4" s="1"/>
  <c r="L806" i="4" l="1"/>
  <c r="O805" i="4"/>
  <c r="K662" i="4"/>
  <c r="AA662" i="4" s="1"/>
  <c r="J697" i="4"/>
  <c r="Z697" i="4" s="1"/>
  <c r="J335" i="4"/>
  <c r="Z335" i="4" s="1"/>
  <c r="K338" i="4"/>
  <c r="AA338" i="4" s="1"/>
  <c r="L325" i="4"/>
  <c r="O325" i="4" s="1"/>
  <c r="B242" i="4"/>
  <c r="V242" i="4" s="1"/>
  <c r="L807" i="4" l="1"/>
  <c r="O806" i="4"/>
  <c r="K663" i="4"/>
  <c r="AA663" i="4" s="1"/>
  <c r="J698" i="4"/>
  <c r="Z698" i="4" s="1"/>
  <c r="J336" i="4"/>
  <c r="Z336" i="4" s="1"/>
  <c r="K339" i="4"/>
  <c r="AA339" i="4" s="1"/>
  <c r="L326" i="4"/>
  <c r="O326" i="4" s="1"/>
  <c r="B243" i="4"/>
  <c r="V243" i="4" s="1"/>
  <c r="L808" i="4" l="1"/>
  <c r="O807" i="4"/>
  <c r="K664" i="4"/>
  <c r="AA664" i="4" s="1"/>
  <c r="J699" i="4"/>
  <c r="Z699" i="4" s="1"/>
  <c r="J337" i="4"/>
  <c r="Z337" i="4" s="1"/>
  <c r="K340" i="4"/>
  <c r="AA340" i="4" s="1"/>
  <c r="L327" i="4"/>
  <c r="O327" i="4" s="1"/>
  <c r="B244" i="4"/>
  <c r="V244" i="4" s="1"/>
  <c r="B245" i="4" l="1"/>
  <c r="V245" i="4" s="1"/>
  <c r="L809" i="4"/>
  <c r="O808" i="4"/>
  <c r="K665" i="4"/>
  <c r="AA665" i="4" s="1"/>
  <c r="J700" i="4"/>
  <c r="Z700" i="4" s="1"/>
  <c r="J338" i="4"/>
  <c r="Z338" i="4" s="1"/>
  <c r="K341" i="4"/>
  <c r="AA341" i="4" s="1"/>
  <c r="L810" i="4" l="1"/>
  <c r="O809" i="4"/>
  <c r="K666" i="4"/>
  <c r="AA666" i="4" s="1"/>
  <c r="J701" i="4"/>
  <c r="Z701" i="4" s="1"/>
  <c r="J339" i="4"/>
  <c r="Z339" i="4" s="1"/>
  <c r="K342" i="4"/>
  <c r="AA342" i="4" s="1"/>
  <c r="L813" i="4" l="1"/>
  <c r="O810" i="4"/>
  <c r="K667" i="4"/>
  <c r="AA667" i="4" s="1"/>
  <c r="J340" i="4"/>
  <c r="Z340" i="4" s="1"/>
  <c r="K343" i="4"/>
  <c r="AA343" i="4" s="1"/>
  <c r="L330" i="4"/>
  <c r="O330" i="4" s="1"/>
  <c r="L814" i="4" l="1"/>
  <c r="O813" i="4"/>
  <c r="J341" i="4"/>
  <c r="Z341" i="4" s="1"/>
  <c r="K344" i="4"/>
  <c r="AA344" i="4" s="1"/>
  <c r="L331" i="4"/>
  <c r="O331" i="4" s="1"/>
  <c r="B246" i="4"/>
  <c r="V246" i="4" s="1"/>
  <c r="L815" i="4" l="1"/>
  <c r="O814" i="4"/>
  <c r="J704" i="4"/>
  <c r="Z704" i="4" s="1"/>
  <c r="J342" i="4"/>
  <c r="Z342" i="4" s="1"/>
  <c r="K345" i="4"/>
  <c r="AA345" i="4" s="1"/>
  <c r="L332" i="4"/>
  <c r="O332" i="4" s="1"/>
  <c r="B247" i="4"/>
  <c r="V247" i="4" s="1"/>
  <c r="L816" i="4" l="1"/>
  <c r="O815" i="4"/>
  <c r="J705" i="4"/>
  <c r="Z705" i="4" s="1"/>
  <c r="J343" i="4"/>
  <c r="Z343" i="4" s="1"/>
  <c r="L333" i="4"/>
  <c r="O333" i="4" s="1"/>
  <c r="B248" i="4"/>
  <c r="V248" i="4" s="1"/>
  <c r="L817" i="4" l="1"/>
  <c r="O816" i="4"/>
  <c r="J706" i="4"/>
  <c r="Z706" i="4" s="1"/>
  <c r="J344" i="4"/>
  <c r="Z344" i="4" s="1"/>
  <c r="K347" i="4"/>
  <c r="AA347" i="4" s="1"/>
  <c r="L334" i="4"/>
  <c r="O334" i="4" s="1"/>
  <c r="B249" i="4"/>
  <c r="V249" i="4" s="1"/>
  <c r="L818" i="4" l="1"/>
  <c r="O817" i="4"/>
  <c r="J707" i="4"/>
  <c r="Z707" i="4" s="1"/>
  <c r="J345" i="4"/>
  <c r="Z345" i="4" s="1"/>
  <c r="K348" i="4"/>
  <c r="AA348" i="4" s="1"/>
  <c r="L335" i="4"/>
  <c r="O335" i="4" s="1"/>
  <c r="B250" i="4"/>
  <c r="V250" i="4" s="1"/>
  <c r="L819" i="4" l="1"/>
  <c r="O818" i="4"/>
  <c r="J708" i="4"/>
  <c r="Z708" i="4" s="1"/>
  <c r="B251" i="4"/>
  <c r="V251" i="4" s="1"/>
  <c r="K349" i="4"/>
  <c r="AA349" i="4" s="1"/>
  <c r="L336" i="4"/>
  <c r="O336" i="4" s="1"/>
  <c r="B252" i="4" l="1"/>
  <c r="V252" i="4" s="1"/>
  <c r="L820" i="4"/>
  <c r="O819" i="4"/>
  <c r="J709" i="4"/>
  <c r="Z709" i="4" s="1"/>
  <c r="K350" i="4"/>
  <c r="AA350" i="4" s="1"/>
  <c r="L337" i="4"/>
  <c r="O337" i="4" s="1"/>
  <c r="B253" i="4" l="1"/>
  <c r="V253" i="4" s="1"/>
  <c r="L821" i="4"/>
  <c r="O820" i="4"/>
  <c r="J710" i="4"/>
  <c r="Z710" i="4" s="1"/>
  <c r="J348" i="4"/>
  <c r="Z348" i="4" s="1"/>
  <c r="K351" i="4"/>
  <c r="AA351" i="4" s="1"/>
  <c r="L338" i="4"/>
  <c r="O338" i="4" s="1"/>
  <c r="B254" i="4" l="1"/>
  <c r="V254" i="4" s="1"/>
  <c r="L822" i="4"/>
  <c r="O821" i="4"/>
  <c r="J711" i="4"/>
  <c r="Z711" i="4" s="1"/>
  <c r="J349" i="4"/>
  <c r="Z349" i="4" s="1"/>
  <c r="K352" i="4"/>
  <c r="AA352" i="4" s="1"/>
  <c r="L339" i="4"/>
  <c r="O339" i="4" s="1"/>
  <c r="L823" i="4" l="1"/>
  <c r="O822" i="4"/>
  <c r="J712" i="4"/>
  <c r="Z712" i="4" s="1"/>
  <c r="J350" i="4"/>
  <c r="Z350" i="4" s="1"/>
  <c r="K353" i="4"/>
  <c r="AA353" i="4" s="1"/>
  <c r="L340" i="4"/>
  <c r="O340" i="4" s="1"/>
  <c r="L824" i="4" l="1"/>
  <c r="O823" i="4"/>
  <c r="J713" i="4"/>
  <c r="Z713" i="4" s="1"/>
  <c r="J351" i="4"/>
  <c r="Z351" i="4" s="1"/>
  <c r="K354" i="4"/>
  <c r="AA354" i="4" s="1"/>
  <c r="L341" i="4"/>
  <c r="O341" i="4" s="1"/>
  <c r="L825" i="4" l="1"/>
  <c r="O824" i="4"/>
  <c r="J714" i="4"/>
  <c r="Z714" i="4" s="1"/>
  <c r="J352" i="4"/>
  <c r="Z352" i="4" s="1"/>
  <c r="K355" i="4"/>
  <c r="AA355" i="4" s="1"/>
  <c r="L342" i="4"/>
  <c r="O342" i="4" s="1"/>
  <c r="L826" i="4" l="1"/>
  <c r="O825" i="4"/>
  <c r="J715" i="4"/>
  <c r="Z715" i="4" s="1"/>
  <c r="J353" i="4"/>
  <c r="Z353" i="4" s="1"/>
  <c r="K356" i="4"/>
  <c r="AA356" i="4" s="1"/>
  <c r="L343" i="4"/>
  <c r="O343" i="4" s="1"/>
  <c r="L827" i="4" l="1"/>
  <c r="O826" i="4"/>
  <c r="J716" i="4"/>
  <c r="Z716" i="4" s="1"/>
  <c r="B255" i="4"/>
  <c r="V255" i="4" s="1"/>
  <c r="J354" i="4"/>
  <c r="Z354" i="4" s="1"/>
  <c r="K357" i="4"/>
  <c r="AA357" i="4" s="1"/>
  <c r="L344" i="4"/>
  <c r="O344" i="4" s="1"/>
  <c r="L828" i="4" l="1"/>
  <c r="O827" i="4"/>
  <c r="J717" i="4"/>
  <c r="Z717" i="4" s="1"/>
  <c r="B256" i="4"/>
  <c r="V256" i="4" s="1"/>
  <c r="J355" i="4"/>
  <c r="Z355" i="4" s="1"/>
  <c r="K358" i="4"/>
  <c r="AA358" i="4" s="1"/>
  <c r="L345" i="4"/>
  <c r="O345" i="4" s="1"/>
  <c r="O828" i="4" l="1"/>
  <c r="J718" i="4"/>
  <c r="Z718" i="4" s="1"/>
  <c r="B257" i="4"/>
  <c r="V257" i="4" s="1"/>
  <c r="J356" i="4"/>
  <c r="Z356" i="4" s="1"/>
  <c r="K359" i="4"/>
  <c r="AA359" i="4" s="1"/>
  <c r="B258" i="4" l="1"/>
  <c r="V258" i="4" s="1"/>
  <c r="J357" i="4"/>
  <c r="Z357" i="4" s="1"/>
  <c r="K360" i="4"/>
  <c r="AA360" i="4" s="1"/>
  <c r="L347" i="4"/>
  <c r="O347" i="4" s="1"/>
  <c r="K361" i="4" l="1"/>
  <c r="AA361" i="4" s="1"/>
  <c r="B259" i="4"/>
  <c r="V259" i="4" s="1"/>
  <c r="J358" i="4"/>
  <c r="Z358" i="4" s="1"/>
  <c r="L348" i="4"/>
  <c r="O348" i="4" s="1"/>
  <c r="K362" i="4" l="1"/>
  <c r="AA362" i="4" s="1"/>
  <c r="B260" i="4"/>
  <c r="V260" i="4" s="1"/>
  <c r="J359" i="4"/>
  <c r="Z359" i="4" s="1"/>
  <c r="L349" i="4"/>
  <c r="O349" i="4" s="1"/>
  <c r="J722" i="4" l="1"/>
  <c r="Z722" i="4" s="1"/>
  <c r="B261" i="4"/>
  <c r="V261" i="4" s="1"/>
  <c r="J360" i="4"/>
  <c r="Z360" i="4" s="1"/>
  <c r="L350" i="4"/>
  <c r="O350" i="4" s="1"/>
  <c r="J723" i="4" l="1"/>
  <c r="Z723" i="4" s="1"/>
  <c r="J361" i="4"/>
  <c r="Z361" i="4" s="1"/>
  <c r="B262" i="4"/>
  <c r="V262" i="4" s="1"/>
  <c r="L351" i="4"/>
  <c r="O351" i="4" s="1"/>
  <c r="J724" i="4" l="1"/>
  <c r="Z724" i="4" s="1"/>
  <c r="J362" i="4"/>
  <c r="Z362" i="4" s="1"/>
  <c r="B263" i="4"/>
  <c r="V263" i="4" s="1"/>
  <c r="L352" i="4"/>
  <c r="O352" i="4" s="1"/>
  <c r="J725" i="4" l="1"/>
  <c r="Z725" i="4" s="1"/>
  <c r="B264" i="4"/>
  <c r="V264" i="4" s="1"/>
  <c r="L353" i="4"/>
  <c r="O353" i="4" s="1"/>
  <c r="J726" i="4" l="1"/>
  <c r="Z726" i="4" s="1"/>
  <c r="B265" i="4"/>
  <c r="V265" i="4" s="1"/>
  <c r="L354" i="4"/>
  <c r="O354" i="4" s="1"/>
  <c r="J727" i="4" l="1"/>
  <c r="Z727" i="4" s="1"/>
  <c r="K368" i="4"/>
  <c r="AA368" i="4" s="1"/>
  <c r="B266" i="4"/>
  <c r="V266" i="4" s="1"/>
  <c r="L355" i="4"/>
  <c r="O355" i="4" s="1"/>
  <c r="J728" i="4" l="1"/>
  <c r="Z728" i="4" s="1"/>
  <c r="K369" i="4"/>
  <c r="AA369" i="4" s="1"/>
  <c r="B267" i="4"/>
  <c r="V267" i="4" s="1"/>
  <c r="L356" i="4"/>
  <c r="O356" i="4" s="1"/>
  <c r="J729" i="4" l="1"/>
  <c r="Z729" i="4" s="1"/>
  <c r="K370" i="4"/>
  <c r="AA370" i="4" s="1"/>
  <c r="B268" i="4"/>
  <c r="V268" i="4" s="1"/>
  <c r="L357" i="4"/>
  <c r="O357" i="4" s="1"/>
  <c r="J730" i="4" l="1"/>
  <c r="Z730" i="4" s="1"/>
  <c r="K371" i="4"/>
  <c r="AA371" i="4" s="1"/>
  <c r="J368" i="4"/>
  <c r="Z368" i="4" s="1"/>
  <c r="B269" i="4"/>
  <c r="V269" i="4" s="1"/>
  <c r="L358" i="4"/>
  <c r="O358" i="4" s="1"/>
  <c r="J731" i="4" l="1"/>
  <c r="Z731" i="4" s="1"/>
  <c r="J369" i="4"/>
  <c r="Z369" i="4" s="1"/>
  <c r="K372" i="4"/>
  <c r="AA372" i="4" s="1"/>
  <c r="B270" i="4"/>
  <c r="V270" i="4" s="1"/>
  <c r="L359" i="4"/>
  <c r="O359" i="4" s="1"/>
  <c r="J732" i="4" l="1"/>
  <c r="Z732" i="4" s="1"/>
  <c r="K373" i="4"/>
  <c r="AA373" i="4" s="1"/>
  <c r="J370" i="4"/>
  <c r="Z370" i="4" s="1"/>
  <c r="B271" i="4"/>
  <c r="V271" i="4" s="1"/>
  <c r="L360" i="4"/>
  <c r="O360" i="4" s="1"/>
  <c r="J733" i="4" l="1"/>
  <c r="Z733" i="4" s="1"/>
  <c r="J371" i="4"/>
  <c r="Z371" i="4" s="1"/>
  <c r="K374" i="4"/>
  <c r="AA374" i="4" s="1"/>
  <c r="L361" i="4"/>
  <c r="O361" i="4" s="1"/>
  <c r="B272" i="4"/>
  <c r="V272" i="4" s="1"/>
  <c r="J734" i="4" l="1"/>
  <c r="Z734" i="4" s="1"/>
  <c r="J372" i="4"/>
  <c r="Z372" i="4" s="1"/>
  <c r="K375" i="4"/>
  <c r="AA375" i="4" s="1"/>
  <c r="L362" i="4"/>
  <c r="O362" i="4" s="1"/>
  <c r="B273" i="4"/>
  <c r="V273" i="4" s="1"/>
  <c r="J735" i="4" l="1"/>
  <c r="Z735" i="4" s="1"/>
  <c r="J373" i="4"/>
  <c r="Z373" i="4" s="1"/>
  <c r="K376" i="4"/>
  <c r="AA376" i="4" s="1"/>
  <c r="B274" i="4"/>
  <c r="V274" i="4" s="1"/>
  <c r="J736" i="4" l="1"/>
  <c r="Z736" i="4" s="1"/>
  <c r="K377" i="4"/>
  <c r="AA377" i="4" s="1"/>
  <c r="J374" i="4"/>
  <c r="Z374" i="4" s="1"/>
  <c r="B275" i="4"/>
  <c r="V275" i="4" s="1"/>
  <c r="K378" i="4" l="1"/>
  <c r="AA378" i="4" s="1"/>
  <c r="J375" i="4"/>
  <c r="Z375" i="4" s="1"/>
  <c r="B276" i="4"/>
  <c r="V276" i="4" s="1"/>
  <c r="J376" i="4" l="1"/>
  <c r="Z376" i="4" s="1"/>
  <c r="K379" i="4"/>
  <c r="AA379" i="4" s="1"/>
  <c r="L366" i="4"/>
  <c r="O366" i="4" s="1"/>
  <c r="B277" i="4"/>
  <c r="V277" i="4" s="1"/>
  <c r="J739" i="4" l="1"/>
  <c r="Z739" i="4" s="1"/>
  <c r="J377" i="4"/>
  <c r="Z377" i="4" s="1"/>
  <c r="K380" i="4"/>
  <c r="AA380" i="4" s="1"/>
  <c r="L367" i="4"/>
  <c r="O367" i="4" s="1"/>
  <c r="B278" i="4"/>
  <c r="V278" i="4" s="1"/>
  <c r="J740" i="4" l="1"/>
  <c r="Z740" i="4" s="1"/>
  <c r="K381" i="4"/>
  <c r="AA381" i="4" s="1"/>
  <c r="J378" i="4"/>
  <c r="Z378" i="4" s="1"/>
  <c r="L368" i="4"/>
  <c r="O368" i="4" s="1"/>
  <c r="B279" i="4"/>
  <c r="V279" i="4" s="1"/>
  <c r="J741" i="4" l="1"/>
  <c r="Z741" i="4" s="1"/>
  <c r="L369" i="4"/>
  <c r="O369" i="4" s="1"/>
  <c r="J379" i="4"/>
  <c r="Z379" i="4" s="1"/>
  <c r="K382" i="4"/>
  <c r="AA382" i="4" s="1"/>
  <c r="B280" i="4"/>
  <c r="V280" i="4" s="1"/>
  <c r="J742" i="4" l="1"/>
  <c r="Z742" i="4" s="1"/>
  <c r="J380" i="4"/>
  <c r="Z380" i="4" s="1"/>
  <c r="L370" i="4"/>
  <c r="O370" i="4" s="1"/>
  <c r="B281" i="4"/>
  <c r="V281" i="4" s="1"/>
  <c r="J743" i="4" l="1"/>
  <c r="Z743" i="4" s="1"/>
  <c r="L371" i="4"/>
  <c r="O371" i="4" s="1"/>
  <c r="J381" i="4"/>
  <c r="Z381" i="4" s="1"/>
  <c r="K384" i="4"/>
  <c r="AA384" i="4" s="1"/>
  <c r="B282" i="4"/>
  <c r="V282" i="4" s="1"/>
  <c r="J744" i="4" l="1"/>
  <c r="Z744" i="4" s="1"/>
  <c r="J382" i="4"/>
  <c r="Z382" i="4" s="1"/>
  <c r="L372" i="4"/>
  <c r="O372" i="4" s="1"/>
  <c r="K385" i="4"/>
  <c r="AA385" i="4" s="1"/>
  <c r="B283" i="4"/>
  <c r="V283" i="4" s="1"/>
  <c r="J745" i="4" l="1"/>
  <c r="Z745" i="4" s="1"/>
  <c r="K386" i="4"/>
  <c r="AA386" i="4" s="1"/>
  <c r="L373" i="4"/>
  <c r="O373" i="4" s="1"/>
  <c r="B284" i="4"/>
  <c r="V284" i="4" s="1"/>
  <c r="J746" i="4" l="1"/>
  <c r="Z746" i="4" s="1"/>
  <c r="K387" i="4"/>
  <c r="AA387" i="4" s="1"/>
  <c r="J384" i="4"/>
  <c r="Z384" i="4" s="1"/>
  <c r="L374" i="4"/>
  <c r="O374" i="4" s="1"/>
  <c r="B285" i="4"/>
  <c r="V285" i="4" s="1"/>
  <c r="J747" i="4" l="1"/>
  <c r="Z747" i="4" s="1"/>
  <c r="J385" i="4"/>
  <c r="Z385" i="4" s="1"/>
  <c r="L375" i="4"/>
  <c r="O375" i="4" s="1"/>
  <c r="K388" i="4"/>
  <c r="AA388" i="4" s="1"/>
  <c r="B286" i="4"/>
  <c r="V286" i="4" s="1"/>
  <c r="J748" i="4" l="1"/>
  <c r="Z748" i="4" s="1"/>
  <c r="K389" i="4"/>
  <c r="AA389" i="4" s="1"/>
  <c r="J386" i="4"/>
  <c r="Z386" i="4" s="1"/>
  <c r="L376" i="4"/>
  <c r="O376" i="4" s="1"/>
  <c r="B287" i="4"/>
  <c r="V287" i="4" s="1"/>
  <c r="J749" i="4" l="1"/>
  <c r="Z749" i="4" s="1"/>
  <c r="L377" i="4"/>
  <c r="O377" i="4" s="1"/>
  <c r="J387" i="4"/>
  <c r="Z387" i="4" s="1"/>
  <c r="K390" i="4"/>
  <c r="AA390" i="4" s="1"/>
  <c r="B288" i="4"/>
  <c r="V288" i="4" s="1"/>
  <c r="J750" i="4" l="1"/>
  <c r="Z750" i="4" s="1"/>
  <c r="J388" i="4"/>
  <c r="Z388" i="4" s="1"/>
  <c r="L378" i="4"/>
  <c r="O378" i="4" s="1"/>
  <c r="K391" i="4"/>
  <c r="AA391" i="4" s="1"/>
  <c r="B289" i="4"/>
  <c r="V289" i="4" s="1"/>
  <c r="J751" i="4" l="1"/>
  <c r="Z751" i="4" s="1"/>
  <c r="K392" i="4"/>
  <c r="AA392" i="4" s="1"/>
  <c r="J389" i="4"/>
  <c r="Z389" i="4" s="1"/>
  <c r="L379" i="4"/>
  <c r="O379" i="4" s="1"/>
  <c r="B290" i="4"/>
  <c r="V290" i="4" s="1"/>
  <c r="J752" i="4" l="1"/>
  <c r="Z752" i="4" s="1"/>
  <c r="L380" i="4"/>
  <c r="O380" i="4" s="1"/>
  <c r="K393" i="4"/>
  <c r="AA393" i="4" s="1"/>
  <c r="J390" i="4"/>
  <c r="Z390" i="4" s="1"/>
  <c r="B291" i="4"/>
  <c r="V291" i="4" s="1"/>
  <c r="J753" i="4" l="1"/>
  <c r="Z753" i="4" s="1"/>
  <c r="J391" i="4"/>
  <c r="Z391" i="4" s="1"/>
  <c r="K394" i="4"/>
  <c r="AA394" i="4" s="1"/>
  <c r="L381" i="4"/>
  <c r="O381" i="4" s="1"/>
  <c r="B292" i="4"/>
  <c r="V292" i="4" s="1"/>
  <c r="J392" i="4" l="1"/>
  <c r="Z392" i="4" s="1"/>
  <c r="K395" i="4"/>
  <c r="AA395" i="4" s="1"/>
  <c r="L382" i="4"/>
  <c r="O382" i="4" s="1"/>
  <c r="B293" i="4"/>
  <c r="V293" i="4" s="1"/>
  <c r="K396" i="4" l="1"/>
  <c r="AA396" i="4" s="1"/>
  <c r="J393" i="4"/>
  <c r="Z393" i="4" s="1"/>
  <c r="B294" i="4"/>
  <c r="V294" i="4" s="1"/>
  <c r="K721" i="4" l="1"/>
  <c r="AA721" i="4" s="1"/>
  <c r="J756" i="4"/>
  <c r="Z756" i="4" s="1"/>
  <c r="J394" i="4"/>
  <c r="Z394" i="4" s="1"/>
  <c r="K397" i="4"/>
  <c r="AA397" i="4" s="1"/>
  <c r="L384" i="4"/>
  <c r="O384" i="4" s="1"/>
  <c r="B295" i="4"/>
  <c r="V295" i="4" s="1"/>
  <c r="K722" i="4" l="1"/>
  <c r="AA722" i="4" s="1"/>
  <c r="J757" i="4"/>
  <c r="Z757" i="4" s="1"/>
  <c r="K398" i="4"/>
  <c r="AA398" i="4" s="1"/>
  <c r="L385" i="4"/>
  <c r="O385" i="4" s="1"/>
  <c r="J395" i="4"/>
  <c r="Z395" i="4" s="1"/>
  <c r="B296" i="4"/>
  <c r="V296" i="4" s="1"/>
  <c r="K723" i="4" l="1"/>
  <c r="AA723" i="4" s="1"/>
  <c r="J758" i="4"/>
  <c r="Z758" i="4" s="1"/>
  <c r="L386" i="4"/>
  <c r="O386" i="4" s="1"/>
  <c r="J396" i="4"/>
  <c r="Z396" i="4" s="1"/>
  <c r="K399" i="4"/>
  <c r="AA399" i="4" s="1"/>
  <c r="B297" i="4"/>
  <c r="V297" i="4" s="1"/>
  <c r="K724" i="4" l="1"/>
  <c r="AA724" i="4" s="1"/>
  <c r="J759" i="4"/>
  <c r="Z759" i="4" s="1"/>
  <c r="J397" i="4"/>
  <c r="Z397" i="4" s="1"/>
  <c r="L387" i="4"/>
  <c r="O387" i="4" s="1"/>
  <c r="B298" i="4"/>
  <c r="V298" i="4" s="1"/>
  <c r="K725" i="4" l="1"/>
  <c r="AA725" i="4" s="1"/>
  <c r="J760" i="4"/>
  <c r="Z760" i="4" s="1"/>
  <c r="L388" i="4"/>
  <c r="O388" i="4" s="1"/>
  <c r="J398" i="4"/>
  <c r="Z398" i="4" s="1"/>
  <c r="B299" i="4"/>
  <c r="V299" i="4" s="1"/>
  <c r="K726" i="4" l="1"/>
  <c r="AA726" i="4" s="1"/>
  <c r="J761" i="4"/>
  <c r="Z761" i="4" s="1"/>
  <c r="L389" i="4"/>
  <c r="O389" i="4" s="1"/>
  <c r="J399" i="4"/>
  <c r="Z399" i="4" s="1"/>
  <c r="B300" i="4"/>
  <c r="V300" i="4" s="1"/>
  <c r="K727" i="4" l="1"/>
  <c r="AA727" i="4" s="1"/>
  <c r="J762" i="4"/>
  <c r="Z762" i="4" s="1"/>
  <c r="K403" i="4"/>
  <c r="AA403" i="4" s="1"/>
  <c r="L390" i="4"/>
  <c r="O390" i="4" s="1"/>
  <c r="B301" i="4"/>
  <c r="V301" i="4" s="1"/>
  <c r="K728" i="4" l="1"/>
  <c r="AA728" i="4" s="1"/>
  <c r="J763" i="4"/>
  <c r="Z763" i="4" s="1"/>
  <c r="L391" i="4"/>
  <c r="O391" i="4" s="1"/>
  <c r="J401" i="4"/>
  <c r="Z401" i="4" s="1"/>
  <c r="K404" i="4"/>
  <c r="AA404" i="4" s="1"/>
  <c r="B302" i="4"/>
  <c r="V302" i="4" s="1"/>
  <c r="K729" i="4" l="1"/>
  <c r="AA729" i="4" s="1"/>
  <c r="J764" i="4"/>
  <c r="Z764" i="4" s="1"/>
  <c r="K405" i="4"/>
  <c r="AA405" i="4" s="1"/>
  <c r="L392" i="4"/>
  <c r="O392" i="4" s="1"/>
  <c r="B303" i="4"/>
  <c r="V303" i="4" s="1"/>
  <c r="K730" i="4" l="1"/>
  <c r="AA730" i="4" s="1"/>
  <c r="J765" i="4"/>
  <c r="Z765" i="4" s="1"/>
  <c r="L393" i="4"/>
  <c r="O393" i="4" s="1"/>
  <c r="K406" i="4"/>
  <c r="AA406" i="4" s="1"/>
  <c r="J403" i="4"/>
  <c r="Z403" i="4" s="1"/>
  <c r="B304" i="4"/>
  <c r="V304" i="4" s="1"/>
  <c r="K731" i="4" l="1"/>
  <c r="AA731" i="4" s="1"/>
  <c r="J766" i="4"/>
  <c r="Z766" i="4" s="1"/>
  <c r="K407" i="4"/>
  <c r="AA407" i="4" s="1"/>
  <c r="L394" i="4"/>
  <c r="O394" i="4" s="1"/>
  <c r="J404" i="4"/>
  <c r="Z404" i="4" s="1"/>
  <c r="B305" i="4"/>
  <c r="V305" i="4" s="1"/>
  <c r="K732" i="4" l="1"/>
  <c r="AA732" i="4" s="1"/>
  <c r="J767" i="4"/>
  <c r="Z767" i="4" s="1"/>
  <c r="K408" i="4"/>
  <c r="AA408" i="4" s="1"/>
  <c r="J405" i="4"/>
  <c r="Z405" i="4" s="1"/>
  <c r="L395" i="4"/>
  <c r="O395" i="4" s="1"/>
  <c r="B306" i="4"/>
  <c r="V306" i="4" s="1"/>
  <c r="K733" i="4" l="1"/>
  <c r="AA733" i="4" s="1"/>
  <c r="J768" i="4"/>
  <c r="Z768" i="4" s="1"/>
  <c r="K409" i="4"/>
  <c r="AA409" i="4" s="1"/>
  <c r="L396" i="4"/>
  <c r="O396" i="4" s="1"/>
  <c r="J406" i="4"/>
  <c r="Z406" i="4" s="1"/>
  <c r="B307" i="4"/>
  <c r="V307" i="4" s="1"/>
  <c r="K734" i="4" l="1"/>
  <c r="AA734" i="4" s="1"/>
  <c r="J769" i="4"/>
  <c r="Z769" i="4" s="1"/>
  <c r="J407" i="4"/>
  <c r="Z407" i="4" s="1"/>
  <c r="K410" i="4"/>
  <c r="AA410" i="4" s="1"/>
  <c r="L397" i="4"/>
  <c r="O397" i="4" s="1"/>
  <c r="B308" i="4"/>
  <c r="V308" i="4" s="1"/>
  <c r="K735" i="4" l="1"/>
  <c r="AA735" i="4" s="1"/>
  <c r="J770" i="4"/>
  <c r="Z770" i="4" s="1"/>
  <c r="K411" i="4"/>
  <c r="AA411" i="4" s="1"/>
  <c r="L398" i="4"/>
  <c r="O398" i="4" s="1"/>
  <c r="J408" i="4"/>
  <c r="Z408" i="4" s="1"/>
  <c r="B309" i="4"/>
  <c r="V309" i="4" s="1"/>
  <c r="K736" i="4" l="1"/>
  <c r="AA736" i="4" s="1"/>
  <c r="J409" i="4"/>
  <c r="Z409" i="4" s="1"/>
  <c r="K412" i="4"/>
  <c r="AA412" i="4" s="1"/>
  <c r="L399" i="4"/>
  <c r="B310" i="4"/>
  <c r="V310" i="4" s="1"/>
  <c r="O399" i="4" l="1"/>
  <c r="K413" i="4"/>
  <c r="AA413" i="4" s="1"/>
  <c r="J410" i="4"/>
  <c r="Z410" i="4" s="1"/>
  <c r="B311" i="4"/>
  <c r="V311" i="4" s="1"/>
  <c r="K738" i="4" l="1"/>
  <c r="AA738" i="4" s="1"/>
  <c r="J773" i="4"/>
  <c r="Z773" i="4" s="1"/>
  <c r="J411" i="4"/>
  <c r="Z411" i="4" s="1"/>
  <c r="K414" i="4"/>
  <c r="AA414" i="4" s="1"/>
  <c r="B312" i="4"/>
  <c r="V312" i="4" s="1"/>
  <c r="K739" i="4" l="1"/>
  <c r="AA739" i="4" s="1"/>
  <c r="K415" i="4"/>
  <c r="AA415" i="4" s="1"/>
  <c r="J412" i="4"/>
  <c r="Z412" i="4" s="1"/>
  <c r="B313" i="4"/>
  <c r="V313" i="4" s="1"/>
  <c r="K740" i="4" l="1"/>
  <c r="AA740" i="4" s="1"/>
  <c r="K416" i="4"/>
  <c r="AA416" i="4" s="1"/>
  <c r="L403" i="4"/>
  <c r="O403" i="4" s="1"/>
  <c r="J413" i="4"/>
  <c r="Z413" i="4" s="1"/>
  <c r="B314" i="4"/>
  <c r="V314" i="4" s="1"/>
  <c r="K741" i="4" l="1"/>
  <c r="AA741" i="4" s="1"/>
  <c r="K417" i="4"/>
  <c r="AA417" i="4" s="1"/>
  <c r="J414" i="4"/>
  <c r="Z414" i="4" s="1"/>
  <c r="L404" i="4"/>
  <c r="O404" i="4" s="1"/>
  <c r="B315" i="4"/>
  <c r="V315" i="4" s="1"/>
  <c r="K742" i="4" l="1"/>
  <c r="AA742" i="4" s="1"/>
  <c r="J415" i="4"/>
  <c r="Z415" i="4" s="1"/>
  <c r="L405" i="4"/>
  <c r="O405" i="4" s="1"/>
  <c r="K418" i="4"/>
  <c r="AA418" i="4" s="1"/>
  <c r="B316" i="4"/>
  <c r="V316" i="4" s="1"/>
  <c r="K743" i="4" l="1"/>
  <c r="AA743" i="4" s="1"/>
  <c r="J778" i="4"/>
  <c r="Z778" i="4" s="1"/>
  <c r="L406" i="4"/>
  <c r="O406" i="4" s="1"/>
  <c r="J416" i="4"/>
  <c r="Z416" i="4" s="1"/>
  <c r="B317" i="4"/>
  <c r="V317" i="4" s="1"/>
  <c r="K744" i="4" l="1"/>
  <c r="AA744" i="4" s="1"/>
  <c r="J779" i="4"/>
  <c r="Z779" i="4" s="1"/>
  <c r="J417" i="4"/>
  <c r="Z417" i="4" s="1"/>
  <c r="L407" i="4"/>
  <c r="O407" i="4" s="1"/>
  <c r="B318" i="4"/>
  <c r="V318" i="4" s="1"/>
  <c r="K745" i="4" l="1"/>
  <c r="AA745" i="4" s="1"/>
  <c r="J780" i="4"/>
  <c r="Z780" i="4" s="1"/>
  <c r="K421" i="4"/>
  <c r="AA421" i="4" s="1"/>
  <c r="L408" i="4"/>
  <c r="O408" i="4" s="1"/>
  <c r="J418" i="4"/>
  <c r="Z418" i="4" s="1"/>
  <c r="B319" i="4"/>
  <c r="V319" i="4" s="1"/>
  <c r="K746" i="4" l="1"/>
  <c r="AA746" i="4" s="1"/>
  <c r="J781" i="4"/>
  <c r="Z781" i="4" s="1"/>
  <c r="K422" i="4"/>
  <c r="AA422" i="4" s="1"/>
  <c r="L409" i="4"/>
  <c r="O409" i="4" s="1"/>
  <c r="B320" i="4"/>
  <c r="V320" i="4" s="1"/>
  <c r="K747" i="4" l="1"/>
  <c r="AA747" i="4" s="1"/>
  <c r="J782" i="4"/>
  <c r="Z782" i="4" s="1"/>
  <c r="K423" i="4"/>
  <c r="AA423" i="4" s="1"/>
  <c r="L410" i="4"/>
  <c r="O410" i="4" s="1"/>
  <c r="B321" i="4"/>
  <c r="V321" i="4" s="1"/>
  <c r="K748" i="4" l="1"/>
  <c r="AA748" i="4" s="1"/>
  <c r="J783" i="4"/>
  <c r="Z783" i="4" s="1"/>
  <c r="K424" i="4"/>
  <c r="AA424" i="4" s="1"/>
  <c r="L411" i="4"/>
  <c r="O411" i="4" s="1"/>
  <c r="B322" i="4"/>
  <c r="V322" i="4" s="1"/>
  <c r="K749" i="4" l="1"/>
  <c r="AA749" i="4" s="1"/>
  <c r="J784" i="4"/>
  <c r="Z784" i="4" s="1"/>
  <c r="J422" i="4"/>
  <c r="Z422" i="4" s="1"/>
  <c r="L412" i="4"/>
  <c r="O412" i="4" s="1"/>
  <c r="K425" i="4"/>
  <c r="AA425" i="4" s="1"/>
  <c r="B323" i="4"/>
  <c r="V323" i="4" s="1"/>
  <c r="K750" i="4" l="1"/>
  <c r="AA750" i="4" s="1"/>
  <c r="J785" i="4"/>
  <c r="Z785" i="4" s="1"/>
  <c r="J423" i="4"/>
  <c r="Z423" i="4" s="1"/>
  <c r="K426" i="4"/>
  <c r="AA426" i="4" s="1"/>
  <c r="L413" i="4"/>
  <c r="O413" i="4" s="1"/>
  <c r="B324" i="4"/>
  <c r="V324" i="4" s="1"/>
  <c r="K751" i="4" l="1"/>
  <c r="AA751" i="4" s="1"/>
  <c r="J786" i="4"/>
  <c r="Z786" i="4" s="1"/>
  <c r="J424" i="4"/>
  <c r="Z424" i="4" s="1"/>
  <c r="K427" i="4"/>
  <c r="AA427" i="4" s="1"/>
  <c r="L414" i="4"/>
  <c r="O414" i="4" s="1"/>
  <c r="B325" i="4"/>
  <c r="V325" i="4" s="1"/>
  <c r="K752" i="4" l="1"/>
  <c r="AA752" i="4" s="1"/>
  <c r="J787" i="4"/>
  <c r="Z787" i="4" s="1"/>
  <c r="J425" i="4"/>
  <c r="Z425" i="4" s="1"/>
  <c r="L415" i="4"/>
  <c r="O415" i="4" s="1"/>
  <c r="K428" i="4"/>
  <c r="AA428" i="4" s="1"/>
  <c r="B326" i="4"/>
  <c r="V326" i="4" s="1"/>
  <c r="K753" i="4" l="1"/>
  <c r="AA753" i="4" s="1"/>
  <c r="J788" i="4"/>
  <c r="Z788" i="4" s="1"/>
  <c r="K429" i="4"/>
  <c r="AA429" i="4" s="1"/>
  <c r="L416" i="4"/>
  <c r="O416" i="4" s="1"/>
  <c r="J426" i="4"/>
  <c r="Z426" i="4" s="1"/>
  <c r="B327" i="4"/>
  <c r="V327" i="4" s="1"/>
  <c r="J789" i="4" l="1"/>
  <c r="Z789" i="4" s="1"/>
  <c r="J427" i="4"/>
  <c r="Z427" i="4" s="1"/>
  <c r="K430" i="4"/>
  <c r="AA430" i="4" s="1"/>
  <c r="L417" i="4"/>
  <c r="O417" i="4" s="1"/>
  <c r="B328" i="4"/>
  <c r="V328" i="4" s="1"/>
  <c r="K755" i="4" l="1"/>
  <c r="AA755" i="4" s="1"/>
  <c r="J790" i="4"/>
  <c r="Z790" i="4" s="1"/>
  <c r="K431" i="4"/>
  <c r="AA431" i="4" s="1"/>
  <c r="L418" i="4"/>
  <c r="O418" i="4" s="1"/>
  <c r="J428" i="4"/>
  <c r="Z428" i="4" s="1"/>
  <c r="B329" i="4"/>
  <c r="V329" i="4" s="1"/>
  <c r="K756" i="4" l="1"/>
  <c r="AA756" i="4" s="1"/>
  <c r="J791" i="4"/>
  <c r="Z791" i="4" s="1"/>
  <c r="K432" i="4"/>
  <c r="AA432" i="4" s="1"/>
  <c r="J429" i="4"/>
  <c r="Z429" i="4" s="1"/>
  <c r="B330" i="4"/>
  <c r="V330" i="4" s="1"/>
  <c r="K757" i="4" l="1"/>
  <c r="AA757" i="4" s="1"/>
  <c r="J792" i="4"/>
  <c r="Z792" i="4" s="1"/>
  <c r="K433" i="4"/>
  <c r="AA433" i="4" s="1"/>
  <c r="J430" i="4"/>
  <c r="Z430" i="4" s="1"/>
  <c r="B331" i="4"/>
  <c r="V331" i="4" s="1"/>
  <c r="K758" i="4" l="1"/>
  <c r="AA758" i="4" s="1"/>
  <c r="L421" i="4"/>
  <c r="O421" i="4" s="1"/>
  <c r="K434" i="4"/>
  <c r="AA434" i="4" s="1"/>
  <c r="J431" i="4"/>
  <c r="Z431" i="4" s="1"/>
  <c r="B332" i="4"/>
  <c r="V332" i="4" s="1"/>
  <c r="K759" i="4" l="1"/>
  <c r="AA759" i="4" s="1"/>
  <c r="L422" i="4"/>
  <c r="K435" i="4"/>
  <c r="AA435" i="4" s="1"/>
  <c r="J432" i="4"/>
  <c r="Z432" i="4" s="1"/>
  <c r="B333" i="4"/>
  <c r="V333" i="4" s="1"/>
  <c r="K760" i="4" l="1"/>
  <c r="AA760" i="4" s="1"/>
  <c r="K436" i="4"/>
  <c r="AA436" i="4" s="1"/>
  <c r="O422" i="4"/>
  <c r="L423" i="4"/>
  <c r="J433" i="4"/>
  <c r="Z433" i="4" s="1"/>
  <c r="B334" i="4"/>
  <c r="V334" i="4" s="1"/>
  <c r="K761" i="4" l="1"/>
  <c r="AA761" i="4" s="1"/>
  <c r="J796" i="4"/>
  <c r="Z796" i="4" s="1"/>
  <c r="O423" i="4"/>
  <c r="L424" i="4"/>
  <c r="J434" i="4"/>
  <c r="Z434" i="4" s="1"/>
  <c r="B335" i="4"/>
  <c r="V335" i="4" s="1"/>
  <c r="K762" i="4" l="1"/>
  <c r="AA762" i="4" s="1"/>
  <c r="J797" i="4"/>
  <c r="Z797" i="4" s="1"/>
  <c r="J435" i="4"/>
  <c r="Z435" i="4" s="1"/>
  <c r="O424" i="4"/>
  <c r="L425" i="4"/>
  <c r="B336" i="4"/>
  <c r="V336" i="4" s="1"/>
  <c r="K763" i="4" l="1"/>
  <c r="AA763" i="4" s="1"/>
  <c r="J798" i="4"/>
  <c r="Z798" i="4" s="1"/>
  <c r="L426" i="4"/>
  <c r="O425" i="4"/>
  <c r="J436" i="4"/>
  <c r="Z436" i="4" s="1"/>
  <c r="B337" i="4"/>
  <c r="V337" i="4" s="1"/>
  <c r="K764" i="4" l="1"/>
  <c r="AA764" i="4" s="1"/>
  <c r="J799" i="4"/>
  <c r="Z799" i="4" s="1"/>
  <c r="L427" i="4"/>
  <c r="O426" i="4"/>
  <c r="B338" i="4"/>
  <c r="V338" i="4" s="1"/>
  <c r="K765" i="4" l="1"/>
  <c r="AA765" i="4" s="1"/>
  <c r="J800" i="4"/>
  <c r="Z800" i="4" s="1"/>
  <c r="O427" i="4"/>
  <c r="L428" i="4"/>
  <c r="B339" i="4"/>
  <c r="V339" i="4" s="1"/>
  <c r="K766" i="4" l="1"/>
  <c r="AA766" i="4" s="1"/>
  <c r="J801" i="4"/>
  <c r="Z801" i="4" s="1"/>
  <c r="L429" i="4"/>
  <c r="O428" i="4"/>
  <c r="B340" i="4"/>
  <c r="V340" i="4" s="1"/>
  <c r="K767" i="4" l="1"/>
  <c r="AA767" i="4" s="1"/>
  <c r="J802" i="4"/>
  <c r="Z802" i="4" s="1"/>
  <c r="L430" i="4"/>
  <c r="O429" i="4"/>
  <c r="B341" i="4"/>
  <c r="V341" i="4" s="1"/>
  <c r="K768" i="4" l="1"/>
  <c r="AA768" i="4" s="1"/>
  <c r="J803" i="4"/>
  <c r="Z803" i="4" s="1"/>
  <c r="O430" i="4"/>
  <c r="L431" i="4"/>
  <c r="B342" i="4"/>
  <c r="V342" i="4" s="1"/>
  <c r="K769" i="4" l="1"/>
  <c r="AA769" i="4" s="1"/>
  <c r="J804" i="4"/>
  <c r="Z804" i="4" s="1"/>
  <c r="O431" i="4"/>
  <c r="L432" i="4"/>
  <c r="B343" i="4"/>
  <c r="V343" i="4" s="1"/>
  <c r="K770" i="4" l="1"/>
  <c r="AA770" i="4" s="1"/>
  <c r="J805" i="4"/>
  <c r="Z805" i="4" s="1"/>
  <c r="O432" i="4"/>
  <c r="L433" i="4"/>
  <c r="B344" i="4"/>
  <c r="V344" i="4" s="1"/>
  <c r="J806" i="4" l="1"/>
  <c r="Z806" i="4" s="1"/>
  <c r="L434" i="4"/>
  <c r="O433" i="4"/>
  <c r="B345" i="4"/>
  <c r="V345" i="4" s="1"/>
  <c r="J807" i="4" l="1"/>
  <c r="Z807" i="4" s="1"/>
  <c r="L435" i="4"/>
  <c r="O434" i="4"/>
  <c r="B346" i="4"/>
  <c r="V346" i="4" s="1"/>
  <c r="J808" i="4" l="1"/>
  <c r="Z808" i="4" s="1"/>
  <c r="O435" i="4"/>
  <c r="L436" i="4"/>
  <c r="B347" i="4"/>
  <c r="V347" i="4" s="1"/>
  <c r="J809" i="4" l="1"/>
  <c r="Z809" i="4" s="1"/>
  <c r="O436" i="4"/>
  <c r="B348" i="4"/>
  <c r="V348" i="4" s="1"/>
  <c r="J810" i="4" l="1"/>
  <c r="Z810" i="4" s="1"/>
  <c r="B349" i="4"/>
  <c r="V349" i="4" s="1"/>
  <c r="B350" i="4" l="1"/>
  <c r="V350" i="4" s="1"/>
  <c r="K777" i="4" l="1"/>
  <c r="AA777" i="4" s="1"/>
  <c r="B351" i="4"/>
  <c r="V351" i="4" s="1"/>
  <c r="K778" i="4" l="1"/>
  <c r="AA778" i="4" s="1"/>
  <c r="J813" i="4"/>
  <c r="Z813" i="4" s="1"/>
  <c r="B352" i="4"/>
  <c r="V352" i="4" s="1"/>
  <c r="K779" i="4" l="1"/>
  <c r="AA779" i="4" s="1"/>
  <c r="J814" i="4"/>
  <c r="Z814" i="4" s="1"/>
  <c r="B353" i="4"/>
  <c r="V353" i="4" s="1"/>
  <c r="K780" i="4" l="1"/>
  <c r="AA780" i="4" s="1"/>
  <c r="J815" i="4"/>
  <c r="Z815" i="4" s="1"/>
  <c r="B354" i="4"/>
  <c r="V354" i="4" s="1"/>
  <c r="K781" i="4" l="1"/>
  <c r="AA781" i="4" s="1"/>
  <c r="J816" i="4"/>
  <c r="Z816" i="4" s="1"/>
  <c r="B355" i="4"/>
  <c r="V355" i="4" s="1"/>
  <c r="K782" i="4" l="1"/>
  <c r="AA782" i="4" s="1"/>
  <c r="J817" i="4"/>
  <c r="Z817" i="4" s="1"/>
  <c r="B356" i="4"/>
  <c r="V356" i="4" s="1"/>
  <c r="K783" i="4" l="1"/>
  <c r="AA783" i="4" s="1"/>
  <c r="J818" i="4"/>
  <c r="Z818" i="4" s="1"/>
  <c r="B357" i="4"/>
  <c r="V357" i="4" s="1"/>
  <c r="K784" i="4" l="1"/>
  <c r="AA784" i="4" s="1"/>
  <c r="J819" i="4"/>
  <c r="Z819" i="4" s="1"/>
  <c r="B358" i="4"/>
  <c r="V358" i="4" s="1"/>
  <c r="K785" i="4" l="1"/>
  <c r="AA785" i="4" s="1"/>
  <c r="J820" i="4"/>
  <c r="Z820" i="4" s="1"/>
  <c r="B359" i="4"/>
  <c r="V359" i="4" s="1"/>
  <c r="K786" i="4" l="1"/>
  <c r="AA786" i="4" s="1"/>
  <c r="J821" i="4"/>
  <c r="Z821" i="4" s="1"/>
  <c r="B360" i="4"/>
  <c r="V360" i="4" s="1"/>
  <c r="K787" i="4" l="1"/>
  <c r="AA787" i="4" s="1"/>
  <c r="J822" i="4"/>
  <c r="Z822" i="4" s="1"/>
  <c r="B361" i="4"/>
  <c r="V361" i="4" s="1"/>
  <c r="K788" i="4" l="1"/>
  <c r="AA788" i="4" s="1"/>
  <c r="J823" i="4"/>
  <c r="Z823" i="4" s="1"/>
  <c r="B362" i="4"/>
  <c r="V362" i="4" s="1"/>
  <c r="K789" i="4" l="1"/>
  <c r="AA789" i="4" s="1"/>
  <c r="J824" i="4"/>
  <c r="Z824" i="4" s="1"/>
  <c r="B363" i="4"/>
  <c r="V363" i="4" s="1"/>
  <c r="K790" i="4" l="1"/>
  <c r="AA790" i="4" s="1"/>
  <c r="J825" i="4"/>
  <c r="Z825" i="4" s="1"/>
  <c r="B364" i="4"/>
  <c r="V364" i="4" s="1"/>
  <c r="K791" i="4" l="1"/>
  <c r="AA791" i="4" s="1"/>
  <c r="J826" i="4"/>
  <c r="Z826" i="4" s="1"/>
  <c r="B365" i="4"/>
  <c r="V365" i="4" s="1"/>
  <c r="K792" i="4" l="1"/>
  <c r="AA792" i="4" s="1"/>
  <c r="J827" i="4"/>
  <c r="Z827" i="4" s="1"/>
  <c r="B366" i="4"/>
  <c r="V366" i="4" s="1"/>
  <c r="J828" i="4" l="1"/>
  <c r="Z828" i="4" s="1"/>
  <c r="B367" i="4"/>
  <c r="V367" i="4" s="1"/>
  <c r="B368" i="4" l="1"/>
  <c r="V368" i="4" s="1"/>
  <c r="K795" i="4" l="1"/>
  <c r="AA795" i="4" s="1"/>
  <c r="B369" i="4"/>
  <c r="V369" i="4" s="1"/>
  <c r="K796" i="4" l="1"/>
  <c r="AA796" i="4" s="1"/>
  <c r="B370" i="4"/>
  <c r="V370" i="4" s="1"/>
  <c r="K797" i="4" l="1"/>
  <c r="AA797" i="4" s="1"/>
  <c r="B371" i="4"/>
  <c r="V371" i="4" s="1"/>
  <c r="K798" i="4" l="1"/>
  <c r="AA798" i="4" s="1"/>
  <c r="B372" i="4"/>
  <c r="V372" i="4" s="1"/>
  <c r="K799" i="4" l="1"/>
  <c r="AA799" i="4" s="1"/>
  <c r="B373" i="4"/>
  <c r="V373" i="4" s="1"/>
  <c r="K800" i="4" l="1"/>
  <c r="AA800" i="4" s="1"/>
  <c r="B374" i="4"/>
  <c r="V374" i="4" s="1"/>
  <c r="K801" i="4" l="1"/>
  <c r="AA801" i="4" s="1"/>
  <c r="B375" i="4"/>
  <c r="V375" i="4" s="1"/>
  <c r="K802" i="4" l="1"/>
  <c r="AA802" i="4" s="1"/>
  <c r="B376" i="4"/>
  <c r="V376" i="4" s="1"/>
  <c r="K803" i="4" l="1"/>
  <c r="AA803" i="4" s="1"/>
  <c r="B377" i="4"/>
  <c r="V377" i="4" s="1"/>
  <c r="K804" i="4" l="1"/>
  <c r="AA804" i="4" s="1"/>
  <c r="B378" i="4"/>
  <c r="V378" i="4" s="1"/>
  <c r="K805" i="4" l="1"/>
  <c r="AA805" i="4" s="1"/>
  <c r="B379" i="4"/>
  <c r="V379" i="4" s="1"/>
  <c r="K806" i="4" l="1"/>
  <c r="AA806" i="4" s="1"/>
  <c r="B380" i="4"/>
  <c r="V380" i="4" s="1"/>
  <c r="K807" i="4" l="1"/>
  <c r="AA807" i="4" s="1"/>
  <c r="B381" i="4"/>
  <c r="V381" i="4" s="1"/>
  <c r="K808" i="4" l="1"/>
  <c r="AA808" i="4" s="1"/>
  <c r="B382" i="4"/>
  <c r="V382" i="4" s="1"/>
  <c r="K809" i="4" l="1"/>
  <c r="AA809" i="4" s="1"/>
  <c r="B383" i="4"/>
  <c r="V383" i="4" s="1"/>
  <c r="K810" i="4" l="1"/>
  <c r="AA810" i="4" s="1"/>
  <c r="B384" i="4"/>
  <c r="V384" i="4" s="1"/>
  <c r="B385" i="4" l="1"/>
  <c r="V385" i="4" s="1"/>
  <c r="B386" i="4" l="1"/>
  <c r="V386" i="4" s="1"/>
  <c r="B387" i="4" l="1"/>
  <c r="V387" i="4" s="1"/>
  <c r="K814" i="4" l="1"/>
  <c r="AA814" i="4" s="1"/>
  <c r="B388" i="4"/>
  <c r="V388" i="4" s="1"/>
  <c r="K815" i="4" l="1"/>
  <c r="AA815" i="4" s="1"/>
  <c r="B389" i="4"/>
  <c r="V389" i="4" s="1"/>
  <c r="K816" i="4" l="1"/>
  <c r="AA816" i="4" s="1"/>
  <c r="B390" i="4"/>
  <c r="V390" i="4" s="1"/>
  <c r="K817" i="4" l="1"/>
  <c r="AA817" i="4" s="1"/>
  <c r="B391" i="4"/>
  <c r="V391" i="4" s="1"/>
  <c r="K818" i="4" l="1"/>
  <c r="AA818" i="4" s="1"/>
  <c r="B392" i="4"/>
  <c r="V392" i="4" s="1"/>
  <c r="K819" i="4" l="1"/>
  <c r="AA819" i="4" s="1"/>
  <c r="B393" i="4"/>
  <c r="V393" i="4" s="1"/>
  <c r="K820" i="4" l="1"/>
  <c r="AA820" i="4" s="1"/>
  <c r="B394" i="4"/>
  <c r="V394" i="4" s="1"/>
  <c r="K821" i="4" l="1"/>
  <c r="AA821" i="4" s="1"/>
  <c r="B395" i="4"/>
  <c r="V395" i="4" s="1"/>
  <c r="K822" i="4" l="1"/>
  <c r="AA822" i="4" s="1"/>
  <c r="B396" i="4"/>
  <c r="V396" i="4" s="1"/>
  <c r="K823" i="4" l="1"/>
  <c r="AA823" i="4" s="1"/>
  <c r="B397" i="4"/>
  <c r="V397" i="4" s="1"/>
  <c r="K824" i="4" l="1"/>
  <c r="AA824" i="4" s="1"/>
  <c r="B398" i="4"/>
  <c r="V398" i="4" s="1"/>
  <c r="K825" i="4" l="1"/>
  <c r="AA825" i="4" s="1"/>
  <c r="B399" i="4"/>
  <c r="V399" i="4" s="1"/>
  <c r="K826" i="4" l="1"/>
  <c r="AA826" i="4" s="1"/>
  <c r="B400" i="4"/>
  <c r="V400" i="4" s="1"/>
  <c r="K827" i="4" l="1"/>
  <c r="AA827" i="4" s="1"/>
  <c r="B401" i="4"/>
  <c r="V401" i="4" s="1"/>
  <c r="K828" i="4" l="1"/>
  <c r="AA828" i="4" s="1"/>
  <c r="B402" i="4"/>
  <c r="V402" i="4" s="1"/>
  <c r="B403" i="4" l="1"/>
  <c r="V403" i="4" s="1"/>
  <c r="B404" i="4" l="1"/>
  <c r="V404" i="4" s="1"/>
  <c r="B405" i="4" l="1"/>
  <c r="V405" i="4" s="1"/>
  <c r="B406" i="4" l="1"/>
  <c r="V406" i="4" s="1"/>
  <c r="B407" i="4" l="1"/>
  <c r="V407" i="4" s="1"/>
  <c r="B408" i="4" l="1"/>
  <c r="V408" i="4" s="1"/>
  <c r="B409" i="4" l="1"/>
  <c r="V409" i="4" s="1"/>
  <c r="B410" i="4" l="1"/>
  <c r="V410" i="4" s="1"/>
  <c r="B411" i="4" l="1"/>
  <c r="V411" i="4" s="1"/>
  <c r="B412" i="4" l="1"/>
  <c r="V412" i="4" s="1"/>
  <c r="B413" i="4" l="1"/>
  <c r="V413" i="4" s="1"/>
  <c r="B414" i="4" l="1"/>
  <c r="V414" i="4" s="1"/>
  <c r="B415" i="4" l="1"/>
  <c r="V415" i="4" s="1"/>
  <c r="B416" i="4" l="1"/>
  <c r="V416" i="4" s="1"/>
  <c r="B417" i="4" l="1"/>
  <c r="V417" i="4" s="1"/>
  <c r="B418" i="4" l="1"/>
  <c r="V418" i="4" s="1"/>
  <c r="B419" i="4" l="1"/>
  <c r="V419" i="4" s="1"/>
  <c r="B420" i="4" l="1"/>
  <c r="V420" i="4" s="1"/>
  <c r="B421" i="4" l="1"/>
  <c r="V421" i="4" s="1"/>
  <c r="B422" i="4" l="1"/>
  <c r="V422" i="4" s="1"/>
  <c r="B423" i="4" l="1"/>
  <c r="V423" i="4" s="1"/>
  <c r="B424" i="4" l="1"/>
  <c r="V424" i="4" s="1"/>
  <c r="B425" i="4" l="1"/>
  <c r="V425" i="4" s="1"/>
  <c r="B426" i="4" l="1"/>
  <c r="V426" i="4" s="1"/>
  <c r="B427" i="4" l="1"/>
  <c r="V427" i="4" s="1"/>
  <c r="B428" i="4" l="1"/>
  <c r="V428" i="4" s="1"/>
  <c r="B429" i="4" l="1"/>
  <c r="V429" i="4" s="1"/>
  <c r="B430" i="4" l="1"/>
  <c r="V430" i="4" s="1"/>
  <c r="B431" i="4" l="1"/>
  <c r="V431" i="4" s="1"/>
  <c r="B432" i="4" l="1"/>
  <c r="V432" i="4" s="1"/>
  <c r="B433" i="4" l="1"/>
  <c r="V433" i="4" s="1"/>
  <c r="B434" i="4" l="1"/>
  <c r="V434" i="4" s="1"/>
  <c r="B435" i="4" l="1"/>
  <c r="V435" i="4" s="1"/>
  <c r="B436" i="4" l="1"/>
  <c r="V436" i="4" s="1"/>
  <c r="B437" i="4" l="1"/>
  <c r="V437" i="4" s="1"/>
  <c r="B438" i="4" l="1"/>
  <c r="V438" i="4" s="1"/>
  <c r="B439" i="4" l="1"/>
  <c r="V439" i="4" s="1"/>
  <c r="B440" i="4" l="1"/>
  <c r="V440" i="4" s="1"/>
  <c r="B441" i="4" l="1"/>
  <c r="V441" i="4" s="1"/>
  <c r="B442" i="4" l="1"/>
  <c r="V442" i="4" s="1"/>
  <c r="B443" i="4" l="1"/>
  <c r="V443" i="4" s="1"/>
  <c r="B444" i="4" l="1"/>
  <c r="V444" i="4" s="1"/>
  <c r="B445" i="4" l="1"/>
  <c r="V445" i="4" s="1"/>
  <c r="B446" i="4" l="1"/>
  <c r="V446" i="4" s="1"/>
  <c r="B447" i="4" l="1"/>
  <c r="V447" i="4" s="1"/>
  <c r="B448" i="4" l="1"/>
  <c r="V448" i="4" s="1"/>
  <c r="B449" i="4" l="1"/>
  <c r="V449" i="4" s="1"/>
  <c r="B450" i="4" l="1"/>
  <c r="V450" i="4" s="1"/>
  <c r="B451" i="4" l="1"/>
  <c r="V451" i="4" s="1"/>
  <c r="B452" i="4" l="1"/>
  <c r="V452" i="4" s="1"/>
  <c r="B453" i="4" l="1"/>
  <c r="V453" i="4" s="1"/>
  <c r="B454" i="4" l="1"/>
  <c r="V454" i="4" s="1"/>
  <c r="B455" i="4" l="1"/>
  <c r="V455" i="4" s="1"/>
  <c r="B456" i="4" l="1"/>
  <c r="V456" i="4" s="1"/>
  <c r="B457" i="4" l="1"/>
  <c r="V457" i="4" s="1"/>
  <c r="B458" i="4" l="1"/>
  <c r="V458" i="4" s="1"/>
  <c r="B459" i="4" l="1"/>
  <c r="V459" i="4" s="1"/>
  <c r="B460" i="4" l="1"/>
  <c r="V460" i="4" s="1"/>
  <c r="B461" i="4" l="1"/>
  <c r="V461" i="4" s="1"/>
  <c r="B462" i="4" l="1"/>
  <c r="V462" i="4" s="1"/>
  <c r="B463" i="4" l="1"/>
  <c r="V463" i="4" s="1"/>
  <c r="B464" i="4" l="1"/>
  <c r="V464" i="4" s="1"/>
  <c r="B465" i="4" l="1"/>
  <c r="V465" i="4" s="1"/>
  <c r="B466" i="4" l="1"/>
  <c r="V466" i="4" s="1"/>
  <c r="B467" i="4" l="1"/>
  <c r="V467" i="4" s="1"/>
  <c r="B468" i="4" l="1"/>
  <c r="V468" i="4" s="1"/>
  <c r="B469" i="4" l="1"/>
  <c r="V469" i="4" s="1"/>
  <c r="B470" i="4" l="1"/>
  <c r="V470" i="4" s="1"/>
  <c r="B471" i="4" l="1"/>
  <c r="V471" i="4" s="1"/>
  <c r="B472" i="4" l="1"/>
  <c r="V472" i="4" s="1"/>
  <c r="B473" i="4" l="1"/>
  <c r="V473" i="4" s="1"/>
  <c r="B474" i="4" l="1"/>
  <c r="V474" i="4" s="1"/>
  <c r="B475" i="4" l="1"/>
  <c r="V475" i="4" s="1"/>
  <c r="B476" i="4" l="1"/>
  <c r="V476" i="4" s="1"/>
  <c r="B477" i="4" l="1"/>
  <c r="V477" i="4" s="1"/>
  <c r="B478" i="4" l="1"/>
  <c r="V478" i="4" s="1"/>
  <c r="B479" i="4" l="1"/>
  <c r="V479" i="4" s="1"/>
  <c r="B480" i="4" l="1"/>
  <c r="V480" i="4" s="1"/>
  <c r="B481" i="4" l="1"/>
  <c r="V481" i="4" s="1"/>
  <c r="B482" i="4" l="1"/>
  <c r="V482" i="4" s="1"/>
  <c r="B483" i="4" l="1"/>
  <c r="V483" i="4" s="1"/>
  <c r="B484" i="4" l="1"/>
  <c r="V484" i="4" s="1"/>
  <c r="B485" i="4"/>
  <c r="V485" i="4" s="1"/>
  <c r="B486" i="4" l="1"/>
  <c r="V486" i="4" s="1"/>
  <c r="B487" i="4" l="1"/>
  <c r="V487" i="4" s="1"/>
  <c r="B488" i="4" l="1"/>
  <c r="V488" i="4" s="1"/>
  <c r="B489" i="4" l="1"/>
  <c r="V489" i="4" s="1"/>
  <c r="B490" i="4" l="1"/>
  <c r="V490" i="4" s="1"/>
  <c r="B491" i="4" l="1"/>
  <c r="V491" i="4" s="1"/>
  <c r="B492" i="4" l="1"/>
  <c r="V492" i="4" s="1"/>
  <c r="B493" i="4" l="1"/>
  <c r="V493" i="4" s="1"/>
  <c r="B494" i="4" l="1"/>
  <c r="V494" i="4" s="1"/>
  <c r="B495" i="4" l="1"/>
  <c r="V495" i="4" s="1"/>
  <c r="B496" i="4" l="1"/>
  <c r="V496" i="4" s="1"/>
  <c r="B497" i="4" l="1"/>
  <c r="V497" i="4" s="1"/>
  <c r="B498" i="4" l="1"/>
  <c r="V498" i="4" s="1"/>
  <c r="B499" i="4" l="1"/>
  <c r="V499" i="4" s="1"/>
  <c r="B500" i="4" l="1"/>
  <c r="V500" i="4" s="1"/>
  <c r="B501" i="4" l="1"/>
  <c r="V501" i="4" s="1"/>
  <c r="B502" i="4" l="1"/>
  <c r="V502" i="4" s="1"/>
  <c r="B503" i="4" l="1"/>
  <c r="V503" i="4" s="1"/>
  <c r="B504" i="4" l="1"/>
  <c r="V504" i="4" s="1"/>
  <c r="B505" i="4" l="1"/>
  <c r="V505" i="4" s="1"/>
  <c r="B506" i="4" l="1"/>
  <c r="V506" i="4" s="1"/>
  <c r="B507" i="4" l="1"/>
  <c r="V507" i="4" s="1"/>
  <c r="B508" i="4" l="1"/>
  <c r="V508" i="4" s="1"/>
  <c r="B509" i="4" l="1"/>
  <c r="V509" i="4" s="1"/>
  <c r="B510" i="4" l="1"/>
  <c r="V510" i="4" s="1"/>
  <c r="B511" i="4" l="1"/>
  <c r="V511" i="4" s="1"/>
  <c r="B512" i="4" l="1"/>
  <c r="V512" i="4" s="1"/>
  <c r="B513" i="4" l="1"/>
  <c r="V513" i="4" s="1"/>
  <c r="B514" i="4" l="1"/>
  <c r="V514" i="4" s="1"/>
  <c r="B515" i="4" l="1"/>
  <c r="V515" i="4" s="1"/>
  <c r="B516" i="4" l="1"/>
  <c r="V516" i="4" s="1"/>
  <c r="B517" i="4" l="1"/>
  <c r="V517" i="4" s="1"/>
  <c r="B518" i="4" l="1"/>
  <c r="V518" i="4" s="1"/>
  <c r="B519" i="4" l="1"/>
  <c r="V519" i="4" s="1"/>
  <c r="B520" i="4" l="1"/>
  <c r="V520" i="4" s="1"/>
  <c r="B521" i="4" l="1"/>
  <c r="V521" i="4" s="1"/>
  <c r="B522" i="4" l="1"/>
  <c r="V522" i="4" s="1"/>
  <c r="B523" i="4" l="1"/>
  <c r="V523" i="4" s="1"/>
  <c r="B524" i="4" l="1"/>
  <c r="V524" i="4" s="1"/>
  <c r="B525" i="4" l="1"/>
  <c r="V525" i="4" s="1"/>
  <c r="B526" i="4" l="1"/>
  <c r="V526" i="4" s="1"/>
  <c r="B527" i="4" l="1"/>
  <c r="V527" i="4" s="1"/>
  <c r="B528" i="4" l="1"/>
  <c r="V528" i="4" s="1"/>
  <c r="B529" i="4" l="1"/>
  <c r="V529" i="4" s="1"/>
  <c r="B530" i="4" l="1"/>
  <c r="V530" i="4" s="1"/>
  <c r="B531" i="4" l="1"/>
  <c r="V531" i="4" s="1"/>
  <c r="B532" i="4" l="1"/>
  <c r="V532" i="4" s="1"/>
  <c r="B533" i="4" l="1"/>
  <c r="V533" i="4" s="1"/>
  <c r="B534" i="4" l="1"/>
  <c r="V534" i="4" s="1"/>
  <c r="B535" i="4" l="1"/>
  <c r="V535" i="4" s="1"/>
  <c r="B536" i="4" l="1"/>
  <c r="V536" i="4" s="1"/>
  <c r="B537" i="4" l="1"/>
  <c r="V537" i="4" s="1"/>
  <c r="B538" i="4" l="1"/>
  <c r="V538" i="4" s="1"/>
  <c r="B539" i="4" l="1"/>
  <c r="V539" i="4" s="1"/>
  <c r="B540" i="4" l="1"/>
  <c r="V540" i="4" s="1"/>
  <c r="B541" i="4" l="1"/>
  <c r="V541" i="4" s="1"/>
  <c r="B542" i="4" l="1"/>
  <c r="V542" i="4" s="1"/>
  <c r="B543" i="4" l="1"/>
  <c r="V543" i="4" s="1"/>
  <c r="B544" i="4" l="1"/>
  <c r="V544" i="4" s="1"/>
  <c r="B545" i="4" l="1"/>
  <c r="V545" i="4" s="1"/>
  <c r="B546" i="4" l="1"/>
  <c r="V546" i="4" s="1"/>
  <c r="B547" i="4" l="1"/>
  <c r="V547" i="4" s="1"/>
  <c r="B548" i="4" l="1"/>
  <c r="V548" i="4" s="1"/>
  <c r="B549" i="4" l="1"/>
  <c r="V549" i="4" s="1"/>
  <c r="B550" i="4" l="1"/>
  <c r="V550" i="4" s="1"/>
  <c r="B551" i="4" l="1"/>
  <c r="V551" i="4" s="1"/>
  <c r="B552" i="4" l="1"/>
  <c r="V552" i="4" s="1"/>
  <c r="B553" i="4" l="1"/>
  <c r="V553" i="4" s="1"/>
  <c r="B554" i="4" l="1"/>
  <c r="V554" i="4" s="1"/>
  <c r="B555" i="4" l="1"/>
  <c r="V555" i="4" s="1"/>
  <c r="B556" i="4" l="1"/>
  <c r="V556" i="4" s="1"/>
  <c r="B557" i="4" l="1"/>
  <c r="V557" i="4" s="1"/>
  <c r="B558" i="4" l="1"/>
  <c r="V558" i="4" s="1"/>
  <c r="B559" i="4" l="1"/>
  <c r="V559" i="4" s="1"/>
  <c r="B560" i="4" l="1"/>
  <c r="V560" i="4" s="1"/>
  <c r="B561" i="4" l="1"/>
  <c r="V561" i="4" s="1"/>
  <c r="B562" i="4" l="1"/>
  <c r="V562" i="4" s="1"/>
  <c r="B563" i="4" l="1"/>
  <c r="V563" i="4" s="1"/>
  <c r="B564" i="4" l="1"/>
  <c r="V564" i="4" s="1"/>
  <c r="B565" i="4" l="1"/>
  <c r="V565" i="4" s="1"/>
  <c r="B566" i="4" l="1"/>
  <c r="V566" i="4" s="1"/>
  <c r="B567" i="4" l="1"/>
  <c r="V567" i="4" s="1"/>
  <c r="B568" i="4" l="1"/>
  <c r="V568" i="4" s="1"/>
  <c r="B569" i="4" l="1"/>
  <c r="V569" i="4" s="1"/>
  <c r="B570" i="4" l="1"/>
  <c r="V570" i="4" s="1"/>
  <c r="B571" i="4" l="1"/>
  <c r="V571" i="4" s="1"/>
  <c r="B572" i="4" l="1"/>
  <c r="V572" i="4" s="1"/>
  <c r="B573" i="4" l="1"/>
  <c r="V573" i="4" s="1"/>
  <c r="B574" i="4" l="1"/>
  <c r="V574" i="4" s="1"/>
  <c r="B575" i="4" l="1"/>
  <c r="V575" i="4" s="1"/>
  <c r="B576" i="4" l="1"/>
  <c r="V576" i="4" s="1"/>
  <c r="B577" i="4" l="1"/>
  <c r="V577" i="4" s="1"/>
  <c r="B578" i="4" l="1"/>
  <c r="V578" i="4" s="1"/>
  <c r="B579" i="4" l="1"/>
  <c r="V579" i="4" s="1"/>
  <c r="B580" i="4" l="1"/>
  <c r="V580" i="4" s="1"/>
  <c r="B581" i="4" l="1"/>
  <c r="V581" i="4" s="1"/>
  <c r="B582" i="4" l="1"/>
  <c r="V582" i="4" s="1"/>
  <c r="B583" i="4" l="1"/>
  <c r="V583" i="4" s="1"/>
  <c r="B584" i="4" l="1"/>
  <c r="V584" i="4" s="1"/>
  <c r="B585" i="4" l="1"/>
  <c r="V585" i="4" s="1"/>
  <c r="B586" i="4" l="1"/>
  <c r="V586" i="4" s="1"/>
  <c r="B587" i="4" l="1"/>
  <c r="V587" i="4" s="1"/>
  <c r="B588" i="4" l="1"/>
  <c r="V588" i="4" s="1"/>
  <c r="B589" i="4" l="1"/>
  <c r="V589" i="4" s="1"/>
  <c r="B590" i="4" l="1"/>
  <c r="V590" i="4" s="1"/>
  <c r="B591" i="4" l="1"/>
  <c r="V591" i="4" s="1"/>
  <c r="B592" i="4" l="1"/>
  <c r="V592" i="4" s="1"/>
  <c r="B593" i="4" l="1"/>
  <c r="V593" i="4" s="1"/>
  <c r="B594" i="4" l="1"/>
  <c r="V594" i="4" s="1"/>
  <c r="B595" i="4" l="1"/>
  <c r="V595" i="4" s="1"/>
  <c r="B596" i="4" l="1"/>
  <c r="V596" i="4" s="1"/>
  <c r="B597" i="4" l="1"/>
  <c r="V597" i="4" s="1"/>
  <c r="B598" i="4" l="1"/>
  <c r="V598" i="4" s="1"/>
  <c r="B599" i="4" l="1"/>
  <c r="V599" i="4" s="1"/>
  <c r="B600" i="4" l="1"/>
  <c r="V600" i="4" s="1"/>
  <c r="B601" i="4" l="1"/>
  <c r="V601" i="4" s="1"/>
  <c r="B602" i="4" l="1"/>
  <c r="V602" i="4" s="1"/>
  <c r="B603" i="4" l="1"/>
  <c r="V603" i="4" s="1"/>
  <c r="B604" i="4" l="1"/>
  <c r="V604" i="4" s="1"/>
  <c r="B605" i="4" l="1"/>
  <c r="V605" i="4" s="1"/>
  <c r="B606" i="4" l="1"/>
  <c r="V606" i="4" s="1"/>
  <c r="B607" i="4" l="1"/>
  <c r="V607" i="4" s="1"/>
  <c r="B608" i="4" l="1"/>
  <c r="V608" i="4" s="1"/>
  <c r="B609" i="4" l="1"/>
  <c r="V609" i="4" s="1"/>
  <c r="B610" i="4" l="1"/>
  <c r="V610" i="4" s="1"/>
  <c r="B611" i="4" l="1"/>
  <c r="V611" i="4" s="1"/>
  <c r="B612" i="4" l="1"/>
  <c r="V612" i="4" s="1"/>
  <c r="B613" i="4" l="1"/>
  <c r="V613" i="4" s="1"/>
  <c r="B614" i="4" l="1"/>
  <c r="V614" i="4" s="1"/>
  <c r="B615" i="4" l="1"/>
  <c r="V615" i="4" s="1"/>
  <c r="B616" i="4" l="1"/>
  <c r="V616" i="4" s="1"/>
  <c r="B617" i="4" l="1"/>
  <c r="V617" i="4" s="1"/>
  <c r="B618" i="4" l="1"/>
  <c r="V618" i="4" s="1"/>
  <c r="B619" i="4" l="1"/>
  <c r="V619" i="4" s="1"/>
  <c r="B620" i="4" l="1"/>
  <c r="V620" i="4" s="1"/>
  <c r="B621" i="4" l="1"/>
  <c r="V621" i="4" s="1"/>
  <c r="B622" i="4" l="1"/>
  <c r="V622" i="4" s="1"/>
  <c r="B623" i="4" l="1"/>
  <c r="V623" i="4" s="1"/>
  <c r="B624" i="4" l="1"/>
  <c r="V624" i="4" s="1"/>
  <c r="B625" i="4" l="1"/>
  <c r="V625" i="4" s="1"/>
  <c r="B626" i="4" l="1"/>
  <c r="V626" i="4" s="1"/>
  <c r="B627" i="4" l="1"/>
  <c r="V627" i="4" s="1"/>
  <c r="B628" i="4" l="1"/>
  <c r="V628" i="4" s="1"/>
  <c r="B629" i="4" l="1"/>
  <c r="V629" i="4" s="1"/>
  <c r="B630" i="4" l="1"/>
  <c r="V630" i="4" s="1"/>
  <c r="B631" i="4" l="1"/>
  <c r="V631" i="4" s="1"/>
  <c r="B632" i="4" l="1"/>
  <c r="V632" i="4" s="1"/>
  <c r="B633" i="4" l="1"/>
  <c r="V633" i="4" s="1"/>
  <c r="B634" i="4" l="1"/>
  <c r="V634" i="4" s="1"/>
  <c r="B635" i="4" l="1"/>
  <c r="V635" i="4" s="1"/>
  <c r="B636" i="4" l="1"/>
  <c r="V636" i="4" s="1"/>
  <c r="B637" i="4" l="1"/>
  <c r="V637" i="4" s="1"/>
  <c r="B638" i="4" l="1"/>
  <c r="V638" i="4" s="1"/>
  <c r="B639" i="4" l="1"/>
  <c r="V639" i="4" s="1"/>
  <c r="B640" i="4" l="1"/>
  <c r="V640" i="4" s="1"/>
  <c r="B641" i="4" l="1"/>
  <c r="V641" i="4" s="1"/>
  <c r="B642" i="4" l="1"/>
  <c r="V642" i="4" s="1"/>
  <c r="B643" i="4" l="1"/>
  <c r="V643" i="4" s="1"/>
  <c r="B644" i="4" l="1"/>
  <c r="V644" i="4" s="1"/>
  <c r="B645" i="4" l="1"/>
  <c r="V645" i="4" s="1"/>
  <c r="B646" i="4" l="1"/>
  <c r="V646" i="4" s="1"/>
  <c r="B647" i="4" l="1"/>
  <c r="V647" i="4" s="1"/>
  <c r="B648" i="4" l="1"/>
  <c r="V648" i="4" s="1"/>
  <c r="B649" i="4" l="1"/>
  <c r="V649" i="4" s="1"/>
  <c r="B650" i="4" l="1"/>
  <c r="V650" i="4" s="1"/>
  <c r="B651" i="4" l="1"/>
  <c r="V651" i="4" s="1"/>
  <c r="B652" i="4" l="1"/>
  <c r="V652" i="4" s="1"/>
  <c r="B653" i="4" l="1"/>
  <c r="V653" i="4" s="1"/>
  <c r="B654" i="4" l="1"/>
  <c r="V654" i="4" s="1"/>
  <c r="B655" i="4" l="1"/>
  <c r="V655" i="4" s="1"/>
  <c r="B656" i="4" l="1"/>
  <c r="V656" i="4" s="1"/>
  <c r="B657" i="4" l="1"/>
  <c r="V657" i="4" s="1"/>
  <c r="B658" i="4" l="1"/>
  <c r="V658" i="4" s="1"/>
  <c r="B659" i="4" l="1"/>
  <c r="V659" i="4" s="1"/>
  <c r="B660" i="4" l="1"/>
  <c r="V660" i="4" s="1"/>
  <c r="B661" i="4" l="1"/>
  <c r="V661" i="4" s="1"/>
  <c r="B662" i="4" l="1"/>
  <c r="V662" i="4" s="1"/>
  <c r="B663" i="4" l="1"/>
  <c r="V663" i="4" s="1"/>
  <c r="B664" i="4" l="1"/>
  <c r="V664" i="4" s="1"/>
  <c r="B665" i="4" l="1"/>
  <c r="V665" i="4" s="1"/>
  <c r="B666" i="4" l="1"/>
  <c r="V666" i="4" s="1"/>
  <c r="B667" i="4" l="1"/>
  <c r="V667" i="4" s="1"/>
  <c r="B668" i="4" l="1"/>
  <c r="V668" i="4" s="1"/>
  <c r="B669" i="4" l="1"/>
  <c r="V669" i="4" s="1"/>
  <c r="B670" i="4" l="1"/>
  <c r="V670" i="4" s="1"/>
  <c r="B671" i="4" l="1"/>
  <c r="V671" i="4" s="1"/>
  <c r="B672" i="4" l="1"/>
  <c r="V672" i="4" s="1"/>
  <c r="B673" i="4" l="1"/>
  <c r="V673" i="4" s="1"/>
  <c r="B674" i="4" l="1"/>
  <c r="V674" i="4" s="1"/>
  <c r="B675" i="4" l="1"/>
  <c r="V675" i="4" s="1"/>
  <c r="B676" i="4" l="1"/>
  <c r="V676" i="4" s="1"/>
  <c r="B677" i="4" l="1"/>
  <c r="V677" i="4" s="1"/>
  <c r="B678" i="4" l="1"/>
  <c r="V678" i="4" s="1"/>
  <c r="B679" i="4" l="1"/>
  <c r="V679" i="4" s="1"/>
  <c r="B680" i="4" l="1"/>
  <c r="V680" i="4" s="1"/>
  <c r="B681" i="4" l="1"/>
  <c r="V681" i="4" s="1"/>
  <c r="B682" i="4" l="1"/>
  <c r="V682" i="4" s="1"/>
  <c r="B683" i="4" l="1"/>
  <c r="V683" i="4" s="1"/>
  <c r="B684" i="4" l="1"/>
  <c r="V684" i="4" s="1"/>
  <c r="B685" i="4" l="1"/>
  <c r="V685" i="4" s="1"/>
  <c r="B686" i="4" l="1"/>
  <c r="V686" i="4" s="1"/>
  <c r="B687" i="4" l="1"/>
  <c r="V687" i="4" s="1"/>
  <c r="B688" i="4" l="1"/>
  <c r="V688" i="4" s="1"/>
  <c r="B689" i="4" l="1"/>
  <c r="V689" i="4" s="1"/>
  <c r="B690" i="4" l="1"/>
  <c r="V690" i="4" s="1"/>
  <c r="B691" i="4" l="1"/>
  <c r="V691" i="4" s="1"/>
  <c r="B692" i="4" l="1"/>
  <c r="V692" i="4" s="1"/>
  <c r="B693" i="4" l="1"/>
  <c r="V693" i="4" s="1"/>
  <c r="B694" i="4" l="1"/>
  <c r="V694" i="4" s="1"/>
  <c r="B695" i="4" l="1"/>
  <c r="V695" i="4" s="1"/>
  <c r="B696" i="4" l="1"/>
  <c r="V696" i="4" s="1"/>
  <c r="B697" i="4" l="1"/>
  <c r="V697" i="4" s="1"/>
  <c r="B698" i="4" l="1"/>
  <c r="V698" i="4" s="1"/>
  <c r="B699" i="4" l="1"/>
  <c r="V699" i="4" s="1"/>
  <c r="B700" i="4" l="1"/>
  <c r="V700" i="4" s="1"/>
  <c r="B701" i="4" l="1"/>
  <c r="V701" i="4" s="1"/>
  <c r="B702" i="4" l="1"/>
  <c r="V702" i="4" s="1"/>
  <c r="B703" i="4" l="1"/>
  <c r="V703" i="4" s="1"/>
  <c r="B704" i="4" l="1"/>
  <c r="V704" i="4" s="1"/>
  <c r="B705" i="4" l="1"/>
  <c r="V705" i="4" s="1"/>
  <c r="B706" i="4" l="1"/>
  <c r="V706" i="4" s="1"/>
  <c r="B707" i="4" l="1"/>
  <c r="V707" i="4" s="1"/>
  <c r="B708" i="4" l="1"/>
  <c r="V708" i="4" s="1"/>
  <c r="B709" i="4" l="1"/>
  <c r="V709" i="4" s="1"/>
  <c r="B710" i="4" l="1"/>
  <c r="V710" i="4" s="1"/>
  <c r="B711" i="4" l="1"/>
  <c r="V711" i="4" s="1"/>
  <c r="B712" i="4" l="1"/>
  <c r="V712" i="4" s="1"/>
  <c r="B713" i="4" l="1"/>
  <c r="V713" i="4" s="1"/>
  <c r="B714" i="4" l="1"/>
  <c r="V714" i="4" s="1"/>
  <c r="B715" i="4" l="1"/>
  <c r="V715" i="4" s="1"/>
  <c r="B716" i="4" l="1"/>
  <c r="V716" i="4" s="1"/>
  <c r="B717" i="4" l="1"/>
  <c r="V717" i="4" s="1"/>
  <c r="B718" i="4" l="1"/>
  <c r="V718" i="4" s="1"/>
  <c r="B719" i="4" l="1"/>
  <c r="V719" i="4" s="1"/>
  <c r="B720" i="4" l="1"/>
  <c r="V720" i="4" s="1"/>
  <c r="B721" i="4" l="1"/>
  <c r="V721" i="4" s="1"/>
  <c r="B722" i="4" l="1"/>
  <c r="V722" i="4" s="1"/>
  <c r="B723" i="4" l="1"/>
  <c r="V723" i="4" s="1"/>
  <c r="B724" i="4" l="1"/>
  <c r="V724" i="4" s="1"/>
  <c r="B725" i="4" l="1"/>
  <c r="V725" i="4" s="1"/>
  <c r="B726" i="4" l="1"/>
  <c r="V726" i="4" s="1"/>
  <c r="B727" i="4" l="1"/>
  <c r="V727" i="4" s="1"/>
  <c r="B728" i="4" l="1"/>
  <c r="V728" i="4" s="1"/>
  <c r="B729" i="4" l="1"/>
  <c r="V729" i="4" s="1"/>
  <c r="B730" i="4" l="1"/>
  <c r="V730" i="4" s="1"/>
  <c r="B731" i="4" l="1"/>
  <c r="V731" i="4" s="1"/>
  <c r="B732" i="4" l="1"/>
  <c r="V732" i="4" s="1"/>
  <c r="B733" i="4" l="1"/>
  <c r="V733" i="4" s="1"/>
  <c r="B734" i="4" l="1"/>
  <c r="V734" i="4" s="1"/>
  <c r="B735" i="4" l="1"/>
  <c r="V735" i="4" s="1"/>
  <c r="B736" i="4" l="1"/>
  <c r="V736" i="4" s="1"/>
  <c r="B737" i="4" l="1"/>
  <c r="V737" i="4" s="1"/>
  <c r="B738" i="4" l="1"/>
  <c r="V738" i="4" s="1"/>
  <c r="B739" i="4" l="1"/>
  <c r="V739" i="4" s="1"/>
  <c r="B740" i="4" l="1"/>
  <c r="V740" i="4" s="1"/>
  <c r="B741" i="4" l="1"/>
  <c r="V741" i="4" s="1"/>
  <c r="B742" i="4" l="1"/>
  <c r="V742" i="4" s="1"/>
  <c r="B743" i="4" l="1"/>
  <c r="V743" i="4" s="1"/>
  <c r="B744" i="4" l="1"/>
  <c r="V744" i="4" s="1"/>
  <c r="B745" i="4" l="1"/>
  <c r="V745" i="4" s="1"/>
  <c r="B746" i="4" l="1"/>
  <c r="V746" i="4" s="1"/>
  <c r="B747" i="4" l="1"/>
  <c r="V747" i="4" s="1"/>
  <c r="B748" i="4" l="1"/>
  <c r="V748" i="4" s="1"/>
  <c r="B749" i="4" l="1"/>
  <c r="V749" i="4" s="1"/>
  <c r="B750" i="4" l="1"/>
  <c r="V750" i="4" s="1"/>
  <c r="B751" i="4" l="1"/>
  <c r="V751" i="4" s="1"/>
  <c r="B752" i="4" l="1"/>
  <c r="V752" i="4" s="1"/>
  <c r="B753" i="4" l="1"/>
  <c r="V753" i="4" s="1"/>
  <c r="B754" i="4" l="1"/>
  <c r="V754" i="4" s="1"/>
  <c r="B755" i="4" l="1"/>
  <c r="V755" i="4" s="1"/>
  <c r="B756" i="4" l="1"/>
  <c r="V756" i="4" s="1"/>
  <c r="B757" i="4" l="1"/>
  <c r="V757" i="4" s="1"/>
  <c r="B758" i="4" l="1"/>
  <c r="V758" i="4" s="1"/>
  <c r="B759" i="4" l="1"/>
  <c r="V759" i="4" s="1"/>
  <c r="B760" i="4" l="1"/>
  <c r="V760" i="4" s="1"/>
  <c r="B761" i="4" l="1"/>
  <c r="V761" i="4" s="1"/>
  <c r="B762" i="4" l="1"/>
  <c r="V762" i="4" s="1"/>
  <c r="B763" i="4" l="1"/>
  <c r="V763" i="4" s="1"/>
  <c r="B764" i="4" l="1"/>
  <c r="V764" i="4" s="1"/>
  <c r="B765" i="4" l="1"/>
  <c r="V765" i="4" s="1"/>
  <c r="B766" i="4" l="1"/>
  <c r="V766" i="4" s="1"/>
  <c r="B767" i="4" l="1"/>
  <c r="V767" i="4" s="1"/>
  <c r="B768" i="4" l="1"/>
  <c r="V768" i="4" s="1"/>
  <c r="B769" i="4" l="1"/>
  <c r="V769" i="4" s="1"/>
  <c r="B770" i="4" l="1"/>
  <c r="V770" i="4" s="1"/>
  <c r="B771" i="4" l="1"/>
  <c r="V771" i="4" s="1"/>
  <c r="B772" i="4" l="1"/>
  <c r="V772" i="4" s="1"/>
  <c r="B773" i="4" l="1"/>
  <c r="V773" i="4" s="1"/>
  <c r="B774" i="4" l="1"/>
  <c r="V774" i="4" s="1"/>
  <c r="B775" i="4" l="1"/>
  <c r="V775" i="4" s="1"/>
  <c r="B776" i="4" l="1"/>
  <c r="V776" i="4" s="1"/>
  <c r="B777" i="4" l="1"/>
  <c r="V777" i="4" s="1"/>
  <c r="B778" i="4" l="1"/>
  <c r="V778" i="4" s="1"/>
  <c r="B779" i="4" l="1"/>
  <c r="V779" i="4" s="1"/>
  <c r="B780" i="4" l="1"/>
  <c r="V780" i="4" s="1"/>
  <c r="B781" i="4" l="1"/>
  <c r="V781" i="4" s="1"/>
  <c r="B782" i="4" l="1"/>
  <c r="V782" i="4" s="1"/>
  <c r="B783" i="4" l="1"/>
  <c r="V783" i="4" s="1"/>
  <c r="B784" i="4" l="1"/>
  <c r="V784" i="4" s="1"/>
  <c r="B785" i="4" l="1"/>
  <c r="V785" i="4" s="1"/>
  <c r="B786" i="4" l="1"/>
  <c r="V786" i="4" s="1"/>
  <c r="B787" i="4" l="1"/>
  <c r="V787" i="4" s="1"/>
  <c r="B788" i="4" l="1"/>
  <c r="V788" i="4" s="1"/>
  <c r="B789" i="4" l="1"/>
  <c r="V789" i="4" s="1"/>
  <c r="B790" i="4" l="1"/>
  <c r="V790" i="4" s="1"/>
  <c r="B791" i="4" l="1"/>
  <c r="V791" i="4" s="1"/>
  <c r="B792" i="4" l="1"/>
  <c r="V792" i="4" s="1"/>
  <c r="B793" i="4" l="1"/>
  <c r="V793" i="4" s="1"/>
  <c r="B794" i="4" l="1"/>
  <c r="V794" i="4" s="1"/>
  <c r="B795" i="4" l="1"/>
  <c r="V795" i="4" s="1"/>
  <c r="B796" i="4" l="1"/>
  <c r="V796" i="4" s="1"/>
  <c r="B797" i="4" l="1"/>
  <c r="V797" i="4" s="1"/>
  <c r="B798" i="4" l="1"/>
  <c r="V798" i="4" s="1"/>
  <c r="B799" i="4" l="1"/>
  <c r="V799" i="4" s="1"/>
  <c r="B800" i="4" l="1"/>
  <c r="V800" i="4" s="1"/>
  <c r="B801" i="4" l="1"/>
  <c r="V801" i="4" s="1"/>
  <c r="B802" i="4" l="1"/>
  <c r="V802" i="4" s="1"/>
  <c r="B803" i="4" l="1"/>
  <c r="V803" i="4" s="1"/>
  <c r="B804" i="4" l="1"/>
  <c r="V804" i="4" s="1"/>
  <c r="B805" i="4" l="1"/>
  <c r="V805" i="4" s="1"/>
  <c r="B806" i="4" l="1"/>
  <c r="V806" i="4" s="1"/>
  <c r="B807" i="4" l="1"/>
  <c r="V807" i="4" s="1"/>
  <c r="B808" i="4" l="1"/>
  <c r="V808" i="4" s="1"/>
  <c r="B809" i="4" l="1"/>
  <c r="V809" i="4" s="1"/>
  <c r="B810" i="4" l="1"/>
  <c r="V810" i="4" s="1"/>
  <c r="B811" i="4" l="1"/>
  <c r="V811" i="4" s="1"/>
  <c r="B812" i="4" l="1"/>
  <c r="V812" i="4" s="1"/>
  <c r="B813" i="4" l="1"/>
  <c r="V813" i="4" s="1"/>
  <c r="B814" i="4" l="1"/>
  <c r="V814" i="4" s="1"/>
  <c r="B815" i="4" l="1"/>
  <c r="V815" i="4" s="1"/>
  <c r="B816" i="4" l="1"/>
  <c r="V816" i="4" s="1"/>
  <c r="B817" i="4" l="1"/>
  <c r="V817" i="4" s="1"/>
  <c r="B818" i="4" l="1"/>
  <c r="V818" i="4" s="1"/>
  <c r="B819" i="4" l="1"/>
  <c r="V819" i="4" s="1"/>
  <c r="B820" i="4" l="1"/>
  <c r="V820" i="4" s="1"/>
  <c r="B821" i="4" l="1"/>
  <c r="V821" i="4" s="1"/>
  <c r="B822" i="4" l="1"/>
  <c r="V822" i="4" s="1"/>
  <c r="B823" i="4" l="1"/>
  <c r="V823" i="4" s="1"/>
  <c r="B824" i="4" l="1"/>
  <c r="V824" i="4" s="1"/>
  <c r="B825" i="4" l="1"/>
  <c r="V825" i="4" s="1"/>
  <c r="B826" i="4" l="1"/>
  <c r="V826" i="4" s="1"/>
  <c r="B827" i="4" l="1"/>
  <c r="V827" i="4" s="1"/>
  <c r="B828" i="4" l="1"/>
  <c r="V828" i="4" s="1"/>
  <c r="B829" i="4" l="1"/>
  <c r="V829" i="4" s="1"/>
  <c r="B830" i="4" l="1"/>
  <c r="V830" i="4" s="1"/>
  <c r="B831" i="4" l="1"/>
  <c r="V831" i="4" s="1"/>
  <c r="B832" i="4" l="1"/>
  <c r="V832" i="4" s="1"/>
  <c r="B833" i="4" l="1"/>
  <c r="V833" i="4" s="1"/>
  <c r="B834" i="4" l="1"/>
  <c r="V834" i="4" s="1"/>
  <c r="B835" i="4" l="1"/>
  <c r="V835" i="4" s="1"/>
  <c r="B836" i="4" l="1"/>
  <c r="V836" i="4" s="1"/>
  <c r="B837" i="4" l="1"/>
  <c r="V837" i="4" s="1"/>
  <c r="B838" i="4" l="1"/>
  <c r="V838" i="4" s="1"/>
  <c r="B839" i="4" l="1"/>
  <c r="V839" i="4" s="1"/>
  <c r="B840" i="4" l="1"/>
  <c r="V840" i="4" s="1"/>
  <c r="B841" i="4" l="1"/>
  <c r="V841" i="4" s="1"/>
  <c r="B842" i="4" l="1"/>
  <c r="V842" i="4" s="1"/>
  <c r="B843" i="4" l="1"/>
  <c r="V843" i="4" s="1"/>
  <c r="B844" i="4" l="1"/>
  <c r="V844" i="4" s="1"/>
  <c r="B845" i="4" l="1"/>
  <c r="V845" i="4" s="1"/>
  <c r="B846" i="4" l="1"/>
  <c r="V846" i="4" s="1"/>
  <c r="B847" i="4" l="1"/>
  <c r="V847" i="4" s="1"/>
  <c r="B848" i="4" l="1"/>
  <c r="V848" i="4" s="1"/>
  <c r="B849" i="4" l="1"/>
  <c r="V849" i="4" s="1"/>
  <c r="B850" i="4" l="1"/>
  <c r="V850" i="4" s="1"/>
  <c r="B851" i="4" l="1"/>
  <c r="V851" i="4" s="1"/>
  <c r="B852" i="4" l="1"/>
  <c r="V852" i="4" s="1"/>
  <c r="B853" i="4"/>
  <c r="V853" i="4" s="1"/>
  <c r="B854" i="4" l="1"/>
  <c r="V854" i="4" s="1"/>
  <c r="B855" i="4" l="1"/>
  <c r="V855" i="4" s="1"/>
  <c r="B856" i="4" l="1"/>
  <c r="V856" i="4" s="1"/>
  <c r="B857" i="4" l="1"/>
  <c r="V857" i="4" s="1"/>
  <c r="B858" i="4" l="1"/>
  <c r="V858" i="4" s="1"/>
  <c r="B859" i="4" l="1"/>
  <c r="V859" i="4" s="1"/>
  <c r="B860" i="4" l="1"/>
  <c r="V860" i="4" s="1"/>
  <c r="B861" i="4" l="1"/>
  <c r="V861" i="4" s="1"/>
  <c r="B862" i="4" l="1"/>
  <c r="V862" i="4" s="1"/>
  <c r="B863" i="4" l="1"/>
  <c r="V863" i="4" s="1"/>
  <c r="B864" i="4" l="1"/>
  <c r="V864" i="4" s="1"/>
  <c r="B865" i="4" l="1"/>
  <c r="V865" i="4" s="1"/>
  <c r="B866" i="4" l="1"/>
  <c r="V866" i="4" s="1"/>
  <c r="B867" i="4" l="1"/>
  <c r="V867" i="4" s="1"/>
  <c r="B868" i="4" l="1"/>
  <c r="V868" i="4" s="1"/>
  <c r="B869" i="4" l="1"/>
  <c r="V869" i="4" s="1"/>
  <c r="B870" i="4" l="1"/>
  <c r="V870" i="4" s="1"/>
  <c r="B871" i="4" l="1"/>
  <c r="V871" i="4" s="1"/>
  <c r="B872" i="4" l="1"/>
  <c r="V872" i="4" s="1"/>
  <c r="B873" i="4" l="1"/>
  <c r="V873" i="4" s="1"/>
  <c r="B874" i="4" l="1"/>
  <c r="V874" i="4" s="1"/>
  <c r="B875" i="4" l="1"/>
  <c r="V875" i="4" s="1"/>
  <c r="B876" i="4" l="1"/>
  <c r="V876" i="4" s="1"/>
  <c r="B877" i="4" l="1"/>
  <c r="V877" i="4" s="1"/>
  <c r="B878" i="4" l="1"/>
  <c r="V878" i="4" s="1"/>
  <c r="B879" i="4" l="1"/>
  <c r="V879" i="4" s="1"/>
  <c r="B880" i="4" l="1"/>
  <c r="V880" i="4" s="1"/>
  <c r="B881" i="4" l="1"/>
  <c r="V881" i="4" s="1"/>
  <c r="B882" i="4" l="1"/>
  <c r="V882" i="4" s="1"/>
  <c r="B883" i="4" l="1"/>
  <c r="V883" i="4" s="1"/>
  <c r="B884" i="4" l="1"/>
  <c r="V884" i="4" s="1"/>
  <c r="B885" i="4" l="1"/>
  <c r="V885" i="4" s="1"/>
  <c r="B886" i="4" l="1"/>
  <c r="V886" i="4" s="1"/>
  <c r="B887" i="4" l="1"/>
  <c r="V887" i="4" s="1"/>
  <c r="B888" i="4" l="1"/>
  <c r="V888" i="4" s="1"/>
  <c r="B889" i="4" l="1"/>
  <c r="V889" i="4" s="1"/>
  <c r="B890" i="4" l="1"/>
  <c r="V890" i="4" s="1"/>
  <c r="B891" i="4" l="1"/>
  <c r="V891" i="4" s="1"/>
  <c r="B892" i="4" l="1"/>
  <c r="V892" i="4" s="1"/>
  <c r="B893" i="4" l="1"/>
  <c r="V893" i="4" s="1"/>
  <c r="B894" i="4" l="1"/>
  <c r="V894" i="4" s="1"/>
  <c r="B895" i="4" l="1"/>
  <c r="V895" i="4" s="1"/>
  <c r="B896" i="4" l="1"/>
  <c r="V896" i="4" s="1"/>
  <c r="B897" i="4" l="1"/>
  <c r="V897" i="4" s="1"/>
  <c r="B898" i="4" l="1"/>
  <c r="V898" i="4" s="1"/>
  <c r="B899" i="4" l="1"/>
  <c r="V899" i="4" s="1"/>
  <c r="B900" i="4" l="1"/>
  <c r="V900" i="4" s="1"/>
  <c r="B901" i="4" l="1"/>
  <c r="V901" i="4" s="1"/>
  <c r="B902" i="4" l="1"/>
  <c r="V902" i="4" s="1"/>
  <c r="B903" i="4" l="1"/>
  <c r="V903" i="4" s="1"/>
  <c r="B904" i="4" l="1"/>
  <c r="V904" i="4" s="1"/>
  <c r="B905" i="4"/>
  <c r="V905" i="4" s="1"/>
  <c r="B906" i="4" l="1"/>
  <c r="V906" i="4" s="1"/>
  <c r="B907" i="4" l="1"/>
  <c r="V907" i="4" s="1"/>
  <c r="B908" i="4" l="1"/>
  <c r="V908" i="4" s="1"/>
  <c r="B909" i="4" l="1"/>
  <c r="V909" i="4" s="1"/>
  <c r="B910" i="4" l="1"/>
  <c r="V910" i="4" s="1"/>
  <c r="B911" i="4" l="1"/>
  <c r="V911" i="4" s="1"/>
  <c r="B912" i="4" l="1"/>
  <c r="V912" i="4" s="1"/>
  <c r="B913" i="4" l="1"/>
  <c r="V913" i="4" s="1"/>
  <c r="B914" i="4" l="1"/>
  <c r="V914" i="4" s="1"/>
  <c r="B915" i="4" l="1"/>
  <c r="V915" i="4" s="1"/>
  <c r="B916" i="4" l="1"/>
  <c r="V916" i="4" s="1"/>
  <c r="B917" i="4" l="1"/>
  <c r="V917" i="4" s="1"/>
  <c r="B918" i="4" l="1"/>
  <c r="V918" i="4" s="1"/>
  <c r="B919" i="4" l="1"/>
  <c r="V919" i="4" s="1"/>
  <c r="B920" i="4" l="1"/>
  <c r="V920" i="4" s="1"/>
  <c r="B921" i="4" l="1"/>
  <c r="V921" i="4" s="1"/>
  <c r="B922" i="4" l="1"/>
  <c r="V922" i="4" s="1"/>
  <c r="B923" i="4" l="1"/>
  <c r="V923" i="4" s="1"/>
  <c r="B924" i="4" l="1"/>
  <c r="V924" i="4" s="1"/>
  <c r="B925" i="4" l="1"/>
  <c r="V925" i="4" s="1"/>
  <c r="B926" i="4" l="1"/>
  <c r="V926" i="4" s="1"/>
  <c r="B927" i="4" l="1"/>
  <c r="V927" i="4" s="1"/>
  <c r="B928" i="4" l="1"/>
  <c r="V928" i="4" s="1"/>
  <c r="B929" i="4" l="1"/>
  <c r="V929" i="4" s="1"/>
  <c r="B930" i="4" l="1"/>
  <c r="V930" i="4" s="1"/>
  <c r="B931" i="4" l="1"/>
  <c r="V931" i="4" s="1"/>
  <c r="B932" i="4" l="1"/>
  <c r="V932" i="4" s="1"/>
  <c r="B933" i="4" l="1"/>
  <c r="V933" i="4" s="1"/>
  <c r="B934" i="4" l="1"/>
  <c r="V934" i="4" s="1"/>
  <c r="B935" i="4" l="1"/>
  <c r="V935" i="4" s="1"/>
  <c r="B936" i="4" l="1"/>
  <c r="V936" i="4" s="1"/>
  <c r="B937" i="4" l="1"/>
  <c r="V937" i="4" s="1"/>
  <c r="B938" i="4" l="1"/>
  <c r="V938" i="4" s="1"/>
  <c r="B939" i="4" l="1"/>
  <c r="V939" i="4" s="1"/>
  <c r="B940" i="4" l="1"/>
  <c r="V940" i="4" s="1"/>
  <c r="B941" i="4" l="1"/>
  <c r="V941" i="4" s="1"/>
  <c r="B942" i="4" l="1"/>
  <c r="V942" i="4" s="1"/>
  <c r="B943" i="4" l="1"/>
  <c r="V943" i="4" s="1"/>
  <c r="B944" i="4" l="1"/>
  <c r="V944" i="4" s="1"/>
  <c r="B945" i="4" l="1"/>
  <c r="V945" i="4" s="1"/>
  <c r="B946" i="4" l="1"/>
  <c r="V946" i="4" s="1"/>
  <c r="B947" i="4" l="1"/>
  <c r="V947" i="4" s="1"/>
  <c r="B948" i="4" l="1"/>
  <c r="V948" i="4" s="1"/>
  <c r="B949" i="4" l="1"/>
  <c r="V949" i="4" s="1"/>
  <c r="B950" i="4" l="1"/>
  <c r="V950" i="4" s="1"/>
  <c r="B951" i="4" l="1"/>
  <c r="V951" i="4" s="1"/>
  <c r="B952" i="4" l="1"/>
  <c r="V952" i="4" s="1"/>
  <c r="B953" i="4" l="1"/>
  <c r="V953" i="4" s="1"/>
  <c r="B954" i="4" l="1"/>
  <c r="V954" i="4" s="1"/>
  <c r="B955" i="4" l="1"/>
  <c r="V955" i="4" s="1"/>
  <c r="B956" i="4" l="1"/>
  <c r="V956" i="4" s="1"/>
  <c r="B957" i="4" l="1"/>
  <c r="V957" i="4" s="1"/>
  <c r="B958" i="4" l="1"/>
  <c r="V958" i="4" s="1"/>
  <c r="B959" i="4" l="1"/>
  <c r="V959" i="4" s="1"/>
  <c r="B960" i="4" l="1"/>
  <c r="V960" i="4" s="1"/>
  <c r="B961" i="4" l="1"/>
  <c r="V961" i="4" s="1"/>
  <c r="B962" i="4" l="1"/>
  <c r="V962" i="4" s="1"/>
  <c r="B963" i="4" l="1"/>
  <c r="V963" i="4" s="1"/>
  <c r="B964" i="4" l="1"/>
  <c r="V964" i="4" s="1"/>
  <c r="B965" i="4" l="1"/>
  <c r="V965" i="4" s="1"/>
  <c r="B966" i="4" l="1"/>
  <c r="V966" i="4" s="1"/>
  <c r="B967" i="4" l="1"/>
  <c r="V967" i="4" s="1"/>
  <c r="B968" i="4" l="1"/>
  <c r="V968" i="4" s="1"/>
  <c r="B969" i="4" l="1"/>
  <c r="V969" i="4" s="1"/>
  <c r="B970" i="4" l="1"/>
  <c r="V970" i="4" s="1"/>
  <c r="B971" i="4" l="1"/>
  <c r="V971" i="4" s="1"/>
  <c r="B972" i="4" l="1"/>
  <c r="V972" i="4" s="1"/>
  <c r="B973" i="4" l="1"/>
  <c r="V973" i="4" s="1"/>
  <c r="B974" i="4" l="1"/>
  <c r="V974" i="4" s="1"/>
  <c r="B975" i="4" l="1"/>
  <c r="V975" i="4" s="1"/>
  <c r="B976" i="4" l="1"/>
  <c r="V976" i="4" s="1"/>
  <c r="B977" i="4" l="1"/>
  <c r="V977" i="4" s="1"/>
  <c r="B978" i="4" l="1"/>
  <c r="V978" i="4" s="1"/>
  <c r="B979" i="4" l="1"/>
  <c r="V979" i="4" s="1"/>
  <c r="B980" i="4" l="1"/>
  <c r="V980" i="4" s="1"/>
  <c r="B981" i="4" l="1"/>
  <c r="V981" i="4" s="1"/>
  <c r="B982" i="4" l="1"/>
  <c r="V982" i="4" s="1"/>
  <c r="B983" i="4" l="1"/>
  <c r="V983" i="4" s="1"/>
  <c r="B984" i="4" l="1"/>
  <c r="V984" i="4" s="1"/>
  <c r="B985" i="4" l="1"/>
  <c r="V985" i="4" s="1"/>
  <c r="B986" i="4"/>
  <c r="V986" i="4" s="1"/>
  <c r="B987" i="4" l="1"/>
  <c r="V987" i="4" s="1"/>
  <c r="B988" i="4" l="1"/>
  <c r="V988" i="4" s="1"/>
  <c r="B989" i="4" l="1"/>
  <c r="V989" i="4" s="1"/>
  <c r="B990" i="4" l="1"/>
  <c r="V990" i="4" s="1"/>
  <c r="B991" i="4" l="1"/>
  <c r="V991" i="4" s="1"/>
  <c r="B992" i="4" l="1"/>
  <c r="V992" i="4" s="1"/>
  <c r="B993" i="4" l="1"/>
  <c r="V993" i="4" s="1"/>
  <c r="B994" i="4" l="1"/>
  <c r="V994" i="4" s="1"/>
  <c r="B995" i="4" l="1"/>
  <c r="V995" i="4" s="1"/>
  <c r="B996" i="4" l="1"/>
  <c r="V996" i="4" s="1"/>
  <c r="B997" i="4" l="1"/>
  <c r="V997" i="4" s="1"/>
  <c r="B998" i="4" l="1"/>
  <c r="V998" i="4" s="1"/>
  <c r="B999" i="4" l="1"/>
  <c r="V999" i="4" s="1"/>
  <c r="B1000" i="4" l="1"/>
  <c r="V1000" i="4" s="1"/>
  <c r="B1001" i="4" l="1"/>
  <c r="V1001" i="4" s="1"/>
  <c r="B1002" i="4" l="1"/>
  <c r="V1002" i="4" s="1"/>
  <c r="B1003" i="4" l="1"/>
  <c r="V1003" i="4" s="1"/>
  <c r="B1004" i="4" l="1"/>
  <c r="V1004" i="4" s="1"/>
  <c r="B1005" i="4" l="1"/>
  <c r="V1005" i="4" s="1"/>
  <c r="B1006" i="4" l="1"/>
  <c r="V1006" i="4" s="1"/>
  <c r="B1007" i="4" l="1"/>
  <c r="V1007" i="4" s="1"/>
  <c r="B1008" i="4" l="1"/>
  <c r="V1008" i="4" s="1"/>
  <c r="B1009" i="4" l="1"/>
  <c r="V1009" i="4" s="1"/>
  <c r="B1010" i="4" l="1"/>
  <c r="V1010" i="4" s="1"/>
  <c r="B1011" i="4" l="1"/>
  <c r="V1011" i="4" s="1"/>
  <c r="B1012" i="4" l="1"/>
  <c r="V1012" i="4" s="1"/>
  <c r="B1013" i="4" l="1"/>
  <c r="V1013" i="4" s="1"/>
  <c r="B1014" i="4" l="1"/>
  <c r="V1014" i="4" s="1"/>
  <c r="B1015" i="4" l="1"/>
  <c r="V1015" i="4" s="1"/>
  <c r="B1016" i="4" l="1"/>
  <c r="V1016" i="4" s="1"/>
  <c r="B1017" i="4" l="1"/>
  <c r="V1017" i="4" s="1"/>
  <c r="B1018" i="4" l="1"/>
  <c r="V1018" i="4" s="1"/>
  <c r="B1019" i="4" l="1"/>
  <c r="V1019" i="4" s="1"/>
  <c r="B1020" i="4" l="1"/>
  <c r="V1020" i="4" s="1"/>
  <c r="B1021" i="4" l="1"/>
  <c r="V1021" i="4" s="1"/>
  <c r="B1022" i="4" l="1"/>
  <c r="V1022" i="4" s="1"/>
  <c r="B1023" i="4" l="1"/>
  <c r="V1023" i="4" s="1"/>
  <c r="B1024" i="4" l="1"/>
  <c r="V1024" i="4" s="1"/>
  <c r="B1025" i="4" l="1"/>
  <c r="V1025" i="4" s="1"/>
  <c r="B1026" i="4" l="1"/>
  <c r="V1026" i="4" s="1"/>
  <c r="B1027" i="4" l="1"/>
  <c r="V1027" i="4" s="1"/>
  <c r="B1028" i="4" l="1"/>
  <c r="V1028" i="4" s="1"/>
  <c r="B1029" i="4" l="1"/>
  <c r="V1029" i="4" s="1"/>
  <c r="B1030" i="4" l="1"/>
  <c r="V1030" i="4" s="1"/>
  <c r="B1031" i="4" l="1"/>
  <c r="V1031" i="4" s="1"/>
  <c r="B1032" i="4" l="1"/>
  <c r="V1032" i="4" s="1"/>
  <c r="B1033" i="4" l="1"/>
  <c r="V1033" i="4" s="1"/>
  <c r="B1034" i="4"/>
  <c r="V1034" i="4" s="1"/>
  <c r="B1035" i="4" l="1"/>
  <c r="V1035" i="4" s="1"/>
  <c r="B1036" i="4" l="1"/>
  <c r="V1036" i="4" s="1"/>
  <c r="B1037" i="4" l="1"/>
  <c r="V1037" i="4" s="1"/>
  <c r="B1038" i="4" l="1"/>
  <c r="V1038" i="4" s="1"/>
  <c r="B1039" i="4" l="1"/>
  <c r="V1039" i="4" s="1"/>
  <c r="B1040" i="4" l="1"/>
  <c r="V1040" i="4" s="1"/>
  <c r="B1041" i="4" l="1"/>
  <c r="V1041" i="4" s="1"/>
  <c r="B1042" i="4" l="1"/>
  <c r="V1042" i="4" s="1"/>
  <c r="B1043" i="4" l="1"/>
  <c r="V1043" i="4" s="1"/>
  <c r="B1044" i="4" l="1"/>
  <c r="V1044" i="4" s="1"/>
  <c r="B1045" i="4" l="1"/>
  <c r="V1045" i="4" s="1"/>
  <c r="B1046" i="4" l="1"/>
  <c r="V1046" i="4" s="1"/>
  <c r="B1047" i="4" l="1"/>
  <c r="V1047" i="4" s="1"/>
  <c r="B1048" i="4" l="1"/>
  <c r="V1048" i="4" s="1"/>
  <c r="B1049" i="4" l="1"/>
  <c r="V1049" i="4" s="1"/>
  <c r="B1050" i="4" l="1"/>
  <c r="V1050" i="4" s="1"/>
  <c r="B1051" i="4" l="1"/>
  <c r="V1051" i="4" s="1"/>
  <c r="B1052" i="4" l="1"/>
  <c r="V1052" i="4" s="1"/>
  <c r="B1053" i="4" l="1"/>
  <c r="V1053" i="4" s="1"/>
  <c r="B1054" i="4" l="1"/>
  <c r="V1054" i="4" s="1"/>
  <c r="B1055" i="4" l="1"/>
  <c r="V1055" i="4" s="1"/>
  <c r="B1056" i="4" l="1"/>
  <c r="V1056" i="4" s="1"/>
  <c r="B1057" i="4" l="1"/>
  <c r="V1057" i="4" s="1"/>
  <c r="B1058" i="4" l="1"/>
  <c r="V1058" i="4" s="1"/>
  <c r="B1059" i="4" l="1"/>
  <c r="V1059" i="4" s="1"/>
  <c r="B1060" i="4" l="1"/>
  <c r="V1060" i="4" s="1"/>
  <c r="B1061" i="4" l="1"/>
  <c r="V1061" i="4" s="1"/>
  <c r="B1062" i="4" l="1"/>
  <c r="V1062" i="4" s="1"/>
  <c r="B1063" i="4" l="1"/>
  <c r="V1063" i="4" s="1"/>
  <c r="B1064" i="4" l="1"/>
  <c r="V1064" i="4" s="1"/>
  <c r="B1065" i="4" l="1"/>
  <c r="V1065" i="4" s="1"/>
  <c r="B1066" i="4" l="1"/>
  <c r="V1066" i="4" s="1"/>
  <c r="B1067" i="4" l="1"/>
  <c r="V1067" i="4" s="1"/>
  <c r="B1068" i="4" l="1"/>
  <c r="V1068" i="4" s="1"/>
  <c r="B1069" i="4" l="1"/>
  <c r="V1069" i="4" s="1"/>
  <c r="B1070" i="4" l="1"/>
  <c r="V1070" i="4" s="1"/>
  <c r="B1071" i="4" l="1"/>
  <c r="V1071" i="4" s="1"/>
  <c r="B1072" i="4" l="1"/>
  <c r="V1072" i="4" s="1"/>
  <c r="B1073" i="4" l="1"/>
  <c r="V1073" i="4" s="1"/>
  <c r="B1074" i="4" l="1"/>
  <c r="V1074" i="4" s="1"/>
  <c r="B1075" i="4" l="1"/>
  <c r="V1075" i="4" s="1"/>
  <c r="B1076" i="4" l="1"/>
  <c r="V1076" i="4" s="1"/>
  <c r="B1077" i="4" l="1"/>
  <c r="V1077" i="4" s="1"/>
  <c r="B1078" i="4" l="1"/>
  <c r="V1078" i="4" s="1"/>
  <c r="B1079" i="4" l="1"/>
  <c r="V1079" i="4" s="1"/>
  <c r="B1080" i="4" l="1"/>
  <c r="V1080" i="4" s="1"/>
  <c r="B1081" i="4" l="1"/>
  <c r="V1081" i="4" s="1"/>
  <c r="B1082" i="4" l="1"/>
  <c r="V1082" i="4" s="1"/>
  <c r="B1083" i="4" l="1"/>
  <c r="V1083" i="4" s="1"/>
  <c r="B1084" i="4" l="1"/>
  <c r="V1084" i="4" s="1"/>
  <c r="B1085" i="4" l="1"/>
  <c r="V1085" i="4" s="1"/>
  <c r="B1086" i="4" l="1"/>
  <c r="V1086" i="4" s="1"/>
  <c r="B1087" i="4" l="1"/>
  <c r="V1087" i="4" s="1"/>
  <c r="B1088" i="4" l="1"/>
  <c r="V1088" i="4" s="1"/>
  <c r="B1089" i="4" l="1"/>
  <c r="V1089" i="4" s="1"/>
  <c r="B1090" i="4"/>
  <c r="V1090" i="4" s="1"/>
  <c r="B1091" i="4" l="1"/>
  <c r="V1091" i="4" s="1"/>
  <c r="B1092" i="4" l="1"/>
  <c r="V1092" i="4" s="1"/>
  <c r="B1093" i="4" l="1"/>
  <c r="V1093" i="4" s="1"/>
  <c r="B1094" i="4" l="1"/>
  <c r="V1094" i="4" s="1"/>
  <c r="B1095" i="4" l="1"/>
  <c r="V1095" i="4" s="1"/>
  <c r="B1096" i="4" l="1"/>
  <c r="V1096" i="4" s="1"/>
  <c r="B1097" i="4" l="1"/>
  <c r="V1097" i="4" s="1"/>
  <c r="B1098" i="4" l="1"/>
  <c r="V1098" i="4" s="1"/>
  <c r="B1099" i="4" l="1"/>
  <c r="V1099" i="4" s="1"/>
  <c r="B1100" i="4" l="1"/>
  <c r="V1100" i="4" s="1"/>
  <c r="B1101" i="4" l="1"/>
  <c r="V1101" i="4" s="1"/>
  <c r="B1102" i="4" l="1"/>
  <c r="V1102" i="4" s="1"/>
  <c r="B1103" i="4" l="1"/>
  <c r="V1103" i="4" s="1"/>
  <c r="B1104" i="4" l="1"/>
  <c r="V1104" i="4" s="1"/>
  <c r="B1105" i="4" l="1"/>
  <c r="V1105" i="4" s="1"/>
  <c r="B1106" i="4" l="1"/>
  <c r="V1106" i="4" s="1"/>
  <c r="B1107" i="4" l="1"/>
  <c r="V1107" i="4" s="1"/>
  <c r="B1108" i="4" l="1"/>
  <c r="V1108" i="4" s="1"/>
  <c r="B1109" i="4" l="1"/>
  <c r="V1109" i="4" s="1"/>
  <c r="B1110" i="4" l="1"/>
  <c r="V1110" i="4" s="1"/>
  <c r="B1111" i="4" l="1"/>
  <c r="V1111" i="4" s="1"/>
  <c r="B1112" i="4" l="1"/>
  <c r="V1112" i="4" s="1"/>
  <c r="B1113" i="4" l="1"/>
  <c r="V1113" i="4" s="1"/>
  <c r="B1114" i="4" l="1"/>
  <c r="V1114" i="4" s="1"/>
  <c r="B1115" i="4" l="1"/>
  <c r="V1115" i="4" s="1"/>
  <c r="B1116" i="4" l="1"/>
  <c r="V1116" i="4" s="1"/>
  <c r="B1117" i="4" l="1"/>
  <c r="V1117" i="4" s="1"/>
  <c r="B1118" i="4" l="1"/>
  <c r="V1118" i="4" s="1"/>
  <c r="B1119" i="4" l="1"/>
  <c r="V1119" i="4" s="1"/>
  <c r="B1120" i="4" l="1"/>
  <c r="V1120" i="4" s="1"/>
  <c r="B1121" i="4" l="1"/>
  <c r="V1121" i="4" s="1"/>
  <c r="B1122" i="4" l="1"/>
  <c r="V1122" i="4" s="1"/>
  <c r="B1123" i="4" l="1"/>
  <c r="V1123" i="4" s="1"/>
  <c r="B1124" i="4" l="1"/>
  <c r="V1124" i="4" s="1"/>
  <c r="B1125" i="4" l="1"/>
  <c r="V1125" i="4" s="1"/>
  <c r="B1126" i="4" l="1"/>
  <c r="V1126" i="4" s="1"/>
  <c r="B1127" i="4" l="1"/>
  <c r="V1127" i="4" s="1"/>
  <c r="B1128" i="4" l="1"/>
  <c r="V1128" i="4" s="1"/>
  <c r="B1129" i="4" l="1"/>
  <c r="V1129" i="4" s="1"/>
  <c r="B1130" i="4" l="1"/>
  <c r="V1130" i="4" s="1"/>
  <c r="B1131" i="4" l="1"/>
  <c r="V1131" i="4" s="1"/>
  <c r="B1132" i="4" l="1"/>
  <c r="V1132" i="4" s="1"/>
  <c r="B1133" i="4" l="1"/>
  <c r="V1133" i="4" s="1"/>
  <c r="B1134" i="4" l="1"/>
  <c r="V1134" i="4" s="1"/>
  <c r="B1135" i="4" l="1"/>
  <c r="V1135" i="4" s="1"/>
  <c r="B1136" i="4" l="1"/>
  <c r="V1136" i="4" s="1"/>
  <c r="B1137" i="4" l="1"/>
  <c r="V1137" i="4" s="1"/>
  <c r="B1138" i="4" l="1"/>
  <c r="V1138" i="4" s="1"/>
  <c r="B1139" i="4" l="1"/>
  <c r="V1139" i="4" s="1"/>
  <c r="B1140" i="4" l="1"/>
  <c r="V1140" i="4" s="1"/>
  <c r="B1141" i="4" l="1"/>
  <c r="V1141" i="4" s="1"/>
  <c r="B1142" i="4" l="1"/>
  <c r="V1142" i="4" s="1"/>
  <c r="B1143" i="4" l="1"/>
  <c r="V1143" i="4" s="1"/>
  <c r="B1144" i="4" l="1"/>
  <c r="V1144" i="4" s="1"/>
  <c r="B1145" i="4"/>
  <c r="V1145" i="4" s="1"/>
  <c r="B1146" i="4" l="1"/>
  <c r="V1146" i="4" s="1"/>
  <c r="B1147" i="4" l="1"/>
  <c r="V1147" i="4" s="1"/>
  <c r="B1148" i="4" l="1"/>
  <c r="V1148" i="4" s="1"/>
  <c r="B1149" i="4" l="1"/>
  <c r="V1149" i="4" s="1"/>
  <c r="B1150" i="4" l="1"/>
  <c r="V1150" i="4" s="1"/>
  <c r="B1151" i="4" l="1"/>
  <c r="V1151" i="4" s="1"/>
</calcChain>
</file>

<file path=xl/sharedStrings.xml><?xml version="1.0" encoding="utf-8"?>
<sst xmlns="http://schemas.openxmlformats.org/spreadsheetml/2006/main" count="55249" uniqueCount="8363">
  <si>
    <t>id</t>
  </si>
  <si>
    <t>coleccion</t>
  </si>
  <si>
    <t>sector</t>
  </si>
  <si>
    <t>tema</t>
  </si>
  <si>
    <t>contenido</t>
  </si>
  <si>
    <t>escala</t>
  </si>
  <si>
    <t>territorio</t>
  </si>
  <si>
    <t>temporalidad</t>
  </si>
  <si>
    <t>unidad_medida</t>
  </si>
  <si>
    <t>fuente</t>
  </si>
  <si>
    <t>titulo</t>
  </si>
  <si>
    <t>descripcion_larga</t>
  </si>
  <si>
    <t>visualizacion</t>
  </si>
  <si>
    <t>tag</t>
  </si>
  <si>
    <t>Educación</t>
  </si>
  <si>
    <t>Chile</t>
  </si>
  <si>
    <t>Región</t>
  </si>
  <si>
    <t>Antofagasta</t>
  </si>
  <si>
    <t>Comuna</t>
  </si>
  <si>
    <t>Recoleta</t>
  </si>
  <si>
    <t>País</t>
  </si>
  <si>
    <t>url</t>
  </si>
  <si>
    <t>Ovalle</t>
  </si>
  <si>
    <t>O'Higgins</t>
  </si>
  <si>
    <t>Filtro Integrado</t>
  </si>
  <si>
    <t>Muestra</t>
  </si>
  <si>
    <t>Coquimbo</t>
  </si>
  <si>
    <t>Valparaíso</t>
  </si>
  <si>
    <t>Maule</t>
  </si>
  <si>
    <t>Los Lagos</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</si>
  <si>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</si>
  <si>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</si>
  <si>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</si>
  <si>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</si>
  <si>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</si>
  <si>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</si>
  <si>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</si>
  <si>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</si>
  <si>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</si>
  <si>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</si>
  <si>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</si>
  <si>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</si>
  <si>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</si>
  <si>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</si>
  <si>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</si>
  <si>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</si>
  <si>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</si>
  <si>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</si>
  <si>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</si>
  <si>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</si>
  <si>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</si>
  <si>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</si>
  <si>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</si>
  <si>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</si>
  <si>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</si>
  <si>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</si>
  <si>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</si>
  <si>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</si>
  <si>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</si>
  <si>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</si>
  <si>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</si>
  <si>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</si>
  <si>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</si>
  <si>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</si>
  <si>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</si>
  <si>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</si>
  <si>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</si>
  <si>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</si>
  <si>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</si>
  <si>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</si>
  <si>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</si>
  <si>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</si>
  <si>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</si>
  <si>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</si>
  <si>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</si>
  <si>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</si>
  <si>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</si>
  <si>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</si>
  <si>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</si>
  <si>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</si>
  <si>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</si>
  <si>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</si>
  <si>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</si>
  <si>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</si>
  <si>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</si>
  <si>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</si>
  <si>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</si>
  <si>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</si>
  <si>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</si>
  <si>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</si>
  <si>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</si>
  <si>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</si>
  <si>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</si>
  <si>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</si>
  <si>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</si>
  <si>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</si>
  <si>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</si>
  <si>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</si>
  <si>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</si>
  <si>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</si>
  <si>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</si>
  <si>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</si>
  <si>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</si>
  <si>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</si>
  <si>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</si>
  <si>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</si>
  <si>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</si>
  <si>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</si>
  <si>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</si>
  <si>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</si>
  <si>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</si>
  <si>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</si>
  <si>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</si>
  <si>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</si>
  <si>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</si>
  <si>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</si>
  <si>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</si>
  <si>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</si>
  <si>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</si>
  <si>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</si>
  <si>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</si>
  <si>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</si>
  <si>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</si>
  <si>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</si>
  <si>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</si>
  <si>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</si>
  <si>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</si>
  <si>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</si>
  <si>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</si>
  <si>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</si>
  <si>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</si>
  <si>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</si>
  <si>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</si>
  <si>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</si>
  <si>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</si>
  <si>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</si>
  <si>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</si>
  <si>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</si>
  <si>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</si>
  <si>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</si>
  <si>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</si>
  <si>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</si>
  <si>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</si>
  <si>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</si>
  <si>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</si>
  <si>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</si>
  <si>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</si>
  <si>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</si>
  <si>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</si>
  <si>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</si>
  <si>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</si>
  <si>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</si>
  <si>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</si>
  <si>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</si>
  <si>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</si>
  <si>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</si>
  <si>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</si>
  <si>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</si>
  <si>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</si>
  <si>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</si>
  <si>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</si>
  <si>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</si>
  <si>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</si>
  <si>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</si>
  <si>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</si>
  <si>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</si>
  <si>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</si>
  <si>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</si>
  <si>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</si>
  <si>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</si>
  <si>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</si>
  <si>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</si>
  <si>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</si>
  <si>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</si>
  <si>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</si>
  <si>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</si>
  <si>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</si>
  <si>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</si>
  <si>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</si>
  <si>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</si>
  <si>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</si>
  <si>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</si>
  <si>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</si>
  <si>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</si>
  <si>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</si>
  <si>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</si>
  <si>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</si>
  <si>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</si>
  <si>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</si>
  <si>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</si>
  <si>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</si>
  <si>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</si>
  <si>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</si>
  <si>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</si>
  <si>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</si>
  <si>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</si>
  <si>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</si>
  <si>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</si>
  <si>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</si>
  <si>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</si>
  <si>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</si>
  <si>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</si>
  <si>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</si>
  <si>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</si>
  <si>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</si>
  <si>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</si>
  <si>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</si>
  <si>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</si>
  <si>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</si>
  <si>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</si>
  <si>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</si>
  <si>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</si>
  <si>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</si>
  <si>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</si>
  <si>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</si>
  <si>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</si>
  <si>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</si>
  <si>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</si>
  <si>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</si>
  <si>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</si>
  <si>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</si>
  <si>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</si>
  <si>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</si>
  <si>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</si>
  <si>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</si>
  <si>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</si>
  <si>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</si>
  <si>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</si>
  <si>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</si>
  <si>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</si>
  <si>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</si>
  <si>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</si>
  <si>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</si>
  <si>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</si>
  <si>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</si>
  <si>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</si>
  <si>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</si>
  <si>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</si>
  <si>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</si>
  <si>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</si>
  <si>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</si>
  <si>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</si>
  <si>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</si>
  <si>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</si>
  <si>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</si>
  <si>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</si>
  <si>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</si>
  <si>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</si>
  <si>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</si>
  <si>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</si>
  <si>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</si>
  <si>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</si>
  <si>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</si>
  <si>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</si>
  <si>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</si>
  <si>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</si>
  <si>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</si>
  <si>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</si>
  <si>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</si>
  <si>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</si>
  <si>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</si>
  <si>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</si>
  <si>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</si>
  <si>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</si>
  <si>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</si>
  <si>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</si>
  <si>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</si>
  <si>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</si>
  <si>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</si>
  <si>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</si>
  <si>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</si>
  <si>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</si>
  <si>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</si>
  <si>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</si>
  <si>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</si>
  <si>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</si>
  <si>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</si>
  <si>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</si>
  <si>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</si>
  <si>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</si>
  <si>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</si>
  <si>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</si>
  <si>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</si>
  <si>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</si>
  <si>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</si>
  <si>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</si>
  <si>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</si>
  <si>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</si>
  <si>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</si>
  <si>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</si>
  <si>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</si>
  <si>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</si>
  <si>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</si>
  <si>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</si>
  <si>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</si>
  <si>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</si>
  <si>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</si>
  <si>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</si>
  <si>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</si>
  <si>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</si>
  <si>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</si>
  <si>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</si>
  <si>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</si>
  <si>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</si>
  <si>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</si>
  <si>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</si>
  <si>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</si>
  <si>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</si>
  <si>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</si>
  <si>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</si>
  <si>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</si>
  <si>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</si>
  <si>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</si>
  <si>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</si>
  <si>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</si>
  <si>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</si>
  <si>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</si>
  <si>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</si>
  <si>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</si>
  <si>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</si>
  <si>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</si>
  <si>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</si>
  <si>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</si>
  <si>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</si>
  <si>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</si>
  <si>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</si>
  <si>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</si>
  <si>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</si>
  <si>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</si>
  <si>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</si>
  <si>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</si>
  <si>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</si>
  <si>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</si>
  <si>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</si>
  <si>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</si>
  <si>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</si>
  <si>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</si>
  <si>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</si>
  <si>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</si>
  <si>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</si>
  <si>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</si>
  <si>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</si>
  <si>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</si>
  <si>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</si>
  <si>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</si>
  <si>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</si>
  <si>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</si>
  <si>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</si>
  <si>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</si>
  <si>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</si>
  <si>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</si>
  <si>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</si>
  <si>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</si>
  <si>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</si>
  <si>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</si>
  <si>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</si>
  <si>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</si>
  <si>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</si>
  <si>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</si>
  <si>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</si>
  <si>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</si>
  <si>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</si>
  <si>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</si>
  <si>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</si>
  <si>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</si>
  <si>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</si>
  <si>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</si>
  <si>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Filtro URL</t>
  </si>
  <si>
    <t>Región de Tarapacá</t>
  </si>
  <si>
    <t>Región de Antofagasta</t>
  </si>
  <si>
    <t>Región de Atacama</t>
  </si>
  <si>
    <t>Región de Coquimbo</t>
  </si>
  <si>
    <t>Región de Valparaíso</t>
  </si>
  <si>
    <t>Región de O'Higgins</t>
  </si>
  <si>
    <t>Región de Maule</t>
  </si>
  <si>
    <t>Región del Biobío</t>
  </si>
  <si>
    <t>Región de La Araucanía</t>
  </si>
  <si>
    <t>Región de Los Lagos</t>
  </si>
  <si>
    <t>Región de Aysén</t>
  </si>
  <si>
    <t>Región de Magallanes</t>
  </si>
  <si>
    <t>Región Metropolitana</t>
  </si>
  <si>
    <t>Región de Los Ríos</t>
  </si>
  <si>
    <t>Región de Arica y Parinacota</t>
  </si>
  <si>
    <t>Región de Ñuble</t>
  </si>
  <si>
    <t>Suscripcion</t>
  </si>
  <si>
    <t>idcoleccion</t>
  </si>
  <si>
    <t>Color</t>
  </si>
  <si>
    <t>(en blanco)</t>
  </si>
  <si>
    <t>id_tema</t>
  </si>
  <si>
    <t>id_contenido</t>
  </si>
  <si>
    <t>idescala</t>
  </si>
  <si>
    <t>id_muestra</t>
  </si>
  <si>
    <t>idfiltro</t>
  </si>
  <si>
    <t>0001</t>
  </si>
  <si>
    <t>0002</t>
  </si>
  <si>
    <t>id_grafico</t>
  </si>
  <si>
    <t>idterritorio</t>
  </si>
  <si>
    <t>id_territorio</t>
  </si>
  <si>
    <t>cod</t>
  </si>
  <si>
    <t>#1774B9</t>
  </si>
  <si>
    <t>Agencia de Información</t>
  </si>
  <si>
    <t>Agencia Información</t>
  </si>
  <si>
    <t>Periodo 2006-2017</t>
  </si>
  <si>
    <t>Encuestas CASEN</t>
  </si>
  <si>
    <t>Ninguno</t>
  </si>
  <si>
    <t>Socioeconómico</t>
  </si>
  <si>
    <t>La región de Antofagasta es la que posee el ingreso medios mensual en el año 2017 entre las 16 regiones del país, con una cifra de algo más de 380 mil CLP/mes. En relación a la estimación anterior, del año 2015, el ingreso aumenta en un 7,3%.</t>
  </si>
  <si>
    <t>0003</t>
  </si>
  <si>
    <t>0004</t>
  </si>
  <si>
    <t>0005</t>
  </si>
  <si>
    <t>0006</t>
  </si>
  <si>
    <t>0007</t>
  </si>
  <si>
    <t>0008</t>
  </si>
  <si>
    <t>0009</t>
  </si>
  <si>
    <t>0010</t>
  </si>
  <si>
    <t>0011</t>
  </si>
  <si>
    <t>0012</t>
  </si>
  <si>
    <t>0013</t>
  </si>
  <si>
    <t>0014</t>
  </si>
  <si>
    <t>0015</t>
  </si>
  <si>
    <t>0016</t>
  </si>
  <si>
    <t>0017</t>
  </si>
  <si>
    <t>0019</t>
  </si>
  <si>
    <t>PENDIENTE</t>
  </si>
  <si>
    <t>Indicadores de Calidad de Educación Municipal</t>
  </si>
  <si>
    <t>Periodo 2001-2020</t>
  </si>
  <si>
    <t>Porcentaje (%)</t>
  </si>
  <si>
    <t>Proporción de Alumnos de 4to Medio con más de 450 puntos en la PSU según dependencia de colegios</t>
  </si>
  <si>
    <t>0020</t>
  </si>
  <si>
    <t>0021</t>
  </si>
  <si>
    <t>0022</t>
  </si>
  <si>
    <t>Sistema Nacional de Información Municipal</t>
  </si>
  <si>
    <t>Más allá de la gestión alcaldicia, durante los últimos 20 años la proporción de alumnos con más de 450 puntos en la PSU se mantiene estable para colegios municipales en relación a los Subvencionados y Particulares Pagados.</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</si>
  <si>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</si>
  <si>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</si>
  <si>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</si>
  <si>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</si>
  <si>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</si>
  <si>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</si>
  <si>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</si>
  <si>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</si>
  <si>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</si>
  <si>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</si>
  <si>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</si>
  <si>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</si>
  <si>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</si>
  <si>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</si>
  <si>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</si>
  <si>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</si>
  <si>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</si>
  <si>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</si>
  <si>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</si>
  <si>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</si>
  <si>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</si>
  <si>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</si>
  <si>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</si>
  <si>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</si>
  <si>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</si>
  <si>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</si>
  <si>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Centro de Estudios y Análisis del Delito (CEAD) de la Subsecretaría de Prevención del Delito</t>
  </si>
  <si>
    <t>Año 2020</t>
  </si>
  <si>
    <t>Número de Denuncias</t>
  </si>
  <si>
    <t>Mujeres</t>
  </si>
  <si>
    <t>Violaciones</t>
  </si>
  <si>
    <t>Las comunas más pobladas de la región Metropolitana son las que presentan mayores frecuencias de denuncias por violación el año 2020. Puente Alto, La Florida, San Bernardo, Maipú y Santiago muestran las mayores cifras de denuncias.</t>
  </si>
  <si>
    <t>0049</t>
  </si>
  <si>
    <t>0050</t>
  </si>
  <si>
    <t>0051</t>
  </si>
  <si>
    <t>0052</t>
  </si>
  <si>
    <t>0053</t>
  </si>
  <si>
    <t>0070</t>
  </si>
  <si>
    <t>0071</t>
  </si>
  <si>
    <t>POR DEFINIR</t>
  </si>
  <si>
    <t>La población de la etnia Mapuche se distribuye en las 16 regiones del país en distintas proporciones. Las regiones donde las personas de este grupo étnico logran mayores ingresos mensuales, en promedio, son la de Arica y Parinacota y Magallanes.</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</si>
  <si>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</si>
  <si>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</si>
  <si>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</si>
  <si>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</si>
  <si>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</si>
  <si>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</si>
  <si>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</si>
  <si>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</si>
  <si>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</si>
  <si>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</si>
  <si>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</si>
  <si>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</si>
  <si>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</si>
  <si>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</si>
  <si>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</si>
  <si>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</si>
  <si>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</si>
  <si>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</si>
  <si>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</si>
  <si>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</si>
  <si>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</si>
  <si>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</si>
  <si>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</si>
  <si>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</si>
  <si>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</si>
  <si>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</si>
  <si>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</si>
  <si>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</si>
  <si>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</si>
  <si>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</si>
  <si>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</si>
  <si>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</si>
  <si>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Periodo 2019-2020</t>
  </si>
  <si>
    <t>Ranking de Comunas: Número de Alumnos por Docente en Aula del año 2019 y 2020 y su variación porcentual para los Colegios Municipales</t>
  </si>
  <si>
    <t>Gobiernos locales</t>
  </si>
  <si>
    <t>https://analytics.zoho.com/open-view/2395394000007756457</t>
  </si>
  <si>
    <t>Ranking</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</si>
  <si>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</si>
  <si>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</si>
  <si>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</si>
  <si>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</si>
  <si>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</si>
  <si>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</si>
  <si>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</si>
  <si>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</si>
  <si>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</si>
  <si>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</si>
  <si>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</si>
  <si>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</si>
  <si>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</si>
  <si>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</si>
  <si>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</si>
  <si>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</si>
  <si>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</si>
  <si>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</si>
  <si>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</si>
  <si>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</si>
  <si>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</si>
  <si>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</si>
  <si>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</si>
  <si>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0130</t>
  </si>
  <si>
    <t>0131</t>
  </si>
  <si>
    <t>0133</t>
  </si>
  <si>
    <t>0134</t>
  </si>
  <si>
    <t>0135</t>
  </si>
  <si>
    <t>0136</t>
  </si>
  <si>
    <t>0139</t>
  </si>
  <si>
    <t>0141</t>
  </si>
  <si>
    <t>0142</t>
  </si>
  <si>
    <t>0143</t>
  </si>
  <si>
    <t>0147</t>
  </si>
  <si>
    <t>0148</t>
  </si>
  <si>
    <t>0150</t>
  </si>
  <si>
    <t>0151</t>
  </si>
  <si>
    <t>0152</t>
  </si>
  <si>
    <t>0153</t>
  </si>
  <si>
    <t>0156</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</si>
  <si>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</si>
  <si>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</si>
  <si>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</si>
  <si>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</si>
  <si>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</si>
  <si>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</si>
  <si>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</si>
  <si>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</si>
  <si>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</si>
  <si>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</si>
  <si>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</si>
  <si>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</si>
  <si>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</si>
  <si>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</si>
  <si>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</si>
  <si>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</si>
  <si>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</si>
  <si>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</si>
  <si>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</si>
  <si>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</si>
  <si>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</si>
  <si>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</si>
  <si>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</si>
  <si>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Salud</t>
  </si>
  <si>
    <t>COVID-19</t>
  </si>
  <si>
    <t>Periodo 2020-2021</t>
  </si>
  <si>
    <t>La comuna de Iquique presenta un mayor cantidad de casos activos por COVID-19 en los meses de enero y abril del año 2021, superando los 4.000 casos por millón de habitantes. En el mes de julio del mismo año, esta cifra disminuyó a menos de 1500 casos por millón de habitantes.</t>
  </si>
  <si>
    <t>Agropecuario y Forestal</t>
  </si>
  <si>
    <t>Exportaciones</t>
  </si>
  <si>
    <t>Periodo 2012-2020</t>
  </si>
  <si>
    <t>Toneladas</t>
  </si>
  <si>
    <t>Servicio Nacional de Aduanas</t>
  </si>
  <si>
    <t>La manzana es la fruta que más exporta Chile, con un volumen de 7.943.153 ton durante el periodo 2012 – 2020. En segundo lugar está la uva con un volumen de 7.410.265 ton.</t>
  </si>
  <si>
    <t>Gráfico</t>
  </si>
  <si>
    <t>Chile exporta fruta a más de 80 países de todo el mundo. EEUU es el país que recibe más toneladas de fruta desde Chile, en segundo lugar está China. De Sudamérica Colombia es el país que más toneladas de fruta recibe.</t>
  </si>
  <si>
    <t>Abuso sexual</t>
  </si>
  <si>
    <t>Periodo 2013-2019</t>
  </si>
  <si>
    <t>Número de Sentencias</t>
  </si>
  <si>
    <t>Poder Judicial</t>
  </si>
  <si>
    <t>El delito de Abuso Sexual que más sentencias acumula para el periodo comprendido entre los años 2013 – 2019, en la región Metropolitana, es el calificado como Abuso sexual con contacto de menor de 14 de años, el que supera las 34.000 sentencia cada año.</t>
  </si>
  <si>
    <t>CLP/mes</t>
  </si>
  <si>
    <t>Número de Casos</t>
  </si>
  <si>
    <t>Cuenta de id_grafico</t>
  </si>
  <si>
    <t>Total Agencia Información</t>
  </si>
  <si>
    <t>Número de Alumnos</t>
  </si>
  <si>
    <t>Nube de palabras</t>
  </si>
  <si>
    <t>Política y Gobierno</t>
  </si>
  <si>
    <t>Dirección de Presupuestos (DIPRES)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</si>
  <si>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</si>
  <si>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</si>
  <si>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 xml:space="preserve">Número de Programas/Instituciones </t>
  </si>
  <si>
    <t>Periodo 1997-2019</t>
  </si>
  <si>
    <t>Durante los años 1997 y 2020 se evaluaron 621 programas/instituciones del Servicio Público, bajo diferentes modalidades. De esta cifra, 101 programas fueron evaluados con Desempeño Insuficiente, 16 con Mal Desempeño, 17 con Reemplazo Integro o Finalización y 11 fueron evaluados con Buen Desempeño.</t>
  </si>
  <si>
    <t>Dentro de la evaluación de programas/instituciones que realiza DIPRES, la evaluación de Programas realizada al Ministerio de Educación, arroja un desempeño Insuficiente para los programas de Hogares de JUNAEB, para el año 2014, declarando que no hay información sobre la vigencia de éste.</t>
  </si>
  <si>
    <t>Número de programas/instituciones evaluadas según línea de evaluación (periodo 1997 -2020)</t>
  </si>
  <si>
    <t>Dashboard</t>
  </si>
  <si>
    <t>https://app.powerbi.com/view?r=eyJrIjoiMTBhYjVkMTQtNDA3MC00ZmI5LTljZDMtM2Q3MTgyNGM3ZWYxIiwidCI6IjhmYmFhNWJmLTJlY2MtNGRjOC1iNTZiLThmOTJlMzA3ZjA3NiIsImMiOjR9</t>
  </si>
  <si>
    <t>En la estación de verano del año 2017 la superficie de plantaciones afectadas por incendios aumentó considerablemente, superando las 100.000 ha, en la comuna de Cauquenes . A fines de junio del año 2020, las superficie de plantaciones afectadas por incendios supera las 466.655 ha, a lo largo de todo Chile.</t>
  </si>
  <si>
    <t>Corporación Nacional Forestal (CONAF)</t>
  </si>
  <si>
    <t>Periodo 2010-2020</t>
  </si>
  <si>
    <t>Gráfico animado</t>
  </si>
  <si>
    <t>Hectáreas</t>
  </si>
  <si>
    <t>Evolución de la Superficie de Plantaciones Forestales Afectadas por Incendios por Comuna</t>
  </si>
  <si>
    <t>Año 2021</t>
  </si>
  <si>
    <t>CLP/Kg</t>
  </si>
  <si>
    <t>Precios</t>
  </si>
  <si>
    <t>Hortaliza</t>
  </si>
  <si>
    <t>Fruta</t>
  </si>
  <si>
    <t>Oficina de Estudios y Políticas Agrarias (ODEPA)</t>
  </si>
  <si>
    <t>El precio de las papas tuvo una fuerte baja a finales del verano y se ha mantenido relativamente estable desde esa fecha. En general, los precios más altos se encuentran en el mercado Agrícola del Norte de Arica, mientras que los más bajos en la Macroferia Regional de Talca.</t>
  </si>
  <si>
    <t>Arte y cultura</t>
  </si>
  <si>
    <t>Existen 332 comunas que tienen algún tipo de espacio cultural en el país. La comuna que cuenta con la mayor cantidad de espacios culturales es Santiago, con 54 espacios públicos y 40 privados.</t>
  </si>
  <si>
    <t>Titularidad de espacios culturales</t>
  </si>
  <si>
    <t>Número de espacios culturales</t>
  </si>
  <si>
    <t>Observatorio Cultural</t>
  </si>
  <si>
    <t>Cantidad de Espacios Culturales por Tipo de Titularidad y Comuna en el año 2021</t>
  </si>
  <si>
    <t>https://analytics.zoho.com/open-view/2395394000008056226</t>
  </si>
  <si>
    <t>Resultados de evaluaciones</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</si>
  <si>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</si>
  <si>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</si>
  <si>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</si>
  <si>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</si>
  <si>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</si>
  <si>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</si>
  <si>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</si>
  <si>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</si>
  <si>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</si>
  <si>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</si>
  <si>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</si>
  <si>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</si>
  <si>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</si>
  <si>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</si>
  <si>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</si>
  <si>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</si>
  <si>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</si>
  <si>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</si>
  <si>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</si>
  <si>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</si>
  <si>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</si>
  <si>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</si>
  <si>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</si>
  <si>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</si>
  <si>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</si>
  <si>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</si>
  <si>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</si>
  <si>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</si>
  <si>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</si>
  <si>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</si>
  <si>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</si>
  <si>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</si>
  <si>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</si>
  <si>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</si>
  <si>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</si>
  <si>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</si>
  <si>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</si>
  <si>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</si>
  <si>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</si>
  <si>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</si>
  <si>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</si>
  <si>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</si>
  <si>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</si>
  <si>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</si>
  <si>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</si>
  <si>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</si>
  <si>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</si>
  <si>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</si>
  <si>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</si>
  <si>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</si>
  <si>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</si>
  <si>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</si>
  <si>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</si>
  <si>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</si>
  <si>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</si>
  <si>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</si>
  <si>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</si>
  <si>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</si>
  <si>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</si>
  <si>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</si>
  <si>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</si>
  <si>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</si>
  <si>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</si>
  <si>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</si>
  <si>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</si>
  <si>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</si>
  <si>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</si>
  <si>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</si>
  <si>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</si>
  <si>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</si>
  <si>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</si>
  <si>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</si>
  <si>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</si>
  <si>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</si>
  <si>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</si>
  <si>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</si>
  <si>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</si>
  <si>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</si>
  <si>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</si>
  <si>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</si>
  <si>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</si>
  <si>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</si>
  <si>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</si>
  <si>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</si>
  <si>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</si>
  <si>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</si>
  <si>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</si>
  <si>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</si>
  <si>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</si>
  <si>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</si>
  <si>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</si>
  <si>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</si>
  <si>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</si>
  <si>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</si>
  <si>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</si>
  <si>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</si>
  <si>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</si>
  <si>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</si>
  <si>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</si>
  <si>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</si>
  <si>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</si>
  <si>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</si>
  <si>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</si>
  <si>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</si>
  <si>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</si>
  <si>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</si>
  <si>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</si>
  <si>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</si>
  <si>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</si>
  <si>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</si>
  <si>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</si>
  <si>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</si>
  <si>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</si>
  <si>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</si>
  <si>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</si>
  <si>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</si>
  <si>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</si>
  <si>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</si>
  <si>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</si>
  <si>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</si>
  <si>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</si>
  <si>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</si>
  <si>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</si>
  <si>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</si>
  <si>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</si>
  <si>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</si>
  <si>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</si>
  <si>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</si>
  <si>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</si>
  <si>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</si>
  <si>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</si>
  <si>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</si>
  <si>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</si>
  <si>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</si>
  <si>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</si>
  <si>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</si>
  <si>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</si>
  <si>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</si>
  <si>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</si>
  <si>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</si>
  <si>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</si>
  <si>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</si>
  <si>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</si>
  <si>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</si>
  <si>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</si>
  <si>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</si>
  <si>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</si>
  <si>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</si>
  <si>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</si>
  <si>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</si>
  <si>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</si>
  <si>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</si>
  <si>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</si>
  <si>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</si>
  <si>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</si>
  <si>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</si>
  <si>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</si>
  <si>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</si>
  <si>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</si>
  <si>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</si>
  <si>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</si>
  <si>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</si>
  <si>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</si>
  <si>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</si>
  <si>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</si>
  <si>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</si>
  <si>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</si>
  <si>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</si>
  <si>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</si>
  <si>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</si>
  <si>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</si>
  <si>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</si>
  <si>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</si>
  <si>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</si>
  <si>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</si>
  <si>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</si>
  <si>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</si>
  <si>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</si>
  <si>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</si>
  <si>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</si>
  <si>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</si>
  <si>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</si>
  <si>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</si>
  <si>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</si>
  <si>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</si>
  <si>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</si>
  <si>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</si>
  <si>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</si>
  <si>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</si>
  <si>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https://analytics.zoho.com/open-view/2395394000005950690</t>
  </si>
  <si>
    <t>Evolución COVID-19</t>
  </si>
  <si>
    <t>Periodo 2008-2021</t>
  </si>
  <si>
    <t>Gráfico de Evolución</t>
  </si>
  <si>
    <t>Social</t>
  </si>
  <si>
    <t>Violencia Intrafamiliar</t>
  </si>
  <si>
    <t>Evolución trimestral de Casos de Violencia Intrafamiliar presentados a la Fiscalía, a nivel nacional</t>
  </si>
  <si>
    <t>El segundo trimestre del año 2020 registra la menor cantidad de casos de Violencia Intrafamiliar (VIF) presentados a la Fiscalía Nacional, con 7.496 casos de víctimas hombres y 22.517 casos de víctimas mujeres.</t>
  </si>
  <si>
    <t>https://analytics.zoho.com/open-view/2395394000007782028</t>
  </si>
  <si>
    <t>Periodo 2019-2021</t>
  </si>
  <si>
    <t>Casos de VIF</t>
  </si>
  <si>
    <t>Fiscalía Nacional</t>
  </si>
  <si>
    <t>La comuna de Puente Alto, es la comuna del país que posee mayor cantidad de denuncias por Violencia Intrafamiliar hacia la mujer, para el periodo comprendido entre el mes de enero del año 2020 y el mes de marzo del año 2021, con 3.199 denuncias. En segundo lugar se encuentra Puerto Montt con 2.091 denuncias. Las comunas de Timaukel y Primavera, entre otras, poseen 0 denuncias durante este período.</t>
  </si>
  <si>
    <t>Mapa de calor</t>
  </si>
  <si>
    <t>Producción</t>
  </si>
  <si>
    <t>El 40,1% de la fruta producida a nivel nacional es envasada en plástico, siendo el tipo de envase más utilizado. En segundo lugar está el papel y cartón con un 28,9%. Los materiales reutilizables como madera y vidrio suman entre ambos un 12,7%, siendo el Tetra-Brix el tipo de envase menos utilizado con un 0,3%.</t>
  </si>
  <si>
    <t>https://analytics.zoho.com/open-view/2395394000005948862</t>
  </si>
  <si>
    <t>https://analytics.zoho.com/open-view/2395394000008206985</t>
  </si>
  <si>
    <t>https://analytics.zoho.com/open-view/2395394000008210549</t>
  </si>
  <si>
    <t>Ingresos Promedio Mensual por región</t>
  </si>
  <si>
    <t>Proporción alumnos sobre 450 pts PSU por comuna</t>
  </si>
  <si>
    <t>Denuncias por violación por comuna</t>
  </si>
  <si>
    <t>Número de alumnos por docente en aula por comuna</t>
  </si>
  <si>
    <t>Casos Activos por 1 millón de habitantes por comuna</t>
  </si>
  <si>
    <t>Volumen fruta exportada por región</t>
  </si>
  <si>
    <t>Volumen fruta exportada en Chile</t>
  </si>
  <si>
    <t>Sentencias dictadas por delito por región</t>
  </si>
  <si>
    <t>Programas/Instituciones evaluadas en Chile</t>
  </si>
  <si>
    <t>Ministerio</t>
  </si>
  <si>
    <t>Superficie afectada por incendios en Chile</t>
  </si>
  <si>
    <t>Precios diarios de hortalizas en Chile</t>
  </si>
  <si>
    <t>Precios diarios de frutas en Chile</t>
  </si>
  <si>
    <t>Cantidad de espacios culturales por comuna</t>
  </si>
  <si>
    <t>Variación anual de delitos por comuna</t>
  </si>
  <si>
    <t>0370</t>
  </si>
  <si>
    <t>Casos de VIF por comuna</t>
  </si>
  <si>
    <t>Casos de VIF por región</t>
  </si>
  <si>
    <t>300-R</t>
  </si>
  <si>
    <t>Fruta producida por tipo de envase utilizado en Chile</t>
  </si>
  <si>
    <t>Periodo 2018-2020</t>
  </si>
  <si>
    <t xml:space="preserve">Gráfico </t>
  </si>
  <si>
    <t>https://analytics.zoho.com/open-view/2395394000007782157</t>
  </si>
  <si>
    <t>Destino de fruta producida por comuna</t>
  </si>
  <si>
    <t>https://analytics.zoho.com/open-view/2395394000008207372</t>
  </si>
  <si>
    <t>El 46,3% de las 13.874 toneladas de fruta producidas en la comuna de Ovalle son clasificadas como "sin destino externo" lo que se traduce en que son para consumo nacional, ya sea dentro de la misma comuna o para el consumo de otros mercados a nivel nacional. En segundo lugar, el mayor destino es Europa, con un 31,8% de la producción, que corresponde a 4.412 toneladas.</t>
  </si>
  <si>
    <t>Evolución anual de superficie plantada (ha) de lechuga por región</t>
  </si>
  <si>
    <t>Superficie plantada por región</t>
  </si>
  <si>
    <t>Periodo 2010-2019</t>
  </si>
  <si>
    <t>En el periodo comprendido entre los años 2010 - 2019, las regiones que lideran la superficie plantada con lechuga son la Metropolitana y la región de Coquimbo, siendo el el año con mayor superficie de lechuga plantada el 2015, en que la superficie total fue cercana a las 7.500 ha, de las cuales 5.368 ha fueron cubiertas por ambas regiones.</t>
  </si>
  <si>
    <t>https://analytics.zoho.com/open-view/2395394000007782340</t>
  </si>
  <si>
    <t>Plantaciones</t>
  </si>
  <si>
    <t>Según los datos recopilados, sólo 4 de las 16 regiones de Chile poseen un PRDU vigente, las cuales sería Arica y Parinacota, Coquimbo, Antofagasta y O'Higgins, siendo Arica y Parinacota la que posee el PRDU más nuevo que data del año 2014</t>
  </si>
  <si>
    <t>Vivienda y Construcción</t>
  </si>
  <si>
    <t>Instrumentos de Planificación Territorial (IPT)</t>
  </si>
  <si>
    <t>Estado</t>
  </si>
  <si>
    <t>Observatorio Urbano - Ministerio de Vivienda y Urbanismo (MINVU)</t>
  </si>
  <si>
    <t>Estado del Plan Regional de Desarrollo Urbano por Región</t>
  </si>
  <si>
    <t>Estado de PRDU por región</t>
  </si>
  <si>
    <t>https://app.powerbi.com/view?r=eyJrIjoiYzhiZDQ3N2YtMmRkOS00NzAyLThjNjItNzk0NWM1NWE1YjE0IiwidCI6IjhmYmFhNWJmLTJlY2MtNGRjOC1iNTZiLThmOTJlMzA3ZjA3NiIsImMiOjR9</t>
  </si>
  <si>
    <t>Acceso para Discapacitados en espacios culturales</t>
  </si>
  <si>
    <t>https://analytics.zoho.com/open-view/2395394000008056138</t>
  </si>
  <si>
    <t>La región Metropolitana es la que posee más espacios culturales con acceso para discapacitados, con 250 espacios de 397 que tiene en total la región. Por otro lado, Valparaíso, es la región que tiene la mayor cantidad de espacios Sin acceso para discapacitados con 133 de un total de 324 espacios.</t>
  </si>
  <si>
    <t>UF</t>
  </si>
  <si>
    <t>Economía</t>
  </si>
  <si>
    <t>Ventas</t>
  </si>
  <si>
    <t>Ventas anuales</t>
  </si>
  <si>
    <t>Ventas anuales por rubro por región</t>
  </si>
  <si>
    <t>Servicio de Impuestos Internos (SII)</t>
  </si>
  <si>
    <t>Año 2019</t>
  </si>
  <si>
    <t>El rubro económico que cuenta con el mayor porcentaje de ventas anuales en UF es el G - Comercio al por mayor y al menor; reparación de vehículos automotores y motocicletas, con un 25% de las ventas totales en la Región de Valparaíso.</t>
  </si>
  <si>
    <t>Establecimientos de Apoyo</t>
  </si>
  <si>
    <t>La región Metropolitana es la que cuenta con más Centros de la Mujer, llegando a 31 establecimientos. Le siguen las regiones de Biobío y Valparaíso, con 14 y 12 centros respectivamente. La región que actualmente tiene menos centros es Arica y Parinacota, con solo 1.</t>
  </si>
  <si>
    <t>https://analytics.zoho.com/open-view/2395394000007777048</t>
  </si>
  <si>
    <t>Servicio Nacional de la Mujer y Equidad de Género (SERNAMEG)</t>
  </si>
  <si>
    <t>Número de Centros de la Mujer</t>
  </si>
  <si>
    <t>Cantidad de Centros de la Mujer por región</t>
  </si>
  <si>
    <t>Periodo 2014-2019</t>
  </si>
  <si>
    <t>Número de Mujeres</t>
  </si>
  <si>
    <t>La cantidad de mujeres ingresadas a Centros de la Mujer ha ido disminuyendo con el paso de los años, exceptuando el año 2017. Para el año 2019, los ingresos cayeron en un 19,8%, ingresando 16.899 mujeres, en comparación al año 2014 en que ingresaron 21.092 mujeres.</t>
  </si>
  <si>
    <t>https://analytics.zoho.com/open-view/2395394000007777075</t>
  </si>
  <si>
    <t>Cantidad de ingresos efectivos de mujeres en Chile</t>
  </si>
  <si>
    <t>Número de salidas</t>
  </si>
  <si>
    <t>Cantidad de salidas en Chile</t>
  </si>
  <si>
    <t>La cantidad de salidas desde Casas de Acogida ha ido disminuyendo con el paso de los años, exceptuando el año 2016. Para el año 2019, las salidas cayeron en un 6,6% en comparación al año 2018.</t>
  </si>
  <si>
    <t>https://analytics.zoho.com/open-view/2395394000007777114</t>
  </si>
  <si>
    <t>En el periodo 2014-2019, el tipo de salida más común desde las Casas de Acogida es el Egreso Efectivo de las mujeres, representando un 57,4% del total.</t>
  </si>
  <si>
    <t>https://analytics.zoho.com/open-view/2395394000007777153</t>
  </si>
  <si>
    <t>Proporción de salidas en Chile</t>
  </si>
  <si>
    <t>Atenciones de Salud Violencia de Género</t>
  </si>
  <si>
    <t>Periodo 2010-2016</t>
  </si>
  <si>
    <t>Número de atenciones médicas</t>
  </si>
  <si>
    <t>Las Atenciones en Salud por Violencia de Género se califican de acuerdo al concepto bajo el cual fue ingresada la urgencia. El concepto "Otra Violencia" ha sido el más común durante el periodo 2010-2016, seguido por "Violencia Intrafamiliar" para el año 2016.</t>
  </si>
  <si>
    <t>Departamento de Estadísticas e Información de la Salud (DEIS) - Ministerio de Salud</t>
  </si>
  <si>
    <t>Cantidad de atenciones por región</t>
  </si>
  <si>
    <t>https://app.powerbi.com/view?r=eyJrIjoiODk3Zjc3ZTItZTdlNi00NGRlLTljYzktZTM5OTQ1YzI1MDYxIiwidCI6IjhmYmFhNWJmLTJlY2MtNGRjOC1iNTZiLThmOTJlMzA3ZjA3NiIsImMiOjR9</t>
  </si>
  <si>
    <t>https://app.powerbi.com/view?r=eyJrIjoiNzYyYzA1MTQtYjU4ZC00YmIyLTgxMTMtODQ1MzE1OTdkZTU5IiwidCI6IjhmYmFhNWJmLTJlY2MtNGRjOC1iNTZiLThmOTJlMzA3ZjA3NiIsImMiOjR9</t>
  </si>
  <si>
    <t>https://app.powerbi.com/view?r=eyJrIjoiMzk2YjAzMGUtYTE2Zi00ZGU3LTg1ZjAtN2IxNzExMjg3N2E1IiwidCI6IjhmYmFhNWJmLTJlY2MtNGRjOC1iNTZiLThmOTJlMzA3ZjA3NiIsImMiOjR9</t>
  </si>
  <si>
    <t>https://app.powerbi.com/view?r=eyJrIjoiYzgzMTI1M2UtNmViNS00YTA0LTk2NGYtMTFmYmExYTczNWRhIiwidCI6IjhmYmFhNWJmLTJlY2MtNGRjOC1iNTZiLThmOTJlMzA3ZjA3NiIsImMiOjR9</t>
  </si>
  <si>
    <t>https://app.powerbi.com/view?r=eyJrIjoiYTRjMTJkZmEtNzNlMC00ODRlLWIxMzYtNzAzYWVlMGQ2YTU0IiwidCI6IjhmYmFhNWJmLTJlY2MtNGRjOC1iNTZiLThmOTJlMzA3ZjA3NiIsImMiOjR9</t>
  </si>
  <si>
    <t>https://app.powerbi.com/view?r=eyJrIjoiZmVjZWI5N2YtMjVhMS00Zjc1LWFmN2YtZDM4NDA1ODMzMGNiIiwidCI6IjhmYmFhNWJmLTJlY2MtNGRjOC1iNTZiLThmOTJlMzA3ZjA3NiIsImMiOjR9</t>
  </si>
  <si>
    <t>https://app.powerbi.com/view?r=eyJrIjoiNDExYTM1N2EtYTNiYi00OGNkLThhMjMtMDVjNGQ5NzNjZTU1IiwidCI6IjhmYmFhNWJmLTJlY2MtNGRjOC1iNTZiLThmOTJlMzA3ZjA3NiIsImMiOjR9</t>
  </si>
  <si>
    <t>https://app.powerbi.com/view?r=eyJrIjoiMzlhNGFhN2QtNjRlZi00YjY1LTlmNzctMmRmZDZkNWUwNmIzIiwidCI6IjhmYmFhNWJmLTJlY2MtNGRjOC1iNTZiLThmOTJlMzA3ZjA3NiIsImMiOjR9</t>
  </si>
  <si>
    <t>https://app.powerbi.com/view?r=eyJrIjoiZWNmYzYxNjQtMTQ1OC00MTkwLWFkYTUtYzUwZmM0NWVjN2U2IiwidCI6IjhmYmFhNWJmLTJlY2MtNGRjOC1iNTZiLThmOTJlMzA3ZjA3NiIsImMiOjR9</t>
  </si>
  <si>
    <t>https://app.powerbi.com/view?r=eyJrIjoiOWIxNDkwMzUtMGQyNi00ZGEzLWE1OGItYTI1OGM4Njk1NjlhIiwidCI6IjhmYmFhNWJmLTJlY2MtNGRjOC1iNTZiLThmOTJlMzA3ZjA3NiIsImMiOjR9</t>
  </si>
  <si>
    <t>https://app.powerbi.com/view?r=eyJrIjoiNWYxNzdhNGItMDA0OC00ZjY5LWI0YTUtMDUwYzk1M2JmZGVhIiwidCI6IjhmYmFhNWJmLTJlY2MtNGRjOC1iNTZiLThmOTJlMzA3ZjA3NiIsImMiOjR9</t>
  </si>
  <si>
    <t>https://app.powerbi.com/view?r=eyJrIjoiZDZiYjg2ODAtOGYwZS00MGNlLTkwZWEtZTU3NDMwOTZjZGYxIiwidCI6IjhmYmFhNWJmLTJlY2MtNGRjOC1iNTZiLThmOTJlMzA3ZjA3NiIsImMiOjR9</t>
  </si>
  <si>
    <t>https://app.powerbi.com/view?r=eyJrIjoiNDQzYmFiMjctODc3Ny00N2ZlLTgyNTctMzBmMmY3NTdhNmQ3IiwidCI6IjhmYmFhNWJmLTJlY2MtNGRjOC1iNTZiLThmOTJlMzA3ZjA3NiIsImMiOjR9</t>
  </si>
  <si>
    <t>https://app.powerbi.com/view?r=eyJrIjoiNWIxNzRiOTctMWUyMi00YjkzLWJmMDUtN2UzODhlZWFlZjA1IiwidCI6IjhmYmFhNWJmLTJlY2MtNGRjOC1iNTZiLThmOTJlMzA3ZjA3NiIsImMiOjR9</t>
  </si>
  <si>
    <t>https://app.powerbi.com/view?r=eyJrIjoiZThkYzY0YTItNWE2NS00MjE5LTgzNTItOWFmNjE2NWE5NTIwIiwidCI6IjhmYmFhNWJmLTJlY2MtNGRjOC1iNTZiLThmOTJlMzA3ZjA3NiIsImMiOjR9</t>
  </si>
  <si>
    <t>Para la Región Metropolitana, las frutas exportadas que generan mayores ingresos, durante el periodo comprendido entre los años 2012 y 2020, son la uva, la nuez y la ciruela. Sólo el año 2020 la uva significó un total de 247.355.802 dólares y la Nuez 188.356.606 dólares.</t>
  </si>
  <si>
    <t>USD</t>
  </si>
  <si>
    <t>Valor de exportaciones por región</t>
  </si>
  <si>
    <t>https://analytics.zoho.com/open-view/2395394000007801200</t>
  </si>
  <si>
    <t>Valor de exportaciones de Chile</t>
  </si>
  <si>
    <t>Estados Unidos es el país que más ingresos genera a Chile producto de las exportaciones de fruta, con un monto de alrededor de 16,7 billones de dólares en el periodo 2012-2020, seguido por China, con 9,7 billones de dólares y luego Países Bajos, con valores en torno a los 4 billones.</t>
  </si>
  <si>
    <t>Energía</t>
  </si>
  <si>
    <t>MW</t>
  </si>
  <si>
    <t>Comisión Nacional de Energía (CNE)</t>
  </si>
  <si>
    <t>Capacidad instalada de generación por región</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</si>
  <si>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</si>
  <si>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</si>
  <si>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</si>
  <si>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</si>
  <si>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</si>
  <si>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</si>
  <si>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</si>
  <si>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</si>
  <si>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</si>
  <si>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</si>
  <si>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</si>
  <si>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</si>
  <si>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</si>
  <si>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</si>
  <si>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</si>
  <si>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</si>
  <si>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</si>
  <si>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</si>
  <si>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</si>
  <si>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</si>
  <si>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</si>
  <si>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</si>
  <si>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</si>
  <si>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</si>
  <si>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</si>
  <si>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</si>
  <si>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</si>
  <si>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</si>
  <si>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</si>
  <si>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</si>
  <si>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</si>
  <si>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</si>
  <si>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</si>
  <si>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</si>
  <si>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</si>
  <si>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</si>
  <si>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</si>
  <si>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</si>
  <si>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</si>
  <si>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</si>
  <si>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</si>
  <si>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</si>
  <si>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</si>
  <si>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</si>
  <si>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</si>
  <si>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</si>
  <si>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</si>
  <si>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</si>
  <si>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</si>
  <si>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</si>
  <si>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</si>
  <si>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</si>
  <si>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</si>
  <si>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</si>
  <si>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</si>
  <si>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</si>
  <si>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</si>
  <si>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</si>
  <si>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</si>
  <si>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</si>
  <si>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</si>
  <si>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</si>
  <si>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</si>
  <si>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</si>
  <si>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</si>
  <si>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</si>
  <si>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</si>
  <si>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</si>
  <si>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</si>
  <si>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</si>
  <si>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Periodo 1979-2020</t>
  </si>
  <si>
    <t>La producción agrícola en la región de O'Higgins se mantuvo relativamente constante durante 35 temporadas, para luego repuntar entre los años 2012 y 2015, variando la producción de valores en torno a las 205.000 ton promedio por temporada, para alcanzar las 1.311.032 ton en la temporada 2014/15, lo que significa una variación cercana al 489%. En el año 2020 se observó una caída significativa alcanzando las 457.230 ton.</t>
  </si>
  <si>
    <t>Producción agrícola por región</t>
  </si>
  <si>
    <t>Importaciones</t>
  </si>
  <si>
    <t>Volumen de importaciones en Chile</t>
  </si>
  <si>
    <t>Dentro del grupo de frutas Tropicales y Subtropicales, el plátano es la fruta con mayor importación en Chile. En el año 2020 se importaron 264.242 toneladas de esta fruta, superando en 1,4 veces la cantidad importada en el año 2012.</t>
  </si>
  <si>
    <t>https://analytics.zoho.com/open-view/2395394000007777591?ZOHO_CRITERIA=%22Trasposicion_4.3%22.%22Id_Producto%22%20%3D%20100108</t>
  </si>
  <si>
    <t>Durante el periodo 2012 - 2020, la mayor cantidad de fruta importada por Chile corresponde a fruta fresca, alcanzando un total de 356.049 ton en el año 2020. Por el contrario, la menor cantidad de fruta importada por Chile, corresponde a la procesada como frutos secos, en que el año 2020 alcanzó las 7.006 ton.</t>
  </si>
  <si>
    <t>https://analytics.zoho.com/open-view/2395394000007777311</t>
  </si>
  <si>
    <t>Periodo 2011-2018</t>
  </si>
  <si>
    <t>Considerando la población en Control del Programa de Cáncer de Cuello Uterino, la que considera a las mujeres con PAP vigente entre los años 2012-2018, se observa que la cantidad máxima de casos positivos para Cáncer de Cuello Uterino se alcanzó en el año 2014. Desde esa fecha, la población en control ha ido a la baja, salvo por el año 2018 que subió un 3,3% en comparación al año anterior, lo que se traduce en un aumento de solo 8 casos.</t>
  </si>
  <si>
    <t>Programa de Cáncer de Cuello Uterino</t>
  </si>
  <si>
    <t>Cantidad de casos en Chile</t>
  </si>
  <si>
    <t>https://analytics.zoho.com/open-view/2395394000008047165</t>
  </si>
  <si>
    <t>Programa de VIH/SIDA</t>
  </si>
  <si>
    <t>https://analytics.zoho.com/open-view/2395394000007991542</t>
  </si>
  <si>
    <t>A nivel nacional, los casos confirmados de VIH/SIDA de acuerdo al Programa de VIH/SIDA, fueron en aumento durante el periodo 2012-2018, marcándose una clara diferencia en la cantidad de casos de acuerdo al sexo, siendo los hombres los que presentaron más de la mitad de los casos en cada año.</t>
  </si>
  <si>
    <t>https://analytics.zoho.com/open-view/2395394000007806050</t>
  </si>
  <si>
    <t>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La Región de O'Higgins es la que posee mayor cantidad de comunas (26) con un índice alto de vulnerabilidad al cambio climático, seguida de las regiones de Valparaíso (25) y Coquimbo (13). Esta última es la que posee mayor proporción de comunas (86,6%) con vulnerabilidad alta con respecto al total de comunas de la región.</t>
  </si>
  <si>
    <t>Elaboración propia con datos de CONAF/SUD-Austral, CASEN, CENSO 2017.</t>
  </si>
  <si>
    <t>Número de comunas</t>
  </si>
  <si>
    <t>Índice de Vulnerabilidad</t>
  </si>
  <si>
    <t>Vulnerabilidad</t>
  </si>
  <si>
    <t>Medio Ambiente</t>
  </si>
  <si>
    <t>Cantidad de comunas según grado por región</t>
  </si>
  <si>
    <t>Región-Comuna</t>
  </si>
  <si>
    <t>300-C</t>
  </si>
  <si>
    <t>Precios diarios de hortalizas por región</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</si>
  <si>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</si>
  <si>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</si>
  <si>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</si>
  <si>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</si>
  <si>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</si>
  <si>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</si>
  <si>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</si>
  <si>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</si>
  <si>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</si>
  <si>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</si>
  <si>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</si>
  <si>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</si>
  <si>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</si>
  <si>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</si>
  <si>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</si>
  <si>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</si>
  <si>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</si>
  <si>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</si>
  <si>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</si>
  <si>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</si>
  <si>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</si>
  <si>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</si>
  <si>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</si>
  <si>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Los precios de las frutillas en general se duplican en los meses de invierno con respecto a los meses de verano. Se observa que los mercados Terminal La Palmera de La Serena y Comercializadora del Agro de Limarí tienen los precios más altos, mientras los mercados Macroferia Regional de Talca, Lo Valledor de Santiago y Vega Central Mapocho de Santiago poseen los más bajos.</t>
  </si>
  <si>
    <t>https://analytics.zoho.com/open-view/2395394000008229874</t>
  </si>
  <si>
    <t>https://analytics.zoho.com/open-view/2395394000008231090</t>
  </si>
  <si>
    <t>https://analytics.zoho.com/open-view/2395394000006789672</t>
  </si>
  <si>
    <t>https://analytics.zoho.com/open-view/2395394000008231525</t>
  </si>
  <si>
    <t>https://analytics.zoho.com/open-view/2395394000008231718</t>
  </si>
  <si>
    <t>Ingreso Promedio Mensual en Chile</t>
  </si>
  <si>
    <t>Evolución del Ingreso Promedio Mensual a Escala Nacional (CLP/mes)</t>
  </si>
  <si>
    <t>Por definir</t>
  </si>
  <si>
    <t>Comunas con vulnerabilidad alta</t>
  </si>
  <si>
    <t>https://analytics.zoho.com/open-view/2395394000007806315</t>
  </si>
  <si>
    <t>Comunas con vulnerabilidad alta y moderada por región</t>
  </si>
  <si>
    <t>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Las regiones de O'Higgins, Valparaíso y Coquimbo encabezan la lista de las que poseen mayor número de comunas con alta vulnerabilidad al cambio climático. En cuanto a las que poseen una vulnerabilidad moderada destacan las regiones de Biobío, Metropolitana y Maule, todas ellas con más de 30 comunas en esta condición.</t>
  </si>
  <si>
    <t>https://analytics.zoho.com/open-view/2395394000007806463</t>
  </si>
  <si>
    <t>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En Chile, las comunas con alta vulnerabilidad al cambio climático se concentran en la zona central del país, desde La Serena en la Región de Coquimbo, hasta Chimbarongo en la Región de O'Higgins. Además de ellas, existen algunas comunas en las regiones de Ñuble, Arica y Parinacota y Tarapacá.</t>
  </si>
  <si>
    <t>Monitoreo de Glaciares</t>
  </si>
  <si>
    <t>Superficie de glaciares por región</t>
  </si>
  <si>
    <t>Periodo 2016-2021</t>
  </si>
  <si>
    <t>Elaboración propia con datos Dirección General de Aguas (DGA) e imágenes satelitales SENTINEL</t>
  </si>
  <si>
    <t>Las regiones de Coquimbo, Aysén y Los Ríos poseen menos de un 25% de comunas con Instrumentos de Planificación Territorial (IPT) vigentes, ya sea Plan Regulador Comunal, Límite Urbano o Plan Seccional. En el otro extremo se encuentran las regiones de Valparaíso, Metropolitana, O'Higgins, Ñuble y Biobío, con más del 75% de sus comunas con un IPT vigente.</t>
  </si>
  <si>
    <t>Porcentaje de comunas con IPT local por región</t>
  </si>
  <si>
    <t>https://app.powerbi.com/view?r=eyJrIjoiZWFlZTlkOTMtZjVmMS00ZTNjLWIwYjctMWQ3YTI0ZDIwMjlmIiwidCI6IjhmYmFhNWJmLTJlY2MtNGRjOC1iNTZiLThmOTJlMzA3ZjA3NiIsImMiOjR9</t>
  </si>
  <si>
    <t>https://app.powerbi.com/view?r=eyJrIjoiYjE4Yzc3NGQtYjM2NS00ZDMwLTg0NDYtOTRjYzQ4MzU0MWI1IiwidCI6IjhmYmFhNWJmLTJlY2MtNGRjOC1iNTZiLThmOTJlMzA3ZjA3NiIsImMiOjR9</t>
  </si>
  <si>
    <t>Pesca Industrial y Artesanal</t>
  </si>
  <si>
    <t>Servicio Nacional de Pesca y Acuicultura (SERNAPESCA)</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</si>
  <si>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</si>
  <si>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</si>
  <si>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</si>
  <si>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</si>
  <si>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</si>
  <si>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</si>
  <si>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</si>
  <si>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</si>
  <si>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</si>
  <si>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</si>
  <si>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</si>
  <si>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</si>
  <si>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</si>
  <si>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</si>
  <si>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</si>
  <si>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</si>
  <si>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</si>
  <si>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</si>
  <si>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</si>
  <si>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</si>
  <si>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</si>
  <si>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</si>
  <si>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</si>
  <si>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</si>
  <si>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</si>
  <si>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</si>
  <si>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</si>
  <si>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</si>
  <si>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</si>
  <si>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</si>
  <si>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</si>
  <si>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</si>
  <si>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</si>
  <si>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</si>
  <si>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</si>
  <si>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</si>
  <si>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</si>
  <si>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</si>
  <si>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</si>
  <si>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</si>
  <si>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</si>
  <si>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</si>
  <si>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</si>
  <si>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</si>
  <si>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</si>
  <si>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</si>
  <si>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</si>
  <si>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</si>
  <si>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</si>
  <si>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</si>
  <si>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</si>
  <si>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</si>
  <si>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</si>
  <si>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</si>
  <si>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</si>
  <si>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</si>
  <si>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</si>
  <si>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</si>
  <si>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</si>
  <si>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</si>
  <si>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</si>
  <si>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</si>
  <si>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</si>
  <si>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</si>
  <si>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</si>
  <si>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</si>
  <si>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</si>
  <si>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</si>
  <si>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</si>
  <si>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</si>
  <si>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</si>
  <si>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</si>
  <si>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</si>
  <si>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</si>
  <si>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</si>
  <si>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</si>
  <si>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</si>
  <si>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</si>
  <si>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</si>
  <si>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</si>
  <si>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</si>
  <si>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</si>
  <si>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</si>
  <si>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</si>
  <si>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</si>
  <si>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</si>
  <si>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</si>
  <si>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</si>
  <si>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</si>
  <si>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</si>
  <si>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</si>
  <si>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</si>
  <si>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</si>
  <si>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</si>
  <si>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</si>
  <si>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</si>
  <si>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</si>
  <si>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</si>
  <si>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</si>
  <si>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</si>
  <si>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</si>
  <si>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</si>
  <si>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</si>
  <si>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</si>
  <si>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</si>
  <si>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</si>
  <si>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</si>
  <si>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</si>
  <si>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</si>
  <si>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</si>
  <si>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</si>
  <si>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</si>
  <si>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</si>
  <si>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</si>
  <si>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</si>
  <si>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</si>
  <si>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</si>
  <si>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</si>
  <si>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</si>
  <si>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</si>
  <si>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</si>
  <si>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</si>
  <si>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</si>
  <si>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</si>
  <si>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</si>
  <si>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</si>
  <si>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</si>
  <si>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</si>
  <si>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</si>
  <si>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</si>
  <si>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</si>
  <si>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</si>
  <si>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</si>
  <si>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</si>
  <si>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</si>
  <si>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</si>
  <si>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</si>
  <si>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</si>
  <si>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</si>
  <si>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</si>
  <si>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</si>
  <si>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</si>
  <si>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</si>
  <si>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</si>
  <si>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</si>
  <si>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</si>
  <si>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</si>
  <si>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</si>
  <si>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</si>
  <si>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</si>
  <si>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</si>
  <si>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</si>
  <si>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</si>
  <si>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</si>
  <si>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</si>
  <si>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</si>
  <si>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</si>
  <si>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</si>
  <si>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</si>
  <si>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</si>
  <si>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</si>
  <si>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</si>
  <si>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</si>
  <si>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</si>
  <si>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</si>
  <si>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</si>
  <si>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</si>
  <si>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</si>
  <si>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</si>
  <si>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</si>
  <si>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</si>
  <si>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</si>
  <si>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</si>
  <si>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</si>
  <si>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</si>
  <si>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</si>
  <si>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</si>
  <si>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</si>
  <si>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</si>
  <si>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</si>
  <si>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</si>
  <si>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</si>
  <si>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</si>
  <si>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</si>
  <si>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</si>
  <si>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</si>
  <si>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</si>
  <si>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</si>
  <si>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</si>
  <si>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</si>
  <si>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</si>
  <si>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</si>
  <si>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</si>
  <si>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</si>
  <si>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</si>
  <si>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</si>
  <si>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</si>
  <si>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</si>
  <si>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</si>
  <si>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</si>
  <si>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</si>
  <si>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</si>
  <si>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</si>
  <si>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</si>
  <si>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</si>
  <si>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</si>
  <si>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</si>
  <si>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</si>
  <si>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</si>
  <si>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</si>
  <si>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</si>
  <si>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</si>
  <si>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</si>
  <si>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</si>
  <si>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</si>
  <si>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</si>
  <si>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</si>
  <si>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</si>
  <si>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</si>
  <si>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</si>
  <si>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</si>
  <si>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</si>
  <si>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</si>
  <si>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</si>
  <si>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</si>
  <si>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</si>
  <si>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</si>
  <si>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</si>
  <si>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</si>
  <si>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</si>
  <si>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</si>
  <si>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</si>
  <si>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</si>
  <si>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</si>
  <si>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</si>
  <si>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</si>
  <si>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</si>
  <si>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</si>
  <si>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</si>
  <si>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</si>
  <si>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</si>
  <si>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</si>
  <si>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</si>
  <si>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</si>
  <si>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</si>
  <si>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</si>
  <si>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</si>
  <si>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</si>
  <si>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</si>
  <si>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</si>
  <si>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</si>
  <si>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</si>
  <si>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</si>
  <si>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</si>
  <si>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</si>
  <si>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</si>
  <si>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</si>
  <si>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</si>
  <si>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</si>
  <si>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</si>
  <si>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</si>
  <si>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</si>
  <si>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</si>
  <si>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</si>
  <si>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</si>
  <si>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</si>
  <si>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</si>
  <si>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</si>
  <si>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</si>
  <si>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</si>
  <si>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</si>
  <si>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</si>
  <si>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</si>
  <si>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</si>
  <si>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</si>
  <si>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</si>
  <si>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</si>
  <si>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</si>
  <si>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</si>
  <si>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</si>
  <si>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</si>
  <si>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</si>
  <si>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</si>
  <si>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</si>
  <si>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</si>
  <si>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</si>
  <si>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</si>
  <si>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</si>
  <si>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</si>
  <si>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</si>
  <si>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</si>
  <si>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</si>
  <si>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</si>
  <si>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</si>
  <si>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</si>
  <si>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</si>
  <si>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</si>
  <si>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</si>
  <si>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</si>
  <si>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</si>
  <si>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</si>
  <si>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</si>
  <si>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</si>
  <si>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</si>
  <si>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</si>
  <si>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</si>
  <si>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</si>
  <si>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</si>
  <si>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</si>
  <si>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</si>
  <si>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</si>
  <si>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</si>
  <si>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</si>
  <si>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</si>
  <si>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</si>
  <si>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</si>
  <si>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</si>
  <si>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</si>
  <si>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</si>
  <si>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</si>
  <si>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</si>
  <si>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</si>
  <si>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</si>
  <si>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</si>
  <si>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</si>
  <si>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</si>
  <si>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</si>
  <si>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</si>
  <si>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</si>
  <si>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</si>
  <si>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</si>
  <si>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</si>
  <si>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</si>
  <si>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</si>
  <si>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</si>
  <si>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</si>
  <si>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</si>
  <si>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</si>
  <si>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</si>
  <si>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</si>
  <si>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</si>
  <si>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</si>
  <si>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</si>
  <si>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</si>
  <si>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</si>
  <si>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</si>
  <si>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</si>
  <si>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</si>
  <si>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</si>
  <si>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</si>
  <si>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</si>
  <si>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</si>
  <si>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</si>
  <si>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</si>
  <si>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</si>
  <si>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</si>
  <si>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</si>
  <si>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</si>
  <si>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</si>
  <si>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</si>
  <si>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</si>
  <si>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</si>
  <si>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</si>
  <si>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</si>
  <si>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</si>
  <si>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</si>
  <si>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</si>
  <si>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</si>
  <si>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1103</t>
  </si>
  <si>
    <t>1104</t>
  </si>
  <si>
    <t>1105</t>
  </si>
  <si>
    <t>1106</t>
  </si>
  <si>
    <t>1124</t>
  </si>
  <si>
    <t>Número de personas</t>
  </si>
  <si>
    <t>Población de Pueblos Originarios por sexo por región</t>
  </si>
  <si>
    <t>Población por sexo</t>
  </si>
  <si>
    <t>Instituto Nacional de Estadísticas (INE)</t>
  </si>
  <si>
    <t>Defunciones</t>
  </si>
  <si>
    <t>https://app.powerbi.com/view?r=eyJrIjoiZjJhYWRiZjAtNTRkMC00ZmZhLWFmZmUtMjljYjc5MzRiMTZjIiwidCI6IjhmYmFhNWJmLTJlY2MtNGRjOC1iNTZiLThmOTJlMzA3ZjA3NiIsImMiOjR9</t>
  </si>
  <si>
    <t>Periodo 2010-2021</t>
  </si>
  <si>
    <t>Defunciones anuales por comuna</t>
  </si>
  <si>
    <t>Nacimientos</t>
  </si>
  <si>
    <t>Nacimientos anuales por comuna</t>
  </si>
  <si>
    <t>A nivel nacional, las defunciones presentan un incremento constante desde el año 2012 en adelante, sin embargo, el año 2020 aumentan significativamente más que los años anteriores, lo cual es atribuible a la pandemia producida por el SARS-CoV-2.</t>
  </si>
  <si>
    <t>Transporte y tránsito</t>
  </si>
  <si>
    <t>Permisos de circulación</t>
  </si>
  <si>
    <t>Número de permisos de circulación</t>
  </si>
  <si>
    <t>Periodo 2008-2019</t>
  </si>
  <si>
    <t xml:space="preserve">Durante todo el periodo los vehículos de la categoría Automóvil y Station wagon fueron los que tuvieron mayor cantidad de permisos de circulación a nivel nacional siendo 790.146 para el año 2018 y de 819.684 para el año 2019.   </t>
  </si>
  <si>
    <t>Permisos de circulación anuales por región</t>
  </si>
  <si>
    <t>Our World In Data</t>
  </si>
  <si>
    <t>Periodo 1990-2019</t>
  </si>
  <si>
    <t>https://analytics.zoho.com/open-view/2395394000007837327</t>
  </si>
  <si>
    <t>Emisiones de CO2 por tipo de combustible en Chile</t>
  </si>
  <si>
    <t>https://analytics.zoho.com/open-view/2395394000007837543</t>
  </si>
  <si>
    <t>Las emisiones de CO2 que han sufrido las más amplias variaciones entre los años 1990 y 2019 son las del gas. La variación porcentual anual más alta fue en el año 1997 y la más negativa fue en 2008.</t>
  </si>
  <si>
    <t>Variación anual de emisiones de CO2</t>
  </si>
  <si>
    <t>Emisiones por quema de combustible</t>
  </si>
  <si>
    <t>Dada la predicción para el año 2025, las emisiones per cápita de CO2 por quema de petróleo serán de 4,1 (t), mientras que para el gas serán de 0,6 (t) y para el carbón de 1 (t).</t>
  </si>
  <si>
    <t>Elaboración propia basada en Our World In Data</t>
  </si>
  <si>
    <t>Toneladas per cápita</t>
  </si>
  <si>
    <t>https://analytics.zoho.com/open-view/2395394000007837090</t>
  </si>
  <si>
    <t>En Chile, durante el periodo 1990-2019, el uso de fuentes de energía convencionales ha ido en aumento y con esto las emisiones de CO2 hacia la atmósfera. El petróleo es la fuente que más emisiones de este gas realiza, registrando para el año 1990 18.527.236 toneladas y, para el año 2019, 47.431.109 toneladas, un valor 2,6 veces más grande.</t>
  </si>
  <si>
    <t>La tendencia de las emisiones de CO2 por quema de combustible, que considera petróleo, gas y carbón, va al alza desde el año 2017, alcanzando en 2019 las 83.355.309 toneladas. En el año 1997 se registró la proporción mas alta con respecto al año anterior, alcanzando un porcentaje de 116,9%. La más baja ocurrió en el año 2001, con una proporción respecto al año 2000 de 90,2%.</t>
  </si>
  <si>
    <t>https://analytics.zoho.com/open-view/2395394000007891846</t>
  </si>
  <si>
    <t>Proporción emisiones con respecto al año anterior</t>
  </si>
  <si>
    <t>Periodo 2005-2019</t>
  </si>
  <si>
    <t>Personas</t>
  </si>
  <si>
    <t>https://analytics.zoho.com/open-view/2395394000008038511</t>
  </si>
  <si>
    <t>Trabajadores dependientes</t>
  </si>
  <si>
    <t>Tamaño empresa</t>
  </si>
  <si>
    <t xml:space="preserve">Variación anual de trabajadores </t>
  </si>
  <si>
    <t>Trabajadores dependientes o a honorarios</t>
  </si>
  <si>
    <t>En la región del Biobío, los trabajadores dependientes informados superaron en más de 450.000 a los trabajadores a honorarios informados en el año 2005. Se observa que esta brecha tiende a aumentar cada año, alcanzando en el año 2019 una diferencia de mas de 670.00 trabajadores.</t>
  </si>
  <si>
    <t>Cantidad de Trabajadores informados por región</t>
  </si>
  <si>
    <t>A nivel nacional, se observa que los años 2009 y 2011 fueron los que tuvieron un mayor incremento anual en la frecuencia de delitos, con un 8,3% y 9,8% respectivamente. En los últimos 6 años, se aprecia una tendencia a la baja, la cual se exacerba considerablemente el año 2020. Al analizar el periodo completo, la frecuencia del último año es un 24,1% menor que la del año 2009, lo cual se explica en gran medida por la baja ocurrida en el año 2020.</t>
  </si>
  <si>
    <t>A nivel nacional, en el año 2009 se observa la mayor disminución del número de trabajadores dependientes informados tanto para hombres como para mujeres, reduciéndose respecto al año anterior en un 4,7% y un 2,7% respectivamente. Por el contrario, las mayores alzas se registraron el año 2007 para mujeres, con un 12,3%, y el año 2011 para hombres, con un 8,2%, respecto del año anterior. Estos porcentajes varían de acuerdo al Tramo según Ventas que caracteriza a los tipos de empresas y por sus respectivos tramos específicos.</t>
  </si>
  <si>
    <t>En la región metropolitana, el tercer trimestre del año 2019, fue el trimestre con mayor cantidad de casos de Violencia Intrafamiliar (VIF) presentados ante la fiscalía nacional, con 30.487 casos, siendo 22.883 casos en que las víctimas son mujeres y 7.604 casos en que las víctimas son hombres.</t>
  </si>
  <si>
    <t>https://analytics.zoho.com/open-view/2395394000008195941</t>
  </si>
  <si>
    <t>0018</t>
  </si>
  <si>
    <t>0054</t>
  </si>
  <si>
    <t>0055</t>
  </si>
  <si>
    <t>0056</t>
  </si>
  <si>
    <t>0057</t>
  </si>
  <si>
    <t>0058</t>
  </si>
  <si>
    <t>0059</t>
  </si>
  <si>
    <t>0060</t>
  </si>
  <si>
    <t>0061</t>
  </si>
  <si>
    <t>0062</t>
  </si>
  <si>
    <t>0063</t>
  </si>
  <si>
    <t>0064</t>
  </si>
  <si>
    <t>0065</t>
  </si>
  <si>
    <t>0066</t>
  </si>
  <si>
    <t>0067</t>
  </si>
  <si>
    <t>0068</t>
  </si>
  <si>
    <t>0069</t>
  </si>
  <si>
    <t>https://analytics.zoho.com/open-view/2395394000008181172</t>
  </si>
  <si>
    <t>https://analytics.zoho.com/open-view/2395394000007777467</t>
  </si>
  <si>
    <t xml:space="preserve">Capacidad Instalada </t>
  </si>
  <si>
    <t>https://analytics.zoho.com/open-view/2395394000008439156</t>
  </si>
  <si>
    <t>https://analytics.zoho.com/open-view/2395394000008435674</t>
  </si>
  <si>
    <t>SIMCE</t>
  </si>
  <si>
    <t>Los colegios particulares, han obtenido un puntaje promedio sobre los 130 puntos, en la prueba SIMCE de lectura tomada a los alumnos de 4° Básico, superando por más de 30 puntos a los colegios de otras dependencias del país, en los años 2015, 2016, 2017 y 2018.</t>
  </si>
  <si>
    <t>Agencia de Calidad de la Educación</t>
  </si>
  <si>
    <t>Periodo 2015 - 2018</t>
  </si>
  <si>
    <t>https://analytics.zoho.com/open-view/2395394000007908466</t>
  </si>
  <si>
    <t>Puntaje</t>
  </si>
  <si>
    <t>Puntaje promedio por tipo de establecimiento</t>
  </si>
  <si>
    <t>Los colegios de áreas urbana, han obtenidos un puntaje promedio mayor en la prueba SIMCE de lectura tomada a los alumnos de 6° Básico, en los años 2015, 2016 y 2018, que aquellos colegios ubicados en áreas rurales, con diferentes puntajes según la región en la que se ubican.</t>
  </si>
  <si>
    <t>Puntaje promedio por comuna</t>
  </si>
  <si>
    <t>Puntaje promedio y máximo por comuna</t>
  </si>
  <si>
    <t>La Comuna de Tortel es la que presenta un mayor puntaje promedio en la prueba SIMCE de lectura tomada a los alumnos de 8° Básico, el año 2020, obteniendo 160 puntos, y un puntaje máximo de 274 puntos, mientras que la comuna de Vitacura presenta un puntaje promedio de 154 puntos y un máximo de 306 puntos.</t>
  </si>
  <si>
    <t>https://analytics.zoho.com/open-view/2395394000007908947</t>
  </si>
  <si>
    <t>Durante el periodo comprendido entre los años 2014 al 2019, los establecimientos de educación Municipal muestran una disminución, hacia el fin del periodo, en el puntaje del indicador de Participación y formación ciudadana, que mide las percepciones de estudiantes y padres y apoderados sobre el grado en que la institución fomenta la participación y el compromiso de los miembros de la comunidad educativa.</t>
  </si>
  <si>
    <t>Periodo 2014 - 2019</t>
  </si>
  <si>
    <t>Indicadores de Desarrollo Personal y Social</t>
  </si>
  <si>
    <t>Puntaje por dependencia de establecimientos por región</t>
  </si>
  <si>
    <t>https://analytics.zoho.com/open-view/2395394000007832763</t>
  </si>
  <si>
    <t>Femicidios</t>
  </si>
  <si>
    <t>Cantidad de víctimas por edad</t>
  </si>
  <si>
    <t>Número de víctimas</t>
  </si>
  <si>
    <t>Entre los 0 y 95 años se registran victimas de femicidio a partir del año 2010 a la fecha, concentrándose la mayor cantidad de víctimas en el rango etario comprendido entre los 16 y los 54 años.</t>
  </si>
  <si>
    <t>https://analytics.zoho.com/open-view/2395394000007849686</t>
  </si>
  <si>
    <t>La mayor cantidad de femicidios se llevan a cabo por los convivientes, cónyuges, ex convivientes o ex cónyuges.</t>
  </si>
  <si>
    <t>Red Chilena contra la violencia hacia la Mujer</t>
  </si>
  <si>
    <t xml:space="preserve">Cantidad de víctimas por relación con el femicida </t>
  </si>
  <si>
    <t>https://analytics.zoho.com/open-view/2395394000007849604</t>
  </si>
  <si>
    <t>Cantidad de víctimas de femicidios en Chile</t>
  </si>
  <si>
    <t>Periodo 2018-2021</t>
  </si>
  <si>
    <t>Ministerio de la Mujer y Equidad de Género (MINMEG)</t>
  </si>
  <si>
    <t>https://analytics.zoho.com/open-view/2395394000007774595</t>
  </si>
  <si>
    <t>https://analytics.zoho.com/open-view/2395394000006644987</t>
  </si>
  <si>
    <t>Comparando los últimos 4 años, coincide el número de víctimas registradas a finales del primer semestre, las que bordean los 20 casos.</t>
  </si>
  <si>
    <t>El mes de marzo del año 2016 es el que registra un mayor número de víctimas de femicidio, con 11 casos. Lo siguen el mes de octubre del mismo año, diciembre de 2010 y mayo de 2015, con 10 casos. Por su parte, el mes de Septiembre es el que registra menos casos a lo largo de los años, sin embargo la línea de tendencia muestra una ocurrencia promedio de 5 víctimas al mes.</t>
  </si>
  <si>
    <t>Al mes de mayo del año 2021, el parque vehicular escolar registra 26.550 vehículos, siendo la región Metropolitana la que lidera la cifra con un total de 8.268 vehículos. La región del Biobío es la segunda región con la mayor cantidad de estos, alcanzando los 2.974 vehículos.</t>
  </si>
  <si>
    <t>Parque vehicular escolar</t>
  </si>
  <si>
    <t>Periodo 2014-2021</t>
  </si>
  <si>
    <t>Cantidad de vehículos escolares por región</t>
  </si>
  <si>
    <t>Durante los años 1997 y 2020 se evaluaron 621 programas/instituciones del Servicio Público, bajo diferentes modalidades, según el año de evaluación. Las categorías de evaluación son Ajustes menores, Buen desempeño, Desempeño insuficiente, Rediseño sustantivo, Resultados No demostrados, entre otras. En esta última categoría, 19 programas/institución obtuvieron esta clasificación, entre los años 2009 y 2014.</t>
  </si>
  <si>
    <t>https://app.powerbi.com/view?r=eyJrIjoiOTYzMmNhMzUtZjhhZi00ZWU2LTgwMGQtZGJmMjk4MGE3YzE3IiwidCI6IjhmYmFhNWJmLTJlY2MtNGRjOC1iNTZiLThmOTJlMzA3ZjA3NiIsImMiOjR9</t>
  </si>
  <si>
    <t>https://public.flourish.studio/visualisation/6688416/</t>
  </si>
  <si>
    <t>Periodo 1997-2020</t>
  </si>
  <si>
    <t>Clasificación</t>
  </si>
  <si>
    <t>Detalle Programas e Instituciones</t>
  </si>
  <si>
    <t>Grado de desempeño por programa o institución evaluada</t>
  </si>
  <si>
    <t>Grado de desempeño</t>
  </si>
  <si>
    <t>La comuna de Iquique, que posee una población de 223.463 habitantes, a la fecha ya supera los 2.300 fallecidos por millón de habitantes producto de la pandemia de COVID-19. El día 9 de julio se registran 523 fallecidos totales, lo que se traduce en 2340 fallecidos por millón de habitantes.</t>
  </si>
  <si>
    <t>Número de fallecidos</t>
  </si>
  <si>
    <t>Cantidad de fallecidos por 1 MM de habitantes</t>
  </si>
  <si>
    <t>Los colegios particulares, han obtenido un puntaje sobre los 225 puntos, en la prueba SIMCE de matemáticas tomada a los alumnos de 2° Medio, superando por más de 80 puntos a los colegios municipales, subvencionados y de otras dependencias del país, en los años 2015, 2016, 2017 y 2018.</t>
  </si>
  <si>
    <t>Periodo 2015-2018</t>
  </si>
  <si>
    <t>Puntaje promedio por establecimiento</t>
  </si>
  <si>
    <t>https://analytics.zoho.com/open-view/2395394000007946692</t>
  </si>
  <si>
    <t>https://analytics.zoho.com/open-view/2395394000007908748</t>
  </si>
  <si>
    <t>Autoestima, Convivencia, Hábitos Salud y Participación</t>
  </si>
  <si>
    <t>https://analytics.zoho.com/open-view/2395394000007959800</t>
  </si>
  <si>
    <t>https://analytics.zoho.com/open-view/2395394000007946934</t>
  </si>
  <si>
    <t>En la región de Valparaíso, los Indicadores de Desarrollo Personal y Social, relativos a la Autoestima académica y motivación escolar, Convivencia escolar, Hábitos de vida Saludable y Participación y formación ciudadana, muestran un descenso hacia el año 2019; mientras en el año 2014 arrojaron valores por sobre los 66 puntos, el año 2019, todos los indicadores arrojaron valores entre los 20 y 30 puntos, los que varían según el tipo de dependencia del establecimiento y por cada establecimiento en particular.</t>
  </si>
  <si>
    <t>Autoestima Académica y Motivación Escolar</t>
  </si>
  <si>
    <t>La comuna de Pichidegua, de la región de O'Higgins, es la que presenta el mayor puntaje promedio del indicador de Autoestima académica y motivación escolar, alcanzando los 59,4 puntos, seguido de la comuna, seguido por la Comuna de Catemu, de la Región de Valparaíso, con 59 puntos, sin embargo a nivel nacional, para el año 2019, ninguna comuna del país supera los 44 puntos, para un indicador que va del 0 a 100 puntos.</t>
  </si>
  <si>
    <t>Clima de Convivencia Escolar</t>
  </si>
  <si>
    <t>Durante el periodo comprendido entre los años 2014 al 2019, los establecimientos de educación de Corporación de administración delegada, es decir aquellos establecimientos de educación técnico profesional, de propiedad del Estado, que son financiados a través de convenios de administración suscritos por entidades de derecho privado, son los que presentan el mayor puntaje del indicador de Clima de Convivencia Escolar, sin embargo el año 2019, el puntaje cae considerablemente, incluso con puntajes más bajos que los colegios de otras dependencias.</t>
  </si>
  <si>
    <t>Al comparar la superficie autorizada para edificaciones entre los meses de mayo del 2020 y 2021, se observa que las obras nuevas disminuyeron, mientras que las ampliaciones aumentaron, sin importar si la edificación posee un uso habitacional o no habitacional.</t>
  </si>
  <si>
    <t>Metros cuadrados</t>
  </si>
  <si>
    <t>https://public.flourish.studio/visualisation/6691988/</t>
  </si>
  <si>
    <t>Superficie de edificación autorizada en Chile</t>
  </si>
  <si>
    <t>Para el año 2019, las empresas que tuvieron más trabajadores dependientes informados fueron las correspondientes al tramo Grande 4, es decir, empresas con ganancias mayores a UF 1.000.000. En este tramo, la cantidad de trabajadores hombres superó en aproximadamente 1.000.000 a la cantidad de trabajadoras mujeres.</t>
  </si>
  <si>
    <t>Trabajadores por sexo</t>
  </si>
  <si>
    <t>Cantidad de trabajadors dependientes informados</t>
  </si>
  <si>
    <t>https://analytics.zoho.com/open-view/2395394000008038558</t>
  </si>
  <si>
    <t>El año 2018 y 2019, la renta neta de las trabajadoras en Coquimbo aumentó considerablemente en la empresas consideradas en los tramos Micro 1 y Micro 2. La renta neta de mujeres en las empresas Micro 1, registró un aumento de $354.986 a $1.157.370 y en las empresas Micro 2 el aumento fue desde $389.344 a $780.590. La Renta Neta corresponde a la suma de las rentas recibidas cada mes, descontadas las cotizaciones previsionales de carácter obligatorio y/o voluntaria.</t>
  </si>
  <si>
    <t>CLP</t>
  </si>
  <si>
    <t>Renta neta informada</t>
  </si>
  <si>
    <t>Renta neta</t>
  </si>
  <si>
    <t>https://analytics.zoho.com/open-view/2395394000008435942</t>
  </si>
  <si>
    <t>El número de empresas aumentó sostenidamente durante los años comprendidos en el periodo 2005-2019. Las empresas correspondientes al tramo Sin Ventas, presentan el mayor crecimiento durante todo este periodo, seguido por los tramos Micro 3 y Micro 1.</t>
  </si>
  <si>
    <t>Número de empresas</t>
  </si>
  <si>
    <t>Cantidad de empresas por tamaño</t>
  </si>
  <si>
    <t>Empresas</t>
  </si>
  <si>
    <t>Empresas por tamaño</t>
  </si>
  <si>
    <t>https://analytics.zoho.com/open-view/2395394000008438077</t>
  </si>
  <si>
    <t>Programa de Salud Cardiovascular</t>
  </si>
  <si>
    <t>Población controlada en Chile</t>
  </si>
  <si>
    <t>Categoría</t>
  </si>
  <si>
    <t>Año 2018</t>
  </si>
  <si>
    <t>https://analytics.zoho.com/open-view/2395394000008043046</t>
  </si>
  <si>
    <t>Periodo 1990-2018</t>
  </si>
  <si>
    <t>Kilotoneladas</t>
  </si>
  <si>
    <t>https://analytics.zoho.com/open-view/2395394000007900622</t>
  </si>
  <si>
    <t>Sistema Nacional de Inventarios de Gases de Efecto Invernadero</t>
  </si>
  <si>
    <t>La absorción de un gas se mide en kilotoneladas (kt) y se identifica con un signo negativo. Durante el periodo 1990-2018, la región que absorbió más dióxido de carbono (CO2) fue Biobío, con 711.829,8 (kt) absorbidas. Por el contrario, la que menos CO2 absorbió fue Arica y Parinacota, con 0,2 (kt).</t>
  </si>
  <si>
    <t>Absorciones de CO2</t>
  </si>
  <si>
    <t>Emisiones netas de CO2</t>
  </si>
  <si>
    <t>En el año 1990, se observó la cantidad más baja de emisiones netas de CO2 en el país, con -684 kilotoneladas (kt), mientras que en el año 2017 ocurrió la más alta, alcanzando 6.219 (kt).</t>
  </si>
  <si>
    <t>https://analytics.zoho.com/open-view/2395394000007906094</t>
  </si>
  <si>
    <t>Cantidad de CO2 absorbido por región</t>
  </si>
  <si>
    <t>Promedio emisiones netas de CO2 en Chile</t>
  </si>
  <si>
    <t>El gas que más se emitió durante el periodo comprendido entre los años 1990 y 2018 fue el dióxido de carbono (CO2). En segundo lugar se encuentra el metano (CH4) y el menos emitido fue el hexafluoruro de azufre (SF6). Durante el año 2017, se emitió la mayor cantidad de CO2 y de CH4, alcanzando 236.062 kilotoneladas (kt) de CO2eq y 15.948 (kt) de CO2eq, respectivamente.</t>
  </si>
  <si>
    <t>https://analytics.zoho.com/open-view/2395394000007972705</t>
  </si>
  <si>
    <t>Emisiones de CO2 equivalente por gas en Chile</t>
  </si>
  <si>
    <t xml:space="preserve">Emisiones de CO2 </t>
  </si>
  <si>
    <t>Emisiones y absorciones de CO2</t>
  </si>
  <si>
    <t>El subsector que más CO2 equivalente emitió en el año 2018 fue "Actividades de quema de combustible", alcanzando 85.974 kilotoneladas (kt). Por el contrario, el subsector que absorbió más CO2 equivalente fue "Tierras forestales", llegando a absorber 61.344 (kt).</t>
  </si>
  <si>
    <t>Emisiones y absorciones por subsector en Chile</t>
  </si>
  <si>
    <t>https://analytics.zoho.com/open-view/2395394000008027347</t>
  </si>
  <si>
    <t>Durante el año tributario 2019, en la región de Magallanes se registraron 855 hombres trabajadores dependientes informados y 83 mujeres trabajadoras dependientes informadas, en el rubro B-Explotación minera y canteras.</t>
  </si>
  <si>
    <t>https://analytics.zoho.com/open-view/2395394000008532437</t>
  </si>
  <si>
    <t>Trabajadores dependientes informados por sexo por región</t>
  </si>
  <si>
    <t>A nivel nacional, las ventas anuales en UF muestran una tendencia de crecimiento exponencial, llegando hasta 529.791.788 UF en el rubro de L-Actividades Inmobiliarias.</t>
  </si>
  <si>
    <t>Ventas anuales por rubro en Chile</t>
  </si>
  <si>
    <t>https://analytics.zoho.com/open-view/2395394000008025748</t>
  </si>
  <si>
    <t>Para el año 2018, las comunas con la mayor cantidad de casos de Cáncer de Cuello Uterino fueron Temuco con 30 casos, seguido por La Serena y Valparaíso con 23 casos cada una y luego Santiago con 22 casos para el mismo año.</t>
  </si>
  <si>
    <t>https://analytics.zoho.com/open-view/2395394000008034444</t>
  </si>
  <si>
    <t>Casos de cáncer por comuna</t>
  </si>
  <si>
    <t>Servicio de Salud</t>
  </si>
  <si>
    <t>Emisiones de CO2 equivalente en Chile</t>
  </si>
  <si>
    <t>https://analytics.zoho.com/open-view/2395394000008034280</t>
  </si>
  <si>
    <t>En el año 2018, la región que emitió más CO2 equivalente fue la Metropolitana, con 22.259 kilotoneladas (kt), mientras que la que menos emitió fue la región de Arica y Parinacota, con 709 (kt). Por el contrario, las absorciones más altas ocurrieron en la región de Aysén, con -18.390 (kt) de CO2 equivalente.</t>
  </si>
  <si>
    <t>Incendios Forestales</t>
  </si>
  <si>
    <t>Durante el periodo 2010-2020 mas de 1,2 millones de hectáreas han sido afectadas por incendios forestales en la Región de la Araucanía.</t>
  </si>
  <si>
    <t>https://infogram.com/incendios-2010-2020-1h1749vvopnyq6z?live</t>
  </si>
  <si>
    <t>Superficie quemada por incendios forestales por región</t>
  </si>
  <si>
    <t>Superficie afectada por incendios forestales en Chile</t>
  </si>
  <si>
    <t>Durante la temporada de incendios 2014-2015, en la región de Los Lagos ocurrieron 434 incendios que afectaron 4.934 hectáreas, de las cuales un 89,5% correspondían a vegetación natural, 6,5% a otros usos de la tierra y un 4% a plantaciones forestales. Es la temporada con mayor superficie afectada por incendios en el periodo comprendido entre los años 2010 y 2020.</t>
  </si>
  <si>
    <t>https://app.powerbi.com/view?r=eyJrIjoiMzMzOTNiMzAtNWQzYy00YWRjLWFkZjEtODJlNGU0ODlkZmNmIiwidCI6IjhmYmFhNWJmLTJlY2MtNGRjOC1iNTZiLThmOTJlMzA3ZjA3NiIsImMiOjR9&amp;pageName=ReportSection08bca2e0063b013060ea</t>
  </si>
  <si>
    <t>https://app.powerbi.com/view?r=eyJrIjoiNjMzYThjMGUtNjRjNy00OTM5LTgxOGEtNTk0YzE5MWU3M2YxIiwidCI6IjhmYmFhNWJmLTJlY2MtNGRjOC1iNTZiLThmOTJlMzA3ZjA3NiIsImMiOjR9</t>
  </si>
  <si>
    <t>Número y Superficie de incendios por causa</t>
  </si>
  <si>
    <t>Número de incendios y Hectáreas</t>
  </si>
  <si>
    <t>https://app.powerbi.com/view?r=eyJrIjoiYTI3ZjVjZDMtZGI1My00ZmI2LWIzNTQtZTEzYTg0OTBiOTJhIiwidCI6IjhmYmFhNWJmLTJlY2MtNGRjOC1iNTZiLThmOTJlMzA3ZjA3NiIsImMiOjR9&amp;pageName=ReportSectiond48f98dfacc7e0670cf6</t>
  </si>
  <si>
    <t>Durante la temporada de incendios forestales 2016-2017 se afectaron 16.663 hectáreas en la región del Valparaíso, siendo la causa general más recurrente reportada el "Tránsito de personas vehículos o aeronaves". De esta superficie 16.637 hectáreas fueron clasificadas dentro de la causa específica "Uso de fuego por transeúntes", en segundo lugar, con 25,5 hectáreas, son atribuidas a la causa específica definida como "Accidente o incendio de vehículo en tránsito".</t>
  </si>
  <si>
    <t>Elecciones</t>
  </si>
  <si>
    <t>Candidatos electos, Lista-Partido y Votación Obtenida a los cargos de Elección Popular, para 7 comunas</t>
  </si>
  <si>
    <t>https://app.powerbi.com/view?r=eyJrIjoiZmYzNzdjZDQtZGYyZS00MTVhLThmMDYtNjY2ZTA0YjIwOGM0IiwidCI6IjhmYmFhNWJmLTJlY2MtNGRjOC1iNTZiLThmOTJlMzA3ZjA3NiIsImMiOjR9</t>
  </si>
  <si>
    <t>Número de candidatos</t>
  </si>
  <si>
    <t>Candidatos electos por comuna</t>
  </si>
  <si>
    <t>Servicio Electoral (SERVEL)</t>
  </si>
  <si>
    <t>Periodo 1990-2020</t>
  </si>
  <si>
    <t>https://app.powerbi.com/view?r=eyJrIjoiNzk5ZjYxMTUtMTIwZi00NWEwLTk4NzUtZWZmYmFlOTk2ODljIiwidCI6IjhmYmFhNWJmLTJlY2MtNGRjOC1iNTZiLThmOTJlMzA3ZjA3NiIsImMiOjR9</t>
  </si>
  <si>
    <t>Número de cupos</t>
  </si>
  <si>
    <t>Cupos de elección popular por comuna</t>
  </si>
  <si>
    <t>Candidatos electos</t>
  </si>
  <si>
    <t>Cupos</t>
  </si>
  <si>
    <t>Números de Cupos para ocupar en cargos de Elección Popular, específicamente, para senadores, diputados, consejeros regionales alcaldes y concejales, los que varían según el cargo a ocupar y la densidad poblacional para las diferentes regiones y comunas.</t>
  </si>
  <si>
    <t>Periodo 1993-2019</t>
  </si>
  <si>
    <t>El año 1993 fue el primer año en que se registró la información de empresas por tipo de contribuyente, incluyendo en este año, las empresas creadas con anterioridad. A partir del año 1994 comienza el registro individual anual. En este contexto, en la Región de Antofagasta, las empresas cuyo contribuyente se clasifica como "Persona Jurídica Comercial", aumentaron exponencialmente hasta el año 2018, alcanzando las 2.555 empresas.</t>
  </si>
  <si>
    <t>https://analytics.zoho.com/open-view/2395394000008461061</t>
  </si>
  <si>
    <t>Empresas vigentes</t>
  </si>
  <si>
    <t xml:space="preserve">Trabajadores </t>
  </si>
  <si>
    <t>Número de trabajadores</t>
  </si>
  <si>
    <t>Cantidad de empresas vigentes por comuna</t>
  </si>
  <si>
    <t>Cantidad de trabajadores por comuna</t>
  </si>
  <si>
    <t>https://analytics.zoho.com/open-view/2395394000008461297</t>
  </si>
  <si>
    <t>La Población en Control del Programa VIH/SIDA aumentó en el periodo comprendido entre los años 2012 y 2018, con más de 35 mil casos para el último año. La comuna de Santiago fue la que más casos registró, acumulando más de 25 mil casos entre los años 2015 y 2018, seguida de San Miguel y Providencia, ambas con mas de 11 mil casos.</t>
  </si>
  <si>
    <t>https://analytics.zoho.com/open-view/2395394000008049492</t>
  </si>
  <si>
    <t>Periodo 2012-2018</t>
  </si>
  <si>
    <t>Población en control por comuna</t>
  </si>
  <si>
    <t>La Población en Control del Programa VIH/SIDA ha ido en aumento a medida que avanzan los años, terminando en el 2018 con más de 35 mil casos. Al analizar este periodo y sus casos acumulados, la región Metropolitana fue la que contó con la mayor cantidad de casos, sumando un total de 98 mil. Por otro lado, la región que presentó la menor cantidad de casos acumulados fue Aysén, con 308 casos desde el 2012 al 2018.</t>
  </si>
  <si>
    <t>Población en control por región</t>
  </si>
  <si>
    <t>https://analytics.zoho.com/open-view/2395394000008049248</t>
  </si>
  <si>
    <t>Población en control por rango etario</t>
  </si>
  <si>
    <t>https://analytics.zoho.com/open-view/2395394000008049343</t>
  </si>
  <si>
    <t>Espacios culturales</t>
  </si>
  <si>
    <t>Las comunas que tienen más de 50 espacios culturales son Santiago, Valparaíso y Providencia, con 104, 60 y 51 espacios, respectivamente.</t>
  </si>
  <si>
    <t>https://analytics.zoho.com/open-view/2395394000008046482</t>
  </si>
  <si>
    <t>Financiamiento</t>
  </si>
  <si>
    <t>La mayoría de los espacios culturales se financian por fuentes públicas, seguido por las fuentes privadas y las mixtas. La región que cuenta con más espacios financiados por fuentes públicas es la Metropolitana, con 146. Por otro lado, la que menos tiene es Arica y Parinacota, con 18.</t>
  </si>
  <si>
    <t>Cantidad de espacios culturales por financiamiento por comuna</t>
  </si>
  <si>
    <t>https://analytics.zoho.com/open-view/2395394000008056809</t>
  </si>
  <si>
    <t>La categoría de espacio cultural que predomina en Chile es "Otros espacios con uso cultural". En ella, Valparaíso tiene 153 espacios. Por otro lado, la categoría menos habitual es "Carpa de Circo", con solo 5 espacios, repartidos en Coquimbo, Valparaíso y Ñuble.</t>
  </si>
  <si>
    <t>La mayoría de los espacios culturales en el país, se encuentra en buen estado de mantención. La región Metropolitana tiene 281 espacios en buen estado, seguido de Valparaíso, con 208, sin embargo Valparaíso es la región que posee la mayor cantidad de espacios culturales en estado Regular, con 62 espacios culturales en esta categoría.</t>
  </si>
  <si>
    <t>https://analytics.zoho.com/open-view/2395394000008056334</t>
  </si>
  <si>
    <t>Estado mantención</t>
  </si>
  <si>
    <t>Ubicación</t>
  </si>
  <si>
    <t>Ubicación de espacios culturales por comuna</t>
  </si>
  <si>
    <t>Lat-Long</t>
  </si>
  <si>
    <t xml:space="preserve">Mapa </t>
  </si>
  <si>
    <t>https://analytics.zoho.com/open-view/2395394000008643867</t>
  </si>
  <si>
    <t>https://analytics.zoho.com/open-view/2395394000008645520</t>
  </si>
  <si>
    <t>https://public.flourish.studio/visualisation/6936641/</t>
  </si>
  <si>
    <t>https://analytics.zoho.com/open-view/2395394000008645674</t>
  </si>
  <si>
    <t>https://analytics.zoho.com/open-view/2395394000008646336</t>
  </si>
  <si>
    <t>https://app.powerbi.com/view?r=eyJrIjoiODUwZTBkYWItOTg4OC00NTY4LThmOGYtNmY1Yjg4ZTBiYThlIiwidCI6IjhmYmFhNWJmLTJlY2MtNGRjOC1iNTZiLThmOTJlMzA3ZjA3NiIsImMiOjR9</t>
  </si>
  <si>
    <t>https://app.powerbi.com/view?r=eyJrIjoiNDJiYjBiMTgtMDI3MC00MTYzLWIyNjctOWY3YWI3MzQ5OTZmIiwidCI6IjhmYmFhNWJmLTJlY2MtNGRjOC1iNTZiLThmOTJlMzA3ZjA3NiIsImMiOjR9</t>
  </si>
  <si>
    <t>https://app.powerbi.com/view?r=eyJrIjoiYTkxMWQzMWItYjVkZC00MDM1LWI1N2YtODI3ZTcwMjZlMTJhIiwidCI6IjhmYmFhNWJmLTJlY2MtNGRjOC1iNTZiLThmOTJlMzA3ZjA3NiIsImMiOjR9</t>
  </si>
  <si>
    <t>https://app.powerbi.com/view?r=eyJrIjoiMzM3MzQwMDMtMzNkNS00ZmJjLWI4NTgtNzQzNDViZjM2ZDdhIiwidCI6IjhmYmFhNWJmLTJlY2MtNGRjOC1iNTZiLThmOTJlMzA3ZjA3NiIsImMiOjR9</t>
  </si>
  <si>
    <t>https://app.powerbi.com/view?r=eyJrIjoiYzQyZThjYTctOTk5OS00NTY4LWJmZWEtZDYzMjdhNDE5N2Y5IiwidCI6IjhmYmFhNWJmLTJlY2MtNGRjOC1iNTZiLThmOTJlMzA3ZjA3NiIsImMiOjR9</t>
  </si>
  <si>
    <t>https://app.powerbi.com/view?r=eyJrIjoiNGEyYjQ5YjQtM2RlMy00NzZmLTg2YjUtOWE5YTg4NmZmYTJiIiwidCI6IjhmYmFhNWJmLTJlY2MtNGRjOC1iNTZiLThmOTJlMzA3ZjA3NiIsImMiOjR9</t>
  </si>
  <si>
    <t>https://app.powerbi.com/view?r=eyJrIjoiZjFmZDM4OTItZTEwYi00Mjk2LWJiNWUtMGQ5ZTNlOTVkNjZlIiwidCI6IjhmYmFhNWJmLTJlY2MtNGRjOC1iNTZiLThmOTJlMzA3ZjA3NiIsImMiOjR9</t>
  </si>
  <si>
    <t>https://app.powerbi.com/view?r=eyJrIjoiMDI1ZjhhZTctMDhlZi00ZmI1LWIzMjctMzMxM2ZhYzMxN2QzIiwidCI6IjhmYmFhNWJmLTJlY2MtNGRjOC1iNTZiLThmOTJlMzA3ZjA3NiIsImMiOjR9</t>
  </si>
  <si>
    <t>https://app.powerbi.com/view?r=eyJrIjoiZDFmNjZkOGEtZmZjZS00NTVjLWFiYzgtN2M0NDQ0M2NiNmJjIiwidCI6IjhmYmFhNWJmLTJlY2MtNGRjOC1iNTZiLThmOTJlMzA3ZjA3NiIsImMiOjR9</t>
  </si>
  <si>
    <t>https://app.powerbi.com/view?r=eyJrIjoiZjg1YTE4MDktYzFmNi00YjcyLWFlMWMtM2I5ZjhlOGZiNjM1IiwidCI6IjhmYmFhNWJmLTJlY2MtNGRjOC1iNTZiLThmOTJlMzA3ZjA3NiIsImMiOjR9</t>
  </si>
  <si>
    <t>https://app.powerbi.com/view?r=eyJrIjoiYWFlYWExNTItZDc4YS00MmVlLThjYmQtZDE0Mjg4MDI4ZTZiIiwidCI6IjhmYmFhNWJmLTJlY2MtNGRjOC1iNTZiLThmOTJlMzA3ZjA3NiIsImMiOjR9</t>
  </si>
  <si>
    <t>https://app.powerbi.com/view?r=eyJrIjoiNmQ4YjE5NzAtZjZhYy00NzMxLWI5MTAtNGM4YzQzZGIyNTgwIiwidCI6IjhmYmFhNWJmLTJlY2MtNGRjOC1iNTZiLThmOTJlMzA3ZjA3NiIsImMiOjR9&amp;pageName=ReportSection9386d36f00b3701c0c1d</t>
  </si>
  <si>
    <t>https://app.powerbi.com/view?r=eyJrIjoiYjc2MjY2MjYtZDUyZS00MjUwLWI1MWItOTFkN2I5NzJhZWQzIiwidCI6IjhmYmFhNWJmLTJlY2MtNGRjOC1iNTZiLThmOTJlMzA3ZjA3NiIsImMiOjR9</t>
  </si>
  <si>
    <t>https://app.powerbi.com/view?r=eyJrIjoiNjllOGM2MWUtZmRjNS00ZGRjLTk2NDEtYTQ4MDRiMWY3MTQ0IiwidCI6IjhmYmFhNWJmLTJlY2MtNGRjOC1iNTZiLThmOTJlMzA3ZjA3NiIsImMiOjR9</t>
  </si>
  <si>
    <t>https://app.powerbi.com/view?r=eyJrIjoiYmM4NDNmZGQtNDEzMS00MzRkLWJiZWUtYjljYWE2MGU5NzgwIiwidCI6IjhmYmFhNWJmLTJlY2MtNGRjOC1iNTZiLThmOTJlMzA3ZjA3NiIsImMiOjR9</t>
  </si>
  <si>
    <t>https://app.powerbi.com/view?r=eyJrIjoiOWVmOWU0YTYtZWY0NS00ZTZlLWJlMDMtYTMwNWVjOTU5YTNhIiwidCI6IjhmYmFhNWJmLTJlY2MtNGRjOC1iNTZiLThmOTJlMzA3ZjA3NiIsImMiOjR9</t>
  </si>
  <si>
    <t>https://app.powerbi.com/view?r=eyJrIjoiZDhlM2ZjNDQtYjE2My00NmY3LWE5ZjktNjI2NGZkMDA0Njc3IiwidCI6IjhmYmFhNWJmLTJlY2MtNGRjOC1iNTZiLThmOTJlMzA3ZjA3NiIsImMiOjR9</t>
  </si>
  <si>
    <t>Periodo 2008-2020</t>
  </si>
  <si>
    <t>El rango etario que presentó la mayor cantidad de casos acumulados de Cáncer de cuello Uterino, en el periodo 2011 al 2018, fue el de "65 y más años", con 293 casos , seguido del rango etario "55-59". Por otro lado, el rango etario con la menor cantidad de casos fue el clasificados como "menor de 25", alcanzando 72 casos para todo el periodo, sin embargo este rango etario, el año 2018, presenta un incremento considerable de casos.</t>
  </si>
  <si>
    <t>https://analytics.zoho.com/open-view/2395394000008099175</t>
  </si>
  <si>
    <t>Casos de cáncer por región</t>
  </si>
  <si>
    <t>0127</t>
  </si>
  <si>
    <t>0128</t>
  </si>
  <si>
    <t>0129</t>
  </si>
  <si>
    <t>0132</t>
  </si>
  <si>
    <t>0137</t>
  </si>
  <si>
    <t>0138</t>
  </si>
  <si>
    <t>0140</t>
  </si>
  <si>
    <t>0144</t>
  </si>
  <si>
    <t>0145</t>
  </si>
  <si>
    <t>0146</t>
  </si>
  <si>
    <t>0149</t>
  </si>
  <si>
    <t>0154</t>
  </si>
  <si>
    <t>0155</t>
  </si>
  <si>
    <t>0157</t>
  </si>
  <si>
    <t>0441</t>
  </si>
  <si>
    <t>0442</t>
  </si>
  <si>
    <t>0443</t>
  </si>
  <si>
    <t>0444</t>
  </si>
  <si>
    <t>0445</t>
  </si>
  <si>
    <t>0446</t>
  </si>
  <si>
    <t>0447</t>
  </si>
  <si>
    <t>0448</t>
  </si>
  <si>
    <t>0449</t>
  </si>
  <si>
    <t>0450</t>
  </si>
  <si>
    <t>0451</t>
  </si>
  <si>
    <t>0452</t>
  </si>
  <si>
    <t>0453</t>
  </si>
  <si>
    <t>0454</t>
  </si>
  <si>
    <t>0455</t>
  </si>
  <si>
    <t>0456</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</si>
  <si>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</si>
  <si>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</si>
  <si>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</si>
  <si>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</si>
  <si>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</si>
  <si>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</si>
  <si>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</si>
  <si>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</si>
  <si>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</si>
  <si>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</si>
  <si>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</si>
  <si>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</si>
  <si>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</si>
  <si>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</si>
  <si>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</si>
  <si>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</si>
  <si>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</si>
  <si>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</si>
  <si>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</si>
  <si>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</si>
  <si>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</si>
  <si>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</si>
  <si>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</si>
  <si>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</si>
  <si>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</si>
  <si>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</si>
  <si>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</si>
  <si>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</si>
  <si>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</si>
  <si>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</si>
  <si>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</si>
  <si>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</si>
  <si>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</si>
  <si>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</si>
  <si>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</si>
  <si>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</si>
  <si>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</si>
  <si>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</si>
  <si>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</si>
  <si>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</si>
  <si>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</si>
  <si>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</si>
  <si>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</si>
  <si>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</si>
  <si>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</si>
  <si>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</si>
  <si>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</si>
  <si>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</si>
  <si>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</si>
  <si>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</si>
  <si>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</si>
  <si>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</si>
  <si>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</si>
  <si>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</si>
  <si>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</si>
  <si>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</si>
  <si>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</si>
  <si>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</si>
  <si>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</si>
  <si>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</si>
  <si>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</si>
  <si>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</si>
  <si>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</si>
  <si>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</si>
  <si>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</si>
  <si>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</si>
  <si>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</si>
  <si>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</si>
  <si>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</si>
  <si>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</si>
  <si>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</si>
  <si>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</si>
  <si>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</si>
  <si>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</si>
  <si>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</si>
  <si>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</si>
  <si>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</si>
  <si>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</si>
  <si>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</si>
  <si>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</si>
  <si>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</si>
  <si>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</si>
  <si>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</si>
  <si>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</si>
  <si>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</si>
  <si>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</si>
  <si>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</si>
  <si>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</si>
  <si>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</si>
  <si>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</si>
  <si>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</si>
  <si>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</si>
  <si>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</si>
  <si>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</si>
  <si>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</si>
  <si>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</si>
  <si>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</si>
  <si>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</si>
  <si>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</si>
  <si>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</si>
  <si>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</si>
  <si>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</si>
  <si>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</si>
  <si>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</si>
  <si>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</si>
  <si>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</si>
  <si>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</si>
  <si>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</si>
  <si>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</si>
  <si>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</si>
  <si>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</si>
  <si>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</si>
  <si>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</si>
  <si>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</si>
  <si>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</si>
  <si>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</si>
  <si>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</si>
  <si>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</si>
  <si>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</si>
  <si>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</si>
  <si>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</si>
  <si>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</si>
  <si>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</si>
  <si>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</si>
  <si>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</si>
  <si>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</si>
  <si>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</si>
  <si>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</si>
  <si>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</si>
  <si>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</si>
  <si>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</si>
  <si>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</si>
  <si>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</si>
  <si>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</si>
  <si>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</si>
  <si>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</si>
  <si>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</si>
  <si>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</si>
  <si>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</si>
  <si>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</si>
  <si>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</si>
  <si>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</si>
  <si>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</si>
  <si>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</si>
  <si>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</si>
  <si>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</si>
  <si>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</si>
  <si>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</si>
  <si>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</si>
  <si>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</si>
  <si>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</si>
  <si>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</si>
  <si>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</si>
  <si>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</si>
  <si>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</si>
  <si>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</si>
  <si>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</si>
  <si>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</si>
  <si>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</si>
  <si>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</si>
  <si>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</si>
  <si>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</si>
  <si>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</si>
  <si>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</si>
  <si>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</si>
  <si>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</si>
  <si>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</si>
  <si>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</si>
  <si>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</si>
  <si>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</si>
  <si>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</si>
  <si>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</si>
  <si>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</si>
  <si>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</si>
  <si>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</si>
  <si>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</si>
  <si>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</si>
  <si>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</si>
  <si>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</si>
  <si>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</si>
  <si>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</si>
  <si>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</si>
  <si>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</si>
  <si>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</si>
  <si>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</si>
  <si>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</si>
  <si>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</si>
  <si>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</si>
  <si>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</si>
  <si>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</si>
  <si>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</si>
  <si>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</si>
  <si>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</si>
  <si>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</si>
  <si>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</si>
  <si>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</si>
  <si>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</si>
  <si>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</si>
  <si>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</si>
  <si>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</si>
  <si>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</si>
  <si>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</si>
  <si>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</si>
  <si>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</si>
  <si>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</si>
  <si>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</si>
  <si>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</si>
  <si>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</si>
  <si>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</si>
  <si>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</si>
  <si>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</si>
  <si>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</si>
  <si>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</si>
  <si>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</si>
  <si>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</si>
  <si>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</si>
  <si>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</si>
  <si>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</si>
  <si>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</si>
  <si>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</si>
  <si>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</si>
  <si>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</si>
  <si>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</si>
  <si>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</si>
  <si>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</si>
  <si>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</si>
  <si>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</si>
  <si>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</si>
  <si>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</si>
  <si>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</si>
  <si>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</si>
  <si>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</si>
  <si>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</si>
  <si>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</si>
  <si>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</si>
  <si>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</si>
  <si>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</si>
  <si>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</si>
  <si>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</si>
  <si>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</si>
  <si>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</si>
  <si>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</si>
  <si>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</si>
  <si>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</si>
  <si>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</si>
  <si>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</si>
  <si>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</si>
  <si>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</si>
  <si>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</si>
  <si>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</si>
  <si>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</si>
  <si>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</si>
  <si>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</si>
  <si>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</si>
  <si>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</si>
  <si>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Casos de cáncer por rango etáreo por región</t>
  </si>
  <si>
    <t>https://analytics.zoho.com/open-view/2395394000008099329</t>
  </si>
  <si>
    <t>La Población en Control del Programa VIH/SIDA aumentó entre los años 2012 y 2018, superando los 35 mil casos para este último año, el doble de la cantidad vista al principio del periodo.</t>
  </si>
  <si>
    <t>https://analytics.zoho.com/open-view/2395394000008099475</t>
  </si>
  <si>
    <t>Población en control en Chile</t>
  </si>
  <si>
    <t>Población en control por sexo en Chile</t>
  </si>
  <si>
    <t>Población en control por sexo por región</t>
  </si>
  <si>
    <t>A grandes rasgos, se observa que la Población en Control del Programa VIH/SIDA ha ido en aumento a través de los años, terminando el 2018 con más de 35 mil casos. Al observar la Población en Control de acuerdo a su edad, el rango etario 25-64 años se lleva el 80% de los casos de VIH/SIDA para el periodo 2012-2018. Por otro lado, el rango etario que tuvo menos casos fue "menos de un año - 1 año" que contó con 87 casos, lo que corresponde a un 0,1%.</t>
  </si>
  <si>
    <t>Evolución de Ingreso Promedio Mensual en Chile para el Periodo 2006-2017</t>
  </si>
  <si>
    <t>Evolución de Ingreso Promedio Mensual en la Región de Tarapacá para el Periodo 2006-2017</t>
  </si>
  <si>
    <t>Evolución de Ingreso Promedio Mensual en la Región de Antofagasta para el Periodo 2006-2017</t>
  </si>
  <si>
    <t>Evolución de Ingreso Promedio Mensual en la Región de Atacama para el Periodo 2006-2017</t>
  </si>
  <si>
    <t>Evolución de Ingreso Promedio Mensual en la Región de Coquimbo para el Periodo 2006-2017</t>
  </si>
  <si>
    <t>Evolución de Ingreso Promedio Mensual en la Región de Valparaíso para el Periodo 2006-2017</t>
  </si>
  <si>
    <t>Evolución de Ingreso Promedio Mensual en la Región de O'Higgins para el Periodo 2006-2017</t>
  </si>
  <si>
    <t>Evolución de Ingreso Promedio Mensual en la Región de Maule para el Periodo 2006-2017</t>
  </si>
  <si>
    <t>Evolución de Ingreso Promedio Mensual en la Región del Biobío para el Periodo 2006-2017</t>
  </si>
  <si>
    <t>Evolución de Ingreso Promedio Mensual en la Región de La Araucanía para el Periodo 2006-2017</t>
  </si>
  <si>
    <t>Evolución de Ingreso Promedio Mensual en la Región de Los Lagos para el Periodo 2006-2017</t>
  </si>
  <si>
    <t>Evolución de Ingreso Promedio Mensual en la Región de Aysén para el Periodo 2006-2017</t>
  </si>
  <si>
    <t>Evolución de Ingreso Promedio Mensual en la Región de Magallanes para el Periodo 2006-2017</t>
  </si>
  <si>
    <t>Evolución de Ingreso Promedio Mensual en la Región Metropolitana para el Periodo 2006-2017</t>
  </si>
  <si>
    <t>Evolución de Ingreso Promedio Mensual en la Región de Los Ríos para el Periodo 2006-2017</t>
  </si>
  <si>
    <t>Evolución de Ingreso Promedio Mensual en la Región de Arica y Parinacota para el Periodo 2006-2017</t>
  </si>
  <si>
    <t>Evolución de Ingreso Promedio Mensual en la Región de Ñuble para el Periodo 2006-2017</t>
  </si>
  <si>
    <t>Proporción de Alumnos de 4to Medio con más de 450 puntos en la PSU según dependencia de colegios en la Región de Tarapacá</t>
  </si>
  <si>
    <t>Proporción de Alumnos de 4to Medio con más de 450 puntos en la PSU según dependencia de colegios en la Región de Antofagasta</t>
  </si>
  <si>
    <t>Proporción de Alumnos de 4to Medio con más de 450 puntos en la PSU según dependencia de colegios en la Región de Atacama</t>
  </si>
  <si>
    <t>Proporción de Alumnos de 4to Medio con más de 450 puntos en la PSU según dependencia de colegios en la Región de Coquimbo</t>
  </si>
  <si>
    <t>Proporción de Alumnos de 4to Medio con más de 450 puntos en la PSU según dependencia de colegios en la Región de Valparaíso</t>
  </si>
  <si>
    <t>Proporción de Alumnos de 4to Medio con más de 450 puntos en la PSU según dependencia de colegios en la Región de O'Higgins</t>
  </si>
  <si>
    <t>Proporción de Alumnos de 4to Medio con más de 450 puntos en la PSU según dependencia de colegios en la Región de Maule</t>
  </si>
  <si>
    <t>Proporción de Alumnos de 4to Medio con más de 450 puntos en la PSU según dependencia de colegios en la Región del Biobío</t>
  </si>
  <si>
    <t>Proporción de Alumnos de 4to Medio con más de 450 puntos en la PSU según dependencia de colegios en la Región de La Araucanía</t>
  </si>
  <si>
    <t>Proporción de Alumnos de 4to Medio con más de 450 puntos en la PSU según dependencia de colegios en la Región de Los Lagos</t>
  </si>
  <si>
    <t>Proporción de Alumnos de 4to Medio con más de 450 puntos en la PSU según dependencia de colegios en la Región de Aysén</t>
  </si>
  <si>
    <t>Proporción de Alumnos de 4to Medio con más de 450 puntos en la PSU según dependencia de colegios en la Región de Magallanes</t>
  </si>
  <si>
    <t>Proporción de Alumnos de 4to Medio con más de 450 puntos en la PSU según dependencia de colegios en la Región Metropolitana</t>
  </si>
  <si>
    <t>Proporción de Alumnos de 4to Medio con más de 450 puntos en la PSU según dependencia de colegios en la Región de Los Ríos</t>
  </si>
  <si>
    <t>Proporción de Alumnos de 4to Medio con más de 450 puntos en la PSU según dependencia de colegios en la Región de Arica y Parinacota</t>
  </si>
  <si>
    <t>Proporción de Alumnos de 4to Medio con más de 450 puntos en la PSU según dependencia de colegios en la Región de Ñuble</t>
  </si>
  <si>
    <t>Ranking Comunal 2020: Número de Alumnos por Docente en Aula, variación Periodo 2019-2020</t>
  </si>
  <si>
    <t>Ranking Comunal Región de Tarapacá 2020: Número de Alumnos por Docente en Aula, variación Periodo 2019-2020</t>
  </si>
  <si>
    <t>Ranking Comunal Región de Antofagasta 2020: Número de Alumnos por Docente en Aula, variación Periodo 2019-2020</t>
  </si>
  <si>
    <t>Ranking Comunal Región de Atacama 2020: Número de Alumnos por Docente en Aula, variación Periodo 2019-2020</t>
  </si>
  <si>
    <t>Ranking Comunal Región de Coquimbo 2020: Número de Alumnos por Docente en Aula, variación Periodo 2019-2020</t>
  </si>
  <si>
    <t>Ranking Comunal Región de Valparaíso 2020: Número de Alumnos por Docente en Aula, variación Periodo 2019-2020</t>
  </si>
  <si>
    <t>Ranking Comunal Región de O'Higgins 2020: Número de Alumnos por Docente en Aula, variación Periodo 2019-2020</t>
  </si>
  <si>
    <t>Ranking Comunal Región de Maule 2020: Número de Alumnos por Docente en Aula, variación Periodo 2019-2020</t>
  </si>
  <si>
    <t>Ranking Comunal Región del Biobío 2020: Número de Alumnos por Docente en Aula, variación Periodo 2019-2020</t>
  </si>
  <si>
    <t>Ranking Comunal Región de La Araucanía 2020: Número de Alumnos por Docente en Aula, variación Periodo 2019-2020</t>
  </si>
  <si>
    <t>Ranking Comunal Región de Los Lagos 2020: Número de Alumnos por Docente en Aula, variación Periodo 2019-2020</t>
  </si>
  <si>
    <t>Ranking Comunal Región de Aysén 2020: Número de Alumnos por Docente en Aula, variación Periodo 2019-2020</t>
  </si>
  <si>
    <t>Ranking Comunal Región de Magallanes 2020: Número de Alumnos por Docente en Aula, variación Periodo 2019-2020</t>
  </si>
  <si>
    <t>Ranking Comunal Región Metropolitana 2020: Número de Alumnos por Docente en Aula, variación Periodo 2019-2020</t>
  </si>
  <si>
    <t>Ranking Comunal Región de Los Ríos 2020: Número de Alumnos por Docente en Aula, variación Periodo 2019-2020</t>
  </si>
  <si>
    <t>Ranking Comunal Región de Arica y Parinacota 2020: Número de Alumnos por Docente en Aula, variación Periodo 2019-2020</t>
  </si>
  <si>
    <t>Ranking Comunal Región de Ñuble 2020: Número de Alumnos por Docente en Aula, variación Periodo 2019-2020</t>
  </si>
  <si>
    <t>Evolución de Casos Activos de COVID-19 por 1 millón de habitantes en las comunas de Chile durante el Periodo 2020-2021</t>
  </si>
  <si>
    <t>Evolución de Casos Activos de COVID-19 por 1 millón de habitantes en las comunas de la Región de Tarapacá durante el Periodo 2020-2021</t>
  </si>
  <si>
    <t>Evolución de Casos Activos de COVID-19 por 1 millón de habitantes en las comunas de la Región de Antofagasta durante el Periodo 2020-2021</t>
  </si>
  <si>
    <t>Evolución de Casos Activos de COVID-19 por 1 millón de habitantes en las comunas de la Región de Atacama durante el Periodo 2020-2021</t>
  </si>
  <si>
    <t>Evolución de Casos Activos de COVID-19 por 1 millón de habitantes en las comunas de la Región de Coquimbo durante el Periodo 2020-2021</t>
  </si>
  <si>
    <t>Evolución de Casos Activos de COVID-19 por 1 millón de habitantes en las comunas de la Región de Valparaíso durante el Periodo 2020-2021</t>
  </si>
  <si>
    <t>Evolución de Casos Activos de COVID-19 por 1 millón de habitantes en las comunas de la Región de O'Higgins durante el Periodo 2020-2021</t>
  </si>
  <si>
    <t>Evolución de Casos Activos de COVID-19 por 1 millón de habitantes en las comunas de la Región de Maule durante el Periodo 2020-2021</t>
  </si>
  <si>
    <t>Evolución de Casos Activos de COVID-19 por 1 millón de habitantes en las comunas de la Región del Biobío durante el Periodo 2020-2021</t>
  </si>
  <si>
    <t>Evolución de Casos Activos de COVID-19 por 1 millón de habitantes en las comunas de la Región de La Araucanía durante el Periodo 2020-2021</t>
  </si>
  <si>
    <t>Evolución de Casos Activos de COVID-19 por 1 millón de habitantes en las comunas de la Región de Los Lagos durante el Periodo 2020-2021</t>
  </si>
  <si>
    <t>Evolución de Casos Activos de COVID-19 por 1 millón de habitantes en las comunas de la Región de Aysén durante el Periodo 2020-2021</t>
  </si>
  <si>
    <t>Evolución de Casos Activos de COVID-19 por 1 millón de habitantes en las comunas de la Región de Magallanes durante el Periodo 2020-2021</t>
  </si>
  <si>
    <t>Evolución de Casos Activos de COVID-19 por 1 millón de habitantes en las comunas de la Región Metropolitana durante el Periodo 2020-2021</t>
  </si>
  <si>
    <t>Evolución de Casos Activos de COVID-19 por 1 millón de habitantes en las comunas de la Región de Los Ríos durante el Periodo 2020-2021</t>
  </si>
  <si>
    <t>Evolución de Casos Activos de COVID-19 por 1 millón de habitantes en las comunas de la Región de Arica y Parinacota durante el Periodo 2020-2021</t>
  </si>
  <si>
    <t>Evolución de Casos Activos de COVID-19 por 1 millón de habitantes en las comunas de la Región de Ñuble durante el Periodo 2020-2021</t>
  </si>
  <si>
    <t>Volumen de Exportaciones Frutícolas en Chile, Periodo 2012-2020</t>
  </si>
  <si>
    <t>Volumen acumulado de Exportaciones Frutícolas por país de destino, Periodo 2012-2020</t>
  </si>
  <si>
    <t>Sentencias Dictadas por delitos de Abuso Sexual en Chile para el Periodo 2013-2019</t>
  </si>
  <si>
    <t>Sentencias Dictadas por delitos de Abuso Sexual en la Región de Tarapacá para el Periodo 2013-2019</t>
  </si>
  <si>
    <t>Sentencias Dictadas por delitos de Abuso Sexual en la Región de Antofagasta para el Periodo 2013-2019</t>
  </si>
  <si>
    <t>Sentencias Dictadas por delitos de Abuso Sexual en la Región de Atacama para el Periodo 2013-2019</t>
  </si>
  <si>
    <t>Sentencias Dictadas por delitos de Abuso Sexual en la Región de Coquimbo para el Periodo 2013-2019</t>
  </si>
  <si>
    <t>Sentencias Dictadas por delitos de Abuso Sexual en la Región de Valparaíso para el Periodo 2013-2019</t>
  </si>
  <si>
    <t>Sentencias Dictadas por delitos de Abuso Sexual en la Región de O'Higgins para el Periodo 2013-2019</t>
  </si>
  <si>
    <t>Sentencias Dictadas por delitos de Abuso Sexual en la Región de Maule para el Periodo 2013-2019</t>
  </si>
  <si>
    <t>Sentencias Dictadas por delitos de Abuso Sexual en la Región del Biobío para el Periodo 2013-2019</t>
  </si>
  <si>
    <t>Sentencias Dictadas por delitos de Abuso Sexual en la Región de La Araucanía para el Periodo 2013-2019</t>
  </si>
  <si>
    <t>Sentencias Dictadas por delitos de Abuso Sexual en la Región de Los Lagos para el Periodo 2013-2019</t>
  </si>
  <si>
    <t>Sentencias Dictadas por delitos de Abuso Sexual en la Región de Aysén para el Periodo 2013-2019</t>
  </si>
  <si>
    <t>Sentencias Dictadas por delitos de Abuso Sexual en la Región de Magallanes para el Periodo 2013-2019</t>
  </si>
  <si>
    <t>Sentencias Dictadas por delitos de Abuso Sexual en la Región Metropolitana para el Periodo 2013-2019</t>
  </si>
  <si>
    <t>Sentencias Dictadas por delitos de Abuso Sexual en la Región de Los Ríos para el Periodo 2013-2019</t>
  </si>
  <si>
    <t>Sentencias Dictadas por delitos de Abuso Sexual en la Región de Arica y Parinacota para el Periodo 2013-2019</t>
  </si>
  <si>
    <t>Sentencias Dictadas por delitos de Abuso Sexual en la Región de Ñuble para el Periodo 2013-2019</t>
  </si>
  <si>
    <t>Cantidad de Espacios Culturales en la Región de Tarapacá por Tipo de Titularidad y Comuna en el Año 2021</t>
  </si>
  <si>
    <t>Cantidad de Espacios Culturales en la Región de Antofagasta por Tipo de Titularidad y Comuna en el Año 2021</t>
  </si>
  <si>
    <t>Cantidad de Espacios Culturales en la Región de Atacama por Tipo de Titularidad y Comuna en el Año 2021</t>
  </si>
  <si>
    <t>Cantidad de Espacios Culturales en la Región de Coquimbo por Tipo de Titularidad y Comuna en el Año 2021</t>
  </si>
  <si>
    <t>Cantidad de Espacios Culturales en la Región de Valparaíso por Tipo de Titularidad y Comuna en el Año 2021</t>
  </si>
  <si>
    <t>Cantidad de Espacios Culturales en la Región de O'Higgins por Tipo de Titularidad y Comuna en el Año 2021</t>
  </si>
  <si>
    <t>Cantidad de Espacios Culturales en la Región de Maule por Tipo de Titularidad y Comuna en el Año 2021</t>
  </si>
  <si>
    <t>Cantidad de Espacios Culturales en la Región del Biobío por Tipo de Titularidad y Comuna en el Año 2021</t>
  </si>
  <si>
    <t>Cantidad de Espacios Culturales en la Región de La Araucanía por Tipo de Titularidad y Comuna en el Año 2021</t>
  </si>
  <si>
    <t>Cantidad de Espacios Culturales en la Región de Los Lagos por Tipo de Titularidad y Comuna en el Año 2021</t>
  </si>
  <si>
    <t>Cantidad de Espacios Culturales en la Región de Aysén por Tipo de Titularidad y Comuna en el Año 2021</t>
  </si>
  <si>
    <t>Cantidad de Espacios Culturales en la Región de Magallanes por Tipo de Titularidad y Comuna en el Año 2021</t>
  </si>
  <si>
    <t>Cantidad de Espacios Culturales en la Región Metropolitana por Tipo de Titularidad y Comuna en el Año 2021</t>
  </si>
  <si>
    <t>Cantidad de Espacios Culturales en la Región de Los Ríos por Tipo de Titularidad y Comuna en el Año 2021</t>
  </si>
  <si>
    <t>Cantidad de Espacios Culturales en la Región de Arica y Parinacota por Tipo de Titularidad y Comuna en el Año 2021</t>
  </si>
  <si>
    <t>Cantidad de Espacios Culturales en la Región de Ñuble por Tipo de Titularidad y Comuna en el Año 2021</t>
  </si>
  <si>
    <t>Variación Anual de Frecuencia de Delitos de Mayor Connotación Social en Chile, Periodo 2008-2021</t>
  </si>
  <si>
    <t>Variación Anual de Frecuencia de Delitos de Mayor Connotación Social en la Región de Tarapacá, Periodo 2008-2021</t>
  </si>
  <si>
    <t>Variación Anual de Frecuencia de Delitos de Mayor Connotación Social en la Región de Antofagasta, Periodo 2008-2021</t>
  </si>
  <si>
    <t>Variación Anual de Frecuencia de Delitos de Mayor Connotación Social en la Región de Atacama, Periodo 2008-2021</t>
  </si>
  <si>
    <t>Variación Anual de Frecuencia de Delitos de Mayor Connotación Social en la Región de Coquimbo, Periodo 2008-2021</t>
  </si>
  <si>
    <t>Variación Anual de Frecuencia de Delitos de Mayor Connotación Social en la Región de Valparaíso, Periodo 2008-2021</t>
  </si>
  <si>
    <t>Variación Anual de Frecuencia de Delitos de Mayor Connotación Social en la Región de O'Higgins, Periodo 2008-2021</t>
  </si>
  <si>
    <t>Variación Anual de Frecuencia de Delitos de Mayor Connotación Social en la Región de Maule, Periodo 2008-2021</t>
  </si>
  <si>
    <t>Variación Anual de Frecuencia de Delitos de Mayor Connotación Social en la Región del Biobío, Periodo 2008-2021</t>
  </si>
  <si>
    <t>Variación Anual de Frecuencia de Delitos de Mayor Connotación Social en la Región de La Araucanía, Periodo 2008-2021</t>
  </si>
  <si>
    <t>Variación Anual de Frecuencia de Delitos de Mayor Connotación Social en la Región de Los Lagos, Periodo 2008-2021</t>
  </si>
  <si>
    <t>Variación Anual de Frecuencia de Delitos de Mayor Connotación Social en la Región de Aysén, Periodo 2008-2021</t>
  </si>
  <si>
    <t>Variación Anual de Frecuencia de Delitos de Mayor Connotación Social en la Región de Magallanes, Periodo 2008-2021</t>
  </si>
  <si>
    <t>Variación Anual de Frecuencia de Delitos de Mayor Connotación Social en la Región Metropolitana, Periodo 2008-2021</t>
  </si>
  <si>
    <t>Variación Anual de Frecuencia de Delitos de Mayor Connotación Social en la Región de Los Ríos, Periodo 2008-2021</t>
  </si>
  <si>
    <t>Variación Anual de Frecuencia de Delitos de Mayor Connotación Social en la Región de Arica y Parinacota, Periodo 2008-2021</t>
  </si>
  <si>
    <t>Variación Anual de Frecuencia de Delitos de Mayor Connotación Social en la Región de Ñuble, Periodo 2008-2021</t>
  </si>
  <si>
    <t>Evolución trimestral de Casos de Violencia Intrafamiliar presentados frente a la Fiscalía Nacional en Chile</t>
  </si>
  <si>
    <t>Evolución trimestral de Casos de Violencia Intrafamiliar presentados frente a la Fiscalía Nacional en la Región de Tarapacá</t>
  </si>
  <si>
    <t>Evolución trimestral de Casos de Violencia Intrafamiliar presentados frente a la Fiscalía Nacional en la Región de Antofagasta</t>
  </si>
  <si>
    <t>Evolución trimestral de Casos de Violencia Intrafamiliar presentados frente a la Fiscalía Nacional en la Región de Atacama</t>
  </si>
  <si>
    <t>Evolución trimestral de Casos de Violencia Intrafamiliar presentados frente a la Fiscalía Nacional en la Región de Coquimbo</t>
  </si>
  <si>
    <t>Evolución trimestral de Casos de Violencia Intrafamiliar presentados frente a la Fiscalía Nacional en la Región de Valparaíso</t>
  </si>
  <si>
    <t>Evolución trimestral de Casos de Violencia Intrafamiliar presentados frente a la Fiscalía Nacional en la Región de O'Higgins</t>
  </si>
  <si>
    <t>Evolución trimestral de Casos de Violencia Intrafamiliar presentados frente a la Fiscalía Nacional en la Región de Maule</t>
  </si>
  <si>
    <t>Evolución trimestral de Casos de Violencia Intrafamiliar presentados frente a la Fiscalía Nacional en la Región del Biobío</t>
  </si>
  <si>
    <t>Evolución trimestral de Casos de Violencia Intrafamiliar presentados frente a la Fiscalía Nacional en la Región de La Araucanía</t>
  </si>
  <si>
    <t>Evolución trimestral de Casos de Violencia Intrafamiliar presentados frente a la Fiscalía Nacional en la Región de Los Lagos</t>
  </si>
  <si>
    <t>Evolución trimestral de Casos de Violencia Intrafamiliar presentados frente a la Fiscalía Nacional en la Región de Aysén</t>
  </si>
  <si>
    <t>Evolución trimestral de Casos de Violencia Intrafamiliar presentados frente a la Fiscalía Nacional en la Región de Magallanes</t>
  </si>
  <si>
    <t>Evolución trimestral de Casos de Violencia Intrafamiliar presentados frente a la Fiscalía Nacional en la Región Metropolitana</t>
  </si>
  <si>
    <t>Evolución trimestral de Casos de Violencia Intrafamiliar presentados frente a la Fiscalía Nacional en la Región de Los Ríos</t>
  </si>
  <si>
    <t>Evolución trimestral de Casos de Violencia Intrafamiliar presentados frente a la Fiscalía Nacional en la Región de Arica y Parinacota</t>
  </si>
  <si>
    <t>Evolución trimestral de Casos de Violencia Intrafamiliar presentados frente a la Fiscalía Nacional en la Región de Ñuble</t>
  </si>
  <si>
    <t>Cantidad de Denuncias por Violencia Intrafamiliar hacia la mujer, acumuladas en el Periodo 2020-2021</t>
  </si>
  <si>
    <t>Cantidad de Denuncias por Violencia Intrafamiliar hacia la mujer, en la Región de Tarapacá, acumuladas en el Periodo 2020-2021</t>
  </si>
  <si>
    <t>Sentencias Dictadas por delitos de Abuso Sexual en la Región de Antofagasta para el Periodo 2020-2021</t>
  </si>
  <si>
    <t>Sentencias Dictadas por delitos de Abuso Sexual en la Región de Atacama para el Periodo 2020-2021</t>
  </si>
  <si>
    <t>Sentencias Dictadas por delitos de Abuso Sexual en la Región de Coquimbo para el Periodo 2020-2021</t>
  </si>
  <si>
    <t>Sentencias Dictadas por delitos de Abuso Sexual en la Región de Valparaíso para el Periodo 2020-2021</t>
  </si>
  <si>
    <t>Sentencias Dictadas por delitos de Abuso Sexual en la Región de O'Higgins para el Periodo 2020-2021</t>
  </si>
  <si>
    <t>Sentencias Dictadas por delitos de Abuso Sexual en la Región de Maule para el Periodo 2020-2021</t>
  </si>
  <si>
    <t>Sentencias Dictadas por delitos de Abuso Sexual en la Región del Biobío para el Periodo 2020-2021</t>
  </si>
  <si>
    <t>Sentencias Dictadas por delitos de Abuso Sexual en la Región de La Araucanía para el Periodo 2020-2021</t>
  </si>
  <si>
    <t>Sentencias Dictadas por delitos de Abuso Sexual en la Región de Los Lagos para el Periodo 2020-2021</t>
  </si>
  <si>
    <t>Sentencias Dictadas por delitos de Abuso Sexual en la Región de Aysén para el Periodo 2020-2021</t>
  </si>
  <si>
    <t>Sentencias Dictadas por delitos de Abuso Sexual en la Región de Magallanes para el Periodo 2020-2021</t>
  </si>
  <si>
    <t>Sentencias Dictadas por delitos de Abuso Sexual en la Región Metropolitana para el Periodo 2020-2021</t>
  </si>
  <si>
    <t>Sentencias Dictadas por delitos de Abuso Sexual en la Región de Los Ríos para el Periodo 2020-2021</t>
  </si>
  <si>
    <t>Sentencias Dictadas por delitos de Abuso Sexual en la Región de Arica y Parinacota para el Periodo 2020-2021</t>
  </si>
  <si>
    <t>Sentencias Dictadas por delitos de Abuso Sexual en la Región de Ñuble para el Periodo 2020-2021</t>
  </si>
  <si>
    <t>Toneladas de fruta producidas en Chile por tipo de envase utilizado</t>
  </si>
  <si>
    <t>Proporción del destino de la fruta producida por Chile, en el Periodo 2018-2020</t>
  </si>
  <si>
    <t>Proporción del destino de la fruta producida por la Región de Tarapacá, en el Periodo 2018-2020</t>
  </si>
  <si>
    <t>Proporción del destino de la fruta producida por la Región de Antofagasta, en el Periodo 2018-2020</t>
  </si>
  <si>
    <t>Proporción del destino de la fruta producida por la Región de Atacama, en el Periodo 2018-2020</t>
  </si>
  <si>
    <t>Proporción del destino de la fruta producida por la Región de Coquimbo, en el Periodo 2018-2020</t>
  </si>
  <si>
    <t>Proporción del destino de la fruta producida por la Región de Valparaíso, en el Periodo 2018-2020</t>
  </si>
  <si>
    <t>Proporción del destino de la fruta producida por la Región de O'Higgins, en el Periodo 2018-2020</t>
  </si>
  <si>
    <t>Proporción del destino de la fruta producida por la Región de Maule, en el Periodo 2018-2020</t>
  </si>
  <si>
    <t>Proporción del destino de la fruta producida por la Región del Biobío, en el Periodo 2018-2020</t>
  </si>
  <si>
    <t>Proporción del destino de la fruta producida por la Región de La Araucanía, en el Periodo 2018-2020</t>
  </si>
  <si>
    <t>Proporción del destino de la fruta producida por la Región de Los Lagos, en el Periodo 2018-2020</t>
  </si>
  <si>
    <t>Proporción del destino de la fruta producida por la Región de Aysén, en el Periodo 2018-2020</t>
  </si>
  <si>
    <t>Proporción del destino de la fruta producida por la Región de Magallanes, en el Periodo 2018-2020</t>
  </si>
  <si>
    <t>Proporción del destino de la fruta producida por la Región Metropolitana, en el Periodo 2018-2020</t>
  </si>
  <si>
    <t>Proporción del destino de la fruta producida por la Región de Los Ríos, en el Periodo 2018-2020</t>
  </si>
  <si>
    <t>Proporción del destino de la fruta producida por la Región de Arica y Parinacota, en el Periodo 2018-2020</t>
  </si>
  <si>
    <t>Proporción del destino de la fruta producida por la Región de Ñuble, en el Periodo 2018-2020</t>
  </si>
  <si>
    <t>Evolución anual de superficie plantada (ha) de lechuga en la Región de Atacama</t>
  </si>
  <si>
    <t>Evolución anual de superficie plantada (ha) de lechuga en la Región de Coquimbo</t>
  </si>
  <si>
    <t>Evolución anual de superficie plantada (ha) de lechuga en la Región de Valparaíso</t>
  </si>
  <si>
    <t>Evolución anual de superficie plantada (ha) de lechuga en la Región de O'Higgins</t>
  </si>
  <si>
    <t>Evolución anual de superficie plantada (ha) de lechuga en la Región de Maule</t>
  </si>
  <si>
    <t>Evolución anual de superficie plantada (ha) de lechuga en la Región del Biobío</t>
  </si>
  <si>
    <t>Evolución anual de superficie plantada (ha) de lechuga en la Región de La Araucanía</t>
  </si>
  <si>
    <t>Evolución anual de superficie plantada (ha) de lechuga en la Región Metropolitana</t>
  </si>
  <si>
    <t>Evolución anual de superficie plantada (ha) de lechuga en la Región de Arica y Parinacota</t>
  </si>
  <si>
    <t>Evolución anual de superficie plantada (ha) de lechuga en la Región de Ñuble</t>
  </si>
  <si>
    <t>Cantidad de Espacios Culturales con Acceso para Discapacitados en el Año 2021</t>
  </si>
  <si>
    <t>Cantidad de Espacios Culturales con Acceso para Discapacitados en la Región de Tarapacá, en el Año 2021</t>
  </si>
  <si>
    <t>Cantidad de Espacios Culturales con Acceso para Discapacitados en la Región de Antofagasta, en el Año 2021</t>
  </si>
  <si>
    <t>Cantidad de Espacios Culturales con Acceso para Discapacitados en la Región de Atacama, en el Año 2021</t>
  </si>
  <si>
    <t>Cantidad de Espacios Culturales con Acceso para Discapacitados en la Región de Coquimbo, en el Año 2021</t>
  </si>
  <si>
    <t>Cantidad de Espacios Culturales con Acceso para Discapacitados en la Región de Valparaíso, en el Año 2021</t>
  </si>
  <si>
    <t>Cantidad de Espacios Culturales con Acceso para Discapacitados en la Región de O'Higgins, en el Año 2021</t>
  </si>
  <si>
    <t>Cantidad de Espacios Culturales con Acceso para Discapacitados en la Región de Maule, en el Año 2021</t>
  </si>
  <si>
    <t>Cantidad de Espacios Culturales con Acceso para Discapacitados en la Región del Biobío, en el Año 2021</t>
  </si>
  <si>
    <t>Cantidad de Espacios Culturales con Acceso para Discapacitados en la Región de La Araucanía, en el Año 2021</t>
  </si>
  <si>
    <t>Cantidad de Espacios Culturales con Acceso para Discapacitados en la Región de Los Lagos, en el Año 2021</t>
  </si>
  <si>
    <t>Cantidad de Espacios Culturales con Acceso para Discapacitados en la Región de Aysén, en el Año 2021</t>
  </si>
  <si>
    <t>Cantidad de Espacios Culturales con Acceso para Discapacitados en la Región de Magallanes, en el Año 2021</t>
  </si>
  <si>
    <t>Cantidad de Espacios Culturales con Acceso para Discapacitados en la Región Metropolitana, en el Año 2021</t>
  </si>
  <si>
    <t>Cantidad de Espacios Culturales con Acceso para Discapacitados en la Región de Los Ríos, en el Año 2021</t>
  </si>
  <si>
    <t>Cantidad de Espacios Culturales con Acceso para Discapacitados en la Región de Arica y Parinacota, en el Año 2021</t>
  </si>
  <si>
    <t>Cantidad de Espacios Culturales con Acceso para Discapacitados en la Región de Ñuble, en el Año 2021</t>
  </si>
  <si>
    <t>Ventas anuales en UF por rubro en Chile, Año 2019</t>
  </si>
  <si>
    <t>Ventas anuales en UF por rubro en la Región de Tarapacá, Año 2019</t>
  </si>
  <si>
    <t>Ventas anuales en UF por rubro en la Región de Antofagasta, Año 2019</t>
  </si>
  <si>
    <t>Ventas anuales en UF por rubro en la Región de Atacama, Año 2019</t>
  </si>
  <si>
    <t>Ventas anuales en UF por rubro en la Región de Coquimbo, Año 2019</t>
  </si>
  <si>
    <t>Ventas anuales en UF por rubro en la Región de Valparaíso, Año 2019</t>
  </si>
  <si>
    <t>Ventas anuales en UF por rubro en la Región de O'Higgins, Año 2019</t>
  </si>
  <si>
    <t>Ventas anuales en UF por rubro en la Región de Maule, Año 2019</t>
  </si>
  <si>
    <t>Ventas anuales en UF por rubro en la Región del Biobío, Año 2019</t>
  </si>
  <si>
    <t>Ventas anuales en UF por rubro en la Región de La Araucanía, Año 2019</t>
  </si>
  <si>
    <t>Ventas anuales en UF por rubro en la Región de Los Lagos, Año 2019</t>
  </si>
  <si>
    <t>Ventas anuales en UF por rubro en la Región de Aysén, Año 2019</t>
  </si>
  <si>
    <t>Ventas anuales en UF por rubro en la Región de Magallanes, Año 2019</t>
  </si>
  <si>
    <t>Ventas anuales en UF por rubro en la Región Metropolitana, Año 2019</t>
  </si>
  <si>
    <t>Ventas anuales en UF por rubro en la Región de Los Ríos, Año 2019</t>
  </si>
  <si>
    <t>Ventas anuales en UF por rubro en la Región de Arica y Parinacota, Año 2019</t>
  </si>
  <si>
    <t>Ventas anuales en UF por rubro en la Región de Ñuble, Año 2019</t>
  </si>
  <si>
    <t>Cantidad de Centros de la Mujer por Región en el Año 2021</t>
  </si>
  <si>
    <t>Cantidad de Mujeres Ingresadas en Centros de la Mujer en Chile para el Periodo 2014-2019</t>
  </si>
  <si>
    <t>Cantidad de Salidas desde Casas de Acogida en Chile durante el Periodo 2014-2019</t>
  </si>
  <si>
    <t>Proporción por tipo de Salida desde Casas de Acogida en Chile para el Periodo 2014-2019</t>
  </si>
  <si>
    <t>Evolución de las Atenciones de Salud por Violencia de Género en Chile, para el Periodo 2010-2016</t>
  </si>
  <si>
    <t>Evolución de las Atenciones de Salud por Violencia de Género en Región de Tarapacá, para el Periodo 2010-2016</t>
  </si>
  <si>
    <t>Evolución de las Atenciones de Salud por Violencia de Género en Región de Antofagasta, para el Periodo 2010-2016</t>
  </si>
  <si>
    <t>Evolución de las Atenciones de Salud por Violencia de Género en Región de Atacama, para el Periodo 2010-2016</t>
  </si>
  <si>
    <t>Evolución de las Atenciones de Salud por Violencia de Género en Región de Coquimbo, para el Periodo 2010-2016</t>
  </si>
  <si>
    <t>Evolución de las Atenciones de Salud por Violencia de Género en Región de Valparaíso, para el Periodo 2010-2016</t>
  </si>
  <si>
    <t>Evolución de las Atenciones de Salud por Violencia de Género en Región de O'Higgins, para el Periodo 2010-2016</t>
  </si>
  <si>
    <t>Evolución de las Atenciones de Salud por Violencia de Género en Región de Maule, para el Periodo 2010-2016</t>
  </si>
  <si>
    <t>Evolución de las Atenciones de Salud por Violencia de Género en Región del Biobío, para el Periodo 2010-2016</t>
  </si>
  <si>
    <t>Evolución de las Atenciones de Salud por Violencia de Género en Región de La Araucanía, para el Periodo 2010-2016</t>
  </si>
  <si>
    <t>Evolución de las Atenciones de Salud por Violencia de Género en Región de Los Lagos, para el Periodo 2010-2016</t>
  </si>
  <si>
    <t>Evolución de las Atenciones de Salud por Violencia de Género en Región de Aysén, para el Periodo 2010-2016</t>
  </si>
  <si>
    <t>Evolución de las Atenciones de Salud por Violencia de Género en Región de Magallanes, para el Periodo 2010-2016</t>
  </si>
  <si>
    <t>Evolución de las Atenciones de Salud por Violencia de Género en Región Metropolitana, para el Periodo 2010-2016</t>
  </si>
  <si>
    <t>Evolución de las Atenciones de Salud por Violencia de Género en Región de Los Ríos, para el Periodo 2010-2016</t>
  </si>
  <si>
    <t>Evolución de las Atenciones de Salud por Violencia de Género en Región de Arica y Parinacota, para el Periodo 2010-2016</t>
  </si>
  <si>
    <t>Evolución de las Atenciones de Salud por Violencia de Género en Región de Ñuble, para el Periodo 2010-2016</t>
  </si>
  <si>
    <t>Evolución de las Exportaciones (USD) de frutas desde Chile para el Periodo 2012-2020</t>
  </si>
  <si>
    <t>Evolución de las Exportaciones (USD) de frutas desde la Región de Tarapacá para el Periodo 2012-2020</t>
  </si>
  <si>
    <t>Evolución de las Exportaciones (USD) de frutas desde la Región de Antofagasta para el Periodo 2012-2020</t>
  </si>
  <si>
    <t>Evolución de las Exportaciones (USD) de frutas desde la Región de Atacama para el Periodo 2012-2020</t>
  </si>
  <si>
    <t>Evolución de las Exportaciones (USD) de frutas desde la Región de Coquimbo para el Periodo 2012-2020</t>
  </si>
  <si>
    <t>Evolución de las Exportaciones (USD) de frutas desde la Región de Valparaíso para el Periodo 2012-2020</t>
  </si>
  <si>
    <t>Evolución de las Exportaciones (USD) de frutas desde la Región de O'Higgins para el Periodo 2012-2020</t>
  </si>
  <si>
    <t>Evolución de las Exportaciones (USD) de frutas desde la Región de Maule para el Periodo 2012-2020</t>
  </si>
  <si>
    <t>Evolución de las Exportaciones (USD) de frutas desde la Región del Biobío para el Periodo 2012-2020</t>
  </si>
  <si>
    <t>Evolución de las Exportaciones (USD) de frutas desde la Región de La Araucanía para el Periodo 2012-2020</t>
  </si>
  <si>
    <t>Evolución de las Exportaciones (USD) de frutas desde la Región de Los Lagos para el Periodo 2012-2020</t>
  </si>
  <si>
    <t>Evolución de las Exportaciones (USD) de frutas desde la Región de Aysén para el Periodo 2012-2020</t>
  </si>
  <si>
    <t>Evolución de las Exportaciones (USD) de frutas desde la Región de Magallanes para el Periodo 2012-2020</t>
  </si>
  <si>
    <t>Evolución de las Exportaciones (USD) de frutas desde la Región Metropolitana para el Periodo 2012-2020</t>
  </si>
  <si>
    <t>Evolución de las Exportaciones (USD) de frutas desde la Región de Los Ríos para el Periodo 2012-2020</t>
  </si>
  <si>
    <t>Evolución de las Exportaciones (USD) de frutas desde la Región de Arica y Parinacota para el Periodo 2012-2020</t>
  </si>
  <si>
    <t>Evolución de las Exportaciones (USD) de frutas desde la Región de Ñuble para el Periodo 2012-2020</t>
  </si>
  <si>
    <t>https://analytics.zoho.com/open-view/2395394000007166809?ZOHO_CRITERIA=%22Localiza%20CL%22.%22Codreg%22%3D1</t>
  </si>
  <si>
    <t>https://analytics.zoho.com/open-view/2395394000007166809?ZOHO_CRITERIA=%22Localiza%20CL%22.%22Codreg%22%3D2</t>
  </si>
  <si>
    <t>https://analytics.zoho.com/open-view/2395394000007166809?ZOHO_CRITERIA=%22Localiza%20CL%22.%22Codreg%22%3D3</t>
  </si>
  <si>
    <t>https://analytics.zoho.com/open-view/2395394000007166809?ZOHO_CRITERIA=%22Localiza%20CL%22.%22Codreg%22%3D4</t>
  </si>
  <si>
    <t>https://analytics.zoho.com/open-view/2395394000007166809?ZOHO_CRITERIA=%22Localiza%20CL%22.%22Codreg%22%3D5</t>
  </si>
  <si>
    <t>https://analytics.zoho.com/open-view/2395394000007166809?ZOHO_CRITERIA=%22Localiza%20CL%22.%22Codreg%22%3D6</t>
  </si>
  <si>
    <t>https://analytics.zoho.com/open-view/2395394000007166809?ZOHO_CRITERIA=%22Localiza%20CL%22.%22Codreg%22%3D7</t>
  </si>
  <si>
    <t>https://analytics.zoho.com/open-view/2395394000007166809?ZOHO_CRITERIA=%22Localiza%20CL%22.%22Codreg%22%3D8</t>
  </si>
  <si>
    <t>https://analytics.zoho.com/open-view/2395394000007166809?ZOHO_CRITERIA=%22Localiza%20CL%22.%22Codreg%22%3D9</t>
  </si>
  <si>
    <t>https://analytics.zoho.com/open-view/2395394000007166809?ZOHO_CRITERIA=%22Localiza%20CL%22.%22Codreg%22%3D10</t>
  </si>
  <si>
    <t>https://analytics.zoho.com/open-view/2395394000007166809?ZOHO_CRITERIA=%22Localiza%20CL%22.%22Codreg%22%3D11</t>
  </si>
  <si>
    <t>https://analytics.zoho.com/open-view/2395394000007166809?ZOHO_CRITERIA=%22Localiza%20CL%22.%22Codreg%22%3D12</t>
  </si>
  <si>
    <t>https://analytics.zoho.com/open-view/2395394000007166809?ZOHO_CRITERIA=%22Localiza%20CL%22.%22Codreg%22%3D13</t>
  </si>
  <si>
    <t>https://analytics.zoho.com/open-view/2395394000007166809?ZOHO_CRITERIA=%22Localiza%20CL%22.%22Codreg%22%3D14</t>
  </si>
  <si>
    <t>https://analytics.zoho.com/open-view/2395394000007166809?ZOHO_CRITERIA=%22Localiza%20CL%22.%22Codreg%22%3D15</t>
  </si>
  <si>
    <t>https://analytics.zoho.com/open-view/2395394000007166809?ZOHO_CRITERIA=%22Localiza%20CL%22.%22Codreg%22%3D16</t>
  </si>
  <si>
    <t>https://analytics.zoho.com/open-view/2395394000007782059?ZOHO_CRITERIA=%22Trasposicion_27.4%22.%22Cod_Regi%C3%B3n%22%3D1</t>
  </si>
  <si>
    <t>https://analytics.zoho.com/open-view/2395394000007782059?ZOHO_CRITERIA=%22Trasposicion_27.4%22.%22Cod_Regi%C3%B3n%22%3D2</t>
  </si>
  <si>
    <t>https://analytics.zoho.com/open-view/2395394000007782059?ZOHO_CRITERIA=%22Trasposicion_27.4%22.%22Cod_Regi%C3%B3n%22%3D3</t>
  </si>
  <si>
    <t>https://analytics.zoho.com/open-view/2395394000007782059?ZOHO_CRITERIA=%22Trasposicion_27.4%22.%22Cod_Regi%C3%B3n%22%3D4</t>
  </si>
  <si>
    <t>https://analytics.zoho.com/open-view/2395394000007782059?ZOHO_CRITERIA=%22Trasposicion_27.4%22.%22Cod_Regi%C3%B3n%22%3D5</t>
  </si>
  <si>
    <t>https://analytics.zoho.com/open-view/2395394000007782059?ZOHO_CRITERIA=%22Trasposicion_27.4%22.%22Cod_Regi%C3%B3n%22%3D6</t>
  </si>
  <si>
    <t>https://analytics.zoho.com/open-view/2395394000007782059?ZOHO_CRITERIA=%22Trasposicion_27.4%22.%22Cod_Regi%C3%B3n%22%3D7</t>
  </si>
  <si>
    <t>https://analytics.zoho.com/open-view/2395394000007782059?ZOHO_CRITERIA=%22Trasposicion_27.4%22.%22Cod_Regi%C3%B3n%22%3D8</t>
  </si>
  <si>
    <t>https://analytics.zoho.com/open-view/2395394000007782059?ZOHO_CRITERIA=%22Trasposicion_27.4%22.%22Cod_Regi%C3%B3n%22%3D9</t>
  </si>
  <si>
    <t>https://analytics.zoho.com/open-view/2395394000007782059?ZOHO_CRITERIA=%22Trasposicion_27.4%22.%22Cod_Regi%C3%B3n%22%3D10</t>
  </si>
  <si>
    <t>https://analytics.zoho.com/open-view/2395394000007782059?ZOHO_CRITERIA=%22Trasposicion_27.4%22.%22Cod_Regi%C3%B3n%22%3D11</t>
  </si>
  <si>
    <t>https://analytics.zoho.com/open-view/2395394000007782059?ZOHO_CRITERIA=%22Trasposicion_27.4%22.%22Cod_Regi%C3%B3n%22%3D12</t>
  </si>
  <si>
    <t>https://analytics.zoho.com/open-view/2395394000007782059?ZOHO_CRITERIA=%22Trasposicion_27.4%22.%22Cod_Regi%C3%B3n%22%3D13</t>
  </si>
  <si>
    <t>https://analytics.zoho.com/open-view/2395394000007782059?ZOHO_CRITERIA=%22Trasposicion_27.4%22.%22Cod_Regi%C3%B3n%22%3D14</t>
  </si>
  <si>
    <t>https://analytics.zoho.com/open-view/2395394000007782059?ZOHO_CRITERIA=%22Trasposicion_27.4%22.%22Cod_Regi%C3%B3n%22%3D15</t>
  </si>
  <si>
    <t>https://analytics.zoho.com/open-view/2395394000007782059?ZOHO_CRITERIA=%22Trasposicion_27.4%22.%22Cod_Regi%C3%B3n%22%3D16</t>
  </si>
  <si>
    <t>https://analytics.zoho.com/open-view/2395394000007782100?ZOHO_CRITERIA=%22Localiza%20CL%22.%22Codreg%22%3D1</t>
  </si>
  <si>
    <t>https://analytics.zoho.com/open-view/2395394000007782100?ZOHO_CRITERIA=%22Localiza%20CL%22.%22Codreg%22%3D2</t>
  </si>
  <si>
    <t>https://analytics.zoho.com/open-view/2395394000007782100?ZOHO_CRITERIA=%22Localiza%20CL%22.%22Codreg%22%3D3</t>
  </si>
  <si>
    <t>https://analytics.zoho.com/open-view/2395394000007782100?ZOHO_CRITERIA=%22Localiza%20CL%22.%22Codreg%22%3D4</t>
  </si>
  <si>
    <t>https://analytics.zoho.com/open-view/2395394000007782100?ZOHO_CRITERIA=%22Localiza%20CL%22.%22Codreg%22%3D5</t>
  </si>
  <si>
    <t>https://analytics.zoho.com/open-view/2395394000007782100?ZOHO_CRITERIA=%22Localiza%20CL%22.%22Codreg%22%3D6</t>
  </si>
  <si>
    <t>https://analytics.zoho.com/open-view/2395394000007782100?ZOHO_CRITERIA=%22Localiza%20CL%22.%22Codreg%22%3D7</t>
  </si>
  <si>
    <t>https://analytics.zoho.com/open-view/2395394000007782100?ZOHO_CRITERIA=%22Localiza%20CL%22.%22Codreg%22%3D8</t>
  </si>
  <si>
    <t>https://analytics.zoho.com/open-view/2395394000007782100?ZOHO_CRITERIA=%22Localiza%20CL%22.%22Codreg%22%3D9</t>
  </si>
  <si>
    <t>https://analytics.zoho.com/open-view/2395394000007782100?ZOHO_CRITERIA=%22Localiza%20CL%22.%22Codreg%22%3D10</t>
  </si>
  <si>
    <t>https://analytics.zoho.com/open-view/2395394000007782100?ZOHO_CRITERIA=%22Localiza%20CL%22.%22Codreg%22%3D11</t>
  </si>
  <si>
    <t>https://analytics.zoho.com/open-view/2395394000007782100?ZOHO_CRITERIA=%22Localiza%20CL%22.%22Codreg%22%3D12</t>
  </si>
  <si>
    <t>https://analytics.zoho.com/open-view/2395394000007782100?ZOHO_CRITERIA=%22Localiza%20CL%22.%22Codreg%22%3D13</t>
  </si>
  <si>
    <t>https://analytics.zoho.com/open-view/2395394000007782100?ZOHO_CRITERIA=%22Localiza%20CL%22.%22Codreg%22%3D14</t>
  </si>
  <si>
    <t>https://analytics.zoho.com/open-view/2395394000007782100?ZOHO_CRITERIA=%22Localiza%20CL%22.%22Codreg%22%3D15</t>
  </si>
  <si>
    <t>https://analytics.zoho.com/open-view/2395394000007782100?ZOHO_CRITERIA=%22Localiza%20CL%22.%22Codreg%22%3D16</t>
  </si>
  <si>
    <t>https://analytics.zoho.com/open-view/2395394000008207486?ZOHO_CRITERIA=%224.6%22.%22C%C3%B3digo_Regi%C3%B3n%22%3D1</t>
  </si>
  <si>
    <t>https://analytics.zoho.com/open-view/2395394000008207486?ZOHO_CRITERIA=%224.6%22.%22C%C3%B3digo_Regi%C3%B3n%22%3D2</t>
  </si>
  <si>
    <t>https://analytics.zoho.com/open-view/2395394000008207486?ZOHO_CRITERIA=%224.6%22.%22C%C3%B3digo_Regi%C3%B3n%22%3D3</t>
  </si>
  <si>
    <t>https://analytics.zoho.com/open-view/2395394000008207486?ZOHO_CRITERIA=%224.6%22.%22C%C3%B3digo_Regi%C3%B3n%22%3D4</t>
  </si>
  <si>
    <t>https://analytics.zoho.com/open-view/2395394000008207486?ZOHO_CRITERIA=%224.6%22.%22C%C3%B3digo_Regi%C3%B3n%22%3D5</t>
  </si>
  <si>
    <t>https://analytics.zoho.com/open-view/2395394000008207486?ZOHO_CRITERIA=%224.6%22.%22C%C3%B3digo_Regi%C3%B3n%22%3D6</t>
  </si>
  <si>
    <t>https://analytics.zoho.com/open-view/2395394000008207486?ZOHO_CRITERIA=%224.6%22.%22C%C3%B3digo_Regi%C3%B3n%22%3D7</t>
  </si>
  <si>
    <t>https://analytics.zoho.com/open-view/2395394000008207486?ZOHO_CRITERIA=%224.6%22.%22C%C3%B3digo_Regi%C3%B3n%22%3D8</t>
  </si>
  <si>
    <t>https://analytics.zoho.com/open-view/2395394000008207486?ZOHO_CRITERIA=%224.6%22.%22C%C3%B3digo_Regi%C3%B3n%22%3D9</t>
  </si>
  <si>
    <t>https://analytics.zoho.com/open-view/2395394000008207486?ZOHO_CRITERIA=%224.6%22.%22C%C3%B3digo_Regi%C3%B3n%22%3D10</t>
  </si>
  <si>
    <t>https://analytics.zoho.com/open-view/2395394000008207486?ZOHO_CRITERIA=%224.6%22.%22C%C3%B3digo_Regi%C3%B3n%22%3D11</t>
  </si>
  <si>
    <t>https://analytics.zoho.com/open-view/2395394000008207486?ZOHO_CRITERIA=%224.6%22.%22C%C3%B3digo_Regi%C3%B3n%22%3D12</t>
  </si>
  <si>
    <t>https://analytics.zoho.com/open-view/2395394000008207486?ZOHO_CRITERIA=%224.6%22.%22C%C3%B3digo_Regi%C3%B3n%22%3D13</t>
  </si>
  <si>
    <t>https://analytics.zoho.com/open-view/2395394000008207486?ZOHO_CRITERIA=%224.6%22.%22C%C3%B3digo_Regi%C3%B3n%22%3D14</t>
  </si>
  <si>
    <t>https://analytics.zoho.com/open-view/2395394000008207486?ZOHO_CRITERIA=%224.6%22.%22C%C3%B3digo_Regi%C3%B3n%22%3D15</t>
  </si>
  <si>
    <t>https://analytics.zoho.com/open-view/2395394000008207486?ZOHO_CRITERIA=%224.6%22.%22C%C3%B3digo_Regi%C3%B3n%22%3D16</t>
  </si>
  <si>
    <t>https://analytics.zoho.com/open-view/2395394000007782905?ZOHO_CRITERIA=%2227.10%22.%22Id_Regi%C3%B3n%22%20%3D%201</t>
  </si>
  <si>
    <t>https://analytics.zoho.com/open-view/2395394000007782905?ZOHO_CRITERIA=%2227.10%22.%22Id_Regi%C3%B3n%22%20%3D%202</t>
  </si>
  <si>
    <t>https://analytics.zoho.com/open-view/2395394000007782905?ZOHO_CRITERIA=%2227.10%22.%22Id_Regi%C3%B3n%22%20%3D%203</t>
  </si>
  <si>
    <t>https://analytics.zoho.com/open-view/2395394000007782905?ZOHO_CRITERIA=%2227.10%22.%22Id_Regi%C3%B3n%22%20%3D%204</t>
  </si>
  <si>
    <t>https://analytics.zoho.com/open-view/2395394000007782905?ZOHO_CRITERIA=%2227.10%22.%22Id_Regi%C3%B3n%22%20%3D%205</t>
  </si>
  <si>
    <t>https://analytics.zoho.com/open-view/2395394000007782905?ZOHO_CRITERIA=%2227.10%22.%22Id_Regi%C3%B3n%22%20%3D%206</t>
  </si>
  <si>
    <t>https://analytics.zoho.com/open-view/2395394000007782905?ZOHO_CRITERIA=%2227.10%22.%22Id_Regi%C3%B3n%22%20%3D%207</t>
  </si>
  <si>
    <t>https://analytics.zoho.com/open-view/2395394000007782905?ZOHO_CRITERIA=%2227.10%22.%22Id_Regi%C3%B3n%22%20%3D%208</t>
  </si>
  <si>
    <t>https://analytics.zoho.com/open-view/2395394000007782905?ZOHO_CRITERIA=%2227.10%22.%22Id_Regi%C3%B3n%22%20%3D%209</t>
  </si>
  <si>
    <t>https://analytics.zoho.com/open-view/2395394000007782905?ZOHO_CRITERIA=%2227.10%22.%22Id_Regi%C3%B3n%22%20%3D%2010</t>
  </si>
  <si>
    <t>https://analytics.zoho.com/open-view/2395394000007782905?ZOHO_CRITERIA=%2227.10%22.%22Id_Regi%C3%B3n%22%20%3D%2011</t>
  </si>
  <si>
    <t>https://analytics.zoho.com/open-view/2395394000007782905?ZOHO_CRITERIA=%2227.10%22.%22Id_Regi%C3%B3n%22%20%3D%2012</t>
  </si>
  <si>
    <t>https://analytics.zoho.com/open-view/2395394000007782905?ZOHO_CRITERIA=%2227.10%22.%22Id_Regi%C3%B3n%22%20%3D%2013</t>
  </si>
  <si>
    <t>https://analytics.zoho.com/open-view/2395394000007782905?ZOHO_CRITERIA=%2227.10%22.%22Id_Regi%C3%B3n%22%20%3D%2014</t>
  </si>
  <si>
    <t>https://analytics.zoho.com/open-view/2395394000007782905?ZOHO_CRITERIA=%2227.10%22.%22Id_Regi%C3%B3n%22%20%3D%2015</t>
  </si>
  <si>
    <t>https://analytics.zoho.com/open-view/2395394000007782905?ZOHO_CRITERIA=%2227.10%22.%22Id_Regi%C3%B3n%22%20%3D%2016</t>
  </si>
  <si>
    <t>https://analytics.zoho.com/open-view/2395394000007782936?ZOHO_CRITERIA=%22Trasposicion_4.2%22.%22C%C3%B3digo_Regi%C3%B3n%22%20%3D%201</t>
  </si>
  <si>
    <t>https://analytics.zoho.com/open-view/2395394000007782936?ZOHO_CRITERIA=%22Trasposicion_4.2%22.%22C%C3%B3digo_Regi%C3%B3n%22%20%3D%202</t>
  </si>
  <si>
    <t>https://analytics.zoho.com/open-view/2395394000007782936?ZOHO_CRITERIA=%22Trasposicion_4.2%22.%22C%C3%B3digo_Regi%C3%B3n%22%20%3D%203</t>
  </si>
  <si>
    <t>https://analytics.zoho.com/open-view/2395394000007782936?ZOHO_CRITERIA=%22Trasposicion_4.2%22.%22C%C3%B3digo_Regi%C3%B3n%22%20%3D%204</t>
  </si>
  <si>
    <t>https://analytics.zoho.com/open-view/2395394000007782936?ZOHO_CRITERIA=%22Trasposicion_4.2%22.%22C%C3%B3digo_Regi%C3%B3n%22%20%3D%205</t>
  </si>
  <si>
    <t>https://analytics.zoho.com/open-view/2395394000007782936?ZOHO_CRITERIA=%22Trasposicion_4.2%22.%22C%C3%B3digo_Regi%C3%B3n%22%20%3D%206</t>
  </si>
  <si>
    <t>https://analytics.zoho.com/open-view/2395394000007782936?ZOHO_CRITERIA=%22Trasposicion_4.2%22.%22C%C3%B3digo_Regi%C3%B3n%22%20%3D%207</t>
  </si>
  <si>
    <t>https://analytics.zoho.com/open-view/2395394000007782936?ZOHO_CRITERIA=%22Trasposicion_4.2%22.%22C%C3%B3digo_Regi%C3%B3n%22%20%3D%208</t>
  </si>
  <si>
    <t>https://analytics.zoho.com/open-view/2395394000007782936?ZOHO_CRITERIA=%22Trasposicion_4.2%22.%22C%C3%B3digo_Regi%C3%B3n%22%20%3D%209</t>
  </si>
  <si>
    <t>https://analytics.zoho.com/open-view/2395394000007782936?ZOHO_CRITERIA=%22Trasposicion_4.2%22.%22C%C3%B3digo_Regi%C3%B3n%22%20%3D%2010</t>
  </si>
  <si>
    <t>https://analytics.zoho.com/open-view/2395394000007782936?ZOHO_CRITERIA=%22Trasposicion_4.2%22.%22C%C3%B3digo_Regi%C3%B3n%22%20%3D%2011</t>
  </si>
  <si>
    <t>https://analytics.zoho.com/open-view/2395394000007782936?ZOHO_CRITERIA=%22Trasposicion_4.2%22.%22C%C3%B3digo_Regi%C3%B3n%22%20%3D%2012</t>
  </si>
  <si>
    <t>https://analytics.zoho.com/open-view/2395394000007782936?ZOHO_CRITERIA=%22Trasposicion_4.2%22.%22C%C3%B3digo_Regi%C3%B3n%22%20%3D%2013</t>
  </si>
  <si>
    <t>https://analytics.zoho.com/open-view/2395394000007782936?ZOHO_CRITERIA=%22Trasposicion_4.2%22.%22C%C3%B3digo_Regi%C3%B3n%22%20%3D%2014</t>
  </si>
  <si>
    <t>https://analytics.zoho.com/open-view/2395394000007782936?ZOHO_CRITERIA=%22Trasposicion_4.2%22.%22C%C3%B3digo_Regi%C3%B3n%22%20%3D%2015</t>
  </si>
  <si>
    <t>https://analytics.zoho.com/open-view/2395394000007782936?ZOHO_CRITERIA=%22Trasposicion_4.2%22.%22C%C3%B3digo_Regi%C3%B3n%22%20%3D%2016</t>
  </si>
  <si>
    <t>Ingreso por etnia</t>
  </si>
  <si>
    <t>Ingreso Promedio Regional</t>
  </si>
  <si>
    <t>Ingreso Promedio Nacional</t>
  </si>
  <si>
    <t>Total COVID-19</t>
  </si>
  <si>
    <t>Total Vulnerabilidad</t>
  </si>
  <si>
    <t>Total Empresas</t>
  </si>
  <si>
    <t>Total Elecciones</t>
  </si>
  <si>
    <t>https://analytics.zoho.com/open-view/2395394000008161200?ZOHO_CRITERIA=%22Localiza%20Chile%22.%22Codreg%22%3D1</t>
  </si>
  <si>
    <t>https://analytics.zoho.com/open-view/2395394000008161200?ZOHO_CRITERIA=%22Localiza%20Chile%22.%22Codreg%22%3D2</t>
  </si>
  <si>
    <t>https://analytics.zoho.com/open-view/2395394000008161200?ZOHO_CRITERIA=%22Localiza%20Chile%22.%22Codreg%22%3D3</t>
  </si>
  <si>
    <t>https://analytics.zoho.com/open-view/2395394000008161200?ZOHO_CRITERIA=%22Localiza%20Chile%22.%22Codreg%22%3D4</t>
  </si>
  <si>
    <t>https://analytics.zoho.com/open-view/2395394000008161200?ZOHO_CRITERIA=%22Localiza%20Chile%22.%22Codreg%22%3D5</t>
  </si>
  <si>
    <t>https://analytics.zoho.com/open-view/2395394000008161200?ZOHO_CRITERIA=%22Localiza%20Chile%22.%22Codreg%22%3D6</t>
  </si>
  <si>
    <t>https://analytics.zoho.com/open-view/2395394000008161200?ZOHO_CRITERIA=%22Localiza%20Chile%22.%22Codreg%22%3D7</t>
  </si>
  <si>
    <t>https://analytics.zoho.com/open-view/2395394000008161200?ZOHO_CRITERIA=%22Localiza%20Chile%22.%22Codreg%22%3D8</t>
  </si>
  <si>
    <t>https://analytics.zoho.com/open-view/2395394000008161200?ZOHO_CRITERIA=%22Localiza%20Chile%22.%22Codreg%22%3D9</t>
  </si>
  <si>
    <t>https://analytics.zoho.com/open-view/2395394000008161200?ZOHO_CRITERIA=%22Localiza%20Chile%22.%22Codreg%22%3D10</t>
  </si>
  <si>
    <t>https://analytics.zoho.com/open-view/2395394000008161200?ZOHO_CRITERIA=%22Localiza%20Chile%22.%22Codreg%22%3D11</t>
  </si>
  <si>
    <t>https://analytics.zoho.com/open-view/2395394000008161200?ZOHO_CRITERIA=%22Localiza%20Chile%22.%22Codreg%22%3D12</t>
  </si>
  <si>
    <t>https://analytics.zoho.com/open-view/2395394000008161200?ZOHO_CRITERIA=%22Localiza%20Chile%22.%22Codreg%22%3D13</t>
  </si>
  <si>
    <t>https://analytics.zoho.com/open-view/2395394000008161200?ZOHO_CRITERIA=%22Localiza%20Chile%22.%22Codreg%22%3D14</t>
  </si>
  <si>
    <t>https://analytics.zoho.com/open-view/2395394000008161200?ZOHO_CRITERIA=%22Localiza%20Chile%22.%22Codreg%22%3D15</t>
  </si>
  <si>
    <t>https://analytics.zoho.com/open-view/2395394000008161200?ZOHO_CRITERIA=%22Localiza%20Chile%22.%22Codreg%22%3D16</t>
  </si>
  <si>
    <t>https://analytics.zoho.com/open-view/2395394000007732994?ZOHO_CRITERIA=%22Localiza%20CL%22.%22Codreg%22%3D1</t>
  </si>
  <si>
    <t>https://analytics.zoho.com/open-view/2395394000007732994?ZOHO_CRITERIA=%22Localiza%20CL%22.%22Codreg%22%3D2</t>
  </si>
  <si>
    <t>https://analytics.zoho.com/open-view/2395394000007732994?ZOHO_CRITERIA=%22Localiza%20CL%22.%22Codreg%22%3D3</t>
  </si>
  <si>
    <t>https://analytics.zoho.com/open-view/2395394000007732994?ZOHO_CRITERIA=%22Localiza%20CL%22.%22Codreg%22%3D4</t>
  </si>
  <si>
    <t>https://analytics.zoho.com/open-view/2395394000007732994?ZOHO_CRITERIA=%22Localiza%20CL%22.%22Codreg%22%3D5</t>
  </si>
  <si>
    <t>https://analytics.zoho.com/open-view/2395394000007732994?ZOHO_CRITERIA=%22Localiza%20CL%22.%22Codreg%22%3D6</t>
  </si>
  <si>
    <t>https://analytics.zoho.com/open-view/2395394000007732994?ZOHO_CRITERIA=%22Localiza%20CL%22.%22Codreg%22%3D7</t>
  </si>
  <si>
    <t>https://analytics.zoho.com/open-view/2395394000007732994?ZOHO_CRITERIA=%22Localiza%20CL%22.%22Codreg%22%3D8</t>
  </si>
  <si>
    <t>https://analytics.zoho.com/open-view/2395394000007732994?ZOHO_CRITERIA=%22Localiza%20CL%22.%22Codreg%22%3D9</t>
  </si>
  <si>
    <t>https://analytics.zoho.com/open-view/2395394000007732994?ZOHO_CRITERIA=%22Localiza%20CL%22.%22Codreg%22%3D10</t>
  </si>
  <si>
    <t>https://analytics.zoho.com/open-view/2395394000007732994?ZOHO_CRITERIA=%22Localiza%20CL%22.%22Codreg%22%3D11</t>
  </si>
  <si>
    <t>https://analytics.zoho.com/open-view/2395394000007732994?ZOHO_CRITERIA=%22Localiza%20CL%22.%22Codreg%22%3D12</t>
  </si>
  <si>
    <t>https://analytics.zoho.com/open-view/2395394000007732994?ZOHO_CRITERIA=%22Localiza%20CL%22.%22Codreg%22%3D13</t>
  </si>
  <si>
    <t>https://analytics.zoho.com/open-view/2395394000007732994?ZOHO_CRITERIA=%22Localiza%20CL%22.%22Codreg%22%3D14</t>
  </si>
  <si>
    <t>https://analytics.zoho.com/open-view/2395394000007732994?ZOHO_CRITERIA=%22Localiza%20CL%22.%22Codreg%22%3D15</t>
  </si>
  <si>
    <t>https://analytics.zoho.com/open-view/2395394000007732994?ZOHO_CRITERIA=%22Localiza%20CL%22.%22Codreg%22%3D16</t>
  </si>
  <si>
    <t>Evolución de denuncias por violación en Chile en el Periodo 2008-2020</t>
  </si>
  <si>
    <t>Evolución de denuncias por violación en la Región de Tarapacá en el Periodo 2008-2020</t>
  </si>
  <si>
    <t>https://analytics.zoho.com/open-view/2395394000008231335?ZOHO_CRITERIA=%22Localiza%20CL%22.%22Codreg%22%3D1</t>
  </si>
  <si>
    <t>Distribución comunal de denuncias por violación en la Región de Antofagasta en el Periodo 2008-2020</t>
  </si>
  <si>
    <t>https://analytics.zoho.com/open-view/2395394000008231335?ZOHO_CRITERIA=%22Localiza%20CL%22.%22Codreg%22%3D2</t>
  </si>
  <si>
    <t>Distribución comunal de denuncias por violación en la Región de Atacama en el Periodo 2008-2020</t>
  </si>
  <si>
    <t>https://analytics.zoho.com/open-view/2395394000008231335?ZOHO_CRITERIA=%22Localiza%20CL%22.%22Codreg%22%3D3</t>
  </si>
  <si>
    <t>Distribución comunal de denuncias por violación en la Región de Coquimbo en el Periodo 2008-2020</t>
  </si>
  <si>
    <t>https://analytics.zoho.com/open-view/2395394000008231335?ZOHO_CRITERIA=%22Localiza%20CL%22.%22Codreg%22%3D4</t>
  </si>
  <si>
    <t>Distribución comunal de denuncias por violación en la Región de Valparaíso en el Periodo 2008-2020</t>
  </si>
  <si>
    <t>https://analytics.zoho.com/open-view/2395394000008231335?ZOHO_CRITERIA=%22Localiza%20CL%22.%22Codreg%22%3D5</t>
  </si>
  <si>
    <t>Distribución comunal de denuncias por violación en la Región de O'Higgins en el Periodo 2008-2020</t>
  </si>
  <si>
    <t>https://analytics.zoho.com/open-view/2395394000008231335?ZOHO_CRITERIA=%22Localiza%20CL%22.%22Codreg%22%3D6</t>
  </si>
  <si>
    <t>Distribución comunal de denuncias por violación en la Región de Maule en el Periodo 2008-2020</t>
  </si>
  <si>
    <t>https://analytics.zoho.com/open-view/2395394000008231335?ZOHO_CRITERIA=%22Localiza%20CL%22.%22Codreg%22%3D7</t>
  </si>
  <si>
    <t>Distribución comunal de denuncias por violación en la Región del Biobío en el Periodo 2008-2020</t>
  </si>
  <si>
    <t>https://analytics.zoho.com/open-view/2395394000008231335?ZOHO_CRITERIA=%22Localiza%20CL%22.%22Codreg%22%3D8</t>
  </si>
  <si>
    <t>Distribución comunal de denuncias por violación en la Región de La Araucanía en el Periodo 2008-2020</t>
  </si>
  <si>
    <t>https://analytics.zoho.com/open-view/2395394000008231335?ZOHO_CRITERIA=%22Localiza%20CL%22.%22Codreg%22%3D9</t>
  </si>
  <si>
    <t>Distribución comunal de denuncias por violación en la Región de Los Lagos en el Periodo 2008-2020</t>
  </si>
  <si>
    <t>https://analytics.zoho.com/open-view/2395394000008231335?ZOHO_CRITERIA=%22Localiza%20CL%22.%22Codreg%22%3D10</t>
  </si>
  <si>
    <t>Distribución comunal de denuncias por violación en la Región de Aysén en el Periodo 2008-2020</t>
  </si>
  <si>
    <t>https://analytics.zoho.com/open-view/2395394000008231335?ZOHO_CRITERIA=%22Localiza%20CL%22.%22Codreg%22%3D11</t>
  </si>
  <si>
    <t>Distribución comunal de denuncias por violación en la Región de Magallanes en el Periodo 2008-2020</t>
  </si>
  <si>
    <t>https://analytics.zoho.com/open-view/2395394000008231335?ZOHO_CRITERIA=%22Localiza%20CL%22.%22Codreg%22%3D12</t>
  </si>
  <si>
    <t>Distribución comunal de denuncias por violación en la Región Metropolitana en el Periodo 2008-2020</t>
  </si>
  <si>
    <t>https://analytics.zoho.com/open-view/2395394000008231335?ZOHO_CRITERIA=%22Localiza%20CL%22.%22Codreg%22%3D13</t>
  </si>
  <si>
    <t>Distribución comunal de denuncias por violación en la Región de Los Ríos en el Periodo 2008-2020</t>
  </si>
  <si>
    <t>https://analytics.zoho.com/open-view/2395394000008231335?ZOHO_CRITERIA=%22Localiza%20CL%22.%22Codreg%22%3D14</t>
  </si>
  <si>
    <t>Distribución comunal de denuncias por violación en la Región de Arica y Parinacota en el Periodo 2008-2020</t>
  </si>
  <si>
    <t>https://analytics.zoho.com/open-view/2395394000008231335?ZOHO_CRITERIA=%22Localiza%20CL%22.%22Codreg%22%3D15</t>
  </si>
  <si>
    <t>Distribución comunal de denuncias por violación en la Región de Ñuble en el Periodo 2008-2020</t>
  </si>
  <si>
    <t>https://analytics.zoho.com/open-view/2395394000008231335?ZOHO_CRITERIA=%22Localiza%20CL%22.%22Codreg%22%3D16</t>
  </si>
  <si>
    <t>Evolución de Ingreso Promedio Mensual por Etnia en Chile para el Periodo 2006-2017</t>
  </si>
  <si>
    <t>Evolución de Ingreso Promedio Mensual por Etnia en la Región de Tarapacá para el Periodo 2006-2017</t>
  </si>
  <si>
    <t>https://analytics.zoho.com/open-view/2395394000008231605?ZOHO_CRITERIA=%22Localiza%20Chile%22.%22Codreg%22%3D1</t>
  </si>
  <si>
    <t>Evolución de Ingreso Promedio Mensual por Etnia en la Región de Antofagasta para el Periodo 2006-2017</t>
  </si>
  <si>
    <t>https://analytics.zoho.com/open-view/2395394000008231605?ZOHO_CRITERIA=%22Localiza%20Chile%22.%22Codreg%22%3D2</t>
  </si>
  <si>
    <t>Evolución de Ingreso Promedio Mensual por Etnia en la Región de Atacama para el Periodo 2006-2017</t>
  </si>
  <si>
    <t>https://analytics.zoho.com/open-view/2395394000008231605?ZOHO_CRITERIA=%22Localiza%20Chile%22.%22Codreg%22%3D3</t>
  </si>
  <si>
    <t>Evolución de Ingreso Promedio Mensual por Etnia en la Región de Coquimbo para el Periodo 2006-2017</t>
  </si>
  <si>
    <t>https://analytics.zoho.com/open-view/2395394000008231605?ZOHO_CRITERIA=%22Localiza%20Chile%22.%22Codreg%22%3D4</t>
  </si>
  <si>
    <t>Evolución de Ingreso Promedio Mensual por Etnia en la Región de Valparaíso para el Periodo 2006-2017</t>
  </si>
  <si>
    <t>https://analytics.zoho.com/open-view/2395394000008231605?ZOHO_CRITERIA=%22Localiza%20Chile%22.%22Codreg%22%3D5</t>
  </si>
  <si>
    <t>Evolución de Ingreso Promedio Mensual por Etnia en la Región de O'Higgins para el Periodo 2006-2017</t>
  </si>
  <si>
    <t>https://analytics.zoho.com/open-view/2395394000008231605?ZOHO_CRITERIA=%22Localiza%20Chile%22.%22Codreg%22%3D6</t>
  </si>
  <si>
    <t>Evolución de Ingreso Promedio Mensual por Etnia en la Región de Maule para el Periodo 2006-2017</t>
  </si>
  <si>
    <t>https://analytics.zoho.com/open-view/2395394000008231605?ZOHO_CRITERIA=%22Localiza%20Chile%22.%22Codreg%22%3D7</t>
  </si>
  <si>
    <t>Evolución de Ingreso Promedio Mensual por Etnia en la Región del Biobío para el Periodo 2006-2017</t>
  </si>
  <si>
    <t>https://analytics.zoho.com/open-view/2395394000008231605?ZOHO_CRITERIA=%22Localiza%20Chile%22.%22Codreg%22%3D8</t>
  </si>
  <si>
    <t>Evolución de Ingreso Promedio Mensual por Etnia en la Región de La Araucanía para el Periodo 2006-2017</t>
  </si>
  <si>
    <t>https://analytics.zoho.com/open-view/2395394000008231605?ZOHO_CRITERIA=%22Localiza%20Chile%22.%22Codreg%22%3D9</t>
  </si>
  <si>
    <t>Evolución de Ingreso Promedio Mensual por Etnia en la Región de Los Lagos para el Periodo 2006-2017</t>
  </si>
  <si>
    <t>https://analytics.zoho.com/open-view/2395394000008231605?ZOHO_CRITERIA=%22Localiza%20Chile%22.%22Codreg%22%3D10</t>
  </si>
  <si>
    <t>Evolución de Ingreso Promedio Mensual por Etnia en la Región de Aysén para el Periodo 2006-2017</t>
  </si>
  <si>
    <t>https://analytics.zoho.com/open-view/2395394000008231605?ZOHO_CRITERIA=%22Localiza%20Chile%22.%22Codreg%22%3D11</t>
  </si>
  <si>
    <t>Evolución de Ingreso Promedio Mensual por Etnia en la Región de Magallanes para el Periodo 2006-2017</t>
  </si>
  <si>
    <t>https://analytics.zoho.com/open-view/2395394000008231605?ZOHO_CRITERIA=%22Localiza%20Chile%22.%22Codreg%22%3D12</t>
  </si>
  <si>
    <t>Evolución de Ingreso Promedio Mensual por Etnia en la Región Metropolitana para el Periodo 2006-2017</t>
  </si>
  <si>
    <t>https://analytics.zoho.com/open-view/2395394000008231605?ZOHO_CRITERIA=%22Localiza%20Chile%22.%22Codreg%22%3D13</t>
  </si>
  <si>
    <t>Evolución de Ingreso Promedio Mensual por Etnia en la Región de Los Ríos para el Periodo 2006-2017</t>
  </si>
  <si>
    <t>https://analytics.zoho.com/open-view/2395394000008231605?ZOHO_CRITERIA=%22Localiza%20Chile%22.%22Codreg%22%3D14</t>
  </si>
  <si>
    <t>Evolución de Ingreso Promedio Mensual por Etnia en la Región de Arica y Parinacota para el Periodo 2006-2017</t>
  </si>
  <si>
    <t>https://analytics.zoho.com/open-view/2395394000008231605?ZOHO_CRITERIA=%22Localiza%20Chile%22.%22Codreg%22%3D15</t>
  </si>
  <si>
    <t>Evolución de Ingreso Promedio Mensual por Etnia en la Región de Ñuble para el Periodo 2006-2017</t>
  </si>
  <si>
    <t>https://analytics.zoho.com/open-view/2395394000008231605?ZOHO_CRITERIA=%22Localiza%20Chile%22.%22Codreg%22%3D16</t>
  </si>
  <si>
    <t>https://analytics.zoho.com/open-view/2395394000008643713?ZOHO_CRITERIA=%22Localiza%20CL%22.%22Codreg%22%3D1</t>
  </si>
  <si>
    <t>https://analytics.zoho.com/open-view/2395394000008643713?ZOHO_CRITERIA=%22Localiza%20CL%22.%22Codreg%22%3D2</t>
  </si>
  <si>
    <t>https://analytics.zoho.com/open-view/2395394000008643713?ZOHO_CRITERIA=%22Localiza%20CL%22.%22Codreg%22%3D3</t>
  </si>
  <si>
    <t>https://analytics.zoho.com/open-view/2395394000008643713?ZOHO_CRITERIA=%22Localiza%20CL%22.%22Codreg%22%3D4</t>
  </si>
  <si>
    <t>https://analytics.zoho.com/open-view/2395394000008643713?ZOHO_CRITERIA=%22Localiza%20CL%22.%22Codreg%22%3D5</t>
  </si>
  <si>
    <t>https://analytics.zoho.com/open-view/2395394000008643713?ZOHO_CRITERIA=%22Localiza%20CL%22.%22Codreg%22%3D6</t>
  </si>
  <si>
    <t>https://analytics.zoho.com/open-view/2395394000008643713?ZOHO_CRITERIA=%22Localiza%20CL%22.%22Codreg%22%3D7</t>
  </si>
  <si>
    <t>https://analytics.zoho.com/open-view/2395394000008643713?ZOHO_CRITERIA=%22Localiza%20CL%22.%22Codreg%22%3D8</t>
  </si>
  <si>
    <t>https://analytics.zoho.com/open-view/2395394000008643713?ZOHO_CRITERIA=%22Localiza%20CL%22.%22Codreg%22%3D9</t>
  </si>
  <si>
    <t>https://analytics.zoho.com/open-view/2395394000008643713?ZOHO_CRITERIA=%22Localiza%20CL%22.%22Codreg%22%3D10</t>
  </si>
  <si>
    <t>https://analytics.zoho.com/open-view/2395394000008643713?ZOHO_CRITERIA=%22Localiza%20CL%22.%22Codreg%22%3D11</t>
  </si>
  <si>
    <t>https://analytics.zoho.com/open-view/2395394000008643713?ZOHO_CRITERIA=%22Localiza%20CL%22.%22Codreg%22%3D12</t>
  </si>
  <si>
    <t>https://analytics.zoho.com/open-view/2395394000008643713?ZOHO_CRITERIA=%22Localiza%20CL%22.%22Codreg%22%3D13</t>
  </si>
  <si>
    <t>https://analytics.zoho.com/open-view/2395394000008643713?ZOHO_CRITERIA=%22Localiza%20CL%22.%22Codreg%22%3D14</t>
  </si>
  <si>
    <t>https://analytics.zoho.com/open-view/2395394000008643713?ZOHO_CRITERIA=%22Localiza%20CL%22.%22Codreg%22%3D15</t>
  </si>
  <si>
    <t>https://analytics.zoho.com/open-view/2395394000008643713?ZOHO_CRITERIA=%22Localiza%20CL%22.%22Codreg%22%3D16</t>
  </si>
  <si>
    <t>https://analytics.zoho.com/open-view/2395394000008645197?ZOHO_CRITERIA=%22Localiza_CL_Poblacion%22.%22Codreg%22%3D1</t>
  </si>
  <si>
    <t>https://analytics.zoho.com/open-view/2395394000008645197?ZOHO_CRITERIA=%22Localiza_CL_Poblacion%22.%22Codreg%22%3D2</t>
  </si>
  <si>
    <t>https://analytics.zoho.com/open-view/2395394000008645197?ZOHO_CRITERIA=%22Localiza_CL_Poblacion%22.%22Codreg%22%3D3</t>
  </si>
  <si>
    <t>https://analytics.zoho.com/open-view/2395394000008645197?ZOHO_CRITERIA=%22Localiza_CL_Poblacion%22.%22Codreg%22%3D4</t>
  </si>
  <si>
    <t>https://analytics.zoho.com/open-view/2395394000008645197?ZOHO_CRITERIA=%22Localiza_CL_Poblacion%22.%22Codreg%22%3D5</t>
  </si>
  <si>
    <t>https://analytics.zoho.com/open-view/2395394000008645197?ZOHO_CRITERIA=%22Localiza_CL_Poblacion%22.%22Codreg%22%3D6</t>
  </si>
  <si>
    <t>https://analytics.zoho.com/open-view/2395394000008645197?ZOHO_CRITERIA=%22Localiza_CL_Poblacion%22.%22Codreg%22%3D7</t>
  </si>
  <si>
    <t>https://analytics.zoho.com/open-view/2395394000008645197?ZOHO_CRITERIA=%22Localiza_CL_Poblacion%22.%22Codreg%22%3D8</t>
  </si>
  <si>
    <t>https://analytics.zoho.com/open-view/2395394000008645197?ZOHO_CRITERIA=%22Localiza_CL_Poblacion%22.%22Codreg%22%3D9</t>
  </si>
  <si>
    <t>https://analytics.zoho.com/open-view/2395394000008645197?ZOHO_CRITERIA=%22Localiza_CL_Poblacion%22.%22Codreg%22%3D10</t>
  </si>
  <si>
    <t>https://analytics.zoho.com/open-view/2395394000008645197?ZOHO_CRITERIA=%22Localiza_CL_Poblacion%22.%22Codreg%22%3D11</t>
  </si>
  <si>
    <t>https://analytics.zoho.com/open-view/2395394000008645197?ZOHO_CRITERIA=%22Localiza_CL_Poblacion%22.%22Codreg%22%3D12</t>
  </si>
  <si>
    <t>https://analytics.zoho.com/open-view/2395394000008645197?ZOHO_CRITERIA=%22Localiza_CL_Poblacion%22.%22Codreg%22%3D13</t>
  </si>
  <si>
    <t>https://analytics.zoho.com/open-view/2395394000008645197?ZOHO_CRITERIA=%22Localiza_CL_Poblacion%22.%22Codreg%22%3D14</t>
  </si>
  <si>
    <t>https://analytics.zoho.com/open-view/2395394000008645197?ZOHO_CRITERIA=%22Localiza_CL_Poblacion%22.%22Codreg%22%3D15</t>
  </si>
  <si>
    <t>https://analytics.zoho.com/open-view/2395394000008645197?ZOHO_CRITERIA=%22Localiza_CL_Poblacion%22.%22Codreg%22%3D16</t>
  </si>
  <si>
    <t>Precios diarios de hortalizas en mercados mayoristas de Chile, Año 2021</t>
  </si>
  <si>
    <t>Precios diarios de hortalizas en mercados mayoristas de la Región de Coquimbo, Año 2021</t>
  </si>
  <si>
    <t>https://analytics.zoho.com/open-view/2395394000008646229?ZOHO_CRITERIA=%22Hortaliza%20Consolidado%22.%22Codreg%22%3D4</t>
  </si>
  <si>
    <t>Precios diarios de hortalizas en mercados mayoristas de la Región de Valparaíso, Año 2021</t>
  </si>
  <si>
    <t>https://analytics.zoho.com/open-view/2395394000008646229?ZOHO_CRITERIA=%22Hortaliza%20Consolidado%22.%22Codreg%22%3D5</t>
  </si>
  <si>
    <t>Precios diarios de hortalizas en mercados mayoristas de la Región de Maule, Año 2021</t>
  </si>
  <si>
    <t>https://analytics.zoho.com/open-view/2395394000008646229?ZOHO_CRITERIA=%22Hortaliza%20Consolidado%22.%22Codreg%22%3D7</t>
  </si>
  <si>
    <t>Precios diarios de hortalizas en mercados mayoristas de la Región del Biobío, Año 2021</t>
  </si>
  <si>
    <t>https://analytics.zoho.com/open-view/2395394000008646229?ZOHO_CRITERIA=%22Hortaliza%20Consolidado%22.%22Codreg%22%3D8</t>
  </si>
  <si>
    <t>Precios diarios de hortalizas en mercados mayoristas de la Región de La Araucanía, Año 2021</t>
  </si>
  <si>
    <t>https://analytics.zoho.com/open-view/2395394000008646229?ZOHO_CRITERIA=%22Hortaliza%20Consolidado%22.%22Codreg%22%3D9</t>
  </si>
  <si>
    <t>Precios diarios de hortalizas en mercados mayoristas de la Región de Los Lagos, Año 2021</t>
  </si>
  <si>
    <t>https://analytics.zoho.com/open-view/2395394000008646229?ZOHO_CRITERIA=%22Hortaliza%20Consolidado%22.%22Codreg%22%3D10</t>
  </si>
  <si>
    <t>Precios diarios de hortalizas en mercados mayoristas de la Región Metropolitana, Año 2021</t>
  </si>
  <si>
    <t>https://analytics.zoho.com/open-view/2395394000008646229?ZOHO_CRITERIA=%22Hortaliza%20Consolidado%22.%22Codreg%22%3D13</t>
  </si>
  <si>
    <t>Precios diarios de hortalizas en mercados mayoristas de la Región de Arica y Parinacota, Año 2021</t>
  </si>
  <si>
    <t>https://analytics.zoho.com/open-view/2395394000008646229?ZOHO_CRITERIA=%22Hortaliza%20Consolidado%22.%22Codreg%22%3D15</t>
  </si>
  <si>
    <t>Precios diarios de hortalizas en mercados mayoristas de la Región de Ñuble, Año 2021</t>
  </si>
  <si>
    <t>https://analytics.zoho.com/open-view/2395394000008646229?ZOHO_CRITERIA=%22Hortaliza%20Consolidado%22.%22Codreg%22%3D16</t>
  </si>
  <si>
    <t>Precios diarios de frutas en mercados mayoristas de Chile, Año 2021</t>
  </si>
  <si>
    <t>Precios diarios de frutas en mercados mayoristas de la Región de Coquimbo, Año 2021</t>
  </si>
  <si>
    <t>https://analytics.zoho.com/open-view/2395394000008646880?ZOHO_CRITERIA=%22Fruta%20Consolidado%22.%22Codreg%22%3D4</t>
  </si>
  <si>
    <t>Precios diarios de frutas en mercados mayoristas de la Región de Valparaíso, Año 2021</t>
  </si>
  <si>
    <t>https://analytics.zoho.com/open-view/2395394000008646880?ZOHO_CRITERIA=%22Fruta%20Consolidado%22.%22Codreg%22%3D5</t>
  </si>
  <si>
    <t>Precios diarios de frutas en mercados mayoristas de la Región de Maule, Año 2021</t>
  </si>
  <si>
    <t>https://analytics.zoho.com/open-view/2395394000008646880?ZOHO_CRITERIA=%22Fruta%20Consolidado%22.%22Codreg%22%3D7</t>
  </si>
  <si>
    <t>Precios diarios de frutas en mercados mayoristas de la Región del Biobío, Año 2021</t>
  </si>
  <si>
    <t>https://analytics.zoho.com/open-view/2395394000008646880?ZOHO_CRITERIA=%22Fruta%20Consolidado%22.%22Codreg%22%3D8</t>
  </si>
  <si>
    <t>Precios diarios de frutas en mercados mayoristas de la Región de La Araucanía, Año 2021</t>
  </si>
  <si>
    <t>https://analytics.zoho.com/open-view/2395394000008646880?ZOHO_CRITERIA=%22Fruta%20Consolidado%22.%22Codreg%22%3D9</t>
  </si>
  <si>
    <t>Precios diarios de frutas en mercados mayoristas de la Región de Los Lagos, Año 2021</t>
  </si>
  <si>
    <t>https://analytics.zoho.com/open-view/2395394000008646880?ZOHO_CRITERIA=%22Fruta%20Consolidado%22.%22Codreg%22%3D10</t>
  </si>
  <si>
    <t>Precios diarios de frutas en mercados mayoristas de la Región Metropolitana, Año 2021</t>
  </si>
  <si>
    <t>https://analytics.zoho.com/open-view/2395394000008646880?ZOHO_CRITERIA=%22Fruta%20Consolidado%22.%22Codreg%22%3D13</t>
  </si>
  <si>
    <t>Precios diarios de frutas en mercados mayoristas de la Región de Arica y Parinacota, Año 2021</t>
  </si>
  <si>
    <t>https://analytics.zoho.com/open-view/2395394000008646880?ZOHO_CRITERIA=%22Fruta%20Consolidado%22.%22Codreg%22%3D15</t>
  </si>
  <si>
    <t>Precios diarios de frutas en mercados mayoristas de la Región de Ñuble, Año 2021</t>
  </si>
  <si>
    <t>https://analytics.zoho.com/open-view/2395394000008646880?ZOHO_CRITERIA=%22Fruta%20Consolidado%22.%22Codreg%22%3D16</t>
  </si>
  <si>
    <t>https://analytics.zoho.com/open-view/2395394000008378510?ZOHO_CRITERIA=%22Espacios_Culturales_Completo%201%22.%22C%C3%B3digo_Regi%C3%B3n%22%20%3D%201</t>
  </si>
  <si>
    <t>https://analytics.zoho.com/open-view/2395394000008378510?ZOHO_CRITERIA=%22Espacios_Culturales_Completo%201%22.%22C%C3%B3digo_Regi%C3%B3n%22%20%3D%202</t>
  </si>
  <si>
    <t>https://analytics.zoho.com/open-view/2395394000008378510?ZOHO_CRITERIA=%22Espacios_Culturales_Completo%201%22.%22C%C3%B3digo_Regi%C3%B3n%22%20%3D%203</t>
  </si>
  <si>
    <t>https://analytics.zoho.com/open-view/2395394000008378510?ZOHO_CRITERIA=%22Espacios_Culturales_Completo%201%22.%22C%C3%B3digo_Regi%C3%B3n%22%20%3D%204</t>
  </si>
  <si>
    <t>https://analytics.zoho.com/open-view/2395394000008378510?ZOHO_CRITERIA=%22Espacios_Culturales_Completo%201%22.%22C%C3%B3digo_Regi%C3%B3n%22%20%3D%205</t>
  </si>
  <si>
    <t>https://analytics.zoho.com/open-view/2395394000008378510?ZOHO_CRITERIA=%22Espacios_Culturales_Completo%201%22.%22C%C3%B3digo_Regi%C3%B3n%22%20%3D%206</t>
  </si>
  <si>
    <t>https://analytics.zoho.com/open-view/2395394000008378510?ZOHO_CRITERIA=%22Espacios_Culturales_Completo%201%22.%22C%C3%B3digo_Regi%C3%B3n%22%20%3D%207</t>
  </si>
  <si>
    <t>https://analytics.zoho.com/open-view/2395394000008378510?ZOHO_CRITERIA=%22Espacios_Culturales_Completo%201%22.%22C%C3%B3digo_Regi%C3%B3n%22%20%3D%208</t>
  </si>
  <si>
    <t>https://analytics.zoho.com/open-view/2395394000008378510?ZOHO_CRITERIA=%22Espacios_Culturales_Completo%201%22.%22C%C3%B3digo_Regi%C3%B3n%22%20%3D%209</t>
  </si>
  <si>
    <t>https://analytics.zoho.com/open-view/2395394000008378510?ZOHO_CRITERIA=%22Espacios_Culturales_Completo%201%22.%22C%C3%B3digo_Regi%C3%B3n%22%20%3D%2010</t>
  </si>
  <si>
    <t>https://analytics.zoho.com/open-view/2395394000008378510?ZOHO_CRITERIA=%22Espacios_Culturales_Completo%201%22.%22C%C3%B3digo_Regi%C3%B3n%22%20%3D%2011</t>
  </si>
  <si>
    <t>https://analytics.zoho.com/open-view/2395394000008378510?ZOHO_CRITERIA=%22Espacios_Culturales_Completo%201%22.%22C%C3%B3digo_Regi%C3%B3n%22%20%3D%2012</t>
  </si>
  <si>
    <t>https://analytics.zoho.com/open-view/2395394000008378510?ZOHO_CRITERIA=%22Espacios_Culturales_Completo%201%22.%22C%C3%B3digo_Regi%C3%B3n%22%20%3D%2013</t>
  </si>
  <si>
    <t>https://analytics.zoho.com/open-view/2395394000008378510?ZOHO_CRITERIA=%22Espacios_Culturales_Completo%201%22.%22C%C3%B3digo_Regi%C3%B3n%22%20%3D%2014</t>
  </si>
  <si>
    <t>https://analytics.zoho.com/open-view/2395394000008378510?ZOHO_CRITERIA=%22Espacios_Culturales_Completo%201%22.%22C%C3%B3digo_Regi%C3%B3n%22%20%3D%2015</t>
  </si>
  <si>
    <t>https://analytics.zoho.com/open-view/2395394000008378510?ZOHO_CRITERIA=%22Espacios_Culturales_Completo%201%22.%22C%C3%B3digo_Regi%C3%B3n%22%20%3D%2016</t>
  </si>
  <si>
    <t>https://analytics.zoho.com/open-view/2395394000008209595?ZOHO_CRITERIA=%22Trasposicion_4.7%22.%22C%C3%B3digo_Regi%C3%B3n%22%3D3</t>
  </si>
  <si>
    <t>https://analytics.zoho.com/open-view/2395394000008209595?ZOHO_CRITERIA=%22Trasposicion_4.7%22.%22C%C3%B3digo_Regi%C3%B3n%22%3D4</t>
  </si>
  <si>
    <t>https://analytics.zoho.com/open-view/2395394000008209595?ZOHO_CRITERIA=%22Trasposicion_4.7%22.%22C%C3%B3digo_Regi%C3%B3n%22%3D5</t>
  </si>
  <si>
    <t>https://analytics.zoho.com/open-view/2395394000008209595?ZOHO_CRITERIA=%22Trasposicion_4.7%22.%22C%C3%B3digo_Regi%C3%B3n%22%3D6</t>
  </si>
  <si>
    <t>https://analytics.zoho.com/open-view/2395394000008209595?ZOHO_CRITERIA=%22Trasposicion_4.7%22.%22C%C3%B3digo_Regi%C3%B3n%22%3D7</t>
  </si>
  <si>
    <t>https://analytics.zoho.com/open-view/2395394000008209595?ZOHO_CRITERIA=%22Trasposicion_4.7%22.%22C%C3%B3digo_Regi%C3%B3n%22%3D8</t>
  </si>
  <si>
    <t>https://analytics.zoho.com/open-view/2395394000008209595?ZOHO_CRITERIA=%22Trasposicion_4.7%22.%22C%C3%B3digo_Regi%C3%B3n%22%3D9</t>
  </si>
  <si>
    <t>https://analytics.zoho.com/open-view/2395394000008209595?ZOHO_CRITERIA=%22Trasposicion_4.7%22.%22C%C3%B3digo_Regi%C3%B3n%22%3D13</t>
  </si>
  <si>
    <t>https://analytics.zoho.com/open-view/2395394000008209595?ZOHO_CRITERIA=%22Trasposicion_4.7%22.%22C%C3%B3digo_Regi%C3%B3n%22%3D15</t>
  </si>
  <si>
    <t>https://analytics.zoho.com/open-view/2395394000008209595?ZOHO_CRITERIA=%22Trasposicion_4.7%22.%22C%C3%B3digo_Regi%C3%B3n%22%3D16</t>
  </si>
  <si>
    <t>https://analytics.zoho.com/open-view/2395394000008213039?ZOHO_CRITERIA=%22Espacios_Culturales_Completo%201%22.%22C%C3%B3digo_Regi%C3%B3n%22%20%3D%201</t>
  </si>
  <si>
    <t>https://analytics.zoho.com/open-view/2395394000008213039?ZOHO_CRITERIA=%22Espacios_Culturales_Completo%201%22.%22C%C3%B3digo_Regi%C3%B3n%22%20%3D%202</t>
  </si>
  <si>
    <t>https://analytics.zoho.com/open-view/2395394000008213039?ZOHO_CRITERIA=%22Espacios_Culturales_Completo%201%22.%22C%C3%B3digo_Regi%C3%B3n%22%20%3D%203</t>
  </si>
  <si>
    <t>https://analytics.zoho.com/open-view/2395394000008213039?ZOHO_CRITERIA=%22Espacios_Culturales_Completo%201%22.%22C%C3%B3digo_Regi%C3%B3n%22%20%3D%204</t>
  </si>
  <si>
    <t>https://analytics.zoho.com/open-view/2395394000008213039?ZOHO_CRITERIA=%22Espacios_Culturales_Completo%201%22.%22C%C3%B3digo_Regi%C3%B3n%22%20%3D%205</t>
  </si>
  <si>
    <t>https://analytics.zoho.com/open-view/2395394000008213039?ZOHO_CRITERIA=%22Espacios_Culturales_Completo%201%22.%22C%C3%B3digo_Regi%C3%B3n%22%20%3D%206</t>
  </si>
  <si>
    <t>https://analytics.zoho.com/open-view/2395394000008213039?ZOHO_CRITERIA=%22Espacios_Culturales_Completo%201%22.%22C%C3%B3digo_Regi%C3%B3n%22%20%3D%207</t>
  </si>
  <si>
    <t>https://analytics.zoho.com/open-view/2395394000008213039?ZOHO_CRITERIA=%22Espacios_Culturales_Completo%201%22.%22C%C3%B3digo_Regi%C3%B3n%22%20%3D%208</t>
  </si>
  <si>
    <t>https://analytics.zoho.com/open-view/2395394000008213039?ZOHO_CRITERIA=%22Espacios_Culturales_Completo%201%22.%22C%C3%B3digo_Regi%C3%B3n%22%20%3D%209</t>
  </si>
  <si>
    <t>https://analytics.zoho.com/open-view/2395394000008213039?ZOHO_CRITERIA=%22Espacios_Culturales_Completo%201%22.%22C%C3%B3digo_Regi%C3%B3n%22%20%3D%2010</t>
  </si>
  <si>
    <t>https://analytics.zoho.com/open-view/2395394000008213039?ZOHO_CRITERIA=%22Espacios_Culturales_Completo%201%22.%22C%C3%B3digo_Regi%C3%B3n%22%20%3D%2011</t>
  </si>
  <si>
    <t>https://analytics.zoho.com/open-view/2395394000008213039?ZOHO_CRITERIA=%22Espacios_Culturales_Completo%201%22.%22C%C3%B3digo_Regi%C3%B3n%22%20%3D%2012</t>
  </si>
  <si>
    <t>https://analytics.zoho.com/open-view/2395394000008213039?ZOHO_CRITERIA=%22Espacios_Culturales_Completo%201%22.%22C%C3%B3digo_Regi%C3%B3n%22%20%3D%2013</t>
  </si>
  <si>
    <t>https://analytics.zoho.com/open-view/2395394000008213039?ZOHO_CRITERIA=%22Espacios_Culturales_Completo%201%22.%22C%C3%B3digo_Regi%C3%B3n%22%20%3D%2014</t>
  </si>
  <si>
    <t>https://analytics.zoho.com/open-view/2395394000008213039?ZOHO_CRITERIA=%22Espacios_Culturales_Completo%201%22.%22C%C3%B3digo_Regi%C3%B3n%22%20%3D%2015</t>
  </si>
  <si>
    <t>https://analytics.zoho.com/open-view/2395394000008213039?ZOHO_CRITERIA=%22Espacios_Culturales_Completo%201%22.%22C%C3%B3digo_Regi%C3%B3n%22%20%3D%2016</t>
  </si>
  <si>
    <t>https://analytics.zoho.com/open-view/2395394000008025390?ZOHO_CRITERIA=%22Rubros_Todo%22.%22Id_Regi%C3%B3n%22%3D1</t>
  </si>
  <si>
    <t>https://analytics.zoho.com/open-view/2395394000008025390?ZOHO_CRITERIA=%22Rubros_Todo%22.%22Id_Regi%C3%B3n%22%3D2</t>
  </si>
  <si>
    <t>https://analytics.zoho.com/open-view/2395394000008025390?ZOHO_CRITERIA=%22Rubros_Todo%22.%22Id_Regi%C3%B3n%22%3D3</t>
  </si>
  <si>
    <t>https://analytics.zoho.com/open-view/2395394000008025390?ZOHO_CRITERIA=%22Rubros_Todo%22.%22Id_Regi%C3%B3n%22%3D4</t>
  </si>
  <si>
    <t>https://analytics.zoho.com/open-view/2395394000008025390?ZOHO_CRITERIA=%22Rubros_Todo%22.%22Id_Regi%C3%B3n%22%3D5</t>
  </si>
  <si>
    <t>https://analytics.zoho.com/open-view/2395394000008025390?ZOHO_CRITERIA=%22Rubros_Todo%22.%22Id_Regi%C3%B3n%22%3D6</t>
  </si>
  <si>
    <t>https://analytics.zoho.com/open-view/2395394000008025390?ZOHO_CRITERIA=%22Rubros_Todo%22.%22Id_Regi%C3%B3n%22%3D7</t>
  </si>
  <si>
    <t>https://analytics.zoho.com/open-view/2395394000008025390?ZOHO_CRITERIA=%22Rubros_Todo%22.%22Id_Regi%C3%B3n%22%3D8</t>
  </si>
  <si>
    <t>https://analytics.zoho.com/open-view/2395394000008025390?ZOHO_CRITERIA=%22Rubros_Todo%22.%22Id_Regi%C3%B3n%22%3D9</t>
  </si>
  <si>
    <t>https://analytics.zoho.com/open-view/2395394000008025390?ZOHO_CRITERIA=%22Rubros_Todo%22.%22Id_Regi%C3%B3n%22%3D10</t>
  </si>
  <si>
    <t>https://analytics.zoho.com/open-view/2395394000008025390?ZOHO_CRITERIA=%22Rubros_Todo%22.%22Id_Regi%C3%B3n%22%3D11</t>
  </si>
  <si>
    <t>https://analytics.zoho.com/open-view/2395394000008025390?ZOHO_CRITERIA=%22Rubros_Todo%22.%22Id_Regi%C3%B3n%22%3D12</t>
  </si>
  <si>
    <t>https://analytics.zoho.com/open-view/2395394000008025390?ZOHO_CRITERIA=%22Rubros_Todo%22.%22Id_Regi%C3%B3n%22%3D13</t>
  </si>
  <si>
    <t>https://analytics.zoho.com/open-view/2395394000008025390?ZOHO_CRITERIA=%22Rubros_Todo%22.%22Id_Regi%C3%B3n%22%3D14</t>
  </si>
  <si>
    <t>https://analytics.zoho.com/open-view/2395394000008025390?ZOHO_CRITERIA=%22Rubros_Todo%22.%22Id_Regi%C3%B3n%22%3D15</t>
  </si>
  <si>
    <t>https://analytics.zoho.com/open-view/2395394000008025390?ZOHO_CRITERIA=%22Rubros_Todo%22.%22Id_Regi%C3%B3n%22%3D16</t>
  </si>
  <si>
    <t>Valor acumulado (USD) de Exportaciones Frutícolas por país de destino, Periodo 2012-2020</t>
  </si>
  <si>
    <t>Capacidad Instalada (MW) de Centrales de Energía Renovable y No Renovable en Chile, para el Año 2021</t>
  </si>
  <si>
    <t>https://analytics.zoho.com/open-view/2395394000008378752?ZOHO_CRITERIA=%2216%20Energ%C3%ADas%20Renovables%20y%20No%20Renovables%22.%22Cod_Regi%C3%B3n%22%20%3D%200</t>
  </si>
  <si>
    <t>Capacidad Instalada (MW) de Centrales de Energía Renovable y No Renovable en la Región de Tarapacá, para el Año 2021</t>
  </si>
  <si>
    <t>https://analytics.zoho.com/open-view/2395394000008378752?ZOHO_CRITERIA=%2216%20Energ%C3%ADas%20Renovables%20y%20No%20Renovables%22.%22Cod_Regi%C3%B3n%22%20%3D%201</t>
  </si>
  <si>
    <t>Capacidad Instalada (MW) de Centrales de Energía Renovable y No Renovable en la Región de Antofagasta, para el Año 2021</t>
  </si>
  <si>
    <t>https://analytics.zoho.com/open-view/2395394000008378752?ZOHO_CRITERIA=%2216%20Energ%C3%ADas%20Renovables%20y%20No%20Renovables%22.%22Cod_Regi%C3%B3n%22%20%3D%202</t>
  </si>
  <si>
    <t>Capacidad Instalada (MW) de Centrales de Energía Renovable y No Renovable en la Región de Atacama, para el Año 2021</t>
  </si>
  <si>
    <t>https://analytics.zoho.com/open-view/2395394000008378752?ZOHO_CRITERIA=%2216%20Energ%C3%ADas%20Renovables%20y%20No%20Renovables%22.%22Cod_Regi%C3%B3n%22%20%3D%203</t>
  </si>
  <si>
    <t>Capacidad Instalada (MW) de Centrales de Energía Renovable y No Renovable en la Región de Coquimbo, para el Año 2021</t>
  </si>
  <si>
    <t>https://analytics.zoho.com/open-view/2395394000008378752?ZOHO_CRITERIA=%2216%20Energ%C3%ADas%20Renovables%20y%20No%20Renovables%22.%22Cod_Regi%C3%B3n%22%20%3D%204</t>
  </si>
  <si>
    <t>Capacidad Instalada (MW) de Centrales de Energía Renovable y No Renovable en la Región de Valparaíso, para el Año 2021</t>
  </si>
  <si>
    <t>https://analytics.zoho.com/open-view/2395394000008378752?ZOHO_CRITERIA=%2216%20Energ%C3%ADas%20Renovables%20y%20No%20Renovables%22.%22Cod_Regi%C3%B3n%22%20%3D%205</t>
  </si>
  <si>
    <t>Capacidad Instalada (MW) de Centrales de Energía Renovable y No Renovable en la Región de O'Higgins, para el Año 2021</t>
  </si>
  <si>
    <t>https://analytics.zoho.com/open-view/2395394000008378752?ZOHO_CRITERIA=%2216%20Energ%C3%ADas%20Renovables%20y%20No%20Renovables%22.%22Cod_Regi%C3%B3n%22%20%3D%206</t>
  </si>
  <si>
    <t>Capacidad Instalada (MW) de Centrales de Energía Renovable y No Renovable en la Región de Maule, para el Año 2021</t>
  </si>
  <si>
    <t>https://analytics.zoho.com/open-view/2395394000008378752?ZOHO_CRITERIA=%2216%20Energ%C3%ADas%20Renovables%20y%20No%20Renovables%22.%22Cod_Regi%C3%B3n%22%20%3D%207</t>
  </si>
  <si>
    <t>Capacidad Instalada (MW) de Centrales de Energía Renovable y No Renovable en la Región del Biobío, para el Año 2021</t>
  </si>
  <si>
    <t>https://analytics.zoho.com/open-view/2395394000008378752?ZOHO_CRITERIA=%2216%20Energ%C3%ADas%20Renovables%20y%20No%20Renovables%22.%22Cod_Regi%C3%B3n%22%20%3D%208</t>
  </si>
  <si>
    <t>Capacidad Instalada (MW) de Centrales de Energía Renovable y No Renovable en la Región de La Araucanía, para el Año 2021</t>
  </si>
  <si>
    <t>https://analytics.zoho.com/open-view/2395394000008378752?ZOHO_CRITERIA=%2216%20Energ%C3%ADas%20Renovables%20y%20No%20Renovables%22.%22Cod_Regi%C3%B3n%22%20%3D%209</t>
  </si>
  <si>
    <t>Capacidad Instalada (MW) de Centrales de Energía Renovable y No Renovable en la Región de Los Lagos, para el Año 2021</t>
  </si>
  <si>
    <t>https://analytics.zoho.com/open-view/2395394000008378752?ZOHO_CRITERIA=%2216%20Energ%C3%ADas%20Renovables%20y%20No%20Renovables%22.%22Cod_Regi%C3%B3n%22%20%3D%2010</t>
  </si>
  <si>
    <t>Capacidad Instalada (MW) de Centrales de Energía Renovable y No Renovable en la Región de Aysén, para el Año 2021</t>
  </si>
  <si>
    <t>https://analytics.zoho.com/open-view/2395394000008378752?ZOHO_CRITERIA=%2216%20Energ%C3%ADas%20Renovables%20y%20No%20Renovables%22.%22Cod_Regi%C3%B3n%22%20%3D%2011</t>
  </si>
  <si>
    <t>Capacidad Instalada (MW) de Centrales de Energía Renovable y No Renovable en la Región de Magallanes, para el Año 2021</t>
  </si>
  <si>
    <t>https://analytics.zoho.com/open-view/2395394000008378752?ZOHO_CRITERIA=%2216%20Energ%C3%ADas%20Renovables%20y%20No%20Renovables%22.%22Cod_Regi%C3%B3n%22%20%3D%2012</t>
  </si>
  <si>
    <t>Capacidad Instalada (MW) de Centrales de Energía Renovable y No Renovable en la Región Metropolitana, para el Año 2021</t>
  </si>
  <si>
    <t>https://analytics.zoho.com/open-view/2395394000008378752?ZOHO_CRITERIA=%2216%20Energ%C3%ADas%20Renovables%20y%20No%20Renovables%22.%22Cod_Regi%C3%B3n%22%20%3D%2013</t>
  </si>
  <si>
    <t>Capacidad Instalada (MW) de Centrales de Energía Renovable y No Renovable en la Región de Los Ríos, para el Año 2021</t>
  </si>
  <si>
    <t>https://analytics.zoho.com/open-view/2395394000008378752?ZOHO_CRITERIA=%2216%20Energ%C3%ADas%20Renovables%20y%20No%20Renovables%22.%22Cod_Regi%C3%B3n%22%20%3D%2014</t>
  </si>
  <si>
    <t>Capacidad Instalada (MW) de Centrales de Energía Renovable y No Renovable en la Región de Arica y Parinacota, para el Año 2021</t>
  </si>
  <si>
    <t>https://analytics.zoho.com/open-view/2395394000008378752?ZOHO_CRITERIA=%2216%20Energ%C3%ADas%20Renovables%20y%20No%20Renovables%22.%22Cod_Regi%C3%B3n%22%20%3D%2015</t>
  </si>
  <si>
    <t>Capacidad Instalada (MW) de Centrales de Energía Renovable y No Renovable en la Región de Ñuble, para el Año 2021</t>
  </si>
  <si>
    <t>https://analytics.zoho.com/open-view/2395394000008378752?ZOHO_CRITERIA=%2216%20Energ%C3%ADas%20Renovables%20y%20No%20Renovables%22.%22Cod_Regi%C3%B3n%22%20%3D%2016</t>
  </si>
  <si>
    <t>Producción Agrícola (t) en Chile en el Periodo 1979-2020</t>
  </si>
  <si>
    <t>Producción Agrícola (t) en la Región de Tarapacá en el Periodo 1979-2020</t>
  </si>
  <si>
    <t>https://analytics.zoho.com/open-view/2395394000008257083?ZOHO_CRITERIA=%22Trasposicion_4.10%22.%22Cod_regi%C3%B3n%22%20%3D%201</t>
  </si>
  <si>
    <t>Producción Agrícola (t) en la Región de Antofagasta en el Periodo 1979-2020</t>
  </si>
  <si>
    <t>https://analytics.zoho.com/open-view/2395394000008257083?ZOHO_CRITERIA=%22Trasposicion_4.10%22.%22Cod_regi%C3%B3n%22%20%3D%202</t>
  </si>
  <si>
    <t>Producción Agrícola (t) en la Región de Atacama en el Periodo 1979-2020</t>
  </si>
  <si>
    <t>https://analytics.zoho.com/open-view/2395394000008257083?ZOHO_CRITERIA=%22Trasposicion_4.10%22.%22Cod_regi%C3%B3n%22%20%3D%203</t>
  </si>
  <si>
    <t>Producción Agrícola (t) en la Región de Coquimbo en el Periodo 1979-2020</t>
  </si>
  <si>
    <t>https://analytics.zoho.com/open-view/2395394000008257083?ZOHO_CRITERIA=%22Trasposicion_4.10%22.%22Cod_regi%C3%B3n%22%20%3D%204</t>
  </si>
  <si>
    <t>Producción Agrícola (t) en la Región de Valparaíso en el Periodo 1979-2020</t>
  </si>
  <si>
    <t>https://analytics.zoho.com/open-view/2395394000008257083?ZOHO_CRITERIA=%22Trasposicion_4.10%22.%22Cod_regi%C3%B3n%22%20%3D%205</t>
  </si>
  <si>
    <t>Producción Agrícola (t) en la Región de O'Higgins en el Periodo 1979-2020</t>
  </si>
  <si>
    <t>https://analytics.zoho.com/open-view/2395394000008257083?ZOHO_CRITERIA=%22Trasposicion_4.10%22.%22Cod_regi%C3%B3n%22%20%3D%206</t>
  </si>
  <si>
    <t>Producción Agrícola (t) en la Región de Maule en el Periodo 1979-2020</t>
  </si>
  <si>
    <t>https://analytics.zoho.com/open-view/2395394000008257083?ZOHO_CRITERIA=%22Trasposicion_4.10%22.%22Cod_regi%C3%B3n%22%20%3D%207</t>
  </si>
  <si>
    <t>Producción Agrícola (t) en la Región del Biobío en el Periodo 1979-2020</t>
  </si>
  <si>
    <t>https://analytics.zoho.com/open-view/2395394000008257083?ZOHO_CRITERIA=%22Trasposicion_4.10%22.%22Cod_regi%C3%B3n%22%20%3D%208</t>
  </si>
  <si>
    <t>Producción Agrícola (t) en la Región de La Araucanía en el Periodo 1979-2020</t>
  </si>
  <si>
    <t>https://analytics.zoho.com/open-view/2395394000008257083?ZOHO_CRITERIA=%22Trasposicion_4.10%22.%22Cod_regi%C3%B3n%22%20%3D%209</t>
  </si>
  <si>
    <t>Producción Agrícola (t) en la Región de Los Lagos en el Periodo 1979-2020</t>
  </si>
  <si>
    <t>https://analytics.zoho.com/open-view/2395394000008257083?ZOHO_CRITERIA=%22Trasposicion_4.10%22.%22Cod_regi%C3%B3n%22%20%3D%2010</t>
  </si>
  <si>
    <t>Producción Agrícola (t) en la Región de Aysén en el Periodo 1979-2020</t>
  </si>
  <si>
    <t>https://analytics.zoho.com/open-view/2395394000008257083?ZOHO_CRITERIA=%22Trasposicion_4.10%22.%22Cod_regi%C3%B3n%22%20%3D%2011</t>
  </si>
  <si>
    <t>Producción Agrícola (t) en la Región de Magallanes en el Periodo 1979-2020</t>
  </si>
  <si>
    <t>https://analytics.zoho.com/open-view/2395394000008257083?ZOHO_CRITERIA=%22Trasposicion_4.10%22.%22Cod_regi%C3%B3n%22%20%3D%2012</t>
  </si>
  <si>
    <t>Producción Agrícola (t) en la Región Metropolitana en el Periodo 1979-2020</t>
  </si>
  <si>
    <t>https://analytics.zoho.com/open-view/2395394000008257083?ZOHO_CRITERIA=%22Trasposicion_4.10%22.%22Cod_regi%C3%B3n%22%20%3D%2013</t>
  </si>
  <si>
    <t>Producción Agrícola (t) en la Región de Los Ríos en el Periodo 1979-2020</t>
  </si>
  <si>
    <t>https://analytics.zoho.com/open-view/2395394000008257083?ZOHO_CRITERIA=%22Trasposicion_4.10%22.%22Cod_regi%C3%B3n%22%20%3D%2014</t>
  </si>
  <si>
    <t>Producción Agrícola (t) en la Región de Arica y Parinacota en el Periodo 1979-2020</t>
  </si>
  <si>
    <t>https://analytics.zoho.com/open-view/2395394000008257083?ZOHO_CRITERIA=%22Trasposicion_4.10%22.%22Cod_regi%C3%B3n%22%20%3D%2015</t>
  </si>
  <si>
    <t>Producción Agrícola (t) en la Región de Ñuble en el Periodo 1979-2020</t>
  </si>
  <si>
    <t>https://analytics.zoho.com/open-view/2395394000008257083?ZOHO_CRITERIA=%22Trasposicion_4.10%22.%22Cod_regi%C3%B3n%22%20%3D%2016</t>
  </si>
  <si>
    <t>Volumen de Importaciones (t) de frutas tropicales y subtropicales, en el Periodo 2012-2020</t>
  </si>
  <si>
    <t>Volumen de Importaciones (t) por Procesamiento, en el Periodo 2012-2020</t>
  </si>
  <si>
    <t>Evolución de Casos de Cáncer de Cuello Uterino en Chile durante el Periodo 2011-2018</t>
  </si>
  <si>
    <t>Evolución de Población en Control en el Programa de VIH/SIDA según sexo en Chile durante el Periodo 2011-2018</t>
  </si>
  <si>
    <t>Evolución de Población en Control en el Programa de VIH/SIDA según sexo en Región de Tarapacá durante el Periodo 2011-2018</t>
  </si>
  <si>
    <t>https://analytics.zoho.com/open-view/2395394000007991542?ZOHO_CRITERIA=%22Localiza%20CL%22.%22Codreg%22%20%3D%201</t>
  </si>
  <si>
    <t>Evolución de Población en Control en el Programa de VIH/SIDA según sexo en Región de Antofagasta durante el Periodo 2011-2018</t>
  </si>
  <si>
    <t>https://analytics.zoho.com/open-view/2395394000007991542?ZOHO_CRITERIA=%22Localiza%20CL%22.%22Codreg%22%20%3D%202</t>
  </si>
  <si>
    <t>Evolución de Población en Control en el Programa de VIH/SIDA según sexo en Región de Atacama durante el Periodo 2011-2018</t>
  </si>
  <si>
    <t>https://analytics.zoho.com/open-view/2395394000007991542?ZOHO_CRITERIA=%22Localiza%20CL%22.%22Codreg%22%20%3D%203</t>
  </si>
  <si>
    <t>Evolución de Población en Control en el Programa de VIH/SIDA según sexo en Región de Coquimbo durante el Periodo 2011-2018</t>
  </si>
  <si>
    <t>https://analytics.zoho.com/open-view/2395394000007991542?ZOHO_CRITERIA=%22Localiza%20CL%22.%22Codreg%22%20%3D%204</t>
  </si>
  <si>
    <t>Evolución de Población en Control en el Programa de VIH/SIDA según sexo en Región de Valparaíso durante el Periodo 2011-2018</t>
  </si>
  <si>
    <t>https://analytics.zoho.com/open-view/2395394000007991542?ZOHO_CRITERIA=%22Localiza%20CL%22.%22Codreg%22%20%3D%205</t>
  </si>
  <si>
    <t>Evolución de Población en Control en el Programa de VIH/SIDA según sexo en Región de O'Higgins durante el Periodo 2011-2018</t>
  </si>
  <si>
    <t>https://analytics.zoho.com/open-view/2395394000007991542?ZOHO_CRITERIA=%22Localiza%20CL%22.%22Codreg%22%20%3D%206</t>
  </si>
  <si>
    <t>Evolución de Población en Control en el Programa de VIH/SIDA según sexo en Región de Maule durante el Periodo 2011-2018</t>
  </si>
  <si>
    <t>https://analytics.zoho.com/open-view/2395394000007991542?ZOHO_CRITERIA=%22Localiza%20CL%22.%22Codreg%22%20%3D%207</t>
  </si>
  <si>
    <t>Evolución de Población en Control en el Programa de VIH/SIDA según sexo en Región del Biobío durante el Periodo 2011-2018</t>
  </si>
  <si>
    <t>https://analytics.zoho.com/open-view/2395394000007991542?ZOHO_CRITERIA=%22Localiza%20CL%22.%22Codreg%22%20%3D%208</t>
  </si>
  <si>
    <t>Evolución de Población en Control en el Programa de VIH/SIDA según sexo en Región de La Araucanía durante el Periodo 2011-2018</t>
  </si>
  <si>
    <t>https://analytics.zoho.com/open-view/2395394000007991542?ZOHO_CRITERIA=%22Localiza%20CL%22.%22Codreg%22%20%3D%209</t>
  </si>
  <si>
    <t>Evolución de Población en Control en el Programa de VIH/SIDA según sexo en Región de Los Lagos durante el Periodo 2011-2018</t>
  </si>
  <si>
    <t>https://analytics.zoho.com/open-view/2395394000007991542?ZOHO_CRITERIA=%22Localiza%20CL%22.%22Codreg%22%20%3D%2010</t>
  </si>
  <si>
    <t>Evolución de Población en Control en el Programa de VIH/SIDA según sexo en Región de Aysén durante el Periodo 2011-2018</t>
  </si>
  <si>
    <t>https://analytics.zoho.com/open-view/2395394000007991542?ZOHO_CRITERIA=%22Localiza%20CL%22.%22Codreg%22%20%3D%2011</t>
  </si>
  <si>
    <t>Evolución de Población en Control en el Programa de VIH/SIDA según sexo en Región de Magallanes durante el Periodo 2011-2018</t>
  </si>
  <si>
    <t>https://analytics.zoho.com/open-view/2395394000007991542?ZOHO_CRITERIA=%22Localiza%20CL%22.%22Codreg%22%20%3D%2012</t>
  </si>
  <si>
    <t>Evolución de Población en Control en el Programa de VIH/SIDA según sexo en Región Metropolitana durante el Periodo 2011-2018</t>
  </si>
  <si>
    <t>https://analytics.zoho.com/open-view/2395394000007991542?ZOHO_CRITERIA=%22Localiza%20CL%22.%22Codreg%22%20%3D%2013</t>
  </si>
  <si>
    <t>Evolución de Población en Control en el Programa de VIH/SIDA según sexo en Región de Los Ríos durante el Periodo 2011-2018</t>
  </si>
  <si>
    <t>https://analytics.zoho.com/open-view/2395394000007991542?ZOHO_CRITERIA=%22Localiza%20CL%22.%22Codreg%22%20%3D%2014</t>
  </si>
  <si>
    <t>Evolución de Población en Control en el Programa de VIH/SIDA según sexo en Región de Arica y Parinacota durante el Periodo 2011-2018</t>
  </si>
  <si>
    <t>https://analytics.zoho.com/open-view/2395394000007991542?ZOHO_CRITERIA=%22Localiza%20CL%22.%22Codreg%22%20%3D%2015</t>
  </si>
  <si>
    <t>Evolución de Población en Control en el Programa de VIH/SIDA según sexo en Región de Ñuble durante el Periodo 2011-2018</t>
  </si>
  <si>
    <t>https://analytics.zoho.com/open-view/2395394000007991542?ZOHO_CRITERIA=%22Localiza%20CL%22.%22Codreg%22%20%3D%2016</t>
  </si>
  <si>
    <t>Cantidad de comunas por región según grado de vulnerabilidad al cambio climático, POR DEFINIR</t>
  </si>
  <si>
    <t>Cantidad de comunas según grado de vulnerabilidad al cambio climático, Región de Tarapacá, POR DEFINIR</t>
  </si>
  <si>
    <t>Cantidad de comunas según grado de vulnerabilidad al cambio climático, Región de Antofagasta, POR DEFINIR</t>
  </si>
  <si>
    <t>Cantidad de comunas según grado de vulnerabilidad al cambio climático, Región de Atacama, POR DEFINIR</t>
  </si>
  <si>
    <t>Cantidad de comunas según grado de vulnerabilidad al cambio climático, Región de Coquimbo, POR DEFINIR</t>
  </si>
  <si>
    <t>Cantidad de comunas según grado de vulnerabilidad al cambio climático, Región de Valparaíso, POR DEFINIR</t>
  </si>
  <si>
    <t>Cantidad de comunas según grado de vulnerabilidad al cambio climático, Región de O'Higgins, POR DEFINIR</t>
  </si>
  <si>
    <t>Cantidad de comunas según grado de vulnerabilidad al cambio climático, Región de Maule, POR DEFINIR</t>
  </si>
  <si>
    <t>Cantidad de comunas según grado de vulnerabilidad al cambio climático, Región del Biobío, POR DEFINIR</t>
  </si>
  <si>
    <t>Cantidad de comunas según grado de vulnerabilidad al cambio climático, Región de La Araucanía, POR DEFINIR</t>
  </si>
  <si>
    <t>Cantidad de comunas según grado de vulnerabilidad al cambio climático, Región de Los Lagos, POR DEFINIR</t>
  </si>
  <si>
    <t>Cantidad de comunas según grado de vulnerabilidad al cambio climático, Región de Aysén, POR DEFINIR</t>
  </si>
  <si>
    <t>Cantidad de comunas según grado de vulnerabilidad al cambio climático, Región de Magallanes, POR DEFINIR</t>
  </si>
  <si>
    <t>Cantidad de comunas según grado de vulnerabilidad al cambio climático, Región Metropolitana, POR DEFINIR</t>
  </si>
  <si>
    <t>Cantidad de comunas según grado de vulnerabilidad al cambio climático, Región de Los Ríos, POR DEFINIR</t>
  </si>
  <si>
    <t>Cantidad de comunas según grado de vulnerabilidad al cambio climático, Región de Arica y Parinacota, POR DEFINIR</t>
  </si>
  <si>
    <t>Cantidad de comunas según grado de vulnerabilidad al cambio climático, Región de Ñuble, POR DEFINIR</t>
  </si>
  <si>
    <t>Mapa de Comunas con ALTA Vulnerabilidad al Cambio Climático en Chile, POR DEFINIR</t>
  </si>
  <si>
    <t>Ranking de las regiones con mayor Vulnerabilidad al Cambio Climático en Chile, POR DEFINIR</t>
  </si>
  <si>
    <t>Superficie de glaciares en Chile para el Periodo 2016-2021</t>
  </si>
  <si>
    <t>Superficie de glaciares en la Región de Tarapacá para el Periodo 2016-2021</t>
  </si>
  <si>
    <t>Superficie de glaciares en la Región de Antofagasta para el Periodo 2016-2021</t>
  </si>
  <si>
    <t>Superficie de glaciares en la Región de Atacama para el Periodo 2016-2021</t>
  </si>
  <si>
    <t>Superficie de glaciares en la Región de Coquimbo para el Periodo 2016-2021</t>
  </si>
  <si>
    <t>Superficie de glaciares en la Región de Valparaíso para el Periodo 2016-2021</t>
  </si>
  <si>
    <t>Superficie de glaciares en la Región de O'Higgins para el Periodo 2016-2021</t>
  </si>
  <si>
    <t>Superficie de glaciares en la Región de Maule para el Periodo 2016-2021</t>
  </si>
  <si>
    <t>Superficie de glaciares en la Región del Biobío para el Periodo 2016-2021</t>
  </si>
  <si>
    <t>Superficie de glaciares en la Región de La Araucanía para el Periodo 2016-2021</t>
  </si>
  <si>
    <t>Superficie de glaciares en la Región de Los Lagos para el Periodo 2016-2021</t>
  </si>
  <si>
    <t>Superficie de glaciares en la Región de Aysén para el Periodo 2016-2021</t>
  </si>
  <si>
    <t>Superficie de glaciares en la Región de Magallanes para el Periodo 2016-2021</t>
  </si>
  <si>
    <t>Superficie de glaciares en la Región Metropolitana para el Periodo 2016-2021</t>
  </si>
  <si>
    <t>Superficie de glaciares en la Región de Los Ríos para el Periodo 2016-2021</t>
  </si>
  <si>
    <t>Superficie de glaciares en la Región de Arica y Parinacota para el Periodo 2016-2021</t>
  </si>
  <si>
    <t>Superficie de glaciares en la Región de Ñuble para el Periodo 2016-2021</t>
  </si>
  <si>
    <t>Representación geográfica de regiones con la proporción de comunas que poseen IPT's locales, para el Año 2020</t>
  </si>
  <si>
    <t>Desembarque total por tipo (industrial o artesanal) a nivel regional en Chile para el Año 2019</t>
  </si>
  <si>
    <t>Desembarque total por tipo (industrial o artesanal) en la Región de Tarapacá para el Año 2019</t>
  </si>
  <si>
    <t>Sentencias Dictadas por delitos de Abuso Sexual en la Región de Antofagasta para el Año 2019</t>
  </si>
  <si>
    <t>Sentencias Dictadas por delitos de Abuso Sexual en la Región de Atacama para el Año 2019</t>
  </si>
  <si>
    <t>Sentencias Dictadas por delitos de Abuso Sexual en la Región de Coquimbo para el Año 2019</t>
  </si>
  <si>
    <t>Sentencias Dictadas por delitos de Abuso Sexual en la Región de Valparaíso para el Año 2019</t>
  </si>
  <si>
    <t>Sentencias Dictadas por delitos de Abuso Sexual en la Región de O'Higgins para el Año 2019</t>
  </si>
  <si>
    <t>Sentencias Dictadas por delitos de Abuso Sexual en la Región de Maule para el Año 2019</t>
  </si>
  <si>
    <t>Sentencias Dictadas por delitos de Abuso Sexual en la Región del Biobío para el Año 2019</t>
  </si>
  <si>
    <t>Sentencias Dictadas por delitos de Abuso Sexual en la Región de La Araucanía para el Año 2019</t>
  </si>
  <si>
    <t>Sentencias Dictadas por delitos de Abuso Sexual en la Región de Los Lagos para el Año 2019</t>
  </si>
  <si>
    <t>Sentencias Dictadas por delitos de Abuso Sexual en la Región de Aysén para el Año 2019</t>
  </si>
  <si>
    <t>Sentencias Dictadas por delitos de Abuso Sexual en la Región de Magallanes para el Año 2019</t>
  </si>
  <si>
    <t>Sentencias Dictadas por delitos de Abuso Sexual en la Región Metropolitana para el Año 2019</t>
  </si>
  <si>
    <t>Sentencias Dictadas por delitos de Abuso Sexual en la Región de Los Ríos para el Año 2019</t>
  </si>
  <si>
    <t>Sentencias Dictadas por delitos de Abuso Sexual en la Región de Arica y Parinacota para el Año 2019</t>
  </si>
  <si>
    <t>Sentencias Dictadas por delitos de Abuso Sexual en la Región de Ñuble para el Año 2019</t>
  </si>
  <si>
    <t>Población perteneciente a pueblos originarios por región en Chile, POR DEFINIR</t>
  </si>
  <si>
    <t>Cantidad de defunciones anuales por región en Chile, Periodo 2010-2021</t>
  </si>
  <si>
    <t>Cantidad de defunciones anuales en la Región de Tarapacá, Periodo 2010-2021</t>
  </si>
  <si>
    <t>Cantidad de defunciones anuales en la Región de Antofagasta, Periodo 2010-2021</t>
  </si>
  <si>
    <t>Cantidad de defunciones anuales en la Región de Atacama, Periodo 2010-2021</t>
  </si>
  <si>
    <t>Cantidad de defunciones anuales en la Región de Coquimbo, Periodo 2010-2021</t>
  </si>
  <si>
    <t>Cantidad de defunciones anuales en la Región de Valparaíso, Periodo 2010-2021</t>
  </si>
  <si>
    <t>Cantidad de defunciones anuales en la Región de O'Higgins, Periodo 2010-2021</t>
  </si>
  <si>
    <t>Cantidad de defunciones anuales en la Región de Maule, Periodo 2010-2021</t>
  </si>
  <si>
    <t>Cantidad de defunciones anuales en la Región del Biobío, Periodo 2010-2021</t>
  </si>
  <si>
    <t>Cantidad de defunciones anuales en la Región de La Araucanía, Periodo 2010-2021</t>
  </si>
  <si>
    <t>Cantidad de defunciones anuales en la Región de Los Lagos, Periodo 2010-2021</t>
  </si>
  <si>
    <t>Cantidad de defunciones anuales en la Región de Aysén, Periodo 2010-2021</t>
  </si>
  <si>
    <t>Cantidad de defunciones anuales en la Región de Magallanes, Periodo 2010-2021</t>
  </si>
  <si>
    <t>Cantidad de defunciones anuales en la Región Metropolitana, Periodo 2010-2021</t>
  </si>
  <si>
    <t>Cantidad de defunciones anuales en la Región de Los Ríos, Periodo 2010-2021</t>
  </si>
  <si>
    <t>Cantidad de defunciones anuales en la Región de Arica y Parinacota, Periodo 2010-2021</t>
  </si>
  <si>
    <t>Cantidad de defunciones anuales en la Región de Ñuble, Periodo 2010-2021</t>
  </si>
  <si>
    <t>Cantidad de nacimientos anuales por región en Chile, Periodo 2010-2021</t>
  </si>
  <si>
    <t>Cantidad de nacimientos anuales en la Región de Tarapacá, Periodo 2010-2021</t>
  </si>
  <si>
    <t>Cantidad de nacimientos anuales en la Región de Antofagasta, Periodo 2010-2021</t>
  </si>
  <si>
    <t>Cantidad de nacimientos anuales en la Región de Atacama, Periodo 2010-2021</t>
  </si>
  <si>
    <t>Cantidad de nacimientos anuales en la Región de Coquimbo, Periodo 2010-2021</t>
  </si>
  <si>
    <t>Cantidad de nacimientos anuales en la Región de Valparaíso, Periodo 2010-2021</t>
  </si>
  <si>
    <t>Cantidad de nacimientos anuales en la Región de O'Higgins, Periodo 2010-2021</t>
  </si>
  <si>
    <t>Cantidad de nacimientos anuales en la Región de Maule, Periodo 2010-2021</t>
  </si>
  <si>
    <t>Cantidad de nacimientos anuales en la Región del Biobío, Periodo 2010-2021</t>
  </si>
  <si>
    <t>Cantidad de nacimientos anuales en la Región de La Araucanía, Periodo 2010-2021</t>
  </si>
  <si>
    <t>Cantidad de nacimientos anuales en la Región de Los Lagos, Periodo 2010-2021</t>
  </si>
  <si>
    <t>Cantidad de nacimientos anuales en la Región de Aysén, Periodo 2010-2021</t>
  </si>
  <si>
    <t>Cantidad de nacimientos anuales en la Región de Magallanes, Periodo 2010-2021</t>
  </si>
  <si>
    <t>Cantidad de nacimientos anuales en la Región Metropolitana, Periodo 2010-2021</t>
  </si>
  <si>
    <t>Cantidad de nacimientos anuales en la Región de Los Ríos, Periodo 2010-2021</t>
  </si>
  <si>
    <t>Cantidad de nacimientos anuales en la Región de Arica y Parinacota, Periodo 2010-2021</t>
  </si>
  <si>
    <t>Cantidad de nacimientos anuales en la Región de Ñuble, Periodo 2010-2021</t>
  </si>
  <si>
    <t>Cantidad de permisos de circulación según tipo de vehículo en Chile, Periodo 2008-2019</t>
  </si>
  <si>
    <t>Cantidad de permisos de circulación según tipo de vehículo en la Región de Tarapacá, Periodo 2008-2019</t>
  </si>
  <si>
    <t>Cantidad de permisos de circulación según tipo de vehículo en la Región de Antofagasta, Periodo 2008-2019</t>
  </si>
  <si>
    <t>Cantidad de permisos de circulación según tipo de vehículo en la Región de Atacama, Periodo 2008-2019</t>
  </si>
  <si>
    <t>Cantidad de permisos de circulación según tipo de vehículo en la Región de Coquimbo, Periodo 2008-2019</t>
  </si>
  <si>
    <t>Cantidad de permisos de circulación según tipo de vehículo en la Región de Valparaíso, Periodo 2008-2019</t>
  </si>
  <si>
    <t>Cantidad de permisos de circulación según tipo de vehículo en la Región de O'Higgins, Periodo 2008-2019</t>
  </si>
  <si>
    <t>Cantidad de permisos de circulación según tipo de vehículo en la Región de Maule, Periodo 2008-2019</t>
  </si>
  <si>
    <t>Cantidad de permisos de circulación según tipo de vehículo en la Región del Biobío, Periodo 2008-2019</t>
  </si>
  <si>
    <t>Cantidad de permisos de circulación según tipo de vehículo en la Región de La Araucanía, Periodo 2008-2019</t>
  </si>
  <si>
    <t>Cantidad de permisos de circulación según tipo de vehículo en la Región de Los Lagos, Periodo 2008-2019</t>
  </si>
  <si>
    <t>Cantidad de permisos de circulación según tipo de vehículo en la Región de Aysén, Periodo 2008-2019</t>
  </si>
  <si>
    <t>Cantidad de permisos de circulación según tipo de vehículo en la Región de Magallanes, Periodo 2008-2019</t>
  </si>
  <si>
    <t>Cantidad de permisos de circulación según tipo de vehículo en la Región Metropolitana, Periodo 2008-2019</t>
  </si>
  <si>
    <t>Cantidad de permisos de circulación según tipo de vehículo en la Región de Los Ríos, Periodo 2008-2019</t>
  </si>
  <si>
    <t>Cantidad de permisos de circulación según tipo de vehículo en la Región de Arica y Parinacota, Periodo 2008-2019</t>
  </si>
  <si>
    <t>Cantidad de permisos de circulación según tipo de vehículo en la Región de Ñuble, Periodo 2008-2019</t>
  </si>
  <si>
    <t>Emisiones (t) de CO2 por Tipo de Combustible en Chile, Periodo 1990-2019</t>
  </si>
  <si>
    <t>Variación Porcentual (%) Anual de Emisiones de CO2 por Quema de Combustible en Chile, Periodo 1990-2019</t>
  </si>
  <si>
    <t>Emisiones per cápita (t) de CO2 por Quema de Combustible en Chile, para el Periodo 1990-2019 y previsión 2020-2025</t>
  </si>
  <si>
    <t>Proporción de CO2 Emitido por Quema de Combustible con respecto al Año Anterior en Chile, Periodo 1990-2019</t>
  </si>
  <si>
    <t>Diferencia porcentual con respecto al año anterior de trabajadores dependientes informados por género, Periodo 2005-2019</t>
  </si>
  <si>
    <t>Número de trabajadores informados por tipo de contrato para cada año en Chile, Periodo 2005-2019</t>
  </si>
  <si>
    <t>Número de trabajadores informados por tipo de contrato para cada año en la Región de Tarapacá, Periodo 2005-2019</t>
  </si>
  <si>
    <t>https://analytics.zoho.com/open-view/2395394000008038797?ZOHO_CRITERIA=%225.1%20Empresas_Tama%C3%B1o%22.%22Cod_Regi%C3%B3n%22%3D1</t>
  </si>
  <si>
    <t>Número de trabajadores informados por tipo de contrato para cada año en la Región de Antofagasta, Periodo 2005-2019</t>
  </si>
  <si>
    <t>https://analytics.zoho.com/open-view/2395394000008038797?ZOHO_CRITERIA=%225.1%20Empresas_Tama%C3%B1o%22.%22Cod_Regi%C3%B3n%22%3D2</t>
  </si>
  <si>
    <t>Número de trabajadores informados por tipo de contrato para cada año en la Región de Atacama, Periodo 2005-2019</t>
  </si>
  <si>
    <t>https://analytics.zoho.com/open-view/2395394000008038797?ZOHO_CRITERIA=%225.1%20Empresas_Tama%C3%B1o%22.%22Cod_Regi%C3%B3n%22%3D3</t>
  </si>
  <si>
    <t>Número de trabajadores informados por tipo de contrato para cada año en la Región de Coquimbo, Periodo 2005-2019</t>
  </si>
  <si>
    <t>https://analytics.zoho.com/open-view/2395394000008038797?ZOHO_CRITERIA=%225.1%20Empresas_Tama%C3%B1o%22.%22Cod_Regi%C3%B3n%22%3D4</t>
  </si>
  <si>
    <t>Número de trabajadores informados por tipo de contrato para cada año en la Región de Valparaíso, Periodo 2005-2019</t>
  </si>
  <si>
    <t>https://analytics.zoho.com/open-view/2395394000008038797?ZOHO_CRITERIA=%225.1%20Empresas_Tama%C3%B1o%22.%22Cod_Regi%C3%B3n%22%3D5</t>
  </si>
  <si>
    <t>Número de trabajadores informados por tipo de contrato para cada año en la Región de O'Higgins, Periodo 2005-2019</t>
  </si>
  <si>
    <t>https://analytics.zoho.com/open-view/2395394000008038797?ZOHO_CRITERIA=%225.1%20Empresas_Tama%C3%B1o%22.%22Cod_Regi%C3%B3n%22%3D6</t>
  </si>
  <si>
    <t>Número de trabajadores informados por tipo de contrato para cada año en la Región de Maule, Periodo 2005-2019</t>
  </si>
  <si>
    <t>https://analytics.zoho.com/open-view/2395394000008038797?ZOHO_CRITERIA=%225.1%20Empresas_Tama%C3%B1o%22.%22Cod_Regi%C3%B3n%22%3D7</t>
  </si>
  <si>
    <t>Número de trabajadores informados por tipo de contrato para cada año en la Región del Biobío, Periodo 2005-2019</t>
  </si>
  <si>
    <t>https://analytics.zoho.com/open-view/2395394000008038797?ZOHO_CRITERIA=%225.1%20Empresas_Tama%C3%B1o%22.%22Cod_Regi%C3%B3n%22%3D8</t>
  </si>
  <si>
    <t>Número de trabajadores informados por tipo de contrato para cada año en la Región de La Araucanía, Periodo 2005-2019</t>
  </si>
  <si>
    <t>https://analytics.zoho.com/open-view/2395394000008038797?ZOHO_CRITERIA=%225.1%20Empresas_Tama%C3%B1o%22.%22Cod_Regi%C3%B3n%22%3D9</t>
  </si>
  <si>
    <t>Número de trabajadores informados por tipo de contrato para cada año en la Región de Los Lagos, Periodo 2005-2019</t>
  </si>
  <si>
    <t>https://analytics.zoho.com/open-view/2395394000008038797?ZOHO_CRITERIA=%225.1%20Empresas_Tama%C3%B1o%22.%22Cod_Regi%C3%B3n%22%3D10</t>
  </si>
  <si>
    <t>Número de trabajadores informados por tipo de contrato para cada año en la Región de Aysén, Periodo 2005-2019</t>
  </si>
  <si>
    <t>https://analytics.zoho.com/open-view/2395394000008038797?ZOHO_CRITERIA=%225.1%20Empresas_Tama%C3%B1o%22.%22Cod_Regi%C3%B3n%22%3D11</t>
  </si>
  <si>
    <t>Número de trabajadores informados por tipo de contrato para cada año en la Región de Magallanes, Periodo 2005-2019</t>
  </si>
  <si>
    <t>https://analytics.zoho.com/open-view/2395394000008038797?ZOHO_CRITERIA=%225.1%20Empresas_Tama%C3%B1o%22.%22Cod_Regi%C3%B3n%22%3D12</t>
  </si>
  <si>
    <t>Número de trabajadores informados por tipo de contrato para cada año en la Región Metropolitana, Periodo 2005-2019</t>
  </si>
  <si>
    <t>https://analytics.zoho.com/open-view/2395394000008038797?ZOHO_CRITERIA=%225.1%20Empresas_Tama%C3%B1o%22.%22Cod_Regi%C3%B3n%22%3D13</t>
  </si>
  <si>
    <t>Número de trabajadores informados por tipo de contrato para cada año en la Región de Los Ríos, Periodo 2005-2019</t>
  </si>
  <si>
    <t>https://analytics.zoho.com/open-view/2395394000008038797?ZOHO_CRITERIA=%225.1%20Empresas_Tama%C3%B1o%22.%22Cod_Regi%C3%B3n%22%3D14</t>
  </si>
  <si>
    <t>Número de trabajadores informados por tipo de contrato para cada año en la Región de Arica y Parinacota, Periodo 2005-2019</t>
  </si>
  <si>
    <t>https://analytics.zoho.com/open-view/2395394000008038797?ZOHO_CRITERIA=%225.1%20Empresas_Tama%C3%B1o%22.%22Cod_Regi%C3%B3n%22%3D15</t>
  </si>
  <si>
    <t>Número de trabajadores informados por tipo de contrato para cada año en la Región de Ñuble, Periodo 2005-2019</t>
  </si>
  <si>
    <t>https://analytics.zoho.com/open-view/2395394000008038797?ZOHO_CRITERIA=%225.1%20Empresas_Tama%C3%B1o%22.%22Cod_Regi%C3%B3n%22%3D16</t>
  </si>
  <si>
    <t>Evolución de Puntaje SIMCE de Lectura por Dependencia de Establecimientos para 4° Básico en Chile para el Periodo 2015 - 2018</t>
  </si>
  <si>
    <t>Evolución de Puntaje SIMCE de Lectura por Dependencia de Establecimientos para 4° Básico en la Región de Tarapacá para el Periodo 2015 - 2018</t>
  </si>
  <si>
    <t>Evolución de Puntaje SIMCE de Lectura por Dependencia de Establecimientos para 4° Básico en la Región de Antofagasta para el Periodo 2015 - 2018</t>
  </si>
  <si>
    <t>Evolución de Puntaje SIMCE de Lectura por Dependencia de Establecimientos para 4° Básico en la Región de Atacama para el Periodo 2015 - 2018</t>
  </si>
  <si>
    <t>Evolución de Puntaje SIMCE de Lectura por Dependencia de Establecimientos para 4° Básico en la Región de Coquimbo para el Periodo 2015 - 2018</t>
  </si>
  <si>
    <t>Evolución de Puntaje SIMCE de Lectura por Dependencia de Establecimientos para 4° Básico en la Región de Valparaíso para el Periodo 2015 - 2018</t>
  </si>
  <si>
    <t>Evolución de Puntaje SIMCE de Lectura por Dependencia de Establecimientos para 4° Básico en la Región de O'Higgins para el Periodo 2015 - 2018</t>
  </si>
  <si>
    <t>Evolución de Puntaje SIMCE de Lectura por Dependencia de Establecimientos para 4° Básico en la Región de Maule para el Periodo 2015 - 2018</t>
  </si>
  <si>
    <t>Evolución de Puntaje SIMCE de Lectura por Dependencia de Establecimientos para 4° Básico en la Región del Biobío para el Periodo 2015 - 2018</t>
  </si>
  <si>
    <t>Evolución de Puntaje SIMCE de Lectura por Dependencia de Establecimientos para 4° Básico en la Región de La Araucanía para el Periodo 2015 - 2018</t>
  </si>
  <si>
    <t>Evolución de Puntaje SIMCE de Lectura por Dependencia de Establecimientos para 4° Básico en la Región de Los Lagos para el Periodo 2015 - 2018</t>
  </si>
  <si>
    <t>Evolución de Puntaje SIMCE de Lectura por Dependencia de Establecimientos para 4° Básico en la Región de Aysén para el Periodo 2015 - 2018</t>
  </si>
  <si>
    <t>Evolución de Puntaje SIMCE de Lectura por Dependencia de Establecimientos para 4° Básico en la Región de Magallanes para el Periodo 2015 - 2018</t>
  </si>
  <si>
    <t>Evolución de Puntaje SIMCE de Lectura por Dependencia de Establecimientos para 4° Básico en la Región Metropolitana para el Periodo 2015 - 2018</t>
  </si>
  <si>
    <t>Evolución de Puntaje SIMCE de Lectura por Dependencia de Establecimientos para 4° Básico en la Región de Los Ríos para el Periodo 2015 - 2018</t>
  </si>
  <si>
    <t>Evolución de Puntaje SIMCE de Lectura por Dependencia de Establecimientos para 4° Básico en la Región de Arica y Parinacota para el Periodo 2015 - 2018</t>
  </si>
  <si>
    <t>Evolución de Puntaje SIMCE de Lectura por Dependencia de Establecimientos para 4° Básico en la Región de Ñuble para el Periodo 2015 - 2018</t>
  </si>
  <si>
    <t>Evolución de Puntaje SIMCE de Lectura según área urbana o rural para 6° Básico en Chile para el Periodo 2015 - 2018</t>
  </si>
  <si>
    <t>Evolución de Puntaje SIMCE de Lectura según área urbana o rural para 6° Básico en la Región de Tarapacá para el Periodo 2015 - 2018</t>
  </si>
  <si>
    <t>Evolución de Puntaje SIMCE de Lectura según área urbana o rural para 6° Básico en la Región de Antofagasta para el Periodo 2015 - 2018</t>
  </si>
  <si>
    <t>Evolución de Puntaje SIMCE de Lectura según área urbana o rural para 6° Básico en la Región de Atacama para el Periodo 2015 - 2018</t>
  </si>
  <si>
    <t>Evolución de Puntaje SIMCE de Lectura según área urbana o rural para 6° Básico en la Región de Coquimbo para el Periodo 2015 - 2018</t>
  </si>
  <si>
    <t>Evolución de Puntaje SIMCE de Lectura según área urbana o rural para 6° Básico en la Región de Valparaíso para el Periodo 2015 - 2018</t>
  </si>
  <si>
    <t>Evolución de Puntaje SIMCE de Lectura según área urbana o rural para 6° Básico en la Región de O'Higgins para el Periodo 2015 - 2018</t>
  </si>
  <si>
    <t>Evolución de Puntaje SIMCE de Lectura según área urbana o rural para 6° Básico en la Región de Maule para el Periodo 2015 - 2018</t>
  </si>
  <si>
    <t>Evolución de Puntaje SIMCE de Lectura según área urbana o rural para 6° Básico en la Región del Biobío para el Periodo 2015 - 2018</t>
  </si>
  <si>
    <t>Evolución de Puntaje SIMCE de Lectura según área urbana o rural para 6° Básico en la Región de La Araucanía para el Periodo 2015 - 2018</t>
  </si>
  <si>
    <t>Evolución de Puntaje SIMCE de Lectura según área urbana o rural para 6° Básico en la Región de Los Lagos para el Periodo 2015 - 2018</t>
  </si>
  <si>
    <t>Evolución de Puntaje SIMCE de Lectura según área urbana o rural para 6° Básico en la Región de Aysén para el Periodo 2015 - 2018</t>
  </si>
  <si>
    <t>Evolución de Puntaje SIMCE de Lectura según área urbana o rural para 6° Básico en la Región de Magallanes para el Periodo 2015 - 2018</t>
  </si>
  <si>
    <t>Evolución de Puntaje SIMCE de Lectura según área urbana o rural para 6° Básico en la Región Metropolitana para el Periodo 2015 - 2018</t>
  </si>
  <si>
    <t>Evolución de Puntaje SIMCE de Lectura según área urbana o rural para 6° Básico en la Región de Los Ríos para el Periodo 2015 - 2018</t>
  </si>
  <si>
    <t>Evolución de Puntaje SIMCE de Lectura según área urbana o rural para 6° Básico en la Región de Arica y Parinacota para el Periodo 2015 - 2018</t>
  </si>
  <si>
    <t>Evolución de Puntaje SIMCE de Lectura según área urbana o rural para 6° Básico en la Región de Ñuble para el Periodo 2015 - 2018</t>
  </si>
  <si>
    <t>Mapa Puntaje Promedio y Máximo en prueba SIMCE de Lectura de 8vo Básico por Comuna en Chile para el Año 2020</t>
  </si>
  <si>
    <t>Mapa Puntaje Promedio y Máximo en prueba SIMCE de Lectura de 8vo Básico por Comuna en la Región de Tarapacá para el Año 2020</t>
  </si>
  <si>
    <t>Mapa Puntaje Promedio y Máximo en prueba SIMCE de Lectura de 8vo Básico por Comuna en la Región de Antofagasta para el Año 2020</t>
  </si>
  <si>
    <t>Mapa Puntaje Promedio y Máximo en prueba SIMCE de Lectura de 8vo Básico por Comuna en la Región de Atacama para el Año 2020</t>
  </si>
  <si>
    <t>Mapa Puntaje Promedio y Máximo en prueba SIMCE de Lectura de 8vo Básico por Comuna en la Región de Coquimbo para el Año 2020</t>
  </si>
  <si>
    <t>Mapa Puntaje Promedio y Máximo en prueba SIMCE de Lectura de 8vo Básico por Comuna en la Región de Valparaíso para el Año 2020</t>
  </si>
  <si>
    <t>Mapa Puntaje Promedio y Máximo en prueba SIMCE de Lectura de 8vo Básico por Comuna en la Región de O'Higgins para el Año 2020</t>
  </si>
  <si>
    <t>Mapa Puntaje Promedio y Máximo en prueba SIMCE de Lectura de 8vo Básico por Comuna en la Región de Maule para el Año 2020</t>
  </si>
  <si>
    <t>Mapa Puntaje Promedio y Máximo en prueba SIMCE de Lectura de 8vo Básico por Comuna en la Región del Biobío para el Año 2020</t>
  </si>
  <si>
    <t>Mapa Puntaje Promedio y Máximo en prueba SIMCE de Lectura de 8vo Básico por Comuna en la Región de La Araucanía para el Año 2020</t>
  </si>
  <si>
    <t>Mapa Puntaje Promedio y Máximo en prueba SIMCE de Lectura de 8vo Básico por Comuna en la Región de Los Lagos para el Año 2020</t>
  </si>
  <si>
    <t>Mapa Puntaje Promedio y Máximo en prueba SIMCE de Lectura de 8vo Básico por Comuna en la Región de Aysén para el Año 2020</t>
  </si>
  <si>
    <t>Mapa Puntaje Promedio y Máximo en prueba SIMCE de Lectura de 8vo Básico por Comuna en la Región de Magallanes para el Año 2020</t>
  </si>
  <si>
    <t>Mapa Puntaje Promedio y Máximo en prueba SIMCE de Lectura de 8vo Básico por Comuna en la Región Metropolitana para el Año 2020</t>
  </si>
  <si>
    <t>Mapa Puntaje Promedio y Máximo en prueba SIMCE de Lectura de 8vo Básico por Comuna en la Región de Los Ríos para el Año 2020</t>
  </si>
  <si>
    <t>Mapa Puntaje Promedio y Máximo en prueba SIMCE de Lectura de 8vo Básico por Comuna en la Región de Arica y Parinacota para el Año 2020</t>
  </si>
  <si>
    <t>Mapa Puntaje Promedio y Máximo en prueba SIMCE de Lectura de 8vo Básico por Comuna en la Región de Ñuble para el Año 2020</t>
  </si>
  <si>
    <t>Evolución del Indicador de Participación y formación ciudadana por Dependencia de Establecimientos en Chile para el Periodo 2014 - 2019</t>
  </si>
  <si>
    <t>Evolución del Indicador de Participación y formación ciudadana por Dependencia de Establecimientos en la Región de Tarapacá para el Periodo 2014 - 2019</t>
  </si>
  <si>
    <t>Evolución del Indicador de Participación y formación ciudadana por Dependencia de Establecimientos en la Región de Antofagasta para el Periodo 2014 - 2019</t>
  </si>
  <si>
    <t>Evolución del Indicador de Participación y formación ciudadana por Dependencia de Establecimientos en la Región de Atacama para el Periodo 2014 - 2019</t>
  </si>
  <si>
    <t>Evolución del Indicador de Participación y formación ciudadana por Dependencia de Establecimientos en la Región de Coquimbo para el Periodo 2014 - 2019</t>
  </si>
  <si>
    <t>Evolución del Indicador de Participación y formación ciudadana por Dependencia de Establecimientos en la Región de Valparaíso para el Periodo 2014 - 2019</t>
  </si>
  <si>
    <t>Evolución del Indicador de Participación y formación ciudadana por Dependencia de Establecimientos en la Región de O'Higgins para el Periodo 2014 - 2019</t>
  </si>
  <si>
    <t>Evolución del Indicador de Participación y formación ciudadana por Dependencia de Establecimientos en la Región de Maule para el Periodo 2014 - 2019</t>
  </si>
  <si>
    <t>Evolución del Indicador de Participación y formación ciudadana por Dependencia de Establecimientos en la Región del Biobío para el Periodo 2014 - 2019</t>
  </si>
  <si>
    <t>Evolución del Indicador de Participación y formación ciudadana por Dependencia de Establecimientos en la Región de La Araucanía para el Periodo 2014 - 2019</t>
  </si>
  <si>
    <t>Evolución del Indicador de Participación y formación ciudadana por Dependencia de Establecimientos en la Región de Los Lagos para el Periodo 2014 - 2019</t>
  </si>
  <si>
    <t>Evolución del Indicador de Participación y formación ciudadana por Dependencia de Establecimientos en la Región de Aysén para el Periodo 2014 - 2019</t>
  </si>
  <si>
    <t>Evolución del Indicador de Participación y formación ciudadana por Dependencia de Establecimientos en la Región de Magallanes para el Periodo 2014 - 2019</t>
  </si>
  <si>
    <t>Evolución del Indicador de Participación y formación ciudadana por Dependencia de Establecimientos en la Región Metropolitana para el Periodo 2014 - 2019</t>
  </si>
  <si>
    <t>Evolución del Indicador de Participación y formación ciudadana por Dependencia de Establecimientos en la Región de Los Ríos para el Periodo 2014 - 2019</t>
  </si>
  <si>
    <t>Evolución del Indicador de Participación y formación ciudadana por Dependencia de Establecimientos en la Región de Arica y Parinacota para el Periodo 2014 - 2019</t>
  </si>
  <si>
    <t>Evolución del Indicador de Participación y formación ciudadana por Dependencia de Establecimientos en la Región de Ñuble para el Periodo 2014 - 2019</t>
  </si>
  <si>
    <t>Edad de Víctimas de Femicidios en Chile para el Periodo 2010-2021</t>
  </si>
  <si>
    <t>Edad de Víctimas de Femicidios en la Región de Tarapacá para el Periodo 2010-2021</t>
  </si>
  <si>
    <t>Edad de Víctimas de Femicidios en la Región de Antofagasta para el Periodo 2010-2021</t>
  </si>
  <si>
    <t>Edad de Víctimas de Femicidios en la Región de Atacama para el Periodo 2010-2021</t>
  </si>
  <si>
    <t>Edad de Víctimas de Femicidios en la Región de Coquimbo para el Periodo 2010-2021</t>
  </si>
  <si>
    <t>Edad de Víctimas de Femicidios en la Región de Valparaíso para el Periodo 2010-2021</t>
  </si>
  <si>
    <t>Edad de Víctimas de Femicidios en la Región de O'Higgins para el Periodo 2010-2021</t>
  </si>
  <si>
    <t>Edad de Víctimas de Femicidios en la Región de Maule para el Periodo 2010-2021</t>
  </si>
  <si>
    <t>Edad de Víctimas de Femicidios en la Región del Biobío para el Periodo 2010-2021</t>
  </si>
  <si>
    <t>Edad de Víctimas de Femicidios en la Región de La Araucanía para el Periodo 2010-2021</t>
  </si>
  <si>
    <t>Edad de Víctimas de Femicidios en la Región de Los Lagos para el Periodo 2010-2021</t>
  </si>
  <si>
    <t>Edad de Víctimas de Femicidios en la Región de Aysén para el Periodo 2010-2021</t>
  </si>
  <si>
    <t>Edad de Víctimas de Femicidios en la Región de Magallanes para el Periodo 2010-2021</t>
  </si>
  <si>
    <t>Edad de Víctimas de Femicidios en la Región Metropolitana para el Periodo 2010-2021</t>
  </si>
  <si>
    <t>Edad de Víctimas de Femicidios en la Región de Los Ríos para el Periodo 2010-2021</t>
  </si>
  <si>
    <t>Edad de Víctimas de Femicidios en la Región de Arica y Parinacota para el Periodo 2010-2021</t>
  </si>
  <si>
    <t>Edad de Víctimas de Femicidios en la Región de Ñuble para el Periodo 2010-2021</t>
  </si>
  <si>
    <t>Relación Víctima-Femicida en Chile para el Periodo 2010-2021</t>
  </si>
  <si>
    <t>Relación Víctima-Femicida en la Región de Tarapacá para el Periodo 2010-2021</t>
  </si>
  <si>
    <t>Relación Víctima-Femicida en la Región de Antofagasta para el Periodo 2010-2021</t>
  </si>
  <si>
    <t>Relación Víctima-Femicida en la Región de Atacama para el Periodo 2010-2021</t>
  </si>
  <si>
    <t>Relación Víctima-Femicida en la Región de Coquimbo para el Periodo 2010-2021</t>
  </si>
  <si>
    <t>Relación Víctima-Femicida en la Región de Valparaíso para el Periodo 2010-2021</t>
  </si>
  <si>
    <t>Relación Víctima-Femicida en la Región de O'Higgins para el Periodo 2010-2021</t>
  </si>
  <si>
    <t>Relación Víctima-Femicida en la Región de Maule para el Periodo 2010-2021</t>
  </si>
  <si>
    <t>Relación Víctima-Femicida en la Región del Biobío para el Periodo 2010-2021</t>
  </si>
  <si>
    <t>Relación Víctima-Femicida en la Región de La Araucanía para el Periodo 2010-2021</t>
  </si>
  <si>
    <t>Relación Víctima-Femicida en la Región de Los Lagos para el Periodo 2010-2021</t>
  </si>
  <si>
    <t>Relación Víctima-Femicida en la Región de Aysén para el Periodo 2010-2021</t>
  </si>
  <si>
    <t>Relación Víctima-Femicida en la Región de Magallanes para el Periodo 2010-2021</t>
  </si>
  <si>
    <t>Relación Víctima-Femicida en la Región Metropolitana para el Periodo 2010-2021</t>
  </si>
  <si>
    <t>Relación Víctima-Femicida en la Región de Los Ríos para el Periodo 2010-2021</t>
  </si>
  <si>
    <t>Relación Víctima-Femicida en la Región de Arica y Parinacota para el Periodo 2010-2021</t>
  </si>
  <si>
    <t>Relación Víctima-Femicida en la Región de Ñuble para el Periodo 2010-2021</t>
  </si>
  <si>
    <t>Evolución Comparada Anual de Femicidios en Chile para el Periodo 2018-2021</t>
  </si>
  <si>
    <t>Evolución de Femicidios por mes en Chile para el Periodo 2010-2021</t>
  </si>
  <si>
    <t>Evolución de Parque Vehicular Escolar por Región en Chile para el Periodo 2014-2021</t>
  </si>
  <si>
    <t>Detalle de programas e instituciones evaluados por ministerio en Chile durante el Periodo 1997-2020</t>
  </si>
  <si>
    <t>Evolución de número de fallecidos por 1 millón de habitantes por comuna en Chile durante el Periodo 2020-2021</t>
  </si>
  <si>
    <t>Evolución de número de fallecidos por 1 millón de habitantes por comuna en la Región de Tarapacá durante el Periodo 2020-2021</t>
  </si>
  <si>
    <t>Evolución de número de fallecidos por 1 millón de habitantes por comuna en la Región de Antofagasta durante el Periodo 2020-2021</t>
  </si>
  <si>
    <t>Evolución de número de fallecidos por 1 millón de habitantes por comuna en la Región de Atacama durante el Periodo 2020-2021</t>
  </si>
  <si>
    <t>Evolución de número de fallecidos por 1 millón de habitantes por comuna en la Región de Coquimbo durante el Periodo 2020-2021</t>
  </si>
  <si>
    <t>Evolución de número de fallecidos por 1 millón de habitantes por comuna en la Región de Valparaíso durante el Periodo 2020-2021</t>
  </si>
  <si>
    <t>Evolución de número de fallecidos por 1 millón de habitantes por comuna en la Región de O'Higgins durante el Periodo 2020-2021</t>
  </si>
  <si>
    <t>Evolución de número de fallecidos por 1 millón de habitantes por comuna en la Región de Maule durante el Periodo 2020-2021</t>
  </si>
  <si>
    <t>Evolución de número de fallecidos por 1 millón de habitantes por comuna en la Región del Biobío durante el Periodo 2020-2021</t>
  </si>
  <si>
    <t>Evolución de número de fallecidos por 1 millón de habitantes por comuna en la Región de La Araucanía durante el Periodo 2020-2021</t>
  </si>
  <si>
    <t>Evolución de número de fallecidos por 1 millón de habitantes por comuna en la Región de Los Lagos durante el Periodo 2020-2021</t>
  </si>
  <si>
    <t>Evolución de número de fallecidos por 1 millón de habitantes por comuna en la Región de Aysén durante el Periodo 2020-2021</t>
  </si>
  <si>
    <t>Evolución de número de fallecidos por 1 millón de habitantes por comuna en la Región de Magallanes durante el Periodo 2020-2021</t>
  </si>
  <si>
    <t>Evolución de número de fallecidos por 1 millón de habitantes por comuna en la Región Metropolitana durante el Periodo 2020-2021</t>
  </si>
  <si>
    <t>Evolución de número de fallecidos por 1 millón de habitantes por comuna en la Región de Los Ríos durante el Periodo 2020-2021</t>
  </si>
  <si>
    <t>Evolución de número de fallecidos por 1 millón de habitantes por comuna en la Región de Arica y Parinacota durante el Periodo 2020-2021</t>
  </si>
  <si>
    <t>Evolución de número de fallecidos por 1 millón de habitantes por comuna en la Región de Ñuble durante el Periodo 2020-2021</t>
  </si>
  <si>
    <t>Evolución de Puntaje SIMCE de Lectura por Dependencia de Establecimientos para 2° Medio en Chile, Periodo 2015-2018</t>
  </si>
  <si>
    <t>Evolución de Puntaje SIMCE de Lectura por Dependencia de Establecimientos para 2° Medio en la Región de Tarapacá, Periodo 2015-2018</t>
  </si>
  <si>
    <t>Evolución de Puntaje SIMCE de Lectura por Dependencia de Establecimientos para 2° Medio en la Región de Antofagasta, Periodo 2015-2018</t>
  </si>
  <si>
    <t>Evolución de Puntaje SIMCE de Lectura por Dependencia de Establecimientos para 2° Medio en la Región de Atacama, Periodo 2015-2018</t>
  </si>
  <si>
    <t>Evolución de Puntaje SIMCE de Lectura por Dependencia de Establecimientos para 2° Medio en la Región de Coquimbo, Periodo 2015-2018</t>
  </si>
  <si>
    <t>Evolución de Puntaje SIMCE de Lectura por Dependencia de Establecimientos para 2° Medio en la Región de Valparaíso, Periodo 2015-2018</t>
  </si>
  <si>
    <t>Evolución de Puntaje SIMCE de Lectura por Dependencia de Establecimientos para 2° Medio en la Región de O'Higgins, Periodo 2015-2018</t>
  </si>
  <si>
    <t>Evolución de Puntaje SIMCE de Lectura por Dependencia de Establecimientos para 2° Medio en la Región de Maule, Periodo 2015-2018</t>
  </si>
  <si>
    <t>Evolución de Puntaje SIMCE de Lectura por Dependencia de Establecimientos para 2° Medio en la Región del Biobío, Periodo 2015-2018</t>
  </si>
  <si>
    <t>Evolución de Puntaje SIMCE de Lectura por Dependencia de Establecimientos para 2° Medio en la Región de La Araucanía, Periodo 2015-2018</t>
  </si>
  <si>
    <t>Evolución de Puntaje SIMCE de Lectura por Dependencia de Establecimientos para 2° Medio en la Región de Los Lagos, Periodo 2015-2018</t>
  </si>
  <si>
    <t>Evolución de Puntaje SIMCE de Lectura por Dependencia de Establecimientos para 2° Medio en la Región de Aysén, Periodo 2015-2018</t>
  </si>
  <si>
    <t>Evolución de Puntaje SIMCE de Lectura por Dependencia de Establecimientos para 2° Medio en la Región de Magallanes, Periodo 2015-2018</t>
  </si>
  <si>
    <t>Evolución de Puntaje SIMCE de Lectura por Dependencia de Establecimientos para 2° Medio en la Región Metropolitana, Periodo 2015-2018</t>
  </si>
  <si>
    <t>Evolución de Puntaje SIMCE de Lectura por Dependencia de Establecimientos para 2° Medio en la Región de Los Ríos, Periodo 2015-2018</t>
  </si>
  <si>
    <t>Evolución de Puntaje SIMCE de Lectura por Dependencia de Establecimientos para 2° Medio en la Región de Arica y Parinacota, Periodo 2015-2018</t>
  </si>
  <si>
    <t>Evolución de Puntaje SIMCE de Lectura por Dependencia de Establecimientos para 2° Medio en la Región de Ñuble, Periodo 2015-2018</t>
  </si>
  <si>
    <t>Evolución de Puntaje SIMCE de Matemáticas por Dependencia de Establecimientos para 2° Medio en Chile, Periodo 2015-2018</t>
  </si>
  <si>
    <t>Evolución de Puntaje SIMCE de Matemáticas por Dependencia de Establecimientos para 2° Medio en la Región de Tarapacá, Periodo 2015-2018</t>
  </si>
  <si>
    <t>Evolución de Puntaje SIMCE de Matemáticas por Dependencia de Establecimientos para 2° Medio en la Región de Antofagasta, Periodo 2015-2018</t>
  </si>
  <si>
    <t>Evolución de Puntaje SIMCE de Matemáticas por Dependencia de Establecimientos para 2° Medio en la Región de Atacama, Periodo 2015-2018</t>
  </si>
  <si>
    <t>Evolución de Puntaje SIMCE de Matemáticas por Dependencia de Establecimientos para 2° Medio en la Región de Coquimbo, Periodo 2015-2018</t>
  </si>
  <si>
    <t>Evolución de Puntaje SIMCE de Matemáticas por Dependencia de Establecimientos para 2° Medio en la Región de Valparaíso, Periodo 2015-2018</t>
  </si>
  <si>
    <t>Evolución de Puntaje SIMCE de Matemáticas por Dependencia de Establecimientos para 2° Medio en la Región de O'Higgins, Periodo 2015-2018</t>
  </si>
  <si>
    <t>Evolución de Puntaje SIMCE de Matemáticas por Dependencia de Establecimientos para 2° Medio en la Región de Maule, Periodo 2015-2018</t>
  </si>
  <si>
    <t>Evolución de Puntaje SIMCE de Matemáticas por Dependencia de Establecimientos para 2° Medio en la Región del Biobío, Periodo 2015-2018</t>
  </si>
  <si>
    <t>Evolución de Puntaje SIMCE de Matemáticas por Dependencia de Establecimientos para 2° Medio en la Región de La Araucanía, Periodo 2015-2018</t>
  </si>
  <si>
    <t>Evolución de Puntaje SIMCE de Matemáticas por Dependencia de Establecimientos para 2° Medio en la Región de Los Lagos, Periodo 2015-2018</t>
  </si>
  <si>
    <t>Evolución de Puntaje SIMCE de Matemáticas por Dependencia de Establecimientos para 2° Medio en la Región de Aysén, Periodo 2015-2018</t>
  </si>
  <si>
    <t>Evolución de Puntaje SIMCE de Matemáticas por Dependencia de Establecimientos para 2° Medio en la Región de Magallanes, Periodo 2015-2018</t>
  </si>
  <si>
    <t>Evolución de Puntaje SIMCE de Matemáticas por Dependencia de Establecimientos para 2° Medio en la Región Metropolitana, Periodo 2015-2018</t>
  </si>
  <si>
    <t>Evolución de Puntaje SIMCE de Matemáticas por Dependencia de Establecimientos para 2° Medio en la Región de Los Ríos, Periodo 2015-2018</t>
  </si>
  <si>
    <t>Evolución de Puntaje SIMCE de Matemáticas por Dependencia de Establecimientos para 2° Medio en la Región de Arica y Parinacota, Periodo 2015-2018</t>
  </si>
  <si>
    <t>Evolución de Puntaje SIMCE de Matemáticas por Dependencia de Establecimientos para 2° Medio en la Región de Ñuble, Periodo 2015-2018</t>
  </si>
  <si>
    <t>Resumen de Indicadores de Desarrollo Personal y Social por Dependencia de Establecimiento por comuna en Chile, Periodo 2014-2019</t>
  </si>
  <si>
    <t>Resumen de Indicadores de Desarrollo Personal y Social por Dependencia de Establecimiento por comuna en la Región de Tarapacá, Periodo 2014-2019</t>
  </si>
  <si>
    <t>https://analytics.zoho.com/open-view/2395394000007990413?ZOHO_CRITERIA=%22Localiza%20CL%22.%22Codreg%22%3D1</t>
  </si>
  <si>
    <t>Resumen de Indicadores de Desarrollo Personal y Social por Dependencia de Establecimiento por comuna en la Región de Antofagasta, Periodo 2014-2019</t>
  </si>
  <si>
    <t>https://analytics.zoho.com/open-view/2395394000007990413?ZOHO_CRITERIA=%22Localiza%20CL%22.%22Codreg%22%3D2</t>
  </si>
  <si>
    <t>Resumen de Indicadores de Desarrollo Personal y Social por Dependencia de Establecimiento por comuna en la Región de Atacama, Periodo 2014-2019</t>
  </si>
  <si>
    <t>https://analytics.zoho.com/open-view/2395394000007990413?ZOHO_CRITERIA=%22Localiza%20CL%22.%22Codreg%22%3D3</t>
  </si>
  <si>
    <t>Resumen de Indicadores de Desarrollo Personal y Social por Dependencia de Establecimiento por comuna en la Región de Coquimbo, Periodo 2014-2019</t>
  </si>
  <si>
    <t>https://analytics.zoho.com/open-view/2395394000007990413?ZOHO_CRITERIA=%22Localiza%20CL%22.%22Codreg%22%3D4</t>
  </si>
  <si>
    <t>Resumen de Indicadores de Desarrollo Personal y Social por Dependencia de Establecimiento por comuna en la Región de Valparaíso, Periodo 2014-2019</t>
  </si>
  <si>
    <t>https://analytics.zoho.com/open-view/2395394000007990413?ZOHO_CRITERIA=%22Localiza%20CL%22.%22Codreg%22%3D5</t>
  </si>
  <si>
    <t>Resumen de Indicadores de Desarrollo Personal y Social por Dependencia de Establecimiento por comuna en la Región de O'Higgins, Periodo 2014-2019</t>
  </si>
  <si>
    <t>https://analytics.zoho.com/open-view/2395394000007990413?ZOHO_CRITERIA=%22Localiza%20CL%22.%22Codreg%22%3D6</t>
  </si>
  <si>
    <t>Resumen de Indicadores de Desarrollo Personal y Social por Dependencia de Establecimiento por comuna en la Región de Maule, Periodo 2014-2019</t>
  </si>
  <si>
    <t>https://analytics.zoho.com/open-view/2395394000007990413?ZOHO_CRITERIA=%22Localiza%20CL%22.%22Codreg%22%3D7</t>
  </si>
  <si>
    <t>Resumen de Indicadores de Desarrollo Personal y Social por Dependencia de Establecimiento por comuna en la Región del Biobío, Periodo 2014-2019</t>
  </si>
  <si>
    <t>https://analytics.zoho.com/open-view/2395394000007990413?ZOHO_CRITERIA=%22Localiza%20CL%22.%22Codreg%22%3D8</t>
  </si>
  <si>
    <t>Resumen de Indicadores de Desarrollo Personal y Social por Dependencia de Establecimiento por comuna en la Región de La Araucanía, Periodo 2014-2019</t>
  </si>
  <si>
    <t>https://analytics.zoho.com/open-view/2395394000007990413?ZOHO_CRITERIA=%22Localiza%20CL%22.%22Codreg%22%3D9</t>
  </si>
  <si>
    <t>Resumen de Indicadores de Desarrollo Personal y Social por Dependencia de Establecimiento por comuna en la Región de Los Lagos, Periodo 2014-2019</t>
  </si>
  <si>
    <t>https://analytics.zoho.com/open-view/2395394000007990413?ZOHO_CRITERIA=%22Localiza%20CL%22.%22Codreg%22%3D10</t>
  </si>
  <si>
    <t>Resumen de Indicadores de Desarrollo Personal y Social por Dependencia de Establecimiento por comuna en la Región de Aysén, Periodo 2014-2019</t>
  </si>
  <si>
    <t>https://analytics.zoho.com/open-view/2395394000007990413?ZOHO_CRITERIA=%22Localiza%20CL%22.%22Codreg%22%3D11</t>
  </si>
  <si>
    <t>Resumen de Indicadores de Desarrollo Personal y Social por Dependencia de Establecimiento por comuna en la Región de Magallanes, Periodo 2014-2019</t>
  </si>
  <si>
    <t>https://analytics.zoho.com/open-view/2395394000007990413?ZOHO_CRITERIA=%22Localiza%20CL%22.%22Codreg%22%3D12</t>
  </si>
  <si>
    <t>Resumen de Indicadores de Desarrollo Personal y Social por Dependencia de Establecimiento por comuna en la Región Metropolitana, Periodo 2014-2019</t>
  </si>
  <si>
    <t>https://analytics.zoho.com/open-view/2395394000007990413?ZOHO_CRITERIA=%22Localiza%20CL%22.%22Codreg%22%3D13</t>
  </si>
  <si>
    <t>Resumen de Indicadores de Desarrollo Personal y Social por Dependencia de Establecimiento por comuna en la Región de Los Ríos, Periodo 2014-2019</t>
  </si>
  <si>
    <t>https://analytics.zoho.com/open-view/2395394000007990413?ZOHO_CRITERIA=%22Localiza%20CL%22.%22Codreg%22%3D14</t>
  </si>
  <si>
    <t>Resumen de Indicadores de Desarrollo Personal y Social por Dependencia de Establecimiento por comuna en la Región de Arica y Parinacota, Periodo 2014-2019</t>
  </si>
  <si>
    <t>https://analytics.zoho.com/open-view/2395394000007990413?ZOHO_CRITERIA=%22Localiza%20CL%22.%22Codreg%22%3D15</t>
  </si>
  <si>
    <t>Resumen de Indicadores de Desarrollo Personal y Social por Dependencia de Establecimiento por comuna en la Región de Ñuble, Periodo 2014-2019</t>
  </si>
  <si>
    <t>https://analytics.zoho.com/open-view/2395394000007990413?ZOHO_CRITERIA=%22Localiza%20CL%22.%22Codreg%22%3D16</t>
  </si>
  <si>
    <t>Mapa de distribución geográfica en Chile del Indicador de Autoestima Académica y Motivación Escolar, Periodo 2014-2019</t>
  </si>
  <si>
    <t>Mapa de distribución geográfica en la Región de Tarapacá del Indicador de Autoestima Académica y Motivación Escolar, Periodo 2014-2019</t>
  </si>
  <si>
    <t>Mapa de distribución geográfica en la Región de Antofagasta del Indicador de Autoestima Académica y Motivación Escolar, Periodo 2014-2019</t>
  </si>
  <si>
    <t>Mapa de distribución geográfica en la Región de Atacama del Indicador de Autoestima Académica y Motivación Escolar, Periodo 2014-2019</t>
  </si>
  <si>
    <t>Mapa de distribución geográfica en la Región de Coquimbo del Indicador de Autoestima Académica y Motivación Escolar, Periodo 2014-2019</t>
  </si>
  <si>
    <t>Mapa de distribución geográfica en la Región de Valparaíso del Indicador de Autoestima Académica y Motivación Escolar, Periodo 2014-2019</t>
  </si>
  <si>
    <t>Mapa de distribución geográfica en la Región de O'Higgins del Indicador de Autoestima Académica y Motivación Escolar, Periodo 2014-2019</t>
  </si>
  <si>
    <t>Mapa de distribución geográfica en la Región de Maule del Indicador de Autoestima Académica y Motivación Escolar, Periodo 2014-2019</t>
  </si>
  <si>
    <t>Mapa de distribución geográfica en la Región del Biobío del Indicador de Autoestima Académica y Motivación Escolar, Periodo 2014-2019</t>
  </si>
  <si>
    <t>Mapa de distribución geográfica en la Región de La Araucanía del Indicador de Autoestima Académica y Motivación Escolar, Periodo 2014-2019</t>
  </si>
  <si>
    <t>Mapa de distribución geográfica en la Región de Los Lagos del Indicador de Autoestima Académica y Motivación Escolar, Periodo 2014-2019</t>
  </si>
  <si>
    <t>Mapa de distribución geográfica en la Región de Aysén del Indicador de Autoestima Académica y Motivación Escolar, Periodo 2014-2019</t>
  </si>
  <si>
    <t>Mapa de distribución geográfica en la Región de Magallanes del Indicador de Autoestima Académica y Motivación Escolar, Periodo 2014-2019</t>
  </si>
  <si>
    <t>Mapa de distribución geográfica en la Región Metropolitana del Indicador de Autoestima Académica y Motivación Escolar, Periodo 2014-2019</t>
  </si>
  <si>
    <t>Mapa de distribución geográfica en la Región de Los Ríos del Indicador de Autoestima Académica y Motivación Escolar, Periodo 2014-2019</t>
  </si>
  <si>
    <t>Mapa de distribución geográfica en la Región de Arica y Parinacota del Indicador de Autoestima Académica y Motivación Escolar, Periodo 2014-2019</t>
  </si>
  <si>
    <t>Mapa de distribución geográfica en la Región de Ñuble del Indicador de Autoestima Académica y Motivación Escolar, Periodo 2014-2019</t>
  </si>
  <si>
    <t>Evolución del Indicador de Clima de Convivencia Escolar por Dependencia de Establecimientos en Chile, Periodo 2014-2019</t>
  </si>
  <si>
    <t>Evolución del Indicador de Clima de Convivencia Escolar por Dependencia de Establecimientos en la Región de Tarapacá, Periodo 2014-2019</t>
  </si>
  <si>
    <t>Evolución del Indicador de Clima de Convivencia Escolar por Dependencia de Establecimientos en la Región de Antofagasta, Periodo 2014-2019</t>
  </si>
  <si>
    <t>Evolución del Indicador de Clima de Convivencia Escolar por Dependencia de Establecimientos en la Región de Atacama, Periodo 2014-2019</t>
  </si>
  <si>
    <t>Evolución del Indicador de Clima de Convivencia Escolar por Dependencia de Establecimientos en la Región de Coquimbo, Periodo 2014-2019</t>
  </si>
  <si>
    <t>Evolución del Indicador de Clima de Convivencia Escolar por Dependencia de Establecimientos en la Región de Valparaíso, Periodo 2014-2019</t>
  </si>
  <si>
    <t>Evolución del Indicador de Clima de Convivencia Escolar por Dependencia de Establecimientos en la Región de O'Higgins, Periodo 2014-2019</t>
  </si>
  <si>
    <t>Evolución del Indicador de Clima de Convivencia Escolar por Dependencia de Establecimientos en la Región de Maule, Periodo 2014-2019</t>
  </si>
  <si>
    <t>Evolución del Indicador de Clima de Convivencia Escolar por Dependencia de Establecimientos en la Región del Biobío, Periodo 2014-2019</t>
  </si>
  <si>
    <t>Evolución del Indicador de Clima de Convivencia Escolar por Dependencia de Establecimientos en la Región de La Araucanía, Periodo 2014-2019</t>
  </si>
  <si>
    <t>Evolución del Indicador de Clima de Convivencia Escolar por Dependencia de Establecimientos en la Región de Los Lagos, Periodo 2014-2019</t>
  </si>
  <si>
    <t>Evolución del Indicador de Clima de Convivencia Escolar por Dependencia de Establecimientos en la Región de Aysén, Periodo 2014-2019</t>
  </si>
  <si>
    <t>Evolución del Indicador de Clima de Convivencia Escolar por Dependencia de Establecimientos en la Región de Magallanes, Periodo 2014-2019</t>
  </si>
  <si>
    <t>Evolución del Indicador de Clima de Convivencia Escolar por Dependencia de Establecimientos en la Región Metropolitana, Periodo 2014-2019</t>
  </si>
  <si>
    <t>Evolución del Indicador de Clima de Convivencia Escolar por Dependencia de Establecimientos en la Región de Los Ríos, Periodo 2014-2019</t>
  </si>
  <si>
    <t>Evolución del Indicador de Clima de Convivencia Escolar por Dependencia de Establecimientos en la Región de Arica y Parinacota, Periodo 2014-2019</t>
  </si>
  <si>
    <t>Evolución del Indicador de Clima de Convivencia Escolar por Dependencia de Establecimientos en la Región de Ñuble, Periodo 2014-2019</t>
  </si>
  <si>
    <t>Superficie de Solicitudes de Edificación Autorizadas por Categoría en Chile, Periodo 2020-2021</t>
  </si>
  <si>
    <t>Número trabajadores dependientes informados por género según tamaño de empresa en Chile, Año 2019</t>
  </si>
  <si>
    <t>Número trabajadores dependientes informados por sexo según tamaño de empresa en la Región de Tarapacá, Año 2019</t>
  </si>
  <si>
    <t>https://analytics.zoho.com/open-view/2395394000008435819?ZOHO_CRITERIA=%225.1%20Empresas_Tama%C3%B1o%22.%22Cod_Regi%C3%B3n%22%3D1</t>
  </si>
  <si>
    <t>Número trabajadores dependientes informados por sexo según tamaño de empresa en la Región de Antofagasta, Año 2019</t>
  </si>
  <si>
    <t>https://analytics.zoho.com/open-view/2395394000008435819?ZOHO_CRITERIA=%225.1%20Empresas_Tama%C3%B1o%22.%22Cod_Regi%C3%B3n%22%3D2</t>
  </si>
  <si>
    <t>Número trabajadores dependientes informados por sexo según tamaño de empresa en la Región de Atacama, Año 2019</t>
  </si>
  <si>
    <t>https://analytics.zoho.com/open-view/2395394000008435819?ZOHO_CRITERIA=%225.1%20Empresas_Tama%C3%B1o%22.%22Cod_Regi%C3%B3n%22%3D3</t>
  </si>
  <si>
    <t>Número trabajadores dependientes informados por sexo según tamaño de empresa en la Región de Coquimbo, Año 2019</t>
  </si>
  <si>
    <t>https://analytics.zoho.com/open-view/2395394000008435819?ZOHO_CRITERIA=%225.1%20Empresas_Tama%C3%B1o%22.%22Cod_Regi%C3%B3n%22%3D4</t>
  </si>
  <si>
    <t>Número trabajadores dependientes informados por sexo según tamaño de empresa en la Región de Valparaíso, Año 2019</t>
  </si>
  <si>
    <t>https://analytics.zoho.com/open-view/2395394000008435819?ZOHO_CRITERIA=%225.1%20Empresas_Tama%C3%B1o%22.%22Cod_Regi%C3%B3n%22%3D5</t>
  </si>
  <si>
    <t>Número trabajadores dependientes informados por sexo según tamaño de empresa en la Región de O'Higgins, Año 2019</t>
  </si>
  <si>
    <t>https://analytics.zoho.com/open-view/2395394000008435819?ZOHO_CRITERIA=%225.1%20Empresas_Tama%C3%B1o%22.%22Cod_Regi%C3%B3n%22%3D6</t>
  </si>
  <si>
    <t>Número trabajadores dependientes informados por sexo según tamaño de empresa en la Región de Maule, Año 2019</t>
  </si>
  <si>
    <t>https://analytics.zoho.com/open-view/2395394000008435819?ZOHO_CRITERIA=%225.1%20Empresas_Tama%C3%B1o%22.%22Cod_Regi%C3%B3n%22%3D7</t>
  </si>
  <si>
    <t>Número trabajadores dependientes informados por sexo según tamaño de empresa en la Región del Biobío, Año 2019</t>
  </si>
  <si>
    <t>https://analytics.zoho.com/open-view/2395394000008435819?ZOHO_CRITERIA=%225.1%20Empresas_Tama%C3%B1o%22.%22Cod_Regi%C3%B3n%22%3D8</t>
  </si>
  <si>
    <t>Número trabajadores dependientes informados por sexo según tamaño de empresa en la Región de La Araucanía, Año 2019</t>
  </si>
  <si>
    <t>https://analytics.zoho.com/open-view/2395394000008435819?ZOHO_CRITERIA=%225.1%20Empresas_Tama%C3%B1o%22.%22Cod_Regi%C3%B3n%22%3D9</t>
  </si>
  <si>
    <t>Número trabajadores dependientes informados por sexo según tamaño de empresa en la Región de Los Lagos, Año 2019</t>
  </si>
  <si>
    <t>https://analytics.zoho.com/open-view/2395394000008435819?ZOHO_CRITERIA=%225.1%20Empresas_Tama%C3%B1o%22.%22Cod_Regi%C3%B3n%22%3D10</t>
  </si>
  <si>
    <t>Número trabajadores dependientes informados por sexo según tamaño de empresa en la Región de Aysén, Año 2019</t>
  </si>
  <si>
    <t>https://analytics.zoho.com/open-view/2395394000008435819?ZOHO_CRITERIA=%225.1%20Empresas_Tama%C3%B1o%22.%22Cod_Regi%C3%B3n%22%3D11</t>
  </si>
  <si>
    <t>Número trabajadores dependientes informados por sexo según tamaño de empresa en la Región de Magallanes, Año 2019</t>
  </si>
  <si>
    <t>https://analytics.zoho.com/open-view/2395394000008435819?ZOHO_CRITERIA=%225.1%20Empresas_Tama%C3%B1o%22.%22Cod_Regi%C3%B3n%22%3D12</t>
  </si>
  <si>
    <t>Número trabajadores dependientes informados por sexo según tamaño de empresa en la Región Metropolitana, Año 2019</t>
  </si>
  <si>
    <t>https://analytics.zoho.com/open-view/2395394000008435819?ZOHO_CRITERIA=%225.1%20Empresas_Tama%C3%B1o%22.%22Cod_Regi%C3%B3n%22%3D13</t>
  </si>
  <si>
    <t>Número trabajadores dependientes informados por sexo según tamaño de empresa en la Región de Los Ríos, Año 2019</t>
  </si>
  <si>
    <t>https://analytics.zoho.com/open-view/2395394000008435819?ZOHO_CRITERIA=%225.1%20Empresas_Tama%C3%B1o%22.%22Cod_Regi%C3%B3n%22%3D14</t>
  </si>
  <si>
    <t>Número trabajadores dependientes informados por sexo según tamaño de empresa en la Región de Arica y Parinacota, Año 2019</t>
  </si>
  <si>
    <t>https://analytics.zoho.com/open-view/2395394000008435819?ZOHO_CRITERIA=%225.1%20Empresas_Tama%C3%B1o%22.%22Cod_Regi%C3%B3n%22%3D15</t>
  </si>
  <si>
    <t>Número trabajadores dependientes informados por sexo según tamaño de empresa en la Región de Ñuble, Año 2019</t>
  </si>
  <si>
    <t>https://analytics.zoho.com/open-view/2395394000008435819?ZOHO_CRITERIA=%225.1%20Empresas_Tama%C3%B1o%22.%22Cod_Regi%C3%B3n%22%3D16</t>
  </si>
  <si>
    <t>Renta neta informada de trabajadoras en Chile, Periodo 2005-2019</t>
  </si>
  <si>
    <t>Renta neta informada de trabajadoras en la Región de Tarapacá, Periodo 2005-2019</t>
  </si>
  <si>
    <t>https://analytics.zoho.com/open-view/2395394000008038636?ZOHO_CRITERIA=%225.1%20Empresas_Tama%C3%B1o%22.%22Cod_Regi%C3%B3n%22%3D1</t>
  </si>
  <si>
    <t>Renta neta informada de trabajadoras en la Región de Antofagasta, Periodo 2005-2019</t>
  </si>
  <si>
    <t>https://analytics.zoho.com/open-view/2395394000008038636?ZOHO_CRITERIA=%225.1%20Empresas_Tama%C3%B1o%22.%22Cod_Regi%C3%B3n%22%3D2</t>
  </si>
  <si>
    <t>Renta neta informada de trabajadoras en la Región de Atacama, Periodo 2005-2019</t>
  </si>
  <si>
    <t>https://analytics.zoho.com/open-view/2395394000008038636?ZOHO_CRITERIA=%225.1%20Empresas_Tama%C3%B1o%22.%22Cod_Regi%C3%B3n%22%3D3</t>
  </si>
  <si>
    <t>Renta neta informada de trabajadoras en la Región de Coquimbo, Periodo 2005-2019</t>
  </si>
  <si>
    <t>https://analytics.zoho.com/open-view/2395394000008038636?ZOHO_CRITERIA=%225.1%20Empresas_Tama%C3%B1o%22.%22Cod_Regi%C3%B3n%22%3D4</t>
  </si>
  <si>
    <t>Renta neta informada de trabajadoras en la Región de Valparaíso, Periodo 2005-2019</t>
  </si>
  <si>
    <t>https://analytics.zoho.com/open-view/2395394000008038636?ZOHO_CRITERIA=%225.1%20Empresas_Tama%C3%B1o%22.%22Cod_Regi%C3%B3n%22%3D5</t>
  </si>
  <si>
    <t>Renta neta informada de trabajadoras en la Región de O'Higgins, Periodo 2005-2019</t>
  </si>
  <si>
    <t>https://analytics.zoho.com/open-view/2395394000008038636?ZOHO_CRITERIA=%225.1%20Empresas_Tama%C3%B1o%22.%22Cod_Regi%C3%B3n%22%3D6</t>
  </si>
  <si>
    <t>Renta neta informada de trabajadoras en la Región de Maule, Periodo 2005-2019</t>
  </si>
  <si>
    <t>https://analytics.zoho.com/open-view/2395394000008038636?ZOHO_CRITERIA=%225.1%20Empresas_Tama%C3%B1o%22.%22Cod_Regi%C3%B3n%22%3D7</t>
  </si>
  <si>
    <t>Renta neta informada de trabajadoras en la Región del Biobío, Periodo 2005-2019</t>
  </si>
  <si>
    <t>https://analytics.zoho.com/open-view/2395394000008038636?ZOHO_CRITERIA=%225.1%20Empresas_Tama%C3%B1o%22.%22Cod_Regi%C3%B3n%22%3D8</t>
  </si>
  <si>
    <t>Renta neta informada de trabajadoras en la Región de La Araucanía, Periodo 2005-2019</t>
  </si>
  <si>
    <t>https://analytics.zoho.com/open-view/2395394000008038636?ZOHO_CRITERIA=%225.1%20Empresas_Tama%C3%B1o%22.%22Cod_Regi%C3%B3n%22%3D9</t>
  </si>
  <si>
    <t>Renta neta informada de trabajadoras en la Región de Los Lagos, Periodo 2005-2019</t>
  </si>
  <si>
    <t>https://analytics.zoho.com/open-view/2395394000008038636?ZOHO_CRITERIA=%225.1%20Empresas_Tama%C3%B1o%22.%22Cod_Regi%C3%B3n%22%3D10</t>
  </si>
  <si>
    <t>Renta neta informada de trabajadoras en la Región de Aysén, Periodo 2005-2019</t>
  </si>
  <si>
    <t>https://analytics.zoho.com/open-view/2395394000008038636?ZOHO_CRITERIA=%225.1%20Empresas_Tama%C3%B1o%22.%22Cod_Regi%C3%B3n%22%3D11</t>
  </si>
  <si>
    <t>Renta neta informada de trabajadoras en la Región de Magallanes, Periodo 2005-2019</t>
  </si>
  <si>
    <t>https://analytics.zoho.com/open-view/2395394000008038636?ZOHO_CRITERIA=%225.1%20Empresas_Tama%C3%B1o%22.%22Cod_Regi%C3%B3n%22%3D12</t>
  </si>
  <si>
    <t>Renta neta informada de trabajadoras en la Región Metropolitana, Periodo 2005-2019</t>
  </si>
  <si>
    <t>https://analytics.zoho.com/open-view/2395394000008038636?ZOHO_CRITERIA=%225.1%20Empresas_Tama%C3%B1o%22.%22Cod_Regi%C3%B3n%22%3D13</t>
  </si>
  <si>
    <t>Renta neta informada de trabajadoras en la Región de Los Ríos, Periodo 2005-2019</t>
  </si>
  <si>
    <t>https://analytics.zoho.com/open-view/2395394000008038636?ZOHO_CRITERIA=%225.1%20Empresas_Tama%C3%B1o%22.%22Cod_Regi%C3%B3n%22%3D14</t>
  </si>
  <si>
    <t>Renta neta informada de trabajadoras en la Región de Arica y Parinacota, Periodo 2005-2019</t>
  </si>
  <si>
    <t>https://analytics.zoho.com/open-view/2395394000008038636?ZOHO_CRITERIA=%225.1%20Empresas_Tama%C3%B1o%22.%22Cod_Regi%C3%B3n%22%3D15</t>
  </si>
  <si>
    <t>Renta neta informada de trabajadoras en la Región de Ñuble, Periodo 2005-2019</t>
  </si>
  <si>
    <t>https://analytics.zoho.com/open-view/2395394000008038636?ZOHO_CRITERIA=%225.1%20Empresas_Tama%C3%B1o%22.%22Cod_Regi%C3%B3n%22%3D16</t>
  </si>
  <si>
    <t>Número de Empresas por Tamaño según ventas en Chile, Periodo 2005-2019</t>
  </si>
  <si>
    <t>Número de Empresas por Tamaño según ventas en la Región de Tarapacá, Periodo 2005-2019</t>
  </si>
  <si>
    <t>https://analytics.zoho.com/open-view/2395394000008039000?ZOHO_CRITERIA=%225.1%20Empresas_Tama%C3%B1o%22.%22Cod_Regi%C3%B3n%22%3D1</t>
  </si>
  <si>
    <t>Número de Empresas por Tamaño según ventas en la Región de Antofagasta, Periodo 2005-2019</t>
  </si>
  <si>
    <t>https://analytics.zoho.com/open-view/2395394000008039000?ZOHO_CRITERIA=%225.1%20Empresas_Tama%C3%B1o%22.%22Cod_Regi%C3%B3n%22%3D2</t>
  </si>
  <si>
    <t>Número de Empresas por Tamaño según ventas en la Región de Atacama, Periodo 2005-2019</t>
  </si>
  <si>
    <t>https://analytics.zoho.com/open-view/2395394000008039000?ZOHO_CRITERIA=%225.1%20Empresas_Tama%C3%B1o%22.%22Cod_Regi%C3%B3n%22%3D3</t>
  </si>
  <si>
    <t>Número de Empresas por Tamaño según ventas en la Región de Coquimbo, Periodo 2005-2019</t>
  </si>
  <si>
    <t>https://analytics.zoho.com/open-view/2395394000008039000?ZOHO_CRITERIA=%225.1%20Empresas_Tama%C3%B1o%22.%22Cod_Regi%C3%B3n%22%3D4</t>
  </si>
  <si>
    <t>Número de Empresas por Tamaño según ventas en la Región de Valparaíso, Periodo 2005-2019</t>
  </si>
  <si>
    <t>https://analytics.zoho.com/open-view/2395394000008039000?ZOHO_CRITERIA=%225.1%20Empresas_Tama%C3%B1o%22.%22Cod_Regi%C3%B3n%22%3D5</t>
  </si>
  <si>
    <t>Número de Empresas por Tamaño según ventas en la Región de O'Higgins, Periodo 2005-2019</t>
  </si>
  <si>
    <t>https://analytics.zoho.com/open-view/2395394000008039000?ZOHO_CRITERIA=%225.1%20Empresas_Tama%C3%B1o%22.%22Cod_Regi%C3%B3n%22%3D6</t>
  </si>
  <si>
    <t>Número de Empresas por Tamaño según ventas en la Región de Maule, Periodo 2005-2019</t>
  </si>
  <si>
    <t>https://analytics.zoho.com/open-view/2395394000008039000?ZOHO_CRITERIA=%225.1%20Empresas_Tama%C3%B1o%22.%22Cod_Regi%C3%B3n%22%3D7</t>
  </si>
  <si>
    <t>Número de Empresas por Tamaño según ventas en la Región del Biobío, Periodo 2005-2019</t>
  </si>
  <si>
    <t>https://analytics.zoho.com/open-view/2395394000008039000?ZOHO_CRITERIA=%225.1%20Empresas_Tama%C3%B1o%22.%22Cod_Regi%C3%B3n%22%3D8</t>
  </si>
  <si>
    <t>Número de Empresas por Tamaño según ventas en la Región de La Araucanía, Periodo 2005-2019</t>
  </si>
  <si>
    <t>https://analytics.zoho.com/open-view/2395394000008039000?ZOHO_CRITERIA=%225.1%20Empresas_Tama%C3%B1o%22.%22Cod_Regi%C3%B3n%22%3D9</t>
  </si>
  <si>
    <t>Número de Empresas por Tamaño según ventas en la Región de Los Lagos, Periodo 2005-2019</t>
  </si>
  <si>
    <t>https://analytics.zoho.com/open-view/2395394000008039000?ZOHO_CRITERIA=%225.1%20Empresas_Tama%C3%B1o%22.%22Cod_Regi%C3%B3n%22%3D10</t>
  </si>
  <si>
    <t>Número de Empresas por Tamaño según ventas en la Región de Aysén, Periodo 2005-2019</t>
  </si>
  <si>
    <t>https://analytics.zoho.com/open-view/2395394000008039000?ZOHO_CRITERIA=%225.1%20Empresas_Tama%C3%B1o%22.%22Cod_Regi%C3%B3n%22%3D11</t>
  </si>
  <si>
    <t>Número de Empresas por Tamaño según ventas en la Región de Magallanes, Periodo 2005-2019</t>
  </si>
  <si>
    <t>https://analytics.zoho.com/open-view/2395394000008039000?ZOHO_CRITERIA=%225.1%20Empresas_Tama%C3%B1o%22.%22Cod_Regi%C3%B3n%22%3D12</t>
  </si>
  <si>
    <t>Número de Empresas por Tamaño según ventas en la Región Metropolitana, Periodo 2005-2019</t>
  </si>
  <si>
    <t>https://analytics.zoho.com/open-view/2395394000008039000?ZOHO_CRITERIA=%225.1%20Empresas_Tama%C3%B1o%22.%22Cod_Regi%C3%B3n%22%3D13</t>
  </si>
  <si>
    <t>Número de Empresas por Tamaño según ventas en la Región de Los Ríos, Periodo 2005-2019</t>
  </si>
  <si>
    <t>https://analytics.zoho.com/open-view/2395394000008039000?ZOHO_CRITERIA=%225.1%20Empresas_Tama%C3%B1o%22.%22Cod_Regi%C3%B3n%22%3D14</t>
  </si>
  <si>
    <t>Número de Empresas por Tamaño según ventas en la Región de Arica y Parinacota, Periodo 2005-2019</t>
  </si>
  <si>
    <t>https://analytics.zoho.com/open-view/2395394000008039000?ZOHO_CRITERIA=%225.1%20Empresas_Tama%C3%B1o%22.%22Cod_Regi%C3%B3n%22%3D15</t>
  </si>
  <si>
    <t>Número de Empresas por Tamaño según ventas en la Región de Ñuble, Periodo 2005-2019</t>
  </si>
  <si>
    <t>https://analytics.zoho.com/open-view/2395394000008039000?ZOHO_CRITERIA=%225.1%20Empresas_Tama%C3%B1o%22.%22Cod_Regi%C3%B3n%22%3D16</t>
  </si>
  <si>
    <t>Población en Control del Programa de Salud Cardiovascular en Chile, Año 2018</t>
  </si>
  <si>
    <t>Mapa de Absorciones (kt) de CO2 por Región, Chile, Periodo 1990-2018</t>
  </si>
  <si>
    <t>Promedio de Emisiones Netas (kt) de CO2 equivalente, Chile, Periodo 1990-2018</t>
  </si>
  <si>
    <t>Emisiones (kt) de CO2 equivalente por Gas en Chile, durante el Periodo 1990-2018</t>
  </si>
  <si>
    <t>Emisiones y Absorciones (kt) de CO2 equivalente por Subsector en Chile, para el Año 2018</t>
  </si>
  <si>
    <t>Número de trabajadores dependientes por sexo, en el rubro B-Explotación minera y canteras, según año comercial y a nivel regional en Chile, Periodo 2005-2019</t>
  </si>
  <si>
    <t>Número de trabajadores dependientes por sexo, en el rubro B-Explotación minera y canteras, según año comercial en la Región de Tarapacá, Periodo 2005-2019</t>
  </si>
  <si>
    <t>https://analytics.zoho.com/open-view/2395394000008438205?ZOHO_CRITERIA=%22Rubros_Todo%22.%22Id_Regi%C3%B3n%22%3D1</t>
  </si>
  <si>
    <t>Número de trabajadores dependientes por sexo, en el rubro B-Explotación minera y canteras, según año comercial en la Región de Antofagasta, Periodo 2005-2019</t>
  </si>
  <si>
    <t>https://analytics.zoho.com/open-view/2395394000008438205?ZOHO_CRITERIA=%22Rubros_Todo%22.%22Id_Regi%C3%B3n%22%3D2</t>
  </si>
  <si>
    <t>Número de trabajadores dependientes por sexo, en el rubro B-Explotación minera y canteras, según año comercial en la Región de Atacama, Periodo 2005-2019</t>
  </si>
  <si>
    <t>https://analytics.zoho.com/open-view/2395394000008438205?ZOHO_CRITERIA=%22Rubros_Todo%22.%22Id_Regi%C3%B3n%22%3D3</t>
  </si>
  <si>
    <t>Número de trabajadores dependientes por sexo, en el rubro B-Explotación minera y canteras, según año comercial en la Región de Coquimbo, Periodo 2005-2019</t>
  </si>
  <si>
    <t>https://analytics.zoho.com/open-view/2395394000008438205?ZOHO_CRITERIA=%22Rubros_Todo%22.%22Id_Regi%C3%B3n%22%3D4</t>
  </si>
  <si>
    <t>Número de trabajadores dependientes por sexo, en el rubro B-Explotación minera y canteras, según año comercial en la Región de Valparaíso, Periodo 2005-2019</t>
  </si>
  <si>
    <t>https://analytics.zoho.com/open-view/2395394000008438205?ZOHO_CRITERIA=%22Rubros_Todo%22.%22Id_Regi%C3%B3n%22%3D5</t>
  </si>
  <si>
    <t>Número de trabajadores dependientes por sexo, en el rubro B-Explotación minera y canteras, según año comercial en la Región de O'Higgins, Periodo 2005-2019</t>
  </si>
  <si>
    <t>https://analytics.zoho.com/open-view/2395394000008438205?ZOHO_CRITERIA=%22Rubros_Todo%22.%22Id_Regi%C3%B3n%22%3D6</t>
  </si>
  <si>
    <t>Número de trabajadores dependientes por sexo, en el rubro B-Explotación minera y canteras, según año comercial en la Región de Maule, Periodo 2005-2019</t>
  </si>
  <si>
    <t>https://analytics.zoho.com/open-view/2395394000008438205?ZOHO_CRITERIA=%22Rubros_Todo%22.%22Id_Regi%C3%B3n%22%3D7</t>
  </si>
  <si>
    <t>Número de trabajadores dependientes por sexo, en el rubro B-Explotación minera y canteras, según año comercial en la Región del Biobío, Periodo 2005-2019</t>
  </si>
  <si>
    <t>https://analytics.zoho.com/open-view/2395394000008438205?ZOHO_CRITERIA=%22Rubros_Todo%22.%22Id_Regi%C3%B3n%22%3D8</t>
  </si>
  <si>
    <t>Número de trabajadores dependientes por sexo, en el rubro B-Explotación minera y canteras, según año comercial en la Región de La Araucanía, Periodo 2005-2019</t>
  </si>
  <si>
    <t>https://analytics.zoho.com/open-view/2395394000008438205?ZOHO_CRITERIA=%22Rubros_Todo%22.%22Id_Regi%C3%B3n%22%3D9</t>
  </si>
  <si>
    <t>Número de trabajadores dependientes por sexo, en el rubro B-Explotación minera y canteras, según año comercial en la Región de Los Lagos, Periodo 2005-2019</t>
  </si>
  <si>
    <t>https://analytics.zoho.com/open-view/2395394000008438205?ZOHO_CRITERIA=%22Rubros_Todo%22.%22Id_Regi%C3%B3n%22%3D10</t>
  </si>
  <si>
    <t>Número de trabajadores dependientes por sexo, en el rubro B-Explotación minera y canteras, según año comercial en la Región de Aysén, Periodo 2005-2019</t>
  </si>
  <si>
    <t>https://analytics.zoho.com/open-view/2395394000008438205?ZOHO_CRITERIA=%22Rubros_Todo%22.%22Id_Regi%C3%B3n%22%3D11</t>
  </si>
  <si>
    <t>Número de trabajadores dependientes por sexo, en el rubro B-Explotación minera y canteras, según año comercial en la Región de Magallanes, Periodo 2005-2019</t>
  </si>
  <si>
    <t>https://analytics.zoho.com/open-view/2395394000008438205?ZOHO_CRITERIA=%22Rubros_Todo%22.%22Id_Regi%C3%B3n%22%3D12</t>
  </si>
  <si>
    <t>Número de trabajadores dependientes por sexo, en el rubro B-Explotación minera y canteras, según año comercial en la Región Metropolitana, Periodo 2005-2019</t>
  </si>
  <si>
    <t>https://analytics.zoho.com/open-view/2395394000008438205?ZOHO_CRITERIA=%22Rubros_Todo%22.%22Id_Regi%C3%B3n%22%3D13</t>
  </si>
  <si>
    <t>Número de trabajadores dependientes por sexo, en el rubro B-Explotación minera y canteras, según año comercial en la Región de Los Ríos, Periodo 2005-2019</t>
  </si>
  <si>
    <t>https://analytics.zoho.com/open-view/2395394000008438205?ZOHO_CRITERIA=%22Rubros_Todo%22.%22Id_Regi%C3%B3n%22%3D14</t>
  </si>
  <si>
    <t>Número de trabajadores dependientes por sexo, en el rubro B-Explotación minera y canteras, según año comercial en la Región de Arica y Parinacota, Periodo 2005-2019</t>
  </si>
  <si>
    <t>https://analytics.zoho.com/open-view/2395394000008438205?ZOHO_CRITERIA=%22Rubros_Todo%22.%22Id_Regi%C3%B3n%22%3D15</t>
  </si>
  <si>
    <t>Número de trabajadores dependientes por sexo, en el rubro B-Explotación minera y canteras, según año comercial en la Región de Ñuble, Periodo 2005-2019</t>
  </si>
  <si>
    <t>https://analytics.zoho.com/open-view/2395394000008438205?ZOHO_CRITERIA=%22Rubros_Todo%22.%22Id_Regi%C3%B3n%22%3D16</t>
  </si>
  <si>
    <t>Evolución de las Ventas Anuales en UF para el rubro L-Actividades Inmobiliarias en Chile, Periodo 2005-2019</t>
  </si>
  <si>
    <t>Evolución Casos de Cáncer de Cuello Uterino por Comuna en Chile, Periodo 2011-2018</t>
  </si>
  <si>
    <t>Evolución Casos de Cáncer de Cuello Uterino por Comuna en la Región de Tarapacá, Periodo 2011-2018</t>
  </si>
  <si>
    <t>https://analytics.zoho.com/open-view/2395394000008389657?ZOHO_CRITERIA=%22Localiza%20CL%22.%22Codreg%22%20%3D%201</t>
  </si>
  <si>
    <t>Evolución Casos de Cáncer de Cuello Uterino por Comuna en la Región de Antofagasta, Periodo 2011-2018</t>
  </si>
  <si>
    <t>https://analytics.zoho.com/open-view/2395394000008389657?ZOHO_CRITERIA=%22Localiza%20CL%22.%22Codreg%22%20%3D%202</t>
  </si>
  <si>
    <t>Evolución Casos de Cáncer de Cuello Uterino por Comuna en la Región de Atacama, Periodo 2011-2018</t>
  </si>
  <si>
    <t>https://analytics.zoho.com/open-view/2395394000008389657?ZOHO_CRITERIA=%22Localiza%20CL%22.%22Codreg%22%20%3D%203</t>
  </si>
  <si>
    <t>Evolución Casos de Cáncer de Cuello Uterino por Comuna en la Región de Coquimbo, Periodo 2011-2018</t>
  </si>
  <si>
    <t>https://analytics.zoho.com/open-view/2395394000008389657?ZOHO_CRITERIA=%22Localiza%20CL%22.%22Codreg%22%20%3D%204</t>
  </si>
  <si>
    <t>Evolución Casos de Cáncer de Cuello Uterino por Comuna en la Región de Valparaíso, Periodo 2011-2018</t>
  </si>
  <si>
    <t>https://analytics.zoho.com/open-view/2395394000008389657?ZOHO_CRITERIA=%22Localiza%20CL%22.%22Codreg%22%20%3D%205</t>
  </si>
  <si>
    <t>Evolución Casos de Cáncer de Cuello Uterino por Comuna en la Región de O'Higgins, Periodo 2011-2018</t>
  </si>
  <si>
    <t>https://analytics.zoho.com/open-view/2395394000008389657?ZOHO_CRITERIA=%22Localiza%20CL%22.%22Codreg%22%20%3D%206</t>
  </si>
  <si>
    <t>Evolución Casos de Cáncer de Cuello Uterino por Comuna en la Región de Maule, Periodo 2011-2018</t>
  </si>
  <si>
    <t>https://analytics.zoho.com/open-view/2395394000008389657?ZOHO_CRITERIA=%22Localiza%20CL%22.%22Codreg%22%20%3D%207</t>
  </si>
  <si>
    <t>Evolución Casos de Cáncer de Cuello Uterino por Comuna en la Región del Biobío, Periodo 2011-2018</t>
  </si>
  <si>
    <t>https://analytics.zoho.com/open-view/2395394000008389657?ZOHO_CRITERIA=%22Localiza%20CL%22.%22Codreg%22%20%3D%208</t>
  </si>
  <si>
    <t>Evolución Casos de Cáncer de Cuello Uterino por Comuna en la Región de La Araucanía, Periodo 2011-2018</t>
  </si>
  <si>
    <t>https://analytics.zoho.com/open-view/2395394000008389657?ZOHO_CRITERIA=%22Localiza%20CL%22.%22Codreg%22%20%3D%209</t>
  </si>
  <si>
    <t>Evolución Casos de Cáncer de Cuello Uterino por Comuna en la Región de Los Lagos, Periodo 2011-2018</t>
  </si>
  <si>
    <t>https://analytics.zoho.com/open-view/2395394000008389657?ZOHO_CRITERIA=%22Localiza%20CL%22.%22Codreg%22%20%3D%2010</t>
  </si>
  <si>
    <t>Evolución Casos de Cáncer de Cuello Uterino por Comuna en la Región de Aysén, Periodo 2011-2018</t>
  </si>
  <si>
    <t>https://analytics.zoho.com/open-view/2395394000008389657?ZOHO_CRITERIA=%22Localiza%20CL%22.%22Codreg%22%20%3D%2011</t>
  </si>
  <si>
    <t>Evolución Casos de Cáncer de Cuello Uterino por Comuna en la Región de Magallanes, Periodo 2011-2018</t>
  </si>
  <si>
    <t>https://analytics.zoho.com/open-view/2395394000008389657?ZOHO_CRITERIA=%22Localiza%20CL%22.%22Codreg%22%20%3D%2012</t>
  </si>
  <si>
    <t>Evolución Casos de Cáncer de Cuello Uterino por Comuna en la Región Metropolitana, Periodo 2011-2018</t>
  </si>
  <si>
    <t>https://analytics.zoho.com/open-view/2395394000008389657?ZOHO_CRITERIA=%22Localiza%20CL%22.%22Codreg%22%20%3D%2013</t>
  </si>
  <si>
    <t>Evolución Casos de Cáncer de Cuello Uterino por Comuna en la Región de Los Ríos, Periodo 2011-2018</t>
  </si>
  <si>
    <t>https://analytics.zoho.com/open-view/2395394000008389657?ZOHO_CRITERIA=%22Localiza%20CL%22.%22Codreg%22%20%3D%2014</t>
  </si>
  <si>
    <t>Evolución Casos de Cáncer de Cuello Uterino por Comuna en la Región de Arica y Parinacota, Periodo 2011-2018</t>
  </si>
  <si>
    <t>https://analytics.zoho.com/open-view/2395394000008389657?ZOHO_CRITERIA=%22Localiza%20CL%22.%22Codreg%22%20%3D%2015</t>
  </si>
  <si>
    <t>Evolución Casos de Cáncer de Cuello Uterino por Comuna en la Región de Ñuble, Periodo 2011-2018</t>
  </si>
  <si>
    <t>https://analytics.zoho.com/open-view/2395394000008389657?ZOHO_CRITERIA=%22Localiza%20CL%22.%22Codreg%22%20%3D%2016</t>
  </si>
  <si>
    <t>Emisiones Netas (kt) de CO2 equivalente por Región en Chile, Año 2018</t>
  </si>
  <si>
    <t>Superficie de Incendios Forestales por Comuna en Chile, Periodo 2010-2020</t>
  </si>
  <si>
    <t>Superficie de Incendios Forestales por Comuna en la Región de Tarapacá, Periodo 2010-2020</t>
  </si>
  <si>
    <t>Superficie de Incendios Forestales por Comuna en la Región de Antofagasta, Periodo 2010-2020</t>
  </si>
  <si>
    <t>Superficie de Incendios Forestales por Comuna en la Región de Atacama, Periodo 2010-2020</t>
  </si>
  <si>
    <t>Superficie de Incendios Forestales por Comuna en la Región de Coquimbo, Periodo 2010-2020</t>
  </si>
  <si>
    <t>Superficie de Incendios Forestales por Comuna en la Región de Valparaíso, Periodo 2010-2020</t>
  </si>
  <si>
    <t>Superficie de Incendios Forestales por Comuna en la Región de O'Higgins, Periodo 2010-2020</t>
  </si>
  <si>
    <t>Superficie de Incendios Forestales por Comuna en la Región de Maule, Periodo 2010-2020</t>
  </si>
  <si>
    <t>Superficie de Incendios Forestales por Comuna en la Región del Biobío, Periodo 2010-2020</t>
  </si>
  <si>
    <t>Superficie de Incendios Forestales por Comuna en la Región de La Araucanía, Periodo 2010-2020</t>
  </si>
  <si>
    <t>Superficie de Incendios Forestales por Comuna en la Región de Los Lagos, Periodo 2010-2020</t>
  </si>
  <si>
    <t>Superficie de Incendios Forestales por Comuna en la Región de Aysén, Periodo 2010-2020</t>
  </si>
  <si>
    <t>Superficie de Incendios Forestales por Comuna en la Región de Magallanes, Periodo 2010-2020</t>
  </si>
  <si>
    <t>Superficie de Incendios Forestales por Comuna en la Región Metropolitana, Periodo 2010-2020</t>
  </si>
  <si>
    <t>Superficie de Incendios Forestales por Comuna en la Región de Los Ríos, Periodo 2010-2020</t>
  </si>
  <si>
    <t>Superficie de Incendios Forestales por Comuna en la Región de Arica y Parinacota, Periodo 2010-2020</t>
  </si>
  <si>
    <t>Superficie de Incendios Forestales por Comuna en la Región de Ñuble, Periodo 2010-2020</t>
  </si>
  <si>
    <t>Evolución Anual de la superficie afectada por Incendios Forestales en Chile, Periodo 2010-2020</t>
  </si>
  <si>
    <t>Evolución Anual de la superficie afectada por Incendios Forestales en la Región de Tarapacá, Periodo 2010-2020</t>
  </si>
  <si>
    <t>Evolución Anual de la superficie afectada por Incendios Forestales en la Región de Antofagasta, Periodo 2010-2020</t>
  </si>
  <si>
    <t>Evolución Anual de la superficie afectada por Incendios Forestales en la Región de Atacama, Periodo 2010-2020</t>
  </si>
  <si>
    <t>Evolución Anual de la superficie afectada por Incendios Forestales en la Región de Coquimbo, Periodo 2010-2020</t>
  </si>
  <si>
    <t>Evolución Anual de la superficie afectada por Incendios Forestales en la Región de Valparaíso, Periodo 2010-2020</t>
  </si>
  <si>
    <t>Evolución Anual de la superficie afectada por Incendios Forestales en la Región de O'Higgins, Periodo 2010-2020</t>
  </si>
  <si>
    <t>Evolución Anual de la superficie afectada por Incendios Forestales en la Región de Maule, Periodo 2010-2020</t>
  </si>
  <si>
    <t>Evolución Anual de la superficie afectada por Incendios Forestales en la Región del Biobío, Periodo 2010-2020</t>
  </si>
  <si>
    <t>Evolución Anual de la superficie afectada por Incendios Forestales en la Región de La Araucanía, Periodo 2010-2020</t>
  </si>
  <si>
    <t>Evolución Anual de la superficie afectada por Incendios Forestales en la Región de Los Lagos, Periodo 2010-2020</t>
  </si>
  <si>
    <t>Evolución Anual de la superficie afectada por Incendios Forestales en la Región de Aysén, Periodo 2010-2020</t>
  </si>
  <si>
    <t>Evolución Anual de la superficie afectada por Incendios Forestales en la Región de Magallanes, Periodo 2010-2020</t>
  </si>
  <si>
    <t>Evolución Anual de la superficie afectada por Incendios Forestales en la Región Metropolitana, Periodo 2010-2020</t>
  </si>
  <si>
    <t>Evolución Anual de la superficie afectada por Incendios Forestales en la Región de Los Ríos, Periodo 2010-2020</t>
  </si>
  <si>
    <t>Evolución Anual de la superficie afectada por Incendios Forestales en la Región de Arica y Parinacota, Periodo 2010-2020</t>
  </si>
  <si>
    <t>Evolución Anual de la superficie afectada por Incendios Forestales en la Región de Ñuble, Periodo 2010-2020</t>
  </si>
  <si>
    <t>Incendios y superficie afectada de plantaciones Forestales según causas específicas en Chile, Periodo 2010-2020</t>
  </si>
  <si>
    <t>Incendios y superficie afectada de plantaciones Forestales según causas específicas en la Región de Tarapacá, Periodo 2010-2020</t>
  </si>
  <si>
    <t>Incendios y superficie afectada de plantaciones Forestales según causas específicas en la Región de Antofagasta, Periodo 2010-2020</t>
  </si>
  <si>
    <t>Incendios y superficie afectada de plantaciones Forestales según causas específicas en la Región de Atacama, Periodo 2010-2020</t>
  </si>
  <si>
    <t>Incendios y superficie afectada de plantaciones Forestales según causas específicas en la Región de Coquimbo, Periodo 2010-2020</t>
  </si>
  <si>
    <t>Incendios y superficie afectada de plantaciones Forestales según causas específicas en la Región de Valparaíso, Periodo 2010-2020</t>
  </si>
  <si>
    <t>Incendios y superficie afectada de plantaciones Forestales según causas específicas en la Región de O'Higgins, Periodo 2010-2020</t>
  </si>
  <si>
    <t>Incendios y superficie afectada de plantaciones Forestales según causas específicas en la Región de Maule, Periodo 2010-2020</t>
  </si>
  <si>
    <t>Incendios y superficie afectada de plantaciones Forestales según causas específicas en la Región del Biobío, Periodo 2010-2020</t>
  </si>
  <si>
    <t>Incendios y superficie afectada de plantaciones Forestales según causas específicas en la Región de La Araucanía, Periodo 2010-2020</t>
  </si>
  <si>
    <t>Incendios y superficie afectada de plantaciones Forestales según causas específicas en la Región de Los Lagos, Periodo 2010-2020</t>
  </si>
  <si>
    <t>Incendios y superficie afectada de plantaciones Forestales según causas específicas en la Región de Aysén, Periodo 2010-2020</t>
  </si>
  <si>
    <t>Incendios y superficie afectada de plantaciones Forestales según causas específicas en la Región de Magallanes, Periodo 2010-2020</t>
  </si>
  <si>
    <t>Incendios y superficie afectada de plantaciones Forestales según causas específicas en la Región Metropolitana, Periodo 2010-2020</t>
  </si>
  <si>
    <t>Incendios y superficie afectada de plantaciones Forestales según causas específicas en la Región de Los Ríos, Periodo 2010-2020</t>
  </si>
  <si>
    <t>Incendios y superficie afectada de plantaciones Forestales según causas específicas en la Región de Arica y Parinacota, Periodo 2010-2020</t>
  </si>
  <si>
    <t>Incendios y superficie afectada de plantaciones Forestales según causas específicas en la Región de Ñuble, Periodo 2010-2020</t>
  </si>
  <si>
    <t>Incendios y superficie afectada según causas generales y específicas en Chile, Periodo 2010-2020</t>
  </si>
  <si>
    <t>Incendios y superficie afectada según causas generales y específicas en la Región de Tarapacá, Periodo 2010-2020</t>
  </si>
  <si>
    <t>Incendios y superficie afectada según causas generales y específicas en la Región de Antofagasta, Periodo 2010-2020</t>
  </si>
  <si>
    <t>Incendios y superficie afectada según causas generales y específicas en la Región de Atacama, Periodo 2010-2020</t>
  </si>
  <si>
    <t>Incendios y superficie afectada según causas generales y específicas en la Región de Coquimbo, Periodo 2010-2020</t>
  </si>
  <si>
    <t>Incendios y superficie afectada según causas generales y específicas en la Región de Valparaíso, Periodo 2010-2020</t>
  </si>
  <si>
    <t>Incendios y superficie afectada según causas generales y específicas en la Región de O'Higgins, Periodo 2010-2020</t>
  </si>
  <si>
    <t>Incendios y superficie afectada según causas generales y específicas en la Región de Maule, Periodo 2010-2020</t>
  </si>
  <si>
    <t>Incendios y superficie afectada según causas generales y específicas en la Región del Biobío, Periodo 2010-2020</t>
  </si>
  <si>
    <t>Incendios y superficie afectada según causas generales y específicas en la Región de La Araucanía, Periodo 2010-2020</t>
  </si>
  <si>
    <t>Incendios y superficie afectada según causas generales y específicas en la Región de Los Lagos, Periodo 2010-2020</t>
  </si>
  <si>
    <t>Incendios y superficie afectada según causas generales y específicas en la Región de Aysén, Periodo 2010-2020</t>
  </si>
  <si>
    <t>Incendios y superficie afectada según causas generales y específicas en la Región de Magallanes, Periodo 2010-2020</t>
  </si>
  <si>
    <t>Incendios y superficie afectada según causas generales y específicas en la Región Metropolitana, Periodo 2010-2020</t>
  </si>
  <si>
    <t>Incendios y superficie afectada según causas generales y específicas en la Región de Los Ríos, Periodo 2010-2020</t>
  </si>
  <si>
    <t>Incendios y superficie afectada según causas generales y específicas en la Región de Arica y Parinacota, Periodo 2010-2020</t>
  </si>
  <si>
    <t>Incendios y superficie afectada según causas generales y específicas en la Región de Ñuble, Periodo 2010-2020</t>
  </si>
  <si>
    <t>Candidatos electos, Lista-Partido y Votación Obtenida a los cargos de Elección Popular, para 7 comunas en Chile, Periodo 1990-2020</t>
  </si>
  <si>
    <t>Candidatos electos, Lista-Partido y Votación Obtenida a los cargos de Elección Popular, para 7 comunas en la Región de Tarapacá, Periodo 1990-2020</t>
  </si>
  <si>
    <t>Candidatos electos, Lista-Partido y Votación Obtenida a los cargos de Elección Popular, para 7 comunas en la Región de Antofagasta, Periodo 1990-2020</t>
  </si>
  <si>
    <t>Candidatos electos, Lista-Partido y Votación Obtenida a los cargos de Elección Popular, para 7 comunas en la Región de Atacama, Periodo 1990-2020</t>
  </si>
  <si>
    <t>Candidatos electos, Lista-Partido y Votación Obtenida a los cargos de Elección Popular, para 7 comunas en la Región de Coquimbo, Periodo 1990-2020</t>
  </si>
  <si>
    <t>Candidatos electos, Lista-Partido y Votación Obtenida a los cargos de Elección Popular, para 7 comunas en la Región de Valparaíso, Periodo 1990-2020</t>
  </si>
  <si>
    <t>Candidatos electos, Lista-Partido y Votación Obtenida a los cargos de Elección Popular, para 7 comunas en la Región de O'Higgins, Periodo 1990-2020</t>
  </si>
  <si>
    <t>Candidatos electos, Lista-Partido y Votación Obtenida a los cargos de Elección Popular, para 7 comunas en la Región de Maule, Periodo 1990-2020</t>
  </si>
  <si>
    <t>Candidatos electos, Lista-Partido y Votación Obtenida a los cargos de Elección Popular, para 7 comunas en la Región del Biobío, Periodo 1990-2020</t>
  </si>
  <si>
    <t>Candidatos electos, Lista-Partido y Votación Obtenida a los cargos de Elección Popular, para 7 comunas en la Región de La Araucanía, Periodo 1990-2020</t>
  </si>
  <si>
    <t>Candidatos electos, Lista-Partido y Votación Obtenida a los cargos de Elección Popular, para 7 comunas en la Región de Los Lagos, Periodo 1990-2020</t>
  </si>
  <si>
    <t>Candidatos electos, Lista-Partido y Votación Obtenida a los cargos de Elección Popular, para 7 comunas en la Región de Aysén, Periodo 1990-2020</t>
  </si>
  <si>
    <t>Candidatos electos, Lista-Partido y Votación Obtenida a los cargos de Elección Popular, para 7 comunas en la Región de Magallanes, Periodo 1990-2020</t>
  </si>
  <si>
    <t>Candidatos electos, Lista-Partido y Votación Obtenida a los cargos de Elección Popular, para 7 comunas en la Región Metropolitana, Periodo 1990-2020</t>
  </si>
  <si>
    <t>Candidatos electos, Lista-Partido y Votación Obtenida a los cargos de Elección Popular, para 7 comunas en la Región de Los Ríos, Periodo 1990-2020</t>
  </si>
  <si>
    <t>Candidatos electos, Lista-Partido y Votación Obtenida a los cargos de Elección Popular, para 7 comunas en la Región de Arica y Parinacota, Periodo 1990-2020</t>
  </si>
  <si>
    <t>Candidatos electos, Lista-Partido y Votación Obtenida a los cargos de Elección Popular, para 7 comunas en la Región de Ñuble, Periodo 1990-2020</t>
  </si>
  <si>
    <t>Cupos para cargos de Elección Popular, a nivel regional y comunal en Chile</t>
  </si>
  <si>
    <t>Cupos para cargos de Elección Popular, a nivel regional y comunal en la Región de Tarapacá</t>
  </si>
  <si>
    <t>Cupos para cargos de Elección Popular, a nivel regional y comunal en la Región de Antofagasta</t>
  </si>
  <si>
    <t>Cupos para cargos de Elección Popular, a nivel regional y comunal en la Región de Atacama</t>
  </si>
  <si>
    <t>Cupos para cargos de Elección Popular, a nivel regional y comunal en la Región de Coquimbo</t>
  </si>
  <si>
    <t>Cupos para cargos de Elección Popular, a nivel regional y comunal en la Región de Valparaíso</t>
  </si>
  <si>
    <t>Cupos para cargos de Elección Popular, a nivel regional y comunal en la Región de O'Higgins</t>
  </si>
  <si>
    <t>Cupos para cargos de Elección Popular, a nivel regional y comunal en la Región de Maule</t>
  </si>
  <si>
    <t>Cupos para cargos de Elección Popular, a nivel regional y comunal en la Región del Biobío</t>
  </si>
  <si>
    <t>Cupos para cargos de Elección Popular, a nivel regional y comunal en la Región de La Araucanía</t>
  </si>
  <si>
    <t>Cupos para cargos de Elección Popular, a nivel regional y comunal en la Región de Los Lagos</t>
  </si>
  <si>
    <t>Cupos para cargos de Elección Popular, a nivel regional y comunal en la Región de Aysén</t>
  </si>
  <si>
    <t>Cupos para cargos de Elección Popular, a nivel regional y comunal en la Región de Magallanes</t>
  </si>
  <si>
    <t>Cupos para cargos de Elección Popular, a nivel regional y comunal en la Región Metropolitana</t>
  </si>
  <si>
    <t>Cupos para cargos de Elección Popular, a nivel regional y comunal en la Región de Los Ríos</t>
  </si>
  <si>
    <t>Cupos para cargos de Elección Popular, a nivel regional y comunal en la Región de Arica y Parinacota</t>
  </si>
  <si>
    <t>Cupos para cargos de Elección Popular, a nivel regional y comunal en la Región de Ñuble</t>
  </si>
  <si>
    <t>Número de empresas vigentes según año de inicio de actividades y tipo de contribuyente en Chile, Periodo 1993-2019</t>
  </si>
  <si>
    <t>Número de empresas vigentes según año de inicio de actividades y tipo de contribuyente en la Región de Tarapacá, Periodo 1993-2019</t>
  </si>
  <si>
    <t>https://analytics.zoho.com/open-view/2395394000008062255?ZOHO_CRITERIA=%22Directorio_Todo%22.%22Cod_Regi%C3%B3n%22%3D1</t>
  </si>
  <si>
    <t>Número de empresas vigentes según año de inicio de actividades y tipo de contribuyente en la Región de Antofagasta, Periodo 1993-2019</t>
  </si>
  <si>
    <t>https://analytics.zoho.com/open-view/2395394000008062255?ZOHO_CRITERIA=%22Directorio_Todo%22.%22Cod_Regi%C3%B3n%22%3D2</t>
  </si>
  <si>
    <t>Número de empresas vigentes según año de inicio de actividades y tipo de contribuyente en la Región de Atacama, Periodo 1993-2019</t>
  </si>
  <si>
    <t>https://analytics.zoho.com/open-view/2395394000008062255?ZOHO_CRITERIA=%22Directorio_Todo%22.%22Cod_Regi%C3%B3n%22%3D3</t>
  </si>
  <si>
    <t>Número de empresas vigentes según año de inicio de actividades y tipo de contribuyente en la Región de Coquimbo, Periodo 1993-2019</t>
  </si>
  <si>
    <t>https://analytics.zoho.com/open-view/2395394000008062255?ZOHO_CRITERIA=%22Directorio_Todo%22.%22Cod_Regi%C3%B3n%22%3D4</t>
  </si>
  <si>
    <t>Número de empresas vigentes según año de inicio de actividades y tipo de contribuyente en la Región de Valparaíso, Periodo 1993-2019</t>
  </si>
  <si>
    <t>https://analytics.zoho.com/open-view/2395394000008062255?ZOHO_CRITERIA=%22Directorio_Todo%22.%22Cod_Regi%C3%B3n%22%3D5</t>
  </si>
  <si>
    <t>Número de empresas vigentes según año de inicio de actividades y tipo de contribuyente en la Región de O'Higgins, Periodo 1993-2019</t>
  </si>
  <si>
    <t>https://analytics.zoho.com/open-view/2395394000008062255?ZOHO_CRITERIA=%22Directorio_Todo%22.%22Cod_Regi%C3%B3n%22%3D6</t>
  </si>
  <si>
    <t>Número de empresas vigentes según año de inicio de actividades y tipo de contribuyente en la Región de Maule, Periodo 1993-2019</t>
  </si>
  <si>
    <t>https://analytics.zoho.com/open-view/2395394000008062255?ZOHO_CRITERIA=%22Directorio_Todo%22.%22Cod_Regi%C3%B3n%22%3D7</t>
  </si>
  <si>
    <t>Número de empresas vigentes según año de inicio de actividades y tipo de contribuyente en la Región del Biobío, Periodo 1993-2019</t>
  </si>
  <si>
    <t>https://analytics.zoho.com/open-view/2395394000008062255?ZOHO_CRITERIA=%22Directorio_Todo%22.%22Cod_Regi%C3%B3n%22%3D8</t>
  </si>
  <si>
    <t>Número de empresas vigentes según año de inicio de actividades y tipo de contribuyente en la Región de La Araucanía, Periodo 1993-2019</t>
  </si>
  <si>
    <t>https://analytics.zoho.com/open-view/2395394000008062255?ZOHO_CRITERIA=%22Directorio_Todo%22.%22Cod_Regi%C3%B3n%22%3D9</t>
  </si>
  <si>
    <t>Número de empresas vigentes según año de inicio de actividades y tipo de contribuyente en la Región de Los Lagos, Periodo 1993-2019</t>
  </si>
  <si>
    <t>https://analytics.zoho.com/open-view/2395394000008062255?ZOHO_CRITERIA=%22Directorio_Todo%22.%22Cod_Regi%C3%B3n%22%3D10</t>
  </si>
  <si>
    <t>Número de empresas vigentes según año de inicio de actividades y tipo de contribuyente en la Región de Aysén, Periodo 1993-2019</t>
  </si>
  <si>
    <t>https://analytics.zoho.com/open-view/2395394000008062255?ZOHO_CRITERIA=%22Directorio_Todo%22.%22Cod_Regi%C3%B3n%22%3D11</t>
  </si>
  <si>
    <t>Número de empresas vigentes según año de inicio de actividades y tipo de contribuyente en la Región de Magallanes, Periodo 1993-2019</t>
  </si>
  <si>
    <t>https://analytics.zoho.com/open-view/2395394000008062255?ZOHO_CRITERIA=%22Directorio_Todo%22.%22Cod_Regi%C3%B3n%22%3D12</t>
  </si>
  <si>
    <t>Número de empresas vigentes según año de inicio de actividades y tipo de contribuyente en la Región Metropolitana, Periodo 1993-2019</t>
  </si>
  <si>
    <t>https://analytics.zoho.com/open-view/2395394000008062255?ZOHO_CRITERIA=%22Directorio_Todo%22.%22Cod_Regi%C3%B3n%22%3D13</t>
  </si>
  <si>
    <t>Número de empresas vigentes según año de inicio de actividades y tipo de contribuyente en la Región de Los Ríos, Periodo 1993-2019</t>
  </si>
  <si>
    <t>https://analytics.zoho.com/open-view/2395394000008062255?ZOHO_CRITERIA=%22Directorio_Todo%22.%22Cod_Regi%C3%B3n%22%3D14</t>
  </si>
  <si>
    <t>Número de empresas vigentes según año de inicio de actividades y tipo de contribuyente en la Región de Arica y Parinacota, Periodo 1993-2019</t>
  </si>
  <si>
    <t>https://analytics.zoho.com/open-view/2395394000008062255?ZOHO_CRITERIA=%22Directorio_Todo%22.%22Cod_Regi%C3%B3n%22%3D15</t>
  </si>
  <si>
    <t>Número de empresas vigentes según año de inicio de actividades y tipo de contribuyente en la Región de Ñuble, Periodo 1993-2019</t>
  </si>
  <si>
    <t>https://analytics.zoho.com/open-view/2395394000008062255?ZOHO_CRITERIA=%22Directorio_Todo%22.%22Cod_Regi%C3%B3n%22%3D16</t>
  </si>
  <si>
    <t>Número de trabajadores de empresas vigentes, por año de inicio de actividades y tipo de contribuyentes en Chile, Periodo 1993-2019</t>
  </si>
  <si>
    <t>Número de trabajadores de empresas vigentes, por año de inicio de actividades y tipo de contribuyentes en la Región de Tarapacá, Periodo 1993-2019</t>
  </si>
  <si>
    <t>https://analytics.zoho.com/open-view/2395394000008062434?ZOHO_CRITERIA=%22Directorio_Todo%22.%22Cod_Regi%C3%B3n%22%3D1</t>
  </si>
  <si>
    <t>Número de trabajadores de empresas vigentes, por año de inicio de actividades y tipo de contribuyentes en la Región de Antofagasta, Periodo 1993-2019</t>
  </si>
  <si>
    <t>https://analytics.zoho.com/open-view/2395394000008062434?ZOHO_CRITERIA=%22Directorio_Todo%22.%22Cod_Regi%C3%B3n%22%3D2</t>
  </si>
  <si>
    <t>Número de trabajadores de empresas vigentes, por año de inicio de actividades y tipo de contribuyentes en la Región de Atacama, Periodo 1993-2019</t>
  </si>
  <si>
    <t>https://analytics.zoho.com/open-view/2395394000008062434?ZOHO_CRITERIA=%22Directorio_Todo%22.%22Cod_Regi%C3%B3n%22%3D3</t>
  </si>
  <si>
    <t>Número de trabajadores de empresas vigentes, por año de inicio de actividades y tipo de contribuyentes en la Región de Coquimbo, Periodo 1993-2019</t>
  </si>
  <si>
    <t>https://analytics.zoho.com/open-view/2395394000008062434?ZOHO_CRITERIA=%22Directorio_Todo%22.%22Cod_Regi%C3%B3n%22%3D4</t>
  </si>
  <si>
    <t>Número de trabajadores de empresas vigentes, por año de inicio de actividades y tipo de contribuyentes en la Región de Valparaíso, Periodo 1993-2019</t>
  </si>
  <si>
    <t>https://analytics.zoho.com/open-view/2395394000008062434?ZOHO_CRITERIA=%22Directorio_Todo%22.%22Cod_Regi%C3%B3n%22%3D5</t>
  </si>
  <si>
    <t>Número de trabajadores de empresas vigentes, por año de inicio de actividades y tipo de contribuyentes en la Región de O'Higgins, Periodo 1993-2019</t>
  </si>
  <si>
    <t>https://analytics.zoho.com/open-view/2395394000008062434?ZOHO_CRITERIA=%22Directorio_Todo%22.%22Cod_Regi%C3%B3n%22%3D6</t>
  </si>
  <si>
    <t>Número de trabajadores de empresas vigentes, por año de inicio de actividades y tipo de contribuyentes en la Región de Maule, Periodo 1993-2019</t>
  </si>
  <si>
    <t>https://analytics.zoho.com/open-view/2395394000008062434?ZOHO_CRITERIA=%22Directorio_Todo%22.%22Cod_Regi%C3%B3n%22%3D7</t>
  </si>
  <si>
    <t>Número de trabajadores de empresas vigentes, por año de inicio de actividades y tipo de contribuyentes en la Región del Biobío, Periodo 1993-2019</t>
  </si>
  <si>
    <t>https://analytics.zoho.com/open-view/2395394000008062434?ZOHO_CRITERIA=%22Directorio_Todo%22.%22Cod_Regi%C3%B3n%22%3D8</t>
  </si>
  <si>
    <t>Número de trabajadores de empresas vigentes, por año de inicio de actividades y tipo de contribuyentes en la Región de La Araucanía, Periodo 1993-2019</t>
  </si>
  <si>
    <t>https://analytics.zoho.com/open-view/2395394000008062434?ZOHO_CRITERIA=%22Directorio_Todo%22.%22Cod_Regi%C3%B3n%22%3D9</t>
  </si>
  <si>
    <t>Número de trabajadores de empresas vigentes, por año de inicio de actividades y tipo de contribuyentes en la Región de Los Lagos, Periodo 1993-2019</t>
  </si>
  <si>
    <t>https://analytics.zoho.com/open-view/2395394000008062434?ZOHO_CRITERIA=%22Directorio_Todo%22.%22Cod_Regi%C3%B3n%22%3D10</t>
  </si>
  <si>
    <t>Número de trabajadores de empresas vigentes, por año de inicio de actividades y tipo de contribuyentes en la Región de Aysén, Periodo 1993-2019</t>
  </si>
  <si>
    <t>https://analytics.zoho.com/open-view/2395394000008062434?ZOHO_CRITERIA=%22Directorio_Todo%22.%22Cod_Regi%C3%B3n%22%3D11</t>
  </si>
  <si>
    <t>Número de trabajadores de empresas vigentes, por año de inicio de actividades y tipo de contribuyentes en la Región de Magallanes, Periodo 1993-2019</t>
  </si>
  <si>
    <t>https://analytics.zoho.com/open-view/2395394000008062434?ZOHO_CRITERIA=%22Directorio_Todo%22.%22Cod_Regi%C3%B3n%22%3D12</t>
  </si>
  <si>
    <t>Número de trabajadores de empresas vigentes, por año de inicio de actividades y tipo de contribuyentes en la Región Metropolitana, Periodo 1993-2019</t>
  </si>
  <si>
    <t>https://analytics.zoho.com/open-view/2395394000008062434?ZOHO_CRITERIA=%22Directorio_Todo%22.%22Cod_Regi%C3%B3n%22%3D13</t>
  </si>
  <si>
    <t>Número de trabajadores de empresas vigentes, por año de inicio de actividades y tipo de contribuyentes en la Región de Los Ríos, Periodo 1993-2019</t>
  </si>
  <si>
    <t>https://analytics.zoho.com/open-view/2395394000008062434?ZOHO_CRITERIA=%22Directorio_Todo%22.%22Cod_Regi%C3%B3n%22%3D14</t>
  </si>
  <si>
    <t>Número de trabajadores de empresas vigentes, por año de inicio de actividades y tipo de contribuyentes en la Región de Arica y Parinacota, Periodo 1993-2019</t>
  </si>
  <si>
    <t>https://analytics.zoho.com/open-view/2395394000008062434?ZOHO_CRITERIA=%22Directorio_Todo%22.%22Cod_Regi%C3%B3n%22%3D15</t>
  </si>
  <si>
    <t>Número de trabajadores de empresas vigentes, por año de inicio de actividades y tipo de contribuyentes en la Región de Ñuble, Periodo 1993-2019</t>
  </si>
  <si>
    <t>https://analytics.zoho.com/open-view/2395394000008062434?ZOHO_CRITERIA=%22Directorio_Todo%22.%22Cod_Regi%C3%B3n%22%3D16</t>
  </si>
  <si>
    <t>Evolución de Población en el Programa de VIH/SIDA según Comuna en Chile, Periodo 2012-2018</t>
  </si>
  <si>
    <t>Evolución de Población en el Programa de VIH/SIDA según Comuna en la Región de Tarapacá, Periodo 2012-2018</t>
  </si>
  <si>
    <t>https://analytics.zoho.com/open-view/2395394000008389806?ZOHO_CRITERIA=%22Localiza%20CL%22.%22Codreg%22%20%3D%201</t>
  </si>
  <si>
    <t>Evolución de Población en el Programa de VIH/SIDA según Comuna en la Región de Antofagasta, Periodo 2012-2018</t>
  </si>
  <si>
    <t>https://analytics.zoho.com/open-view/2395394000008389806?ZOHO_CRITERIA=%22Localiza%20CL%22.%22Codreg%22%20%3D%202</t>
  </si>
  <si>
    <t>Evolución de Población en el Programa de VIH/SIDA según Comuna en la Región de Atacama, Periodo 2012-2018</t>
  </si>
  <si>
    <t>https://analytics.zoho.com/open-view/2395394000008389806?ZOHO_CRITERIA=%22Localiza%20CL%22.%22Codreg%22%20%3D%203</t>
  </si>
  <si>
    <t>Evolución de Población en el Programa de VIH/SIDA según Comuna en la Región de Coquimbo, Periodo 2012-2018</t>
  </si>
  <si>
    <t>https://analytics.zoho.com/open-view/2395394000008389806?ZOHO_CRITERIA=%22Localiza%20CL%22.%22Codreg%22%20%3D%204</t>
  </si>
  <si>
    <t>Evolución de Población en el Programa de VIH/SIDA según Comuna en la Región de Valparaíso, Periodo 2012-2018</t>
  </si>
  <si>
    <t>https://analytics.zoho.com/open-view/2395394000008389806?ZOHO_CRITERIA=%22Localiza%20CL%22.%22Codreg%22%20%3D%205</t>
  </si>
  <si>
    <t>Evolución de Población en el Programa de VIH/SIDA según Comuna en la Región de O'Higgins, Periodo 2012-2018</t>
  </si>
  <si>
    <t>https://analytics.zoho.com/open-view/2395394000008389806?ZOHO_CRITERIA=%22Localiza%20CL%22.%22Codreg%22%20%3D%206</t>
  </si>
  <si>
    <t>Evolución de Población en el Programa de VIH/SIDA según Comuna en la Región de Maule, Periodo 2012-2018</t>
  </si>
  <si>
    <t>https://analytics.zoho.com/open-view/2395394000008389806?ZOHO_CRITERIA=%22Localiza%20CL%22.%22Codreg%22%20%3D%207</t>
  </si>
  <si>
    <t>Evolución de Población en el Programa de VIH/SIDA según Comuna en la Región del Biobío, Periodo 2012-2018</t>
  </si>
  <si>
    <t>https://analytics.zoho.com/open-view/2395394000008389806?ZOHO_CRITERIA=%22Localiza%20CL%22.%22Codreg%22%20%3D%208</t>
  </si>
  <si>
    <t>Evolución de Población en el Programa de VIH/SIDA según Comuna en la Región de La Araucanía, Periodo 2012-2018</t>
  </si>
  <si>
    <t>https://analytics.zoho.com/open-view/2395394000008389806?ZOHO_CRITERIA=%22Localiza%20CL%22.%22Codreg%22%20%3D%209</t>
  </si>
  <si>
    <t>Evolución de Población en el Programa de VIH/SIDA según Comuna en la Región de Los Lagos, Periodo 2012-2018</t>
  </si>
  <si>
    <t>https://analytics.zoho.com/open-view/2395394000008389806?ZOHO_CRITERIA=%22Localiza%20CL%22.%22Codreg%22%20%3D%2010</t>
  </si>
  <si>
    <t>Evolución de Población en el Programa de VIH/SIDA según Comuna en la Región de Aysén, Periodo 2012-2018</t>
  </si>
  <si>
    <t>https://analytics.zoho.com/open-view/2395394000008389806?ZOHO_CRITERIA=%22Localiza%20CL%22.%22Codreg%22%20%3D%2011</t>
  </si>
  <si>
    <t>Evolución de Población en el Programa de VIH/SIDA según Comuna en la Región de Magallanes, Periodo 2012-2018</t>
  </si>
  <si>
    <t>https://analytics.zoho.com/open-view/2395394000008389806?ZOHO_CRITERIA=%22Localiza%20CL%22.%22Codreg%22%20%3D%2012</t>
  </si>
  <si>
    <t>Evolución de Población en el Programa de VIH/SIDA según Comuna en la Región Metropolitana, Periodo 2012-2018</t>
  </si>
  <si>
    <t>https://analytics.zoho.com/open-view/2395394000008389806?ZOHO_CRITERIA=%22Localiza%20CL%22.%22Codreg%22%20%3D%2013</t>
  </si>
  <si>
    <t>Evolución de Población en el Programa de VIH/SIDA según Comuna en la Región de Los Ríos, Periodo 2012-2018</t>
  </si>
  <si>
    <t>https://analytics.zoho.com/open-view/2395394000008389806?ZOHO_CRITERIA=%22Localiza%20CL%22.%22Codreg%22%20%3D%2014</t>
  </si>
  <si>
    <t>Evolución de Población en el Programa de VIH/SIDA según Comuna en la Región de Arica y Parinacota, Periodo 2012-2018</t>
  </si>
  <si>
    <t>https://analytics.zoho.com/open-view/2395394000008389806?ZOHO_CRITERIA=%22Localiza%20CL%22.%22Codreg%22%20%3D%2015</t>
  </si>
  <si>
    <t>Evolución de Población en el Programa de VIH/SIDA según Comuna en la Región de Ñuble, Periodo 2012-2018</t>
  </si>
  <si>
    <t>https://analytics.zoho.com/open-view/2395394000008389806?ZOHO_CRITERIA=%22Localiza%20CL%22.%22Codreg%22%20%3D%2016</t>
  </si>
  <si>
    <t>Evolución de Población en Control en el Programa de VIH/SIDA según Región en Chile, Periodo 2012-2018</t>
  </si>
  <si>
    <t>Evolución de Población en Control en el Programa de VIH/SIDA en la Región de Tarapacá, Periodo 2012-2018</t>
  </si>
  <si>
    <t>https://analytics.zoho.com/open-view/2395394000008049248?ZOHO_CRITERIA=%22Localiza%20CL%22.%22Codreg%22%20%3D%201</t>
  </si>
  <si>
    <t>Evolución de Población en Control en el Programa de VIH/SIDA en la Región de Antofagasta, Periodo 2012-2018</t>
  </si>
  <si>
    <t>https://analytics.zoho.com/open-view/2395394000008049248?ZOHO_CRITERIA=%22Localiza%20CL%22.%22Codreg%22%20%3D%202</t>
  </si>
  <si>
    <t>Evolución de Población en Control en el Programa de VIH/SIDA en la Región de Atacama, Periodo 2012-2018</t>
  </si>
  <si>
    <t>https://analytics.zoho.com/open-view/2395394000008049248?ZOHO_CRITERIA=%22Localiza%20CL%22.%22Codreg%22%20%3D%203</t>
  </si>
  <si>
    <t>Evolución de Población en Control en el Programa de VIH/SIDA en la Región de Coquimbo, Periodo 2012-2018</t>
  </si>
  <si>
    <t>https://analytics.zoho.com/open-view/2395394000008049248?ZOHO_CRITERIA=%22Localiza%20CL%22.%22Codreg%22%20%3D%204</t>
  </si>
  <si>
    <t>Evolución de Población en Control en el Programa de VIH/SIDA en la Región de Valparaíso, Periodo 2012-2018</t>
  </si>
  <si>
    <t>https://analytics.zoho.com/open-view/2395394000008049248?ZOHO_CRITERIA=%22Localiza%20CL%22.%22Codreg%22%20%3D%205</t>
  </si>
  <si>
    <t>Evolución de Población en Control en el Programa de VIH/SIDA en la Región de O'Higgins, Periodo 2012-2018</t>
  </si>
  <si>
    <t>https://analytics.zoho.com/open-view/2395394000008049248?ZOHO_CRITERIA=%22Localiza%20CL%22.%22Codreg%22%20%3D%206</t>
  </si>
  <si>
    <t>Evolución de Población en Control en el Programa de VIH/SIDA en la Región de Maule, Periodo 2012-2018</t>
  </si>
  <si>
    <t>https://analytics.zoho.com/open-view/2395394000008049248?ZOHO_CRITERIA=%22Localiza%20CL%22.%22Codreg%22%20%3D%207</t>
  </si>
  <si>
    <t>Evolución de Población en Control en el Programa de VIH/SIDA en la Región del Biobío, Periodo 2012-2018</t>
  </si>
  <si>
    <t>https://analytics.zoho.com/open-view/2395394000008049248?ZOHO_CRITERIA=%22Localiza%20CL%22.%22Codreg%22%20%3D%208</t>
  </si>
  <si>
    <t>Evolución de Población en Control en el Programa de VIH/SIDA en la Región de La Araucanía, Periodo 2012-2018</t>
  </si>
  <si>
    <t>https://analytics.zoho.com/open-view/2395394000008049248?ZOHO_CRITERIA=%22Localiza%20CL%22.%22Codreg%22%20%3D%209</t>
  </si>
  <si>
    <t>Evolución de Población en Control en el Programa de VIH/SIDA en la Región de Los Lagos, Periodo 2012-2018</t>
  </si>
  <si>
    <t>https://analytics.zoho.com/open-view/2395394000008049248?ZOHO_CRITERIA=%22Localiza%20CL%22.%22Codreg%22%20%3D%2010</t>
  </si>
  <si>
    <t>Evolución de Población en Control en el Programa de VIH/SIDA en la Región de Aysén, Periodo 2012-2018</t>
  </si>
  <si>
    <t>https://analytics.zoho.com/open-view/2395394000008049248?ZOHO_CRITERIA=%22Localiza%20CL%22.%22Codreg%22%20%3D%2011</t>
  </si>
  <si>
    <t>Evolución de Población en Control en el Programa de VIH/SIDA en la Región de Magallanes, Periodo 2012-2018</t>
  </si>
  <si>
    <t>https://analytics.zoho.com/open-view/2395394000008049248?ZOHO_CRITERIA=%22Localiza%20CL%22.%22Codreg%22%20%3D%2012</t>
  </si>
  <si>
    <t>Evolución de Población en Control en el Programa de VIH/SIDA en la Región Metropolitana, Periodo 2012-2018</t>
  </si>
  <si>
    <t>https://analytics.zoho.com/open-view/2395394000008049248?ZOHO_CRITERIA=%22Localiza%20CL%22.%22Codreg%22%20%3D%2013</t>
  </si>
  <si>
    <t>Evolución de Población en Control en el Programa de VIH/SIDA en la Región de Los Ríos, Periodo 2012-2018</t>
  </si>
  <si>
    <t>https://analytics.zoho.com/open-view/2395394000008049248?ZOHO_CRITERIA=%22Localiza%20CL%22.%22Codreg%22%20%3D%2014</t>
  </si>
  <si>
    <t>Evolución de Población en Control en el Programa de VIH/SIDA en la Región de Arica y Parinacota, Periodo 2012-2018</t>
  </si>
  <si>
    <t>https://analytics.zoho.com/open-view/2395394000008049248?ZOHO_CRITERIA=%22Localiza%20CL%22.%22Codreg%22%20%3D%2015</t>
  </si>
  <si>
    <t>Evolución de Población en Control en el Programa de VIH/SIDA en la Región de Ñuble, Periodo 2012-2018</t>
  </si>
  <si>
    <t>https://analytics.zoho.com/open-view/2395394000008049248?ZOHO_CRITERIA=%22Localiza%20CL%22.%22Codreg%22%20%3D%2016</t>
  </si>
  <si>
    <t>Evolución de Población en Control en el Programa de VIH/SIDA según Rango Etario en Chile, Periodo 2012-2018</t>
  </si>
  <si>
    <t>Evolución de Población en Control en el Programa de VIH/SIDA según Rango Etario en la Región de Tarapacá, Periodo 2012-2018</t>
  </si>
  <si>
    <t>https://analytics.zoho.com/open-view/2395394000008463151?ZOHO_CRITERIA=%22Localiza%20CL%22.%22Codreg%22%20%3D%201</t>
  </si>
  <si>
    <t>Evolución de Población en Control en el Programa de VIH/SIDA según Rango Etario en la Región de Antofagasta, Periodo 2012-2018</t>
  </si>
  <si>
    <t>https://analytics.zoho.com/open-view/2395394000008463151?ZOHO_CRITERIA=%22Localiza%20CL%22.%22Codreg%22%20%3D%202</t>
  </si>
  <si>
    <t>Evolución de Población en Control en el Programa de VIH/SIDA según Rango Etario en la Región de Atacama, Periodo 2012-2018</t>
  </si>
  <si>
    <t>https://analytics.zoho.com/open-view/2395394000008463151?ZOHO_CRITERIA=%22Localiza%20CL%22.%22Codreg%22%20%3D%203</t>
  </si>
  <si>
    <t>Evolución de Población en Control en el Programa de VIH/SIDA según Rango Etario en la Región de Coquimbo, Periodo 2012-2018</t>
  </si>
  <si>
    <t>https://analytics.zoho.com/open-view/2395394000008463151?ZOHO_CRITERIA=%22Localiza%20CL%22.%22Codreg%22%20%3D%204</t>
  </si>
  <si>
    <t>Evolución de Población en Control en el Programa de VIH/SIDA según Rango Etario en la Región de Valparaíso, Periodo 2012-2018</t>
  </si>
  <si>
    <t>https://analytics.zoho.com/open-view/2395394000008463151?ZOHO_CRITERIA=%22Localiza%20CL%22.%22Codreg%22%20%3D%205</t>
  </si>
  <si>
    <t>Evolución de Población en Control en el Programa de VIH/SIDA según Rango Etario en la Región de O'Higgins, Periodo 2012-2018</t>
  </si>
  <si>
    <t>https://analytics.zoho.com/open-view/2395394000008463151?ZOHO_CRITERIA=%22Localiza%20CL%22.%22Codreg%22%20%3D%206</t>
  </si>
  <si>
    <t>Evolución de Población en Control en el Programa de VIH/SIDA según Rango Etario en la Región de Maule, Periodo 2012-2018</t>
  </si>
  <si>
    <t>https://analytics.zoho.com/open-view/2395394000008463151?ZOHO_CRITERIA=%22Localiza%20CL%22.%22Codreg%22%20%3D%207</t>
  </si>
  <si>
    <t>Evolución de Población en Control en el Programa de VIH/SIDA según Rango Etario en la Región del Biobío, Periodo 2012-2018</t>
  </si>
  <si>
    <t>https://analytics.zoho.com/open-view/2395394000008463151?ZOHO_CRITERIA=%22Localiza%20CL%22.%22Codreg%22%20%3D%208</t>
  </si>
  <si>
    <t>Evolución de Población en Control en el Programa de VIH/SIDA según Rango Etario en la Región de La Araucanía, Periodo 2012-2018</t>
  </si>
  <si>
    <t>https://analytics.zoho.com/open-view/2395394000008463151?ZOHO_CRITERIA=%22Localiza%20CL%22.%22Codreg%22%20%3D%209</t>
  </si>
  <si>
    <t>Evolución de Población en Control en el Programa de VIH/SIDA según Rango Etario en la Región de Los Lagos, Periodo 2012-2018</t>
  </si>
  <si>
    <t>https://analytics.zoho.com/open-view/2395394000008463151?ZOHO_CRITERIA=%22Localiza%20CL%22.%22Codreg%22%20%3D%2010</t>
  </si>
  <si>
    <t>Evolución de Población en Control en el Programa de VIH/SIDA según Rango Etario en la Región de Aysén, Periodo 2012-2018</t>
  </si>
  <si>
    <t>https://analytics.zoho.com/open-view/2395394000008463151?ZOHO_CRITERIA=%22Localiza%20CL%22.%22Codreg%22%20%3D%2011</t>
  </si>
  <si>
    <t>Evolución de Población en Control en el Programa de VIH/SIDA según Rango Etario en la Región de Magallanes, Periodo 2012-2018</t>
  </si>
  <si>
    <t>https://analytics.zoho.com/open-view/2395394000008463151?ZOHO_CRITERIA=%22Localiza%20CL%22.%22Codreg%22%20%3D%2012</t>
  </si>
  <si>
    <t>Evolución de Población en Control en el Programa de VIH/SIDA según Rango Etario en la Región Metropolitana, Periodo 2012-2018</t>
  </si>
  <si>
    <t>https://analytics.zoho.com/open-view/2395394000008463151?ZOHO_CRITERIA=%22Localiza%20CL%22.%22Codreg%22%20%3D%2013</t>
  </si>
  <si>
    <t>Evolución de Población en Control en el Programa de VIH/SIDA según Rango Etario en la Región de Los Ríos, Periodo 2012-2018</t>
  </si>
  <si>
    <t>https://analytics.zoho.com/open-view/2395394000008463151?ZOHO_CRITERIA=%22Localiza%20CL%22.%22Codreg%22%20%3D%2014</t>
  </si>
  <si>
    <t>Evolución de Población en Control en el Programa de VIH/SIDA según Rango Etario en la Región de Arica y Parinacota, Periodo 2012-2018</t>
  </si>
  <si>
    <t>https://analytics.zoho.com/open-view/2395394000008463151?ZOHO_CRITERIA=%22Localiza%20CL%22.%22Codreg%22%20%3D%2015</t>
  </si>
  <si>
    <t>Evolución de Población en Control en el Programa de VIH/SIDA según Rango Etario en la Región de Ñuble, Periodo 2012-2018</t>
  </si>
  <si>
    <t>https://analytics.zoho.com/open-view/2395394000008463151?ZOHO_CRITERIA=%22Localiza%20CL%22.%22Codreg%22%20%3D%2016</t>
  </si>
  <si>
    <t>Mapa de la Cantidad de Espacios Culturales por Comuna en Chile, Año 2021</t>
  </si>
  <si>
    <t>Mapa de la Cantidad de Espacios Culturales por Comuna en la Región de Tarapacá, Año 2021</t>
  </si>
  <si>
    <t>https://analytics.zoho.com/open-view/2395394000008464012?ZOHO_CRITERIA=%22Espacios_Culturales_Completo%201%22.%22C%C3%B3digo_Regi%C3%B3n%22%20%3D%201</t>
  </si>
  <si>
    <t>Mapa de la Cantidad de Espacios Culturales por Comuna en la Región de Antofagasta, Año 2021</t>
  </si>
  <si>
    <t>https://analytics.zoho.com/open-view/2395394000008464012?ZOHO_CRITERIA=%22Espacios_Culturales_Completo%201%22.%22C%C3%B3digo_Regi%C3%B3n%22%20%3D%202</t>
  </si>
  <si>
    <t>Mapa de la Cantidad de Espacios Culturales por Comuna en la Región de Atacama, Año 2021</t>
  </si>
  <si>
    <t>https://analytics.zoho.com/open-view/2395394000008464012?ZOHO_CRITERIA=%22Espacios_Culturales_Completo%201%22.%22C%C3%B3digo_Regi%C3%B3n%22%20%3D%203</t>
  </si>
  <si>
    <t>Mapa de la Cantidad de Espacios Culturales por Comuna en la Región de Coquimbo, Año 2021</t>
  </si>
  <si>
    <t>https://analytics.zoho.com/open-view/2395394000008464012?ZOHO_CRITERIA=%22Espacios_Culturales_Completo%201%22.%22C%C3%B3digo_Regi%C3%B3n%22%20%3D%204</t>
  </si>
  <si>
    <t>Mapa de la Cantidad de Espacios Culturales por Comuna en la Región de Valparaíso, Año 2021</t>
  </si>
  <si>
    <t>https://analytics.zoho.com/open-view/2395394000008464012?ZOHO_CRITERIA=%22Espacios_Culturales_Completo%201%22.%22C%C3%B3digo_Regi%C3%B3n%22%20%3D%205</t>
  </si>
  <si>
    <t>Mapa de la Cantidad de Espacios Culturales por Comuna en la Región de O'Higgins, Año 2021</t>
  </si>
  <si>
    <t>https://analytics.zoho.com/open-view/2395394000008464012?ZOHO_CRITERIA=%22Espacios_Culturales_Completo%201%22.%22C%C3%B3digo_Regi%C3%B3n%22%20%3D%206</t>
  </si>
  <si>
    <t>Mapa de la Cantidad de Espacios Culturales por Comuna en la Región de Maule, Año 2021</t>
  </si>
  <si>
    <t>https://analytics.zoho.com/open-view/2395394000008464012?ZOHO_CRITERIA=%22Espacios_Culturales_Completo%201%22.%22C%C3%B3digo_Regi%C3%B3n%22%20%3D%207</t>
  </si>
  <si>
    <t>Mapa de la Cantidad de Espacios Culturales por Comuna en la Región del Biobío, Año 2021</t>
  </si>
  <si>
    <t>https://analytics.zoho.com/open-view/2395394000008464012?ZOHO_CRITERIA=%22Espacios_Culturales_Completo%201%22.%22C%C3%B3digo_Regi%C3%B3n%22%20%3D%208</t>
  </si>
  <si>
    <t>Mapa de la Cantidad de Espacios Culturales por Comuna en la Región de La Araucanía, Año 2021</t>
  </si>
  <si>
    <t>https://analytics.zoho.com/open-view/2395394000008464012?ZOHO_CRITERIA=%22Espacios_Culturales_Completo%201%22.%22C%C3%B3digo_Regi%C3%B3n%22%20%3D%209</t>
  </si>
  <si>
    <t>Mapa de la Cantidad de Espacios Culturales por Comuna en la Región de Los Lagos, Año 2021</t>
  </si>
  <si>
    <t>https://analytics.zoho.com/open-view/2395394000008464012?ZOHO_CRITERIA=%22Espacios_Culturales_Completo%201%22.%22C%C3%B3digo_Regi%C3%B3n%22%20%3D%2010</t>
  </si>
  <si>
    <t>Mapa de la Cantidad de Espacios Culturales por Comuna en la Región de Aysén, Año 2021</t>
  </si>
  <si>
    <t>https://analytics.zoho.com/open-view/2395394000008464012?ZOHO_CRITERIA=%22Espacios_Culturales_Completo%201%22.%22C%C3%B3digo_Regi%C3%B3n%22%20%3D%2011</t>
  </si>
  <si>
    <t>Mapa de la Cantidad de Espacios Culturales por Comuna en la Región de Magallanes, Año 2021</t>
  </si>
  <si>
    <t>https://analytics.zoho.com/open-view/2395394000008464012?ZOHO_CRITERIA=%22Espacios_Culturales_Completo%201%22.%22C%C3%B3digo_Regi%C3%B3n%22%20%3D%2012</t>
  </si>
  <si>
    <t>Mapa de la Cantidad de Espacios Culturales por Comuna en la Región Metropolitana, Año 2021</t>
  </si>
  <si>
    <t>https://analytics.zoho.com/open-view/2395394000008464012?ZOHO_CRITERIA=%22Espacios_Culturales_Completo%201%22.%22C%C3%B3digo_Regi%C3%B3n%22%20%3D%2013</t>
  </si>
  <si>
    <t>Mapa de la Cantidad de Espacios Culturales por Comuna en la Región de Los Ríos, Año 2021</t>
  </si>
  <si>
    <t>https://analytics.zoho.com/open-view/2395394000008464012?ZOHO_CRITERIA=%22Espacios_Culturales_Completo%201%22.%22C%C3%B3digo_Regi%C3%B3n%22%20%3D%2014</t>
  </si>
  <si>
    <t>Mapa de la Cantidad de Espacios Culturales por Comuna en la Región de Arica y Parinacota, Año 2021</t>
  </si>
  <si>
    <t>https://analytics.zoho.com/open-view/2395394000008464012?ZOHO_CRITERIA=%22Espacios_Culturales_Completo%201%22.%22C%C3%B3digo_Regi%C3%B3n%22%20%3D%2015</t>
  </si>
  <si>
    <t>Mapa de la Cantidad de Espacios Culturales por Comuna en la Región de Ñuble, Año 2021</t>
  </si>
  <si>
    <t>https://analytics.zoho.com/open-view/2395394000008464012?ZOHO_CRITERIA=%22Espacios_Culturales_Completo%201%22.%22C%C3%B3digo_Regi%C3%B3n%22%20%3D%2016</t>
  </si>
  <si>
    <t>Cantidad de Espacios Culturales por Fuente de Financiamiento y Región en Chile, Año 2021</t>
  </si>
  <si>
    <t>Cantidad de Espacios Culturales por Fuente de Financiamiento en la Región de Tarapacá, Año 2021</t>
  </si>
  <si>
    <t>https://analytics.zoho.com/open-view/2395394000008464140?ZOHO_CRITERIA=%22Espacios_Culturales_Completo%201%22.%22C%C3%B3digo_Regi%C3%B3n%22%20%3D%201</t>
  </si>
  <si>
    <t>Cantidad de Espacios Culturales por Fuente de Financiamiento en la Región de Antofagasta, Año 2021</t>
  </si>
  <si>
    <t>https://analytics.zoho.com/open-view/2395394000008464140?ZOHO_CRITERIA=%22Espacios_Culturales_Completo%201%22.%22C%C3%B3digo_Regi%C3%B3n%22%20%3D%202</t>
  </si>
  <si>
    <t>Cantidad de Espacios Culturales por Fuente de Financiamiento en la Región de Atacama, Año 2021</t>
  </si>
  <si>
    <t>https://analytics.zoho.com/open-view/2395394000008464140?ZOHO_CRITERIA=%22Espacios_Culturales_Completo%201%22.%22C%C3%B3digo_Regi%C3%B3n%22%20%3D%203</t>
  </si>
  <si>
    <t>Cantidad de Espacios Culturales por Fuente de Financiamiento en la Región de Coquimbo, Año 2021</t>
  </si>
  <si>
    <t>https://analytics.zoho.com/open-view/2395394000008464140?ZOHO_CRITERIA=%22Espacios_Culturales_Completo%201%22.%22C%C3%B3digo_Regi%C3%B3n%22%20%3D%204</t>
  </si>
  <si>
    <t>Cantidad de Espacios Culturales por Fuente de Financiamiento en la Región de Valparaíso, Año 2021</t>
  </si>
  <si>
    <t>https://analytics.zoho.com/open-view/2395394000008464140?ZOHO_CRITERIA=%22Espacios_Culturales_Completo%201%22.%22C%C3%B3digo_Regi%C3%B3n%22%20%3D%205</t>
  </si>
  <si>
    <t>Cantidad de Espacios Culturales por Fuente de Financiamiento en la Región de O'Higgins, Año 2021</t>
  </si>
  <si>
    <t>https://analytics.zoho.com/open-view/2395394000008464140?ZOHO_CRITERIA=%22Espacios_Culturales_Completo%201%22.%22C%C3%B3digo_Regi%C3%B3n%22%20%3D%206</t>
  </si>
  <si>
    <t>Cantidad de Espacios Culturales por Fuente de Financiamiento en la Región de Maule, Año 2021</t>
  </si>
  <si>
    <t>https://analytics.zoho.com/open-view/2395394000008464140?ZOHO_CRITERIA=%22Espacios_Culturales_Completo%201%22.%22C%C3%B3digo_Regi%C3%B3n%22%20%3D%207</t>
  </si>
  <si>
    <t>Cantidad de Espacios Culturales por Fuente de Financiamiento en la Región del Biobío, Año 2021</t>
  </si>
  <si>
    <t>https://analytics.zoho.com/open-view/2395394000008464140?ZOHO_CRITERIA=%22Espacios_Culturales_Completo%201%22.%22C%C3%B3digo_Regi%C3%B3n%22%20%3D%208</t>
  </si>
  <si>
    <t>Cantidad de Espacios Culturales por Fuente de Financiamiento en la Región de La Araucanía, Año 2021</t>
  </si>
  <si>
    <t>https://analytics.zoho.com/open-view/2395394000008464140?ZOHO_CRITERIA=%22Espacios_Culturales_Completo%201%22.%22C%C3%B3digo_Regi%C3%B3n%22%20%3D%209</t>
  </si>
  <si>
    <t>Cantidad de Espacios Culturales por Fuente de Financiamiento en la Región de Los Lagos, Año 2021</t>
  </si>
  <si>
    <t>https://analytics.zoho.com/open-view/2395394000008464140?ZOHO_CRITERIA=%22Espacios_Culturales_Completo%201%22.%22C%C3%B3digo_Regi%C3%B3n%22%20%3D%2010</t>
  </si>
  <si>
    <t>Cantidad de Espacios Culturales por Fuente de Financiamiento en la Región de Aysén, Año 2021</t>
  </si>
  <si>
    <t>https://analytics.zoho.com/open-view/2395394000008464140?ZOHO_CRITERIA=%22Espacios_Culturales_Completo%201%22.%22C%C3%B3digo_Regi%C3%B3n%22%20%3D%2011</t>
  </si>
  <si>
    <t>Cantidad de Espacios Culturales por Fuente de Financiamiento en la Región de Magallanes, Año 2021</t>
  </si>
  <si>
    <t>https://analytics.zoho.com/open-view/2395394000008464140?ZOHO_CRITERIA=%22Espacios_Culturales_Completo%201%22.%22C%C3%B3digo_Regi%C3%B3n%22%20%3D%2012</t>
  </si>
  <si>
    <t>Cantidad de Espacios Culturales por Fuente de Financiamiento en la Región Metropolitana, Año 2021</t>
  </si>
  <si>
    <t>https://analytics.zoho.com/open-view/2395394000008464140?ZOHO_CRITERIA=%22Espacios_Culturales_Completo%201%22.%22C%C3%B3digo_Regi%C3%B3n%22%20%3D%2013</t>
  </si>
  <si>
    <t>Cantidad de Espacios Culturales por Fuente de Financiamiento en la Región de Los Ríos, Año 2021</t>
  </si>
  <si>
    <t>https://analytics.zoho.com/open-view/2395394000008464140?ZOHO_CRITERIA=%22Espacios_Culturales_Completo%201%22.%22C%C3%B3digo_Regi%C3%B3n%22%20%3D%2014</t>
  </si>
  <si>
    <t>Cantidad de Espacios Culturales por Fuente de Financiamiento en la Región de Arica y Parinacota, Año 2021</t>
  </si>
  <si>
    <t>https://analytics.zoho.com/open-view/2395394000008464140?ZOHO_CRITERIA=%22Espacios_Culturales_Completo%201%22.%22C%C3%B3digo_Regi%C3%B3n%22%20%3D%2015</t>
  </si>
  <si>
    <t>Cantidad de Espacios Culturales por Fuente de Financiamiento en la Región de Ñuble, Año 2021</t>
  </si>
  <si>
    <t>https://analytics.zoho.com/open-view/2395394000008464140?ZOHO_CRITERIA=%22Espacios_Culturales_Completo%201%22.%22C%C3%B3digo_Regi%C3%B3n%22%20%3D%2016</t>
  </si>
  <si>
    <t>Cantidad de Espacios Culturales por Categoría y Región en Chile, Año 2021</t>
  </si>
  <si>
    <t>Cantidad de Espacios Culturales por Categoría en la Región de Tarapacá, Año 2021</t>
  </si>
  <si>
    <t>Cantidad de Espacios Culturales por Categoría en la Región de Antofagasta, Año 2021</t>
  </si>
  <si>
    <t>Cantidad de Espacios Culturales por Categoría en la Región de Atacama, Año 2021</t>
  </si>
  <si>
    <t>Cantidad de Espacios Culturales por Categoría en la Región de Coquimbo, Año 2021</t>
  </si>
  <si>
    <t>Cantidad de Espacios Culturales por Categoría en la Región de Valparaíso, Año 2021</t>
  </si>
  <si>
    <t>Cantidad de Espacios Culturales por Categoría en la Región de O'Higgins, Año 2021</t>
  </si>
  <si>
    <t>Cantidad de Espacios Culturales por Categoría en la Región de Maule, Año 2021</t>
  </si>
  <si>
    <t>Cantidad de Espacios Culturales por Categoría en la Región del Biobío, Año 2021</t>
  </si>
  <si>
    <t>Cantidad de Espacios Culturales por Categoría en la Región de La Araucanía, Año 2021</t>
  </si>
  <si>
    <t>Cantidad de Espacios Culturales por Categoría en la Región de Los Lagos, Año 2021</t>
  </si>
  <si>
    <t>Cantidad de Espacios Culturales por Categoría en la Región de Aysén, Año 2021</t>
  </si>
  <si>
    <t>Cantidad de Espacios Culturales por Categoría en la Región de Magallanes, Año 2021</t>
  </si>
  <si>
    <t>Cantidad de Espacios Culturales por Categoría en la Región Metropolitana, Año 2021</t>
  </si>
  <si>
    <t>Cantidad de Espacios Culturales por Categoría en la Región de Los Ríos, Año 2021</t>
  </si>
  <si>
    <t>Cantidad de Espacios Culturales por Categoría en la Región de Arica y Parinacota, Año 2021</t>
  </si>
  <si>
    <t>Cantidad de Espacios Culturales por Categoría en la Región de Ñuble, Año 2021</t>
  </si>
  <si>
    <t>Cantidad de Espacios Culturales por Estado de Mantención y Región en Chile, Año 2021</t>
  </si>
  <si>
    <t>Cantidad de Espacios Culturales por Estado de Mantención en la Región de Tarapacá, Año 2021</t>
  </si>
  <si>
    <t>https://analytics.zoho.com/open-view/2395394000008464286?ZOHO_CRITERIA=%22Espacios_Culturales_Completo%201%22.%22C%C3%B3digo_Regi%C3%B3n%22%20%3D%201</t>
  </si>
  <si>
    <t>Cantidad de Espacios Culturales por Estado de Mantención en la Región de Antofagasta, Año 2021</t>
  </si>
  <si>
    <t>https://analytics.zoho.com/open-view/2395394000008464286?ZOHO_CRITERIA=%22Espacios_Culturales_Completo%201%22.%22C%C3%B3digo_Regi%C3%B3n%22%20%3D%202</t>
  </si>
  <si>
    <t>Cantidad de Espacios Culturales por Estado de Mantención en la Región de Atacama, Año 2021</t>
  </si>
  <si>
    <t>https://analytics.zoho.com/open-view/2395394000008464286?ZOHO_CRITERIA=%22Espacios_Culturales_Completo%201%22.%22C%C3%B3digo_Regi%C3%B3n%22%20%3D%203</t>
  </si>
  <si>
    <t>Cantidad de Espacios Culturales por Estado de Mantención en la Región de Coquimbo, Año 2021</t>
  </si>
  <si>
    <t>https://analytics.zoho.com/open-view/2395394000008464286?ZOHO_CRITERIA=%22Espacios_Culturales_Completo%201%22.%22C%C3%B3digo_Regi%C3%B3n%22%20%3D%204</t>
  </si>
  <si>
    <t>Cantidad de Espacios Culturales por Estado de Mantención en la Región de Valparaíso, Año 2021</t>
  </si>
  <si>
    <t>https://analytics.zoho.com/open-view/2395394000008464286?ZOHO_CRITERIA=%22Espacios_Culturales_Completo%201%22.%22C%C3%B3digo_Regi%C3%B3n%22%20%3D%205</t>
  </si>
  <si>
    <t>Cantidad de Espacios Culturales por Estado de Mantención en la Región de O'Higgins, Año 2021</t>
  </si>
  <si>
    <t>https://analytics.zoho.com/open-view/2395394000008464286?ZOHO_CRITERIA=%22Espacios_Culturales_Completo%201%22.%22C%C3%B3digo_Regi%C3%B3n%22%20%3D%206</t>
  </si>
  <si>
    <t>Cantidad de Espacios Culturales por Estado de Mantención en la Región de Maule, Año 2021</t>
  </si>
  <si>
    <t>https://analytics.zoho.com/open-view/2395394000008464286?ZOHO_CRITERIA=%22Espacios_Culturales_Completo%201%22.%22C%C3%B3digo_Regi%C3%B3n%22%20%3D%207</t>
  </si>
  <si>
    <t>Cantidad de Espacios Culturales por Estado de Mantención en la Región del Biobío, Año 2021</t>
  </si>
  <si>
    <t>https://analytics.zoho.com/open-view/2395394000008464286?ZOHO_CRITERIA=%22Espacios_Culturales_Completo%201%22.%22C%C3%B3digo_Regi%C3%B3n%22%20%3D%208</t>
  </si>
  <si>
    <t>Cantidad de Espacios Culturales por Estado de Mantención en la Región de La Araucanía, Año 2021</t>
  </si>
  <si>
    <t>https://analytics.zoho.com/open-view/2395394000008464286?ZOHO_CRITERIA=%22Espacios_Culturales_Completo%201%22.%22C%C3%B3digo_Regi%C3%B3n%22%20%3D%209</t>
  </si>
  <si>
    <t>Cantidad de Espacios Culturales por Estado de Mantención en la Región de Los Lagos, Año 2021</t>
  </si>
  <si>
    <t>https://analytics.zoho.com/open-view/2395394000008464286?ZOHO_CRITERIA=%22Espacios_Culturales_Completo%201%22.%22C%C3%B3digo_Regi%C3%B3n%22%20%3D%2010</t>
  </si>
  <si>
    <t>Cantidad de Espacios Culturales por Estado de Mantención en la Región de Aysén, Año 2021</t>
  </si>
  <si>
    <t>https://analytics.zoho.com/open-view/2395394000008464286?ZOHO_CRITERIA=%22Espacios_Culturales_Completo%201%22.%22C%C3%B3digo_Regi%C3%B3n%22%20%3D%2011</t>
  </si>
  <si>
    <t>Cantidad de Espacios Culturales por Estado de Mantención en la Región de Magallanes, Año 2021</t>
  </si>
  <si>
    <t>https://analytics.zoho.com/open-view/2395394000008464286?ZOHO_CRITERIA=%22Espacios_Culturales_Completo%201%22.%22C%C3%B3digo_Regi%C3%B3n%22%20%3D%2012</t>
  </si>
  <si>
    <t>Cantidad de Espacios Culturales por Estado de Mantención en la Región Metropolitana, Año 2021</t>
  </si>
  <si>
    <t>https://analytics.zoho.com/open-view/2395394000008464286?ZOHO_CRITERIA=%22Espacios_Culturales_Completo%201%22.%22C%C3%B3digo_Regi%C3%B3n%22%20%3D%2013</t>
  </si>
  <si>
    <t>Cantidad de Espacios Culturales por Estado de Mantención en la Región de Los Ríos, Año 2021</t>
  </si>
  <si>
    <t>https://analytics.zoho.com/open-view/2395394000008464286?ZOHO_CRITERIA=%22Espacios_Culturales_Completo%201%22.%22C%C3%B3digo_Regi%C3%B3n%22%20%3D%2014</t>
  </si>
  <si>
    <t>Cantidad de Espacios Culturales por Estado de Mantención en la Región de Arica y Parinacota, Año 2021</t>
  </si>
  <si>
    <t>https://analytics.zoho.com/open-view/2395394000008464286?ZOHO_CRITERIA=%22Espacios_Culturales_Completo%201%22.%22C%C3%B3digo_Regi%C3%B3n%22%20%3D%2015</t>
  </si>
  <si>
    <t>Cantidad de Espacios Culturales por Estado de Mantención en la Región de Ñuble, Año 2021</t>
  </si>
  <si>
    <t>https://analytics.zoho.com/open-view/2395394000008464286?ZOHO_CRITERIA=%22Espacios_Culturales_Completo%201%22.%22C%C3%B3digo_Regi%C3%B3n%22%20%3D%2016</t>
  </si>
  <si>
    <t>Mapa de Espacios Culturales en Chile, Año 2021</t>
  </si>
  <si>
    <t>Mapa de Espacios Culturales en la Región de Tarapacá, Año 2021</t>
  </si>
  <si>
    <t>Mapa de Espacios Culturales en la Región de Antofagasta, Año 2021</t>
  </si>
  <si>
    <t>Mapa de Espacios Culturales en la Región de Atacama, Año 2021</t>
  </si>
  <si>
    <t>Mapa de Espacios Culturales en la Región de Coquimbo, Año 2021</t>
  </si>
  <si>
    <t>Mapa de Espacios Culturales en la Región de Valparaíso, Año 2021</t>
  </si>
  <si>
    <t>Mapa de Espacios Culturales en la Región de O'Higgins, Año 2021</t>
  </si>
  <si>
    <t>Mapa de Espacios Culturales en la Región de Maule, Año 2021</t>
  </si>
  <si>
    <t>Mapa de Espacios Culturales en la Región del Biobío, Año 2021</t>
  </si>
  <si>
    <t>Mapa de Espacios Culturales en la Región de La Araucanía, Año 2021</t>
  </si>
  <si>
    <t>Mapa de Espacios Culturales en la Región de Los Lagos, Año 2021</t>
  </si>
  <si>
    <t>Mapa de Espacios Culturales en la Región de Aysén, Año 2021</t>
  </si>
  <si>
    <t>Mapa de Espacios Culturales en la Región de Magallanes, Año 2021</t>
  </si>
  <si>
    <t>Mapa de Espacios Culturales en la Región Metropolitana, Año 2021</t>
  </si>
  <si>
    <t>Mapa de Espacios Culturales en la Región de Los Ríos, Año 2021</t>
  </si>
  <si>
    <t>Mapa de Espacios Culturales en la Región de Arica y Parinacota, Año 2021</t>
  </si>
  <si>
    <t>Mapa de Espacios Culturales en la Región de Ñuble, Año 2021</t>
  </si>
  <si>
    <t>Población en Control del Programa de Cáncer de Cuello Uterino por Rango Etario en Chile, Periodo 2011-2018</t>
  </si>
  <si>
    <t>Población en Control del Programa de Cáncer de Cuello Uterino por Rango Etario en la Región de Tarapacá, Periodo 2011-2018</t>
  </si>
  <si>
    <t>https://analytics.zoho.com/open-view/2395394000008463005?ZOHO_CRITERIA=%22Localiza%20CL%22.%22Codreg%22%20%3D%201</t>
  </si>
  <si>
    <t>Población en Control del Programa de Cáncer de Cuello Uterino por Rango Etario en la Región de Antofagasta, Periodo 2011-2018</t>
  </si>
  <si>
    <t>https://analytics.zoho.com/open-view/2395394000008463005?ZOHO_CRITERIA=%22Localiza%20CL%22.%22Codreg%22%20%3D%202</t>
  </si>
  <si>
    <t>Población en Control del Programa de Cáncer de Cuello Uterino por Rango Etario en la Región de Atacama, Periodo 2011-2018</t>
  </si>
  <si>
    <t>https://analytics.zoho.com/open-view/2395394000008463005?ZOHO_CRITERIA=%22Localiza%20CL%22.%22Codreg%22%20%3D%203</t>
  </si>
  <si>
    <t>Población en Control del Programa de Cáncer de Cuello Uterino por Rango Etario en la Región de Coquimbo, Periodo 2011-2018</t>
  </si>
  <si>
    <t>https://analytics.zoho.com/open-view/2395394000008463005?ZOHO_CRITERIA=%22Localiza%20CL%22.%22Codreg%22%20%3D%204</t>
  </si>
  <si>
    <t>Población en Control del Programa de Cáncer de Cuello Uterino por Rango Etario en la Región de Valparaíso, Periodo 2011-2018</t>
  </si>
  <si>
    <t>https://analytics.zoho.com/open-view/2395394000008463005?ZOHO_CRITERIA=%22Localiza%20CL%22.%22Codreg%22%20%3D%205</t>
  </si>
  <si>
    <t>Población en Control del Programa de Cáncer de Cuello Uterino por Rango Etario en la Región de O'Higgins, Periodo 2011-2018</t>
  </si>
  <si>
    <t>https://analytics.zoho.com/open-view/2395394000008463005?ZOHO_CRITERIA=%22Localiza%20CL%22.%22Codreg%22%20%3D%206</t>
  </si>
  <si>
    <t>Población en Control del Programa de Cáncer de Cuello Uterino por Rango Etario en la Región de Maule, Periodo 2011-2018</t>
  </si>
  <si>
    <t>https://analytics.zoho.com/open-view/2395394000008463005?ZOHO_CRITERIA=%22Localiza%20CL%22.%22Codreg%22%20%3D%207</t>
  </si>
  <si>
    <t>Población en Control del Programa de Cáncer de Cuello Uterino por Rango Etario en la Región del Biobío, Periodo 2011-2018</t>
  </si>
  <si>
    <t>https://analytics.zoho.com/open-view/2395394000008463005?ZOHO_CRITERIA=%22Localiza%20CL%22.%22Codreg%22%20%3D%208</t>
  </si>
  <si>
    <t>Población en Control del Programa de Cáncer de Cuello Uterino por Rango Etario en la Región de La Araucanía, Periodo 2011-2018</t>
  </si>
  <si>
    <t>https://analytics.zoho.com/open-view/2395394000008463005?ZOHO_CRITERIA=%22Localiza%20CL%22.%22Codreg%22%20%3D%209</t>
  </si>
  <si>
    <t>Población en Control del Programa de Cáncer de Cuello Uterino por Rango Etario en la Región de Los Lagos, Periodo 2011-2018</t>
  </si>
  <si>
    <t>https://analytics.zoho.com/open-view/2395394000008463005?ZOHO_CRITERIA=%22Localiza%20CL%22.%22Codreg%22%20%3D%2010</t>
  </si>
  <si>
    <t>Población en Control del Programa de Cáncer de Cuello Uterino por Rango Etario en la Región de Aysén, Periodo 2011-2018</t>
  </si>
  <si>
    <t>https://analytics.zoho.com/open-view/2395394000008463005?ZOHO_CRITERIA=%22Localiza%20CL%22.%22Codreg%22%20%3D%2011</t>
  </si>
  <si>
    <t>Población en Control del Programa de Cáncer de Cuello Uterino por Rango Etario en la Región de Magallanes, Periodo 2011-2018</t>
  </si>
  <si>
    <t>https://analytics.zoho.com/open-view/2395394000008463005?ZOHO_CRITERIA=%22Localiza%20CL%22.%22Codreg%22%20%3D%2012</t>
  </si>
  <si>
    <t>Población en Control del Programa de Cáncer de Cuello Uterino por Rango Etario en la Región Metropolitana, Periodo 2011-2018</t>
  </si>
  <si>
    <t>https://analytics.zoho.com/open-view/2395394000008463005?ZOHO_CRITERIA=%22Localiza%20CL%22.%22Codreg%22%20%3D%2013</t>
  </si>
  <si>
    <t>Población en Control del Programa de Cáncer de Cuello Uterino por Rango Etario en la Región de Los Ríos, Periodo 2011-2018</t>
  </si>
  <si>
    <t>https://analytics.zoho.com/open-view/2395394000008463005?ZOHO_CRITERIA=%22Localiza%20CL%22.%22Codreg%22%20%3D%2014</t>
  </si>
  <si>
    <t>Población en Control del Programa de Cáncer de Cuello Uterino por Rango Etario en la Región de Arica y Parinacota, Periodo 2011-2018</t>
  </si>
  <si>
    <t>https://analytics.zoho.com/open-view/2395394000008463005?ZOHO_CRITERIA=%22Localiza%20CL%22.%22Codreg%22%20%3D%2015</t>
  </si>
  <si>
    <t>Población en Control del Programa de Cáncer de Cuello Uterino por Rango Etario en la Región de Ñuble, Periodo 2011-2018</t>
  </si>
  <si>
    <t>https://analytics.zoho.com/open-view/2395394000008463005?ZOHO_CRITERIA=%22Localiza%20CL%22.%22Codreg%22%20%3D%2016</t>
  </si>
  <si>
    <t>Población en Control del Programa de Cáncer de Cuello Uterino por Región en Chile, Periodo 2011-2018</t>
  </si>
  <si>
    <t>Evolución de Población en Control en el Programa de VIH/SIDA y Variación Anual en Chile, Periodo 2012-2018</t>
  </si>
  <si>
    <t>Población en Control del Programa de Cáncer de Cuello Uterino en la Región de Tarapacá, Periodo 2011-2018</t>
  </si>
  <si>
    <t>https://analytics.zoho.com/open-view/2395394000008099329?ZOHO_CRITERIA=%22Localiza%20CL%22.%22Codreg%22%20%3D%201</t>
  </si>
  <si>
    <t>Población en Control del Programa de Cáncer de Cuello Uterino en la Región de Tarapacá, Periodo 2012-2018</t>
  </si>
  <si>
    <t>Población en Control del Programa de Cáncer de Cuello Uterino en la Región de Antofagasta, Periodo 2011-2018</t>
  </si>
  <si>
    <t>https://analytics.zoho.com/open-view/2395394000008099329?ZOHO_CRITERIA=%22Localiza%20CL%22.%22Codreg%22%20%3D%202</t>
  </si>
  <si>
    <t>Población en Control del Programa de Cáncer de Cuello Uterino en la Región de Antofagasta, Periodo 2012-2018</t>
  </si>
  <si>
    <t>Población en Control del Programa de Cáncer de Cuello Uterino en la Región de Atacama, Periodo 2011-2018</t>
  </si>
  <si>
    <t>https://analytics.zoho.com/open-view/2395394000008099329?ZOHO_CRITERIA=%22Localiza%20CL%22.%22Codreg%22%20%3D%203</t>
  </si>
  <si>
    <t>Población en Control del Programa de Cáncer de Cuello Uterino en la Región de Atacama, Periodo 2012-2018</t>
  </si>
  <si>
    <t>Población en Control del Programa de Cáncer de Cuello Uterino en la Región de Coquimbo, Periodo 2011-2018</t>
  </si>
  <si>
    <t>https://analytics.zoho.com/open-view/2395394000008099329?ZOHO_CRITERIA=%22Localiza%20CL%22.%22Codreg%22%20%3D%204</t>
  </si>
  <si>
    <t>Población en Control del Programa de Cáncer de Cuello Uterino en la Región de Coquimbo, Periodo 2012-2018</t>
  </si>
  <si>
    <t>Población en Control del Programa de Cáncer de Cuello Uterino en la Región de Valparaíso, Periodo 2011-2018</t>
  </si>
  <si>
    <t>https://analytics.zoho.com/open-view/2395394000008099329?ZOHO_CRITERIA=%22Localiza%20CL%22.%22Codreg%22%20%3D%205</t>
  </si>
  <si>
    <t>Población en Control del Programa de Cáncer de Cuello Uterino en la Región de Valparaíso, Periodo 2012-2018</t>
  </si>
  <si>
    <t>Población en Control del Programa de Cáncer de Cuello Uterino en la Región de O'Higgins, Periodo 2011-2018</t>
  </si>
  <si>
    <t>https://analytics.zoho.com/open-view/2395394000008099329?ZOHO_CRITERIA=%22Localiza%20CL%22.%22Codreg%22%20%3D%206</t>
  </si>
  <si>
    <t>Población en Control del Programa de Cáncer de Cuello Uterino en la Región de O'Higgins, Periodo 2012-2018</t>
  </si>
  <si>
    <t>Población en Control del Programa de Cáncer de Cuello Uterino en la Región de Maule, Periodo 2011-2018</t>
  </si>
  <si>
    <t>https://analytics.zoho.com/open-view/2395394000008099329?ZOHO_CRITERIA=%22Localiza%20CL%22.%22Codreg%22%20%3D%207</t>
  </si>
  <si>
    <t>Población en Control del Programa de Cáncer de Cuello Uterino en la Región de Maule, Periodo 2012-2018</t>
  </si>
  <si>
    <t>Población en Control del Programa de Cáncer de Cuello Uterino en la Región del Biobío, Periodo 2011-2018</t>
  </si>
  <si>
    <t>https://analytics.zoho.com/open-view/2395394000008099329?ZOHO_CRITERIA=%22Localiza%20CL%22.%22Codreg%22%20%3D%208</t>
  </si>
  <si>
    <t>Población en Control del Programa de Cáncer de Cuello Uterino en la Región del Biobío, Periodo 2012-2018</t>
  </si>
  <si>
    <t>Población en Control del Programa de Cáncer de Cuello Uterino en la Región de La Araucanía, Periodo 2011-2018</t>
  </si>
  <si>
    <t>https://analytics.zoho.com/open-view/2395394000008099329?ZOHO_CRITERIA=%22Localiza%20CL%22.%22Codreg%22%20%3D%209</t>
  </si>
  <si>
    <t>Población en Control del Programa de Cáncer de Cuello Uterino en la Región de La Araucanía, Periodo 2012-2018</t>
  </si>
  <si>
    <t>Población en Control del Programa de Cáncer de Cuello Uterino en la Región de Los Lagos, Periodo 2011-2018</t>
  </si>
  <si>
    <t>https://analytics.zoho.com/open-view/2395394000008099329?ZOHO_CRITERIA=%22Localiza%20CL%22.%22Codreg%22%20%3D%2010</t>
  </si>
  <si>
    <t>Población en Control del Programa de Cáncer de Cuello Uterino en la Región de Los Lagos, Periodo 2012-2018</t>
  </si>
  <si>
    <t>Población en Control del Programa de Cáncer de Cuello Uterino en la Región de Aysén, Periodo 2011-2018</t>
  </si>
  <si>
    <t>https://analytics.zoho.com/open-view/2395394000008099329?ZOHO_CRITERIA=%22Localiza%20CL%22.%22Codreg%22%20%3D%2011</t>
  </si>
  <si>
    <t>Población en Control del Programa de Cáncer de Cuello Uterino en la Región de Aysén, Periodo 2012-2018</t>
  </si>
  <si>
    <t>Población en Control del Programa de Cáncer de Cuello Uterino en la Región de Magallanes, Periodo 2011-2018</t>
  </si>
  <si>
    <t>https://analytics.zoho.com/open-view/2395394000008099329?ZOHO_CRITERIA=%22Localiza%20CL%22.%22Codreg%22%20%3D%2012</t>
  </si>
  <si>
    <t>Población en Control del Programa de Cáncer de Cuello Uterino en la Región de Magallanes, Periodo 2012-2018</t>
  </si>
  <si>
    <t>Población en Control del Programa de Cáncer de Cuello Uterino en la Región Metropolitana, Periodo 2011-2018</t>
  </si>
  <si>
    <t>https://analytics.zoho.com/open-view/2395394000008099329?ZOHO_CRITERIA=%22Localiza%20CL%22.%22Codreg%22%20%3D%2013</t>
  </si>
  <si>
    <t>Población en Control del Programa de Cáncer de Cuello Uterino en la Región Metropolitana, Periodo 2012-2018</t>
  </si>
  <si>
    <t>Población en Control del Programa de Cáncer de Cuello Uterino en la Región de Los Ríos, Periodo 2011-2018</t>
  </si>
  <si>
    <t>https://analytics.zoho.com/open-view/2395394000008099329?ZOHO_CRITERIA=%22Localiza%20CL%22.%22Codreg%22%20%3D%2014</t>
  </si>
  <si>
    <t>Población en Control del Programa de Cáncer de Cuello Uterino en la Región de Los Ríos, Periodo 2012-2018</t>
  </si>
  <si>
    <t>Población en Control del Programa de Cáncer de Cuello Uterino en la Región de Arica y Parinacota, Periodo 2011-2018</t>
  </si>
  <si>
    <t>https://analytics.zoho.com/open-view/2395394000008099329?ZOHO_CRITERIA=%22Localiza%20CL%22.%22Codreg%22%20%3D%2015</t>
  </si>
  <si>
    <t>Población en Control del Programa de Cáncer de Cuello Uterino en la Región de Arica y Parinacota, Periodo 2012-2018</t>
  </si>
  <si>
    <t>Población en Control del Programa de Cáncer de Cuello Uterino en la Región de Ñuble, Periodo 2011-2018</t>
  </si>
  <si>
    <t>https://analytics.zoho.com/open-view/2395394000008099329?ZOHO_CRITERIA=%22Localiza%20CL%22.%22Codreg%22%20%3D%2016</t>
  </si>
  <si>
    <t>Población en Control del Programa de Cáncer de Cuello Uterino en la Región de Ñuble, Periodo 2012-2018</t>
  </si>
  <si>
    <t xml:space="preserve">Resumen Indicadores de Desarrollo Personal y Social por Establecimiento para la </t>
  </si>
  <si>
    <t>100-C-2</t>
  </si>
  <si>
    <t>100-C-15</t>
  </si>
  <si>
    <t>100-C-3</t>
  </si>
  <si>
    <t>100-C-11</t>
  </si>
  <si>
    <t>100-C-4</t>
  </si>
  <si>
    <t>100-C-9</t>
  </si>
  <si>
    <t>100-C-10</t>
  </si>
  <si>
    <t>100-C-14</t>
  </si>
  <si>
    <t>100-C-12</t>
  </si>
  <si>
    <t>100-C-7</t>
  </si>
  <si>
    <t>100-C-16</t>
  </si>
  <si>
    <t>100-C-6</t>
  </si>
  <si>
    <t>100-C-1</t>
  </si>
  <si>
    <t>100-C-5</t>
  </si>
  <si>
    <t>100-C-8</t>
  </si>
  <si>
    <t>200-C-13</t>
  </si>
  <si>
    <t>100-R-2</t>
  </si>
  <si>
    <t>100-R-15</t>
  </si>
  <si>
    <t>100-R-3</t>
  </si>
  <si>
    <t>100-R-11</t>
  </si>
  <si>
    <t>100-R-4</t>
  </si>
  <si>
    <t>100-R-9</t>
  </si>
  <si>
    <t>100-R-10</t>
  </si>
  <si>
    <t>100-R-14</t>
  </si>
  <si>
    <t>100-R-12</t>
  </si>
  <si>
    <t>100-R-7</t>
  </si>
  <si>
    <t>100-R-16</t>
  </si>
  <si>
    <t>100-R-6</t>
  </si>
  <si>
    <t>100-R-1</t>
  </si>
  <si>
    <t>100-R-5</t>
  </si>
  <si>
    <t>100-R-8</t>
  </si>
  <si>
    <t>200-R-13</t>
  </si>
  <si>
    <t>Ingresos Históricos</t>
  </si>
  <si>
    <t>Violencia Contra la Mujer</t>
  </si>
  <si>
    <t>Agricultura</t>
  </si>
  <si>
    <t>Delincuencia</t>
  </si>
  <si>
    <t>Territorio</t>
  </si>
  <si>
    <t>Glaciares</t>
  </si>
  <si>
    <t>Demografía</t>
  </si>
  <si>
    <t>Inventario de Gases de Efecto Invernadero (GEI)</t>
  </si>
  <si>
    <t>Trabajo</t>
  </si>
  <si>
    <t>Transporte</t>
  </si>
  <si>
    <t>Total Ingresos Históricos</t>
  </si>
  <si>
    <t>Total Violencia Contra la Mujer</t>
  </si>
  <si>
    <t>Total Agricultura</t>
  </si>
  <si>
    <t>Total Delincuencia</t>
  </si>
  <si>
    <t>Total Territorio</t>
  </si>
  <si>
    <t>Total Energía</t>
  </si>
  <si>
    <t>Total Glaciares</t>
  </si>
  <si>
    <t>Total Demografía</t>
  </si>
  <si>
    <t>Total Transporte</t>
  </si>
  <si>
    <t>Total Inventario de Gases de Efecto Invernadero (GEI)</t>
  </si>
  <si>
    <t>Cultura</t>
  </si>
  <si>
    <t>Toneladas desembarcadas por tipo de pesca por región</t>
  </si>
  <si>
    <t>Mujer Salud</t>
  </si>
  <si>
    <t>Programas de Salud</t>
  </si>
  <si>
    <t>Forestal</t>
  </si>
  <si>
    <t>Evaluación de Programas</t>
  </si>
  <si>
    <t>Total Evaluación de Programas</t>
  </si>
  <si>
    <t>Total Forestal</t>
  </si>
  <si>
    <t>Total Cultura</t>
  </si>
  <si>
    <t>Total Mujer Salud</t>
  </si>
  <si>
    <t>Total Programas de Salud</t>
  </si>
  <si>
    <t>Total Vivienda y Construcción</t>
  </si>
  <si>
    <t>Pueblos Indígenas</t>
  </si>
  <si>
    <t>Total Pueblos Indígenas</t>
  </si>
  <si>
    <t>Gestión Municipal Territorial</t>
  </si>
  <si>
    <t>https://analytics.zoho.com/open-view/2395394000008069848</t>
  </si>
  <si>
    <t>Periodo 2006-2019</t>
  </si>
  <si>
    <t>Número de Predios</t>
  </si>
  <si>
    <t>Cantidad de Predios Agrícolas por Comuna</t>
  </si>
  <si>
    <t>El pago de contribuciones de los predios agrícolas, permite a los diferentes municipios financiar bienes y servicios comunitarios. En el año 2019, la comuna que contó con la mayor cantidad de predios agrícolas fue Los Ángeles, con 20.378, seguido de Padre las Casas, con 12.219.</t>
  </si>
  <si>
    <t>1108</t>
  </si>
  <si>
    <t>Establecimientos de Salud</t>
  </si>
  <si>
    <t xml:space="preserve">Proporción y Cantidad  de Establecimientos de Salud </t>
  </si>
  <si>
    <t>Número de Establecimientos</t>
  </si>
  <si>
    <t>La Región Metropolitana es la región con mayor cantidad de establecimientos de la salud, alcanzando en total 578. De estos, la mayoría corresponden a CESFAM, seguidos de SAPUs. En segundo lugar, le sigue la región de Los Lagos, que cuenta con 332 establecimientos. Por otro lado, la región con menor cantidad de establecimientos de la salud es Arica y Parinacota, con solo 36 establecimientos.</t>
  </si>
  <si>
    <t>https://analytics.zoho.com/open-view/2395394000008230301</t>
  </si>
  <si>
    <t>1109</t>
  </si>
  <si>
    <t>1110</t>
  </si>
  <si>
    <t>1111</t>
  </si>
  <si>
    <t>1112</t>
  </si>
  <si>
    <t>1113</t>
  </si>
  <si>
    <t>1114</t>
  </si>
  <si>
    <t>1115</t>
  </si>
  <si>
    <t>1116</t>
  </si>
  <si>
    <t>1117</t>
  </si>
  <si>
    <t>1118</t>
  </si>
  <si>
    <t>1119</t>
  </si>
  <si>
    <t>1120</t>
  </si>
  <si>
    <t>1121</t>
  </si>
  <si>
    <t>1122</t>
  </si>
  <si>
    <t>1123</t>
  </si>
  <si>
    <t>1125</t>
  </si>
  <si>
    <t>Región-Categoría</t>
  </si>
  <si>
    <t xml:space="preserve">Cantidad  de Establecimientos de Salud </t>
  </si>
  <si>
    <t>La comuna de Antofagasta es la comuna con la mayor cantidad de establecimientos de la salud, alcanzando un total de 55. De estos, 22 son Laboratorios Clínicos o Dentales. Le sigue Puerto Montt con 51 establecimiento, entre estos 12 Postas y 12 CESFAM. Por otro lado, 21 comunas del país poseen solo 1 establecimientos de salud.</t>
  </si>
  <si>
    <t>Mapa de Calor</t>
  </si>
  <si>
    <t>https://analytics.zoho.com/open-view/2395394000008214196</t>
  </si>
  <si>
    <t>1126</t>
  </si>
  <si>
    <t>1127</t>
  </si>
  <si>
    <t>1128</t>
  </si>
  <si>
    <t>1129</t>
  </si>
  <si>
    <t>1130</t>
  </si>
  <si>
    <t>1131</t>
  </si>
  <si>
    <t>1132</t>
  </si>
  <si>
    <t>1133</t>
  </si>
  <si>
    <t>1134</t>
  </si>
  <si>
    <t>1135</t>
  </si>
  <si>
    <t>1136</t>
  </si>
  <si>
    <t>1137</t>
  </si>
  <si>
    <t>1138</t>
  </si>
  <si>
    <t>1139</t>
  </si>
  <si>
    <t>1140</t>
  </si>
  <si>
    <t>1141</t>
  </si>
  <si>
    <t>1142</t>
  </si>
  <si>
    <t>A nivel nacional, Chile cuenta con 2.457 establecimientos públicos de la salud, lo que corresponde al 78% de todos los establecimientos de la salud. A su vez, existen 691 establecimientos privados correspondientes al 22% restante. Arica y Parinacota es la única región que cuenta con la misma cantidad de establecimientos privados y públicos, 18 de cada uno.</t>
  </si>
  <si>
    <t>Chile nacional región establecimientos salud tipo proporción privados públicos</t>
  </si>
  <si>
    <t>https://analytics.zoho.com/open-view/2395394000008214357</t>
  </si>
  <si>
    <t>1143</t>
  </si>
  <si>
    <t>1144</t>
  </si>
  <si>
    <t>1145</t>
  </si>
  <si>
    <t>1146</t>
  </si>
  <si>
    <t>1147</t>
  </si>
  <si>
    <t>1148</t>
  </si>
  <si>
    <t>1149</t>
  </si>
  <si>
    <t>1150</t>
  </si>
  <si>
    <t>1151</t>
  </si>
  <si>
    <t>1152</t>
  </si>
  <si>
    <t>1153</t>
  </si>
  <si>
    <t>1154</t>
  </si>
  <si>
    <t>1155</t>
  </si>
  <si>
    <t>1156</t>
  </si>
  <si>
    <t>1157</t>
  </si>
  <si>
    <t>1158</t>
  </si>
  <si>
    <t>1159</t>
  </si>
  <si>
    <t>Cantidad de atenciones por concepto de urgencia y región</t>
  </si>
  <si>
    <t>Las Atenciones en Salud por Violencia de Género se califican de acuerdo al concepto bajo el cual fue ingresada la urgencia. El concepto "Otra Violencia" fue el más común durante el periodo 2010-2016, seguido por "Violencia Intrafamiliar" para el año 2016.</t>
  </si>
  <si>
    <t>https://analytics.zoho.com/open-view/2395394000008195644</t>
  </si>
  <si>
    <t>1160</t>
  </si>
  <si>
    <t>Cantidad de atenciones por concepto de urgencia</t>
  </si>
  <si>
    <t>1161</t>
  </si>
  <si>
    <t>1162</t>
  </si>
  <si>
    <t>1163</t>
  </si>
  <si>
    <t>1164</t>
  </si>
  <si>
    <t>1165</t>
  </si>
  <si>
    <t>1166</t>
  </si>
  <si>
    <t>1167</t>
  </si>
  <si>
    <t>1168</t>
  </si>
  <si>
    <t>1169</t>
  </si>
  <si>
    <t>1170</t>
  </si>
  <si>
    <t>1171</t>
  </si>
  <si>
    <t>1172</t>
  </si>
  <si>
    <t>1173</t>
  </si>
  <si>
    <t>1174</t>
  </si>
  <si>
    <t>1175</t>
  </si>
  <si>
    <t>1176</t>
  </si>
  <si>
    <t>Las Postas son los establecimientos de la salud que más prevalecen en Chile, alcanzando un total de 1.128. Le siguen los CESFAM, con un total de 863 establecimientos. Entre los establecimientos privados, la mayoría corresponden a Laboratorios clínicos o dentales, seguidos de Clínicas.</t>
  </si>
  <si>
    <t>https://analytics.zoho.com/open-view/2395394000008214286</t>
  </si>
  <si>
    <t>1177</t>
  </si>
  <si>
    <t>1178</t>
  </si>
  <si>
    <t>1179</t>
  </si>
  <si>
    <t>1180</t>
  </si>
  <si>
    <t>1181</t>
  </si>
  <si>
    <t>1182</t>
  </si>
  <si>
    <t>1183</t>
  </si>
  <si>
    <t>1184</t>
  </si>
  <si>
    <t>1185</t>
  </si>
  <si>
    <t>1186</t>
  </si>
  <si>
    <t>1187</t>
  </si>
  <si>
    <t>1188</t>
  </si>
  <si>
    <t>1189</t>
  </si>
  <si>
    <t>1190</t>
  </si>
  <si>
    <t>1191</t>
  </si>
  <si>
    <t>1192</t>
  </si>
  <si>
    <t>1193</t>
  </si>
  <si>
    <t>Transporte y Tránsito</t>
  </si>
  <si>
    <t>Licencias de Conducir Profesionales</t>
  </si>
  <si>
    <t>Licencias de Conducir</t>
  </si>
  <si>
    <t>Cantidad  de Licencias de Conducir profesionales por tipo</t>
  </si>
  <si>
    <t>Periodo 2011-2017</t>
  </si>
  <si>
    <t>Número de Licencias de Conducir</t>
  </si>
  <si>
    <t>La licencia de conducir profesional clase A2 para "taxis, ambulancias o vehículos motorizados de transporte público y privado de personas con capacidad de 10 a 17 pasajeros, sin contar al conductor", es la más común a los largo de los años, siendo su peak el año 2011 con 168.401 licencias.</t>
  </si>
  <si>
    <t>https://analytics.zoho.com/open-view/2395394000008278466</t>
  </si>
  <si>
    <t>1194</t>
  </si>
  <si>
    <t>1195</t>
  </si>
  <si>
    <t>1196</t>
  </si>
  <si>
    <t>1197</t>
  </si>
  <si>
    <t>1198</t>
  </si>
  <si>
    <t>1199</t>
  </si>
  <si>
    <t>1200</t>
  </si>
  <si>
    <t>1201</t>
  </si>
  <si>
    <t>1202</t>
  </si>
  <si>
    <t>1203</t>
  </si>
  <si>
    <t>1204</t>
  </si>
  <si>
    <t>1205</t>
  </si>
  <si>
    <t>1206</t>
  </si>
  <si>
    <t>1207</t>
  </si>
  <si>
    <t>1208</t>
  </si>
  <si>
    <t>1209</t>
  </si>
  <si>
    <t>1210</t>
  </si>
  <si>
    <t>Permisos de circulación anuales por tipo de transporte</t>
  </si>
  <si>
    <t>https://analytics.zoho.com/open-view/2395394000008277077</t>
  </si>
  <si>
    <t>1211</t>
  </si>
  <si>
    <t>1212</t>
  </si>
  <si>
    <t>1213</t>
  </si>
  <si>
    <t>1214</t>
  </si>
  <si>
    <t>1215</t>
  </si>
  <si>
    <t>1216</t>
  </si>
  <si>
    <t>1217</t>
  </si>
  <si>
    <t>1218</t>
  </si>
  <si>
    <t>1219</t>
  </si>
  <si>
    <t>1220</t>
  </si>
  <si>
    <t>1221</t>
  </si>
  <si>
    <t>1222</t>
  </si>
  <si>
    <t>1223</t>
  </si>
  <si>
    <t>Para la región Metropolitana, los permisos de circulación para vehículos con tipo de uso Transporte Particular, son los que se ven con mayor cantidad, teniendo un crecimiento constante a lo largo de los años, terminando el año 2019 con 4.124.864 permisos.</t>
  </si>
  <si>
    <t>1224</t>
  </si>
  <si>
    <t>1225</t>
  </si>
  <si>
    <t>1226</t>
  </si>
  <si>
    <t>1227</t>
  </si>
  <si>
    <t>Región-Año</t>
  </si>
  <si>
    <t>Cantidad  de Licencias de Conducir no profesionales</t>
  </si>
  <si>
    <t>https://analytics.zoho.com/open-view/2395394000008277863</t>
  </si>
  <si>
    <t>1228</t>
  </si>
  <si>
    <t>1229</t>
  </si>
  <si>
    <t>1230</t>
  </si>
  <si>
    <t>1231</t>
  </si>
  <si>
    <t>1232</t>
  </si>
  <si>
    <t>1233</t>
  </si>
  <si>
    <t>1234</t>
  </si>
  <si>
    <t>1235</t>
  </si>
  <si>
    <t>1236</t>
  </si>
  <si>
    <t>1237</t>
  </si>
  <si>
    <t>1238</t>
  </si>
  <si>
    <t>1239</t>
  </si>
  <si>
    <t>1240</t>
  </si>
  <si>
    <t>1241</t>
  </si>
  <si>
    <t>Para la región de Los Ríos, en el año 2017, es la comuna de Valdivia la que cuenta con mayor cantidad de licencias de conducir del tipo No profesional con 9.038 licencias. Se debe tener en consideración que las comunas no coloreadas en el mapa no presentan datos.</t>
  </si>
  <si>
    <t>1242</t>
  </si>
  <si>
    <t>1243</t>
  </si>
  <si>
    <t>1244</t>
  </si>
  <si>
    <t>Permisos de circulación anuales de tipo de transporte colectivo</t>
  </si>
  <si>
    <t>https://analytics.zoho.com/open-view/2395394000008255577</t>
  </si>
  <si>
    <t>1245</t>
  </si>
  <si>
    <t>Año</t>
  </si>
  <si>
    <t>1246</t>
  </si>
  <si>
    <t>Para la región de Antofagasta en el año 2019 fue la comuna de Antofagasta la que contaba con la mayor cantidad de permisos de circulación otorgados para el uso de transportes colectivos, siendo de 9.698 permisos, por su parte la comuna de Ollague en Antofagasta, para el mismo año contaba con solo 22 permisos de circulación para uso de transportes colectivos.</t>
  </si>
  <si>
    <t>1247</t>
  </si>
  <si>
    <t>1248</t>
  </si>
  <si>
    <t>1249</t>
  </si>
  <si>
    <t>1250</t>
  </si>
  <si>
    <t>1251</t>
  </si>
  <si>
    <t>1252</t>
  </si>
  <si>
    <t>1253</t>
  </si>
  <si>
    <t>1254</t>
  </si>
  <si>
    <t>1255</t>
  </si>
  <si>
    <t>1256</t>
  </si>
  <si>
    <t>1257</t>
  </si>
  <si>
    <t>1258</t>
  </si>
  <si>
    <t>1259</t>
  </si>
  <si>
    <t>1260</t>
  </si>
  <si>
    <t>1261</t>
  </si>
  <si>
    <t>https://analytics.zoho.com/open-view/2395394000008475464</t>
  </si>
  <si>
    <t>1262</t>
  </si>
  <si>
    <t>1263</t>
  </si>
  <si>
    <t>1264</t>
  </si>
  <si>
    <t>1265</t>
  </si>
  <si>
    <t>Para la comuna de Vicuña, en la región de Coquimbo, la clase que cuenta con mayor cantidad de licencias de conducir otorgadas es la clase B definida como "Autorización para que personas de 18 años o más puedan conducir vehículos motorizados de tres o cuatro ruedas, para el transporte: Particular de personas: con capacidad de hasta nueve asientos, sin incluir el del conductor. De carga: con un peso vehicular máximo permitido de 3.500 kilogramos." con 2.194 licencias para el año 2017</t>
  </si>
  <si>
    <t>1266</t>
  </si>
  <si>
    <t>1267</t>
  </si>
  <si>
    <t>1268</t>
  </si>
  <si>
    <t>1269</t>
  </si>
  <si>
    <t>1270</t>
  </si>
  <si>
    <t>1271</t>
  </si>
  <si>
    <t>1272</t>
  </si>
  <si>
    <t>1273</t>
  </si>
  <si>
    <t>1274</t>
  </si>
  <si>
    <t>1275</t>
  </si>
  <si>
    <t>1276</t>
  </si>
  <si>
    <t>1277</t>
  </si>
  <si>
    <t>1278</t>
  </si>
  <si>
    <t>Capacidad instalada de generación por Tipo de Energía</t>
  </si>
  <si>
    <t>En Chile, las centrales eléctricas con mayor capacidad instalada (sobre 1.200 MW) son principalmente hidráulicas de embalse (en las regiones del Maule y Biobío), a carbón (en la Región de Antofagasta) y a gas natural (en las regiones de Antofagasta y Valparaíso). Las que lideran esta lista son las centrales a carbón en Antofagasta con 2.303 MW de capacidad instalada.</t>
  </si>
  <si>
    <t>https://analytics.zoho.com/open-view/2395394000008257880</t>
  </si>
  <si>
    <t>1279</t>
  </si>
  <si>
    <t>1280</t>
  </si>
  <si>
    <t>1281</t>
  </si>
  <si>
    <t>1282</t>
  </si>
  <si>
    <t>1283</t>
  </si>
  <si>
    <t>1284</t>
  </si>
  <si>
    <t>1285</t>
  </si>
  <si>
    <t>1286</t>
  </si>
  <si>
    <t>1287</t>
  </si>
  <si>
    <t>1288</t>
  </si>
  <si>
    <t>1289</t>
  </si>
  <si>
    <t>1290</t>
  </si>
  <si>
    <t>1291</t>
  </si>
  <si>
    <t>1292</t>
  </si>
  <si>
    <t>1293</t>
  </si>
  <si>
    <t>1294</t>
  </si>
  <si>
    <t>1295</t>
  </si>
  <si>
    <t>Top 10 Propietarios con mayor capacidad instalada</t>
  </si>
  <si>
    <t>En Chile, ENEL GENERACIÓN CHILE es la empresa que tiene la mayor capacidad instalada, con 5.176 (MW). Le siguen COLBÚN y ENGIE, con 3.092 y 1.606 (MW), respectivamente.</t>
  </si>
  <si>
    <t>https://analytics.zoho.com/open-view/2395394000008280544</t>
  </si>
  <si>
    <t>1296</t>
  </si>
  <si>
    <t>Cantidad de Centrales de Energía Renovable No Convencional por Comuna</t>
  </si>
  <si>
    <t>Número de Centrales</t>
  </si>
  <si>
    <t>La región Metropolitana tiene más centrales eléctricas de energía renovable, alcanzando 73. Por otro lado, la región de Los Lagos es la que cuenta con más centrales eléctricas de energía no renovable, con 43.</t>
  </si>
  <si>
    <t>https://analytics.zoho.com/open-view/2395394000008280397</t>
  </si>
  <si>
    <t>1297</t>
  </si>
  <si>
    <t>Centrales ERNC</t>
  </si>
  <si>
    <t>Existen 215 comunas que tienen centrales eléctricas de energía renovable no convencional (ERNC). Las comunas que tienen la mayor cantidad de centrales eléctricas ERNC son Ovalle, Mulchén, San Pedro, Río Bueno, Tiltil, Copiapó, Calama y Pozo Almonte, con 16, 11, 11, 10, 9, 8, 8 y 8 centrales, respectivamente.</t>
  </si>
  <si>
    <t>https://analytics.zoho.com/open-view/2395394000008478954</t>
  </si>
  <si>
    <t>1298</t>
  </si>
  <si>
    <t>1299</t>
  </si>
  <si>
    <t>1300</t>
  </si>
  <si>
    <t>1301</t>
  </si>
  <si>
    <t>1302</t>
  </si>
  <si>
    <t>1303</t>
  </si>
  <si>
    <t>1304</t>
  </si>
  <si>
    <t>1305</t>
  </si>
  <si>
    <t>1306</t>
  </si>
  <si>
    <t>1307</t>
  </si>
  <si>
    <t>1308</t>
  </si>
  <si>
    <t>1309</t>
  </si>
  <si>
    <t>1310</t>
  </si>
  <si>
    <t>1311</t>
  </si>
  <si>
    <t>1312</t>
  </si>
  <si>
    <t>1313</t>
  </si>
  <si>
    <t>1314</t>
  </si>
  <si>
    <t>Capacidad instalada de generación por Región</t>
  </si>
  <si>
    <t>La región que cuenta con la mayor capacidad instalada es Antofagasta, con 6.097,4 (MW), lo cual representa el 23,7% del total nacional. Al contrario, Arica y Parinacota tiene la capacidad instalada más baja, alcanzando 32,69 (MW), es decir, un 0,1% del total. La capacidad instalada incluye a centrales eléctricas de energía renovable y no renovable.</t>
  </si>
  <si>
    <t>https://analytics.zoho.com/open-view/2395394000008280219</t>
  </si>
  <si>
    <t>1315</t>
  </si>
  <si>
    <t>Farmacias</t>
  </si>
  <si>
    <t>Top 10 Comunas con más farmacias</t>
  </si>
  <si>
    <t>Número de Farmacias</t>
  </si>
  <si>
    <t>Ministerio de Salud</t>
  </si>
  <si>
    <t>Las 10 comunas con la mayor cantidad de farmacias cuentan con 89</t>
  </si>
  <si>
    <t>https://analytics.zoho.com/open-view/2395394000008421316</t>
  </si>
  <si>
    <t>1316</t>
  </si>
  <si>
    <t>Cantidad  de Farmacias por Región</t>
  </si>
  <si>
    <t>El extremo sur de Chile, cuenta con las regiones con menos farmacias del país, llegando a un máximo de 23 farmacias en Magallanes. Por otro lado, la Región Metropolitana y Valparaíso, son las regiones que cuentan con la mayor cantidad de establecimientos, con 1882 y 609 farmacias respectivamente.</t>
  </si>
  <si>
    <t>https://analytics.zoho.com/open-view/2395394000008421106</t>
  </si>
  <si>
    <t>1317</t>
  </si>
  <si>
    <t>Cantidad  de Farmacias de Turno por Comuna</t>
  </si>
  <si>
    <t>Las farmacias de turno, son farmacias que abren en horario nocturno por orden del SEREMI. Actualmente, todas las regiones deberían contar con comunas con farmacias de turno.</t>
  </si>
  <si>
    <t xml:space="preserve">https://analytics.zoho.com/open-view/2395394000008421956 </t>
  </si>
  <si>
    <t>1318</t>
  </si>
  <si>
    <t>1319</t>
  </si>
  <si>
    <t>1320</t>
  </si>
  <si>
    <t>1321</t>
  </si>
  <si>
    <t>1322</t>
  </si>
  <si>
    <t>1323</t>
  </si>
  <si>
    <t>1324</t>
  </si>
  <si>
    <t>1325</t>
  </si>
  <si>
    <t>1326</t>
  </si>
  <si>
    <t>1327</t>
  </si>
  <si>
    <t>1328</t>
  </si>
  <si>
    <t>1329</t>
  </si>
  <si>
    <t>1330</t>
  </si>
  <si>
    <t>1331</t>
  </si>
  <si>
    <t>1332</t>
  </si>
  <si>
    <t>1333</t>
  </si>
  <si>
    <t>1334</t>
  </si>
  <si>
    <t>Cantidad  de Farmacias de Turno por Región</t>
  </si>
  <si>
    <t>La cantidad de farmacias de turno por región, varía de acuerdo a la cantidad de comunas que conforman dicha región, dicho esto, podemos ver que el centro de nuestro país concentra la mayor cantidad de farmacias de turno, llegando a un máximo de 18 farmacias en la región del Biobío. Por otro lado, en Tarapacá se alcanza el mínimo con solo 1 farmacia de turno abierta.</t>
  </si>
  <si>
    <t>https://analytics.zoho.com/open-view/2395394000008421914</t>
  </si>
  <si>
    <t>1335</t>
  </si>
  <si>
    <t>Comercio Exterior</t>
  </si>
  <si>
    <t>Detalle</t>
  </si>
  <si>
    <t>Valor (USD) de Exportaciones de Productos del Mar</t>
  </si>
  <si>
    <t>Aduana de Chile</t>
  </si>
  <si>
    <t>En el segundo semestre del año 2021, la exportación de salmones y truchas, es por lejos la exportación de productos del mar con mayor valor en dólares, terminando en más de un millón de dólares.</t>
  </si>
  <si>
    <t>https://analytics.zoho.com/open-view/2395394000008410521?ZOHO_CRITERIA=%22Pa%C3%ADs_Todo%22.%22id_TipoProducto%22%3D7</t>
  </si>
  <si>
    <t>1336</t>
  </si>
  <si>
    <t>Tipo de Producto</t>
  </si>
  <si>
    <t>Valor (USD) de Exportaciones según Tipo de Producto</t>
  </si>
  <si>
    <t>Periodo 2015-2021</t>
  </si>
  <si>
    <t>En el período comprendido desde el primer semestre del año 2015 hasta el segundo semestre del año 2021, se puede apreciar que la acumulación en exportaciones de productos de minería es más de 238 miles de millones de dólares.</t>
  </si>
  <si>
    <t>https://analytics.zoho.com/open-view/2395394000008172059</t>
  </si>
  <si>
    <t>1337</t>
  </si>
  <si>
    <t>Valor (USD) de Importaciones por Región</t>
  </si>
  <si>
    <t>Hasta junio del 2021, la región que ha alcanzado el mayor valor en dólares por importaciones ha sido la región de Valparaíso, con USD 822.866.845.194. En el otro extremo, se encuentra la Región de Los Ríos, cuyas importaciones levemente superan los 2 millones de dólares.</t>
  </si>
  <si>
    <t>https://analytics.zoho.com/open-view/2395394000008189310</t>
  </si>
  <si>
    <t>1338</t>
  </si>
  <si>
    <t>Peso (kg) de Importaciones por Región</t>
  </si>
  <si>
    <t>A nivel nacional, los terminales de tipo marítimo ingresan el volumen más alto de importaciones en kilogramos cada año, superando los 10.900.000.000 kg. A nivel regional, sólo las regiones del Maule, la Araucanía y Metropolitana, no presentan importaciones por este tipo de transporte.</t>
  </si>
  <si>
    <t>https://analytics.zoho.com/open-view/2395394000008189214</t>
  </si>
  <si>
    <t>1339</t>
  </si>
  <si>
    <t>1340</t>
  </si>
  <si>
    <t>1341</t>
  </si>
  <si>
    <t>1342</t>
  </si>
  <si>
    <t>1343</t>
  </si>
  <si>
    <t>1344</t>
  </si>
  <si>
    <t>1345</t>
  </si>
  <si>
    <t>1346</t>
  </si>
  <si>
    <t>1347</t>
  </si>
  <si>
    <t>1348</t>
  </si>
  <si>
    <t>1349</t>
  </si>
  <si>
    <t>1350</t>
  </si>
  <si>
    <t>1351</t>
  </si>
  <si>
    <t>1352</t>
  </si>
  <si>
    <t>1353</t>
  </si>
  <si>
    <t>1354</t>
  </si>
  <si>
    <t>Valor (USD) de Exportaciones por Región</t>
  </si>
  <si>
    <t>El segundo trimestre del año 2015 fue el período que acumuló el mayor valor en dólares por exportación en la región de Arica y Parinacota, alcanzando los USD 225.004.463. Durante este mismo periodo, el puerto de Arica fue el terminal que presentó la mayor cantidad de ingresos con USD 113.735.223.</t>
  </si>
  <si>
    <t>https://analytics.zoho.com/open-view/2395394000008461828</t>
  </si>
  <si>
    <t>1355</t>
  </si>
  <si>
    <t>1356</t>
  </si>
  <si>
    <t>1357</t>
  </si>
  <si>
    <t>1358</t>
  </si>
  <si>
    <t>1359</t>
  </si>
  <si>
    <t>1360</t>
  </si>
  <si>
    <t>1361</t>
  </si>
  <si>
    <t>1362</t>
  </si>
  <si>
    <t>1363</t>
  </si>
  <si>
    <t>1364</t>
  </si>
  <si>
    <t>1365</t>
  </si>
  <si>
    <t>1366</t>
  </si>
  <si>
    <t>1367</t>
  </si>
  <si>
    <t>1368</t>
  </si>
  <si>
    <t>1369</t>
  </si>
  <si>
    <t>1370</t>
  </si>
  <si>
    <t>Peso (kg) de Exportaciones por Región</t>
  </si>
  <si>
    <t>La región de Valparaíso presentó el mayor volumen de exportación en kilogramos en cada periodo. Durante el segundo trimestre del año 2021, la magnitud de las exportaciones de este territorio fue cercana a los 93 mil millones de kilogramos. A considerar que hasta hoy, no hay terminales o datos sobre importaciones/exportaciones para terminales de la región del Ñuble</t>
  </si>
  <si>
    <t>https://analytics.zoho.com/open-view/2395394000008554040</t>
  </si>
  <si>
    <t>1371</t>
  </si>
  <si>
    <t>Balanza</t>
  </si>
  <si>
    <t>Peso (kg) de Exportaciones e Importaciones por Región</t>
  </si>
  <si>
    <t>Dada la evolución nacional de las importaciones y exportaciones hasta el segundo trimestre del año 2021, el volumen de estas dos actividades llegó a su punto más alto durante el cuarto trimestre del año 2018, con un poco mas de 17.500 millones de kilogramos cada una.</t>
  </si>
  <si>
    <t>https://analytics.zoho.com/open-view/2395394000008189846</t>
  </si>
  <si>
    <t>1372</t>
  </si>
  <si>
    <t>1373</t>
  </si>
  <si>
    <t>1374</t>
  </si>
  <si>
    <t>1375</t>
  </si>
  <si>
    <t>1376</t>
  </si>
  <si>
    <t>1377</t>
  </si>
  <si>
    <t>1378</t>
  </si>
  <si>
    <t>1379</t>
  </si>
  <si>
    <t>1380</t>
  </si>
  <si>
    <t>1381</t>
  </si>
  <si>
    <t>1382</t>
  </si>
  <si>
    <t>1383</t>
  </si>
  <si>
    <t>1384</t>
  </si>
  <si>
    <t>1385</t>
  </si>
  <si>
    <t>1386</t>
  </si>
  <si>
    <t>1387</t>
  </si>
  <si>
    <t>Gobiernos Locales</t>
  </si>
  <si>
    <t>Parques Urbanos</t>
  </si>
  <si>
    <t>Cantidad de Parques Urbanos por Comuna</t>
  </si>
  <si>
    <t>Número de Parques Urbanos</t>
  </si>
  <si>
    <t>En el año 2020, las comunas que registraron más de 20 parques urbanos fueron Antofagasta, Aysén y Llaillay, con 40, 25 y 22 parques respectivamente. *(Las comunas que aparecen en color negro dentro del mapa, corresponden a municipios que no entregaron información para el año 2020).</t>
  </si>
  <si>
    <t>https://analytics.zoho.com/open-view/2395394000008083407</t>
  </si>
  <si>
    <t>1388</t>
  </si>
  <si>
    <t>1389</t>
  </si>
  <si>
    <t>1390</t>
  </si>
  <si>
    <t>1391</t>
  </si>
  <si>
    <t>1392</t>
  </si>
  <si>
    <t>1393</t>
  </si>
  <si>
    <t>1394</t>
  </si>
  <si>
    <t>1395</t>
  </si>
  <si>
    <t>1396</t>
  </si>
  <si>
    <t>1397</t>
  </si>
  <si>
    <t>1398</t>
  </si>
  <si>
    <t>1399</t>
  </si>
  <si>
    <t>1400</t>
  </si>
  <si>
    <t>1401</t>
  </si>
  <si>
    <t>1402</t>
  </si>
  <si>
    <t>1403</t>
  </si>
  <si>
    <t>1404</t>
  </si>
  <si>
    <t>Plazas Públicas</t>
  </si>
  <si>
    <t>Cantidad de Plazas Públicas por Comuna</t>
  </si>
  <si>
    <t>Número de Plazas Públicas</t>
  </si>
  <si>
    <t>En el año 2020, las comunas que tuvieron más de 700 plazas públicas fueron Puente Alto, Maipú, Puerto Montt, Rancagua, Talca, San Pedro de la Paz, Coquimbo, La Serena, San Bernardo, Quilicura, La Florida, y Los Ángeles, con 1.714, 1.652, 1.382, 1.023, 998, 997, 945, 917, 855, 821, 740, 704 plazas, respectivamente. *(Las comunas que aparecen en color negro dentro del mapa, corresponden a municipios que no entregaron información para el año 2020).</t>
  </si>
  <si>
    <t>https://analytics.zoho.com/open-view/2395394000008183410</t>
  </si>
  <si>
    <t>1405</t>
  </si>
  <si>
    <t>1406</t>
  </si>
  <si>
    <t>1407</t>
  </si>
  <si>
    <t>1408</t>
  </si>
  <si>
    <t>1409</t>
  </si>
  <si>
    <t>1410</t>
  </si>
  <si>
    <t>1411</t>
  </si>
  <si>
    <t>1412</t>
  </si>
  <si>
    <t>1413</t>
  </si>
  <si>
    <t>1414</t>
  </si>
  <si>
    <t>1415</t>
  </si>
  <si>
    <t>1416</t>
  </si>
  <si>
    <t>1417</t>
  </si>
  <si>
    <t>1418</t>
  </si>
  <si>
    <t>1419</t>
  </si>
  <si>
    <t>1420</t>
  </si>
  <si>
    <t>1421</t>
  </si>
  <si>
    <t>Superficie (m2)</t>
  </si>
  <si>
    <t>m2</t>
  </si>
  <si>
    <t>En el año 2020, la comuna informada con más áreas verdes mantenidas por habitante fue Futaleufú, con 85 (m2). Le siguió Tortel, con 77,33 (m2), y Primavera, con 56,02 (m2). *(La interrupción en una línea significa que para ese año la información no fue entregada por parte del municipio).</t>
  </si>
  <si>
    <t>https://analytics.zoho.com/open-view/2395394000008069731</t>
  </si>
  <si>
    <t>1422</t>
  </si>
  <si>
    <t>1423</t>
  </si>
  <si>
    <t>1424</t>
  </si>
  <si>
    <t>1425</t>
  </si>
  <si>
    <t>1426</t>
  </si>
  <si>
    <t>1427</t>
  </si>
  <si>
    <t>1428</t>
  </si>
  <si>
    <t>1429</t>
  </si>
  <si>
    <t>1430</t>
  </si>
  <si>
    <t>1431</t>
  </si>
  <si>
    <t>1432</t>
  </si>
  <si>
    <t>1433</t>
  </si>
  <si>
    <t>1434</t>
  </si>
  <si>
    <t>1435</t>
  </si>
  <si>
    <t>1436</t>
  </si>
  <si>
    <t>1437</t>
  </si>
  <si>
    <t>1438</t>
  </si>
  <si>
    <t>Salud Mental</t>
  </si>
  <si>
    <t>Proproción (%) de la población que tuvo Consultas Mentales</t>
  </si>
  <si>
    <t>Periodo 2009-2017</t>
  </si>
  <si>
    <t>Porcentaje</t>
  </si>
  <si>
    <t>El porcentaje de la población que ha tenido consultas médicas por salud mental entre el 2009 y 2017 se ha mantenido constantemente en un rango entre el 2,2 y 2,8%.</t>
  </si>
  <si>
    <t>https://analytics.zoho.com/open-view/2395394000007274123</t>
  </si>
  <si>
    <t>1439</t>
  </si>
  <si>
    <t>Tasa</t>
  </si>
  <si>
    <t>Tasa Cada 100 mil habitantes</t>
  </si>
  <si>
    <t>La mayor tasa de atenciones de consultas mentales fue de 3.384 el año 2015 para la Región Metropolitana</t>
  </si>
  <si>
    <t>https://analytics.zoho.com/open-view/2395394000007277131</t>
  </si>
  <si>
    <t>1440</t>
  </si>
  <si>
    <t>Para la región del Biobío fue la comuna de Chiguayante la que presentó la mayor tasa de consultas de salud mental con 5.151 atenciones cada 100 mil habitantes para el año 2017</t>
  </si>
  <si>
    <t>https://analytics.zoho.com/open-view/2395394000008496666</t>
  </si>
  <si>
    <t>1441</t>
  </si>
  <si>
    <t>1442</t>
  </si>
  <si>
    <t>1443</t>
  </si>
  <si>
    <t>1444</t>
  </si>
  <si>
    <t>1445</t>
  </si>
  <si>
    <t>1446</t>
  </si>
  <si>
    <t>1447</t>
  </si>
  <si>
    <t>1448</t>
  </si>
  <si>
    <t>1449</t>
  </si>
  <si>
    <t>1450</t>
  </si>
  <si>
    <t>1451</t>
  </si>
  <si>
    <t>1452</t>
  </si>
  <si>
    <t>1453</t>
  </si>
  <si>
    <t>1454</t>
  </si>
  <si>
    <t>1455</t>
  </si>
  <si>
    <t>1456</t>
  </si>
  <si>
    <t>Total Establecimientos de Salud</t>
  </si>
  <si>
    <t>Total Comercio Exterior</t>
  </si>
  <si>
    <t>Total Gestión Municipal Territorial</t>
  </si>
  <si>
    <t>Total (en blanco)</t>
  </si>
  <si>
    <t>Cantidad de Predios Agrícolas por Comuna en Chile, Periodo 2006-2019</t>
  </si>
  <si>
    <t>Cantidad de Predios Agrícolas por Comuna en la Región de Tarapacá, Periodo 2006-2019</t>
  </si>
  <si>
    <t>https://analytics.zoho.com/open-view/2395394000008464535?ZOHO_CRITERIA=%22Localiza%20CL%22.%22Codreg%22%20%3D%201</t>
  </si>
  <si>
    <t>Cantidad de Predios Agrícolas por Comuna en la Región de Antofagasta, Periodo 2006-2019</t>
  </si>
  <si>
    <t>https://analytics.zoho.com/open-view/2395394000008464535?ZOHO_CRITERIA=%22Localiza%20CL%22.%22Codreg%22%20%3D%202</t>
  </si>
  <si>
    <t>Cantidad de Predios Agrícolas por Comuna en la Región de Atacama, Periodo 2006-2019</t>
  </si>
  <si>
    <t>https://analytics.zoho.com/open-view/2395394000008464535?ZOHO_CRITERIA=%22Localiza%20CL%22.%22Codreg%22%20%3D%203</t>
  </si>
  <si>
    <t>Cantidad de Predios Agrícolas por Comuna en la Región de Coquimbo, Periodo 2006-2019</t>
  </si>
  <si>
    <t>https://analytics.zoho.com/open-view/2395394000008464535?ZOHO_CRITERIA=%22Localiza%20CL%22.%22Codreg%22%20%3D%204</t>
  </si>
  <si>
    <t>Cantidad de Predios Agrícolas por Comuna en la Región de Valparaíso, Periodo 2006-2019</t>
  </si>
  <si>
    <t>https://analytics.zoho.com/open-view/2395394000008464535?ZOHO_CRITERIA=%22Localiza%20CL%22.%22Codreg%22%20%3D%205</t>
  </si>
  <si>
    <t>Cantidad de Predios Agrícolas por Comuna en la Región de O'Higgins, Periodo 2006-2019</t>
  </si>
  <si>
    <t>https://analytics.zoho.com/open-view/2395394000008464535?ZOHO_CRITERIA=%22Localiza%20CL%22.%22Codreg%22%20%3D%206</t>
  </si>
  <si>
    <t>Cantidad de Predios Agrícolas por Comuna en la Región de Maule, Periodo 2006-2019</t>
  </si>
  <si>
    <t>https://analytics.zoho.com/open-view/2395394000008464535?ZOHO_CRITERIA=%22Localiza%20CL%22.%22Codreg%22%20%3D%207</t>
  </si>
  <si>
    <t>Cantidad de Predios Agrícolas por Comuna en la Región del Biobío, Periodo 2006-2019</t>
  </si>
  <si>
    <t>https://analytics.zoho.com/open-view/2395394000008464535?ZOHO_CRITERIA=%22Localiza%20CL%22.%22Codreg%22%20%3D%208</t>
  </si>
  <si>
    <t>Cantidad de Predios Agrícolas por Comuna en la Región de La Araucanía, Periodo 2006-2019</t>
  </si>
  <si>
    <t>https://analytics.zoho.com/open-view/2395394000008464535?ZOHO_CRITERIA=%22Localiza%20CL%22.%22Codreg%22%20%3D%209</t>
  </si>
  <si>
    <t>Cantidad de Predios Agrícolas por Comuna en la Región de Los Lagos, Periodo 2006-2019</t>
  </si>
  <si>
    <t>https://analytics.zoho.com/open-view/2395394000008464535?ZOHO_CRITERIA=%22Localiza%20CL%22.%22Codreg%22%20%3D%2010</t>
  </si>
  <si>
    <t>Cantidad de Predios Agrícolas por Comuna en la Región de Aysén, Periodo 2006-2019</t>
  </si>
  <si>
    <t>https://analytics.zoho.com/open-view/2395394000008464535?ZOHO_CRITERIA=%22Localiza%20CL%22.%22Codreg%22%20%3D%2011</t>
  </si>
  <si>
    <t>Cantidad de Predios Agrícolas por Comuna en la Región de Magallanes, Periodo 2006-2019</t>
  </si>
  <si>
    <t>https://analytics.zoho.com/open-view/2395394000008464535?ZOHO_CRITERIA=%22Localiza%20CL%22.%22Codreg%22%20%3D%2012</t>
  </si>
  <si>
    <t>Cantidad de Predios Agrícolas por Comuna en la Región Metropolitana, Periodo 2006-2019</t>
  </si>
  <si>
    <t>https://analytics.zoho.com/open-view/2395394000008464535?ZOHO_CRITERIA=%22Localiza%20CL%22.%22Codreg%22%20%3D%2013</t>
  </si>
  <si>
    <t>Cantidad de Predios Agrícolas por Comuna en la Región de Los Ríos, Periodo 2006-2019</t>
  </si>
  <si>
    <t>https://analytics.zoho.com/open-view/2395394000008464535?ZOHO_CRITERIA=%22Localiza%20CL%22.%22Codreg%22%20%3D%2014</t>
  </si>
  <si>
    <t>Cantidad de Predios Agrícolas por Comuna en la Región de Arica y Parinacota, Periodo 2006-2019</t>
  </si>
  <si>
    <t>https://analytics.zoho.com/open-view/2395394000008464535?ZOHO_CRITERIA=%22Localiza%20CL%22.%22Codreg%22%20%3D%2015</t>
  </si>
  <si>
    <t>Cantidad de Predios Agrícolas por Comuna en la Región de Ñuble, Periodo 2006-2019</t>
  </si>
  <si>
    <t>https://analytics.zoho.com/open-view/2395394000008464535?ZOHO_CRITERIA=%22Localiza%20CL%22.%22Codreg%22%20%3D%2016</t>
  </si>
  <si>
    <t>Cantidad de Establecimientos de la Salud en la Región de Arica y Parinacota, Año 2021</t>
  </si>
  <si>
    <t>https://analytics.zoho.com/open-view/2395394000008516451?ZOHO_CRITERIA=%222.1%22.%22C%C3%B3digo%20Regi%C3%B3n%22%20%3D%2015</t>
  </si>
  <si>
    <t>Cantidad de Establecimientos de la Salud en la Región de Tarapacá, Año 2021</t>
  </si>
  <si>
    <t>https://analytics.zoho.com/open-view/2395394000008516451?ZOHO_CRITERIA=%222.1%22.%22C%C3%B3digo%20Regi%C3%B3n%22%20%3D%201</t>
  </si>
  <si>
    <t>Cantidad de Establecimientos de la Salud en la Región de Antofagasta, Año 2021</t>
  </si>
  <si>
    <t>https://analytics.zoho.com/open-view/2395394000008516451?ZOHO_CRITERIA=%222.1%22.%22C%C3%B3digo%20Regi%C3%B3n%22%20%3D%202</t>
  </si>
  <si>
    <t>Cantidad de Establecimientos de la Salud en la Región de Atacama, Año 2021</t>
  </si>
  <si>
    <t>https://analytics.zoho.com/open-view/2395394000008516451?ZOHO_CRITERIA=%222.1%22.%22C%C3%B3digo%20Regi%C3%B3n%22%20%3D%203</t>
  </si>
  <si>
    <t>Cantidad de Establecimientos de la Salud en la Región de Coquimbo, Año 2021</t>
  </si>
  <si>
    <t>https://analytics.zoho.com/open-view/2395394000008516451?ZOHO_CRITERIA=%222.1%22.%22C%C3%B3digo%20Regi%C3%B3n%22%20%3D%204</t>
  </si>
  <si>
    <t>Cantidad de Establecimientos de la Salud en la Región de Valparaíso, Año 2021</t>
  </si>
  <si>
    <t>https://analytics.zoho.com/open-view/2395394000008516451?ZOHO_CRITERIA=%222.1%22.%22C%C3%B3digo%20Regi%C3%B3n%22%20%3D%205</t>
  </si>
  <si>
    <t>Cantidad de Establecimientos de la Salud en la Región de O'Higgins, Año 2021</t>
  </si>
  <si>
    <t>https://analytics.zoho.com/open-view/2395394000008516451?ZOHO_CRITERIA=%222.1%22.%22C%C3%B3digo%20Regi%C3%B3n%22%20%3D%206</t>
  </si>
  <si>
    <t>Cantidad de Establecimientos de la Salud en la Región de Maule, Año 2021</t>
  </si>
  <si>
    <t>https://analytics.zoho.com/open-view/2395394000008516451?ZOHO_CRITERIA=%222.1%22.%22C%C3%B3digo%20Regi%C3%B3n%22%20%3D%207</t>
  </si>
  <si>
    <t>Cantidad de Establecimientos de la Salud en la Región del Biobío, Año 2021</t>
  </si>
  <si>
    <t>https://analytics.zoho.com/open-view/2395394000008516451?ZOHO_CRITERIA=%222.1%22.%22C%C3%B3digo%20Regi%C3%B3n%22%20%3D%208</t>
  </si>
  <si>
    <t>Cantidad de Establecimientos de la Salud en la Región de La Araucanía, Año 2021</t>
  </si>
  <si>
    <t>https://analytics.zoho.com/open-view/2395394000008516451?ZOHO_CRITERIA=%222.1%22.%22C%C3%B3digo%20Regi%C3%B3n%22%20%3D%209</t>
  </si>
  <si>
    <t>Cantidad de Establecimientos de la Salud en la Región de Los Lagos, Año 2021</t>
  </si>
  <si>
    <t>https://analytics.zoho.com/open-view/2395394000008516451?ZOHO_CRITERIA=%222.1%22.%22C%C3%B3digo%20Regi%C3%B3n%22%20%3D%2010</t>
  </si>
  <si>
    <t>Cantidad de Establecimientos de la Salud en la Región de Aysén, Año 2021</t>
  </si>
  <si>
    <t>https://analytics.zoho.com/open-view/2395394000008516451?ZOHO_CRITERIA=%222.1%22.%22C%C3%B3digo%20Regi%C3%B3n%22%20%3D%2011</t>
  </si>
  <si>
    <t>Cantidad de Establecimientos de la Salud en la Región de Magallanes, Año 2021</t>
  </si>
  <si>
    <t>https://analytics.zoho.com/open-view/2395394000008516451?ZOHO_CRITERIA=%222.1%22.%22C%C3%B3digo%20Regi%C3%B3n%22%20%3D%2012</t>
  </si>
  <si>
    <t>Cantidad de Establecimientos de la Salud en la Región Metropolitana, Año 2021</t>
  </si>
  <si>
    <t>https://analytics.zoho.com/open-view/2395394000008516451?ZOHO_CRITERIA=%222.1%22.%22C%C3%B3digo%20Regi%C3%B3n%22%20%3D%2013</t>
  </si>
  <si>
    <t>Cantidad de Establecimientos de la Salud en la Región de Los Ríos, Año 2021</t>
  </si>
  <si>
    <t>https://analytics.zoho.com/open-view/2395394000008516451?ZOHO_CRITERIA=%222.1%22.%22C%C3%B3digo%20Regi%C3%B3n%22%20%3D%2014</t>
  </si>
  <si>
    <t>Cantidad de Establecimientos de la Salud por Comuna en la Región de Tarapacá, Año 2021</t>
  </si>
  <si>
    <t>https://analytics.zoho.com/open-view/2395394000008516065?ZOHO_CRITERIA=%222.1%22.%22C%C3%B3digo%20Regi%C3%B3n%22%20%3D%201</t>
  </si>
  <si>
    <t>Cantidad de Establecimientos de la Salud por Comuna en la Región de Antofagasta, Año 2021</t>
  </si>
  <si>
    <t>https://analytics.zoho.com/open-view/2395394000008516065?ZOHO_CRITERIA=%222.1%22.%22C%C3%B3digo%20Regi%C3%B3n%22%20%3D%202</t>
  </si>
  <si>
    <t>Cantidad de Establecimientos de la Salud por Comuna en la Región de Atacama, Año 2021</t>
  </si>
  <si>
    <t>https://analytics.zoho.com/open-view/2395394000008516065?ZOHO_CRITERIA=%222.1%22.%22C%C3%B3digo%20Regi%C3%B3n%22%20%3D%203</t>
  </si>
  <si>
    <t>Cantidad de Establecimientos de la Salud por Comuna en la Región de Coquimbo, Año 2021</t>
  </si>
  <si>
    <t>https://analytics.zoho.com/open-view/2395394000008516065?ZOHO_CRITERIA=%222.1%22.%22C%C3%B3digo%20Regi%C3%B3n%22%20%3D%204</t>
  </si>
  <si>
    <t>Cantidad de Establecimientos de la Salud por Comuna en la Región de Valparaíso, Año 2021</t>
  </si>
  <si>
    <t>https://analytics.zoho.com/open-view/2395394000008516065?ZOHO_CRITERIA=%222.1%22.%22C%C3%B3digo%20Regi%C3%B3n%22%20%3D%205</t>
  </si>
  <si>
    <t>Cantidad de Establecimientos de la Salud por Comuna en la Región de O'Higgins, Año 2021</t>
  </si>
  <si>
    <t>https://analytics.zoho.com/open-view/2395394000008516065?ZOHO_CRITERIA=%222.1%22.%22C%C3%B3digo%20Regi%C3%B3n%22%20%3D%206</t>
  </si>
  <si>
    <t>Cantidad de Establecimientos de la Salud por Comuna en la Región de Maule, Año 2021</t>
  </si>
  <si>
    <t>https://analytics.zoho.com/open-view/2395394000008516065?ZOHO_CRITERIA=%222.1%22.%22C%C3%B3digo%20Regi%C3%B3n%22%20%3D%207</t>
  </si>
  <si>
    <t>Cantidad de Establecimientos de la Salud por Comuna en la Región del Biobío, Año 2021</t>
  </si>
  <si>
    <t>https://analytics.zoho.com/open-view/2395394000008516065?ZOHO_CRITERIA=%222.1%22.%22C%C3%B3digo%20Regi%C3%B3n%22%20%3D%208</t>
  </si>
  <si>
    <t>Cantidad de Establecimientos de la Salud por Comuna en la Región de La Araucanía, Año 2021</t>
  </si>
  <si>
    <t>https://analytics.zoho.com/open-view/2395394000008516065?ZOHO_CRITERIA=%222.1%22.%22C%C3%B3digo%20Regi%C3%B3n%22%20%3D%209</t>
  </si>
  <si>
    <t>Cantidad de Establecimientos de la Salud por Comuna en la Región de Los Lagos, Año 2021</t>
  </si>
  <si>
    <t>https://analytics.zoho.com/open-view/2395394000008516065?ZOHO_CRITERIA=%222.1%22.%22C%C3%B3digo%20Regi%C3%B3n%22%20%3D%2010</t>
  </si>
  <si>
    <t>Cantidad de Establecimientos de la Salud por Comuna en la Región de Aysén, Año 2021</t>
  </si>
  <si>
    <t>https://analytics.zoho.com/open-view/2395394000008516065?ZOHO_CRITERIA=%222.1%22.%22C%C3%B3digo%20Regi%C3%B3n%22%20%3D%2011</t>
  </si>
  <si>
    <t>Cantidad de Establecimientos de la Salud por Comuna en la Región de Magallanes, Año 2021</t>
  </si>
  <si>
    <t>https://analytics.zoho.com/open-view/2395394000008516065?ZOHO_CRITERIA=%222.1%22.%22C%C3%B3digo%20Regi%C3%B3n%22%20%3D%2012</t>
  </si>
  <si>
    <t>Cantidad de Establecimientos de la Salud por Comuna en la Región Metropolitana, Año 2021</t>
  </si>
  <si>
    <t>https://analytics.zoho.com/open-view/2395394000008516065?ZOHO_CRITERIA=%222.1%22.%22C%C3%B3digo%20Regi%C3%B3n%22%20%3D%2013</t>
  </si>
  <si>
    <t>Cantidad de Establecimientos de la Salud por Comuna en la Región de Los Ríos, Año 2021</t>
  </si>
  <si>
    <t>https://analytics.zoho.com/open-view/2395394000008516065?ZOHO_CRITERIA=%222.1%22.%22C%C3%B3digo%20Regi%C3%B3n%22%20%3D%2014</t>
  </si>
  <si>
    <t>Cantidad de Establecimientos de la Salud por Comuna en la Región de Arica y Parinacota, Año 2021</t>
  </si>
  <si>
    <t>https://analytics.zoho.com/open-view/2395394000008516065?ZOHO_CRITERIA=%222.1%22.%22C%C3%B3digo%20Regi%C3%B3n%22%20%3D%2015</t>
  </si>
  <si>
    <t>https://analytics.zoho.com/open-view/2395394000008516593?ZOHO_CRITERIA=%222.1%22.%22C%C3%B3digo%20Regi%C3%B3n%22%20%3D%201</t>
  </si>
  <si>
    <t>https://analytics.zoho.com/open-view/2395394000008516593?ZOHO_CRITERIA=%222.1%22.%22C%C3%B3digo%20Regi%C3%B3n%22%20%3D%202</t>
  </si>
  <si>
    <t>https://analytics.zoho.com/open-view/2395394000008516593?ZOHO_CRITERIA=%222.1%22.%22C%C3%B3digo%20Regi%C3%B3n%22%20%3D%203</t>
  </si>
  <si>
    <t>https://analytics.zoho.com/open-view/2395394000008516593?ZOHO_CRITERIA=%222.1%22.%22C%C3%B3digo%20Regi%C3%B3n%22%20%3D%204</t>
  </si>
  <si>
    <t>https://analytics.zoho.com/open-view/2395394000008516593?ZOHO_CRITERIA=%222.1%22.%22C%C3%B3digo%20Regi%C3%B3n%22%20%3D%205</t>
  </si>
  <si>
    <t>https://analytics.zoho.com/open-view/2395394000008516593?ZOHO_CRITERIA=%222.1%22.%22C%C3%B3digo%20Regi%C3%B3n%22%20%3D%206</t>
  </si>
  <si>
    <t>https://analytics.zoho.com/open-view/2395394000008516593?ZOHO_CRITERIA=%222.1%22.%22C%C3%B3digo%20Regi%C3%B3n%22%20%3D%207</t>
  </si>
  <si>
    <t>https://analytics.zoho.com/open-view/2395394000008516593?ZOHO_CRITERIA=%222.1%22.%22C%C3%B3digo%20Regi%C3%B3n%22%20%3D%208</t>
  </si>
  <si>
    <t>https://analytics.zoho.com/open-view/2395394000008516593?ZOHO_CRITERIA=%222.1%22.%22C%C3%B3digo%20Regi%C3%B3n%22%20%3D%209</t>
  </si>
  <si>
    <t>https://analytics.zoho.com/open-view/2395394000008516593?ZOHO_CRITERIA=%222.1%22.%22C%C3%B3digo%20Regi%C3%B3n%22%20%3D%2010</t>
  </si>
  <si>
    <t>https://analytics.zoho.com/open-view/2395394000008516593?ZOHO_CRITERIA=%222.1%22.%22C%C3%B3digo%20Regi%C3%B3n%22%20%3D%2011</t>
  </si>
  <si>
    <t>https://analytics.zoho.com/open-view/2395394000008516593?ZOHO_CRITERIA=%222.1%22.%22C%C3%B3digo%20Regi%C3%B3n%22%20%3D%2012</t>
  </si>
  <si>
    <t>https://analytics.zoho.com/open-view/2395394000008516593?ZOHO_CRITERIA=%222.1%22.%22C%C3%B3digo%20Regi%C3%B3n%22%20%3D%2013</t>
  </si>
  <si>
    <t>https://analytics.zoho.com/open-view/2395394000008516593?ZOHO_CRITERIA=%222.1%22.%22C%C3%B3digo%20Regi%C3%B3n%22%20%3D%2014</t>
  </si>
  <si>
    <t>https://analytics.zoho.com/open-view/2395394000008516593?ZOHO_CRITERIA=%222.1%22.%22C%C3%B3digo%20Regi%C3%B3n%22%20%3D%2015</t>
  </si>
  <si>
    <t>https://analytics.zoho.com/open-view/2395394000008516001?ZOHO_CRITERIA=%2227.10%22.%22Id_Regi%C3%B3n%22%20%3D%201</t>
  </si>
  <si>
    <t>https://analytics.zoho.com/open-view/2395394000008516001?ZOHO_CRITERIA=%2227.10%22.%22Id_Regi%C3%B3n%22%20%3D%202</t>
  </si>
  <si>
    <t>https://analytics.zoho.com/open-view/2395394000008516001?ZOHO_CRITERIA=%2227.10%22.%22Id_Regi%C3%B3n%22%20%3D%203</t>
  </si>
  <si>
    <t>https://analytics.zoho.com/open-view/2395394000008516001?ZOHO_CRITERIA=%2227.10%22.%22Id_Regi%C3%B3n%22%20%3D%204</t>
  </si>
  <si>
    <t>https://analytics.zoho.com/open-view/2395394000008516001?ZOHO_CRITERIA=%2227.10%22.%22Id_Regi%C3%B3n%22%20%3D%205</t>
  </si>
  <si>
    <t>https://analytics.zoho.com/open-view/2395394000008516001?ZOHO_CRITERIA=%2227.10%22.%22Id_Regi%C3%B3n%22%20%3D%206</t>
  </si>
  <si>
    <t>https://analytics.zoho.com/open-view/2395394000008516001?ZOHO_CRITERIA=%2227.10%22.%22Id_Regi%C3%B3n%22%20%3D%207</t>
  </si>
  <si>
    <t>https://analytics.zoho.com/open-view/2395394000008516001?ZOHO_CRITERIA=%2227.10%22.%22Id_Regi%C3%B3n%22%20%3D%208</t>
  </si>
  <si>
    <t>https://analytics.zoho.com/open-view/2395394000008516001?ZOHO_CRITERIA=%2227.10%22.%22Id_Regi%C3%B3n%22%20%3D%209</t>
  </si>
  <si>
    <t>https://analytics.zoho.com/open-view/2395394000008516001?ZOHO_CRITERIA=%2227.10%22.%22Id_Regi%C3%B3n%22%20%3D%2010</t>
  </si>
  <si>
    <t>https://analytics.zoho.com/open-view/2395394000008516001?ZOHO_CRITERIA=%2227.10%22.%22Id_Regi%C3%B3n%22%20%3D%2011</t>
  </si>
  <si>
    <t>https://analytics.zoho.com/open-view/2395394000008516001?ZOHO_CRITERIA=%2227.10%22.%22Id_Regi%C3%B3n%22%20%3D%2012</t>
  </si>
  <si>
    <t>https://analytics.zoho.com/open-view/2395394000008516001?ZOHO_CRITERIA=%2227.10%22.%22Id_Regi%C3%B3n%22%20%3D%2013</t>
  </si>
  <si>
    <t>https://analytics.zoho.com/open-view/2395394000008516001?ZOHO_CRITERIA=%2227.10%22.%22Id_Regi%C3%B3n%22%20%3D%2014</t>
  </si>
  <si>
    <t>https://analytics.zoho.com/open-view/2395394000008516001?ZOHO_CRITERIA=%2227.10%22.%22Id_Regi%C3%B3n%22%20%3D%2015</t>
  </si>
  <si>
    <t>https://analytics.zoho.com/open-view/2395394000008516645?ZOHO_CRITERIA=%222.1%22.%22C%C3%B3digo%20Regi%C3%B3n%22%20%3D%201</t>
  </si>
  <si>
    <t>https://analytics.zoho.com/open-view/2395394000008516645?ZOHO_CRITERIA=%222.1%22.%22C%C3%B3digo%20Regi%C3%B3n%22%20%3D%202</t>
  </si>
  <si>
    <t>https://analytics.zoho.com/open-view/2395394000008516645?ZOHO_CRITERIA=%222.1%22.%22C%C3%B3digo%20Regi%C3%B3n%22%20%3D%203</t>
  </si>
  <si>
    <t>https://analytics.zoho.com/open-view/2395394000008516645?ZOHO_CRITERIA=%222.1%22.%22C%C3%B3digo%20Regi%C3%B3n%22%20%3D%204</t>
  </si>
  <si>
    <t>https://analytics.zoho.com/open-view/2395394000008516645?ZOHO_CRITERIA=%222.1%22.%22C%C3%B3digo%20Regi%C3%B3n%22%20%3D%205</t>
  </si>
  <si>
    <t>https://analytics.zoho.com/open-view/2395394000008516645?ZOHO_CRITERIA=%222.1%22.%22C%C3%B3digo%20Regi%C3%B3n%22%20%3D%206</t>
  </si>
  <si>
    <t>https://analytics.zoho.com/open-view/2395394000008516645?ZOHO_CRITERIA=%222.1%22.%22C%C3%B3digo%20Regi%C3%B3n%22%20%3D%207</t>
  </si>
  <si>
    <t>https://analytics.zoho.com/open-view/2395394000008516645?ZOHO_CRITERIA=%222.1%22.%22C%C3%B3digo%20Regi%C3%B3n%22%20%3D%208</t>
  </si>
  <si>
    <t>https://analytics.zoho.com/open-view/2395394000008516645?ZOHO_CRITERIA=%222.1%22.%22C%C3%B3digo%20Regi%C3%B3n%22%20%3D%209</t>
  </si>
  <si>
    <t>https://analytics.zoho.com/open-view/2395394000008516645?ZOHO_CRITERIA=%222.1%22.%22C%C3%B3digo%20Regi%C3%B3n%22%20%3D%2010</t>
  </si>
  <si>
    <t>https://analytics.zoho.com/open-view/2395394000008516645?ZOHO_CRITERIA=%222.1%22.%22C%C3%B3digo%20Regi%C3%B3n%22%20%3D%2011</t>
  </si>
  <si>
    <t>https://analytics.zoho.com/open-view/2395394000008516645?ZOHO_CRITERIA=%222.1%22.%22C%C3%B3digo%20Regi%C3%B3n%22%20%3D%2012</t>
  </si>
  <si>
    <t>https://analytics.zoho.com/open-view/2395394000008516645?ZOHO_CRITERIA=%222.1%22.%22C%C3%B3digo%20Regi%C3%B3n%22%20%3D%2013</t>
  </si>
  <si>
    <t>https://analytics.zoho.com/open-view/2395394000008516645?ZOHO_CRITERIA=%222.1%22.%22C%C3%B3digo%20Regi%C3%B3n%22%20%3D%2014</t>
  </si>
  <si>
    <t>https://analytics.zoho.com/open-view/2395394000008516645?ZOHO_CRITERIA=%222.1%22.%22C%C3%B3digo%20Regi%C3%B3n%22%20%3D%2015</t>
  </si>
  <si>
    <t>https://analytics.zoho.com/open-view/2395394000008413090?ZOHO_CRITERIA=%228.3%20Licencias_conducir%22.%22Codreg%22%3D1</t>
  </si>
  <si>
    <t>https://analytics.zoho.com/open-view/2395394000008413090?ZOHO_CRITERIA=%228.3%20Licencias_conducir%22.%22Codreg%22%3D2</t>
  </si>
  <si>
    <t>https://analytics.zoho.com/open-view/2395394000008413090?ZOHO_CRITERIA=%228.3%20Licencias_conducir%22.%22Codreg%22%3D3</t>
  </si>
  <si>
    <t>https://analytics.zoho.com/open-view/2395394000008413090?ZOHO_CRITERIA=%228.3%20Licencias_conducir%22.%22Codreg%22%3D4</t>
  </si>
  <si>
    <t>https://analytics.zoho.com/open-view/2395394000008413090?ZOHO_CRITERIA=%228.3%20Licencias_conducir%22.%22Codreg%22%3D5</t>
  </si>
  <si>
    <t>https://analytics.zoho.com/open-view/2395394000008413090?ZOHO_CRITERIA=%228.3%20Licencias_conducir%22.%22Codreg%22%3D6</t>
  </si>
  <si>
    <t>https://analytics.zoho.com/open-view/2395394000008413090?ZOHO_CRITERIA=%228.3%20Licencias_conducir%22.%22Codreg%22%3D7</t>
  </si>
  <si>
    <t>https://analytics.zoho.com/open-view/2395394000008413090?ZOHO_CRITERIA=%228.3%20Licencias_conducir%22.%22Codreg%22%3D8</t>
  </si>
  <si>
    <t>https://analytics.zoho.com/open-view/2395394000008413090?ZOHO_CRITERIA=%228.3%20Licencias_conducir%22.%22Codreg%22%3D9</t>
  </si>
  <si>
    <t>https://analytics.zoho.com/open-view/2395394000008413090?ZOHO_CRITERIA=%228.3%20Licencias_conducir%22.%22Codreg%22%3D10</t>
  </si>
  <si>
    <t>https://analytics.zoho.com/open-view/2395394000008413090?ZOHO_CRITERIA=%228.3%20Licencias_conducir%22.%22Codreg%22%3D11</t>
  </si>
  <si>
    <t>https://analytics.zoho.com/open-view/2395394000008413090?ZOHO_CRITERIA=%228.3%20Licencias_conducir%22.%22Codreg%22%3D12</t>
  </si>
  <si>
    <t>https://analytics.zoho.com/open-view/2395394000008413090?ZOHO_CRITERIA=%228.3%20Licencias_conducir%22.%22Codreg%22%3D13</t>
  </si>
  <si>
    <t>https://analytics.zoho.com/open-view/2395394000008413090?ZOHO_CRITERIA=%228.3%20Licencias_conducir%22.%22Codreg%22%3D14</t>
  </si>
  <si>
    <t>https://analytics.zoho.com/open-view/2395394000008413090?ZOHO_CRITERIA=%228.3%20Licencias_conducir%22.%22Codreg%22%3D15</t>
  </si>
  <si>
    <t>https://analytics.zoho.com/open-view/2395394000008413133?ZOHO_CRITERIA=%228.1%20Permiso_circulaci%C3%B3n%22.%22Codreg%22%3D1</t>
  </si>
  <si>
    <t>https://analytics.zoho.com/open-view/2395394000008413133?ZOHO_CRITERIA=%228.1%20Permiso_circulaci%C3%B3n%22.%22Codreg%22%3D2</t>
  </si>
  <si>
    <t>https://analytics.zoho.com/open-view/2395394000008413133?ZOHO_CRITERIA=%228.1%20Permiso_circulaci%C3%B3n%22.%22Codreg%22%3D3</t>
  </si>
  <si>
    <t>https://analytics.zoho.com/open-view/2395394000008413133?ZOHO_CRITERIA=%228.1%20Permiso_circulaci%C3%B3n%22.%22Codreg%22%3D4</t>
  </si>
  <si>
    <t>https://analytics.zoho.com/open-view/2395394000008413133?ZOHO_CRITERIA=%228.1%20Permiso_circulaci%C3%B3n%22.%22Codreg%22%3D5</t>
  </si>
  <si>
    <t>https://analytics.zoho.com/open-view/2395394000008413133?ZOHO_CRITERIA=%228.1%20Permiso_circulaci%C3%B3n%22.%22Codreg%22%3D6</t>
  </si>
  <si>
    <t>https://analytics.zoho.com/open-view/2395394000008413133?ZOHO_CRITERIA=%228.1%20Permiso_circulaci%C3%B3n%22.%22Codreg%22%3D7</t>
  </si>
  <si>
    <t>https://analytics.zoho.com/open-view/2395394000008413133?ZOHO_CRITERIA=%228.1%20Permiso_circulaci%C3%B3n%22.%22Codreg%22%3D8</t>
  </si>
  <si>
    <t>https://analytics.zoho.com/open-view/2395394000008413133?ZOHO_CRITERIA=%228.1%20Permiso_circulaci%C3%B3n%22.%22Codreg%22%3D9</t>
  </si>
  <si>
    <t>https://analytics.zoho.com/open-view/2395394000008413133?ZOHO_CRITERIA=%228.1%20Permiso_circulaci%C3%B3n%22.%22Codreg%22%3D10</t>
  </si>
  <si>
    <t>https://analytics.zoho.com/open-view/2395394000008413133?ZOHO_CRITERIA=%228.1%20Permiso_circulaci%C3%B3n%22.%22Codreg%22%3D11</t>
  </si>
  <si>
    <t>https://analytics.zoho.com/open-view/2395394000008413133?ZOHO_CRITERIA=%228.1%20Permiso_circulaci%C3%B3n%22.%22Codreg%22%3D12</t>
  </si>
  <si>
    <t>https://analytics.zoho.com/open-view/2395394000008413133?ZOHO_CRITERIA=%228.1%20Permiso_circulaci%C3%B3n%22.%22Codreg%22%3D13</t>
  </si>
  <si>
    <t>https://analytics.zoho.com/open-view/2395394000008413133?ZOHO_CRITERIA=%228.1%20Permiso_circulaci%C3%B3n%22.%22Codreg%22%3D14</t>
  </si>
  <si>
    <t>https://analytics.zoho.com/open-view/2395394000008413133?ZOHO_CRITERIA=%228.1%20Permiso_circulaci%C3%B3n%22.%22Codreg%22%3D15</t>
  </si>
  <si>
    <t>https://analytics.zoho.com/open-view/2395394000008475578?ZOHO_CRITERIA=%228.3%20Licencias_conducir%22.%22Codreg%22%3D1</t>
  </si>
  <si>
    <t>https://analytics.zoho.com/open-view/2395394000008475578?ZOHO_CRITERIA=%228.3%20Licencias_conducir%22.%22Codreg%22%3D2</t>
  </si>
  <si>
    <t>https://analytics.zoho.com/open-view/2395394000008475578?ZOHO_CRITERIA=%228.3%20Licencias_conducir%22.%22Codreg%22%3D3</t>
  </si>
  <si>
    <t>https://analytics.zoho.com/open-view/2395394000008475578?ZOHO_CRITERIA=%228.3%20Licencias_conducir%22.%22Codreg%22%3D4</t>
  </si>
  <si>
    <t>https://analytics.zoho.com/open-view/2395394000008475578?ZOHO_CRITERIA=%228.3%20Licencias_conducir%22.%22Codreg%22%3D5</t>
  </si>
  <si>
    <t>https://analytics.zoho.com/open-view/2395394000008475578?ZOHO_CRITERIA=%228.3%20Licencias_conducir%22.%22Codreg%22%3D6</t>
  </si>
  <si>
    <t>https://analytics.zoho.com/open-view/2395394000008475578?ZOHO_CRITERIA=%228.3%20Licencias_conducir%22.%22Codreg%22%3D7</t>
  </si>
  <si>
    <t>https://analytics.zoho.com/open-view/2395394000008475578?ZOHO_CRITERIA=%228.3%20Licencias_conducir%22.%22Codreg%22%3D8</t>
  </si>
  <si>
    <t>https://analytics.zoho.com/open-view/2395394000008475578?ZOHO_CRITERIA=%228.3%20Licencias_conducir%22.%22Codreg%22%3D9</t>
  </si>
  <si>
    <t>https://analytics.zoho.com/open-view/2395394000008475578?ZOHO_CRITERIA=%228.3%20Licencias_conducir%22.%22Codreg%22%3D10</t>
  </si>
  <si>
    <t>https://analytics.zoho.com/open-view/2395394000008475578?ZOHO_CRITERIA=%228.3%20Licencias_conducir%22.%22Codreg%22%3D11</t>
  </si>
  <si>
    <t>https://analytics.zoho.com/open-view/2395394000008475578?ZOHO_CRITERIA=%228.3%20Licencias_conducir%22.%22Codreg%22%3D12</t>
  </si>
  <si>
    <t>https://analytics.zoho.com/open-view/2395394000008475578?ZOHO_CRITERIA=%228.3%20Licencias_conducir%22.%22Codreg%22%3D13</t>
  </si>
  <si>
    <t>https://analytics.zoho.com/open-view/2395394000008475578?ZOHO_CRITERIA=%228.3%20Licencias_conducir%22.%22Codreg%22%3D14</t>
  </si>
  <si>
    <t>https://analytics.zoho.com/open-view/2395394000008475578?ZOHO_CRITERIA=%228.3%20Licencias_conducir%22.%22Codreg%22%3D15</t>
  </si>
  <si>
    <t>https://analytics.zoho.com/open-view/2395394000008475310?ZOHO_CRITERIA=%228.1%20Permiso_circulaci%C3%B3n%22.%22Codreg%22%3D1</t>
  </si>
  <si>
    <t>https://analytics.zoho.com/open-view/2395394000008475310?ZOHO_CRITERIA=%228.1%20Permiso_circulaci%C3%B3n%22.%22Codreg%22%3D2</t>
  </si>
  <si>
    <t>https://analytics.zoho.com/open-view/2395394000008475310?ZOHO_CRITERIA=%228.1%20Permiso_circulaci%C3%B3n%22.%22Codreg%22%3D3</t>
  </si>
  <si>
    <t>https://analytics.zoho.com/open-view/2395394000008475310?ZOHO_CRITERIA=%228.1%20Permiso_circulaci%C3%B3n%22.%22Codreg%22%3D4</t>
  </si>
  <si>
    <t>https://analytics.zoho.com/open-view/2395394000008475310?ZOHO_CRITERIA=%228.1%20Permiso_circulaci%C3%B3n%22.%22Codreg%22%3D5</t>
  </si>
  <si>
    <t>https://analytics.zoho.com/open-view/2395394000008475310?ZOHO_CRITERIA=%228.1%20Permiso_circulaci%C3%B3n%22.%22Codreg%22%3D6</t>
  </si>
  <si>
    <t>https://analytics.zoho.com/open-view/2395394000008475310?ZOHO_CRITERIA=%228.1%20Permiso_circulaci%C3%B3n%22.%22Codreg%22%3D7</t>
  </si>
  <si>
    <t>https://analytics.zoho.com/open-view/2395394000008475310?ZOHO_CRITERIA=%228.1%20Permiso_circulaci%C3%B3n%22.%22Codreg%22%3D8</t>
  </si>
  <si>
    <t>https://analytics.zoho.com/open-view/2395394000008475310?ZOHO_CRITERIA=%228.1%20Permiso_circulaci%C3%B3n%22.%22Codreg%22%3D9</t>
  </si>
  <si>
    <t>https://analytics.zoho.com/open-view/2395394000008475310?ZOHO_CRITERIA=%228.1%20Permiso_circulaci%C3%B3n%22.%22Codreg%22%3D10</t>
  </si>
  <si>
    <t>https://analytics.zoho.com/open-view/2395394000008475310?ZOHO_CRITERIA=%228.1%20Permiso_circulaci%C3%B3n%22.%22Codreg%22%3D11</t>
  </si>
  <si>
    <t>https://analytics.zoho.com/open-view/2395394000008475310?ZOHO_CRITERIA=%228.1%20Permiso_circulaci%C3%B3n%22.%22Codreg%22%3D12</t>
  </si>
  <si>
    <t>https://analytics.zoho.com/open-view/2395394000008475310?ZOHO_CRITERIA=%228.1%20Permiso_circulaci%C3%B3n%22.%22Codreg%22%3D13</t>
  </si>
  <si>
    <t>https://analytics.zoho.com/open-view/2395394000008475310?ZOHO_CRITERIA=%228.1%20Permiso_circulaci%C3%B3n%22.%22Codreg%22%3D14</t>
  </si>
  <si>
    <t>https://analytics.zoho.com/open-view/2395394000008475310?ZOHO_CRITERIA=%228.1%20Permiso_circulaci%C3%B3n%22.%22Codreg%22%3D15</t>
  </si>
  <si>
    <t>https://analytics.zoho.com/open-view/2395394000008413167?ZOHO_CRITERIA=%228.3%20Licencias_conducir%22.%22Codreg%22%3D1</t>
  </si>
  <si>
    <t>https://analytics.zoho.com/open-view/2395394000008413167?ZOHO_CRITERIA=%228.3%20Licencias_conducir%22.%22Codreg%22%3D2</t>
  </si>
  <si>
    <t>https://analytics.zoho.com/open-view/2395394000008413167?ZOHO_CRITERIA=%228.3%20Licencias_conducir%22.%22Codreg%22%3D3</t>
  </si>
  <si>
    <t>https://analytics.zoho.com/open-view/2395394000008413167?ZOHO_CRITERIA=%228.3%20Licencias_conducir%22.%22Codreg%22%3D4</t>
  </si>
  <si>
    <t>https://analytics.zoho.com/open-view/2395394000008413167?ZOHO_CRITERIA=%228.3%20Licencias_conducir%22.%22Codreg%22%3D5</t>
  </si>
  <si>
    <t>https://analytics.zoho.com/open-view/2395394000008413167?ZOHO_CRITERIA=%228.3%20Licencias_conducir%22.%22Codreg%22%3D6</t>
  </si>
  <si>
    <t>https://analytics.zoho.com/open-view/2395394000008413167?ZOHO_CRITERIA=%228.3%20Licencias_conducir%22.%22Codreg%22%3D7</t>
  </si>
  <si>
    <t>https://analytics.zoho.com/open-view/2395394000008413167?ZOHO_CRITERIA=%228.3%20Licencias_conducir%22.%22Codreg%22%3D8</t>
  </si>
  <si>
    <t>https://analytics.zoho.com/open-view/2395394000008413167?ZOHO_CRITERIA=%228.3%20Licencias_conducir%22.%22Codreg%22%3D9</t>
  </si>
  <si>
    <t>https://analytics.zoho.com/open-view/2395394000008413167?ZOHO_CRITERIA=%228.3%20Licencias_conducir%22.%22Codreg%22%3D10</t>
  </si>
  <si>
    <t>https://analytics.zoho.com/open-view/2395394000008413167?ZOHO_CRITERIA=%228.3%20Licencias_conducir%22.%22Codreg%22%3D11</t>
  </si>
  <si>
    <t>https://analytics.zoho.com/open-view/2395394000008413167?ZOHO_CRITERIA=%228.3%20Licencias_conducir%22.%22Codreg%22%3D12</t>
  </si>
  <si>
    <t>https://analytics.zoho.com/open-view/2395394000008413167?ZOHO_CRITERIA=%228.3%20Licencias_conducir%22.%22Codreg%22%3D13</t>
  </si>
  <si>
    <t>https://analytics.zoho.com/open-view/2395394000008413167?ZOHO_CRITERIA=%228.3%20Licencias_conducir%22.%22Codreg%22%3D14</t>
  </si>
  <si>
    <t>https://analytics.zoho.com/open-view/2395394000008413167?ZOHO_CRITERIA=%228.3%20Licencias_conducir%22.%22Codreg%22%3D15</t>
  </si>
  <si>
    <t>Capacidad Instalada (MW) de Centrales Eléctricas por Tipo de Energía en la Región de Tarapacá, para el Año 2021</t>
  </si>
  <si>
    <t>https://analytics.zoho.com/open-view/2395394000008478582?ZOHO_CRITERIA=%2216%20Energ%C3%ADas%20Renovables%20y%20No%20Renovables%22.%22Cod_Regi%C3%B3n%22%20%3D%201</t>
  </si>
  <si>
    <t>Capacidad Instalada (MW) de Centrales Eléctricas por Tipo de Energía en la Región de Antofagasta, para el Año 2021</t>
  </si>
  <si>
    <t>https://analytics.zoho.com/open-view/2395394000008478582?ZOHO_CRITERIA=%2216%20Energ%C3%ADas%20Renovables%20y%20No%20Renovables%22.%22Cod_Regi%C3%B3n%22%20%3D%202</t>
  </si>
  <si>
    <t>Capacidad Instalada (MW) de Centrales Eléctricas por Tipo de Energía en la Región de Atacama, para el Año 2021</t>
  </si>
  <si>
    <t>https://analytics.zoho.com/open-view/2395394000008478582?ZOHO_CRITERIA=%2216%20Energ%C3%ADas%20Renovables%20y%20No%20Renovables%22.%22Cod_Regi%C3%B3n%22%20%3D%203</t>
  </si>
  <si>
    <t>Capacidad Instalada (MW) de Centrales Eléctricas por Tipo de Energía en la Región de Coquimbo, para el Año 2021</t>
  </si>
  <si>
    <t>https://analytics.zoho.com/open-view/2395394000008478582?ZOHO_CRITERIA=%2216%20Energ%C3%ADas%20Renovables%20y%20No%20Renovables%22.%22Cod_Regi%C3%B3n%22%20%3D%204</t>
  </si>
  <si>
    <t>Capacidad Instalada (MW) de Centrales Eléctricas por Tipo de Energía en la Región de Valparaíso, para el Año 2021</t>
  </si>
  <si>
    <t>https://analytics.zoho.com/open-view/2395394000008478582?ZOHO_CRITERIA=%2216%20Energ%C3%ADas%20Renovables%20y%20No%20Renovables%22.%22Cod_Regi%C3%B3n%22%20%3D%205</t>
  </si>
  <si>
    <t>Capacidad Instalada (MW) de Centrales Eléctricas por Tipo de Energía en la Región de O'Higgins, para el Año 2021</t>
  </si>
  <si>
    <t>https://analytics.zoho.com/open-view/2395394000008478582?ZOHO_CRITERIA=%2216%20Energ%C3%ADas%20Renovables%20y%20No%20Renovables%22.%22Cod_Regi%C3%B3n%22%20%3D%206</t>
  </si>
  <si>
    <t>Capacidad Instalada (MW) de Centrales Eléctricas por Tipo de Energía en la Región de Maule, para el Año 2021</t>
  </si>
  <si>
    <t>https://analytics.zoho.com/open-view/2395394000008478582?ZOHO_CRITERIA=%2216%20Energ%C3%ADas%20Renovables%20y%20No%20Renovables%22.%22Cod_Regi%C3%B3n%22%20%3D%207</t>
  </si>
  <si>
    <t>Capacidad Instalada (MW) de Centrales Eléctricas por Tipo de Energía en la Región del Biobío, para el Año 2021</t>
  </si>
  <si>
    <t>https://analytics.zoho.com/open-view/2395394000008478582?ZOHO_CRITERIA=%2216%20Energ%C3%ADas%20Renovables%20y%20No%20Renovables%22.%22Cod_Regi%C3%B3n%22%20%3D%208</t>
  </si>
  <si>
    <t>Capacidad Instalada (MW) de Centrales Eléctricas por Tipo de Energía en la Región de La Araucanía, para el Año 2021</t>
  </si>
  <si>
    <t>https://analytics.zoho.com/open-view/2395394000008478582?ZOHO_CRITERIA=%2216%20Energ%C3%ADas%20Renovables%20y%20No%20Renovables%22.%22Cod_Regi%C3%B3n%22%20%3D%209</t>
  </si>
  <si>
    <t>Capacidad Instalada (MW) de Centrales Eléctricas por Tipo de Energía en la Región de Los Lagos, para el Año 2021</t>
  </si>
  <si>
    <t>https://analytics.zoho.com/open-view/2395394000008478582?ZOHO_CRITERIA=%2216%20Energ%C3%ADas%20Renovables%20y%20No%20Renovables%22.%22Cod_Regi%C3%B3n%22%20%3D%2010</t>
  </si>
  <si>
    <t>Capacidad Instalada (MW) de Centrales Eléctricas por Tipo de Energía en la Región de Aysén, para el Año 2021</t>
  </si>
  <si>
    <t>https://analytics.zoho.com/open-view/2395394000008478582?ZOHO_CRITERIA=%2216%20Energ%C3%ADas%20Renovables%20y%20No%20Renovables%22.%22Cod_Regi%C3%B3n%22%20%3D%2011</t>
  </si>
  <si>
    <t>Capacidad Instalada (MW) de Centrales Eléctricas por Tipo de Energía en la Región de Magallanes, para el Año 2021</t>
  </si>
  <si>
    <t>https://analytics.zoho.com/open-view/2395394000008478582?ZOHO_CRITERIA=%2216%20Energ%C3%ADas%20Renovables%20y%20No%20Renovables%22.%22Cod_Regi%C3%B3n%22%20%3D%2012</t>
  </si>
  <si>
    <t>Capacidad Instalada (MW) de Centrales Eléctricas por Tipo de Energía en la Región Metropolitana, para el Año 2021</t>
  </si>
  <si>
    <t>https://analytics.zoho.com/open-view/2395394000008478582?ZOHO_CRITERIA=%2216%20Energ%C3%ADas%20Renovables%20y%20No%20Renovables%22.%22Cod_Regi%C3%B3n%22%20%3D%2013</t>
  </si>
  <si>
    <t>Cantidad de Centrales de Energía Renovable No Convencional por Comuna en la Región de Tarapacá, para el Año 2021</t>
  </si>
  <si>
    <t>https://analytics.zoho.com/open-view/2395394000008492075?ZOHO_CRITERIA=%2216%20Energ%C3%ADas%20Renovables%20y%20No%20Renovables%22.%22Cod_Regi%C3%B3n%22%20%3D%201</t>
  </si>
  <si>
    <t>Cantidad de Centrales de Energía Renovable No Convencional por Comuna en la Región de Antofagasta, para el Año 2021</t>
  </si>
  <si>
    <t>https://analytics.zoho.com/open-view/2395394000008492075?ZOHO_CRITERIA=%2216%20Energ%C3%ADas%20Renovables%20y%20No%20Renovables%22.%22Cod_Regi%C3%B3n%22%20%3D%202</t>
  </si>
  <si>
    <t>Cantidad de Centrales de Energía Renovable No Convencional por Comuna en la Región de Atacama, para el Año 2021</t>
  </si>
  <si>
    <t>https://analytics.zoho.com/open-view/2395394000008492075?ZOHO_CRITERIA=%2216%20Energ%C3%ADas%20Renovables%20y%20No%20Renovables%22.%22Cod_Regi%C3%B3n%22%20%3D%203</t>
  </si>
  <si>
    <t>Cantidad de Centrales de Energía Renovable No Convencional por Comuna en la Región de Coquimbo, para el Año 2021</t>
  </si>
  <si>
    <t>https://analytics.zoho.com/open-view/2395394000008492075?ZOHO_CRITERIA=%2216%20Energ%C3%ADas%20Renovables%20y%20No%20Renovables%22.%22Cod_Regi%C3%B3n%22%20%3D%204</t>
  </si>
  <si>
    <t>Cantidad de Centrales de Energía Renovable No Convencional por Comuna en la Región de Valparaíso, para el Año 2021</t>
  </si>
  <si>
    <t>https://analytics.zoho.com/open-view/2395394000008492075?ZOHO_CRITERIA=%2216%20Energ%C3%ADas%20Renovables%20y%20No%20Renovables%22.%22Cod_Regi%C3%B3n%22%20%3D%205</t>
  </si>
  <si>
    <t>Cantidad de Centrales de Energía Renovable No Convencional por Comuna en la Región de O'Higgins, para el Año 2021</t>
  </si>
  <si>
    <t>https://analytics.zoho.com/open-view/2395394000008492075?ZOHO_CRITERIA=%2216%20Energ%C3%ADas%20Renovables%20y%20No%20Renovables%22.%22Cod_Regi%C3%B3n%22%20%3D%206</t>
  </si>
  <si>
    <t>Cantidad de Centrales de Energía Renovable No Convencional por Comuna en la Región de Maule, para el Año 2021</t>
  </si>
  <si>
    <t>https://analytics.zoho.com/open-view/2395394000008492075?ZOHO_CRITERIA=%2216%20Energ%C3%ADas%20Renovables%20y%20No%20Renovables%22.%22Cod_Regi%C3%B3n%22%20%3D%207</t>
  </si>
  <si>
    <t>Cantidad de Centrales de Energía Renovable No Convencional por Comuna en la Región del Biobío, para el Año 2021</t>
  </si>
  <si>
    <t>https://analytics.zoho.com/open-view/2395394000008492075?ZOHO_CRITERIA=%2216%20Energ%C3%ADas%20Renovables%20y%20No%20Renovables%22.%22Cod_Regi%C3%B3n%22%20%3D%208</t>
  </si>
  <si>
    <t>Cantidad de Centrales de Energía Renovable No Convencional por Comuna en la Región de La Araucanía, para el Año 2021</t>
  </si>
  <si>
    <t>https://analytics.zoho.com/open-view/2395394000008492075?ZOHO_CRITERIA=%2216%20Energ%C3%ADas%20Renovables%20y%20No%20Renovables%22.%22Cod_Regi%C3%B3n%22%20%3D%209</t>
  </si>
  <si>
    <t>Cantidad de Centrales de Energía Renovable No Convencional por Comuna en la Región de Los Lagos, para el Año 2021</t>
  </si>
  <si>
    <t>https://analytics.zoho.com/open-view/2395394000008492075?ZOHO_CRITERIA=%2216%20Energ%C3%ADas%20Renovables%20y%20No%20Renovables%22.%22Cod_Regi%C3%B3n%22%20%3D%2010</t>
  </si>
  <si>
    <t>Cantidad de Centrales de Energía Renovable No Convencional por Comuna en la Región de Aysén, para el Año 2021</t>
  </si>
  <si>
    <t>https://analytics.zoho.com/open-view/2395394000008492075?ZOHO_CRITERIA=%2216%20Energ%C3%ADas%20Renovables%20y%20No%20Renovables%22.%22Cod_Regi%C3%B3n%22%20%3D%2011</t>
  </si>
  <si>
    <t>Cantidad de Centrales de Energía Renovable No Convencional por Comuna en la Región de Magallanes, para el Año 2021</t>
  </si>
  <si>
    <t>https://analytics.zoho.com/open-view/2395394000008492075?ZOHO_CRITERIA=%2216%20Energ%C3%ADas%20Renovables%20y%20No%20Renovables%22.%22Cod_Regi%C3%B3n%22%20%3D%2012</t>
  </si>
  <si>
    <t>https://analytics.zoho.com/open-view/2395394000008516725?ZOHO_CRITERIA=%22Localiza%20CL%22.%22Codreg%22%20%3D%201</t>
  </si>
  <si>
    <t>https://analytics.zoho.com/open-view/2395394000008516725?ZOHO_CRITERIA=%22Localiza%20CL%22.%22Codreg%22%20%3D%202</t>
  </si>
  <si>
    <t>https://analytics.zoho.com/open-view/2395394000008516725?ZOHO_CRITERIA=%22Localiza%20CL%22.%22Codreg%22%20%3D%203</t>
  </si>
  <si>
    <t>https://analytics.zoho.com/open-view/2395394000008516725?ZOHO_CRITERIA=%22Localiza%20CL%22.%22Codreg%22%20%3D%204</t>
  </si>
  <si>
    <t>https://analytics.zoho.com/open-view/2395394000008516725?ZOHO_CRITERIA=%22Localiza%20CL%22.%22Codreg%22%20%3D%205</t>
  </si>
  <si>
    <t>https://analytics.zoho.com/open-view/2395394000008516725?ZOHO_CRITERIA=%22Localiza%20CL%22.%22Codreg%22%20%3D%206</t>
  </si>
  <si>
    <t>https://analytics.zoho.com/open-view/2395394000008516725?ZOHO_CRITERIA=%22Localiza%20CL%22.%22Codreg%22%20%3D%207</t>
  </si>
  <si>
    <t>https://analytics.zoho.com/open-view/2395394000008516725?ZOHO_CRITERIA=%22Localiza%20CL%22.%22Codreg%22%20%3D%208</t>
  </si>
  <si>
    <t>https://analytics.zoho.com/open-view/2395394000008516725?ZOHO_CRITERIA=%22Localiza%20CL%22.%22Codreg%22%20%3D%209</t>
  </si>
  <si>
    <t>https://analytics.zoho.com/open-view/2395394000008516725?ZOHO_CRITERIA=%22Localiza%20CL%22.%22Codreg%22%20%3D%2010</t>
  </si>
  <si>
    <t>https://analytics.zoho.com/open-view/2395394000008516725?ZOHO_CRITERIA=%22Localiza%20CL%22.%22Codreg%22%20%3D%2011</t>
  </si>
  <si>
    <t>Volumen de las importaciones en kilogramo según tipo de terminal de entrada en Chile, Periodo 2015-2021</t>
  </si>
  <si>
    <t>Volumen de las importaciones en kilogramo según tipo de terminal de entrada en la Región de Tarapacá, Periodo 2015-2021</t>
  </si>
  <si>
    <t>https://analytics.zoho.com/open-view/2395394000008461682?ZOHO_CRITERIA=%221.1%20Lugar_Salida_Entrada%22.%22C%C3%B3digo%20Regi%C3%B3n%22%3D1</t>
  </si>
  <si>
    <t>Volumen de las importaciones en kilogramo según tipo de terminal de entrada en la Región de Antofagasta, Periodo 2015-2021</t>
  </si>
  <si>
    <t>https://analytics.zoho.com/open-view/2395394000008461682?ZOHO_CRITERIA=%221.1%20Lugar_Salida_Entrada%22.%22C%C3%B3digo%20Regi%C3%B3n%22%3D2</t>
  </si>
  <si>
    <t>Volumen de las importaciones en kilogramo según tipo de terminal de entrada en la Región de Atacama, Periodo 2015-2021</t>
  </si>
  <si>
    <t>https://analytics.zoho.com/open-view/2395394000008461682?ZOHO_CRITERIA=%221.1%20Lugar_Salida_Entrada%22.%22C%C3%B3digo%20Regi%C3%B3n%22%3D3</t>
  </si>
  <si>
    <t>Volumen de las importaciones en kilogramo según tipo de terminal de entrada en la Región de Coquimbo, Periodo 2015-2021</t>
  </si>
  <si>
    <t>https://analytics.zoho.com/open-view/2395394000008461682?ZOHO_CRITERIA=%221.1%20Lugar_Salida_Entrada%22.%22C%C3%B3digo%20Regi%C3%B3n%22%3D4</t>
  </si>
  <si>
    <t>Volumen de las importaciones en kilogramo según tipo de terminal de entrada en la Región de Valparaíso, Periodo 2015-2021</t>
  </si>
  <si>
    <t>https://analytics.zoho.com/open-view/2395394000008461682?ZOHO_CRITERIA=%221.1%20Lugar_Salida_Entrada%22.%22C%C3%B3digo%20Regi%C3%B3n%22%3D5</t>
  </si>
  <si>
    <t>Volumen de las importaciones en kilogramo según tipo de terminal de entrada en la Región de O'Higgins, Periodo 2015-2021</t>
  </si>
  <si>
    <t>https://analytics.zoho.com/open-view/2395394000008461682?ZOHO_CRITERIA=%221.1%20Lugar_Salida_Entrada%22.%22C%C3%B3digo%20Regi%C3%B3n%22%3D6</t>
  </si>
  <si>
    <t>Volumen de las importaciones en kilogramo según tipo de terminal de entrada en la Región de Maule, Periodo 2015-2021</t>
  </si>
  <si>
    <t>https://analytics.zoho.com/open-view/2395394000008461682?ZOHO_CRITERIA=%221.1%20Lugar_Salida_Entrada%22.%22C%C3%B3digo%20Regi%C3%B3n%22%3D7</t>
  </si>
  <si>
    <t>Volumen de las importaciones en kilogramo según tipo de terminal de entrada en la Región del Biobío, Periodo 2015-2021</t>
  </si>
  <si>
    <t>https://analytics.zoho.com/open-view/2395394000008461682?ZOHO_CRITERIA=%221.1%20Lugar_Salida_Entrada%22.%22C%C3%B3digo%20Regi%C3%B3n%22%3D8</t>
  </si>
  <si>
    <t>Volumen de las importaciones en kilogramo según tipo de terminal de entrada en la Región de La Araucanía, Periodo 2015-2021</t>
  </si>
  <si>
    <t>https://analytics.zoho.com/open-view/2395394000008461682?ZOHO_CRITERIA=%221.1%20Lugar_Salida_Entrada%22.%22C%C3%B3digo%20Regi%C3%B3n%22%3D9</t>
  </si>
  <si>
    <t>Volumen de las importaciones en kilogramo según tipo de terminal de entrada en la Región de Los Lagos, Periodo 2015-2021</t>
  </si>
  <si>
    <t>https://analytics.zoho.com/open-view/2395394000008461682?ZOHO_CRITERIA=%221.1%20Lugar_Salida_Entrada%22.%22C%C3%B3digo%20Regi%C3%B3n%22%3D10</t>
  </si>
  <si>
    <t>Volumen de las importaciones en kilogramo según tipo de terminal de entrada en la Región de Aysén, Periodo 2015-2021</t>
  </si>
  <si>
    <t>https://analytics.zoho.com/open-view/2395394000008461682?ZOHO_CRITERIA=%221.1%20Lugar_Salida_Entrada%22.%22C%C3%B3digo%20Regi%C3%B3n%22%3D11</t>
  </si>
  <si>
    <t>Volumen de las importaciones en kilogramo según tipo de terminal de entrada en la Región de Magallanes, Periodo 2015-2021</t>
  </si>
  <si>
    <t>https://analytics.zoho.com/open-view/2395394000008461682?ZOHO_CRITERIA=%221.1%20Lugar_Salida_Entrada%22.%22C%C3%B3digo%20Regi%C3%B3n%22%3D12</t>
  </si>
  <si>
    <t>Volumen de las importaciones en kilogramo según tipo de terminal de entrada en la Región Metropolitana, Periodo 2015-2021</t>
  </si>
  <si>
    <t>https://analytics.zoho.com/open-view/2395394000008461682?ZOHO_CRITERIA=%221.1%20Lugar_Salida_Entrada%22.%22C%C3%B3digo%20Regi%C3%B3n%22%3D13</t>
  </si>
  <si>
    <t>Volumen de las importaciones en kilogramo según tipo de terminal de entrada en la Región de Los Ríos, Periodo 2015-2021</t>
  </si>
  <si>
    <t>https://analytics.zoho.com/open-view/2395394000008461682?ZOHO_CRITERIA=%221.1%20Lugar_Salida_Entrada%22.%22C%C3%B3digo%20Regi%C3%B3n%22%3D14</t>
  </si>
  <si>
    <t>Volumen de las importaciones en kilogramo según tipo de terminal de entrada en la Región de Arica y Parinacota, Periodo 2015-2021</t>
  </si>
  <si>
    <t>https://analytics.zoho.com/open-view/2395394000008461682?ZOHO_CRITERIA=%221.1%20Lugar_Salida_Entrada%22.%22C%C3%B3digo%20Regi%C3%B3n%22%3D15</t>
  </si>
  <si>
    <t>Valor de las exportaciones en USD según terminal de salida para Chile, Periodo 2015-2021</t>
  </si>
  <si>
    <t>Valor de las exportaciones en USD según terminal de salida para la Región de Tarapacá, Periodo 2015-2021</t>
  </si>
  <si>
    <t>https://analytics.zoho.com/open-view/2395394000008189059?ZOHO_CRITERIA=%221.1%20Lugar_Salida_Entrada%22.%22C%C3%B3digo%20Regi%C3%B3n%22%3D1</t>
  </si>
  <si>
    <t>Valor de las exportaciones en USD según terminal de salida para la Región de Antofagasta, Periodo 2015-2021</t>
  </si>
  <si>
    <t>https://analytics.zoho.com/open-view/2395394000008189059?ZOHO_CRITERIA=%221.1%20Lugar_Salida_Entrada%22.%22C%C3%B3digo%20Regi%C3%B3n%22%3D2</t>
  </si>
  <si>
    <t>Valor de las exportaciones en USD según terminal de salida para la Región de Atacama, Periodo 2015-2021</t>
  </si>
  <si>
    <t>https://analytics.zoho.com/open-view/2395394000008189059?ZOHO_CRITERIA=%221.1%20Lugar_Salida_Entrada%22.%22C%C3%B3digo%20Regi%C3%B3n%22%3D3</t>
  </si>
  <si>
    <t>Valor de las exportaciones en USD según terminal de salida para la Región de Coquimbo, Periodo 2015-2021</t>
  </si>
  <si>
    <t>https://analytics.zoho.com/open-view/2395394000008189059?ZOHO_CRITERIA=%221.1%20Lugar_Salida_Entrada%22.%22C%C3%B3digo%20Regi%C3%B3n%22%3D4</t>
  </si>
  <si>
    <t>Valor de las exportaciones en USD según terminal de salida para la Región de Valparaíso, Periodo 2015-2021</t>
  </si>
  <si>
    <t>https://analytics.zoho.com/open-view/2395394000008189059?ZOHO_CRITERIA=%221.1%20Lugar_Salida_Entrada%22.%22C%C3%B3digo%20Regi%C3%B3n%22%3D5</t>
  </si>
  <si>
    <t>Valor de las exportaciones en USD según terminal de salida para la Región de O'Higgins, Periodo 2015-2021</t>
  </si>
  <si>
    <t>https://analytics.zoho.com/open-view/2395394000008189059?ZOHO_CRITERIA=%221.1%20Lugar_Salida_Entrada%22.%22C%C3%B3digo%20Regi%C3%B3n%22%3D6</t>
  </si>
  <si>
    <t>Valor de las exportaciones en USD según terminal de salida para la Región de Maule, Periodo 2015-2021</t>
  </si>
  <si>
    <t>https://analytics.zoho.com/open-view/2395394000008189059?ZOHO_CRITERIA=%221.1%20Lugar_Salida_Entrada%22.%22C%C3%B3digo%20Regi%C3%B3n%22%3D7</t>
  </si>
  <si>
    <t>Valor de las exportaciones en USD según terminal de salida para la Región del Biobío, Periodo 2015-2021</t>
  </si>
  <si>
    <t>https://analytics.zoho.com/open-view/2395394000008189059?ZOHO_CRITERIA=%221.1%20Lugar_Salida_Entrada%22.%22C%C3%B3digo%20Regi%C3%B3n%22%3D8</t>
  </si>
  <si>
    <t>Valor de las exportaciones en USD según terminal de salida para la Región de La Araucanía, Periodo 2015-2021</t>
  </si>
  <si>
    <t>https://analytics.zoho.com/open-view/2395394000008189059?ZOHO_CRITERIA=%221.1%20Lugar_Salida_Entrada%22.%22C%C3%B3digo%20Regi%C3%B3n%22%3D9</t>
  </si>
  <si>
    <t>Valor de las exportaciones en USD según terminal de salida para la Región de Los Lagos, Periodo 2015-2021</t>
  </si>
  <si>
    <t>https://analytics.zoho.com/open-view/2395394000008189059?ZOHO_CRITERIA=%221.1%20Lugar_Salida_Entrada%22.%22C%C3%B3digo%20Regi%C3%B3n%22%3D10</t>
  </si>
  <si>
    <t>Valor de las exportaciones en USD según terminal de salida para la Región de Aysén, Periodo 2015-2021</t>
  </si>
  <si>
    <t>https://analytics.zoho.com/open-view/2395394000008189059?ZOHO_CRITERIA=%221.1%20Lugar_Salida_Entrada%22.%22C%C3%B3digo%20Regi%C3%B3n%22%3D11</t>
  </si>
  <si>
    <t>Valor de las exportaciones en USD según terminal de salida para la Región de Magallanes, Periodo 2015-2021</t>
  </si>
  <si>
    <t>https://analytics.zoho.com/open-view/2395394000008189059?ZOHO_CRITERIA=%221.1%20Lugar_Salida_Entrada%22.%22C%C3%B3digo%20Regi%C3%B3n%22%3D12</t>
  </si>
  <si>
    <t>Valor de las exportaciones en USD según terminal de salida para la Región Metropolitana, Periodo 2015-2021</t>
  </si>
  <si>
    <t>https://analytics.zoho.com/open-view/2395394000008189059?ZOHO_CRITERIA=%221.1%20Lugar_Salida_Entrada%22.%22C%C3%B3digo%20Regi%C3%B3n%22%3D13</t>
  </si>
  <si>
    <t>Valor de las exportaciones en USD según terminal de salida para la Región de Los Ríos, Periodo 2015-2021</t>
  </si>
  <si>
    <t>https://analytics.zoho.com/open-view/2395394000008189059?ZOHO_CRITERIA=%221.1%20Lugar_Salida_Entrada%22.%22C%C3%B3digo%20Regi%C3%B3n%22%3D14</t>
  </si>
  <si>
    <t>https://analytics.zoho.com/open-view/2395394000008532260?ZOHO_CRITERIA=%221.1%20Lugar_Salida_Entrada%22.%22C%C3%B3digo%20Regi%C3%B3n%22%3D1</t>
  </si>
  <si>
    <t>https://analytics.zoho.com/open-view/2395394000008532260?ZOHO_CRITERIA=%221.1%20Lugar_Salida_Entrada%22.%22C%C3%B3digo%20Regi%C3%B3n%22%3D2</t>
  </si>
  <si>
    <t>https://analytics.zoho.com/open-view/2395394000008532260?ZOHO_CRITERIA=%221.1%20Lugar_Salida_Entrada%22.%22C%C3%B3digo%20Regi%C3%B3n%22%3D3</t>
  </si>
  <si>
    <t>https://analytics.zoho.com/open-view/2395394000008532260?ZOHO_CRITERIA=%221.1%20Lugar_Salida_Entrada%22.%22C%C3%B3digo%20Regi%C3%B3n%22%3D4</t>
  </si>
  <si>
    <t>https://analytics.zoho.com/open-view/2395394000008532260?ZOHO_CRITERIA=%221.1%20Lugar_Salida_Entrada%22.%22C%C3%B3digo%20Regi%C3%B3n%22%3D5</t>
  </si>
  <si>
    <t>https://analytics.zoho.com/open-view/2395394000008532260?ZOHO_CRITERIA=%221.1%20Lugar_Salida_Entrada%22.%22C%C3%B3digo%20Regi%C3%B3n%22%3D6</t>
  </si>
  <si>
    <t>https://analytics.zoho.com/open-view/2395394000008532260?ZOHO_CRITERIA=%221.1%20Lugar_Salida_Entrada%22.%22C%C3%B3digo%20Regi%C3%B3n%22%3D7</t>
  </si>
  <si>
    <t>https://analytics.zoho.com/open-view/2395394000008532260?ZOHO_CRITERIA=%221.1%20Lugar_Salida_Entrada%22.%22C%C3%B3digo%20Regi%C3%B3n%22%3D8</t>
  </si>
  <si>
    <t>https://analytics.zoho.com/open-view/2395394000008532260?ZOHO_CRITERIA=%221.1%20Lugar_Salida_Entrada%22.%22C%C3%B3digo%20Regi%C3%B3n%22%3D9</t>
  </si>
  <si>
    <t>https://analytics.zoho.com/open-view/2395394000008532260?ZOHO_CRITERIA=%221.1%20Lugar_Salida_Entrada%22.%22C%C3%B3digo%20Regi%C3%B3n%22%3D10</t>
  </si>
  <si>
    <t>https://analytics.zoho.com/open-view/2395394000008532260?ZOHO_CRITERIA=%221.1%20Lugar_Salida_Entrada%22.%22C%C3%B3digo%20Regi%C3%B3n%22%3D11</t>
  </si>
  <si>
    <t>https://analytics.zoho.com/open-view/2395394000008532260?ZOHO_CRITERIA=%221.1%20Lugar_Salida_Entrada%22.%22C%C3%B3digo%20Regi%C3%B3n%22%3D12</t>
  </si>
  <si>
    <t>https://analytics.zoho.com/open-view/2395394000008532260?ZOHO_CRITERIA=%221.1%20Lugar_Salida_Entrada%22.%22C%C3%B3digo%20Regi%C3%B3n%22%3D13</t>
  </si>
  <si>
    <t>https://analytics.zoho.com/open-view/2395394000008532260?ZOHO_CRITERIA=%221.1%20Lugar_Salida_Entrada%22.%22C%C3%B3digo%20Regi%C3%B3n%22%3D14</t>
  </si>
  <si>
    <t>https://analytics.zoho.com/open-view/2395394000008532260?ZOHO_CRITERIA=%221.1%20Lugar_Salida_Entrada%22.%22C%C3%B3digo%20Regi%C3%B3n%22%3D15</t>
  </si>
  <si>
    <t>Cantidad de Parques Urbanos por Comuna en la Región de Tarapacá, Año 2020</t>
  </si>
  <si>
    <t>https://analytics.zoho.com/open-view/2395394000008464607?ZOHO_CRITERIA=%22Localiza%20CL%22.%22Codreg%22%20%3D%201</t>
  </si>
  <si>
    <t>Cantidad de Parques Urbanos por Comuna en la Región de Antofagasta, Año 2020</t>
  </si>
  <si>
    <t>https://analytics.zoho.com/open-view/2395394000008464607?ZOHO_CRITERIA=%22Localiza%20CL%22.%22Codreg%22%20%3D%202</t>
  </si>
  <si>
    <t>Cantidad de Parques Urbanos por Comuna en la Región de Atacama, Año 2020</t>
  </si>
  <si>
    <t>https://analytics.zoho.com/open-view/2395394000008464607?ZOHO_CRITERIA=%22Localiza%20CL%22.%22Codreg%22%20%3D%203</t>
  </si>
  <si>
    <t>Cantidad de Parques Urbanos por Comuna en la Región de Coquimbo, Año 2020</t>
  </si>
  <si>
    <t>https://analytics.zoho.com/open-view/2395394000008464607?ZOHO_CRITERIA=%22Localiza%20CL%22.%22Codreg%22%20%3D%204</t>
  </si>
  <si>
    <t>Cantidad de Parques Urbanos por Comuna en la Región de Valparaíso, Año 2020</t>
  </si>
  <si>
    <t>https://analytics.zoho.com/open-view/2395394000008464607?ZOHO_CRITERIA=%22Localiza%20CL%22.%22Codreg%22%20%3D%205</t>
  </si>
  <si>
    <t>Cantidad de Parques Urbanos por Comuna en la Región de O'Higgins, Año 2020</t>
  </si>
  <si>
    <t>https://analytics.zoho.com/open-view/2395394000008464607?ZOHO_CRITERIA=%22Localiza%20CL%22.%22Codreg%22%20%3D%206</t>
  </si>
  <si>
    <t>Cantidad de Parques Urbanos por Comuna en la Región de Maule, Año 2020</t>
  </si>
  <si>
    <t>https://analytics.zoho.com/open-view/2395394000008464607?ZOHO_CRITERIA=%22Localiza%20CL%22.%22Codreg%22%20%3D%207</t>
  </si>
  <si>
    <t>Cantidad de Parques Urbanos por Comuna en la Región del Biobío, Año 2020</t>
  </si>
  <si>
    <t>https://analytics.zoho.com/open-view/2395394000008464607?ZOHO_CRITERIA=%22Localiza%20CL%22.%22Codreg%22%20%3D%208</t>
  </si>
  <si>
    <t>Cantidad de Parques Urbanos por Comuna en la Región de La Araucanía, Año 2020</t>
  </si>
  <si>
    <t>https://analytics.zoho.com/open-view/2395394000008464607?ZOHO_CRITERIA=%22Localiza%20CL%22.%22Codreg%22%20%3D%209</t>
  </si>
  <si>
    <t>Cantidad de Parques Urbanos por Comuna en la Región de Los Lagos, Año 2020</t>
  </si>
  <si>
    <t>https://analytics.zoho.com/open-view/2395394000008464607?ZOHO_CRITERIA=%22Localiza%20CL%22.%22Codreg%22%20%3D%2010</t>
  </si>
  <si>
    <t>Cantidad de Parques Urbanos por Comuna en la Región de Aysén, Año 2020</t>
  </si>
  <si>
    <t>https://analytics.zoho.com/open-view/2395394000008464607?ZOHO_CRITERIA=%22Localiza%20CL%22.%22Codreg%22%20%3D%2011</t>
  </si>
  <si>
    <t>Cantidad de Parques Urbanos por Comuna en la Región de Magallanes, Año 2020</t>
  </si>
  <si>
    <t>https://analytics.zoho.com/open-view/2395394000008464607?ZOHO_CRITERIA=%22Localiza%20CL%22.%22Codreg%22%20%3D%2012</t>
  </si>
  <si>
    <t>Cantidad de Parques Urbanos por Comuna en la Región Metropolitana, Año 2020</t>
  </si>
  <si>
    <t>https://analytics.zoho.com/open-view/2395394000008464607?ZOHO_CRITERIA=%22Localiza%20CL%22.%22Codreg%22%20%3D%2013</t>
  </si>
  <si>
    <t>Cantidad de Parques Urbanos por Comuna en la Región de Los Ríos, Año 2020</t>
  </si>
  <si>
    <t>https://analytics.zoho.com/open-view/2395394000008464607?ZOHO_CRITERIA=%22Localiza%20CL%22.%22Codreg%22%20%3D%2014</t>
  </si>
  <si>
    <t>Cantidad de Parques Urbanos por Comuna en la Región de Arica y Parinacota, Año 2020</t>
  </si>
  <si>
    <t>https://analytics.zoho.com/open-view/2395394000008464607?ZOHO_CRITERIA=%22Localiza%20CL%22.%22Codreg%22%20%3D%2015</t>
  </si>
  <si>
    <t>https://analytics.zoho.com/open-view/2395394000008464727?ZOHO_CRITERIA=%22Localiza%20CL%22.%22Codreg%22%20%3D%201</t>
  </si>
  <si>
    <t>https://analytics.zoho.com/open-view/2395394000008464727?ZOHO_CRITERIA=%22Localiza%20CL%22.%22Codreg%22%20%3D%202</t>
  </si>
  <si>
    <t>https://analytics.zoho.com/open-view/2395394000008464727?ZOHO_CRITERIA=%22Localiza%20CL%22.%22Codreg%22%20%3D%203</t>
  </si>
  <si>
    <t>https://analytics.zoho.com/open-view/2395394000008464727?ZOHO_CRITERIA=%22Localiza%20CL%22.%22Codreg%22%20%3D%204</t>
  </si>
  <si>
    <t>https://analytics.zoho.com/open-view/2395394000008464727?ZOHO_CRITERIA=%22Localiza%20CL%22.%22Codreg%22%20%3D%205</t>
  </si>
  <si>
    <t>https://analytics.zoho.com/open-view/2395394000008464727?ZOHO_CRITERIA=%22Localiza%20CL%22.%22Codreg%22%20%3D%206</t>
  </si>
  <si>
    <t>https://analytics.zoho.com/open-view/2395394000008464727?ZOHO_CRITERIA=%22Localiza%20CL%22.%22Codreg%22%20%3D%207</t>
  </si>
  <si>
    <t>https://analytics.zoho.com/open-view/2395394000008464727?ZOHO_CRITERIA=%22Localiza%20CL%22.%22Codreg%22%20%3D%208</t>
  </si>
  <si>
    <t>https://analytics.zoho.com/open-view/2395394000008464727?ZOHO_CRITERIA=%22Localiza%20CL%22.%22Codreg%22%20%3D%209</t>
  </si>
  <si>
    <t>https://analytics.zoho.com/open-view/2395394000008464727?ZOHO_CRITERIA=%22Localiza%20CL%22.%22Codreg%22%20%3D%2010</t>
  </si>
  <si>
    <t>https://analytics.zoho.com/open-view/2395394000008464727?ZOHO_CRITERIA=%22Localiza%20CL%22.%22Codreg%22%20%3D%2011</t>
  </si>
  <si>
    <t>https://analytics.zoho.com/open-view/2395394000008464727?ZOHO_CRITERIA=%22Localiza%20CL%22.%22Codreg%22%20%3D%2012</t>
  </si>
  <si>
    <t>https://analytics.zoho.com/open-view/2395394000008464727?ZOHO_CRITERIA=%22Localiza%20CL%22.%22Codreg%22%20%3D%2013</t>
  </si>
  <si>
    <t>https://analytics.zoho.com/open-view/2395394000008464727?ZOHO_CRITERIA=%22Localiza%20CL%22.%22Codreg%22%20%3D%2014</t>
  </si>
  <si>
    <t>https://analytics.zoho.com/open-view/2395394000008464727?ZOHO_CRITERIA=%22Localiza%20CL%22.%22Codreg%22%20%3D%2015</t>
  </si>
  <si>
    <t>https://analytics.zoho.com/open-view/2395394000008478003?ZOHO_CRITERIA=%22Localiza%20CL%22.%22Codreg%22%20%3D%201</t>
  </si>
  <si>
    <t>https://analytics.zoho.com/open-view/2395394000008478003?ZOHO_CRITERIA=%22Localiza%20CL%22.%22Codreg%22%20%3D%202</t>
  </si>
  <si>
    <t>https://analytics.zoho.com/open-view/2395394000008478003?ZOHO_CRITERIA=%22Localiza%20CL%22.%22Codreg%22%20%3D%203</t>
  </si>
  <si>
    <t>https://analytics.zoho.com/open-view/2395394000008478003?ZOHO_CRITERIA=%22Localiza%20CL%22.%22Codreg%22%20%3D%204</t>
  </si>
  <si>
    <t>https://analytics.zoho.com/open-view/2395394000008478003?ZOHO_CRITERIA=%22Localiza%20CL%22.%22Codreg%22%20%3D%205</t>
  </si>
  <si>
    <t>https://analytics.zoho.com/open-view/2395394000008478003?ZOHO_CRITERIA=%22Localiza%20CL%22.%22Codreg%22%20%3D%206</t>
  </si>
  <si>
    <t>https://analytics.zoho.com/open-view/2395394000008478003?ZOHO_CRITERIA=%22Localiza%20CL%22.%22Codreg%22%20%3D%207</t>
  </si>
  <si>
    <t>https://analytics.zoho.com/open-view/2395394000008478003?ZOHO_CRITERIA=%22Localiza%20CL%22.%22Codreg%22%20%3D%208</t>
  </si>
  <si>
    <t>https://analytics.zoho.com/open-view/2395394000008478003?ZOHO_CRITERIA=%22Localiza%20CL%22.%22Codreg%22%20%3D%209</t>
  </si>
  <si>
    <t>https://analytics.zoho.com/open-view/2395394000008478003?ZOHO_CRITERIA=%22Localiza%20CL%22.%22Codreg%22%20%3D%2010</t>
  </si>
  <si>
    <t>https://analytics.zoho.com/open-view/2395394000008478003?ZOHO_CRITERIA=%22Localiza%20CL%22.%22Codreg%22%20%3D%2011</t>
  </si>
  <si>
    <t>https://analytics.zoho.com/open-view/2395394000008478003?ZOHO_CRITERIA=%22Localiza%20CL%22.%22Codreg%22%20%3D%2012</t>
  </si>
  <si>
    <t>https://analytics.zoho.com/open-view/2395394000008478003?ZOHO_CRITERIA=%22Localiza%20CL%22.%22Codreg%22%20%3D%2013</t>
  </si>
  <si>
    <t>Tránsito</t>
  </si>
  <si>
    <t>Cantidad de Establecimientos de la Salud por Región en Chile, Año 2021</t>
  </si>
  <si>
    <t>Chile nacional región establecimientos salud proporción hospitales clínicas cesfam sapu postas laboratorios dentales clínicos alta baja media complejidad diálisis vacunatorios consultorio</t>
  </si>
  <si>
    <t>Región de Tarapacá regional establecimientos salud proporción hospitales clínicas cesfam sapu postas laboratorios dentales clínicos alta baja media complejidad diálisis vacunatorios consultorio</t>
  </si>
  <si>
    <t>Región de Antofagasta regional establecimientos salud proporción hospitales clínicas cesfam sapu postas laboratorios dentales clínicos alta baja media complejidad diálisis vacunatorios consultorio</t>
  </si>
  <si>
    <t>Región de Atacama regional establecimientos salud proporción hospitales clínicas cesfam sapu postas laboratorios dentales clínicos alta baja media complejidad diálisis vacunatorios consultorio</t>
  </si>
  <si>
    <t>Región de Coquimbo regional establecimientos salud proporción hospitales clínicas cesfam sapu postas laboratorios dentales clínicos alta baja media complejidad diálisis vacunatorios consultorio</t>
  </si>
  <si>
    <t>Región de Valparaíso regional establecimientos salud proporción hospitales clínicas cesfam sapu postas laboratorios dentales clínicos alta baja media complejidad diálisis vacunatorios consultorio</t>
  </si>
  <si>
    <t>Región de O'Higgins regional establecimientos salud proporción hospitales clínicas cesfam sapu postas laboratorios dentales clínicos alta baja media complejidad diálisis vacunatorios consultorio</t>
  </si>
  <si>
    <t>Región de Maule regional establecimientos salud proporción hospitales clínicas cesfam sapu postas laboratorios dentales clínicos alta baja media complejidad diálisis vacunatorios consultorio</t>
  </si>
  <si>
    <t>Región del Biobío regional establecimientos salud proporción hospitales clínicas cesfam sapu postas laboratorios dentales clínicos alta baja media complejidad diálisis vacunatorios consultorio</t>
  </si>
  <si>
    <t>Región de La Araucanía regional establecimientos salud proporción hospitales clínicas cesfam sapu postas laboratorios dentales clínicos alta baja media complejidad diálisis vacunatorios consultorio</t>
  </si>
  <si>
    <t>Región de Los Lagos regional establecimientos salud proporción hospitales clínicas cesfam sapu postas laboratorios dentales clínicos alta baja media complejidad diálisis vacunatorios consultorio</t>
  </si>
  <si>
    <t>Región de Aysén regional establecimientos salud proporción hospitales clínicas cesfam sapu postas laboratorios dentales clínicos alta baja media complejidad diálisis vacunatorios consultorio</t>
  </si>
  <si>
    <t>Región de Magallanes regional establecimientos salud proporción hospitales clínicas cesfam sapu postas laboratorios dentales clínicos alta baja media complejidad diálisis vacunatorios consultorio</t>
  </si>
  <si>
    <t>Región Metropolitana regional establecimientos salud proporción hospitales clínicas cesfam sapu postas laboratorios dentales clínicos alta baja media complejidad diálisis vacunatorios consultorio</t>
  </si>
  <si>
    <t>Región de Los Ríos regional establecimientos salud proporción hospitales clínicas cesfam sapu postas laboratorios dentales clínicos alta baja media complejidad diálisis vacunatorios consultorio</t>
  </si>
  <si>
    <t>Región de Arica y Parinacota regional establecimientos salud proporción hospitales clínicas cesfam sapu postas laboratorios dentales clínicos alta baja media complejidad diálisis vacunatorios consultorio</t>
  </si>
  <si>
    <t>Cantidad de Establecimientos de la Salud en la Región de Ñuble, Año 2021</t>
  </si>
  <si>
    <t>Región de Ñuble regional establecimientos salud proporción hospitales clínicas cesfam sapu postas laboratorios dentales clínicos alta baja media complejidad diálisis vacunatorios consultorio</t>
  </si>
  <si>
    <t>https://analytics.zoho.com/open-view/2395394000008516451?ZOHO_CRITERIA=%222.1%22.%22C%C3%B3digo%20Regi%C3%B3n%22%20%3D%2016</t>
  </si>
  <si>
    <t>Cantidad de Establecimientos de la Salud por Comuna en Chile, Año 2021</t>
  </si>
  <si>
    <t>Chile nacional región establecimientos salud tipo mapa hospitales clínicas cesfam sapu postas laboratorios dentales clínicos alta baja media complejidad diálisis vacunatorios consultorio</t>
  </si>
  <si>
    <t>Región de Tarapacá regional comuna establecimientos salud tipo mapa hospitales clínicas cesfam sapu postas laboratorios dentales clínicos alta baja media complejidad diálisis vacunatorios consultorio</t>
  </si>
  <si>
    <t>Región de Antofagasta regional comuna establecimientos salud tipo mapa hospitales clínicas cesfam sapu postas laboratorios dentales clínicos alta baja media complejidad diálisis vacunatorios consultorio</t>
  </si>
  <si>
    <t>Región de Atacama regional comuna establecimientos salud tipo mapa hospitales clínicas cesfam sapu postas laboratorios dentales clínicos alta baja media complejidad diálisis vacunatorios consultorio</t>
  </si>
  <si>
    <t>Región de Coquimbo regional comuna establecimientos salud tipo mapa hospitales clínicas cesfam sapu postas laboratorios dentales clínicos alta baja media complejidad diálisis vacunatorios consultorio</t>
  </si>
  <si>
    <t>Región de Valparaíso regional comuna establecimientos salud tipo mapa hospitales clínicas cesfam sapu postas laboratorios dentales clínicos alta baja media complejidad diálisis vacunatorios consultorio</t>
  </si>
  <si>
    <t>Región de O'Higgins regional comuna establecimientos salud tipo mapa hospitales clínicas cesfam sapu postas laboratorios dentales clínicos alta baja media complejidad diálisis vacunatorios consultorio</t>
  </si>
  <si>
    <t>Región de Maule regional comuna establecimientos salud tipo mapa hospitales clínicas cesfam sapu postas laboratorios dentales clínicos alta baja media complejidad diálisis vacunatorios consultorio</t>
  </si>
  <si>
    <t>Región del Biobío regional comuna establecimientos salud tipo mapa hospitales clínicas cesfam sapu postas laboratorios dentales clínicos alta baja media complejidad diálisis vacunatorios consultorio</t>
  </si>
  <si>
    <t>Región de La Araucanía regional comuna establecimientos salud tipo mapa hospitales clínicas cesfam sapu postas laboratorios dentales clínicos alta baja media complejidad diálisis vacunatorios consultorio</t>
  </si>
  <si>
    <t>Región de Los Lagos regional comuna establecimientos salud tipo mapa hospitales clínicas cesfam sapu postas laboratorios dentales clínicos alta baja media complejidad diálisis vacunatorios consultorio</t>
  </si>
  <si>
    <t>Región de Aysén regional comuna establecimientos salud tipo mapa hospitales clínicas cesfam sapu postas laboratorios dentales clínicos alta baja media complejidad diálisis vacunatorios consultorio</t>
  </si>
  <si>
    <t>Región de Magallanes regional comuna establecimientos salud tipo mapa hospitales clínicas cesfam sapu postas laboratorios dentales clínicos alta baja media complejidad diálisis vacunatorios consultorio</t>
  </si>
  <si>
    <t>Región Metropolitana regional comuna establecimientos salud tipo mapa hospitales clínicas cesfam sapu postas laboratorios dentales clínicos alta baja media complejidad diálisis vacunatorios consultorio</t>
  </si>
  <si>
    <t>Región de Los Ríos regional comuna establecimientos salud tipo mapa hospitales clínicas cesfam sapu postas laboratorios dentales clínicos alta baja media complejidad diálisis vacunatorios consultorio</t>
  </si>
  <si>
    <t>Región de Arica y Parinacota regional comuna establecimientos salud tipo mapa hospitales clínicas cesfam sapu postas laboratorios dentales clínicos alta baja media complejidad diálisis vacunatorios consultorio</t>
  </si>
  <si>
    <t>Cantidad de Establecimientos de la Salud por Comuna en la Región de Ñuble, Año 2021</t>
  </si>
  <si>
    <t>Región de Ñuble regional comuna establecimientos salud tipo mapa hospitales clínicas cesfam sapu postas laboratorios dentales clínicos alta baja media complejidad diálisis vacunatorios consultorio</t>
  </si>
  <si>
    <t>https://analytics.zoho.com/open-view/2395394000008516065?ZOHO_CRITERIA=%222.1%22.%22C%C3%B3digo%20Regi%C3%B3n%22%20%3D%2016</t>
  </si>
  <si>
    <t>Cantidad de Establecimientos de la Salud por Tipo en Chile, Año 2021</t>
  </si>
  <si>
    <t>Cantidad de Establecimientos de la Salud por Tipo en la Región de Tarapacá, Año 2021</t>
  </si>
  <si>
    <t>Región de Tarapacá regional establecimientos salud tipo proporción privados públicos</t>
  </si>
  <si>
    <t>Cantidad de Establecimientos de la Salud por Tipo en la Región de Antofagasta, Año 2021</t>
  </si>
  <si>
    <t>Región de Antofagasta regional establecimientos salud tipo proporción privados públicos</t>
  </si>
  <si>
    <t>Cantidad de Establecimientos de la Salud por Tipo en la Región de Atacama, Año 2021</t>
  </si>
  <si>
    <t>Región de Atacama regional establecimientos salud tipo proporción privados públicos</t>
  </si>
  <si>
    <t>Cantidad de Establecimientos de la Salud por Tipo en la Región de Coquimbo, Año 2021</t>
  </si>
  <si>
    <t>Región de Coquimbo regional establecimientos salud tipo proporción privados públicos</t>
  </si>
  <si>
    <t>Cantidad de Establecimientos de la Salud por Tipo en la Región de Valparaíso, Año 2021</t>
  </si>
  <si>
    <t>Región de Valparaíso regional establecimientos salud tipo proporción privados públicos</t>
  </si>
  <si>
    <t>Cantidad de Establecimientos de la Salud por Tipo en la Región de O'Higgins, Año 2021</t>
  </si>
  <si>
    <t>Región de O'Higgins regional establecimientos salud tipo proporción privados públicos</t>
  </si>
  <si>
    <t>Cantidad de Establecimientos de la Salud por Tipo en la Región de Maule, Año 2021</t>
  </si>
  <si>
    <t>Región de Maule regional establecimientos salud tipo proporción privados públicos</t>
  </si>
  <si>
    <t>Cantidad de Establecimientos de la Salud por Tipo en la Región del Biobío, Año 2021</t>
  </si>
  <si>
    <t>Región del Biobío regional establecimientos salud tipo proporción privados públicos</t>
  </si>
  <si>
    <t>Cantidad de Establecimientos de la Salud por Tipo en la Región de La Araucanía, Año 2021</t>
  </si>
  <si>
    <t>Región de La Araucanía regional establecimientos salud tipo proporción privados públicos</t>
  </si>
  <si>
    <t>Cantidad de Establecimientos de la Salud por Tipo en la Región de Los Lagos, Año 2021</t>
  </si>
  <si>
    <t>Región de Los Lagos regional establecimientos salud tipo proporción privados públicos</t>
  </si>
  <si>
    <t>Cantidad de Establecimientos de la Salud por Tipo en la Región de Aysén, Año 2021</t>
  </si>
  <si>
    <t>Región de Aysén regional establecimientos salud tipo proporción privados públicos</t>
  </si>
  <si>
    <t>Cantidad de Establecimientos de la Salud por Tipo en la Región de Magallanes, Año 2021</t>
  </si>
  <si>
    <t>Región de Magallanes regional establecimientos salud tipo proporción privados públicos</t>
  </si>
  <si>
    <t>Cantidad de Establecimientos de la Salud por Tipo en la Región Metropolitana, Año 2021</t>
  </si>
  <si>
    <t>Región Metropolitana regional establecimientos salud tipo proporción privados públicos</t>
  </si>
  <si>
    <t>Cantidad de Establecimientos de la Salud por Tipo en la Región de Los Ríos, Año 2021</t>
  </si>
  <si>
    <t>Región de Los Ríos regional establecimientos salud tipo proporción privados públicos</t>
  </si>
  <si>
    <t>Cantidad de Establecimientos de la Salud por Tipo en la Región de Arica y Parinacota, Año 2021</t>
  </si>
  <si>
    <t>Región de Arica y Parinacota regional establecimientos salud tipo proporción privados públicos</t>
  </si>
  <si>
    <t>Cantidad de Establecimientos de la Salud por Tipo en la Región de Ñuble, Año 2021</t>
  </si>
  <si>
    <t>Región de Ñuble regional establecimientos salud tipo proporción privados públicos</t>
  </si>
  <si>
    <t>https://analytics.zoho.com/open-view/2395394000008516593?ZOHO_CRITERIA=%222.1%22.%22C%C3%B3digo%20Regi%C3%B3n%22%20%3D%2016</t>
  </si>
  <si>
    <t>Atenciones Médicas por Violencia de Género por Región en Chile, Periodo 2010-2016</t>
  </si>
  <si>
    <t>Chile nacional región atenciones médicas salud violencia género concepto urgencia abuso sexual violación anticonceptivo anticoncepción estupro física intrafamiliar emergencia</t>
  </si>
  <si>
    <t>Atenciones Médicas por Violencia de Género en la Región de Tarapacá, Periodo 2010-2016</t>
  </si>
  <si>
    <t>Región de Tarapacá regional atenciones médicas salud violencia género concepto urgencia abuso sexual violación anticonceptivo anticoncepción estupro física intrafamiliar emergencia</t>
  </si>
  <si>
    <t>Atenciones Médicas por Violencia de Género en la Región de Antofagasta, Periodo 2010-2016</t>
  </si>
  <si>
    <t>Región de Antofagasta regional atenciones médicas salud violencia género concepto urgencia abuso sexual violación anticonceptivo anticoncepción estupro física intrafamiliar emergencia</t>
  </si>
  <si>
    <t>Atenciones Médicas por Violencia de Género en la Región de Atacama, Periodo 2010-2016</t>
  </si>
  <si>
    <t>Región de Atacama regional atenciones médicas salud violencia género concepto urgencia abuso sexual violación anticonceptivo anticoncepción estupro física intrafamiliar emergencia</t>
  </si>
  <si>
    <t>Atenciones Médicas por Violencia de Género en la Región de Coquimbo, Periodo 2010-2016</t>
  </si>
  <si>
    <t>Región de Coquimbo regional atenciones médicas salud violencia género concepto urgencia abuso sexual violación anticonceptivo anticoncepción estupro física intrafamiliar emergencia</t>
  </si>
  <si>
    <t>Atenciones Médicas por Violencia de Género en la Región de Valparaíso, Periodo 2010-2016</t>
  </si>
  <si>
    <t>Región de Valparaíso regional atenciones médicas salud violencia género concepto urgencia abuso sexual violación anticonceptivo anticoncepción estupro física intrafamiliar emergencia</t>
  </si>
  <si>
    <t>Atenciones Médicas por Violencia de Género en la Región de O'Higgins, Periodo 2010-2016</t>
  </si>
  <si>
    <t>Región de O'Higgins regional atenciones médicas salud violencia género concepto urgencia abuso sexual violación anticonceptivo anticoncepción estupro física intrafamiliar emergencia</t>
  </si>
  <si>
    <t>Atenciones Médicas por Violencia de Género en la Región de Maule, Periodo 2010-2016</t>
  </si>
  <si>
    <t>Región de Maule regional atenciones médicas salud violencia género concepto urgencia abuso sexual violación anticonceptivo anticoncepción estupro física intrafamiliar emergencia</t>
  </si>
  <si>
    <t>Atenciones Médicas por Violencia de Género en la Región del Biobío, Periodo 2010-2016</t>
  </si>
  <si>
    <t>Región del Biobío regional atenciones médicas salud violencia género concepto urgencia abuso sexual violación anticonceptivo anticoncepción estupro física intrafamiliar emergencia</t>
  </si>
  <si>
    <t>Atenciones Médicas por Violencia de Género en la Región de La Araucanía, Periodo 2010-2016</t>
  </si>
  <si>
    <t>Región de La Araucanía regional atenciones médicas salud violencia género concepto urgencia abuso sexual violación anticonceptivo anticoncepción estupro física intrafamiliar emergencia</t>
  </si>
  <si>
    <t>Atenciones Médicas por Violencia de Género en la Región de Los Lagos, Periodo 2010-2016</t>
  </si>
  <si>
    <t>Región de Los Lagos regional atenciones médicas salud violencia género concepto urgencia abuso sexual violación anticonceptivo anticoncepción estupro física intrafamiliar emergencia</t>
  </si>
  <si>
    <t>Atenciones Médicas por Violencia de Género en la Región de Aysén, Periodo 2010-2016</t>
  </si>
  <si>
    <t>Región de Aysén regional atenciones médicas salud violencia género concepto urgencia abuso sexual violación anticonceptivo anticoncepción estupro física intrafamiliar emergencia</t>
  </si>
  <si>
    <t>Atenciones Médicas por Violencia de Género en la Región de Magallanes, Periodo 2010-2016</t>
  </si>
  <si>
    <t>Región de Magallanes regional atenciones médicas salud violencia género concepto urgencia abuso sexual violación anticonceptivo anticoncepción estupro física intrafamiliar emergencia</t>
  </si>
  <si>
    <t>Atenciones Médicas por Violencia de Género en la Región Metropolitana, Periodo 2010-2016</t>
  </si>
  <si>
    <t>Región Metropolitana regional atenciones médicas salud violencia género concepto urgencia abuso sexual violación anticonceptivo anticoncepción estupro física intrafamiliar emergencia</t>
  </si>
  <si>
    <t>Atenciones Médicas por Violencia de Género en la Región de Los Ríos, Periodo 2010-2016</t>
  </si>
  <si>
    <t>Región de Los Ríos regional atenciones médicas salud violencia género concepto urgencia abuso sexual violación anticonceptivo anticoncepción estupro física intrafamiliar emergencia</t>
  </si>
  <si>
    <t>Atenciones Médicas por Violencia de Género en la Región de Arica y Parinacota, Periodo 2010-2016</t>
  </si>
  <si>
    <t>Región de Arica y Parinacota regional atenciones médicas salud violencia género concepto urgencia abuso sexual violación anticonceptivo anticoncepción estupro física intrafamiliar emergencia</t>
  </si>
  <si>
    <t>Atenciones Médicas por Violencia de Género en la Región de Ñuble, Periodo 2010-2016</t>
  </si>
  <si>
    <t>Región de Ñuble regional atenciones médicas salud violencia género concepto urgencia abuso sexual violación anticonceptivo anticoncepción estupro física intrafamiliar emergencia</t>
  </si>
  <si>
    <t>https://analytics.zoho.com/open-view/2395394000008516001?ZOHO_CRITERIA=%2227.10%22.%22Id_Regi%C3%B3n%22%20%3D%2016</t>
  </si>
  <si>
    <t>Cantidad de Establecimientos de la Salud por Tipo y Categoría en Chile, Año 2021</t>
  </si>
  <si>
    <t>Chile nacional región establecimientos salud tipo privados públicos hospitales clínicas cesfam sapu postas laboratorios dentales clínicos alta baja media complejidad diálisis vacunatorios consultorio</t>
  </si>
  <si>
    <t>Cantidad de Establecimientos de la Salud por Tipo y Categoría en la Región de Tarapacá, Año 2021</t>
  </si>
  <si>
    <t>Región de Tarapacá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</si>
  <si>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Antofagasta, Año 2021</t>
  </si>
  <si>
    <t>Región de Antofagasta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</si>
  <si>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Atacama, Año 2021</t>
  </si>
  <si>
    <t>Región de Atacama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</si>
  <si>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Coquimbo, Año 2021</t>
  </si>
  <si>
    <t>Región de Coquimbo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</si>
  <si>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Valparaíso, Año 2021</t>
  </si>
  <si>
    <t>Región de Valparaíso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</si>
  <si>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O'Higgins, Año 2021</t>
  </si>
  <si>
    <t>Región de O'Higgins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</si>
  <si>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Maule, Año 2021</t>
  </si>
  <si>
    <t>Región de Maule regional establecimientos salud tipo privados públicos hospitales clínicas cesfam sapu postas laboratorios dentales clínicos alta baja media complejidad diálisis vacunatorios consultorio</t>
  </si>
  <si>
    <t>Cantidad de Establecimientos de la Salud por Tipo y Categoría en la Región del Biobío, Año 2021</t>
  </si>
  <si>
    <t>Región del Biobío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</si>
  <si>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La Araucanía, Año 2021</t>
  </si>
  <si>
    <t>Región de La Araucanía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</si>
  <si>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Los Lagos, Año 2021</t>
  </si>
  <si>
    <t>Región de Los Lagos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</si>
  <si>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Aysén, Año 2021</t>
  </si>
  <si>
    <t>Región de Aysén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</si>
  <si>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Magallanes, Año 2021</t>
  </si>
  <si>
    <t>Región de Magallanes regional establecimientos salud tipo privados públicos hospitales clínicas cesfam sapu postas laboratorios dentales clínicos alta baja media complejidad diálisis vacunatorios consultorio</t>
  </si>
  <si>
    <t>Cantidad de Establecimientos de la Salud por Tipo y Categoría en la Región Metropolitana, Año 2021</t>
  </si>
  <si>
    <t>Región Metropolitana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</si>
  <si>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Los Ríos, Año 2021</t>
  </si>
  <si>
    <t>Región de Los Ríos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</si>
  <si>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Arica y Parinacota, Año 2021</t>
  </si>
  <si>
    <t>Región de Arica y Parinacota regional establecimientos salud tipo privados públicos hospitales clínicas cesfam sapu postas laboratorios dentales clínicos alta baja media complejidad diálisis vacunatorios consultorio</t>
  </si>
  <si>
    <t>Cantidad de Establecimientos de la Salud por Tipo y Categoría en la Región de Ñuble, Año 2021</t>
  </si>
  <si>
    <t>Región de Ñuble regional establecimientos salud tipo privados públicos hospitales clínicas cesfam sapu postas laboratorios dentales clínicos alta baja media complejidad diálisis vacunatorios consultorio</t>
  </si>
  <si>
    <t>https://analytics.zoho.com/open-view/2395394000008516645?ZOHO_CRITERIA=%222.1%22.%22C%C3%B3digo%20Regi%C3%B3n%22%20%3D%2016</t>
  </si>
  <si>
    <t>Cantidad de licencias de conducir del tipo profesional según clase en Chile, Periodo 2011-2017</t>
  </si>
  <si>
    <t>Chile nacional región licencias conducir tipo profesional profesionales clase a1 a2 a3 a4 a5</t>
  </si>
  <si>
    <t>Cantidad de licencias de conducir del tipo profesional según clase en la Región de Tarapacá, Periodo 2011-2017</t>
  </si>
  <si>
    <t>Región de Tarapacá regional licencias conducir tipo profesional profesionales clase a1 a2 a3 a4 a5</t>
  </si>
  <si>
    <t>Cantidad de licencias de conducir del tipo profesional según clase en la Región de Antofagasta, Periodo 2011-2017</t>
  </si>
  <si>
    <t>Región de Antofagasta regional licencias conducir tipo profesional profesionales clase a1 a2 a3 a4 a5</t>
  </si>
  <si>
    <t>Cantidad de licencias de conducir del tipo profesional según clase en la Región de Atacama, Periodo 2011-2017</t>
  </si>
  <si>
    <t>Región de Atacama regional licencias conducir tipo profesional profesionales clase a1 a2 a3 a4 a5</t>
  </si>
  <si>
    <t>Cantidad de licencias de conducir del tipo profesional según clase en la Región de Coquimbo, Periodo 2011-2017</t>
  </si>
  <si>
    <t>Región de Coquimbo regional licencias conducir tipo profesional profesionales clase a1 a2 a3 a4 a5</t>
  </si>
  <si>
    <t>Cantidad de licencias de conducir del tipo profesional según clase en la Región de Valparaíso, Periodo 2011-2017</t>
  </si>
  <si>
    <t>Región de Valparaíso regional licencias conducir tipo profesional profesionales clase a1 a2 a3 a4 a5</t>
  </si>
  <si>
    <t>Cantidad de licencias de conducir del tipo profesional según clase en la Región de O'Higgins, Periodo 2011-2017</t>
  </si>
  <si>
    <t>Región de O'Higgins regional licencias conducir tipo profesional profesionales clase a1 a2 a3 a4 a5</t>
  </si>
  <si>
    <t>Cantidad de licencias de conducir del tipo profesional según clase en la Región de Maule, Periodo 2011-2017</t>
  </si>
  <si>
    <t>Región de Maule regional licencias conducir tipo profesional profesionales clase a1 a2 a3 a4 a5</t>
  </si>
  <si>
    <t>Cantidad de licencias de conducir del tipo profesional según clase en la Región del Biobío, Periodo 2011-2017</t>
  </si>
  <si>
    <t>Región del Biobío regional licencias conducir tipo profesional profesionales clase a1 a2 a3 a4 a5</t>
  </si>
  <si>
    <t>Cantidad de licencias de conducir del tipo profesional según clase en la Región de La Araucanía, Periodo 2011-2017</t>
  </si>
  <si>
    <t>Región de La Araucanía regional licencias conducir tipo profesional profesionales clase a1 a2 a3 a4 a5</t>
  </si>
  <si>
    <t>Cantidad de licencias de conducir del tipo profesional según clase en la Región de Los Lagos, Periodo 2011-2017</t>
  </si>
  <si>
    <t>Región de Los Lagos regional licencias conducir tipo profesional profesionales clase a1 a2 a3 a4 a5</t>
  </si>
  <si>
    <t>Cantidad de licencias de conducir del tipo profesional según clase en la Región de Aysén, Periodo 2011-2017</t>
  </si>
  <si>
    <t>Región de Aysén regional licencias conducir tipo profesional profesionales clase a1 a2 a3 a4 a5</t>
  </si>
  <si>
    <t>Cantidad de licencias de conducir del tipo profesional según clase en la Región de Magallanes, Periodo 2011-2017</t>
  </si>
  <si>
    <t>Región de Magallanes regional licencias conducir tipo profesional profesionales clase a1 a2 a3 a4 a5</t>
  </si>
  <si>
    <t>Cantidad de licencias de conducir del tipo profesional según clase en la Región Metropolitana, Periodo 2011-2017</t>
  </si>
  <si>
    <t>Región Metropolitana regional licencias conducir tipo profesional profesionales clase a1 a2 a3 a4 a5</t>
  </si>
  <si>
    <t>Cantidad de licencias de conducir del tipo profesional según clase en la Región de Los Ríos, Periodo 2011-2017</t>
  </si>
  <si>
    <t>Región de Los Ríos regional licencias conducir tipo profesional profesionales clase a1 a2 a3 a4 a5</t>
  </si>
  <si>
    <t>Cantidad de licencias de conducir del tipo profesional según clase en la Región de Arica y Parinacota, Periodo 2011-2017</t>
  </si>
  <si>
    <t>Región de Arica y Parinacota regional licencias conducir tipo profesional profesionales clase a1 a2 a3 a4 a5</t>
  </si>
  <si>
    <t>Cantidad de licencias de conducir del tipo profesional según clase en la Región de Ñuble, Periodo 2011-2017</t>
  </si>
  <si>
    <t>Región de Ñuble regional licencias conducir tipo profesional profesionales clase a1 a2 a3 a4 a5</t>
  </si>
  <si>
    <t>https://analytics.zoho.com/open-view/2395394000008413090?ZOHO_CRITERIA=%228.3%20Licencias_conducir%22.%22Codreg%22%3D16</t>
  </si>
  <si>
    <t>Cantidad de permisos de circulación según tipo de transporte en Chile, Periodo 2008-2019</t>
  </si>
  <si>
    <t>Chile nacional región permiso circulación evolución tipo transporte colectivo particular carga</t>
  </si>
  <si>
    <t>Cantidad de permisos de circulación según tipo de transporte en la Región de Tarapacá, Periodo 2008-2019</t>
  </si>
  <si>
    <t>Región de Tarapacá regional permiso circulación evolución tipo transporte colectivo particular carga</t>
  </si>
  <si>
    <t>Cantidad de permisos de circulación según tipo de transporte en la Región de Antofagasta, Periodo 2008-2019</t>
  </si>
  <si>
    <t>Región de Antofagasta regional permiso circulación evolución tipo transporte colectivo particular carga</t>
  </si>
  <si>
    <t>Cantidad de permisos de circulación según tipo de transporte en la Región de Atacama, Periodo 2008-2019</t>
  </si>
  <si>
    <t>Región de Atacama regional permiso circulación evolución tipo transporte colectivo particular carga</t>
  </si>
  <si>
    <t>Cantidad de permisos de circulación según tipo de transporte en la Región de Coquimbo, Periodo 2008-2019</t>
  </si>
  <si>
    <t>Región de Coquimbo regional permiso circulación evolución tipo transporte colectivo particular carga</t>
  </si>
  <si>
    <t>Cantidad de permisos de circulación según tipo de transporte en la Región de Valparaíso, Periodo 2008-2019</t>
  </si>
  <si>
    <t>Región de Valparaíso regional permiso circulación evolución tipo transporte colectivo particular carga</t>
  </si>
  <si>
    <t>Cantidad de permisos de circulación según tipo de transporte en la Región de O'Higgins, Periodo 2008-2019</t>
  </si>
  <si>
    <t>Región de O'Higgins regional permiso circulación evolución tipo transporte colectivo particular carga</t>
  </si>
  <si>
    <t>Cantidad de permisos de circulación según tipo de transporte en la Región de Maule, Periodo 2008-2019</t>
  </si>
  <si>
    <t>Región de Maule regional permiso circulación evolución tipo transporte colectivo particular carga</t>
  </si>
  <si>
    <t>Cantidad de permisos de circulación según tipo de transporte en la Región del Biobío, Periodo 2008-2019</t>
  </si>
  <si>
    <t>Región del Biobío regional permiso circulación evolución tipo transporte colectivo particular carga</t>
  </si>
  <si>
    <t>Cantidad de permisos de circulación según tipo de transporte en la Región de La Araucanía, Periodo 2008-2019</t>
  </si>
  <si>
    <t>Región de La Araucanía regional permiso circulación evolución tipo transporte colectivo particular carga</t>
  </si>
  <si>
    <t>Cantidad de permisos de circulación según tipo de transporte en la Región de Los Lagos, Periodo 2008-2019</t>
  </si>
  <si>
    <t>Región de Los Lagos regional permiso circulación evolución tipo transporte colectivo particular carga</t>
  </si>
  <si>
    <t>Cantidad de permisos de circulación según tipo de transporte en la Región de Aysén, Periodo 2008-2019</t>
  </si>
  <si>
    <t>Región de Aysén regional permiso circulación evolución tipo transporte colectivo particular carga</t>
  </si>
  <si>
    <t>Cantidad de permisos de circulación según tipo de transporte en la Región de Magallanes, Periodo 2008-2019</t>
  </si>
  <si>
    <t>Región de Magallanes regional permiso circulación evolución tipo transporte colectivo particular carga</t>
  </si>
  <si>
    <t>Cantidad de permisos de circulación según tipo de transporte en la Región Metropolitana, Periodo 2008-2019</t>
  </si>
  <si>
    <t>Región Metropolitana regional permiso circulación evolución tipo transporte colectivo particular carga</t>
  </si>
  <si>
    <t>Cantidad de permisos de circulación según tipo de transporte en la Región de Los Ríos, Periodo 2008-2019</t>
  </si>
  <si>
    <t>Región de Los Ríos regional permiso circulación evolución tipo transporte colectivo particular carga</t>
  </si>
  <si>
    <t>Cantidad de permisos de circulación según tipo de transporte en la Región de Arica y Parinacota, Periodo 2008-2019</t>
  </si>
  <si>
    <t>Región de Arica y Parinacota regional permiso circulación evolución tipo transporte colectivo particular carga</t>
  </si>
  <si>
    <t>Cantidad de permisos de circulación según tipo de transporte en la Región de Ñuble, Periodo 2008-2019</t>
  </si>
  <si>
    <t>Región de Ñuble regional permiso circulación evolución tipo transporte colectivo particular carga</t>
  </si>
  <si>
    <t>https://analytics.zoho.com/open-view/2395394000008413133?ZOHO_CRITERIA=%228.1%20Permiso_circulaci%C3%B3n%22.%22Codreg%22%3D16</t>
  </si>
  <si>
    <t>Cantidad de licencias de conducir del tipo no profesional por Comuna en Chile, Periodo 2011-2017</t>
  </si>
  <si>
    <t>Chile nacional región comuna licencia de conducir mapa no profesional</t>
  </si>
  <si>
    <t>Cantidad de licencias de conducir del tipo no profesional por Comuna en la Región de Tarapacá, Periodo 2011-2017</t>
  </si>
  <si>
    <t>Región de Tarapacá regional comuna licencia de conducir mapa no profesional</t>
  </si>
  <si>
    <t>Cantidad de licencias de conducir del tipo no profesional por Comuna en la Región de Antofagasta, Periodo 2011-2017</t>
  </si>
  <si>
    <t>Región de Antofagasta regional comuna licencia de conducir mapa no profesional</t>
  </si>
  <si>
    <t>Cantidad de licencias de conducir del tipo no profesional por Comuna en la Región de Atacama, Periodo 2011-2017</t>
  </si>
  <si>
    <t>Región de Atacama regional comuna licencia de conducir mapa no profesional</t>
  </si>
  <si>
    <t>Cantidad de licencias de conducir del tipo no profesional por Comuna en la Región de Coquimbo, Periodo 2011-2017</t>
  </si>
  <si>
    <t>Región de Coquimbo regional comuna licencia de conducir mapa no profesional</t>
  </si>
  <si>
    <t>Cantidad de licencias de conducir del tipo no profesional por Comuna en la Región de Valparaíso, Periodo 2011-2017</t>
  </si>
  <si>
    <t>Región de Valparaíso regional comuna licencia de conducir mapa no profesional</t>
  </si>
  <si>
    <t>Cantidad de licencias de conducir del tipo no profesional por Comuna en la Región de O'Higgins, Periodo 2011-2017</t>
  </si>
  <si>
    <t>Región de O'Higgins regional comuna licencia de conducir mapa no profesional</t>
  </si>
  <si>
    <t>Cantidad de licencias de conducir del tipo no profesional por Comuna en la Región de Maule, Periodo 2011-2017</t>
  </si>
  <si>
    <t>Región de Maule regional comuna licencia de conducir mapa no profesional</t>
  </si>
  <si>
    <t>Cantidad de licencias de conducir del tipo no profesional por Comuna en la Región del Biobío, Periodo 2011-2017</t>
  </si>
  <si>
    <t>Región del Biobío regional comuna licencia de conducir mapa no profesional</t>
  </si>
  <si>
    <t>Cantidad de licencias de conducir del tipo no profesional por Comuna en la Región de La Araucanía, Periodo 2011-2017</t>
  </si>
  <si>
    <t>Región de La Araucanía regional comuna licencia de conducir mapa no profesional</t>
  </si>
  <si>
    <t>Cantidad de licencias de conducir del tipo no profesional por Comuna en la Región de Los Lagos, Periodo 2011-2017</t>
  </si>
  <si>
    <t>Región de Los Lagos regional comuna licencia de conducir mapa no profesional</t>
  </si>
  <si>
    <t>Cantidad de licencias de conducir del tipo no profesional por Comuna en la Región de Aysén, Periodo 2011-2017</t>
  </si>
  <si>
    <t>Región de Aysén regional comuna licencia de conducir mapa no profesional</t>
  </si>
  <si>
    <t>Cantidad de licencias de conducir del tipo no profesional por Comuna en la Región de Magallanes, Periodo 2011-2017</t>
  </si>
  <si>
    <t>Región de Magallanes regional comuna licencia de conducir mapa no profesional</t>
  </si>
  <si>
    <t>Cantidad de licencias de conducir del tipo no profesional por Comuna en la Región Metropolitana, Periodo 2011-2017</t>
  </si>
  <si>
    <t>Región Metropolitana regional comuna licencia de conducir mapa no profesional</t>
  </si>
  <si>
    <t>Cantidad de licencias de conducir del tipo no profesional por Comuna en la Región de Los Ríos, Periodo 2011-2017</t>
  </si>
  <si>
    <t>Región de Los Ríos regional comuna licencia de conducir mapa no profesional</t>
  </si>
  <si>
    <t>Cantidad de licencias de conducir del tipo no profesional por Comuna en la Región de Arica y Parinacota, Periodo 2011-2017</t>
  </si>
  <si>
    <t>Región de Arica y Parinacota regional comuna licencia de conducir mapa no profesional</t>
  </si>
  <si>
    <t>Cantidad de licencias de conducir del tipo no profesional por Comuna en la Región de Ñuble, Periodo 2011-2017</t>
  </si>
  <si>
    <t>Región de Ñuble regional comuna licencia de conducir mapa no profesional</t>
  </si>
  <si>
    <t>https://analytics.zoho.com/open-view/2395394000008475578?ZOHO_CRITERIA=%228.3%20Licencias_conducir%22.%22Codreg%22%3D16</t>
  </si>
  <si>
    <t>Cantidad de permisos de circulación de transportes colectivos por Comuna en Chile, Periodo 2008-2019</t>
  </si>
  <si>
    <t>Chile nacional región comuna permiso circulación mapa tipo transporte colectivo</t>
  </si>
  <si>
    <t>Cantidad de permisos de circulación de transportes colectivos por Comuna en la Región de Tarapacá, Periodo 2008-2019</t>
  </si>
  <si>
    <t>Región de Tarapacá regional comuna permiso circulación mapa tipo transporte colectivo</t>
  </si>
  <si>
    <t>Cantidad de permisos de circulación de transportes colectivos por Comuna en la Región de Antofagasta, Periodo 2008-2019</t>
  </si>
  <si>
    <t>Región de Antofagasta regional comuna permiso circulación mapa tipo transporte colectivo</t>
  </si>
  <si>
    <t>Cantidad de permisos de circulación de transportes colectivos por Comuna en la Región de Atacama, Periodo 2008-2019</t>
  </si>
  <si>
    <t>Región de Atacama regional comuna permiso circulación mapa tipo transporte colectivo</t>
  </si>
  <si>
    <t>Cantidad de permisos de circulación de transportes colectivos por Comuna en la Región de Coquimbo, Periodo 2008-2019</t>
  </si>
  <si>
    <t>Región de Coquimbo regional comuna permiso circulación mapa tipo transporte colectivo</t>
  </si>
  <si>
    <t>Cantidad de permisos de circulación de transportes colectivos por Comuna en la Región de Valparaíso, Periodo 2008-2019</t>
  </si>
  <si>
    <t>Región de Valparaíso regional comuna permiso circulación mapa tipo transporte colectivo</t>
  </si>
  <si>
    <t>Cantidad de permisos de circulación de transportes colectivos por Comuna en la Región de O'Higgins, Periodo 2008-2019</t>
  </si>
  <si>
    <t>Región de O'Higgins regional comuna permiso circulación mapa tipo transporte colectivo</t>
  </si>
  <si>
    <t>Cantidad de permisos de circulación de transportes colectivos por Comuna en la Región de Maule, Periodo 2008-2019</t>
  </si>
  <si>
    <t>Región de Maule regional comuna permiso circulación mapa tipo transporte colectivo</t>
  </si>
  <si>
    <t>Cantidad de permisos de circulación de transportes colectivos por Comuna en la Región del Biobío, Periodo 2008-2019</t>
  </si>
  <si>
    <t>Región del Biobío regional comuna permiso circulación mapa tipo transporte colectivo</t>
  </si>
  <si>
    <t>Cantidad de permisos de circulación de transportes colectivos por Comuna en la Región de La Araucanía, Periodo 2008-2019</t>
  </si>
  <si>
    <t>Región de La Araucanía regional comuna permiso circulación mapa tipo transporte colectivo</t>
  </si>
  <si>
    <t>Cantidad de permisos de circulación de transportes colectivos por Comuna en la Región de Los Lagos, Periodo 2008-2019</t>
  </si>
  <si>
    <t>Región de Los Lagos regional comuna permiso circulación mapa tipo transporte colectivo</t>
  </si>
  <si>
    <t>Cantidad de permisos de circulación de transportes colectivos por Comuna en la Región de Aysén, Periodo 2008-2019</t>
  </si>
  <si>
    <t>Región de Aysén regional comuna permiso circulación mapa tipo transporte colectivo</t>
  </si>
  <si>
    <t>Cantidad de permisos de circulación de transportes colectivos por Comuna en la Región de Magallanes, Periodo 2008-2019</t>
  </si>
  <si>
    <t>Región de Magallanes regional comuna permiso circulación mapa tipo transporte colectivo</t>
  </si>
  <si>
    <t>Cantidad de permisos de circulación de transportes colectivos por Comuna en la Región Metropolitana, Periodo 2008-2019</t>
  </si>
  <si>
    <t>Región Metropolitana regional comuna permiso circulación mapa tipo transporte colectivo</t>
  </si>
  <si>
    <t>Cantidad de permisos de circulación de transportes colectivos por Comuna en la Región de Los Ríos, Periodo 2008-2019</t>
  </si>
  <si>
    <t>Región de Los Ríos regional comuna permiso circulación mapa tipo transporte colectivo</t>
  </si>
  <si>
    <t>Cantidad de permisos de circulación de transportes colectivos por Comuna en la Región de Arica y Parinacota, Periodo 2008-2019</t>
  </si>
  <si>
    <t>Región de Arica y Parinacota regional comuna permiso circulación mapa tipo transporte colectivo</t>
  </si>
  <si>
    <t>Cantidad de permisos de circulación de transportes colectivos por Comuna en la Región de Ñuble, Periodo 2008-2019</t>
  </si>
  <si>
    <t>Región de Ñuble regional comuna permiso circulación mapa tipo transporte colectivo</t>
  </si>
  <si>
    <t>https://analytics.zoho.com/open-view/2395394000008475310?ZOHO_CRITERIA=%228.1%20Permiso_circulaci%C3%B3n%22.%22Codreg%22%3D16</t>
  </si>
  <si>
    <t>Cantidad de licencias de conducir por clase y Comuna en Chile, Periodo 2011-2017</t>
  </si>
  <si>
    <t>Chile nacional región comuna licencia de conducir clase evolución profesional no profesional especial A1 A2 A3 A4 A5 B C D E F</t>
  </si>
  <si>
    <t>Cantidad de licencias de conducir por clase y Comuna en la Región de Tarapacá, Periodo 2011-2017</t>
  </si>
  <si>
    <t>Región de Tarapacá regional comuna licencia de conducir clase evolución profesional no profesional especial A1 A2 A3 A4 A5 B C D E F</t>
  </si>
  <si>
    <t>Cantidad de licencias de conducir por clase y Comuna en la Región de Antofagasta, Periodo 2011-2017</t>
  </si>
  <si>
    <t>Región de Antofagasta regional comuna licencia de conducir clase evolución profesional no profesional especial A1 A2 A3 A4 A5 B C D E F</t>
  </si>
  <si>
    <t>Cantidad de licencias de conducir por clase y Comuna en la Región de Atacama, Periodo 2011-2017</t>
  </si>
  <si>
    <t>Región de Atacama regional comuna licencia de conducir clase evolución profesional no profesional especial A1 A2 A3 A4 A5 B C D E F</t>
  </si>
  <si>
    <t>Cantidad de licencias de conducir por clase y Comuna en la Región de Coquimbo, Periodo 2011-2017</t>
  </si>
  <si>
    <t>Región de Coquimbo regional comuna licencia de conducir clase evolución profesional no profesional especial A1 A2 A3 A4 A5 B C D E F</t>
  </si>
  <si>
    <t>Cantidad de licencias de conducir por clase y Comuna en la Región de Valparaíso, Periodo 2011-2017</t>
  </si>
  <si>
    <t>Región de Valparaíso regional comuna licencia de conducir clase evolución profesional no profesional especial A1 A2 A3 A4 A5 B C D E F</t>
  </si>
  <si>
    <t>Cantidad de licencias de conducir por clase y Comuna en la Región de O'Higgins, Periodo 2011-2017</t>
  </si>
  <si>
    <t>Región de O'Higgins regional comuna licencia de conducir clase evolución profesional no profesional especial A1 A2 A3 A4 A5 B C D E F</t>
  </si>
  <si>
    <t>Cantidad de licencias de conducir por clase y Comuna en la Región de Maule, Periodo 2011-2017</t>
  </si>
  <si>
    <t>Región de Maule regional comuna licencia de conducir clase evolución profesional no profesional especial A1 A2 A3 A4 A5 B C D E F</t>
  </si>
  <si>
    <t>Cantidad de licencias de conducir por clase y Comuna en la Región del Biobío, Periodo 2011-2017</t>
  </si>
  <si>
    <t>Región del Biobío regional comuna licencia de conducir clase evolución profesional no profesional especial A1 A2 A3 A4 A5 B C D E F</t>
  </si>
  <si>
    <t>Cantidad de licencias de conducir por clase y Comuna en la Región de La Araucanía, Periodo 2011-2017</t>
  </si>
  <si>
    <t>Región de La Araucanía regional comuna licencia de conducir clase evolución profesional no profesional especial A1 A2 A3 A4 A5 B C D E F</t>
  </si>
  <si>
    <t>Cantidad de licencias de conducir por clase y Comuna en la Región de Los Lagos, Periodo 2011-2017</t>
  </si>
  <si>
    <t>Región de Los Lagos regional comuna licencia de conducir clase evolución profesional no profesional especial A1 A2 A3 A4 A5 B C D E F</t>
  </si>
  <si>
    <t>Cantidad de licencias de conducir por clase y Comuna en la Región de Aysén, Periodo 2011-2017</t>
  </si>
  <si>
    <t>Región de Aysén regional comuna licencia de conducir clase evolución profesional no profesional especial A1 A2 A3 A4 A5 B C D E F</t>
  </si>
  <si>
    <t>Cantidad de licencias de conducir por clase y Comuna en la Región de Magallanes, Periodo 2011-2017</t>
  </si>
  <si>
    <t>Región de Magallanes regional comuna licencia de conducir clase evolución profesional no profesional especial A1 A2 A3 A4 A5 B C D E F</t>
  </si>
  <si>
    <t>Cantidad de licencias de conducir por clase y Comuna en la Región Metropolitana, Periodo 2011-2017</t>
  </si>
  <si>
    <t>Región Metropolitana regional comuna licencia de conducir clase evolución profesional no profesional especial A1 A2 A3 A4 A5 B C D E F</t>
  </si>
  <si>
    <t>Cantidad de licencias de conducir por clase y Comuna en la Región de Los Ríos, Periodo 2011-2017</t>
  </si>
  <si>
    <t>Región de Los Ríos regional comuna licencia de conducir clase evolución profesional no profesional especial A1 A2 A3 A4 A5 B C D E F</t>
  </si>
  <si>
    <t>Cantidad de licencias de conducir por clase y Comuna en la Región de Arica y Parinacota, Periodo 2011-2017</t>
  </si>
  <si>
    <t>Región de Arica y Parinacota regional comuna licencia de conducir clase evolución profesional no profesional especial A1 A2 A3 A4 A5 B C D E F</t>
  </si>
  <si>
    <t>Cantidad de licencias de conducir por clase y Comuna en la Región de Ñuble, Periodo 2011-2017</t>
  </si>
  <si>
    <t>Región de Ñuble regional comuna licencia de conducir clase evolución profesional no profesional especial A1 A2 A3 A4 A5 B C D E F</t>
  </si>
  <si>
    <t>https://analytics.zoho.com/open-view/2395394000008413167?ZOHO_CRITERIA=%228.3%20Licencias_conducir%22.%22Codreg%22%3D16</t>
  </si>
  <si>
    <t>Capacidad Instalada (MW) de Centrales Eléctricas por Tipo de Energía y Región en Chile, para el Año 2021</t>
  </si>
  <si>
    <t>Chile nacional región capacidad instalada potencia neta mw ernc tipo energía gas natural solar geotérmica mini hidráulica pasada petróleo diesel biogas</t>
  </si>
  <si>
    <t>Región de Tarapacá regional capacidad instalada potencia neta mw ernc tipo energía gas natural solar geotérmica mini hidráulica pasada petróleo diesel biogas</t>
  </si>
  <si>
    <t>Región de Antofagasta regional capacidad instalada potencia neta mw ernc tipo energía gas natural solar geotérmica mini hidráulica pasada petróleo diesel biogas</t>
  </si>
  <si>
    <t>Región de Atacama regional capacidad instalada potencia neta mw ernc tipo energía gas natural solar geotérmica mini hidráulica pasada petróleo diesel biogas</t>
  </si>
  <si>
    <t>Región de Coquimbo regional capacidad instalada potencia neta mw ernc tipo energía gas natural solar geotérmica mini hidráulica pasada petróleo diesel biogas</t>
  </si>
  <si>
    <t>Región de Valparaíso regional capacidad instalada potencia neta mw ernc tipo energía gas natural solar geotérmica mini hidráulica pasada petróleo diesel biogas</t>
  </si>
  <si>
    <t>Región de O'Higgins regional capacidad instalada potencia neta mw ernc tipo energía gas natural solar geotérmica mini hidráulica pasada petróleo diesel biogas</t>
  </si>
  <si>
    <t>Región de Maule regional capacidad instalada potencia neta mw ernc tipo energía gas natural solar geotérmica mini hidráulica pasada petróleo diesel biogas</t>
  </si>
  <si>
    <t>Región del Biobío regional capacidad instalada potencia neta mw ernc tipo energía gas natural solar geotérmica mini hidráulica pasada petróleo diesel biogas</t>
  </si>
  <si>
    <t>Región de La Araucanía regional capacidad instalada potencia neta mw ernc tipo energía gas natural solar geotérmica mini hidráulica pasada petróleo diesel biogas</t>
  </si>
  <si>
    <t>Región de Los Lagos regional capacidad instalada potencia neta mw ernc tipo energía gas natural solar geotérmica mini hidráulica pasada petróleo diesel biogas</t>
  </si>
  <si>
    <t>Región de Aysén regional capacidad instalada potencia neta mw ernc tipo energía gas natural solar geotérmica mini hidráulica pasada petróleo diesel biogas</t>
  </si>
  <si>
    <t>Región de Magallanes regional capacidad instalada potencia neta mw ernc tipo energía gas natural solar geotérmica mini hidráulica pasada petróleo diesel biogas</t>
  </si>
  <si>
    <t>Región Metropolitana regional capacidad instalada potencia neta mw ernc tipo energía gas natural solar geotérmica mini hidráulica pasada petróleo diesel biogas</t>
  </si>
  <si>
    <t>Capacidad Instalada (MW) de Centrales Eléctricas por Tipo de Energía en la Región de Los Ríos, para el Año 2021</t>
  </si>
  <si>
    <t>Región de Los Ríos regional capacidad instalada potencia neta mw ernc tipo energía gas natural solar geotérmica mini hidráulica pasada petróleo diesel biogas</t>
  </si>
  <si>
    <t>https://analytics.zoho.com/open-view/2395394000008478582?ZOHO_CRITERIA=%2216%20Energ%C3%ADas%20Renovables%20y%20No%20Renovables%22.%22Cod_Regi%C3%B3n%22%20%3D%2014</t>
  </si>
  <si>
    <t>Capacidad Instalada (MW) de Centrales Eléctricas por Tipo de Energía en la Región de Arica y Parinacota, para el Año 2021</t>
  </si>
  <si>
    <t>Región de Arica y Parinacota regional capacidad instalada potencia neta mw ernc tipo energía gas natural solar geotérmica mini hidráulica pasada petróleo diesel biogas</t>
  </si>
  <si>
    <t>https://analytics.zoho.com/open-view/2395394000008478582?ZOHO_CRITERIA=%2216%20Energ%C3%ADas%20Renovables%20y%20No%20Renovables%22.%22Cod_Regi%C3%B3n%22%20%3D%2015</t>
  </si>
  <si>
    <t>Capacidad Instalada (MW) de Centrales Eléctricas por Tipo de Energía en la Región de Ñuble, para el Año 2021</t>
  </si>
  <si>
    <t>Región de Ñuble regional capacidad instalada potencia neta mw ernc tipo energía gas natural solar geotérmica mini hidráulica pasada petróleo diesel biogas</t>
  </si>
  <si>
    <t>https://analytics.zoho.com/open-view/2395394000008478582?ZOHO_CRITERIA=%2216%20Energ%C3%ADas%20Renovables%20y%20No%20Renovables%22.%22Cod_Regi%C3%B3n%22%20%3D%2016</t>
  </si>
  <si>
    <t>Top 10 de Propietarios de Centrales Eléctricas con Mayor Capacidad Instalada (MW) en Chile, para el Año 2021</t>
  </si>
  <si>
    <t>Chile nacional centrales energía capacidad instalada dueños propietarios mayor</t>
  </si>
  <si>
    <t>Cantidad de Centrales de Energía Renovable No Convencional por Comuna en Chile, para el Año 2021</t>
  </si>
  <si>
    <t>Chile nacional región centrales energía renovable no comparación</t>
  </si>
  <si>
    <t>Chile nacional región comuna centrales energía renovable no convencional</t>
  </si>
  <si>
    <t>Región de Tarapacá regional comuna centrales energía renovable no convencional</t>
  </si>
  <si>
    <t>Región de Antofagasta regional comuna centrales energía renovable no convencional</t>
  </si>
  <si>
    <t>Región de Atacama regional comuna centrales energía renovable no convencional</t>
  </si>
  <si>
    <t>Región de Coquimbo regional comuna centrales energía renovable no convencional</t>
  </si>
  <si>
    <t>Región de Valparaíso regional comuna centrales energía renovable no convencional</t>
  </si>
  <si>
    <t>Región de O'Higgins regional comuna centrales energía renovable no convencional</t>
  </si>
  <si>
    <t>Región de Maule regional comuna centrales energía renovable no convencional</t>
  </si>
  <si>
    <t>Región del Biobío regional comuna centrales energía renovable no convencional</t>
  </si>
  <si>
    <t>Región de La Araucanía regional comuna centrales energía renovable no convencional</t>
  </si>
  <si>
    <t>Región de Los Lagos regional comuna centrales energía renovable no convencional</t>
  </si>
  <si>
    <t>Región de Aysén regional comuna centrales energía renovable no convencional</t>
  </si>
  <si>
    <t>Región de Magallanes regional comuna centrales energía renovable no convencional</t>
  </si>
  <si>
    <t>Cantidad de Centrales de Energía Renovable No Convencional por Comuna en la Región Metropolitana, para el Año 2021</t>
  </si>
  <si>
    <t>Región Metropolitana regional comuna centrales energía renovable no convencional</t>
  </si>
  <si>
    <t>https://analytics.zoho.com/open-view/2395394000008492075?ZOHO_CRITERIA=%2216%20Energ%C3%ADas%20Renovables%20y%20No%20Renovables%22.%22Cod_Regi%C3%B3n%22%20%3D%2013</t>
  </si>
  <si>
    <t>Cantidad de Centrales de Energía Renovable No Convencional por Comuna en la Región de Los Ríos, para el Año 2021</t>
  </si>
  <si>
    <t>Región de Los Ríos regional comuna centrales energía renovable no convencional</t>
  </si>
  <si>
    <t>https://analytics.zoho.com/open-view/2395394000008492075?ZOHO_CRITERIA=%2216%20Energ%C3%ADas%20Renovables%20y%20No%20Renovables%22.%22Cod_Regi%C3%B3n%22%20%3D%2014</t>
  </si>
  <si>
    <t>Cantidad de Centrales de Energía Renovable No Convencional por Comuna en la Región de Arica y Parinacota, para el Año 2021</t>
  </si>
  <si>
    <t>Región de Arica y Parinacota regional comuna centrales energía renovable no convencional</t>
  </si>
  <si>
    <t>https://analytics.zoho.com/open-view/2395394000008492075?ZOHO_CRITERIA=%2216%20Energ%C3%ADas%20Renovables%20y%20No%20Renovables%22.%22Cod_Regi%C3%B3n%22%20%3D%2015</t>
  </si>
  <si>
    <t>Cantidad de Centrales de Energía Renovable No Convencional por Comuna en la Región de Ñuble, para el Año 2021</t>
  </si>
  <si>
    <t>Región de Ñuble regional comuna centrales energía renovable no convencional</t>
  </si>
  <si>
    <t>https://analytics.zoho.com/open-view/2395394000008492075?ZOHO_CRITERIA=%2216%20Energ%C3%ADas%20Renovables%20y%20No%20Renovables%22.%22Cod_Regi%C3%B3n%22%20%3D%2016</t>
  </si>
  <si>
    <t>Capacidad Instalada (MW) de Centrales Eléctricas por Región en Chile, Año 2021</t>
  </si>
  <si>
    <t>Chile nacional región capacidad instalada MW centrales generación energía proporción</t>
  </si>
  <si>
    <t>Top 10 Comunas con la mayor cantidad de farmacias enChile, Año 2021</t>
  </si>
  <si>
    <t>Chile nacional región establecimientos salud farmacias número cantidad salud ranking top 10</t>
  </si>
  <si>
    <t>Cantidad de Farmacias por Región en Chile, Año 2021</t>
  </si>
  <si>
    <t>Chile nacional región establecimientos salud farmacias número cantidad salud</t>
  </si>
  <si>
    <t>Cantidad de Farmacias de Turno por Comuna en Chile, Año 2021</t>
  </si>
  <si>
    <t>Chile nacional región comuna establecimientos salud farmacias turno urgencias salud</t>
  </si>
  <si>
    <t>Cantidad de Farmacias de Turno por Comuna en la Región de Tarapacá, Año 2021</t>
  </si>
  <si>
    <t>Región de Tarapacá regional comuna establecimientos salud farmacias turno urgencias salud</t>
  </si>
  <si>
    <t>Cantidad de Farmacias de Turno por Comuna en la Región de Antofagasta, Año 2021</t>
  </si>
  <si>
    <t>Región de Antofagasta regional comuna establecimientos salud farmacias turno urgencias salud</t>
  </si>
  <si>
    <t>Cantidad de Farmacias de Turno por Comuna en la Región de Atacama, Año 2021</t>
  </si>
  <si>
    <t>Región de Atacama regional comuna establecimientos salud farmacias turno urgencias salud</t>
  </si>
  <si>
    <t>Cantidad de Farmacias de Turno por Comuna en la Región de Coquimbo, Año 2021</t>
  </si>
  <si>
    <t>Región de Coquimbo regional comuna establecimientos salud farmacias turno urgencias salud</t>
  </si>
  <si>
    <t>Cantidad de Farmacias de Turno por Comuna en la Región de Valparaíso, Año 2021</t>
  </si>
  <si>
    <t>Región de Valparaíso regional comuna establecimientos salud farmacias turno urgencias salud</t>
  </si>
  <si>
    <t>Cantidad de Farmacias de Turno por Comuna en la Región de O'Higgins, Año 2021</t>
  </si>
  <si>
    <t>Región de O'Higgins regional comuna establecimientos salud farmacias turno urgencias salud</t>
  </si>
  <si>
    <t>Cantidad de Farmacias de Turno por Comuna en la Región de Maule, Año 2021</t>
  </si>
  <si>
    <t>Región de Maule regional comuna establecimientos salud farmacias turno urgencias salud</t>
  </si>
  <si>
    <t>Cantidad de Farmacias de Turno por Comuna en la Región del Biobío, Año 2021</t>
  </si>
  <si>
    <t>Región del Biobío regional comuna establecimientos salud farmacias turno urgencias salud</t>
  </si>
  <si>
    <t>Cantidad de Farmacias de Turno por Comuna en la Región de La Araucanía, Año 2021</t>
  </si>
  <si>
    <t>Región de La Araucanía regional comuna establecimientos salud farmacias turno urgencias salud</t>
  </si>
  <si>
    <t>Cantidad de Farmacias de Turno por Comuna en la Región de Los Lagos, Año 2021</t>
  </si>
  <si>
    <t>Región de Los Lagos regional comuna establecimientos salud farmacias turno urgencias salud</t>
  </si>
  <si>
    <t>Cantidad de Farmacias de Turno por Comuna en la Región de Aysén, Año 2021</t>
  </si>
  <si>
    <t>Región de Aysén regional comuna establecimientos salud farmacias turno urgencias salud</t>
  </si>
  <si>
    <t>Cantidad de Farmacias de Turno por Comuna en la Región de Magallanes, Año 2021</t>
  </si>
  <si>
    <t>Región de Magallanes regional comuna establecimientos salud farmacias turno urgencias salud</t>
  </si>
  <si>
    <t>https://analytics.zoho.com/open-view/2395394000008516725?ZOHO_CRITERIA=%22Localiza%20CL%22.%22Codreg%22%20%3D%2012</t>
  </si>
  <si>
    <t>Cantidad de Farmacias de Turno por Comuna en la Región Metropolitana, Año 2021</t>
  </si>
  <si>
    <t>Región Metropolitana regional comuna establecimientos salud farmacias turno urgencias salud</t>
  </si>
  <si>
    <t>https://analytics.zoho.com/open-view/2395394000008516725?ZOHO_CRITERIA=%22Localiza%20CL%22.%22Codreg%22%20%3D%2013</t>
  </si>
  <si>
    <t>Cantidad de Farmacias de Turno por Comuna en la Región de Los Ríos, Año 2021</t>
  </si>
  <si>
    <t>Región de Los Ríos regional comuna establecimientos salud farmacias turno urgencias salud</t>
  </si>
  <si>
    <t>https://analytics.zoho.com/open-view/2395394000008516725?ZOHO_CRITERIA=%22Localiza%20CL%22.%22Codreg%22%20%3D%2014</t>
  </si>
  <si>
    <t>Cantidad de Farmacias de Turno por Comuna en la Región de Arica y Parinacota, Año 2021</t>
  </si>
  <si>
    <t>Región de Arica y Parinacota regional comuna establecimientos salud farmacias turno urgencias salud</t>
  </si>
  <si>
    <t>https://analytics.zoho.com/open-view/2395394000008516725?ZOHO_CRITERIA=%22Localiza%20CL%22.%22Codreg%22%20%3D%2015</t>
  </si>
  <si>
    <t>Cantidad de Farmacias de Turno por Comuna en la Región de Ñuble, Año 2021</t>
  </si>
  <si>
    <t>Región de Ñuble regional comuna establecimientos salud farmacias turno urgencias salud</t>
  </si>
  <si>
    <t>https://analytics.zoho.com/open-view/2395394000008516725?ZOHO_CRITERIA=%22Localiza%20CL%22.%22Codreg%22%20%3D%2016</t>
  </si>
  <si>
    <t>Cantidad de Farmacias de Turno por Región en Chile, Año 2021</t>
  </si>
  <si>
    <t>Chile nacional región establecimientos salud farmacias turno urgencias salud</t>
  </si>
  <si>
    <t>Evolución Trimestral de Exportaciones (USD) de Productos del Mar desde Chile, Periodo 2018-2021</t>
  </si>
  <si>
    <t>Evolución Trimestral de Exportaciones (USD) por Tipo de Producto desde Chile, Periodo 2015-2021</t>
  </si>
  <si>
    <t>Chile nacional comercio exterior exportaciones usd valor dólar productos tipo minería mar salmón cobre fruta</t>
  </si>
  <si>
    <t>Mapa de calor que muestra el valor de las Importaciones en USD por Región  en Chile, Año 2021</t>
  </si>
  <si>
    <t>Chile nacional región importación calor dólar usd comercio exterior mapa</t>
  </si>
  <si>
    <t>Chile nacional región comercio exterior economía importaciones volúmen kilogramo entrada terminal transporte marítimo aéreo terrestre otro</t>
  </si>
  <si>
    <t>Región de Tarapacá regional comercio exterior economía importaciones volúmen kilogramo entrada terminal transporte marítimo aéreo terrestre otro</t>
  </si>
  <si>
    <t>Región de Antofagasta regional comercio exterior economía importaciones volúmen kilogramo entrada terminal transporte marítimo aéreo terrestre otro</t>
  </si>
  <si>
    <t>Región de Atacama regional comercio exterior economía importaciones volúmen kilogramo entrada terminal transporte marítimo aéreo terrestre otro</t>
  </si>
  <si>
    <t>Región de Coquimbo regional comercio exterior economía importaciones volúmen kilogramo entrada terminal transporte marítimo aéreo terrestre otro</t>
  </si>
  <si>
    <t>Región de Valparaíso regional comercio exterior economía importaciones volúmen kilogramo entrada terminal transporte marítimo aéreo terrestre otro</t>
  </si>
  <si>
    <t>Región de O'Higgins regional comercio exterior economía importaciones volúmen kilogramo entrada terminal transporte marítimo aéreo terrestre otro</t>
  </si>
  <si>
    <t>Región de Maule regional comercio exterior economía importaciones volúmen kilogramo entrada terminal transporte marítimo aéreo terrestre otro</t>
  </si>
  <si>
    <t>Región del Biobío regional comercio exterior economía importaciones volúmen kilogramo entrada terminal transporte marítimo aéreo terrestre otro</t>
  </si>
  <si>
    <t>Región de La Araucanía regional comercio exterior economía importaciones volúmen kilogramo entrada terminal transporte marítimo aéreo terrestre otro</t>
  </si>
  <si>
    <t>Región de Los Lagos regional comercio exterior economía importaciones volúmen kilogramo entrada terminal transporte marítimo aéreo terrestre otro</t>
  </si>
  <si>
    <t>Región de Aysén regional comercio exterior economía importaciones volúmen kilogramo entrada terminal transporte marítimo aéreo terrestre otro</t>
  </si>
  <si>
    <t>Región de Magallanes regional comercio exterior economía importaciones volúmen kilogramo entrada terminal transporte marítimo aéreo terrestre otro</t>
  </si>
  <si>
    <t>Región Metropolitana regional comercio exterior economía importaciones volúmen kilogramo entrada terminal transporte marítimo aéreo terrestre otro</t>
  </si>
  <si>
    <t>Región de Los Ríos regional comercio exterior economía importaciones volúmen kilogramo entrada terminal transporte marítimo aéreo terrestre otro</t>
  </si>
  <si>
    <t>Región de Arica y Parinacota regional comercio exterior economía importaciones volúmen kilogramo entrada terminal transporte marítimo aéreo terrestre otro</t>
  </si>
  <si>
    <t>Chile nacional región comercio exterior economía exportaciones valor dólar usd salida lugar terminal</t>
  </si>
  <si>
    <t>Región de Tarapacá regional comercio exterior economía exportaciones valor dólar usd salida lugar terminal</t>
  </si>
  <si>
    <t>Región de Antofagasta regional comercio exterior economía exportaciones valor dólar usd salida lugar terminal</t>
  </si>
  <si>
    <t>Región de Atacama regional comercio exterior economía exportaciones valor dólar usd salida lugar terminal</t>
  </si>
  <si>
    <t>Región de Coquimbo regional comercio exterior economía exportaciones valor dólar usd salida lugar terminal</t>
  </si>
  <si>
    <t>Región de Valparaíso regional comercio exterior economía exportaciones valor dólar usd salida lugar terminal</t>
  </si>
  <si>
    <t>Región de O'Higgins regional comercio exterior economía exportaciones valor dólar usd salida lugar terminal</t>
  </si>
  <si>
    <t>Región de Maule regional comercio exterior economía exportaciones valor dólar usd salida lugar terminal</t>
  </si>
  <si>
    <t>Región del Biobío regional comercio exterior economía exportaciones valor dólar usd salida lugar terminal</t>
  </si>
  <si>
    <t>Región de La Araucanía regional comercio exterior economía exportaciones valor dólar usd salida lugar terminal</t>
  </si>
  <si>
    <t>Región de Los Lagos regional comercio exterior economía exportaciones valor dólar usd salida lugar terminal</t>
  </si>
  <si>
    <t>Región de Aysén regional comercio exterior economía exportaciones valor dólar usd salida lugar terminal</t>
  </si>
  <si>
    <t>Región de Magallanes regional comercio exterior economía exportaciones valor dólar usd salida lugar terminal</t>
  </si>
  <si>
    <t>Región Metropolitana regional comercio exterior economía exportaciones valor dólar usd salida lugar terminal</t>
  </si>
  <si>
    <t>Región de Los Ríos regional comercio exterior economía exportaciones valor dólar usd salida lugar terminal</t>
  </si>
  <si>
    <t>Valor de las exportaciones en USD según terminal de salida para la Región de Arica y Parinacota, Periodo 2015-2021</t>
  </si>
  <si>
    <t>Región de Arica y Parinacota regional comercio exterior economía exportaciones valor dólar usd salida lugar terminal</t>
  </si>
  <si>
    <t>https://analytics.zoho.com/open-view/2395394000008189059?ZOHO_CRITERIA=%221.1%20Lugar_Salida_Entrada%22.%22C%C3%B3digo%20Regi%C3%B3n%22%3D15</t>
  </si>
  <si>
    <t>Volumen de las exportaciones en kilogramo en Chile, Periodo 2015-2021</t>
  </si>
  <si>
    <t>Chile nacional región comercio exterior economía exportaciones peso volumen kilogramo kg evolución</t>
  </si>
  <si>
    <t>Evolución por trimestre de Importaciones y exportaciones según el volumen (kg) en Chile, Periodo 2015-2021</t>
  </si>
  <si>
    <t>Chile nacional región comercio exterior economía exportaciones importaciones peso volumen kilogramos kg evolución diferencia balanza</t>
  </si>
  <si>
    <t>Evolución por trimestre de Importaciones y exportaciones según el volumen (kg) en la Región de Tarapacá, Periodo 2015-2021</t>
  </si>
  <si>
    <t>Región de Tarapacá regional comercio exterior economía exportaciones importaciones peso volumen kilogramos kg evolución diferencia balanza</t>
  </si>
  <si>
    <t>Evolución por trimestre de Importaciones y exportaciones según el volumen (kg) en la Región de Antofagasta, Periodo 2015-2021</t>
  </si>
  <si>
    <t>Región de Antofagasta regional comercio exterior economía exportaciones importaciones peso volumen kilogramos kg evolución diferencia balanza</t>
  </si>
  <si>
    <t>Evolución por trimestre de Importaciones y exportaciones según el volumen (kg) en la Región de Atacama, Periodo 2015-2021</t>
  </si>
  <si>
    <t>Región de Atacama regional comercio exterior economía exportaciones importaciones peso volumen kilogramos kg evolución diferencia balanza</t>
  </si>
  <si>
    <t>Evolución por trimestre de Importaciones y exportaciones según el volumen (kg) en la Región de Coquimbo, Periodo 2015-2021</t>
  </si>
  <si>
    <t>Región de Coquimbo regional comercio exterior economía exportaciones importaciones peso volumen kilogramos kg evolución diferencia balanza</t>
  </si>
  <si>
    <t>Evolución por trimestre de Importaciones y exportaciones según el volumen (kg) en la Región de Valparaíso, Periodo 2015-2021</t>
  </si>
  <si>
    <t>Región de Valparaíso regional comercio exterior economía exportaciones importaciones peso volumen kilogramos kg evolución diferencia balanza</t>
  </si>
  <si>
    <t>Evolución por trimestre de Importaciones y exportaciones según el volumen (kg) en la Región de O'Higgins, Periodo 2015-2021</t>
  </si>
  <si>
    <t>Región de O'Higgins regional comercio exterior economía exportaciones importaciones peso volumen kilogramos kg evolución diferencia balanza</t>
  </si>
  <si>
    <t>Evolución por trimestre de Importaciones y exportaciones según el volumen (kg) en la Región de Maule, Periodo 2015-2021</t>
  </si>
  <si>
    <t>Región de Maule regional comercio exterior economía exportaciones importaciones peso volumen kilogramos kg evolución diferencia balanza</t>
  </si>
  <si>
    <t>Evolución por trimestre de Importaciones y exportaciones según el volumen (kg) en la Región del Biobío, Periodo 2015-2021</t>
  </si>
  <si>
    <t>Región del Biobío regional comercio exterior economía exportaciones importaciones peso volumen kilogramos kg evolución diferencia balanza</t>
  </si>
  <si>
    <t>Evolución por trimestre de Importaciones y exportaciones según el volumen (kg) en la Región de La Araucanía, Periodo 2015-2021</t>
  </si>
  <si>
    <t>Región de La Araucanía regional comercio exterior economía exportaciones importaciones peso volumen kilogramos kg evolución diferencia balanza</t>
  </si>
  <si>
    <t>Evolución por trimestre de Importaciones y exportaciones según el volumen (kg) en la Región de Los Lagos, Periodo 2015-2021</t>
  </si>
  <si>
    <t>Región de Los Lagos regional comercio exterior economía exportaciones importaciones peso volumen kilogramos kg evolución diferencia balanza</t>
  </si>
  <si>
    <t>Evolución por trimestre de Importaciones y exportaciones según el volumen (kg) en la Región de Aysén, Periodo 2015-2021</t>
  </si>
  <si>
    <t>Región de Aysén regional comercio exterior economía exportaciones importaciones peso volumen kilogramos kg evolución diferencia balanza</t>
  </si>
  <si>
    <t>Evolución por trimestre de Importaciones y exportaciones según el volumen (kg) en la Región de Magallanes, Periodo 2015-2021</t>
  </si>
  <si>
    <t>Región de Magallanes regional comercio exterior economía exportaciones importaciones peso volumen kilogramos kg evolución diferencia balanza</t>
  </si>
  <si>
    <t>Evolución por trimestre de Importaciones y exportaciones según el volumen (kg) en la Región Metropolitana, Periodo 2015-2021</t>
  </si>
  <si>
    <t>Región Metropolitana regional comercio exterior economía exportaciones importaciones peso volumen kilogramos kg evolución diferencia balanza</t>
  </si>
  <si>
    <t>Evolución por trimestre de Importaciones y exportaciones según el volumen (kg) en la Región de Los Ríos, Periodo 2015-2021</t>
  </si>
  <si>
    <t>Región de Los Ríos regional comercio exterior economía exportaciones importaciones peso volumen kilogramos kg evolución diferencia balanza</t>
  </si>
  <si>
    <t>Evolución por trimestre de Importaciones y exportaciones según el volumen (kg) en la Región de Arica y Parinacota, Periodo 2015-2021</t>
  </si>
  <si>
    <t>Región de Arica y Parinacota regional comercio exterior economía exportaciones importaciones peso volumen kilogramos kg evolución diferencia balanza</t>
  </si>
  <si>
    <t>Cantidad de Parques Urbanos por Comuna en Chile, Año 2020</t>
  </si>
  <si>
    <t>Chile nacional región comuna parques urbanos gestión municipal territorial gobierno regional municipal municipalidad</t>
  </si>
  <si>
    <t>Cantidad de Parques Urbanos por Comuna en la Región de Ñuble, Año 2020</t>
  </si>
  <si>
    <t>https://analytics.zoho.com/open-view/2395394000008464607?ZOHO_CRITERIA=%22Localiza%20CL%22.%22Codreg%22%20%3D%2016</t>
  </si>
  <si>
    <t>Cantidad de Plazas Públicas por Comuna en Chile, Año 2020</t>
  </si>
  <si>
    <t>Chile nacional región comuna plazas públicas gestión municipal territorial gobierno regional municipal municipalidad</t>
  </si>
  <si>
    <t>Cantidad de Plazas Públicas por Comuna en la Región de Tarapacá, Año 2020</t>
  </si>
  <si>
    <t>Región de Tarapacá regional comuna plazas públicas gestión municipal territorial gobierno regional municipal municipalidad</t>
  </si>
  <si>
    <t>Cantidad de Plazas Públicas por Comuna en la Región de Antofagasta, Año 2020</t>
  </si>
  <si>
    <t>Región de Antofagasta regional comuna plazas públicas gestión municipal territorial gobierno regional municipal municipalidad</t>
  </si>
  <si>
    <t>Cantidad de Plazas Públicas por Comuna en la Región de Atacama, Año 2020</t>
  </si>
  <si>
    <t>Región de Atacama regional comuna plazas públicas gestión municipal territorial gobierno regional municipal municipalidad</t>
  </si>
  <si>
    <t>Cantidad de Plazas Públicas por Comuna en la Región de Coquimbo, Año 2020</t>
  </si>
  <si>
    <t>Región de Coquimbo regional comuna plazas públicas gestión municipal territorial gobierno regional municipal municipalidad</t>
  </si>
  <si>
    <t>Cantidad de Plazas Públicas por Comuna en la Región de Valparaíso, Año 2020</t>
  </si>
  <si>
    <t>Región de Valparaíso regional comuna plazas públicas gestión municipal territorial gobierno regional municipal municipalidad</t>
  </si>
  <si>
    <t>Cantidad de Plazas Públicas por Comuna en la Región de O'Higgins, Año 2020</t>
  </si>
  <si>
    <t>Región de O'Higgins regional comuna plazas públicas gestión municipal territorial gobierno regional municipal municipalidad</t>
  </si>
  <si>
    <t>Cantidad de Plazas Públicas por Comuna en la Región de Maule, Año 2020</t>
  </si>
  <si>
    <t>Región de Maule regional comuna plazas públicas gestión municipal territorial gobierno regional municipal municipalidad</t>
  </si>
  <si>
    <t>Cantidad de Plazas Públicas por Comuna en la Región del Biobío, Año 2020</t>
  </si>
  <si>
    <t>Región del Biobío regional comuna plazas públicas gestión municipal territorial gobierno regional municipal municipalidad</t>
  </si>
  <si>
    <t>Cantidad de Plazas Públicas por Comuna en la Región de La Araucanía, Año 2020</t>
  </si>
  <si>
    <t>Región de La Araucanía regional comuna plazas públicas gestión municipal territorial gobierno regional municipal municipalidad</t>
  </si>
  <si>
    <t>Cantidad de Plazas Públicas por Comuna en la Región de Los Lagos, Año 2020</t>
  </si>
  <si>
    <t>Región de Los Lagos regional comuna plazas públicas gestión municipal territorial gobierno regional municipal municipalidad</t>
  </si>
  <si>
    <t>Cantidad de Plazas Públicas por Comuna en la Región de Aysén, Año 2020</t>
  </si>
  <si>
    <t>Región de Aysén regional comuna plazas públicas gestión municipal territorial gobierno regional municipal municipalidad</t>
  </si>
  <si>
    <t>Cantidad de Plazas Públicas por Comuna en la Región de Magallanes, Año 2020</t>
  </si>
  <si>
    <t>Región de Magallanes regional comuna plazas públicas gestión municipal territorial gobierno regional municipal municipalidad</t>
  </si>
  <si>
    <t>Cantidad de Plazas Públicas por Comuna en la Región Metropolitana, Año 2020</t>
  </si>
  <si>
    <t>Región Metropolitana regional comuna plazas públicas gestión municipal territorial gobierno regional municipal municipalidad</t>
  </si>
  <si>
    <t>Cantidad de Plazas Públicas por Comuna en la Región de Los Ríos, Año 2020</t>
  </si>
  <si>
    <t>Región de Los Ríos regional comuna plazas públicas gestión municipal territorial gobierno regional municipal municipalidad</t>
  </si>
  <si>
    <t>Cantidad de Plazas Públicas por Comuna en la Región de Arica y Parinacota, Año 2020</t>
  </si>
  <si>
    <t>Región de Arica y Parinacota regional comuna plazas públicas gestión municipal territorial gobierno regional municipal municipalidad</t>
  </si>
  <si>
    <t>Cantidad de Plazas Públicas por Comuna en la Región de Ñuble, Año 2020</t>
  </si>
  <si>
    <t>Región de Ñuble regional comuna plazas públicas gestión municipal territorial gobierno regional municipal municipalidad</t>
  </si>
  <si>
    <t>https://analytics.zoho.com/open-view/2395394000008464727?ZOHO_CRITERIA=%22Localiza%20CL%22.%22Codreg%22%20%3D%2016</t>
  </si>
  <si>
    <t>Áreas Verdes Mantenidas (m2) por Habitante y Comuna en Chile, Periodo 2001-2020</t>
  </si>
  <si>
    <t>Chile regional comuna plazas públicas gestión municipal territorial gobierno regional municipal municipalidad</t>
  </si>
  <si>
    <t>Áreas Verdes Mantenidas (m2) por Habitante y Comuna en la Región de Tarapacá, Periodo 2001-2020</t>
  </si>
  <si>
    <t>Áreas Verdes Mantenidas (m2) por Habitante y Comuna en la Región de Antofagasta, Periodo 2001-2020</t>
  </si>
  <si>
    <t>Áreas Verdes Mantenidas (m2) por Habitante y Comuna en la Región de Atacama, Periodo 2001-2020</t>
  </si>
  <si>
    <t>Áreas Verdes Mantenidas (m2) por Habitante y Comuna en la Región de Coquimbo, Periodo 2001-2020</t>
  </si>
  <si>
    <t>Áreas Verdes Mantenidas (m2) por Habitante y Comuna en la Región de Valparaíso, Periodo 2001-2020</t>
  </si>
  <si>
    <t>Áreas Verdes Mantenidas (m2) por Habitante y Comuna en la Región de O'Higgins, Periodo 2001-2020</t>
  </si>
  <si>
    <t>Áreas Verdes Mantenidas (m2) por Habitante y Comuna en la Región de Maule, Periodo 2001-2020</t>
  </si>
  <si>
    <t>Áreas Verdes Mantenidas (m2) por Habitante y Comuna en la Región del Biobío, Periodo 2001-2020</t>
  </si>
  <si>
    <t>Áreas Verdes Mantenidas (m2) por Habitante y Comuna en la Región de La Araucanía, Periodo 2001-2020</t>
  </si>
  <si>
    <t>Áreas Verdes Mantenidas (m2) por Habitante y Comuna en la Región de Los Lagos, Periodo 2001-2020</t>
  </si>
  <si>
    <t>Áreas Verdes Mantenidas (m2) por Habitante y Comuna en la Región de Aysén, Periodo 2001-2020</t>
  </si>
  <si>
    <t>Áreas Verdes Mantenidas (m2) por Habitante y Comuna en la Región de Magallanes, Periodo 2001-2020</t>
  </si>
  <si>
    <t>Áreas Verdes Mantenidas (m2) por Habitante y Comuna en la Región Metropolitana, Periodo 2001-2020</t>
  </si>
  <si>
    <t>Áreas Verdes Mantenidas (m2) por Habitante y Comuna en la Región de Los Ríos, Periodo 2001-2020</t>
  </si>
  <si>
    <t>https://analytics.zoho.com/open-view/2395394000008478003?ZOHO_CRITERIA=%22Localiza%20CL%22.%22Codreg%22%20%3D%2014</t>
  </si>
  <si>
    <t>Áreas Verdes Mantenidas (m2) por Habitante y Comuna en la Región de Arica y Parinacota, Periodo 2001-2020</t>
  </si>
  <si>
    <t>https://analytics.zoho.com/open-view/2395394000008478003?ZOHO_CRITERIA=%22Localiza%20CL%22.%22Codreg%22%20%3D%2015</t>
  </si>
  <si>
    <t>Áreas Verdes Mantenidas (m2) por Habitante y Comuna en la Región de Ñuble, Periodo 2001-2020</t>
  </si>
  <si>
    <t>https://analytics.zoho.com/open-view/2395394000008478003?ZOHO_CRITERIA=%22Localiza%20CL%22.%22Codreg%22%20%3D%2016</t>
  </si>
  <si>
    <t>Evolución de la Proporción de la Población que tuvo Consultas Mentales a Escala Nacional en Chile, Periodo 2009-2017</t>
  </si>
  <si>
    <t>Chile nacional salud mental consultas porcentaje proporción población evolución</t>
  </si>
  <si>
    <t>Evolución de la Tasa de Consultas Mentales a Escala Regional (Consultas cada 100 mil habitantes) en Chile, Periodo 2009-2017</t>
  </si>
  <si>
    <t>Chile nacional región salud mental consultas tasa cada 100 cien mil habitantes evolución</t>
  </si>
  <si>
    <t>Evolución de la Tasa de Consultas Mentales a Escala Comunal (Consultas cada 100 mil habitantes) en  Chile, Periodo 2009-2017</t>
  </si>
  <si>
    <t>Chile nacional región comuna salud mental consultas tasa cada 100 cien mil habitantes evolución</t>
  </si>
  <si>
    <t>Evolución de la Tasa de Consultas Mentales a Escala Comunal (Consultas cada 100 mil habitantes) en la  Región de Tarapacá, Periodo 2009-2017</t>
  </si>
  <si>
    <t>Región de Tarapacá regional comuna salud mental consultas tasa cada 100 cien mil habitantes evolución</t>
  </si>
  <si>
    <t>https://analytics.zoho.com/open-view/2395394000008502284?ZOHO_CRITERIA=%22Localiza%20Chile%22.%22Codreg%22%3D1</t>
  </si>
  <si>
    <t>Evolución de la Tasa de Consultas Mentales a Escala Comunal (Consultas cada 100 mil habitantes) en la  Región de Antofagasta, Periodo 2009-2017</t>
  </si>
  <si>
    <t>Región de Antofagasta regional comuna salud mental consultas tasa cada 100 cien mil habitantes evolución</t>
  </si>
  <si>
    <t>https://analytics.zoho.com/open-view/2395394000008502284?ZOHO_CRITERIA=%22Localiza%20Chile%22.%22Codreg%22%3D2</t>
  </si>
  <si>
    <t>Evolución de la Tasa de Consultas Mentales a Escala Comunal (Consultas cada 100 mil habitantes) en la  Región de Atacama, Periodo 2009-2017</t>
  </si>
  <si>
    <t>Región de Atacama regional comuna salud mental consultas tasa cada 100 cien mil habitantes evolución</t>
  </si>
  <si>
    <t>https://analytics.zoho.com/open-view/2395394000008502284?ZOHO_CRITERIA=%22Localiza%20Chile%22.%22Codreg%22%3D3</t>
  </si>
  <si>
    <t>Evolución de la Tasa de Consultas Mentales a Escala Comunal (Consultas cada 100 mil habitantes) en la  Región de Coquimbo, Periodo 2009-2017</t>
  </si>
  <si>
    <t>Región de Coquimbo regional comuna salud mental consultas tasa cada 100 cien mil habitantes evolución</t>
  </si>
  <si>
    <t>https://analytics.zoho.com/open-view/2395394000008502284?ZOHO_CRITERIA=%22Localiza%20Chile%22.%22Codreg%22%3D4</t>
  </si>
  <si>
    <t>Evolución de la Tasa de Consultas Mentales a Escala Comunal (Consultas cada 100 mil habitantes) en la  Región de Valparaíso, Periodo 2009-2017</t>
  </si>
  <si>
    <t>Región de Valparaíso regional comuna salud mental consultas tasa cada 100 cien mil habitantes evolución</t>
  </si>
  <si>
    <t>https://analytics.zoho.com/open-view/2395394000008502284?ZOHO_CRITERIA=%22Localiza%20Chile%22.%22Codreg%22%3D5</t>
  </si>
  <si>
    <t>Evolución de la Tasa de Consultas Mentales a Escala Comunal (Consultas cada 100 mil habitantes) en la  Región de O'Higgins, Periodo 2009-2017</t>
  </si>
  <si>
    <t>Región de O'Higgins regional comuna salud mental consultas tasa cada 100 cien mil habitantes evolución</t>
  </si>
  <si>
    <t>https://analytics.zoho.com/open-view/2395394000008502284?ZOHO_CRITERIA=%22Localiza%20Chile%22.%22Codreg%22%3D6</t>
  </si>
  <si>
    <t>Evolución de la Tasa de Consultas Mentales a Escala Comunal (Consultas cada 100 mil habitantes) en la  Región de Maule, Periodo 2009-2017</t>
  </si>
  <si>
    <t>Región de Maule regional comuna salud mental consultas tasa cada 100 cien mil habitantes evolución</t>
  </si>
  <si>
    <t>https://analytics.zoho.com/open-view/2395394000008502284?ZOHO_CRITERIA=%22Localiza%20Chile%22.%22Codreg%22%3D7</t>
  </si>
  <si>
    <t>Evolución de la Tasa de Consultas Mentales a Escala Comunal (Consultas cada 100 mil habitantes) en la  Región del Biobío, Periodo 2009-2017</t>
  </si>
  <si>
    <t>Región del Biobío regional comuna salud mental consultas tasa cada 100 cien mil habitantes evolución</t>
  </si>
  <si>
    <t>https://analytics.zoho.com/open-view/2395394000008502284?ZOHO_CRITERIA=%22Localiza%20Chile%22.%22Codreg%22%3D8</t>
  </si>
  <si>
    <t>Evolución de la Tasa de Consultas Mentales a Escala Comunal (Consultas cada 100 mil habitantes) en la  Región de La Araucanía, Periodo 2009-2017</t>
  </si>
  <si>
    <t>Región de La Araucanía regional comuna salud mental consultas tasa cada 100 cien mil habitantes evolución</t>
  </si>
  <si>
    <t>https://analytics.zoho.com/open-view/2395394000008502284?ZOHO_CRITERIA=%22Localiza%20Chile%22.%22Codreg%22%3D9</t>
  </si>
  <si>
    <t>Evolución de la Tasa de Consultas Mentales a Escala Comunal (Consultas cada 100 mil habitantes) en la  Región de Los Lagos, Periodo 2009-2017</t>
  </si>
  <si>
    <t>Región de Los Lagos regional comuna salud mental consultas tasa cada 100 cien mil habitantes evolución</t>
  </si>
  <si>
    <t>https://analytics.zoho.com/open-view/2395394000008502284?ZOHO_CRITERIA=%22Localiza%20Chile%22.%22Codreg%22%3D10</t>
  </si>
  <si>
    <t>Evolución de la Tasa de Consultas Mentales a Escala Comunal (Consultas cada 100 mil habitantes) en la  Región de Aysén, Periodo 2009-2017</t>
  </si>
  <si>
    <t>Región de Aysén regional comuna salud mental consultas tasa cada 100 cien mil habitantes evolución</t>
  </si>
  <si>
    <t>https://analytics.zoho.com/open-view/2395394000008502284?ZOHO_CRITERIA=%22Localiza%20Chile%22.%22Codreg%22%3D11</t>
  </si>
  <si>
    <t>Evolución de la Tasa de Consultas Mentales a Escala Comunal (Consultas cada 100 mil habitantes) en la  Región de Magallanes, Periodo 2009-2017</t>
  </si>
  <si>
    <t>Región de Magallanes regional comuna salud mental consultas tasa cada 100 cien mil habitantes evolución</t>
  </si>
  <si>
    <t>https://analytics.zoho.com/open-view/2395394000008502284?ZOHO_CRITERIA=%22Localiza%20Chile%22.%22Codreg%22%3D12</t>
  </si>
  <si>
    <t>Evolución de la Tasa de Consultas Mentales a Escala Comunal (Consultas cada 100 mil habitantes) en la  Región Metropolitana, Periodo 2009-2017</t>
  </si>
  <si>
    <t>Región Metropolitana regional comuna salud mental consultas tasa cada 100 cien mil habitantes evolución</t>
  </si>
  <si>
    <t>https://analytics.zoho.com/open-view/2395394000008502284?ZOHO_CRITERIA=%22Localiza%20Chile%22.%22Codreg%22%3D13</t>
  </si>
  <si>
    <t>Evolución de la Tasa de Consultas Mentales a Escala Comunal (Consultas cada 100 mil habitantes) en la  Región de Los Ríos, Periodo 2009-2017</t>
  </si>
  <si>
    <t>Región de Los Ríos regional comuna salud mental consultas tasa cada 100 cien mil habitantes evolución</t>
  </si>
  <si>
    <t>https://analytics.zoho.com/open-view/2395394000008502284?ZOHO_CRITERIA=%22Localiza%20Chile%22.%22Codreg%22%3D14</t>
  </si>
  <si>
    <t>Evolución de la Tasa de Consultas Mentales a Escala Comunal (Consultas cada 100 mil habitantes) en la  Región de Arica y Parinacota, Periodo 2009-2017</t>
  </si>
  <si>
    <t>Región de Arica y Parinacota regional comuna salud mental consultas tasa cada 100 cien mil habitantes evolución</t>
  </si>
  <si>
    <t>https://analytics.zoho.com/open-view/2395394000008502284?ZOHO_CRITERIA=%22Localiza%20Chile%22.%22Codreg%22%3D15</t>
  </si>
  <si>
    <t>Evolución de la Tasa de Consultas Mentales a Escala Comunal (Consultas cada 100 mil habitantes) en la  Región de Ñuble, Periodo 2009-2017</t>
  </si>
  <si>
    <t>Región de Ñuble regional comuna salud mental consultas tasa cada 100 cien mil habitantes evolución</t>
  </si>
  <si>
    <t>https://analytics.zoho.com/open-view/2395394000008502284?ZOHO_CRITERIA=%22Localiza%20Chile%22.%22Codreg%22%3D16</t>
  </si>
  <si>
    <t>Kilogramo</t>
  </si>
  <si>
    <t>Ministerio de Ciencia, Tecnología, Conocimiento e Innovación</t>
  </si>
  <si>
    <t>Cantidad de Licencias de Conducir por clase</t>
  </si>
  <si>
    <t>Cantidad de Centrales</t>
  </si>
  <si>
    <t>Propietarios de Centrales</t>
  </si>
  <si>
    <t xml:space="preserve">Áreas Verdes  </t>
  </si>
  <si>
    <t>Predios Agrícolas</t>
  </si>
  <si>
    <t>Total Tránsito</t>
  </si>
  <si>
    <t>Estado de la Salud</t>
  </si>
  <si>
    <t>Región-Servicio de Salud</t>
  </si>
  <si>
    <t>Tecnología, Internet y Telecomunicaciones</t>
  </si>
  <si>
    <t>Conexiones de internet fija</t>
  </si>
  <si>
    <t>Internet</t>
  </si>
  <si>
    <t>Cantidad de conexiones de internet fija por comuna</t>
  </si>
  <si>
    <t>Periodo 2007-2019</t>
  </si>
  <si>
    <t>Biblioteca del Congreso Nacional</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</si>
  <si>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</si>
  <si>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 conexiones internet fija chile país suscripciones comunas cantidad</t>
  </si>
  <si>
    <t>https://analytics.zoho.com/open-view/2395394000008435350</t>
  </si>
  <si>
    <t>Mapa de cantidad de conexiones a internet fija en Chile, Año 2019</t>
  </si>
  <si>
    <t>En el año 2019, la comuna de la región de Coquimbo que poseía la mayor cantidad de conexiones internet fija, fue la comuna de Combarbalá, con 70.319 conexiones, mientras por su lado en segundo lugar viene la comuna de La Serena, con 60,752 conexiones.</t>
  </si>
  <si>
    <t>https://analytics.zoho.com/open-view/2395394000008438417</t>
  </si>
  <si>
    <t>https://analytics.zoho.com/open-view/2395394000008435500?ZOHO_CRITERIA=%22Conexi%C3%B3n_Internet_fija%22.%22Codreg%22%3D1</t>
  </si>
  <si>
    <t>https://analytics.zoho.com/open-view/2395394000008435500?ZOHO_CRITERIA=%22Conexi%C3%B3n_Internet_fija%22.%22Codreg%22%3D2</t>
  </si>
  <si>
    <t>https://analytics.zoho.com/open-view/2395394000008435500?ZOHO_CRITERIA=%22Conexi%C3%B3n_Internet_fija%22.%22Codreg%22%3D3</t>
  </si>
  <si>
    <t>https://analytics.zoho.com/open-view/2395394000008435500?ZOHO_CRITERIA=%22Conexi%C3%B3n_Internet_fija%22.%22Codreg%22%3D4</t>
  </si>
  <si>
    <t>https://analytics.zoho.com/open-view/2395394000008435500?ZOHO_CRITERIA=%22Conexi%C3%B3n_Internet_fija%22.%22Codreg%22%3D5</t>
  </si>
  <si>
    <t>https://analytics.zoho.com/open-view/2395394000008435500?ZOHO_CRITERIA=%22Conexi%C3%B3n_Internet_fija%22.%22Codreg%22%3D6</t>
  </si>
  <si>
    <t>https://analytics.zoho.com/open-view/2395394000008435500?ZOHO_CRITERIA=%22Conexi%C3%B3n_Internet_fija%22.%22Codreg%22%3D7</t>
  </si>
  <si>
    <t>https://analytics.zoho.com/open-view/2395394000008435500?ZOHO_CRITERIA=%22Conexi%C3%B3n_Internet_fija%22.%22Codreg%22%3D8</t>
  </si>
  <si>
    <t>https://analytics.zoho.com/open-view/2395394000008435500?ZOHO_CRITERIA=%22Conexi%C3%B3n_Internet_fija%22.%22Codreg%22%3D9</t>
  </si>
  <si>
    <t>https://analytics.zoho.com/open-view/2395394000008435500?ZOHO_CRITERIA=%22Conexi%C3%B3n_Internet_fija%22.%22Codreg%22%3D10</t>
  </si>
  <si>
    <t>https://analytics.zoho.com/open-view/2395394000008435500?ZOHO_CRITERIA=%22Conexi%C3%B3n_Internet_fija%22.%22Codreg%22%3D11</t>
  </si>
  <si>
    <t>https://analytics.zoho.com/open-view/2395394000008435500?ZOHO_CRITERIA=%22Conexi%C3%B3n_Internet_fija%22.%22Codreg%22%3D12</t>
  </si>
  <si>
    <t>https://analytics.zoho.com/open-view/2395394000008435500?ZOHO_CRITERIA=%22Conexi%C3%B3n_Internet_fija%22.%22Codreg%22%3D13</t>
  </si>
  <si>
    <t>https://analytics.zoho.com/open-view/2395394000008435500?ZOHO_CRITERIA=%22Conexi%C3%B3n_Internet_fija%22.%22Codreg%22%3D14</t>
  </si>
  <si>
    <t>https://analytics.zoho.com/open-view/2395394000008435500?ZOHO_CRITERIA=%22Conexi%C3%B3n_Internet_fija%22.%22Codreg%22%3D15</t>
  </si>
  <si>
    <t>https://analytics.zoho.com/open-view/2395394000008435500?ZOHO_CRITERIA=%22Conexi%C3%B3n_Internet_fija%22.%22Codreg%22%3D16</t>
  </si>
  <si>
    <t>Televisión de pago</t>
  </si>
  <si>
    <t>Telecomunicaciones</t>
  </si>
  <si>
    <t>Cantidad suscriptores a televisión de pago por región y comuna</t>
  </si>
  <si>
    <t>cantidad suscripciones televisión pago regional región comuna Chile</t>
  </si>
  <si>
    <t>https://analytics.zoho.com/open-view/2395394000008461424</t>
  </si>
  <si>
    <t>Cantidad suscriptores a televisión de pago por comuna</t>
  </si>
  <si>
    <t>región de Tarapacá cantidad suscripciones televisión pago regional comuna Chile</t>
  </si>
  <si>
    <t>https://analytics.zoho.com/open-view/2395394000008434853?ZOHO_CRITERIA=%22Televisi%C3%B3n_Pago%22.%22CodRegi%C3%B3n%22%3D1</t>
  </si>
  <si>
    <t>región de Antofagasta cantidad suscripciones televisión pago regional comuna Chile</t>
  </si>
  <si>
    <t>https://analytics.zoho.com/open-view/2395394000008434853?ZOHO_CRITERIA=%22Televisi%C3%B3n_Pago%22.%22CodRegi%C3%B3n%22%3D2</t>
  </si>
  <si>
    <t>región de Atacama cantidad suscripciones televisión pago regional comuna Chile</t>
  </si>
  <si>
    <t>https://analytics.zoho.com/open-view/2395394000008434853?ZOHO_CRITERIA=%22Televisi%C3%B3n_Pago%22.%22CodRegi%C3%B3n%22%3D3</t>
  </si>
  <si>
    <t>región de Coquimbo cantidad suscripciones televisión pago regional comuna Chile</t>
  </si>
  <si>
    <t>https://analytics.zoho.com/open-view/2395394000008434853?ZOHO_CRITERIA=%22Televisi%C3%B3n_Pago%22.%22CodRegi%C3%B3n%22%3D4</t>
  </si>
  <si>
    <t>región de Valparaíso cantidad suscripciones televisión pago regional comuna Chile</t>
  </si>
  <si>
    <t>https://analytics.zoho.com/open-view/2395394000008434853?ZOHO_CRITERIA=%22Televisi%C3%B3n_Pago%22.%22CodRegi%C3%B3n%22%3D5</t>
  </si>
  <si>
    <t>región de O'Higgins cantidad suscripciones televisión pago regional comuna Chile</t>
  </si>
  <si>
    <t>https://analytics.zoho.com/open-view/2395394000008434853?ZOHO_CRITERIA=%22Televisi%C3%B3n_Pago%22.%22CodRegi%C3%B3n%22%3D6</t>
  </si>
  <si>
    <t>región de Maule cantidad suscripciones televisión pago regional comuna Chile</t>
  </si>
  <si>
    <t>https://analytics.zoho.com/open-view/2395394000008434853?ZOHO_CRITERIA=%22Televisi%C3%B3n_Pago%22.%22CodRegi%C3%B3n%22%3D7</t>
  </si>
  <si>
    <t>región del Biobío cantidad suscripciones televisión pago regional comuna Chile</t>
  </si>
  <si>
    <t>https://analytics.zoho.com/open-view/2395394000008434853?ZOHO_CRITERIA=%22Televisi%C3%B3n_Pago%22.%22CodRegi%C3%B3n%22%3D8</t>
  </si>
  <si>
    <t>región de La Araucanía cantidad suscripciones televisión pago regional comuna Chile</t>
  </si>
  <si>
    <t>https://analytics.zoho.com/open-view/2395394000008434853?ZOHO_CRITERIA=%22Televisi%C3%B3n_Pago%22.%22CodRegi%C3%B3n%22%3D9</t>
  </si>
  <si>
    <t>región de Los Lagos cantidad suscripciones televisión pago regional comuna Chile</t>
  </si>
  <si>
    <t>https://analytics.zoho.com/open-view/2395394000008434853?ZOHO_CRITERIA=%22Televisi%C3%B3n_Pago%22.%22CodRegi%C3%B3n%22%3D10</t>
  </si>
  <si>
    <t>región de Aysén cantidad suscripciones televisión pago regional comuna Chile</t>
  </si>
  <si>
    <t>https://analytics.zoho.com/open-view/2395394000008434853?ZOHO_CRITERIA=%22Televisi%C3%B3n_Pago%22.%22CodRegi%C3%B3n%22%3D11</t>
  </si>
  <si>
    <t>región de Magallanes cantidad suscripciones televisión pago regional comuna Chile</t>
  </si>
  <si>
    <t>https://analytics.zoho.com/open-view/2395394000008434853?ZOHO_CRITERIA=%22Televisi%C3%B3n_Pago%22.%22CodRegi%C3%B3n%22%3D12</t>
  </si>
  <si>
    <t>región Metropolitana cantidad suscripciones televisión pago regional comuna Chile</t>
  </si>
  <si>
    <t>https://analytics.zoho.com/open-view/2395394000008434853?ZOHO_CRITERIA=%22Televisi%C3%B3n_Pago%22.%22CodRegi%C3%B3n%22%3D13</t>
  </si>
  <si>
    <t>región de Los Ríos cantidad suscripciones televisión pago regional comuna Chile</t>
  </si>
  <si>
    <t>https://analytics.zoho.com/open-view/2395394000008434853?ZOHO_CRITERIA=%22Televisi%C3%B3n_Pago%22.%22CodRegi%C3%B3n%22%3D14</t>
  </si>
  <si>
    <t>región de Arica y Parinacota cantidad suscripciones televisión pago regional comuna Chile</t>
  </si>
  <si>
    <t>https://analytics.zoho.com/open-view/2395394000008434853?ZOHO_CRITERIA=%22Televisi%C3%B3n_Pago%22.%22CodRegi%C3%B3n%22%3D15</t>
  </si>
  <si>
    <t>región de Ñuble cantidad suscripciones televisión pago regional comuna Chile</t>
  </si>
  <si>
    <t>https://analytics.zoho.com/open-view/2395394000008434853?ZOHO_CRITERIA=%22Televisi%C3%B3n_Pago%22.%22CodRegi%C3%B3n%22%3D16</t>
  </si>
  <si>
    <t>Comunas por región con la mayor cantidad de suscripciones de televisión de pago,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</si>
  <si>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</si>
  <si>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 suscripciones televisión pago regional comuna año 2019 país Chile</t>
  </si>
  <si>
    <t>https://analytics.zoho.com/open-view/2395394000008435117</t>
  </si>
  <si>
    <t>Comunas de la región de Tarapacá con la mayor cantidad de suscripciones de televisión de pago, Año 2019</t>
  </si>
  <si>
    <t>región de Tarapacá ranking suscripciones televisión pago comuna año 2019 país Chile</t>
  </si>
  <si>
    <t>https://analytics.zoho.com/open-view/2395394000008511008?ZOHO_CRITERIA=%22Televisi%C3%B3n_Pago%22.%22CodRegi%C3%B3n%22%3D1</t>
  </si>
  <si>
    <t>Comunas de la región de Antofagasta con la mayor cantidad de suscripciones de televisión de pago, Año 2019</t>
  </si>
  <si>
    <t>región de Antofagasta ranking suscripciones televisión pago comuna año 2019 país Chile</t>
  </si>
  <si>
    <t>https://analytics.zoho.com/open-view/2395394000008511008?ZOHO_CRITERIA=%22Televisi%C3%B3n_Pago%22.%22CodRegi%C3%B3n%22%3D2</t>
  </si>
  <si>
    <t>Comunas de la región de Atacama con la mayor cantidad de suscripciones de televisión de pago, Año 2019</t>
  </si>
  <si>
    <t>región de Atacama ranking suscripciones televisión pago comuna año 2019 país Chile</t>
  </si>
  <si>
    <t>https://analytics.zoho.com/open-view/2395394000008511008?ZOHO_CRITERIA=%22Televisi%C3%B3n_Pago%22.%22CodRegi%C3%B3n%22%3D3</t>
  </si>
  <si>
    <t>Comunas de la región de Coquimbo con la mayor cantidad de suscripciones de televisión de pago, Año 2019</t>
  </si>
  <si>
    <t>región de Coquimbo ranking suscripciones televisión pago comuna año 2019 país Chile</t>
  </si>
  <si>
    <t>https://analytics.zoho.com/open-view/2395394000008511008?ZOHO_CRITERIA=%22Televisi%C3%B3n_Pago%22.%22CodRegi%C3%B3n%22%3D4</t>
  </si>
  <si>
    <t>Comunas de la región de Valparaíso con la mayor cantidad de suscripciones de televisión de pago, Año 2019</t>
  </si>
  <si>
    <t>región de Valparaíso ranking suscripciones televisión pago comuna año 2019 país Chile</t>
  </si>
  <si>
    <t>https://analytics.zoho.com/open-view/2395394000008511008?ZOHO_CRITERIA=%22Televisi%C3%B3n_Pago%22.%22CodRegi%C3%B3n%22%3D5</t>
  </si>
  <si>
    <t>Comunas de la región de O'Higgins con la mayor cantidad de suscripciones de televisión de pago, Año 2019</t>
  </si>
  <si>
    <t>región de O'Higgins ranking suscripciones televisión pago comuna año 2019 país Chile</t>
  </si>
  <si>
    <t>https://analytics.zoho.com/open-view/2395394000008511008?ZOHO_CRITERIA=%22Televisi%C3%B3n_Pago%22.%22CodRegi%C3%B3n%22%3D6</t>
  </si>
  <si>
    <t>Comunas de la región de Maule con la mayor cantidad de suscripciones de televisión de pago, Año 2019</t>
  </si>
  <si>
    <t>región de Maule ranking suscripciones televisión pago comuna año 2019 país Chile</t>
  </si>
  <si>
    <t>https://analytics.zoho.com/open-view/2395394000008511008?ZOHO_CRITERIA=%22Televisi%C3%B3n_Pago%22.%22CodRegi%C3%B3n%22%3D7</t>
  </si>
  <si>
    <t>Comunas de la región del Biobío con la mayor cantidad de suscripciones de televisión de pago, Año 2019</t>
  </si>
  <si>
    <t>región del Biobío ranking suscripciones televisión pago comuna año 2019 país Chile</t>
  </si>
  <si>
    <t>https://analytics.zoho.com/open-view/2395394000008511008?ZOHO_CRITERIA=%22Televisi%C3%B3n_Pago%22.%22CodRegi%C3%B3n%22%3D8</t>
  </si>
  <si>
    <t>Comunas de la región de La Araucanía con la mayor cantidad de suscripciones de televisión de pago, Año 2019</t>
  </si>
  <si>
    <t>región de La Araucanía ranking suscripciones televisión pago comuna año 2019 país Chile</t>
  </si>
  <si>
    <t>https://analytics.zoho.com/open-view/2395394000008511008?ZOHO_CRITERIA=%22Televisi%C3%B3n_Pago%22.%22CodRegi%C3%B3n%22%3D9</t>
  </si>
  <si>
    <t>Comunas de la región de Los Lagos con la mayor cantidad de suscripciones de televisión de pago, Año 2019</t>
  </si>
  <si>
    <t>región de Los Lagos ranking suscripciones televisión pago comuna año 2019 país Chile</t>
  </si>
  <si>
    <t>https://analytics.zoho.com/open-view/2395394000008511008?ZOHO_CRITERIA=%22Televisi%C3%B3n_Pago%22.%22CodRegi%C3%B3n%22%3D10</t>
  </si>
  <si>
    <t>Comunas de la región de Aysén con la mayor cantidad de suscripciones de televisión de pago, Año 2019</t>
  </si>
  <si>
    <t>región de Aysén ranking suscripciones televisión pago comuna año 2019 país Chile</t>
  </si>
  <si>
    <t>https://analytics.zoho.com/open-view/2395394000008511008?ZOHO_CRITERIA=%22Televisi%C3%B3n_Pago%22.%22CodRegi%C3%B3n%22%3D11</t>
  </si>
  <si>
    <t>Comunas de la región de Magallanes con la mayor cantidad de suscripciones de televisión de pago, Año 2019</t>
  </si>
  <si>
    <t>región de Magallanes ranking suscripciones televisión pago comuna año 2019 país Chile</t>
  </si>
  <si>
    <t>https://analytics.zoho.com/open-view/2395394000008511008?ZOHO_CRITERIA=%22Televisi%C3%B3n_Pago%22.%22CodRegi%C3%B3n%22%3D12</t>
  </si>
  <si>
    <t>Comunas de la región Metropolitana con la mayor cantidad de suscripciones de televisión de pago, Año 2019</t>
  </si>
  <si>
    <t>región Metropolitana ranking suscripciones televisión pago comuna año 2019 país Chile</t>
  </si>
  <si>
    <t>https://analytics.zoho.com/open-view/2395394000008511008?ZOHO_CRITERIA=%22Televisi%C3%B3n_Pago%22.%22CodRegi%C3%B3n%22%3D13</t>
  </si>
  <si>
    <t>Comunas de la región de Los Ríos con la mayor cantidad de suscripciones de televisión de pago, Año 2019</t>
  </si>
  <si>
    <t>región de Los Ríos ranking suscripciones televisión pago comuna año 2019 país Chile</t>
  </si>
  <si>
    <t>https://analytics.zoho.com/open-view/2395394000008511008?ZOHO_CRITERIA=%22Televisi%C3%B3n_Pago%22.%22CodRegi%C3%B3n%22%3D14</t>
  </si>
  <si>
    <t>Comunas de la región de Arica y Parinacota con la mayor cantidad de suscripciones de televisión de pago, Año 2019</t>
  </si>
  <si>
    <t>región de Arica y Parinacota ranking suscripciones televisión pago comuna año 2019 país Chile</t>
  </si>
  <si>
    <t>https://analytics.zoho.com/open-view/2395394000008511008?ZOHO_CRITERIA=%22Televisi%C3%B3n_Pago%22.%22CodRegi%C3%B3n%22%3D15</t>
  </si>
  <si>
    <t>Comunas de la región de Ñuble con la mayor cantidad de suscripciones de televisión de pago, Año 2019</t>
  </si>
  <si>
    <t>región de Ñuble ranking suscripciones televisión pago comuna año 2019 país Chile</t>
  </si>
  <si>
    <t>https://analytics.zoho.com/open-view/2395394000008511008?ZOHO_CRITERIA=%22Televisi%C3%B3n_Pago%22.%22CodRegi%C3%B3n%22%3D16</t>
  </si>
  <si>
    <t>Población de pueblos indígenas</t>
  </si>
  <si>
    <t>Pueblos indígenas</t>
  </si>
  <si>
    <t>Cantidad de personas por región y comuna</t>
  </si>
  <si>
    <t>Año 2017</t>
  </si>
  <si>
    <t>Cantidad de Personas que se Identifican con un Pueblo Indígena por Comuna en Chile,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</si>
  <si>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</si>
  <si>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https://analytics.zoho.com/open-view/2395394000008436309</t>
  </si>
  <si>
    <t>Cantidad de personas por comuna</t>
  </si>
  <si>
    <t>Cantidad de Personas que se Identifican con un Pueblo Indígena en la región de Tarapacá, Año 2017</t>
  </si>
  <si>
    <t>región de Tarapacá población pueblos originarios indígenas etnia comunal Chile año 2017</t>
  </si>
  <si>
    <t>https://analytics.zoho.com/open-view/2395394000008503085?ZOHO_CRITERIA=%22Pueblos%20Ind%C3%ADgenas%20Edad%22.%22id_Region%22%20%3D%201</t>
  </si>
  <si>
    <t>Cantidad de Personas que se Identifican con un Pueblo Indígena en la región de Antofagasta, Año 2017</t>
  </si>
  <si>
    <t>región de Antofagasta población pueblos originarios indígenas etnia comunal Chile año 2017</t>
  </si>
  <si>
    <t>https://analytics.zoho.com/open-view/2395394000008503085?ZOHO_CRITERIA=%22Pueblos%20Ind%C3%ADgenas%20Edad%22.%22id_Region%22%20%3D%202</t>
  </si>
  <si>
    <t>Cantidad de Personas que se Identifican con un Pueblo Indígena en la región de Atacama, Año 2017</t>
  </si>
  <si>
    <t>región de Atacama población pueblos originarios indígenas etnia comunal Chile año 2017</t>
  </si>
  <si>
    <t>https://analytics.zoho.com/open-view/2395394000008503085?ZOHO_CRITERIA=%22Pueblos%20Ind%C3%ADgenas%20Edad%22.%22id_Region%22%20%3D%203</t>
  </si>
  <si>
    <t>Cantidad de Personas que se Identifican con un Pueblo Indígena en la región de Coquimbo, Año 2017</t>
  </si>
  <si>
    <t>región de Coquimbo población pueblos originarios indígenas etnia comunal Chile año 2017</t>
  </si>
  <si>
    <t>https://analytics.zoho.com/open-view/2395394000008503085?ZOHO_CRITERIA=%22Pueblos%20Ind%C3%ADgenas%20Edad%22.%22id_Region%22%20%3D%204</t>
  </si>
  <si>
    <t>Cantidad de Personas que se Identifican con un Pueblo Indígena en la región de Valparaíso, Año 2017</t>
  </si>
  <si>
    <t>región de Valparaíso población pueblos originarios indígenas etnia comunal Chile año 2017</t>
  </si>
  <si>
    <t>https://analytics.zoho.com/open-view/2395394000008503085?ZOHO_CRITERIA=%22Pueblos%20Ind%C3%ADgenas%20Edad%22.%22id_Region%22%20%3D%205</t>
  </si>
  <si>
    <t>Cantidad de Personas que se Identifican con un Pueblo Indígena en la región de O'Higgins, Año 2017</t>
  </si>
  <si>
    <t>región de O'Higgins población pueblos originarios indígenas etnia comunal Chile año 2017</t>
  </si>
  <si>
    <t>https://analytics.zoho.com/open-view/2395394000008503085?ZOHO_CRITERIA=%22Pueblos%20Ind%C3%ADgenas%20Edad%22.%22id_Region%22%20%3D%206</t>
  </si>
  <si>
    <t>Cantidad de Personas que se Identifican con un Pueblo Indígena en la región de Maule, Año 2017</t>
  </si>
  <si>
    <t>región de Maule población pueblos originarios indígenas etnia comunal Chile año 2017</t>
  </si>
  <si>
    <t>https://analytics.zoho.com/open-view/2395394000008503085?ZOHO_CRITERIA=%22Pueblos%20Ind%C3%ADgenas%20Edad%22.%22id_Region%22%20%3D%207</t>
  </si>
  <si>
    <t>Cantidad de Personas que se Identifican con un Pueblo Indígena en la región del Biobío, Año 2017</t>
  </si>
  <si>
    <t>región del Biobío población pueblos originarios indígenas etnia comunal Chile año 2017</t>
  </si>
  <si>
    <t>https://analytics.zoho.com/open-view/2395394000008503085?ZOHO_CRITERIA=%22Pueblos%20Ind%C3%ADgenas%20Edad%22.%22id_Region%22%20%3D%208</t>
  </si>
  <si>
    <t>Cantidad de Personas que se Identifican con un Pueblo Indígena en la región de La Araucanía, Año 2017</t>
  </si>
  <si>
    <t>región de La Araucanía población pueblos originarios indígenas etnia comunal Chile año 2017</t>
  </si>
  <si>
    <t>https://analytics.zoho.com/open-view/2395394000008503085?ZOHO_CRITERIA=%22Pueblos%20Ind%C3%ADgenas%20Edad%22.%22id_Region%22%20%3D%209</t>
  </si>
  <si>
    <t>Cantidad de Personas que se Identifican con un Pueblo Indígena en la región de Los Lagos, Año 2017</t>
  </si>
  <si>
    <t>región de Los Lagos población pueblos originarios indígenas etnia comunal Chile año 2017</t>
  </si>
  <si>
    <t>https://analytics.zoho.com/open-view/2395394000008503085?ZOHO_CRITERIA=%22Pueblos%20Ind%C3%ADgenas%20Edad%22.%22id_Region%22%20%3D%2010</t>
  </si>
  <si>
    <t>Cantidad de Personas que se Identifican con un Pueblo Indígena en la región de Aysén, Año 2017</t>
  </si>
  <si>
    <t>región de Aysén población pueblos originarios indígenas etnia comunal Chile año 2017</t>
  </si>
  <si>
    <t>https://analytics.zoho.com/open-view/2395394000008503085?ZOHO_CRITERIA=%22Pueblos%20Ind%C3%ADgenas%20Edad%22.%22id_Region%22%20%3D%2011</t>
  </si>
  <si>
    <t>Cantidad de Personas que se Identifican con un Pueblo Indígena en la región de Magallanes, Año 2017</t>
  </si>
  <si>
    <t>región de Magallanes población pueblos originarios indígenas etnia comunal Chile año 2017</t>
  </si>
  <si>
    <t>https://analytics.zoho.com/open-view/2395394000008503085?ZOHO_CRITERIA=%22Pueblos%20Ind%C3%ADgenas%20Edad%22.%22id_Region%22%20%3D%2012</t>
  </si>
  <si>
    <t>Cantidad de Personas que se Identifican con un Pueblo Indígena en la región Metropolitana, Año 2017</t>
  </si>
  <si>
    <t>región Metropolitana población pueblos originarios indígenas etnia comunal Chile año 2017</t>
  </si>
  <si>
    <t>https://analytics.zoho.com/open-view/2395394000008503085?ZOHO_CRITERIA=%22Pueblos%20Ind%C3%ADgenas%20Edad%22.%22id_Region%22%20%3D%2013</t>
  </si>
  <si>
    <t>Cantidad de Personas que se Identifican con un Pueblo Indígena en la región de Los Ríos, Año 2017</t>
  </si>
  <si>
    <t>región de Los Ríos población pueblos originarios indígenas etnia comunal Chile año 2017</t>
  </si>
  <si>
    <t>https://analytics.zoho.com/open-view/2395394000008503085?ZOHO_CRITERIA=%22Pueblos%20Ind%C3%ADgenas%20Edad%22.%22id_Region%22%20%3D%2014</t>
  </si>
  <si>
    <t>Cantidad de Personas que se Identifican con un Pueblo Indígena en la región de Arica y Parinacota, Año 2017</t>
  </si>
  <si>
    <t>región de Arica y Parinacota población pueblos originarios indígenas etnia comunal Chile año 2017</t>
  </si>
  <si>
    <t>https://analytics.zoho.com/open-view/2395394000008503085?ZOHO_CRITERIA=%22Pueblos%20Ind%C3%ADgenas%20Edad%22.%22id_Region%22%20%3D%2015</t>
  </si>
  <si>
    <t>Cantidad de Personas que se Identifican con un Pueblo Indígena en la región de Ñuble, Año 2017</t>
  </si>
  <si>
    <t>región de Ñuble población pueblos originarios indígenas etnia comunal Chile año 2017</t>
  </si>
  <si>
    <t>https://analytics.zoho.com/open-view/2395394000008503085?ZOHO_CRITERIA=%22Pueblos%20Ind%C3%ADgenas%20Edad%22.%22id_Region%22%20%3D%2016</t>
  </si>
  <si>
    <t xml:space="preserve">Cantidad de personas por región y comuna </t>
  </si>
  <si>
    <t>Cantidad de Personas que se Identifican con un Pueblo Indígena por Grupo de Edad en Chile, Año 2017</t>
  </si>
  <si>
    <t>La región que tiene la más alta cantidad de personas pertenecientes a un pueblo indígena sobre los 100 años es la Metropolitana, con 141 habitantes. Le siguen La Araucanía y Los Lagos, con 85 y 38 habitantes, respectivamente.</t>
  </si>
  <si>
    <t>https://analytics.zoho.com/open-view/2395394000008436580</t>
  </si>
  <si>
    <t>Cantidad de personas por rango etario</t>
  </si>
  <si>
    <t>Cantidad de Personas que se Identifican con un Pueblo Indígena por Grupo de Edad en la región de Tarapacá, Año 2017</t>
  </si>
  <si>
    <t>región de Tarapacá población pueblos originarios indígenas etnia edad año 2017 Chile gráfico</t>
  </si>
  <si>
    <t>https://analytics.zoho.com/open-view/2395394000008503207?ZOHO_CRITERIA=%22Pueblos%20Ind%C3%ADgenas%20Edad%22.%22id_Region%22%20%3D%201</t>
  </si>
  <si>
    <t>región de Antofagasta población pueblos originarios indígenas etnia edad año 2017 Chile gráfico</t>
  </si>
  <si>
    <t>https://analytics.zoho.com/open-view/2395394000008503207?ZOHO_CRITERIA=%22Pueblos%20Ind%C3%ADgenas%20Edad%22.%22id_Region%22%20%3D%202</t>
  </si>
  <si>
    <t>región de Atacama población pueblos originarios indígenas etnia edad año 2017 Chile gráfico</t>
  </si>
  <si>
    <t>https://analytics.zoho.com/open-view/2395394000008503207?ZOHO_CRITERIA=%22Pueblos%20Ind%C3%ADgenas%20Edad%22.%22id_Region%22%20%3D%203</t>
  </si>
  <si>
    <t>región de Coquimbo población pueblos originarios indígenas etnia edad año 2017 Chile gráfico</t>
  </si>
  <si>
    <t>https://analytics.zoho.com/open-view/2395394000008503207?ZOHO_CRITERIA=%22Pueblos%20Ind%C3%ADgenas%20Edad%22.%22id_Region%22%20%3D%204</t>
  </si>
  <si>
    <t>región de Valparaíso población pueblos originarios indígenas etnia edad año 2017 Chile gráfico</t>
  </si>
  <si>
    <t>https://analytics.zoho.com/open-view/2395394000008503207?ZOHO_CRITERIA=%22Pueblos%20Ind%C3%ADgenas%20Edad%22.%22id_Region%22%20%3D%205</t>
  </si>
  <si>
    <t>región de O'Higgins población pueblos originarios indígenas etnia edad año 2017 Chile gráfico</t>
  </si>
  <si>
    <t>https://analytics.zoho.com/open-view/2395394000008503207?ZOHO_CRITERIA=%22Pueblos%20Ind%C3%ADgenas%20Edad%22.%22id_Region%22%20%3D%206</t>
  </si>
  <si>
    <t>región de Maule población pueblos originarios indígenas etnia edad año 2017 Chile gráfico</t>
  </si>
  <si>
    <t>https://analytics.zoho.com/open-view/2395394000008503207?ZOHO_CRITERIA=%22Pueblos%20Ind%C3%ADgenas%20Edad%22.%22id_Region%22%20%3D%207</t>
  </si>
  <si>
    <t>región del Biobío población pueblos originarios indígenas etnia edad año 2017 Chile gráfico</t>
  </si>
  <si>
    <t>https://analytics.zoho.com/open-view/2395394000008503207?ZOHO_CRITERIA=%22Pueblos%20Ind%C3%ADgenas%20Edad%22.%22id_Region%22%20%3D%208</t>
  </si>
  <si>
    <t>región de La Araucanía población pueblos originarios indígenas etnia edad año 2017 Chile gráfico</t>
  </si>
  <si>
    <t>https://analytics.zoho.com/open-view/2395394000008503207?ZOHO_CRITERIA=%22Pueblos%20Ind%C3%ADgenas%20Edad%22.%22id_Region%22%20%3D%209</t>
  </si>
  <si>
    <t>región de Los Lagos población pueblos originarios indígenas etnia edad año 2017 Chile gráfico</t>
  </si>
  <si>
    <t>https://analytics.zoho.com/open-view/2395394000008503207?ZOHO_CRITERIA=%22Pueblos%20Ind%C3%ADgenas%20Edad%22.%22id_Region%22%20%3D%2010</t>
  </si>
  <si>
    <t>región de Aysén población pueblos originarios indígenas etnia edad año 2017 Chile gráfico</t>
  </si>
  <si>
    <t>https://analytics.zoho.com/open-view/2395394000008503207?ZOHO_CRITERIA=%22Pueblos%20Ind%C3%ADgenas%20Edad%22.%22id_Region%22%20%3D%2011</t>
  </si>
  <si>
    <t>región de Magallanes población pueblos originarios indígenas etnia edad año 2017 Chile gráfico</t>
  </si>
  <si>
    <t>https://analytics.zoho.com/open-view/2395394000008503207?ZOHO_CRITERIA=%22Pueblos%20Ind%C3%ADgenas%20Edad%22.%22id_Region%22%20%3D%2012</t>
  </si>
  <si>
    <t>región Metropolitana población pueblos originarios indígenas etnia edad año 2017 Chile gráfico</t>
  </si>
  <si>
    <t>https://analytics.zoho.com/open-view/2395394000008503207?ZOHO_CRITERIA=%22Pueblos%20Ind%C3%ADgenas%20Edad%22.%22id_Region%22%20%3D%2013</t>
  </si>
  <si>
    <t>región de Los Ríos población pueblos originarios indígenas etnia edad año 2017 Chile gráfico</t>
  </si>
  <si>
    <t>https://analytics.zoho.com/open-view/2395394000008503207?ZOHO_CRITERIA=%22Pueblos%20Ind%C3%ADgenas%20Edad%22.%22id_Region%22%20%3D%2014</t>
  </si>
  <si>
    <t>región de Arica y Parinacota población pueblos originarios indígenas etnia edad año 2017 Chile gráfico</t>
  </si>
  <si>
    <t>https://analytics.zoho.com/open-view/2395394000008503207?ZOHO_CRITERIA=%22Pueblos%20Ind%C3%ADgenas%20Edad%22.%22id_Region%22%20%3D%2015</t>
  </si>
  <si>
    <t>región de Ñuble población pueblos originarios indígenas etnia edad año 2017 Chile gráfico</t>
  </si>
  <si>
    <t>https://analytics.zoho.com/open-view/2395394000008503207?ZOHO_CRITERIA=%22Pueblos%20Ind%C3%ADgenas%20Edad%22.%22id_Region%22%20%3D%2016</t>
  </si>
  <si>
    <t>Cantidad de personas por pueblo indígena</t>
  </si>
  <si>
    <t>Cantidad de Personas que se Identifican con un Pueblo Indígena por Pueblo en Chile, Año 2017</t>
  </si>
  <si>
    <t>https://analytics.zoho.com/open-view/2395394000008436794</t>
  </si>
  <si>
    <t>Cantidad de personas por pueblo indígena por región</t>
  </si>
  <si>
    <t>Cantidad de Personas que se Identifican con un Pueblo Indígena por Pueblo y región en Chile,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</si>
  <si>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</si>
  <si>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https://analytics.zoho.com/open-view/2395394000008436989</t>
  </si>
  <si>
    <t>Cantidad de Personas que se Identifican con un Pueblo Indígena por Pueblo en la región de Tarapacá, Año 2017</t>
  </si>
  <si>
    <t>región de Tarapacá gráfico población pueblos originarios indígenas etnia año 2017</t>
  </si>
  <si>
    <t>https://analytics.zoho.com/open-view/2395394000008503341?ZOHO_CRITERIA=%22Pueblos%20Ind%C3%ADgenas%20Edad%22.%22id_Region%22%20%3D%201</t>
  </si>
  <si>
    <t>Cantidad de Personas que se Identifican con un Pueblo Indígena por Pueblo en la región de Antofagasta, Año 2017</t>
  </si>
  <si>
    <t>región de Antofagasta gráfico población pueblos originarios indígenas etnia año 2017</t>
  </si>
  <si>
    <t>https://analytics.zoho.com/open-view/2395394000008503341?ZOHO_CRITERIA=%22Pueblos%20Ind%C3%ADgenas%20Edad%22.%22id_Region%22%20%3D%202</t>
  </si>
  <si>
    <t>Cantidad de Personas que se Identifican con un Pueblo Indígena por Pueblo en la región de Atacama, Año 2017</t>
  </si>
  <si>
    <t>región de Atacama gráfico población pueblos originarios indígenas etnia año 2017</t>
  </si>
  <si>
    <t>https://analytics.zoho.com/open-view/2395394000008503341?ZOHO_CRITERIA=%22Pueblos%20Ind%C3%ADgenas%20Edad%22.%22id_Region%22%20%3D%203</t>
  </si>
  <si>
    <t>Cantidad de Personas que se Identifican con un Pueblo Indígena por Pueblo en la región de Coquimbo, Año 2017</t>
  </si>
  <si>
    <t>región de Coquimbo gráfico población pueblos originarios indígenas etnia año 2017</t>
  </si>
  <si>
    <t>https://analytics.zoho.com/open-view/2395394000008503341?ZOHO_CRITERIA=%22Pueblos%20Ind%C3%ADgenas%20Edad%22.%22id_Region%22%20%3D%204</t>
  </si>
  <si>
    <t>Cantidad de Personas que se Identifican con un Pueblo Indígena por Pueblo en la región de Valparaíso, Año 2017</t>
  </si>
  <si>
    <t>región de Valparaíso gráfico población pueblos originarios indígenas etnia año 2017</t>
  </si>
  <si>
    <t>https://analytics.zoho.com/open-view/2395394000008503341?ZOHO_CRITERIA=%22Pueblos%20Ind%C3%ADgenas%20Edad%22.%22id_Region%22%20%3D%205</t>
  </si>
  <si>
    <t>Cantidad de Personas que se Identifican con un Pueblo Indígena por Pueblo en la región de O'Higgins, Año 2017</t>
  </si>
  <si>
    <t>región de O'Higgins gráfico población pueblos originarios indígenas etnia año 2017</t>
  </si>
  <si>
    <t>https://analytics.zoho.com/open-view/2395394000008503341?ZOHO_CRITERIA=%22Pueblos%20Ind%C3%ADgenas%20Edad%22.%22id_Region%22%20%3D%206</t>
  </si>
  <si>
    <t>Cantidad de Personas que se Identifican con un Pueblo Indígena por Pueblo en la región de Maule, Año 2017</t>
  </si>
  <si>
    <t>región de Maule gráfico población pueblos originarios indígenas etnia año 2017</t>
  </si>
  <si>
    <t>https://analytics.zoho.com/open-view/2395394000008503341?ZOHO_CRITERIA=%22Pueblos%20Ind%C3%ADgenas%20Edad%22.%22id_Region%22%20%3D%207</t>
  </si>
  <si>
    <t>Cantidad de Personas que se Identifican con un Pueblo Indígena por Pueblo en la región de Biobío, Año 2017</t>
  </si>
  <si>
    <t>región de Biobío gráfico población pueblos originarios indígenas etnia año 2017</t>
  </si>
  <si>
    <t>https://analytics.zoho.com/open-view/2395394000008503341?ZOHO_CRITERIA=%22Pueblos%20Ind%C3%ADgenas%20Edad%22.%22id_Region%22%20%3D%208</t>
  </si>
  <si>
    <t>Cantidad de Personas que se Identifican con un Pueblo Indígena por Pueblo en la región de La Araucanía, Año 2017</t>
  </si>
  <si>
    <t>región de La Araucanía gráfico población pueblos originarios indígenas etnia año 2017</t>
  </si>
  <si>
    <t>https://analytics.zoho.com/open-view/2395394000008503341?ZOHO_CRITERIA=%22Pueblos%20Ind%C3%ADgenas%20Edad%22.%22id_Region%22%20%3D%209</t>
  </si>
  <si>
    <t>Cantidad de Personas que se Identifican con un Pueblo Indígena por Pueblo en la región de Los Lagos, Año 2017</t>
  </si>
  <si>
    <t>región de Los Lagos gráfico población pueblos originarios indígenas etnia año 2017</t>
  </si>
  <si>
    <t>https://analytics.zoho.com/open-view/2395394000008503341?ZOHO_CRITERIA=%22Pueblos%20Ind%C3%ADgenas%20Edad%22.%22id_Region%22%20%3D%2010</t>
  </si>
  <si>
    <t>Cantidad de Personas que se Identifican con un Pueblo Indígena por Pueblo en la región de Aysén, Año 2017</t>
  </si>
  <si>
    <t>región de Aysén gráfico población pueblos originarios indígenas etnia año 2017</t>
  </si>
  <si>
    <t>https://analytics.zoho.com/open-view/2395394000008503341?ZOHO_CRITERIA=%22Pueblos%20Ind%C3%ADgenas%20Edad%22.%22id_Region%22%20%3D%2011</t>
  </si>
  <si>
    <t>Cantidad de Personas que se Identifican con un Pueblo Indígena por Pueblo en la región de Magallanes, Año 2017</t>
  </si>
  <si>
    <t>región de Magallanes gráfico población pueblos originarios indígenas etnia año 2017</t>
  </si>
  <si>
    <t>https://analytics.zoho.com/open-view/2395394000008503341?ZOHO_CRITERIA=%22Pueblos%20Ind%C3%ADgenas%20Edad%22.%22id_Region%22%20%3D%2012</t>
  </si>
  <si>
    <t>Cantidad de Personas que se Identifican con un Pueblo Indígena por Pueblo en la región Metropolitana, Año 2017</t>
  </si>
  <si>
    <t>región Metropolitana gráfico población pueblos originarios indígenas etnia año 2017</t>
  </si>
  <si>
    <t>https://analytics.zoho.com/open-view/2395394000008503341?ZOHO_CRITERIA=%22Pueblos%20Ind%C3%ADgenas%20Edad%22.%22id_Region%22%20%3D%2013</t>
  </si>
  <si>
    <t>Cantidad de Personas que se Identifican con un Pueblo Indígena por Pueblo en la región de Los Ríos, Año 2017</t>
  </si>
  <si>
    <t>región de Los Ríos gráfico población pueblos originarios indígenas etnia año 2017</t>
  </si>
  <si>
    <t>https://analytics.zoho.com/open-view/2395394000008503341?ZOHO_CRITERIA=%22Pueblos%20Ind%C3%ADgenas%20Edad%22.%22id_Region%22%20%3D%2014</t>
  </si>
  <si>
    <t>Cantidad de Personas que se Identifican con un Pueblo Indígena por Pueblo en la región de Arica y Parinacota, Año 2017</t>
  </si>
  <si>
    <t>región de Arica y Parinacota gráfico población pueblos originarios indígenas etnia año 2017</t>
  </si>
  <si>
    <t>https://analytics.zoho.com/open-view/2395394000008503341?ZOHO_CRITERIA=%22Pueblos%20Ind%C3%ADgenas%20Edad%22.%22id_Region%22%20%3D%2015</t>
  </si>
  <si>
    <t>Cantidad de Personas que se Identifican con un Pueblo Indígena por Pueblo en la región de Ñuble, Año 2017</t>
  </si>
  <si>
    <t>región de Ñuble gráfico población pueblos originarios indígenas etnia año 2017</t>
  </si>
  <si>
    <t>https://analytics.zoho.com/open-view/2395394000008503341?ZOHO_CRITERIA=%22Pueblos%20Ind%C3%ADgenas%20Edad%22.%22id_Region%22%20%3D%2016</t>
  </si>
  <si>
    <t>Cantidad de personas por región por sexo</t>
  </si>
  <si>
    <t>Cantidad de Personas que se Identifican con un Pueblo Indígena por Sexo y Región en Chile, Año 2017</t>
  </si>
  <si>
    <t>La presencia de mujeres pertenecientes a pueblos indígenas es más notoria en la región Metropolitana, alcanzando 352.651 mujeres. Al contrario, la región que tiene menos mujeres pertenecientes a pueblos indígenas es Arica y Parinacota, con 11.128 habitantes.</t>
  </si>
  <si>
    <t>https://analytics.zoho.com/open-view/2395394000008439092</t>
  </si>
  <si>
    <t>https://analytics.zoho.com/open-view/2395394000008503554?ZOHO_CRITERIA=%22Pueblos%20Ind%C3%ADgenas%20Sexo%22.%22id_Region%22%20%3D%201</t>
  </si>
  <si>
    <t>https://analytics.zoho.com/open-view/2395394000008503554?ZOHO_CRITERIA=%22Pueblos%20Ind%C3%ADgenas%20Sexo%22.%22id_Region%22%20%3D%202</t>
  </si>
  <si>
    <t>https://analytics.zoho.com/open-view/2395394000008503554?ZOHO_CRITERIA=%22Pueblos%20Ind%C3%ADgenas%20Sexo%22.%22id_Region%22%20%3D%203</t>
  </si>
  <si>
    <t>https://analytics.zoho.com/open-view/2395394000008503554?ZOHO_CRITERIA=%22Pueblos%20Ind%C3%ADgenas%20Sexo%22.%22id_Region%22%20%3D%204</t>
  </si>
  <si>
    <t>https://analytics.zoho.com/open-view/2395394000008503554?ZOHO_CRITERIA=%22Pueblos%20Ind%C3%ADgenas%20Sexo%22.%22id_Region%22%20%3D%205</t>
  </si>
  <si>
    <t>https://analytics.zoho.com/open-view/2395394000008503554?ZOHO_CRITERIA=%22Pueblos%20Ind%C3%ADgenas%20Sexo%22.%22id_Region%22%20%3D%206</t>
  </si>
  <si>
    <t>https://analytics.zoho.com/open-view/2395394000008503554?ZOHO_CRITERIA=%22Pueblos%20Ind%C3%ADgenas%20Sexo%22.%22id_Region%22%20%3D%207</t>
  </si>
  <si>
    <t>https://analytics.zoho.com/open-view/2395394000008503554?ZOHO_CRITERIA=%22Pueblos%20Ind%C3%ADgenas%20Sexo%22.%22id_Region%22%20%3D%208</t>
  </si>
  <si>
    <t>https://analytics.zoho.com/open-view/2395394000008503554?ZOHO_CRITERIA=%22Pueblos%20Ind%C3%ADgenas%20Sexo%22.%22id_Region%22%20%3D%209</t>
  </si>
  <si>
    <t>https://analytics.zoho.com/open-view/2395394000008503554?ZOHO_CRITERIA=%22Pueblos%20Ind%C3%ADgenas%20Sexo%22.%22id_Region%22%20%3D%2010</t>
  </si>
  <si>
    <t>https://analytics.zoho.com/open-view/2395394000008503554?ZOHO_CRITERIA=%22Pueblos%20Ind%C3%ADgenas%20Sexo%22.%22id_Region%22%20%3D%2011</t>
  </si>
  <si>
    <t>https://analytics.zoho.com/open-view/2395394000008503554?ZOHO_CRITERIA=%22Pueblos%20Ind%C3%ADgenas%20Sexo%22.%22id_Region%22%20%3D%2012</t>
  </si>
  <si>
    <t>https://analytics.zoho.com/open-view/2395394000008503554?ZOHO_CRITERIA=%22Pueblos%20Ind%C3%ADgenas%20Sexo%22.%22id_Region%22%20%3D%2013</t>
  </si>
  <si>
    <t>https://analytics.zoho.com/open-view/2395394000008503554?ZOHO_CRITERIA=%22Pueblos%20Ind%C3%ADgenas%20Sexo%22.%22id_Region%22%20%3D%2014</t>
  </si>
  <si>
    <t>https://analytics.zoho.com/open-view/2395394000008503554?ZOHO_CRITERIA=%22Pueblos%20Ind%C3%ADgenas%20Sexo%22.%22id_Region%22%20%3D%2015</t>
  </si>
  <si>
    <t>https://analytics.zoho.com/open-view/2395394000008503554?ZOHO_CRITERIA=%22Pueblos%20Ind%C3%ADgenas%20Sexo%22.%22id_Region%22%20%3D%2016</t>
  </si>
  <si>
    <t>Tasa de desocupación</t>
  </si>
  <si>
    <t>Fecha</t>
  </si>
  <si>
    <t>Tasa de desocupación nacional por fecha</t>
  </si>
  <si>
    <t>Periodo 1986-2021</t>
  </si>
  <si>
    <t xml:space="preserve">Tasa </t>
  </si>
  <si>
    <t>Banco Central</t>
  </si>
  <si>
    <t>Tasa de Desocupación en Chile en el Periodo 1986-2021</t>
  </si>
  <si>
    <t>En Chile, la tasa de desocupación alcanzó su máximo en febrero de 1986 con un valor de 13,5. Luego, comienza a disminuir gradualmente hasta febrero de 1998, alcanzando su valor más bajo en todo el periodo observado con 5,1.</t>
  </si>
  <si>
    <t>tasa de desocupación nacional  mensual Chile trabajo gráfico evolución periodo 1986 2021</t>
  </si>
  <si>
    <t>https://analytics.zoho.com/open-view/2395394000008196724</t>
  </si>
  <si>
    <t>Fuerza de trabajo</t>
  </si>
  <si>
    <t>Variación de la Fuerza de Trabajo en Chile con el Año Anterior en el Periodo 1986-2021</t>
  </si>
  <si>
    <t>La fuerza de trabajo integra a las personas ocupadas, desocupadas, que buscan trabajo por primera vez y cesantes. Entre febrero de 1987 y marzo del 2020, la variación de la fuerza de trabajo fluctuó entre -0,7% y 6,9%, siendo este último su máximo en todo el periodo observado. En julio de 2020 alcanza su valor mínimo con -15,6%, para luego comenzar a aumentar.</t>
  </si>
  <si>
    <t>https://analytics.zoho.com/open-view/2395394000008199603</t>
  </si>
  <si>
    <t>Desocupados</t>
  </si>
  <si>
    <t>Variación de desocupados por fecha</t>
  </si>
  <si>
    <t>Variación de desocupados en Chile con el Año Anterior en el Periodo 1986-2021</t>
  </si>
  <si>
    <t>La variación en la cantidad de desocupados a nivel nacional encontró su máximo en junio de 1999, con un valor de 83,5%. En noviembre de 2012, se observó el valor mínimo de esta variación con -29,5%.</t>
  </si>
  <si>
    <t>https://analytics.zoho.com/open-view/2395394000008199783</t>
  </si>
  <si>
    <t>Producción minera</t>
  </si>
  <si>
    <t>Minería</t>
  </si>
  <si>
    <t>Región-Fecha</t>
  </si>
  <si>
    <t>Índice de producción minera por fecha</t>
  </si>
  <si>
    <t>Índice de producción minera</t>
  </si>
  <si>
    <t>Índice de Producción Minera en Chile en el Periodo 2014-2021</t>
  </si>
  <si>
    <t>Según el INE, el índice de producción minera (IPMin) entrega, mediante el análisis de variaciones interanuales y mensuales, una aproximación de la evolución en el corto plazo de la actividad minera. Este índice alcanzó su mínimo en febrero de 2019 con un valor de 82,3. En mayo de 2020 alcanzó su máximo dentro del periodo observado con un valor de 113,3.</t>
  </si>
  <si>
    <t>https://analytics.zoho.com/open-view/2395394000008086091</t>
  </si>
  <si>
    <t>https://analytics.zoho.com/open-view/2395394000008094339?ZOHO_CRITERIA=%22Consolidado_Estadisticas_Regionales_New%22.%22C%C3%B3digo%20regi%C3%B3n%22%20%3D%201</t>
  </si>
  <si>
    <t>https://analytics.zoho.com/open-view/2395394000008094339?ZOHO_CRITERIA=%22Consolidado_Estadisticas_Regionales_New%22.%22C%C3%B3digo%20regi%C3%B3n%22%20%3D%202</t>
  </si>
  <si>
    <t>https://analytics.zoho.com/open-view/2395394000008094339?ZOHO_CRITERIA=%22Consolidado_Estadisticas_Regionales_New%22.%22C%C3%B3digo%20regi%C3%B3n%22%20%3D%203</t>
  </si>
  <si>
    <t>https://analytics.zoho.com/open-view/2395394000008094339?ZOHO_CRITERIA=%22Consolidado_Estadisticas_Regionales_New%22.%22C%C3%B3digo%20regi%C3%B3n%22%20%3D%204</t>
  </si>
  <si>
    <t>Producción de cobre por fecha</t>
  </si>
  <si>
    <t>Producción de cobre en la región de Coquimbo en el periodo 2014-2021</t>
  </si>
  <si>
    <t>La producción de cobre en toneladas métricas de contenido fino (tmf) alcanzó su máximo en diciembre de 2018, con una producción de 568.394 toneladas métricas. La producción más baja, dentro del periodo observado, se dio en febrero de 2017 con 277.690 tmf.</t>
  </si>
  <si>
    <t>https://analytics.zoho.com/open-view/2395394000008086867</t>
  </si>
  <si>
    <t>Producción de cobre en la región de Tarapáca en el periodo 2014-2021</t>
  </si>
  <si>
    <t>https://analytics.zoho.com/open-view/2395394000008760041?ZOHO_CRITERIA=%22Consolidado_Estadisticas_Regionales_New%22.%22C%C3%B3digo%20regi%C3%B3n%22%20%3D%201</t>
  </si>
  <si>
    <t>Producción de cobre en la región de Antofagasta en el periodo 2014-2021</t>
  </si>
  <si>
    <t>https://analytics.zoho.com/open-view/2395394000008760041?ZOHO_CRITERIA=%22Consolidado_Estadisticas_Regionales_New%22.%22C%C3%B3digo%20regi%C3%B3n%22%20%3D%202</t>
  </si>
  <si>
    <t>Producción de cobre en la región de Atacama en el periodo 2014-2021</t>
  </si>
  <si>
    <t>https://analytics.zoho.com/open-view/2395394000008760041?ZOHO_CRITERIA=%22Consolidado_Estadisticas_Regionales_New%22.%22C%C3%B3digo%20regi%C3%B3n%22%20%3D%203</t>
  </si>
  <si>
    <t>https://analytics.zoho.com/open-view/2395394000008760041?ZOHO_CRITERIA=%22Consolidado_Estadisticas_Regionales_New%22.%22C%C3%B3digo%20regi%C3%B3n%22%20%3D%204</t>
  </si>
  <si>
    <t>Producción de cobre en la región de Valparaíso en el periodo 2014-2021</t>
  </si>
  <si>
    <t>https://analytics.zoho.com/open-view/2395394000008760041?ZOHO_CRITERIA=%22Consolidado_Estadisticas_Regionales_New%22.%22C%C3%B3digo%20regi%C3%B3n%22%20%3D%205</t>
  </si>
  <si>
    <t>Producción de cloruro de sodio por fecha</t>
  </si>
  <si>
    <t>Producción de cloruro de sodio en Chile en el periodo 2014-2021</t>
  </si>
  <si>
    <t>La producción cloruro de sodio en toneladas (t) alcanzó su máximo en julio de 2015, con una producción de 1.153.490 toneladas. La producción más baja, dentro del periodo observado, se dio en enero de 2014 con 431.393 toneladas.</t>
  </si>
  <si>
    <t>https://analytics.zoho.com/open-view/2395394000008087059</t>
  </si>
  <si>
    <t>Producción de hierro por fecha</t>
  </si>
  <si>
    <t>Producción de hierro en Chile en el periodo 2014-2021</t>
  </si>
  <si>
    <t>La producción de hierro en toneladas métricas (tm) alcanzó su máximo en septiembre de 2020, con una producción de 890.000 toneladas métricas. La producción más baja, dentro del periodo observado, se dio en marzo de 2015 con 120,172 tm.</t>
  </si>
  <si>
    <t>https://analytics.zoho.com/open-view/2395394000008087414</t>
  </si>
  <si>
    <t>Turismo</t>
  </si>
  <si>
    <t>Pernoctaciones</t>
  </si>
  <si>
    <t>Número de pernoctaciones por fecha</t>
  </si>
  <si>
    <t>Número de pernoctaciones</t>
  </si>
  <si>
    <t>Número de pernoctaciones en Chile en el periodo 2016-2021</t>
  </si>
  <si>
    <t>Entre julio de 2016 y febrero de 2020, el número de pernoctaciones en Chile fluctuó entre las 1.509.923 y las 3.055.234 por mes. Luego, en abril de 2020, este número presenta su mínimo para todo el periodo observado con 150.982 pernoctaciones durante ese mes.</t>
  </si>
  <si>
    <t>https://analytics.zoho.com/open-view/2395394000008295693</t>
  </si>
  <si>
    <t>https://analytics.zoho.com/open-view/2395394000008296020?ZOHO_CRITERIA=%22Consolidado_Estadisticas_Regionales_New%22.%22C%C3%B3digo%20regi%C3%B3n%22%3D1</t>
  </si>
  <si>
    <t>https://analytics.zoho.com/open-view/2395394000008296020?ZOHO_CRITERIA=%22Consolidado_Estadisticas_Regionales_New%22.%22C%C3%B3digo%20regi%C3%B3n%22%3D2</t>
  </si>
  <si>
    <t>https://analytics.zoho.com/open-view/2395394000008296020?ZOHO_CRITERIA=%22Consolidado_Estadisticas_Regionales_New%22.%22C%C3%B3digo%20regi%C3%B3n%22%3D3</t>
  </si>
  <si>
    <t>https://analytics.zoho.com/open-view/2395394000008296020?ZOHO_CRITERIA=%22Consolidado_Estadisticas_Regionales_New%22.%22C%C3%B3digo%20regi%C3%B3n%22%3D4</t>
  </si>
  <si>
    <t>https://analytics.zoho.com/open-view/2395394000008296020?ZOHO_CRITERIA=%22Consolidado_Estadisticas_Regionales_New%22.%22C%C3%B3digo%20regi%C3%B3n%22%3D5</t>
  </si>
  <si>
    <t>https://analytics.zoho.com/open-view/2395394000008296020?ZOHO_CRITERIA=%22Consolidado_Estadisticas_Regionales_New%22.%22C%C3%B3digo%20regi%C3%B3n%22%3D6</t>
  </si>
  <si>
    <t>https://analytics.zoho.com/open-view/2395394000008296020?ZOHO_CRITERIA=%22Consolidado_Estadisticas_Regionales_New%22.%22C%C3%B3digo%20regi%C3%B3n%22%3D7</t>
  </si>
  <si>
    <t>https://analytics.zoho.com/open-view/2395394000008296020?ZOHO_CRITERIA=%22Consolidado_Estadisticas_Regionales_New%22.%22C%C3%B3digo%20regi%C3%B3n%22%3D8</t>
  </si>
  <si>
    <t>https://analytics.zoho.com/open-view/2395394000008296020?ZOHO_CRITERIA=%22Consolidado_Estadisticas_Regionales_New%22.%22C%C3%B3digo%20regi%C3%B3n%22%3D9</t>
  </si>
  <si>
    <t>https://analytics.zoho.com/open-view/2395394000008296020?ZOHO_CRITERIA=%22Consolidado_Estadisticas_Regionales_New%22.%22C%C3%B3digo%20regi%C3%B3n%22%3D10</t>
  </si>
  <si>
    <t>https://analytics.zoho.com/open-view/2395394000008296020?ZOHO_CRITERIA=%22Consolidado_Estadisticas_Regionales_New%22.%22C%C3%B3digo%20regi%C3%B3n%22%3D11</t>
  </si>
  <si>
    <t>https://analytics.zoho.com/open-view/2395394000008296020?ZOHO_CRITERIA=%22Consolidado_Estadisticas_Regionales_New%22.%22C%C3%B3digo%20regi%C3%B3n%22%3D12</t>
  </si>
  <si>
    <t>https://analytics.zoho.com/open-view/2395394000008296020?ZOHO_CRITERIA=%22Consolidado_Estadisticas_Regionales_New%22.%22C%C3%B3digo%20regi%C3%B3n%22%3D13</t>
  </si>
  <si>
    <t>https://analytics.zoho.com/open-view/2395394000008296020?ZOHO_CRITERIA=%22Consolidado_Estadisticas_Regionales_New%22.%22C%C3%B3digo%20regi%C3%B3n%22%3D14</t>
  </si>
  <si>
    <t>https://analytics.zoho.com/open-view/2395394000008296020?ZOHO_CRITERIA=%22Consolidado_Estadisticas_Regionales_New%22.%22C%C3%B3digo%20regi%C3%B3n%22%3D15</t>
  </si>
  <si>
    <t>https://analytics.zoho.com/open-view/2395394000008296020?ZOHO_CRITERIA=%22Consolidado_Estadisticas_Regionales_New%22.%22C%C3%B3digo%20regi%C3%B3n%22%3D16</t>
  </si>
  <si>
    <t>Habitaciones ocupadas</t>
  </si>
  <si>
    <t>Precio promedio de habitación ocupada por fecha</t>
  </si>
  <si>
    <t>Precio Promedio de Habitación Ocupada en Chile en el periodo 2016-2021</t>
  </si>
  <si>
    <t>Entre julio de 2016 y febrero de 2020, el precio promedio por habitación ocupada fluctuó entre los 45.054 y los 56.719 pesos chilenos por mes. Luego, en mayo de 2020, este número presenta su mínimo para todo el periodo observado con un precio promedio de 36.138 pesos chilenos.</t>
  </si>
  <si>
    <t>Chile nacional gráfico evolución precio promedio clp habitación ocupada mensual periodo 2016 2021</t>
  </si>
  <si>
    <t>https://analytics.zoho.com/open-view/2395394000008299317</t>
  </si>
  <si>
    <t>https://analytics.zoho.com/open-view/2395394000008299691?ZOHO_CRITERIA=%22Consolidado_Estadisticas_Regionales_New%22.%22C%C3%B3digo%20regi%C3%B3n%22%3D1</t>
  </si>
  <si>
    <t>https://analytics.zoho.com/open-view/2395394000008299691?ZOHO_CRITERIA=%22Consolidado_Estadisticas_Regionales_New%22.%22C%C3%B3digo%20regi%C3%B3n%22%3D2</t>
  </si>
  <si>
    <t>https://analytics.zoho.com/open-view/2395394000008299691?ZOHO_CRITERIA=%22Consolidado_Estadisticas_Regionales_New%22.%22C%C3%B3digo%20regi%C3%B3n%22%3D3</t>
  </si>
  <si>
    <t>https://analytics.zoho.com/open-view/2395394000008299691?ZOHO_CRITERIA=%22Consolidado_Estadisticas_Regionales_New%22.%22C%C3%B3digo%20regi%C3%B3n%22%3D4</t>
  </si>
  <si>
    <t>https://analytics.zoho.com/open-view/2395394000008299691?ZOHO_CRITERIA=%22Consolidado_Estadisticas_Regionales_New%22.%22C%C3%B3digo%20regi%C3%B3n%22%3D5</t>
  </si>
  <si>
    <t>https://analytics.zoho.com/open-view/2395394000008299691?ZOHO_CRITERIA=%22Consolidado_Estadisticas_Regionales_New%22.%22C%C3%B3digo%20regi%C3%B3n%22%3D6</t>
  </si>
  <si>
    <t>https://analytics.zoho.com/open-view/2395394000008299691?ZOHO_CRITERIA=%22Consolidado_Estadisticas_Regionales_New%22.%22C%C3%B3digo%20regi%C3%B3n%22%3D7</t>
  </si>
  <si>
    <t>https://analytics.zoho.com/open-view/2395394000008299691?ZOHO_CRITERIA=%22Consolidado_Estadisticas_Regionales_New%22.%22C%C3%B3digo%20regi%C3%B3n%22%3D8</t>
  </si>
  <si>
    <t>https://analytics.zoho.com/open-view/2395394000008299691?ZOHO_CRITERIA=%22Consolidado_Estadisticas_Regionales_New%22.%22C%C3%B3digo%20regi%C3%B3n%22%3D9</t>
  </si>
  <si>
    <t>https://analytics.zoho.com/open-view/2395394000008299691?ZOHO_CRITERIA=%22Consolidado_Estadisticas_Regionales_New%22.%22C%C3%B3digo%20regi%C3%B3n%22%3D10</t>
  </si>
  <si>
    <t>https://analytics.zoho.com/open-view/2395394000008299691?ZOHO_CRITERIA=%22Consolidado_Estadisticas_Regionales_New%22.%22C%C3%B3digo%20regi%C3%B3n%22%3D11</t>
  </si>
  <si>
    <t>https://analytics.zoho.com/open-view/2395394000008299691?ZOHO_CRITERIA=%22Consolidado_Estadisticas_Regionales_New%22.%22C%C3%B3digo%20regi%C3%B3n%22%3D12</t>
  </si>
  <si>
    <t>https://analytics.zoho.com/open-view/2395394000008299691?ZOHO_CRITERIA=%22Consolidado_Estadisticas_Regionales_New%22.%22C%C3%B3digo%20regi%C3%B3n%22%3D13</t>
  </si>
  <si>
    <t>https://analytics.zoho.com/open-view/2395394000008299691?ZOHO_CRITERIA=%22Consolidado_Estadisticas_Regionales_New%22.%22C%C3%B3digo%20regi%C3%B3n%22%3D14</t>
  </si>
  <si>
    <t>https://analytics.zoho.com/open-view/2395394000008299691?ZOHO_CRITERIA=%22Consolidado_Estadisticas_Regionales_New%22.%22C%C3%B3digo%20regi%C3%B3n%22%3D15</t>
  </si>
  <si>
    <t>https://analytics.zoho.com/open-view/2395394000008299691?ZOHO_CRITERIA=%22Consolidado_Estadisticas_Regionales_New%22.%22C%C3%B3digo%20regi%C3%B3n%22%3D16</t>
  </si>
  <si>
    <t>Pesca industrial</t>
  </si>
  <si>
    <t>Desembarque industrial por fecha</t>
  </si>
  <si>
    <t>Desembarque de pesca industrial en Chile en el periodo 2014-2021</t>
  </si>
  <si>
    <t>Entre enero de 2014 y marzo de 2021, la pesca industrial alcanzó un máximo en febrero de 2020 con un desembarco de 104.563 toneladas. En septiembre de 2015 alcanzó las 1.653 toneladas, siendo esta la menor cifra registrada.</t>
  </si>
  <si>
    <t>https://analytics.zoho.com/open-view/2395394000008335799</t>
  </si>
  <si>
    <t>Pesca artesanal</t>
  </si>
  <si>
    <t>Desembarque artesanal por fecha</t>
  </si>
  <si>
    <t>Desembarque de pesca artesanal en Chile en el periodo 2014-2021</t>
  </si>
  <si>
    <t xml:space="preserve">Se observa que el desembarque de la pesca artesanal alcanzó sus cifras más altas entre los meses de diciembre a marzo. Con 19.841 toneladas, febrero de 2019 fue el mes con el mayor desembarco registrado durante este periodo. </t>
  </si>
  <si>
    <t>https://analytics.zoho.com/open-view/2395394000008388979</t>
  </si>
  <si>
    <t>Acuicultura</t>
  </si>
  <si>
    <t>Cosecha acuícola por fecha</t>
  </si>
  <si>
    <t>Cosecha acuícola en Chile en el periodo 2014-2021</t>
  </si>
  <si>
    <t>Dentro del periodo observado y con un promedio de 49.067 toneladas mensuales, el salmón del atlántico fue la especie con las cifras más altas de cosecha para el sector acuícola. Por su parte, se cosecharon 13.216 toneladas de salmón plateado al mes, con las cifras más altas durante los meses de noviembre y diciembre. La cosecha de trucha arcoíris disminuyó con el tiempo, con una cosecha media de 7.159 toneladas.</t>
  </si>
  <si>
    <t>https://analytics.zoho.com/open-view/2395394000008383927</t>
  </si>
  <si>
    <t>Parques urbanos</t>
  </si>
  <si>
    <t>Superficie de parques urbanos por comuna</t>
  </si>
  <si>
    <t>Superficie de Parques Urbanos en Chile en el año 2019</t>
  </si>
  <si>
    <t>En el año 2019, la única comuna con más de 190 hectáreas de parques urbanos fue Cabo de Hornos, con 1.687,9 (ha). Por otro lado, 181 comunas solo tienen entre 0 y 1 (ha) de parques urbanos. Según el Ministerio de Vivienda y Urbanismo, se considera parque urbano a un espacio público, en donde predominan los elementos paisajísticos y naturales acorde con la respectiva zona geográfica de más de 2 hectáreas que se ubica dentro o contiguo a los límites urbanos de una ciudad o comuna, que alberga actividades para los distintos grupo etarios relacionados con lo educativo, deportivo, cultural, de culto o de esparcimiento al aire libre, con un ancho mínimo promedio de 30 metros.</t>
  </si>
  <si>
    <t>https://analytics.zoho.com/open-view/2395394000008183442</t>
  </si>
  <si>
    <t>https://analytics.zoho.com/open-view/2395394000008478071?ZOHO_CRITERIA=%22Localiza%20CL%22.%22Codreg%22%20%3D%201</t>
  </si>
  <si>
    <t>https://analytics.zoho.com/open-view/2395394000008478071?ZOHO_CRITERIA=%22Localiza%20CL%22.%22Codreg%22%20%3D%202</t>
  </si>
  <si>
    <t>https://analytics.zoho.com/open-view/2395394000008478071?ZOHO_CRITERIA=%22Localiza%20CL%22.%22Codreg%22%20%3D%203</t>
  </si>
  <si>
    <t>https://analytics.zoho.com/open-view/2395394000008478071?ZOHO_CRITERIA=%22Localiza%20CL%22.%22Codreg%22%20%3D%204</t>
  </si>
  <si>
    <t>https://analytics.zoho.com/open-view/2395394000008478071?ZOHO_CRITERIA=%22Localiza%20CL%22.%22Codreg%22%20%3D%205</t>
  </si>
  <si>
    <t>https://analytics.zoho.com/open-view/2395394000008478071?ZOHO_CRITERIA=%22Localiza%20CL%22.%22Codreg%22%20%3D%206</t>
  </si>
  <si>
    <t>https://analytics.zoho.com/open-view/2395394000008478071?ZOHO_CRITERIA=%22Localiza%20CL%22.%22Codreg%22%20%3D%207</t>
  </si>
  <si>
    <t>https://analytics.zoho.com/open-view/2395394000008478071?ZOHO_CRITERIA=%22Localiza%20CL%22.%22Codreg%22%20%3D%208</t>
  </si>
  <si>
    <t>https://analytics.zoho.com/open-view/2395394000008478071?ZOHO_CRITERIA=%22Localiza%20CL%22.%22Codreg%22%20%3D%209</t>
  </si>
  <si>
    <t>https://analytics.zoho.com/open-view/2395394000008478071?ZOHO_CRITERIA=%22Localiza%20CL%22.%22Codreg%22%20%3D%2010</t>
  </si>
  <si>
    <t>https://analytics.zoho.com/open-view/2395394000008478071?ZOHO_CRITERIA=%22Localiza%20CL%22.%22Codreg%22%20%3D%2011</t>
  </si>
  <si>
    <t>https://analytics.zoho.com/open-view/2395394000008478071?ZOHO_CRITERIA=%22Localiza%20CL%22.%22Codreg%22%20%3D%2012</t>
  </si>
  <si>
    <t>https://analytics.zoho.com/open-view/2395394000008478071?ZOHO_CRITERIA=%22Localiza%20CL%22.%22Codreg%22%20%3D%2013</t>
  </si>
  <si>
    <t>https://analytics.zoho.com/open-view/2395394000008478071?ZOHO_CRITERIA=%22Localiza%20CL%22.%22Codreg%22%20%3D%2014</t>
  </si>
  <si>
    <t>https://analytics.zoho.com/open-view/2395394000008478071?ZOHO_CRITERIA=%22Localiza%20CL%22.%22Codreg%22%20%3D%2015</t>
  </si>
  <si>
    <t>https://analytics.zoho.com/open-view/2395394000008478071?ZOHO_CRITERIA=%22Localiza%20CL%22.%22Codreg%22%20%3D%2016</t>
  </si>
  <si>
    <t>Plazas públicas</t>
  </si>
  <si>
    <t>Superficie de plazas públicas por comuna</t>
  </si>
  <si>
    <t>En el año 2019, las comunas con más de 130 hectáreas de plazas públicas fueron Puente Alto, Maipú, Las Condes, La Florida, Coquimbo, San Bernardo, Talca y Rancagua, con 257,67 (ha), 266,11 (ha), 163,68 (ha), 151,82 (ha), 149,92 (ha), 137,22 (ha), 132,96 (ha) y 162,89 (ha), respectivamente.</t>
  </si>
  <si>
    <t>https://analytics.zoho.com/open-view/2395394000008183474</t>
  </si>
  <si>
    <t>https://analytics.zoho.com/open-view/2395394000008478183?ZOHO_CRITERIA=%22Localiza%20CL%22.%22Codreg%22%20%3D%201</t>
  </si>
  <si>
    <t>https://analytics.zoho.com/open-view/2395394000008478183?ZOHO_CRITERIA=%22Localiza%20CL%22.%22Codreg%22%20%3D%202</t>
  </si>
  <si>
    <t>https://analytics.zoho.com/open-view/2395394000008478183?ZOHO_CRITERIA=%22Localiza%20CL%22.%22Codreg%22%20%3D%203</t>
  </si>
  <si>
    <t>https://analytics.zoho.com/open-view/2395394000008478183?ZOHO_CRITERIA=%22Localiza%20CL%22.%22Codreg%22%20%3D%204</t>
  </si>
  <si>
    <t>https://analytics.zoho.com/open-view/2395394000008478183?ZOHO_CRITERIA=%22Localiza%20CL%22.%22Codreg%22%20%3D%205</t>
  </si>
  <si>
    <t>https://analytics.zoho.com/open-view/2395394000008478183?ZOHO_CRITERIA=%22Localiza%20CL%22.%22Codreg%22%20%3D%206</t>
  </si>
  <si>
    <t>https://analytics.zoho.com/open-view/2395394000008478183?ZOHO_CRITERIA=%22Localiza%20CL%22.%22Codreg%22%20%3D%207</t>
  </si>
  <si>
    <t>https://analytics.zoho.com/open-view/2395394000008478183?ZOHO_CRITERIA=%22Localiza%20CL%22.%22Codreg%22%20%3D%208</t>
  </si>
  <si>
    <t>https://analytics.zoho.com/open-view/2395394000008478183?ZOHO_CRITERIA=%22Localiza%20CL%22.%22Codreg%22%20%3D%209</t>
  </si>
  <si>
    <t>https://analytics.zoho.com/open-view/2395394000008478183?ZOHO_CRITERIA=%22Localiza%20CL%22.%22Codreg%22%20%3D%2010</t>
  </si>
  <si>
    <t>https://analytics.zoho.com/open-view/2395394000008478183?ZOHO_CRITERIA=%22Localiza%20CL%22.%22Codreg%22%20%3D%2011</t>
  </si>
  <si>
    <t>https://analytics.zoho.com/open-view/2395394000008478183?ZOHO_CRITERIA=%22Localiza%20CL%22.%22Codreg%22%20%3D%2012</t>
  </si>
  <si>
    <t>https://analytics.zoho.com/open-view/2395394000008478183?ZOHO_CRITERIA=%22Localiza%20CL%22.%22Codreg%22%20%3D%2013</t>
  </si>
  <si>
    <t>https://analytics.zoho.com/open-view/2395394000008478183?ZOHO_CRITERIA=%22Localiza%20CL%22.%22Codreg%22%20%3D%2014</t>
  </si>
  <si>
    <t>https://analytics.zoho.com/open-view/2395394000008478183?ZOHO_CRITERIA=%22Localiza%20CL%22.%22Codreg%22%20%3D%2015}</t>
  </si>
  <si>
    <t>https://analytics.zoho.com/open-view/2395394000008478183?ZOHO_CRITERIA=%22Localiza%20CL%22.%22Codreg%22%20%3D%2016</t>
  </si>
  <si>
    <t>Comercio exterior</t>
  </si>
  <si>
    <t>Valor de importaciones por fecha</t>
  </si>
  <si>
    <t>Evolución Mensual de Importaciones en Chile en el periodo 2015-2021</t>
  </si>
  <si>
    <t>Al comparar las importaciones en el mes de marzo desde el año 2015 al 2021, se observa que, luego del 2018, hubo una caída en el crecimiento del valor en USD de las importaciones. Este valor repuntó en marzo del año 2021, mostrando un incremento desde los 4.400 millones de dólares en el año 2020 a  7.000 millones de dólares en el año 2021.</t>
  </si>
  <si>
    <t>https://analytics.zoho.com/open-view/2395394000008193854</t>
  </si>
  <si>
    <t>Importaciones y exportaciones</t>
  </si>
  <si>
    <t>Valor de importaciones y exportaciones por fecha</t>
  </si>
  <si>
    <t>Evolución Trimestral de Importaciones y Exportaciones en Chile en el periodo 2015-2021</t>
  </si>
  <si>
    <t>Al observar las importaciones y exportaciones hechas por Suiza, el peak para ambas fue en el tercer trimestre del año 2018, periodo en el que las importaciones ascienden aproximadamente a 71 millones de dólares, mientras que las exportaciones llegaron a casi 359 millones de dólares.</t>
  </si>
  <si>
    <t>https://analytics.zoho.com/open-view/2395394000008205248</t>
  </si>
  <si>
    <t>Valor de exportaciones acumuladas por país de destino</t>
  </si>
  <si>
    <t>Periodo 2005-2021</t>
  </si>
  <si>
    <t xml:space="preserve">Valor de exportaciones acumuladas por país de destino en el periodo 2005-2021 </t>
  </si>
  <si>
    <t>Al observar el mapa de calor, el país con más exportaciones acumuladas en USD fue China, alcanzando casi 141.654 millones de dólares, seguido por Estados Unidos, Japón, Corea y Brasil, quienes en conjunto acumularon casi 153 mil millones de dólares en exportaciones.</t>
  </si>
  <si>
    <t>https://analytics.zoho.com/open-view/2395394000008193221</t>
  </si>
  <si>
    <t>Valor de importaciones de alimentos por país de origen</t>
  </si>
  <si>
    <t>Valor de importaciones de alimentos por país de origen en el año 2021</t>
  </si>
  <si>
    <t>Al mes de julio del año 2021, el país con la importación más alta de alimentos en USD fue Argentina con más de 695 millones de dólares, seguido por Brasil y Estados Unidos. Aclarar que los países no coloreados corresponden a todos aquellos desde los cuales Chile no realiza importaciones de alimentos.</t>
  </si>
  <si>
    <t>https://analytics.zoho.com/open-view/2395394000008193416</t>
  </si>
  <si>
    <t>Valor de exportaciones por producto minero</t>
  </si>
  <si>
    <t xml:space="preserve">Evolución Trimestral de Exportaciones por Producto Minero en el Periodo 2015-2021 </t>
  </si>
  <si>
    <t>En el segundo semestre del año 2021, los productos de minería acumularon más dólares en cuanto a exportación, siendo el cobre y los minerales de cobre y sus concentrados las dos subcategorías de minería con mayor relevancia.</t>
  </si>
  <si>
    <t>https://analytics.zoho.com/open-view/2395394000008410521?ZOHO_CRITERIA=%22Pa%C3%ADs_Todo%22.%22id_TipoProducto%22%3D4</t>
  </si>
  <si>
    <t>Cantidad de Personas que se Identifican con un Pueblo Indígena por Sexo en la Región de Tarapacá, Año 2017</t>
  </si>
  <si>
    <t>Región de Tarapacá gráfico población pueblos originarios indígenas etnia sexo hombre mujer año 2017</t>
  </si>
  <si>
    <t>Cantidad de Personas que se Identifican con un Pueblo Indígena por Sexo en la Región de Antofagasta, Año 2017</t>
  </si>
  <si>
    <t>Región de Antofagasta gráfico población pueblos originarios indígenas etnia sexo hombre mujer año 2017</t>
  </si>
  <si>
    <t>Cantidad de Personas que se Identifican con un Pueblo Indígena por Sexo en la Región de Atacama, Año 2017</t>
  </si>
  <si>
    <t>Región de Atacama gráfico población pueblos originarios indígenas etnia sexo hombre mujer año 2017</t>
  </si>
  <si>
    <t>Cantidad de Personas que se Identifican con un Pueblo Indígena por Sexo en la Región de Coquimbo, Año 2017</t>
  </si>
  <si>
    <t>Región de Coquimbo gráfico población pueblos originarios indígenas etnia sexo hombre mujer año 2017</t>
  </si>
  <si>
    <t>Cantidad de Personas que se Identifican con un Pueblo Indígena por Sexo en la Región de Valparaíso, Año 2017</t>
  </si>
  <si>
    <t>Región de Valparaíso gráfico población pueblos originarios indígenas etnia sexo hombre mujer año 2017</t>
  </si>
  <si>
    <t>Cantidad de Personas que se Identifican con un Pueblo Indígena por Sexo en la Región de O'Higgins, Año 2017</t>
  </si>
  <si>
    <t>Región de O'Higgins gráfico población pueblos originarios indígenas etnia sexo hombre mujer año 2017</t>
  </si>
  <si>
    <t>Cantidad de Personas que se Identifican con un Pueblo Indígena por Sexo en la Región de Maule, Año 2017</t>
  </si>
  <si>
    <t>Región de Maule gráfico población pueblos originarios indígenas etnia sexo hombre mujer año 2017</t>
  </si>
  <si>
    <t>Cantidad de Personas que se Identifican con un Pueblo Indígena por Sexo en la Región del Biobío, Año 2017</t>
  </si>
  <si>
    <t>Región del Biobío gráfico población pueblos originarios indígenas etnia sexo hombre mujer año 2017</t>
  </si>
  <si>
    <t>Cantidad de Personas que se Identifican con un Pueblo Indígena por Sexo en la Región de La Araucanía, Año 2017</t>
  </si>
  <si>
    <t>Región de La Araucanía gráfico población pueblos originarios indígenas etnia sexo hombre mujer año 2017</t>
  </si>
  <si>
    <t>Cantidad de Personas que se Identifican con un Pueblo Indígena por Sexo en la Región de Los Lagos, Año 2017</t>
  </si>
  <si>
    <t>Región de Los Lagos gráfico población pueblos originarios indígenas etnia sexo hombre mujer año 2017</t>
  </si>
  <si>
    <t>Cantidad de Personas que se Identifican con un Pueblo Indígena por Sexo en la Región de Aysén, Año 2017</t>
  </si>
  <si>
    <t>Región de Aysén gráfico población pueblos originarios indígenas etnia sexo hombre mujer año 2017</t>
  </si>
  <si>
    <t>Cantidad de Personas que se Identifican con un Pueblo Indígena por Sexo en la Región de Magallanes, Año 2017</t>
  </si>
  <si>
    <t>Región de Magallanes gráfico población pueblos originarios indígenas etnia sexo hombre mujer año 2017</t>
  </si>
  <si>
    <t>Cantidad de Personas que se Identifican con un Pueblo Indígena por Sexo en la Región Metropolitana, Año 2017</t>
  </si>
  <si>
    <t>Región Metropolitana gráfico población pueblos originarios indígenas etnia sexo hombre mujer año 2017</t>
  </si>
  <si>
    <t>Cantidad de Personas que se Identifican con un Pueblo Indígena por Sexo en la Región de Los Ríos, Año 2017</t>
  </si>
  <si>
    <t>Región de Los Ríos gráfico población pueblos originarios indígenas etnia sexo hombre mujer año 2017</t>
  </si>
  <si>
    <t>Cantidad de Personas que se Identifican con un Pueblo Indígena por Sexo en la Región de Arica y Parinacota, Año 2017</t>
  </si>
  <si>
    <t>Región de Arica y Parinacota gráfico población pueblos originarios indígenas etnia sexo hombre mujer año 2017</t>
  </si>
  <si>
    <t>Cantidad de Personas que se Identifican con un Pueblo Indígena por Sexo en la Región de Ñuble, Año 2017</t>
  </si>
  <si>
    <t>Región de Ñuble gráfico población pueblos originarios indígenas etnia sexo hombre mujer año 2017</t>
  </si>
  <si>
    <t>Índice de Producción Minera en la Región de Tarapacá en el Periodo 2014-2021</t>
  </si>
  <si>
    <t>Región de Tarapacá gráfico evolución Chile índice de producción minera minería periodo 2014 2021 IPMin</t>
  </si>
  <si>
    <t>Índice de Producción Minera en la Región de Antofagasta en el Periodo 2014-2021</t>
  </si>
  <si>
    <t>Región de Antofagasta gráfico evolución Chile índice de producción minera minería periodo 2014 2021 IPMin</t>
  </si>
  <si>
    <t>Índice de Producción Minera en la Región de Atacama en el Periodo 2014-2021</t>
  </si>
  <si>
    <t>Región de Atacama gráfico evolución Chile índice de producción minera minería periodo 2014 2021 IPMin</t>
  </si>
  <si>
    <t>Índice de Producción Minera en la Región de Coquimbo en el Periodo 2014-2021</t>
  </si>
  <si>
    <t>Región de Coquimbo gráfico evolución Chile índice de producción minera minería periodo 2014 2021 IPMin</t>
  </si>
  <si>
    <t>Número de Pernoctaciones en la Región de Tarapacá en el periodo 2016-2021</t>
  </si>
  <si>
    <t>Región de Tarapacá gráfico evolucion chile número pernoctaciones mensual periodo 2016 2021</t>
  </si>
  <si>
    <t>Número de Pernoctaciones en la Región de Antofagasta en el periodo 2016-2021</t>
  </si>
  <si>
    <t>Región de Antofagasta gráfico evolucion chile número pernoctaciones mensual periodo 2016 2021</t>
  </si>
  <si>
    <t>Número de Pernoctaciones en la Región de Atacama en el periodo 2016-2021</t>
  </si>
  <si>
    <t>Región de Atacama gráfico evolucion chile número pernoctaciones mensual periodo 2016 2021</t>
  </si>
  <si>
    <t>Número de Pernoctaciones en la Región de Coquimbo en el periodo 2016-2021</t>
  </si>
  <si>
    <t>Región de Coquimbo gráfico evolucion chile número pernoctaciones mensual periodo 2016 2021</t>
  </si>
  <si>
    <t>Número de Pernoctaciones en la Región de Valparaíso en el periodo 2016-2021</t>
  </si>
  <si>
    <t>Región de Valparaíso gráfico evolucion chile número pernoctaciones mensual periodo 2016 2021</t>
  </si>
  <si>
    <t>Número de Pernoctaciones en la Región de O'Higgins en el periodo 2016-2021</t>
  </si>
  <si>
    <t>Región de O'Higgins gráfico evolucion chile número pernoctaciones mensual periodo 2016 2021</t>
  </si>
  <si>
    <t>Número de Pernoctaciones en la Región de Maule en el periodo 2016-2021</t>
  </si>
  <si>
    <t>Región de Maule gráfico evolucion chile número pernoctaciones mensual periodo 2016 2021</t>
  </si>
  <si>
    <t>Número de Pernoctaciones en la Región del Biobío en el periodo 2016-2021</t>
  </si>
  <si>
    <t>Región del Biobío gráfico evolucion chile número pernoctaciones mensual periodo 2016 2021</t>
  </si>
  <si>
    <t>Número de Pernoctaciones en la Región de La Araucanía en el periodo 2016-2021</t>
  </si>
  <si>
    <t>Región de La Araucanía gráfico evolucion chile número pernoctaciones mensual periodo 2016 2021</t>
  </si>
  <si>
    <t>Número de Pernoctaciones en la Región de Los Lagos en el periodo 2016-2021</t>
  </si>
  <si>
    <t>Región de Los Lagos gráfico evolucion chile número pernoctaciones mensual periodo 2016 2021</t>
  </si>
  <si>
    <t>Número de Pernoctaciones en la Región de Aysén en el periodo 2016-2021</t>
  </si>
  <si>
    <t>Región de Aysén gráfico evolucion chile número pernoctaciones mensual periodo 2016 2021</t>
  </si>
  <si>
    <t>Número de Pernoctaciones en la Región de Magallanes en el periodo 2016-2021</t>
  </si>
  <si>
    <t>Región de Magallanes gráfico evolucion chile número pernoctaciones mensual periodo 2016 2021</t>
  </si>
  <si>
    <t>Número de Pernoctaciones en la Región Metropolitana en el periodo 2016-2021</t>
  </si>
  <si>
    <t>Región Metropolitana gráfico evolucion chile número pernoctaciones mensual periodo 2016 2021</t>
  </si>
  <si>
    <t>Número de Pernoctaciones en la Región de Los Ríos en el periodo 2016-2021</t>
  </si>
  <si>
    <t>Región de Los Ríos gráfico evolucion chile número pernoctaciones mensual periodo 2016 2021</t>
  </si>
  <si>
    <t>Número de Pernoctaciones en la Región de Arica y Parinacota en el periodo 2016-2021</t>
  </si>
  <si>
    <t>Región de Arica y Parinacota gráfico evolucion chile número pernoctaciones mensual periodo 2016 2021</t>
  </si>
  <si>
    <t>Número de Pernoctaciones en la Región de Ñuble en el periodo 2016-2021</t>
  </si>
  <si>
    <t>Región de Ñuble gráfico evolucion chile número pernoctaciones mensual periodo 2016 2021</t>
  </si>
  <si>
    <t>Precio Promedio de Habitación Ocupada en la Región de Tarapacá en el periodo 2016-2021</t>
  </si>
  <si>
    <t>Región de Tarapacá gráfico evolución precio promedio clp habitación ocupada mensual periodo 2016 2021</t>
  </si>
  <si>
    <t>Precio Promedio de Habitación Ocupada en la Región de Antofagasta en el periodo 2016-2021</t>
  </si>
  <si>
    <t>Región de Antofagasta gráfico evolución precio promedio clp habitación ocupada mensual periodo 2016 2021</t>
  </si>
  <si>
    <t>Precio Promedio de Habitación Ocupada en la Región de Atacama en el periodo 2016-2021</t>
  </si>
  <si>
    <t>Región de Atacama gráfico evolución precio promedio clp habitación ocupada mensual periodo 2016 2021</t>
  </si>
  <si>
    <t>Precio Promedio de Habitación Ocupada en la Región de Coquimbo en el periodo 2016-2021</t>
  </si>
  <si>
    <t>Región de Coquimbo gráfico evolución precio promedio clp habitación ocupada mensual periodo 2016 2021</t>
  </si>
  <si>
    <t>Precio Promedio de Habitación Ocupada en la Región de Valparaíso en el periodo 2016-2021</t>
  </si>
  <si>
    <t>Región de Valparaíso gráfico evolución precio promedio clp habitación ocupada mensual periodo 2016 2021</t>
  </si>
  <si>
    <t>Precio Promedio de Habitación Ocupada en la Región de O'Higgins en el periodo 2016-2021</t>
  </si>
  <si>
    <t>Región de O'Higgins gráfico evolución precio promedio clp habitación ocupada mensual periodo 2016 2021</t>
  </si>
  <si>
    <t>Precio Promedio de Habitación Ocupada en la Región de Maule en el periodo 2016-2021</t>
  </si>
  <si>
    <t>Región de Maule gráfico evolución precio promedio clp habitación ocupada mensual periodo 2016 2021</t>
  </si>
  <si>
    <t>Precio Promedio de Habitación Ocupada en la Región del Biobío en el periodo 2016-2021</t>
  </si>
  <si>
    <t>Región del Biobío gráfico evolución precio promedio clp habitación ocupada mensual periodo 2016 2021</t>
  </si>
  <si>
    <t>Precio Promedio de Habitación Ocupada en la Región de La Araucanía en el periodo 2016-2021</t>
  </si>
  <si>
    <t>Región de La Araucanía gráfico evolución precio promedio clp habitación ocupada mensual periodo 2016 2021</t>
  </si>
  <si>
    <t>Precio Promedio de Habitación Ocupada en la Región de Los Lagos en el periodo 2016-2021</t>
  </si>
  <si>
    <t>Región de Los Lagos gráfico evolución precio promedio clp habitación ocupada mensual periodo 2016 2021</t>
  </si>
  <si>
    <t>Precio Promedio de Habitación Ocupada en la Región de Aysén en el periodo 2016-2021</t>
  </si>
  <si>
    <t>Región de Aysén gráfico evolución precio promedio clp habitación ocupada mensual periodo 2016 2021</t>
  </si>
  <si>
    <t>Precio Promedio de Habitación Ocupada en la Región de Magallanes en el periodo 2016-2021</t>
  </si>
  <si>
    <t>Región de Magallanes gráfico evolución precio promedio clp habitación ocupada mensual periodo 2016 2021</t>
  </si>
  <si>
    <t>Precio Promedio de Habitación Ocupada en la Región Metropolitana en el periodo 2016-2021</t>
  </si>
  <si>
    <t>Región Metropolitana gráfico evolución precio promedio clp habitación ocupada mensual periodo 2016 2021</t>
  </si>
  <si>
    <t>Precio Promedio de Habitación Ocupada en la Región de Los Ríos en el periodo 2016-2021</t>
  </si>
  <si>
    <t>Región de Los Ríos gráfico evolución precio promedio clp habitación ocupada mensual periodo 2016 2021</t>
  </si>
  <si>
    <t>Precio Promedio de Habitación Ocupada en la Región de Arica y Parinacota en el periodo 2016-2021</t>
  </si>
  <si>
    <t>Región de Arica y Parinacota gráfico evolución precio promedio clp habitación ocupada mensual periodo 2016 2021</t>
  </si>
  <si>
    <t>Precio Promedio de Habitación Ocupada en la Región de Ñuble en el periodo 2016-2021</t>
  </si>
  <si>
    <t>Región de Ñuble gráfico evolución precio promedio clp habitación ocupada mensual periodo 2016 2021</t>
  </si>
  <si>
    <t>Superficie de Parques Urbanos en la Región de Tarapacá en el año 2019</t>
  </si>
  <si>
    <t>Región de Tarapacá mapa calor Chile comunas comunal año 2019 parques urbanos municipal municipio superficie hectáreas</t>
  </si>
  <si>
    <t>Superficie de Parques Urbanos en la Región de Antofagasta en el año 2019</t>
  </si>
  <si>
    <t>Región de Antofagasta mapa calor Chile comunas comunal año 2019 parques urbanos municipal municipio superficie hectáreas</t>
  </si>
  <si>
    <t>Superficie de Parques Urbanos en la Región de Atacama en el año 2019</t>
  </si>
  <si>
    <t>Región de Atacama mapa calor Chile comunas comunal año 2019 parques urbanos municipal municipio superficie hectáreas</t>
  </si>
  <si>
    <t>Superficie de Parques Urbanos en la Región de Coquimbo en el año 2019</t>
  </si>
  <si>
    <t>Región de Coquimbo mapa calor Chile comunas comunal año 2019 parques urbanos municipal municipio superficie hectáreas</t>
  </si>
  <si>
    <t>Superficie de Parques Urbanos en la Región de Valparaíso en el año 2019</t>
  </si>
  <si>
    <t>Región de Valparaíso mapa calor Chile comunas comunal año 2019 parques urbanos municipal municipio superficie hectáreas</t>
  </si>
  <si>
    <t>Superficie de Parques Urbanos en la Región de O'Higgins en el año 2019</t>
  </si>
  <si>
    <t>Región de O'Higgins mapa calor Chile comunas comunal año 2019 parques urbanos municipal municipio superficie hectáreas</t>
  </si>
  <si>
    <t>Superficie de Parques Urbanos en la Región de Maule en el año 2019</t>
  </si>
  <si>
    <t>Región de Maule mapa calor Chile comunas comunal año 2019 parques urbanos municipal municipio superficie hectáreas</t>
  </si>
  <si>
    <t>Superficie de Parques Urbanos en la Región del Biobío en el año 2019</t>
  </si>
  <si>
    <t>Región del Biobío mapa calor Chile comunas comunal año 2019 parques urbanos municipal municipio superficie hectáreas</t>
  </si>
  <si>
    <t>Superficie de Parques Urbanos en la Región de La Araucanía en el año 2019</t>
  </si>
  <si>
    <t>Región de La Araucanía mapa calor Chile comunas comunal año 2019 parques urbanos municipal municipio superficie hectáreas</t>
  </si>
  <si>
    <t>Superficie de Parques Urbanos en la Región de Los Lagos en el año 2019</t>
  </si>
  <si>
    <t>Región de Los Lagos mapa calor Chile comunas comunal año 2019 parques urbanos municipal municipio superficie hectáreas</t>
  </si>
  <si>
    <t>Superficie de Parques Urbanos en la Región de Aysén en el año 2019</t>
  </si>
  <si>
    <t>Región de Aysén mapa calor Chile comunas comunal año 2019 parques urbanos municipal municipio superficie hectáreas</t>
  </si>
  <si>
    <t>Superficie de Parques Urbanos en la Región de Magallanes en el año 2019</t>
  </si>
  <si>
    <t>Región de Magallanes mapa calor Chile comunas comunal año 2019 parques urbanos municipal municipio superficie hectáreas</t>
  </si>
  <si>
    <t>Superficie de Parques Urbanos en la Región Metropolitana en el año 2019</t>
  </si>
  <si>
    <t>Región Metropolitana mapa calor Chile comunas comunal año 2019 parques urbanos municipal municipio superficie hectáreas</t>
  </si>
  <si>
    <t>Superficie de Parques Urbanos en la Región de Los Ríos en el año 2019</t>
  </si>
  <si>
    <t>Región de Los Ríos mapa calor Chile comunas comunal año 2019 parques urbanos municipal municipio superficie hectáreas</t>
  </si>
  <si>
    <t>Superficie de Parques Urbanos en la Región de Arica y Parinacota en el año 2019</t>
  </si>
  <si>
    <t>Región de Arica y Parinacota mapa calor Chile comunas comunal año 2019 parques urbanos municipal municipio superficie hectáreas</t>
  </si>
  <si>
    <t>Superficie de Parques Urbanos en la Región de Ñuble en el año 2019</t>
  </si>
  <si>
    <t>Región de Ñuble mapa calor Chile comunas comunal año 2019 parques urbanos municipal municipio superficie hectáreas</t>
  </si>
  <si>
    <t>Superficie de Plazas Públicas en la Chile en el año 2019</t>
  </si>
  <si>
    <t>Superficie de Plazas Públicas en la Región de Tarapacá en el año 2019</t>
  </si>
  <si>
    <t>Región de Tarapacá mapa calor Chile comunas comunal año 2019 plazas públicas municipal municipio superficie hectáreas</t>
  </si>
  <si>
    <t>Superficie de Plazas Públicas en la Región de Antofagasta en el año 2019</t>
  </si>
  <si>
    <t>Región de Antofagasta mapa calor Chile comunas comunal año 2019 plazas públicas municipal municipio superficie hectáreas</t>
  </si>
  <si>
    <t>Superficie de Plazas Públicas en la Región de Atacama en el año 2019</t>
  </si>
  <si>
    <t>Región de Atacama mapa calor Chile comunas comunal año 2019 plazas públicas municipal municipio superficie hectáreas</t>
  </si>
  <si>
    <t>Superficie de Plazas Públicas en la Región de Coquimbo en el año 2019</t>
  </si>
  <si>
    <t>Región de Coquimbo mapa calor Chile comunas comunal año 2019 plazas públicas municipal municipio superficie hectáreas</t>
  </si>
  <si>
    <t>Superficie de Plazas Públicas en la Región de Valparaíso en el año 2019</t>
  </si>
  <si>
    <t>Región de Valparaíso mapa calor Chile comunas comunal año 2019 plazas públicas municipal municipio superficie hectáreas</t>
  </si>
  <si>
    <t>Superficie de Plazas Públicas en la Región de O'Higgins en el año 2019</t>
  </si>
  <si>
    <t>Región de O'Higgins mapa calor Chile comunas comunal año 2019 plazas públicas municipal municipio superficie hectáreas</t>
  </si>
  <si>
    <t>Superficie de Plazas Públicas en la Región de Maule en el año 2019</t>
  </si>
  <si>
    <t>Región de Maule mapa calor Chile comunas comunal año 2019 plazas públicas municipal municipio superficie hectáreas</t>
  </si>
  <si>
    <t>Superficie de Plazas Públicas en la Región del Biobío en el año 2019</t>
  </si>
  <si>
    <t>Región del Biobío mapa calor Chile comunas comunal año 2019 plazas públicas municipal municipio superficie hectáreas</t>
  </si>
  <si>
    <t>Superficie de Plazas Públicas en la Región de La Araucanía en el año 2019</t>
  </si>
  <si>
    <t>Región de La Araucanía mapa calor Chile comunas comunal año 2019 plazas públicas municipal municipio superficie hectáreas</t>
  </si>
  <si>
    <t>Superficie de Plazas Públicas en la Región de Los Lagos en el año 2019</t>
  </si>
  <si>
    <t>Región de Los Lagos mapa calor Chile comunas comunal año 2019 plazas públicas municipal municipio superficie hectáreas</t>
  </si>
  <si>
    <t>Superficie de Plazas Públicas en la Región de Aysén en el año 2019</t>
  </si>
  <si>
    <t>Región de Aysén mapa calor Chile comunas comunal año 2019 plazas públicas municipal municipio superficie hectáreas</t>
  </si>
  <si>
    <t>Superficie de Plazas Públicas en la Región de Magallanes en el año 2019</t>
  </si>
  <si>
    <t>Región de Magallanes mapa calor Chile comunas comunal año 2019 plazas públicas municipal municipio superficie hectáreas</t>
  </si>
  <si>
    <t>Superficie de Plazas Públicas en la Región Metropolitana en el año 2019</t>
  </si>
  <si>
    <t>Región Metropolitana mapa calor Chile comunas comunal año 2019 plazas públicas municipal municipio superficie hectáreas</t>
  </si>
  <si>
    <t>Superficie de Plazas Públicas en la Región de Los Ríos en el año 2019</t>
  </si>
  <si>
    <t>Región de Los Ríos mapa calor Chile comunas comunal año 2019 plazas públicas municipal municipio superficie hectáreas</t>
  </si>
  <si>
    <t>Superficie de Plazas Públicas en la Región de Arica y Parinacota en el año 2019</t>
  </si>
  <si>
    <t>Región de Arica y Parinacota mapa calor Chile comunas comunal año 2019 plazas públicas municipal municipio superficie hectáreas</t>
  </si>
  <si>
    <t>Región de Ñuble mapa calor Chile comunas comunal año 2019 plazas públicas municipal municipio superficie hectáreas</t>
  </si>
  <si>
    <t>Total Estado de la Salud</t>
  </si>
  <si>
    <t>Total Internet</t>
  </si>
  <si>
    <t>Total Telecomunicaciones</t>
  </si>
  <si>
    <t>Total Minería</t>
  </si>
  <si>
    <t>Total Turismo</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</si>
  <si>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</si>
  <si>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</si>
  <si>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</si>
  <si>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</si>
  <si>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</si>
  <si>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</si>
  <si>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</si>
  <si>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</si>
  <si>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</si>
  <si>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</si>
  <si>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</si>
  <si>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</si>
  <si>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</si>
  <si>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</si>
  <si>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</si>
  <si>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</si>
  <si>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</si>
  <si>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</si>
  <si>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</si>
  <si>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</si>
  <si>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</si>
  <si>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</si>
  <si>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</si>
  <si>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</si>
  <si>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</si>
  <si>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</si>
  <si>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</si>
  <si>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</si>
  <si>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</si>
  <si>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</si>
  <si>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</si>
  <si>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</si>
  <si>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</si>
  <si>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</si>
  <si>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</si>
  <si>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</si>
  <si>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</si>
  <si>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</si>
  <si>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</si>
  <si>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</si>
  <si>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</si>
  <si>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</si>
  <si>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</si>
  <si>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</si>
  <si>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</si>
  <si>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</si>
  <si>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</si>
  <si>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</si>
  <si>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</si>
  <si>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</si>
  <si>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</si>
  <si>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</si>
  <si>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</si>
  <si>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</si>
  <si>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</si>
  <si>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</si>
  <si>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</si>
  <si>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</si>
  <si>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</si>
  <si>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</si>
  <si>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</si>
  <si>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</si>
  <si>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</si>
  <si>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</si>
  <si>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</si>
  <si>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</si>
  <si>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</si>
  <si>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</si>
  <si>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</si>
  <si>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</si>
  <si>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</si>
  <si>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</si>
  <si>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</si>
  <si>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</si>
  <si>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</si>
  <si>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</si>
  <si>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</si>
  <si>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</si>
  <si>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</si>
  <si>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</si>
  <si>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</si>
  <si>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</si>
  <si>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</si>
  <si>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</si>
  <si>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</si>
  <si>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</si>
  <si>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</si>
  <si>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</si>
  <si>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</si>
  <si>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</si>
  <si>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</si>
  <si>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</si>
  <si>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</si>
  <si>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</si>
  <si>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</si>
  <si>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</si>
  <si>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</si>
  <si>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</si>
  <si>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</si>
  <si>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</si>
  <si>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</si>
  <si>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</si>
  <si>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</si>
  <si>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</si>
  <si>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</si>
  <si>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</si>
  <si>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</si>
  <si>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</si>
  <si>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</si>
  <si>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</si>
  <si>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</si>
  <si>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</si>
  <si>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</si>
  <si>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</si>
  <si>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</si>
  <si>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</si>
  <si>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</si>
  <si>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</si>
  <si>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</si>
  <si>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</si>
  <si>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</si>
  <si>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</si>
  <si>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</si>
  <si>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</si>
  <si>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</si>
  <si>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</si>
  <si>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</si>
  <si>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</si>
  <si>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</si>
  <si>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</si>
  <si>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</si>
  <si>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</si>
  <si>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</si>
  <si>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</si>
  <si>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</si>
  <si>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</si>
  <si>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</si>
  <si>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</si>
  <si>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</si>
  <si>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</si>
  <si>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</si>
  <si>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</si>
  <si>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</si>
  <si>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</si>
  <si>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</si>
  <si>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</si>
  <si>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</si>
  <si>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</si>
  <si>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</si>
  <si>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</si>
  <si>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</si>
  <si>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</si>
  <si>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</si>
  <si>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</si>
  <si>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</si>
  <si>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</si>
  <si>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</si>
  <si>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</si>
  <si>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</si>
  <si>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</si>
  <si>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</si>
  <si>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</si>
  <si>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</si>
  <si>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</si>
  <si>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</si>
  <si>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</si>
  <si>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</si>
  <si>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</si>
  <si>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</si>
  <si>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</si>
  <si>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</si>
  <si>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</si>
  <si>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</si>
  <si>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</si>
  <si>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</si>
  <si>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</si>
  <si>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</si>
  <si>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</si>
  <si>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</si>
  <si>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</si>
  <si>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</si>
  <si>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</si>
  <si>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</si>
  <si>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</si>
  <si>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</si>
  <si>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</si>
  <si>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</si>
  <si>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</si>
  <si>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</si>
  <si>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</si>
  <si>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</si>
  <si>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</si>
  <si>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</si>
  <si>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</si>
  <si>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</si>
  <si>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</si>
  <si>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</si>
  <si>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</si>
  <si>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</si>
  <si>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</si>
  <si>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</si>
  <si>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</si>
  <si>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</si>
  <si>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</si>
  <si>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</si>
  <si>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</si>
  <si>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</si>
  <si>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</si>
  <si>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</si>
  <si>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</si>
  <si>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</si>
  <si>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</si>
  <si>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</si>
  <si>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</si>
  <si>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</si>
  <si>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</si>
  <si>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</si>
  <si>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</si>
  <si>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</si>
  <si>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</si>
  <si>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</si>
  <si>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</si>
  <si>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</si>
  <si>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</si>
  <si>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</si>
  <si>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</si>
  <si>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</si>
  <si>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</si>
  <si>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</si>
  <si>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</si>
  <si>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</si>
  <si>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</si>
  <si>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</si>
  <si>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</si>
  <si>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</si>
  <si>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</si>
  <si>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</si>
  <si>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</si>
  <si>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</si>
  <si>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</si>
  <si>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</si>
  <si>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</si>
  <si>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</si>
  <si>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</si>
  <si>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</si>
  <si>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</si>
  <si>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</si>
  <si>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</si>
  <si>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</si>
  <si>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</si>
  <si>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</si>
  <si>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</si>
  <si>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</si>
  <si>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</si>
  <si>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</si>
  <si>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</si>
  <si>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</si>
  <si>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</si>
  <si>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</si>
  <si>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</si>
  <si>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</si>
  <si>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</si>
  <si>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</si>
  <si>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</si>
  <si>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</si>
  <si>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</si>
  <si>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</si>
  <si>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</si>
  <si>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</si>
  <si>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</si>
  <si>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</si>
  <si>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</si>
  <si>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</si>
  <si>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</si>
  <si>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</si>
  <si>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</si>
  <si>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</si>
  <si>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</si>
  <si>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</si>
  <si>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</si>
  <si>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</si>
  <si>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</si>
  <si>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</si>
  <si>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</si>
  <si>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</si>
  <si>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</si>
  <si>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</si>
  <si>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</si>
  <si>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</si>
  <si>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</si>
  <si>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</si>
  <si>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</si>
  <si>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</si>
  <si>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</si>
  <si>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</si>
  <si>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</si>
  <si>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</si>
  <si>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</si>
  <si>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</si>
  <si>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</si>
  <si>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</si>
  <si>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</si>
  <si>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</si>
  <si>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</si>
  <si>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</si>
  <si>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</si>
  <si>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</si>
  <si>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</si>
  <si>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</si>
  <si>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</si>
  <si>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1107</t>
  </si>
  <si>
    <t>Variación de la fuerza de trabajo por fecha</t>
  </si>
  <si>
    <t>Gestión Municipal de Educación</t>
  </si>
  <si>
    <t>PSU</t>
  </si>
  <si>
    <t>Indicadores de Participación y formación ciudadana</t>
  </si>
  <si>
    <t>https://analytics.zoho.com/open-view/2395394000008056877</t>
  </si>
  <si>
    <t>Número de suscripciones</t>
  </si>
  <si>
    <t>Toneladas métricas de contenido fino (tmf)</t>
  </si>
  <si>
    <t xml:space="preserve">Toneladas métricas (tm) </t>
  </si>
  <si>
    <t>Número de vehículos</t>
  </si>
  <si>
    <t>Índice de Producción Manufacturera</t>
  </si>
  <si>
    <t>Manufacturas</t>
  </si>
  <si>
    <t>Índice</t>
  </si>
  <si>
    <t>Evolución del Índice de Producción Manufacturera (IPMan) a Escala Nacional</t>
  </si>
  <si>
    <t>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Este índice alcanzó su mínimo a nivel nacional en septiembre de 2014, con un valor de 90,8, mientras que el máximo tomó un valor de 131,7 en junio de 2018.</t>
  </si>
  <si>
    <t>índice producción manufacturera manufactura nacional chile industria evolución productividad</t>
  </si>
  <si>
    <t>https://analytics.zoho.com/open-view/2395394000008742241</t>
  </si>
  <si>
    <t>Evolución del Índice de Producción Manufacturera (IPMan) en la Región de Valparaíso</t>
  </si>
  <si>
    <t>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Valparaíso, este índice alcanzó su mínimo en abril de 2020, con un valor de 88,7, mientras que el máximo tomó un valor de 176,6 en agosto de 2019.</t>
  </si>
  <si>
    <t>índice producción manufacturera manufactura nacional chile industria evolución productividad región valparaíso</t>
  </si>
  <si>
    <t>https://analytics.zoho.com/open-view/2395394000008742319?ZOHO_CRITERIA=%22Consolidado_Estadisticas_Regionales_New%22.%22C%C3%B3digo%20regi%C3%B3n%22%20%3D%205</t>
  </si>
  <si>
    <t>Evolución del Índice de Producción Manufacturera (IPMan) en la Región de O'Higgins</t>
  </si>
  <si>
    <t>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O'Higgins, este índice alcanzó su mínimo en septiembre de 2014, con un valor de 81,1, mientras que el máximo tomó un valor de 172,6 en junio de 2018.</t>
  </si>
  <si>
    <t>índice producción manufacturera manufactura nacional chile industria evolución productividad región ohiggins</t>
  </si>
  <si>
    <t>https://analytics.zoho.com/open-view/2395394000008742319?ZOHO_CRITERIA=%22Consolidado_Estadisticas_Regionales_New%22.%22C%C3%B3digo%20regi%C3%B3n%22%20%3D%206</t>
  </si>
  <si>
    <t>Evolución del Índice de Producción Manufacturera (IPMan) en la Región del Biobío</t>
  </si>
  <si>
    <t>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Biobío, este índice alcanzó su mínimo en febrero de 2016, con un valor de 83,1, mientras que el máximo tomó un valor de 117,9 en marzo de 2021.</t>
  </si>
  <si>
    <t>índice producción manufacturera manufactura nacional chile industria evolución productividad región biobío</t>
  </si>
  <si>
    <t>https://analytics.zoho.com/open-view/2395394000008742319?ZOHO_CRITERIA=%22Consolidado_Estadisticas_Regionales_New%22.%22C%C3%B3digo%20regi%C3%B3n%22%20%3D%208</t>
  </si>
  <si>
    <t>Evolución del Índice de Producción Manufacturera (IPMan) en la Región de La Araucanía</t>
  </si>
  <si>
    <t>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la Araucanía, este índice alcanzó su mínimo en julio de 2016, con un valor de 88,8, mientras que el máximo tomó un valor de 135,1 en diciembre de 2019 y en julio de 2020.</t>
  </si>
  <si>
    <t>índice producción manufacturera manufactura nacional chile industria evolución productividad región araucanía</t>
  </si>
  <si>
    <t>https://analytics.zoho.com/open-view/2395394000008742319?ZOHO_CRITERIA=%22Consolidado_Estadisticas_Regionales_New%22.%22C%C3%B3digo%20regi%C3%B3n%22%20%3D%209</t>
  </si>
  <si>
    <t>Evolución del Índice de Producción Manufacturera (IPMan) en la Región de Los Ríos</t>
  </si>
  <si>
    <t>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Los Ríos, este índice alcanzó su mínimo en julio de 2016, con un valor de 80,8, mientras que el máximo tomó un valor de 128,2 en marzo de 2020.</t>
  </si>
  <si>
    <t>índice producción manufacturera manufactura nacional chile industria evolución productividad región los ríos</t>
  </si>
  <si>
    <t>https://analytics.zoho.com/open-view/2395394000008742319?ZOHO_CRITERIA=%22Consolidado_Estadisticas_Regionales_New%22.%22C%C3%B3digo%20regi%C3%B3n%22%20%3D%2014</t>
  </si>
  <si>
    <t>Supermercados</t>
  </si>
  <si>
    <t>Comercio</t>
  </si>
  <si>
    <t>Cantidad de Supermercados con tres o más cajas instaladas</t>
  </si>
  <si>
    <t>Número de supermercados</t>
  </si>
  <si>
    <t>Evolución del Número de establecimientos clasificados como supermercados, que cuentan con tres o más cajas instaladas a Escala Nacional</t>
  </si>
  <si>
    <t>En enero de 2014, la cantidad de supermercados con 3 o más cajas instaladas era de 1.161, mientras que en marzo de 2021, era de 1.176. El mínimo se registró en noviembre de 2019, con 1.100 establecimientos, y el máximo en diciembre de 2015, con 1.229.</t>
  </si>
  <si>
    <t>cantidad supermercados establecimientos cajas instaladas nacional chile</t>
  </si>
  <si>
    <t>https://analytics.zoho.com/open-view/2395394000008715761</t>
  </si>
  <si>
    <t>Evolución del Número de establecimientos clasificados como supermercados, que cuentan con tres o más cajas instaladas en la Región de Tarapacá</t>
  </si>
  <si>
    <t>En la Región de Tarapacá, en enero de 2014, la cantidad de supermercados con 3 o más cajas instaladas era de 13, mientras que en abril de 2021, era de 14. El promedio de supermercados en este período es de 14.</t>
  </si>
  <si>
    <t>cantidad supermercados establecimientos cajas instaladas región tarapacá</t>
  </si>
  <si>
    <t>https://analytics.zoho.com/open-view/2395394000008715905?ZOHO_CRITERIA=%22Consolidado_Estadisticas_Regionales_New%22.%22C%C3%B3digo%20regi%C3%B3n%22%20%3D%201</t>
  </si>
  <si>
    <t>Evolución del Número de establecimientos clasificados como supermercados, que cuentan con tres o más cajas instaladas en la Región de Antofagasta</t>
  </si>
  <si>
    <t>En la Región de Antofagasta, en enero de 2014, la cantidad de supermercados con 3 o más cajas instaladas era de 32, y en abril de 2021, era de 34. El promedio de supermercados en este período es de 34.</t>
  </si>
  <si>
    <t>cantidad supermercados establecimientos cajas instaladas región antofagasta</t>
  </si>
  <si>
    <t>https://analytics.zoho.com/open-view/2395394000008715905?ZOHO_CRITERIA=%22Consolidado_Estadisticas_Regionales_New%22.%22C%C3%B3digo%20regi%C3%B3n%22%20%3D%202</t>
  </si>
  <si>
    <t>Evolución del Número de establecimientos clasificados como supermercados, que cuentan con tres o más cajas instaladas en la Región de Atacama</t>
  </si>
  <si>
    <t>En la Región de Atacama, en enero de 2014, la cantidad de supermercados con 3 o más cajas instaladas era de 23, mientras que en abril de 2021, era de 26. El promedio de supermercados en este período es de 24.</t>
  </si>
  <si>
    <t>cantidad supermercados establecimientos cajas instaladas región atacama</t>
  </si>
  <si>
    <t>https://analytics.zoho.com/open-view/2395394000008715905?ZOHO_CRITERIA=%22Consolidado_Estadisticas_Regionales_New%22.%22C%C3%B3digo%20regi%C3%B3n%22%20%3D%203</t>
  </si>
  <si>
    <t>Evolución del Número de establecimientos clasificados como supermercados, que cuentan con tres o más cajas instaladas en la Región de Coquimbo</t>
  </si>
  <si>
    <t>En la Región de Coquimbo, en enero de 2014, la cantidad de supermercados con 3 o más cajas instaladas era de 53, mientras que en abril de 2021, era de 61. El promedio de supermercados en este período es de 57.</t>
  </si>
  <si>
    <t>cantidad supermercados establecimientos cajas instaladas región coquimbo</t>
  </si>
  <si>
    <t>https://analytics.zoho.com/open-view/2395394000008715905?ZOHO_CRITERIA=%22Consolidado_Estadisticas_Regionales_New%22.%22C%C3%B3digo%20regi%C3%B3n%22%20%3D%204</t>
  </si>
  <si>
    <t>Evolución del Número de establecimientos clasificados como supermercados, que cuentan con tres o más cajas instaladas en la Región de Valparaíso</t>
  </si>
  <si>
    <t>En la Región de Valparaíso, en enero de 2014, la cantidad de supermercados con 3 o más cajas instaladas era de 158, mientras que en abril de 2021, era de 167. El promedio de supermercados en este período es de 163.</t>
  </si>
  <si>
    <t>cantidad supermercados establecimientos cajas instaladas región valparaíso</t>
  </si>
  <si>
    <t>https://analytics.zoho.com/open-view/2395394000008715905?ZOHO_CRITERIA=%22Consolidado_Estadisticas_Regionales_New%22.%22C%C3%B3digo%20regi%C3%B3n%22%20%3D%205</t>
  </si>
  <si>
    <t>Evolución del Número de establecimientos clasificados como supermercados, que cuentan con tres o más cajas instaladas en la Región de O'Higgins</t>
  </si>
  <si>
    <t>En la Región de O'Higgins, en enero de 2014, la cantidad de supermercados con 3 o más cajas instaladas era de 75, mientras que en abril de 2021, era de 81. El promedio de supermercados en este período es de 78.</t>
  </si>
  <si>
    <t>cantidad supermercados establecimientos cajas instaladas región ohiggins</t>
  </si>
  <si>
    <t>https://analytics.zoho.com/open-view/2395394000008715905?ZOHO_CRITERIA=%22Consolidado_Estadisticas_Regionales_New%22.%22C%C3%B3digo%20regi%C3%B3n%22%20%3D%206</t>
  </si>
  <si>
    <t>Evolución del Número de establecimientos clasificados como supermercados, que cuentan con tres o más cajas instaladas en la Región de Maule</t>
  </si>
  <si>
    <t>En la Región de Maule, en enero de 2014, la cantidad de supermercados con 3 o más cajas instaladas era de 67, mientras que en abril de 2021, era de 73. El promedio de supermercados en este período es de 71.</t>
  </si>
  <si>
    <t>cantidad supermercados establecimientos cajas instaladas región maule</t>
  </si>
  <si>
    <t>https://analytics.zoho.com/open-view/2395394000008715905?ZOHO_CRITERIA=%22Consolidado_Estadisticas_Regionales_New%22.%22C%C3%B3digo%20regi%C3%B3n%22%20%3D%207</t>
  </si>
  <si>
    <t>Evolución del Número de establecimientos clasificados como supermercados, que cuentan con tres o más cajas instaladas en la Región del Biobío</t>
  </si>
  <si>
    <t>En la Región del Biobío, en enero de 2014, la cantidad de supermercados con 3 o más cajas instaladas era de 129, mientras que en abril de 2021, era de 151. El promedio de supermercados en este período es de 144.</t>
  </si>
  <si>
    <t>cantidad supermercados establecimientos cajas instaladas región biobío</t>
  </si>
  <si>
    <t>https://analytics.zoho.com/open-view/2395394000008715905?ZOHO_CRITERIA=%22Consolidado_Estadisticas_Regionales_New%22.%22C%C3%B3digo%20regi%C3%B3n%22%20%3D%208</t>
  </si>
  <si>
    <t>Evolución del Número de establecimientos clasificados como supermercados, que cuentan con tres o más cajas instaladas en la Región de La Araucanía</t>
  </si>
  <si>
    <t>En la Región de La Araucanía, en enero de 2014, la cantidad de supermercados con 3 o más cajas instaladas era de 86, mientras que en abril de 2021, era de 101. El promedio de supermercados en este período es de 94.</t>
  </si>
  <si>
    <t>cantidad supermercados establecimientos cajas instaladas región araucanía</t>
  </si>
  <si>
    <t>https://analytics.zoho.com/open-view/2395394000008715905?ZOHO_CRITERIA=%22Consolidado_Estadisticas_Regionales_New%22.%22C%C3%B3digo%20regi%C3%B3n%22%20%3D%209</t>
  </si>
  <si>
    <t>Evolución del Número de establecimientos clasificados como supermercados, que cuentan con tres o más cajas instaladas en la Región de Los Lagos</t>
  </si>
  <si>
    <t>En la Región de Los Lagos, en enero de 2014, la cantidad de supermercados con 3 o más cajas instaladas era de 66, mientras que en abril de 2021, era de 68. El promedio de supermercados en este período es de 69.</t>
  </si>
  <si>
    <t>cantidad supermercados establecimientos cajas instaladas región los lagos</t>
  </si>
  <si>
    <t>https://analytics.zoho.com/open-view/2395394000008715905?ZOHO_CRITERIA=%22Consolidado_Estadisticas_Regionales_New%22.%22C%C3%B3digo%20regi%C3%B3n%22%20%3D%2010</t>
  </si>
  <si>
    <t>Evolución del Número de establecimientos clasificados como supermercados, que cuentan con tres o más cajas instaladas en la Región de Aysén</t>
  </si>
  <si>
    <t>En la Región de Aysén, en enero de 2014, la cantidad de supermercados con 3 o más cajas instaladas era de 6, mientras que en abril de 2021, era de 9. El promedio de supermercados en este período es de 8.</t>
  </si>
  <si>
    <t>cantidad supermercados establecimientos cajas instaladas región aysén</t>
  </si>
  <si>
    <t>https://analytics.zoho.com/open-view/2395394000008715905?ZOHO_CRITERIA=%22Consolidado_Estadisticas_Regionales_New%22.%22C%C3%B3digo%20regi%C3%B3n%22%20%3D%2011</t>
  </si>
  <si>
    <t>Evolución del Número de establecimientos clasificados como supermercados, que cuentan con tres o más cajas instaladas en la Región de Magallanes</t>
  </si>
  <si>
    <t>En la Región de Magallanes, en enero de 2014, la cantidad de supermercados con 3 o más cajas instaladas era de 12, mientras que en abril de 2021, era de 11. El promedio de supermercados en este período es de 11.</t>
  </si>
  <si>
    <t>cantidad supermercados establecimientos cajas instaladas región magallanes</t>
  </si>
  <si>
    <t>https://analytics.zoho.com/open-view/2395394000008715905?ZOHO_CRITERIA=%22Consolidado_Estadisticas_Regionales_New%22.%22C%C3%B3digo%20regi%C3%B3n%22%20%3D%2012</t>
  </si>
  <si>
    <t>Evolución del Número de establecimientos clasificados como supermercados, que cuentan con tres o más cajas instaladas en la Región Metropolitana</t>
  </si>
  <si>
    <t>En la Región Metropolitana, en enero de 2014, la cantidad de supermercados con 3 o más cajas instaladas era de 524, mientras que en abril de 2021, era de 464. El promedio de supermercados en este período es de 512.</t>
  </si>
  <si>
    <t>cantidad supermercados establecimientos cajas instaladas región metropolitana</t>
  </si>
  <si>
    <t>https://analytics.zoho.com/open-view/2395394000008715905?ZOHO_CRITERIA=%22Consolidado_Estadisticas_Regionales_New%22.%22C%C3%B3digo%20regi%C3%B3n%22%20%3D%2013</t>
  </si>
  <si>
    <t>Evolución del Número de establecimientos clasificados como supermercados, que cuentan con tres o más cajas instaladas en la Región de Los Ríos</t>
  </si>
  <si>
    <t>En la Región de Los Ríos, en enero de 2014, la cantidad de supermercados con 3 o más cajas instaladas era de 37, mientras que en abril de 2021, era de 45. El promedio de supermercados en este período es de 42.</t>
  </si>
  <si>
    <t>cantidad supermercados establecimientos cajas instaladas región los ríos</t>
  </si>
  <si>
    <t>https://analytics.zoho.com/open-view/2395394000008715905?ZOHO_CRITERIA=%22Consolidado_Estadisticas_Regionales_New%22.%22C%C3%B3digo%20regi%C3%B3n%22%20%3D%2014</t>
  </si>
  <si>
    <t>Evolución del Número de establecimientos clasificados como supermercados, que cuentan con tres o más cajas instaladas en la Región de Arica y Parinacota</t>
  </si>
  <si>
    <t>En la Región de Arica y Parinacota, en enero de 2014, la cantidad de supermercados con 3 o más cajas instaladas era de 6, mientras que en abril de 2021, era de 7. El promedio de supermercados en este período es de 7.</t>
  </si>
  <si>
    <t>cantidad supermercados establecimientos cajas instaladas región arica parinacota</t>
  </si>
  <si>
    <t>https://analytics.zoho.com/open-view/2395394000008715905?ZOHO_CRITERIA=%22Consolidado_Estadisticas_Regionales_New%22.%22C%C3%B3digo%20regi%C3%B3n%22%20%3D%2015</t>
  </si>
  <si>
    <t>Evolución del Número de establecimientos clasificados como supermercados, que cuentan con tres o más cajas instaladas en la Región de Ñuble</t>
  </si>
  <si>
    <t>En la Región de Ñuble, en enero de 2014, la cantidad de supermercados con 3 o más cajas instaladas era de 32, mientras que en abril de 2021, era de 31. El promedio de supermercados en este período es de 32.</t>
  </si>
  <si>
    <t>cantidad supermercados establecimientos cajas instaladas región ñuble</t>
  </si>
  <si>
    <t>https://analytics.zoho.com/open-view/2395394000008715905?ZOHO_CRITERIA=%22Consolidado_Estadisticas_Regionales_New%22.%22C%C3%B3digo%20regi%C3%B3n%22%20%3D%2016</t>
  </si>
  <si>
    <t>Índice de Elaboración de Productos Alimenticios</t>
  </si>
  <si>
    <t>Evolución del Índice de Producción de la división Elaboración de productos alimenticios a Escala Nacional</t>
  </si>
  <si>
    <t>El Índice de Elaboración de Productos Alimenticios es la división número 10 del índice de Producción Manufacturera. A nivel nacional, este índice registró su mínimo en septiembre de 2014, con un valor de 77,4, mientras que su máximo ocurrió en marzo de 2021, con 126,1. El promedio en este período es de 100,9.</t>
  </si>
  <si>
    <t>índice elaboración productos alimenticios alimentos producción nacional chile</t>
  </si>
  <si>
    <t>https://analytics.zoho.com/open-view/2395394000008742076</t>
  </si>
  <si>
    <t>Evolución del Índice de Producción de la división Elaboración de productos alimenticios en la Región de Valparaíso</t>
  </si>
  <si>
    <t>El Índice de Elaboración de Productos Alimenticios es la división número 10 del índice de Producción Manufacturera. En la Región de Valparaíso, el mínimo se registró en febrero de 2021, con un valor de 68,6, mientras que su máximo ocurrió en marzo de 2014, con 123,3. El promedio en este período es de 89,5.</t>
  </si>
  <si>
    <t>índice elaboración productos alimenticios alimentos producción región valparaíso</t>
  </si>
  <si>
    <t>https://analytics.zoho.com/open-view/2395394000008742160?ZOHO_CRITERIA=%22Consolidado_Estadisticas_Regionales_New%22.%22C%C3%B3digo%20regi%C3%B3n%22%20%3D%205</t>
  </si>
  <si>
    <t>Evolución del Índice de Producción de la división Elaboración de productos alimenticios en la Región de O'Higgins</t>
  </si>
  <si>
    <t>El Índice de Elaboración de Productos Alimenticios es la división número 10 del índice de Producción Manufacturera. En la Región de O'Higgins, el mínimo se registró en septiembre de 2014, con un valor de 74,2, mientras que su máximo ocurrió en abril de 2018, con 167,0. El promedio en este período es de 114,1.</t>
  </si>
  <si>
    <t>índice elaboración productos alimenticios alimentos producción región ohiggins</t>
  </si>
  <si>
    <t>https://analytics.zoho.com/open-view/2395394000008742160?ZOHO_CRITERIA=%22Consolidado_Estadisticas_Regionales_New%22.%22C%C3%B3digo%20regi%C3%B3n%22%20%3D%206</t>
  </si>
  <si>
    <t>Evolución del Índice de Producción de la división Elaboración de productos alimenticios en la Región del Biobío</t>
  </si>
  <si>
    <t>El Índice de Elaboración de Productos Alimenticios es la división número 10 del índice de Producción Manufacturera. En la Región del Biobío, el mínimo se registró en febrero de 2017, con un valor de 45,2, mientras que su máximo ocurrió en julio de 2019, con 141,4. El promedio en este período es de 99,3.</t>
  </si>
  <si>
    <t>índice elaboración productos alimenticios alimentos producción región biobío</t>
  </si>
  <si>
    <t>https://analytics.zoho.com/open-view/2395394000008742160?ZOHO_CRITERIA=%22Consolidado_Estadisticas_Regionales_New%22.%22C%C3%B3digo%20regi%C3%B3n%22%20%3D%208</t>
  </si>
  <si>
    <t>Evolución del Índice de Producción de la división Elaboración de productos alimenticios en la Región de Los Ríos</t>
  </si>
  <si>
    <t>El Índice de Elaboración de Productos Alimenticios es la división número 10 del índice de Producción Manufacturera. En la Región de Los Ríos, el mínimo se registró en julio de 2016, con un valor de 62,1, mientras que su máximo ocurrió en diciembre de 2020, con 130,9. El promedio en este período es de 100,7.</t>
  </si>
  <si>
    <t>índice elaboración productos alimenticios alimentos producción región los ríos</t>
  </si>
  <si>
    <t>https://analytics.zoho.com/open-view/2395394000008742160?ZOHO_CRITERIA=%22Consolidado_Estadisticas_Regionales_New%22.%22C%C3%B3digo%20regi%C3%B3n%22%20%3D%2014</t>
  </si>
  <si>
    <t>Índice de Fabricación de Productos Farmacéuticos</t>
  </si>
  <si>
    <t>Evolución del Índice de Producción de la división Fabricación de productos farmacéuticos, sustancias químicas medicinales y productos botánicos de uso farmacéutico a Escala Nacional</t>
  </si>
  <si>
    <t>El Índice de Fabricación de Productos Farmacéuticos es la división 21 del Índice de Producción Manufacturera. A nivel nacional, el mínimo se registró en febrero de 2015, con un valor de 75,5, mientras que el máximo ocurrió en marzo de 2020, con 217,2. El promedio en este período es de 124,9.</t>
  </si>
  <si>
    <t>índice fabricación producción productos farmacéuticos medicinal botánicos sustancias químicas manufactura manufacturera nacional chile</t>
  </si>
  <si>
    <t>https://analytics.zoho.com/open-view/2395394000008741947</t>
  </si>
  <si>
    <t>índice de Fabricación de Sustancias y Productos Químicos</t>
  </si>
  <si>
    <t>Evolución del Índice de Producción de la división Fabricación de sustancias y productos químicos a Escala Nacional</t>
  </si>
  <si>
    <t>El Índice de Fabricación de Sustancias y Productos Químicos es la división 20 del Índice de Producción Manufacturera. A nivel nacional, el mínimo se registró en febrero de 2014, con un valor de 82,9, mientras que el máximo ocurrió en enero de 2018, con 149,1. El promedio en este período es de 114,2.</t>
  </si>
  <si>
    <t>índice fabricación producción sustancias químicas productos nacional chile manufactura manufacturera</t>
  </si>
  <si>
    <t>https://analytics.zoho.com/open-view/2395394000008741698</t>
  </si>
  <si>
    <t>Evolución del Índice de Producción de la división Fabricación de sustancias y productos químicos en la Región de Valparaíso</t>
  </si>
  <si>
    <t>El Índice de Fabricación de Sustancias y Productos Químicos es la división 20 del Índice de Producción Manufacturera. En la Región de Valparaíso, el mínimo se registró en abril de 2020, con un valor de 67,8, mientras que el máximo ocurrió en septiembre de 2016, con 133,3. El promedio en este período es de 105,0.</t>
  </si>
  <si>
    <t>índice fabricación producción sustancias químicas productos manufactura manufacturera región valparaíso</t>
  </si>
  <si>
    <t>https://analytics.zoho.com/open-view/2395394000008741824?ZOHO_CRITERIA=%22Consolidado_Estadisticas_Regionales_New%22.%22C%C3%B3digo%20regi%C3%B3n%22%20%3D%205</t>
  </si>
  <si>
    <t>Evolución del Índice de Producción de la división Fabricación de sustancias y productos químicos en la Región de O'Higgins</t>
  </si>
  <si>
    <t>El Índice de Fabricación de Sustancias y Productos Químicos es la división 20 del Índice de Producción Manufacturera. En la Región de O'Higgins, el mínimo se registró en julio de 2018, con un valor de 63,2, mientras que el máximo ocurrió en noviembre de 2016, con 234,8. El promedio en este período es de 121,4.</t>
  </si>
  <si>
    <t>índice fabricación producción sustancias químicas productos manufactura manufacturera región ohiggins</t>
  </si>
  <si>
    <t>https://analytics.zoho.com/open-view/2395394000008741824?ZOHO_CRITERIA=%22Consolidado_Estadisticas_Regionales_New%22.%22C%C3%B3digo%20regi%C3%B3n%22%20%3D%206</t>
  </si>
  <si>
    <t>Evolución del Índice de Producción de la división Fabricación de sustancias y productos químicos en la Región del Biobío</t>
  </si>
  <si>
    <t>El Índice de Fabricación de Sustancias y Productos Químicos es la división 20 del Índice de Producción Manufacturera. En la Región del Biobío, el mínimo se registró en febrero de 2015, con un valor de 74,7, mientras que el máximo ocurrió en marzo de 2019, con 150,0. El promedio en este período es de 116,2.</t>
  </si>
  <si>
    <t>índice fabricación producción sustancias químicas productos manufactura manufacturera región biobío</t>
  </si>
  <si>
    <t>https://analytics.zoho.com/open-view/2395394000008741824?ZOHO_CRITERIA=%22Consolidado_Estadisticas_Regionales_New%22.%22C%C3%B3digo%20regi%C3%B3n%22%20%3D%208</t>
  </si>
  <si>
    <t>Pórticos Autopistas Interurbanas</t>
  </si>
  <si>
    <t>Pórticos y Peajes</t>
  </si>
  <si>
    <t>Pasada de vehículos por plazas de peajes y pórticos de autopistas interurbanas</t>
  </si>
  <si>
    <t>Ministerio de Transportes y Telecomunicaciones</t>
  </si>
  <si>
    <t>Evolución de la Pasada de vehículos por plazas de peajes y pórticos de autopistas interurbanas a Escala Nacional</t>
  </si>
  <si>
    <t>En el año 2021, desde enero a mayo, han pasado un promedio de 23.434.059 vehículos por plazas de peaje y pórticos de autopistas interurbanas, con un peak de 25.522.598 vehículos en febrero y un mínimo de 18.913.170 vehículos en abril.</t>
  </si>
  <si>
    <t>vehículos autos peaje pórtico autopistas interurbanas nacional chile</t>
  </si>
  <si>
    <t>https://analytics.zoho.com/open-view/2395394000008741354</t>
  </si>
  <si>
    <t>Evolución de la Pasada de vehículos por plazas de peajes y pórticos de autopistas interurbanas en la Región de Valparaíso</t>
  </si>
  <si>
    <t>En la Región de Valparaíso, en el año 2021 (enero a mayo), han pasado un promedio de 4.239.399 vehículos por plazas de peaje y pórticos de autopistas interurbanas, con un peak de 5.326.564 vehículos en febrero y un mínimo de 2.993.343 vehículos en abril.</t>
  </si>
  <si>
    <t>vehículos autos peaje pórtico autopistas interurbanas región valparaíso</t>
  </si>
  <si>
    <t>https://analytics.zoho.com/open-view/2395394000008741527?ZOHO_CRITERIA=%22Consolidado_Estadisticas_Regionales_New%22.%22C%C3%B3digo%20regi%C3%B3n%22%20%3D%205</t>
  </si>
  <si>
    <t>Evolución de la Pasada de vehículos por plazas de peajes y pórticos de autopistas interurbanas en la Región del Biobío</t>
  </si>
  <si>
    <t>En la Región del Biobío, en el año 2021 (enero a mayo), han pasado un promedio de 3.006.188 vehículos por plazas de peaje y pórticos de autopistas interurbanas, con un peak de 3.314.211 vehículos en febrero y un mínimo de 2.543.750 vehículos en abril.</t>
  </si>
  <si>
    <t>vehículos autos peaje pórtico autopistas interurbanas región biobío</t>
  </si>
  <si>
    <t>https://analytics.zoho.com/open-view/2395394000008741527?ZOHO_CRITERIA=%22Consolidado_Estadisticas_Regionales_New%22.%22C%C3%B3digo%20regi%C3%B3n%22%20%3D%208</t>
  </si>
  <si>
    <t>Evolución de la Pasada de vehículos por plazas de peajes y pórticos de autopistas interurbanas en la Región Metropolitana</t>
  </si>
  <si>
    <t>En la Región Metropolitana, en el año 2021 (enero a mayo), han pasado un promedio de 19.134.628 vehículos por plazas de peaje y pórticos de autopistas interurbanas, con un peak de 20.868.753 vehículos en febrero y un mínimo de 15.334.137 vehículos en abril.</t>
  </si>
  <si>
    <t>vehículos autos peaje pórtico autopistas interurbanas región metropolitana</t>
  </si>
  <si>
    <t>https://analytics.zoho.com/open-view/2395394000008741527?ZOHO_CRITERIA=%22Consolidado_Estadisticas_Regionales_New%22.%22C%C3%B3digo%20regi%C3%B3n%22%20%3D%2013</t>
  </si>
  <si>
    <t>Evolución de la Pasada de vehículos por plazas de peajes y pórticos de autopistas interurbanas en la Región de Ñuble</t>
  </si>
  <si>
    <t>En la Región de Ñuble, en el año 2021 (enero a mayo), han pasado un promedio de 1.293.243 vehículos por plazas de peaje y pórticos de autopistas interurbanas, con un peak de 1.425.952 vehículos en enero y un mínimo de 1.035.283 vehículos en abril.</t>
  </si>
  <si>
    <t>vehículos autos peaje pórtico autopistas interurbanas región ñuble</t>
  </si>
  <si>
    <t>https://analytics.zoho.com/open-view/2395394000008741527?ZOHO_CRITERIA=%22Consolidado_Estadisticas_Regionales_New%22.%22C%C3%B3digo%20regi%C3%B3n%22%20%3D%2016</t>
  </si>
  <si>
    <t>Parque vehicular de taxis</t>
  </si>
  <si>
    <t>Evolución del Parque Vehicular de Taxis a Escala Nacional</t>
  </si>
  <si>
    <t>En este período, el parque vehicular de taxis a nivel nacional alcanzó su mínimo en marzo de 2014, con 89.695 vehículos. Al contrario, el máximo se registró en junio de 2016, con 92.004 taxis. El promedio nacional es de 91.087 vehículos, el cual está por sobre el último valor registrado en marzo de 2021, que fue de 89.890.</t>
  </si>
  <si>
    <t>taxis parque vehicular cantidad vehículos transporte nacional chile</t>
  </si>
  <si>
    <t>https://analytics.zoho.com/open-view/2395394000008741045</t>
  </si>
  <si>
    <t>Evolución del Parque Vehicular de Taxis en la Región de Tarapacá</t>
  </si>
  <si>
    <t>taxis parque vehicular cantidad vehículos transporte región tarapacá</t>
  </si>
  <si>
    <t>https://analytics.zoho.com/open-view/2395394000008741200?ZOHO_CRITERIA=%22Consolidado_Estadisticas_Regionales_New%22.%22C%C3%B3digo%20regi%C3%B3n%22%20%3D%201</t>
  </si>
  <si>
    <t>Evolución del Parque Vehicular de Taxis en la Región de Antofagasta</t>
  </si>
  <si>
    <t>taxis parque vehicular cantidad vehículos transporte región antofagasta</t>
  </si>
  <si>
    <t>https://analytics.zoho.com/open-view/2395394000008741200?ZOHO_CRITERIA=%22Consolidado_Estadisticas_Regionales_New%22.%22C%C3%B3digo%20regi%C3%B3n%22%20%3D%202</t>
  </si>
  <si>
    <t>Evolución del Parque Vehicular de Taxis en la Región de Atacama</t>
  </si>
  <si>
    <t>taxis parque vehicular cantidad vehículos transporte región atacama</t>
  </si>
  <si>
    <t>https://analytics.zoho.com/open-view/2395394000008741200?ZOHO_CRITERIA=%22Consolidado_Estadisticas_Regionales_New%22.%22C%C3%B3digo%20regi%C3%B3n%22%20%3D%203</t>
  </si>
  <si>
    <t>Evolución del Parque Vehicular de Taxis en la Región de Coquimbo</t>
  </si>
  <si>
    <t>taxis parque vehicular cantidad vehículos transporte región coquimbo</t>
  </si>
  <si>
    <t>https://analytics.zoho.com/open-view/2395394000008741200?ZOHO_CRITERIA=%22Consolidado_Estadisticas_Regionales_New%22.%22C%C3%B3digo%20regi%C3%B3n%22%20%3D%204</t>
  </si>
  <si>
    <t>Evolución del Parque Vehicular de Taxis en la Región de Valparaíso</t>
  </si>
  <si>
    <t>taxis parque vehicular cantidad vehículos transporte región valparaíso</t>
  </si>
  <si>
    <t>https://analytics.zoho.com/open-view/2395394000008741200?ZOHO_CRITERIA=%22Consolidado_Estadisticas_Regionales_New%22.%22C%C3%B3digo%20regi%C3%B3n%22%20%3D%205</t>
  </si>
  <si>
    <t>Evolución del Parque Vehicular de Taxis en la Región de O'Higgins</t>
  </si>
  <si>
    <t>taxis parque vehicular cantidad vehículos transporte región ohiggins</t>
  </si>
  <si>
    <t>https://analytics.zoho.com/open-view/2395394000008741200?ZOHO_CRITERIA=%22Consolidado_Estadisticas_Regionales_New%22.%22C%C3%B3digo%20regi%C3%B3n%22%20%3D%206</t>
  </si>
  <si>
    <t>Evolución del Parque Vehicular de Taxis en la Región de Maule</t>
  </si>
  <si>
    <t>taxis parque vehicular cantidad vehículos transporte región maule</t>
  </si>
  <si>
    <t>https://analytics.zoho.com/open-view/2395394000008741200?ZOHO_CRITERIA=%22Consolidado_Estadisticas_Regionales_New%22.%22C%C3%B3digo%20regi%C3%B3n%22%20%3D%207</t>
  </si>
  <si>
    <t>Evolución del Parque Vehicular de Taxis en la Región del Biobío</t>
  </si>
  <si>
    <t>taxis parque vehicular cantidad vehículos transporte región biobío</t>
  </si>
  <si>
    <t>https://analytics.zoho.com/open-view/2395394000008741200?ZOHO_CRITERIA=%22Consolidado_Estadisticas_Regionales_New%22.%22C%C3%B3digo%20regi%C3%B3n%22%20%3D%208</t>
  </si>
  <si>
    <t>Evolución del Parque Vehicular de Taxis en la Región de La Araucanía</t>
  </si>
  <si>
    <t>taxis parque vehicular cantidad vehículos transporte región araucanía</t>
  </si>
  <si>
    <t>https://analytics.zoho.com/open-view/2395394000008741200?ZOHO_CRITERIA=%22Consolidado_Estadisticas_Regionales_New%22.%22C%C3%B3digo%20regi%C3%B3n%22%20%3D%209</t>
  </si>
  <si>
    <t>Evolución del Parque Vehicular de Taxis en la Región de Los Lagos</t>
  </si>
  <si>
    <t>taxis parque vehicular cantidad vehículos transporte región los lagos</t>
  </si>
  <si>
    <t>https://analytics.zoho.com/open-view/2395394000008741200?ZOHO_CRITERIA=%22Consolidado_Estadisticas_Regionales_New%22.%22C%C3%B3digo%20regi%C3%B3n%22%20%3D%2010</t>
  </si>
  <si>
    <t>Evolución del Parque Vehicular de Taxis en la Región de Aysén</t>
  </si>
  <si>
    <t>taxis parque vehicular cantidad vehículos transporte región aysén</t>
  </si>
  <si>
    <t>https://analytics.zoho.com/open-view/2395394000008741200?ZOHO_CRITERIA=%22Consolidado_Estadisticas_Regionales_New%22.%22C%C3%B3digo%20regi%C3%B3n%22%20%3D%2011</t>
  </si>
  <si>
    <t>Evolución del Parque Vehicular de Taxis en la Región de Magallanes</t>
  </si>
  <si>
    <t>taxis parque vehicular cantidad vehículos transporte región magallanes</t>
  </si>
  <si>
    <t>https://analytics.zoho.com/open-view/2395394000008741200?ZOHO_CRITERIA=%22Consolidado_Estadisticas_Regionales_New%22.%22C%C3%B3digo%20regi%C3%B3n%22%20%3D%2012</t>
  </si>
  <si>
    <t>Evolución del Parque Vehicular de Taxis en la Región Metropolitana</t>
  </si>
  <si>
    <t>taxis parque vehicular cantidad vehículos transporte región metropolitana</t>
  </si>
  <si>
    <t>https://analytics.zoho.com/open-view/2395394000008741200?ZOHO_CRITERIA=%22Consolidado_Estadisticas_Regionales_New%22.%22C%C3%B3digo%20regi%C3%B3n%22%20%3D%2013</t>
  </si>
  <si>
    <t>Evolución del Parque Vehicular de Taxis en la Región de Los Ríos</t>
  </si>
  <si>
    <t>taxis parque vehicular cantidad vehículos transporte región los ríos</t>
  </si>
  <si>
    <t>https://analytics.zoho.com/open-view/2395394000008741200?ZOHO_CRITERIA=%22Consolidado_Estadisticas_Regionales_New%22.%22C%C3%B3digo%20regi%C3%B3n%22%20%3D%2014</t>
  </si>
  <si>
    <t>Evolución del Parque Vehicular de Taxis en la Región de Arica y Parinacota</t>
  </si>
  <si>
    <t>taxis parque vehicular cantidad vehículos transporte región arica parinacota</t>
  </si>
  <si>
    <t>https://analytics.zoho.com/open-view/2395394000008741200?ZOHO_CRITERIA=%22Consolidado_Estadisticas_Regionales_New%22.%22C%C3%B3digo%20regi%C3%B3n%22%20%3D%2015</t>
  </si>
  <si>
    <t>Evolución del Parque Vehicular de Taxis en la Región de Ñuble</t>
  </si>
  <si>
    <t>taxis parque vehicular cantidad vehículos transporte región ñuble</t>
  </si>
  <si>
    <t>https://analytics.zoho.com/open-view/2395394000008741200?ZOHO_CRITERIA=%22Consolidado_Estadisticas_Regionales_New%22.%22C%C3%B3digo%20regi%C3%B3n%22%20%3D%2016</t>
  </si>
  <si>
    <t>Carga Portuaria</t>
  </si>
  <si>
    <t>Carga Marítima</t>
  </si>
  <si>
    <t>Movimiento de Carga Portuaria</t>
  </si>
  <si>
    <t>Evolución del Movimiento de Carga Portuaria Embarcada al Exterior a Escala Nacional</t>
  </si>
  <si>
    <t>En el periodo comprendido desde enero de 2014 a mayo de 2021, se registró un máximo de carga portuaria embarcada al exterior de 3.723.729 toneladas, en marzo de 2015. Al contrario, el mínimo se embarcó en enero de 2014, con 2.080.207 toneladas. El promedio en este periodo es de 3.048.613 toneladas.</t>
  </si>
  <si>
    <t>movimiento transporte carga portuaria embarque exterior nacional chile</t>
  </si>
  <si>
    <t>https://analytics.zoho.com/open-view/2395394000008744153</t>
  </si>
  <si>
    <t>Evolución del Movimiento de Carga Portuaria Embarcada al Exterior en la Región de Tarapacá</t>
  </si>
  <si>
    <t>movimiento transporte carga portuaria embarque exterior región tarapacá</t>
  </si>
  <si>
    <t>https://analytics.zoho.com/open-view/2395394000008744325?ZOHO_CRITERIA=%22Consolidado_Estadisticas_Regionales_New%22.%22C%C3%B3digo%20regi%C3%B3n%22%20%3D%201</t>
  </si>
  <si>
    <t>Evolución del Movimiento de Carga Portuaria Embarcada al Exterior en la Región de Valparaíso</t>
  </si>
  <si>
    <t>movimiento transporte carga portuaria embarque exterior región valparaíso</t>
  </si>
  <si>
    <t>https://analytics.zoho.com/open-view/2395394000008744325?ZOHO_CRITERIA=%22Consolidado_Estadisticas_Regionales_New%22.%22C%C3%B3digo%20regi%C3%B3n%22%20%3D%205</t>
  </si>
  <si>
    <t>Evolución del Movimiento de Carga Portuaria Embarcada al Exterior en la Región del Biobío</t>
  </si>
  <si>
    <t>movimiento transporte carga portuaria embarque exterior región biobío</t>
  </si>
  <si>
    <t>https://analytics.zoho.com/open-view/2395394000008744325?ZOHO_CRITERIA=%22Consolidado_Estadisticas_Regionales_New%22.%22C%C3%B3digo%20regi%C3%B3n%22%20%3D%208</t>
  </si>
  <si>
    <t>Superficie Autorizada Habitacional (Obras Nuevas)</t>
  </si>
  <si>
    <t>Superficie Autorizada Habitacional de Obras Nuevas</t>
  </si>
  <si>
    <t>Evolución de la Superficie de las solicitudes de edificación Habitacional autorizada para construcción de Obras Nuevas a Escala Nacional</t>
  </si>
  <si>
    <t>En el periodo comprendido entre enero de 2014 y mayo de 2021, se registró un peak de superficie autorizada habitacional para la construcción de obras nuevas de 198.694 metros cuadrados, en el mes de diciembre de 2015. Este valor es 3,1 veces más grande que el promedio del periodo completo, el cual es de 63.968 metros cuadrados.</t>
  </si>
  <si>
    <t>superficie autorizada habitacional obras nuevas vivienda construcción nacional chile</t>
  </si>
  <si>
    <t>https://analytics.zoho.com/open-view/2395394000008744684</t>
  </si>
  <si>
    <t>Evolución de la Superficie de las solicitudes de edificación Habitacional autorizada para construcción de Obras Nuevas en la Región de Tarapacá</t>
  </si>
  <si>
    <t>superficie autorizada habitacional obras nuevas vivienda construcción región tarapacá</t>
  </si>
  <si>
    <t>https://analytics.zoho.com/open-view/2395394000008744885?ZOHO_CRITERIA=%22Consolidado_Estadisticas_Regionales_New%22.%22C%C3%B3digo%20regi%C3%B3n%22%20%3D%201</t>
  </si>
  <si>
    <t>Evolución de la Superficie de las solicitudes de edificación Habitacional autorizada para construcción de Obras Nuevas en la Región de Antofagasta</t>
  </si>
  <si>
    <t>superficie autorizada habitacional obras nuevas vivienda construcción región antofagasta</t>
  </si>
  <si>
    <t>https://analytics.zoho.com/open-view/2395394000008744885?ZOHO_CRITERIA=%22Consolidado_Estadisticas_Regionales_New%22.%22C%C3%B3digo%20regi%C3%B3n%22%20%3D%202</t>
  </si>
  <si>
    <t>Evolución de la Superficie de las solicitudes de edificación Habitacional autorizada para construcción de Obras Nuevas en la Región de Atacama</t>
  </si>
  <si>
    <t>superficie autorizada habitacional obras nuevas vivienda construcción región atacama</t>
  </si>
  <si>
    <t>https://analytics.zoho.com/open-view/2395394000008744885?ZOHO_CRITERIA=%22Consolidado_Estadisticas_Regionales_New%22.%22C%C3%B3digo%20regi%C3%B3n%22%20%3D%203</t>
  </si>
  <si>
    <t>Evolución de la Superficie de las solicitudes de edificación Habitacional autorizada para construcción de Obras Nuevas en la Región de Coquimbo</t>
  </si>
  <si>
    <t>superficie autorizada habitacional obras nuevas vivienda construcción región coquimbo</t>
  </si>
  <si>
    <t>https://analytics.zoho.com/open-view/2395394000008744885?ZOHO_CRITERIA=%22Consolidado_Estadisticas_Regionales_New%22.%22C%C3%B3digo%20regi%C3%B3n%22%20%3D%204</t>
  </si>
  <si>
    <t>Evolución de la Superficie de las solicitudes de edificación Habitacional autorizada para construcción de Obras Nuevas en la Región de Valparaíso</t>
  </si>
  <si>
    <t>superficie autorizada habitacional obras nuevas vivienda construcción región valparaíso</t>
  </si>
  <si>
    <t>https://analytics.zoho.com/open-view/2395394000008744885?ZOHO_CRITERIA=%22Consolidado_Estadisticas_Regionales_New%22.%22C%C3%B3digo%20regi%C3%B3n%22%20%3D%205</t>
  </si>
  <si>
    <t>Evolución de la Superficie de las solicitudes de edificación Habitacional autorizada para construcción de Obras Nuevas en la Región de O'Higgins</t>
  </si>
  <si>
    <t>superficie autorizada habitacional obras nuevas vivienda construcción región ohiggins</t>
  </si>
  <si>
    <t>https://analytics.zoho.com/open-view/2395394000008744885?ZOHO_CRITERIA=%22Consolidado_Estadisticas_Regionales_New%22.%22C%C3%B3digo%20regi%C3%B3n%22%20%3D%206</t>
  </si>
  <si>
    <t>Evolución de la Superficie de las solicitudes de edificación Habitacional autorizada para construcción de Obras Nuevas en la Región de Maule</t>
  </si>
  <si>
    <t>superficie autorizada habitacional obras nuevas vivienda construcción región maule</t>
  </si>
  <si>
    <t>https://analytics.zoho.com/open-view/2395394000008744885?ZOHO_CRITERIA=%22Consolidado_Estadisticas_Regionales_New%22.%22C%C3%B3digo%20regi%C3%B3n%22%20%3D%207</t>
  </si>
  <si>
    <t>Evolución de la Superficie de las solicitudes de edificación Habitacional autorizada para construcción de Obras Nuevas en la Región del Biobío</t>
  </si>
  <si>
    <t>superficie autorizada habitacional obras nuevas vivienda construcción región biobío</t>
  </si>
  <si>
    <t>https://analytics.zoho.com/open-view/2395394000008744885?ZOHO_CRITERIA=%22Consolidado_Estadisticas_Regionales_New%22.%22C%C3%B3digo%20regi%C3%B3n%22%20%3D%208</t>
  </si>
  <si>
    <t>Evolución de la Superficie de las solicitudes de edificación Habitacional autorizada para construcción de Obras Nuevas en la Región de La Araucanía</t>
  </si>
  <si>
    <t>superficie autorizada habitacional obras nuevas vivienda construcción región araucanía</t>
  </si>
  <si>
    <t>https://analytics.zoho.com/open-view/2395394000008744885?ZOHO_CRITERIA=%22Consolidado_Estadisticas_Regionales_New%22.%22C%C3%B3digo%20regi%C3%B3n%22%20%3D%209</t>
  </si>
  <si>
    <t>Evolución de la Superficie de las solicitudes de edificación Habitacional autorizada para construcción de Obras Nuevas en la Región de Los Lagos</t>
  </si>
  <si>
    <t>superficie autorizada habitacional obras nuevas vivienda construcción región los lagos</t>
  </si>
  <si>
    <t>https://analytics.zoho.com/open-view/2395394000008744885?ZOHO_CRITERIA=%22Consolidado_Estadisticas_Regionales_New%22.%22C%C3%B3digo%20regi%C3%B3n%22%20%3D%2010</t>
  </si>
  <si>
    <t>Evolución de la Superficie de las solicitudes de edificación Habitacional autorizada para construcción de Obras Nuevas en la Región de Aysén</t>
  </si>
  <si>
    <t>superficie autorizada habitacional obras nuevas vivienda construcción región aysén</t>
  </si>
  <si>
    <t>https://analytics.zoho.com/open-view/2395394000008744885?ZOHO_CRITERIA=%22Consolidado_Estadisticas_Regionales_New%22.%22C%C3%B3digo%20regi%C3%B3n%22%20%3D%2011</t>
  </si>
  <si>
    <t>Evolución de la Superficie de las solicitudes de edificación Habitacional autorizada para construcción de Obras Nuevas en la Región de Magallanes</t>
  </si>
  <si>
    <t>superficie autorizada habitacional obras nuevas vivienda construcción región magallanes</t>
  </si>
  <si>
    <t>https://analytics.zoho.com/open-view/2395394000008744885?ZOHO_CRITERIA=%22Consolidado_Estadisticas_Regionales_New%22.%22C%C3%B3digo%20regi%C3%B3n%22%20%3D%2012</t>
  </si>
  <si>
    <t>Evolución de la Superficie de las solicitudes de edificación Habitacional autorizada para construcción de Obras Nuevas en la Región Metropolitana</t>
  </si>
  <si>
    <t>superficie autorizada habitacional obras nuevas vivienda construcción región metropolitana</t>
  </si>
  <si>
    <t>https://analytics.zoho.com/open-view/2395394000008744885?ZOHO_CRITERIA=%22Consolidado_Estadisticas_Regionales_New%22.%22C%C3%B3digo%20regi%C3%B3n%22%20%3D%2013</t>
  </si>
  <si>
    <t>Evolución de la Superficie de las solicitudes de edificación Habitacional autorizada para construcción de Obras Nuevas en la Región de Los Ríos</t>
  </si>
  <si>
    <t>superficie autorizada habitacional obras nuevas vivienda construcción región los ríos</t>
  </si>
  <si>
    <t>https://analytics.zoho.com/open-view/2395394000008744885?ZOHO_CRITERIA=%22Consolidado_Estadisticas_Regionales_New%22.%22C%C3%B3digo%20regi%C3%B3n%22%20%3D%2014</t>
  </si>
  <si>
    <t>Evolución de la Superficie de las solicitudes de edificación Habitacional autorizada para construcción de Obras Nuevas en la Región de Arica y Parinacota</t>
  </si>
  <si>
    <t>superficie autorizada habitacional obras nuevas vivienda construcción región arica parinacota</t>
  </si>
  <si>
    <t>https://analytics.zoho.com/open-view/2395394000008744885?ZOHO_CRITERIA=%22Consolidado_Estadisticas_Regionales_New%22.%22C%C3%B3digo%20regi%C3%B3n%22%20%3D%2015</t>
  </si>
  <si>
    <t>Evolución de la Superficie de las solicitudes de edificación Habitacional autorizada para construcción de Obras Nuevas en la Región de Ñuble</t>
  </si>
  <si>
    <t>superficie autorizada habitacional obras nuevas vivienda construcción región ñuble</t>
  </si>
  <si>
    <t>https://analytics.zoho.com/open-view/2395394000008744885?ZOHO_CRITERIA=%22Consolidado_Estadisticas_Regionales_New%22.%22C%C3%B3digo%20regi%C3%B3n%22%20%3D%2016</t>
  </si>
  <si>
    <t>Viviendas Autorizadas</t>
  </si>
  <si>
    <t>Número de viviendas autorizadas</t>
  </si>
  <si>
    <t>Evolución Mensual del Número de Viviendas Autorizadas para Construcción a Escala Nacional</t>
  </si>
  <si>
    <t>En el período indicado, la mayor cantidad de viviendas autorizadas a nivel país en un mes se registró en diciembre de 2015, con un total de 2.337 viviendas. Por el contrario, el número más bajo se dio en julio de 2020, con 423 viviendas. El promedio de autorizaciones en este período es de 886.</t>
  </si>
  <si>
    <t>cantidad viviendas autorizadas vivienda nacional chile</t>
  </si>
  <si>
    <t>https://analytics.zoho.com/open-view/2395394000008745083</t>
  </si>
  <si>
    <t>Evolución Mensual del Número de Viviendas Autorizadas para Construcción en la Región de Tarapacá</t>
  </si>
  <si>
    <t>cantidad viviendas autorizadas vivienda región tarapacá</t>
  </si>
  <si>
    <t>https://analytics.zoho.com/open-view/2395394000008745260?ZOHO_CRITERIA=%22Consolidado_Estadisticas_Regionales_New%22.%22C%C3%B3digo%20regi%C3%B3n%22%20%3D%201</t>
  </si>
  <si>
    <t>Evolución Mensual del Número de Viviendas Autorizadas para Construcción en la Región de Antofagasta</t>
  </si>
  <si>
    <t>cantidad viviendas autorizadas vivienda región antofagasta</t>
  </si>
  <si>
    <t>https://analytics.zoho.com/open-view/2395394000008745260?ZOHO_CRITERIA=%22Consolidado_Estadisticas_Regionales_New%22.%22C%C3%B3digo%20regi%C3%B3n%22%20%3D%202</t>
  </si>
  <si>
    <t>Evolución Mensual del Número de Viviendas Autorizadas para Construcción en la Región de Atacama</t>
  </si>
  <si>
    <t>cantidad viviendas autorizadas vivienda región atacama</t>
  </si>
  <si>
    <t>https://analytics.zoho.com/open-view/2395394000008745260?ZOHO_CRITERIA=%22Consolidado_Estadisticas_Regionales_New%22.%22C%C3%B3digo%20regi%C3%B3n%22%20%3D%203</t>
  </si>
  <si>
    <t>Evolución Mensual del Número de Viviendas Autorizadas para Construcción en la Región de Coquimbo</t>
  </si>
  <si>
    <t>cantidad viviendas autorizadas vivienda región coquimbo</t>
  </si>
  <si>
    <t>https://analytics.zoho.com/open-view/2395394000008745260?ZOHO_CRITERIA=%22Consolidado_Estadisticas_Regionales_New%22.%22C%C3%B3digo%20regi%C3%B3n%22%20%3D%204</t>
  </si>
  <si>
    <t>Evolución Mensual del Número de Viviendas Autorizadas para Construcción en la Región de Valparaíso</t>
  </si>
  <si>
    <t>cantidad viviendas autorizadas vivienda región valparaíso</t>
  </si>
  <si>
    <t>https://analytics.zoho.com/open-view/2395394000008745260?ZOHO_CRITERIA=%22Consolidado_Estadisticas_Regionales_New%22.%22C%C3%B3digo%20regi%C3%B3n%22%20%3D%205</t>
  </si>
  <si>
    <t>Evolución Mensual del Número de Viviendas Autorizadas para Construcción en la Región de O'Higgins</t>
  </si>
  <si>
    <t>cantidad viviendas autorizadas vivienda región ohiggins</t>
  </si>
  <si>
    <t>https://analytics.zoho.com/open-view/2395394000008745260?ZOHO_CRITERIA=%22Consolidado_Estadisticas_Regionales_New%22.%22C%C3%B3digo%20regi%C3%B3n%22%20%3D%206</t>
  </si>
  <si>
    <t>Evolución Mensual del Número de Viviendas Autorizadas para Construcción en la Región de Maule</t>
  </si>
  <si>
    <t>cantidad viviendas autorizadas vivienda región maule</t>
  </si>
  <si>
    <t>https://analytics.zoho.com/open-view/2395394000008745260?ZOHO_CRITERIA=%22Consolidado_Estadisticas_Regionales_New%22.%22C%C3%B3digo%20regi%C3%B3n%22%20%3D%207</t>
  </si>
  <si>
    <t>Evolución Mensual del Número de Viviendas Autorizadas para Construcción en la Región del Biobío</t>
  </si>
  <si>
    <t>cantidad viviendas autorizadas vivienda región biobío</t>
  </si>
  <si>
    <t>https://analytics.zoho.com/open-view/2395394000008745260?ZOHO_CRITERIA=%22Consolidado_Estadisticas_Regionales_New%22.%22C%C3%B3digo%20regi%C3%B3n%22%20%3D%208</t>
  </si>
  <si>
    <t>Evolución Mensual del Número de Viviendas Autorizadas para Construcción en la Región de La Araucanía</t>
  </si>
  <si>
    <t>cantidad viviendas autorizadas vivienda región araucanía</t>
  </si>
  <si>
    <t>https://analytics.zoho.com/open-view/2395394000008745260?ZOHO_CRITERIA=%22Consolidado_Estadisticas_Regionales_New%22.%22C%C3%B3digo%20regi%C3%B3n%22%20%3D%209</t>
  </si>
  <si>
    <t>Evolución Mensual del Número de Viviendas Autorizadas para Construcción en la Región de Los Lagos</t>
  </si>
  <si>
    <t>cantidad viviendas autorizadas vivienda región los lagos</t>
  </si>
  <si>
    <t>https://analytics.zoho.com/open-view/2395394000008745260?ZOHO_CRITERIA=%22Consolidado_Estadisticas_Regionales_New%22.%22C%C3%B3digo%20regi%C3%B3n%22%20%3D%2010</t>
  </si>
  <si>
    <t>Evolución Mensual del Número de Viviendas Autorizadas para Construcción en la Región de Aysén</t>
  </si>
  <si>
    <t>cantidad viviendas autorizadas vivienda región aysén</t>
  </si>
  <si>
    <t>https://analytics.zoho.com/open-view/2395394000008745260?ZOHO_CRITERIA=%22Consolidado_Estadisticas_Regionales_New%22.%22C%C3%B3digo%20regi%C3%B3n%22%20%3D%2011</t>
  </si>
  <si>
    <t>Evolución Mensual del Número de Viviendas Autorizadas para Construcción en la Región de Magallanes</t>
  </si>
  <si>
    <t>cantidad viviendas autorizadas vivienda región magallanes</t>
  </si>
  <si>
    <t>https://analytics.zoho.com/open-view/2395394000008745260?ZOHO_CRITERIA=%22Consolidado_Estadisticas_Regionales_New%22.%22C%C3%B3digo%20regi%C3%B3n%22%20%3D%2012</t>
  </si>
  <si>
    <t>Evolución Mensual del Número de Viviendas Autorizadas para Construcción en la Región Metropolitana</t>
  </si>
  <si>
    <t>cantidad viviendas autorizadas vivienda región metropolitana</t>
  </si>
  <si>
    <t>https://analytics.zoho.com/open-view/2395394000008745260?ZOHO_CRITERIA=%22Consolidado_Estadisticas_Regionales_New%22.%22C%C3%B3digo%20regi%C3%B3n%22%20%3D%2013</t>
  </si>
  <si>
    <t>Evolución Mensual del Número de Viviendas Autorizadas para Construcción en la Región de Los Ríos</t>
  </si>
  <si>
    <t>cantidad viviendas autorizadas vivienda región los ríos</t>
  </si>
  <si>
    <t>https://analytics.zoho.com/open-view/2395394000008745260?ZOHO_CRITERIA=%22Consolidado_Estadisticas_Regionales_New%22.%22C%C3%B3digo%20regi%C3%B3n%22%20%3D%2014</t>
  </si>
  <si>
    <t>Evolución Mensual del Número de Viviendas Autorizadas para Construcción en la Región de Arica y Parinacota</t>
  </si>
  <si>
    <t>cantidad viviendas autorizadas vivienda región arica parinacota</t>
  </si>
  <si>
    <t>https://analytics.zoho.com/open-view/2395394000008745260?ZOHO_CRITERIA=%22Consolidado_Estadisticas_Regionales_New%22.%22C%C3%B3digo%20regi%C3%B3n%22%20%3D%2015</t>
  </si>
  <si>
    <t>Evolución Mensual del Número de Viviendas Autorizadas para Construcción en la Región de Ñuble</t>
  </si>
  <si>
    <t>cantidad viviendas autorizadas vivienda región ñuble</t>
  </si>
  <si>
    <t>https://analytics.zoho.com/open-view/2395394000008745260?ZOHO_CRITERIA=%22Consolidado_Estadisticas_Regionales_New%22.%22C%C3%B3digo%20regi%C3%B3n%22%20%3D%2016</t>
  </si>
  <si>
    <t>Superficie Autorizada No Habitacional (Ampliaciones ICEF)</t>
  </si>
  <si>
    <t>Superficie Autorizada No Habitacional de Ampliaciones ICEF</t>
  </si>
  <si>
    <t>Evolución de la Superficie de las solicitudes de edificación No Habitacional autorizada para construcción de Ampliaciones de la industria, comercio y establecimientos financieros (ICEF) a Escala Nacional</t>
  </si>
  <si>
    <t>En los primeros 5 meses del año 2021, la superficie autorizada no habitacional para la construcción de ampliaciones de la industria, comercio y establecimientos financieros tuvo un peak de 6.027 (m2) autorizados, correspondientes al mes de mayo. Para ese período, el promedio de superficie autorizada es de 4.070 (m2).</t>
  </si>
  <si>
    <t>superficie habitacional no autorizada ampliaciones icef industria comercio establecimientos financieros construcción nacional chile</t>
  </si>
  <si>
    <t>https://analytics.zoho.com/open-view/2395394000008745431</t>
  </si>
  <si>
    <t>Evolución de la Superficie de las solicitudes de edificación No Habitacional autorizada para construcción de Ampliaciones de la industria, comercio y establecimientos financieros (ICEF) en la Región de Tarapacá</t>
  </si>
  <si>
    <t>superficie habitacional no autorizada ampliaciones icef industria comercio establecimientos financieros construcción región tarapacá</t>
  </si>
  <si>
    <t>https://analytics.zoho.com/open-view/2395394000008745666?ZOHO_CRITERIA=%22Consolidado_Estadisticas_Regionales_New%22.%22C%C3%B3digo%20regi%C3%B3n%22%20%3D%201</t>
  </si>
  <si>
    <t>Evolución de la Superficie de las solicitudes de edificación No Habitacional autorizada para construcción de Ampliaciones de la industria, comercio y establecimientos financieros (ICEF) en la Región de Antofagasta</t>
  </si>
  <si>
    <t>superficie habitacional no autorizada ampliaciones icef industria comercio establecimientos financieros construcción región antofagasta</t>
  </si>
  <si>
    <t>https://analytics.zoho.com/open-view/2395394000008745666?ZOHO_CRITERIA=%22Consolidado_Estadisticas_Regionales_New%22.%22C%C3%B3digo%20regi%C3%B3n%22%20%3D%202</t>
  </si>
  <si>
    <t>Evolución de la Superficie de las solicitudes de edificación No Habitacional autorizada para construcción de Ampliaciones de la industria, comercio y establecimientos financieros (ICEF) en la Región de Atacama</t>
  </si>
  <si>
    <t>superficie habitacional no autorizada ampliaciones icef industria comercio establecimientos financieros construcción región atacama</t>
  </si>
  <si>
    <t>https://analytics.zoho.com/open-view/2395394000008745666?ZOHO_CRITERIA=%22Consolidado_Estadisticas_Regionales_New%22.%22C%C3%B3digo%20regi%C3%B3n%22%20%3D%203</t>
  </si>
  <si>
    <t>Evolución de la Superficie de las solicitudes de edificación No Habitacional autorizada para construcción de Ampliaciones de la industria, comercio y establecimientos financieros (ICEF) en la Región de Coquimbo</t>
  </si>
  <si>
    <t>superficie habitacional no autorizada ampliaciones icef industria comercio establecimientos financieros construcción región coquimbo</t>
  </si>
  <si>
    <t>https://analytics.zoho.com/open-view/2395394000008745666?ZOHO_CRITERIA=%22Consolidado_Estadisticas_Regionales_New%22.%22C%C3%B3digo%20regi%C3%B3n%22%20%3D%204</t>
  </si>
  <si>
    <t>Evolución de la Superficie de las solicitudes de edificación No Habitacional autorizada para construcción de Ampliaciones de la industria, comercio y establecimientos financieros (ICEF) en la Región de Valparaíso</t>
  </si>
  <si>
    <t>superficie habitacional no autorizada ampliaciones icef industria comercio establecimientos financieros construcción región valparaíso</t>
  </si>
  <si>
    <t>https://analytics.zoho.com/open-view/2395394000008745666?ZOHO_CRITERIA=%22Consolidado_Estadisticas_Regionales_New%22.%22C%C3%B3digo%20regi%C3%B3n%22%20%3D%205</t>
  </si>
  <si>
    <t>Evolución de la Superficie de las solicitudes de edificación No Habitacional autorizada para construcción de Ampliaciones de la industria, comercio y establecimientos financieros (ICEF) en la Región de O'Higgins</t>
  </si>
  <si>
    <t>superficie habitacional no autorizada ampliaciones icef industria comercio establecimientos financieros construcción región ohiggins</t>
  </si>
  <si>
    <t>https://analytics.zoho.com/open-view/2395394000008745666?ZOHO_CRITERIA=%22Consolidado_Estadisticas_Regionales_New%22.%22C%C3%B3digo%20regi%C3%B3n%22%20%3D%206</t>
  </si>
  <si>
    <t>Evolución de la Superficie de las solicitudes de edificación No Habitacional autorizada para construcción de Ampliaciones de la industria, comercio y establecimientos financieros (ICEF) en la Región de Maule</t>
  </si>
  <si>
    <t>superficie habitacional no autorizada ampliaciones icef industria comercio establecimientos financieros construcción región maule</t>
  </si>
  <si>
    <t>https://analytics.zoho.com/open-view/2395394000008745666?ZOHO_CRITERIA=%22Consolidado_Estadisticas_Regionales_New%22.%22C%C3%B3digo%20regi%C3%B3n%22%20%3D%207</t>
  </si>
  <si>
    <t>Evolución de la Superficie de las solicitudes de edificación No Habitacional autorizada para construcción de Ampliaciones de la industria, comercio y establecimientos financieros (ICEF) en la Región del Biobío</t>
  </si>
  <si>
    <t>superficie habitacional no autorizada ampliaciones icef industria comercio establecimientos financieros construcción región biobío</t>
  </si>
  <si>
    <t>https://analytics.zoho.com/open-view/2395394000008745666?ZOHO_CRITERIA=%22Consolidado_Estadisticas_Regionales_New%22.%22C%C3%B3digo%20regi%C3%B3n%22%20%3D%208</t>
  </si>
  <si>
    <t>Evolución de la Superficie de las solicitudes de edificación No Habitacional autorizada para construcción de Ampliaciones de la industria, comercio y establecimientos financieros (ICEF) en la Región de La Araucanía</t>
  </si>
  <si>
    <t>superficie habitacional no autorizada ampliaciones icef industria comercio establecimientos financieros construcción región araucanía</t>
  </si>
  <si>
    <t>https://analytics.zoho.com/open-view/2395394000008745666?ZOHO_CRITERIA=%22Consolidado_Estadisticas_Regionales_New%22.%22C%C3%B3digo%20regi%C3%B3n%22%20%3D%209</t>
  </si>
  <si>
    <t>Evolución de la Superficie de las solicitudes de edificación No Habitacional autorizada para construcción de Ampliaciones de la industria, comercio y establecimientos financieros (ICEF) en la Región de Los Lagos</t>
  </si>
  <si>
    <t>superficie habitacional no autorizada ampliaciones icef industria comercio establecimientos financieros construcción región los lagos</t>
  </si>
  <si>
    <t>https://analytics.zoho.com/open-view/2395394000008745666?ZOHO_CRITERIA=%22Consolidado_Estadisticas_Regionales_New%22.%22C%C3%B3digo%20regi%C3%B3n%22%20%3D%2010</t>
  </si>
  <si>
    <t>Evolución de la Superficie de las solicitudes de edificación No Habitacional autorizada para construcción de Ampliaciones de la industria, comercio y establecimientos financieros (ICEF) en la Región de Aysén</t>
  </si>
  <si>
    <t>superficie habitacional no autorizada ampliaciones icef industria comercio establecimientos financieros construcción región aysén</t>
  </si>
  <si>
    <t>https://analytics.zoho.com/open-view/2395394000008745666?ZOHO_CRITERIA=%22Consolidado_Estadisticas_Regionales_New%22.%22C%C3%B3digo%20regi%C3%B3n%22%20%3D%2011</t>
  </si>
  <si>
    <t>Evolución de la Superficie de las solicitudes de edificación No Habitacional autorizada para construcción de Ampliaciones de la industria, comercio y establecimientos financieros (ICEF) en la Región de Magallanes</t>
  </si>
  <si>
    <t>superficie habitacional no autorizada ampliaciones icef industria comercio establecimientos financieros construcción región magallanes</t>
  </si>
  <si>
    <t>https://analytics.zoho.com/open-view/2395394000008745666?ZOHO_CRITERIA=%22Consolidado_Estadisticas_Regionales_New%22.%22C%C3%B3digo%20regi%C3%B3n%22%20%3D%2012</t>
  </si>
  <si>
    <t>Evolución de la Superficie de las solicitudes de edificación No Habitacional autorizada para construcción de Ampliaciones de la industria, comercio y establecimientos financieros (ICEF) en la Región Metropolitana</t>
  </si>
  <si>
    <t>superficie habitacional no autorizada ampliaciones icef industria comercio establecimientos financieros construcción región metropolitana</t>
  </si>
  <si>
    <t>https://analytics.zoho.com/open-view/2395394000008745666?ZOHO_CRITERIA=%22Consolidado_Estadisticas_Regionales_New%22.%22C%C3%B3digo%20regi%C3%B3n%22%20%3D%2013</t>
  </si>
  <si>
    <t>Evolución de la Superficie de las solicitudes de edificación No Habitacional autorizada para construcción de Ampliaciones de la industria, comercio y establecimientos financieros (ICEF) en la Región de Los Ríos</t>
  </si>
  <si>
    <t>superficie habitacional no autorizada ampliaciones icef industria comercio establecimientos financieros construcción región los ríos</t>
  </si>
  <si>
    <t>https://analytics.zoho.com/open-view/2395394000008745666?ZOHO_CRITERIA=%22Consolidado_Estadisticas_Regionales_New%22.%22C%C3%B3digo%20regi%C3%B3n%22%20%3D%2014</t>
  </si>
  <si>
    <t>Evolución de la Superficie de las solicitudes de edificación No Habitacional autorizada para construcción de Ampliaciones de la industria, comercio y establecimientos financieros (ICEF) en la Región de Arica y Parinacota</t>
  </si>
  <si>
    <t>superficie habitacional no autorizada ampliaciones icef industria comercio establecimientos financieros construcción región arica parinacota</t>
  </si>
  <si>
    <t>https://analytics.zoho.com/open-view/2395394000008745666?ZOHO_CRITERIA=%22Consolidado_Estadisticas_Regionales_New%22.%22C%C3%B3digo%20regi%C3%B3n%22%20%3D%2015</t>
  </si>
  <si>
    <t>Evolución de la Superficie de las solicitudes de edificación No Habitacional autorizada para construcción de Ampliaciones de la industria, comercio y establecimientos financieros (ICEF) en la Región de Ñuble</t>
  </si>
  <si>
    <t>superficie habitacional no autorizada ampliaciones icef industria comercio establecimientos financieros construcción región ñuble</t>
  </si>
  <si>
    <t>https://analytics.zoho.com/open-view/2395394000008745666?ZOHO_CRITERIA=%22Consolidado_Estadisticas_Regionales_New%22.%22C%C3%B3digo%20regi%C3%B3n%22%20%3D%2016</t>
  </si>
  <si>
    <t>Variación de Frecuencia de Casos Policiales de Robo con Violencia o Intimidación</t>
  </si>
  <si>
    <t>Variación de Frecuencia de Casos Policiales entre 2019 y 2020 de Robo con Violencia o Intimidación</t>
  </si>
  <si>
    <t>Las comunas en las que los casos policiales de robo con violencia o intimidación aumentaron en más de un 100% entre los años 2019 y 2020 fueron 7: Lonquimay (300%), Pelarco (250%), San Rafael (200%), Estrella (150%), Coinco (140%), Longaví (136%) y Ránquil (133%).</t>
  </si>
  <si>
    <t>social variación frecuencia casos policiales robo violencia intimidación delitos nacional chile</t>
  </si>
  <si>
    <t>https://analytics.zoho.com/open-view/2395394000008449873</t>
  </si>
  <si>
    <t>Variación de Frecuencia de Casos Policiales entre 2019 y 2020 de Robo con Violencia o Intimidación en la Región de Tarapacá</t>
  </si>
  <si>
    <t>social variación frecuencia casos policiales robo violencia intimidación delitos región tarapacá</t>
  </si>
  <si>
    <t>https://analytics.zoho.com/open-view/2395394000008456438?ZOHO_CRITERIA=%22Localiza%20Chile%22.%22Codreg%22%3D1</t>
  </si>
  <si>
    <t>Variación de Frecuencia de Casos Policiales entre 2019 y 2020 de Robo con Violencia o Intimidación en la Región de Antofagasta</t>
  </si>
  <si>
    <t>social variación frecuencia casos policiales robo violencia intimidación delitos región antofagasta</t>
  </si>
  <si>
    <t>https://analytics.zoho.com/open-view/2395394000008456438?ZOHO_CRITERIA=%22Localiza%20Chile%22.%22Codreg%22%3D2</t>
  </si>
  <si>
    <t>Variación de Frecuencia de Casos Policiales entre 2019 y 2020 de Robo con Violencia o Intimidación en la Región de Atacama</t>
  </si>
  <si>
    <t>social variación frecuencia casos policiales robo violencia intimidación delitos región atacama</t>
  </si>
  <si>
    <t>https://analytics.zoho.com/open-view/2395394000008456438?ZOHO_CRITERIA=%22Localiza%20Chile%22.%22Codreg%22%3D3</t>
  </si>
  <si>
    <t>Variación de Frecuencia de Casos Policiales entre 2019 y 2020 de Robo con Violencia o Intimidación en la Región de Coquimbo</t>
  </si>
  <si>
    <t>social variación frecuencia casos policiales robo violencia intimidación delitos región coquimbo</t>
  </si>
  <si>
    <t>https://analytics.zoho.com/open-view/2395394000008456438?ZOHO_CRITERIA=%22Localiza%20Chile%22.%22Codreg%22%3D4</t>
  </si>
  <si>
    <t>Variación de Frecuencia de Casos Policiales entre 2019 y 2020 de Robo con Violencia o Intimidación en la Región de Valparaíso</t>
  </si>
  <si>
    <t>social variación frecuencia casos policiales robo violencia intimidación delitos región valparaíso</t>
  </si>
  <si>
    <t>https://analytics.zoho.com/open-view/2395394000008456438?ZOHO_CRITERIA=%22Localiza%20Chile%22.%22Codreg%22%3D5</t>
  </si>
  <si>
    <t>Variación de Frecuencia de Casos Policiales entre 2019 y 2020 de Robo con Violencia o Intimidación en la Región de O'Higgins</t>
  </si>
  <si>
    <t>social variación frecuencia casos policiales robo violencia intimidación delitos región ohiggins</t>
  </si>
  <si>
    <t>https://analytics.zoho.com/open-view/2395394000008456438?ZOHO_CRITERIA=%22Localiza%20Chile%22.%22Codreg%22%3D6</t>
  </si>
  <si>
    <t>Variación de Frecuencia de Casos Policiales entre 2019 y 2020 de Robo con Violencia o Intimidación en la Región de Maule</t>
  </si>
  <si>
    <t>social variación frecuencia casos policiales robo violencia intimidación delitos región maule</t>
  </si>
  <si>
    <t>https://analytics.zoho.com/open-view/2395394000008456438?ZOHO_CRITERIA=%22Localiza%20Chile%22.%22Codreg%22%3D7</t>
  </si>
  <si>
    <t>Variación de Frecuencia de Casos Policiales entre 2019 y 2020 de Robo con Violencia o Intimidación en la Región del Biobío</t>
  </si>
  <si>
    <t>social variación frecuencia casos policiales robo violencia intimidación delitos región biobío</t>
  </si>
  <si>
    <t>https://analytics.zoho.com/open-view/2395394000008456438?ZOHO_CRITERIA=%22Localiza%20Chile%22.%22Codreg%22%3D8</t>
  </si>
  <si>
    <t>Variación de Frecuencia de Casos Policiales entre 2019 y 2020 de Robo con Violencia o Intimidación en la Región de La Araucanía</t>
  </si>
  <si>
    <t>social variación frecuencia casos policiales robo violencia intimidación delitos región araucanía</t>
  </si>
  <si>
    <t>https://analytics.zoho.com/open-view/2395394000008456438?ZOHO_CRITERIA=%22Localiza%20Chile%22.%22Codreg%22%3D9</t>
  </si>
  <si>
    <t>Variación de Frecuencia de Casos Policiales entre 2019 y 2020 de Robo con Violencia o Intimidación en la Región de Los Lagos</t>
  </si>
  <si>
    <t>social variación frecuencia casos policiales robo violencia intimidación delitos región los lagos</t>
  </si>
  <si>
    <t>https://analytics.zoho.com/open-view/2395394000008456438?ZOHO_CRITERIA=%22Localiza%20Chile%22.%22Codreg%22%3D10</t>
  </si>
  <si>
    <t>Variación de Frecuencia de Casos Policiales entre 2019 y 2020 de Robo con Violencia o Intimidación en la Región de Aysén</t>
  </si>
  <si>
    <t>social variación frecuencia casos policiales robo violencia intimidación delitos región aysén</t>
  </si>
  <si>
    <t>https://analytics.zoho.com/open-view/2395394000008456438?ZOHO_CRITERIA=%22Localiza%20Chile%22.%22Codreg%22%3D11</t>
  </si>
  <si>
    <t>Variación de Frecuencia de Casos Policiales entre 2019 y 2020 de Robo con Violencia o Intimidación en la Región de Magallanes</t>
  </si>
  <si>
    <t>social variación frecuencia casos policiales robo violencia intimidación delitos región magallanes</t>
  </si>
  <si>
    <t>https://analytics.zoho.com/open-view/2395394000008456438?ZOHO_CRITERIA=%22Localiza%20Chile%22.%22Codreg%22%3D12</t>
  </si>
  <si>
    <t>Variación de Frecuencia de Casos Policiales entre 2019 y 2020 de Robo con Violencia o Intimidación en la Región Metropolitana</t>
  </si>
  <si>
    <t>social variación frecuencia casos policiales robo violencia intimidación delitos región metropolitana</t>
  </si>
  <si>
    <t>https://analytics.zoho.com/open-view/2395394000008456438?ZOHO_CRITERIA=%22Localiza%20Chile%22.%22Codreg%22%3D13</t>
  </si>
  <si>
    <t>Variación de Frecuencia de Casos Policiales entre 2019 y 2020 de Robo con Violencia o Intimidación en la Región de Los Ríos</t>
  </si>
  <si>
    <t>social variación frecuencia casos policiales robo violencia intimidación delitos región los ríos</t>
  </si>
  <si>
    <t>https://analytics.zoho.com/open-view/2395394000008456438?ZOHO_CRITERIA=%22Localiza%20Chile%22.%22Codreg%22%3D14</t>
  </si>
  <si>
    <t>Variación de Frecuencia de Casos Policiales entre 2019 y 2020 de Robo con Violencia o Intimidación en la Región de Arica y Parinacota</t>
  </si>
  <si>
    <t>social variación frecuencia casos policiales robo violencia intimidación delitos región arica parinacota</t>
  </si>
  <si>
    <t>https://analytics.zoho.com/open-view/2395394000008456438?ZOHO_CRITERIA=%22Localiza%20Chile%22.%22Codreg%22%3D15</t>
  </si>
  <si>
    <t>Variación de Frecuencia de Casos Policiales entre 2019 y 2020 de Robo con Violencia o Intimidación en la Región de Ñuble</t>
  </si>
  <si>
    <t>social variación frecuencia casos policiales robo violencia intimidación delitos región ñuble</t>
  </si>
  <si>
    <t>https://analytics.zoho.com/open-view/2395394000008456438?ZOHO_CRITERIA=%22Localiza%20Chile%22.%22Codreg%22%3D16</t>
  </si>
  <si>
    <t>Variación de Frecuencia de Casos Policiales de Homicidio</t>
  </si>
  <si>
    <t>Variación de Frecuencia de Casos Policiales entre 2019 y 2020 de Homicidios</t>
  </si>
  <si>
    <t>Las comunas en las que los casos policiales de homicidio aumentaron en más de un 100% entre los años 2019 y 2020 fueron 10: Constitución (300%), Macul (300%), Peñaflor (200%), Hualpén (200%), Licantén (200%), Longaví (200%), Valparaíso (200%), La Serena (133%), Los Ángeles (133%) y La Cisterna (133%).</t>
  </si>
  <si>
    <t>social variación frecuencia casos policiales homicidio delitos nacional chile</t>
  </si>
  <si>
    <t>https://analytics.zoho.com/open-view/2395394000008456616</t>
  </si>
  <si>
    <t>Variación de Frecuencia de Casos Policiales entre 2019 y 2020 de Homicidios en la Región de Tarapacá</t>
  </si>
  <si>
    <t>https://analytics.zoho.com/open-view/2395394000008457225?ZOHO_CRITERIA=%22Frecuencia%20Final%20Fecha%22.%22cod_region%22%3D1</t>
  </si>
  <si>
    <t>Variación de Frecuencia de Casos Policiales entre 2019 y 2020 de Homicidios en la Región de Antofagasta</t>
  </si>
  <si>
    <t>https://analytics.zoho.com/open-view/2395394000008457225?ZOHO_CRITERIA=%22Frecuencia%20Final%20Fecha%22.%22cod_region%22%3D2</t>
  </si>
  <si>
    <t>Variación de Frecuencia de Casos Policiales entre 2019 y 2020 de Homicidios en la Región de Atacama</t>
  </si>
  <si>
    <t>https://analytics.zoho.com/open-view/2395394000008457225?ZOHO_CRITERIA=%22Frecuencia%20Final%20Fecha%22.%22cod_region%22%3D3</t>
  </si>
  <si>
    <t>Variación de Frecuencia de Casos Policiales entre 2019 y 2020 de Homicidios en la Región de Coquimbo</t>
  </si>
  <si>
    <t>https://analytics.zoho.com/open-view/2395394000008457225?ZOHO_CRITERIA=%22Frecuencia%20Final%20Fecha%22.%22cod_region%22%3D4</t>
  </si>
  <si>
    <t>Variación de Frecuencia de Casos Policiales entre 2019 y 2020 de Homicidios en la Región de Valparaíso</t>
  </si>
  <si>
    <t>https://analytics.zoho.com/open-view/2395394000008457225?ZOHO_CRITERIA=%22Frecuencia%20Final%20Fecha%22.%22cod_region%22%3D5</t>
  </si>
  <si>
    <t>Variación de Frecuencia de Casos Policiales entre 2019 y 2020 de Homicidios en la Región de O'Higgins</t>
  </si>
  <si>
    <t>social variación frecuencia casos policiales robo violencia intimidación delitos región o'higgins</t>
  </si>
  <si>
    <t>https://analytics.zoho.com/open-view/2395394000008457225?ZOHO_CRITERIA=%22Frecuencia%20Final%20Fecha%22.%22cod_region%22%3D6</t>
  </si>
  <si>
    <t>Variación de Frecuencia de Casos Policiales entre 2019 y 2020 de Homicidios en la Región de Maule</t>
  </si>
  <si>
    <t>https://analytics.zoho.com/open-view/2395394000008457225?ZOHO_CRITERIA=%22Frecuencia%20Final%20Fecha%22.%22cod_region%22%3D7</t>
  </si>
  <si>
    <t>Variación de Frecuencia de Casos Policiales entre 2019 y 2020 de Homicidios en la Región del Biobío</t>
  </si>
  <si>
    <t>social variación frecuencia casos policiales robo violencia intimidación dellitos región biobío</t>
  </si>
  <si>
    <t>https://analytics.zoho.com/open-view/2395394000008457225?ZOHO_CRITERIA=%22Frecuencia%20Final%20Fecha%22.%22cod_region%22%3D8</t>
  </si>
  <si>
    <t>Variación de Frecuencia de Casos Policiales entre 2019 y 2020 de Homicidios en la Región de La Araucanía</t>
  </si>
  <si>
    <t>social variación frecuencia casos policiales robo violencia intimidación Lalitos región araucanía</t>
  </si>
  <si>
    <t>https://analytics.zoho.com/open-view/2395394000008457225?ZOHO_CRITERIA=%22Frecuencia%20Final%20Fecha%22.%22cod_region%22%3D9</t>
  </si>
  <si>
    <t>Variación de Frecuencia de Casos Policiales entre 2019 y 2020 de Homicidios en la Región de Los Lagos</t>
  </si>
  <si>
    <t>social variación frecuencia casos policiales robo violencia intimidación Loslitos región lagos</t>
  </si>
  <si>
    <t>https://analytics.zoho.com/open-view/2395394000008457225?ZOHO_CRITERIA=%22Frecuencia%20Final%20Fecha%22.%22cod_region%22%3D10</t>
  </si>
  <si>
    <t>Variación de Frecuencia de Casos Policiales entre 2019 y 2020 de Homicidios en la Región de Aysén</t>
  </si>
  <si>
    <t>https://analytics.zoho.com/open-view/2395394000008457225?ZOHO_CRITERIA=%22Frecuencia%20Final%20Fecha%22.%22cod_region%22%3D11</t>
  </si>
  <si>
    <t>Variación de Frecuencia de Casos Policiales entre 2019 y 2020 de Homicidios en la Región de Magallanes</t>
  </si>
  <si>
    <t>https://analytics.zoho.com/open-view/2395394000008457225?ZOHO_CRITERIA=%22Frecuencia%20Final%20Fecha%22.%22cod_region%22%3D12</t>
  </si>
  <si>
    <t>Variación de Frecuencia de Casos Policiales entre 2019 y 2020 de Homicidios en la Región Metropolitana</t>
  </si>
  <si>
    <t>social variación frecuencia casos policiales robo violencia intimidación Regiónlitos región metropolitana</t>
  </si>
  <si>
    <t>https://analytics.zoho.com/open-view/2395394000008457225?ZOHO_CRITERIA=%22Frecuencia%20Final%20Fecha%22.%22cod_region%22%3D13</t>
  </si>
  <si>
    <t>Variación de Frecuencia de Casos Policiales entre 2019 y 2020 de Homicidios en la Región de Los Ríos</t>
  </si>
  <si>
    <t>social variación frecuencia casos policiales robo violencia intimidación Loslitos región ríos</t>
  </si>
  <si>
    <t>https://analytics.zoho.com/open-view/2395394000008457225?ZOHO_CRITERIA=%22Frecuencia%20Final%20Fecha%22.%22cod_region%22%3D14</t>
  </si>
  <si>
    <t>Variación de Frecuencia de Casos Policiales entre 2019 y 2020 de Homicidios en la Región de Arica y Parinacota</t>
  </si>
  <si>
    <t>social variación frecuencia casos policiales robo violencia intimidación ylitos región parinacota</t>
  </si>
  <si>
    <t>https://analytics.zoho.com/open-view/2395394000008457225?ZOHO_CRITERIA=%22Frecuencia%20Final%20Fecha%22.%22cod_region%22%3D15</t>
  </si>
  <si>
    <t>Variación de Frecuencia de Casos Policiales entre 2019 y 2020 de Homicidios en la Región de Ñuble</t>
  </si>
  <si>
    <t>https://analytics.zoho.com/open-view/2395394000008457225?ZOHO_CRITERIA=%22Frecuencia%20Final%20Fecha%22.%22cod_region%22%3D16</t>
  </si>
  <si>
    <t>Relación entre Detenciones y Denuncias para Delitos de Homicidio y Violación</t>
  </si>
  <si>
    <t>Relación entre Detenciones y Denuncias (%) para Delitos de Homicidio y Violación</t>
  </si>
  <si>
    <t>A nivel nacional, la relación porcentual entre detenciones y denuncias para delitos de homicidio bajó de 97,9% a 70% entre 2008 y 2020. Asimismo, la relación porcentual para delitos de violación disminuyó de 13,9% a 11,9% entre los mismos años.</t>
  </si>
  <si>
    <t>social relación detenciones denuncias delitos homicidio violación nacional chile</t>
  </si>
  <si>
    <t>https://analytics.zoho.com/open-view/2395394000008443177</t>
  </si>
  <si>
    <t>Relación entre Detenciones y Denuncias (%) para Delitos de Homicidio y Violación en la Región de Tarapacá</t>
  </si>
  <si>
    <t>https://analytics.zoho.com/open-view/2395394000008467312?ZOHO_CRITERIA=%22Localiza%20Chile%22.%22Codreg%22%3D1</t>
  </si>
  <si>
    <t>Relación entre Detenciones y Denuncias (%) para Delitos de Homicidio y Violación en la Región de Antofagasta</t>
  </si>
  <si>
    <t>https://analytics.zoho.com/open-view/2395394000008467312?ZOHO_CRITERIA=%22Localiza%20Chile%22.%22Codreg%22%3D2</t>
  </si>
  <si>
    <t>Relación entre Detenciones y Denuncias (%) para Delitos de Homicidio y Violación en la Región de Atacama</t>
  </si>
  <si>
    <t>https://analytics.zoho.com/open-view/2395394000008467312?ZOHO_CRITERIA=%22Localiza%20Chile%22.%22Codreg%22%3D3</t>
  </si>
  <si>
    <t>Relación entre Detenciones y Denuncias (%) para Delitos de Homicidio y Violación en la Región de Coquimbo</t>
  </si>
  <si>
    <t>https://analytics.zoho.com/open-view/2395394000008467312?ZOHO_CRITERIA=%22Localiza%20Chile%22.%22Codreg%22%3D4</t>
  </si>
  <si>
    <t>Relación entre Detenciones y Denuncias (%) para Delitos de Homicidio y Violación en la Región de Valparaíso</t>
  </si>
  <si>
    <t>https://analytics.zoho.com/open-view/2395394000008467312?ZOHO_CRITERIA=%22Localiza%20Chile%22.%22Codreg%22%3D5</t>
  </si>
  <si>
    <t>Relación entre Detenciones y Denuncias (%) para Delitos de Homicidio y Violación en la Región de O'Higgins</t>
  </si>
  <si>
    <t>https://analytics.zoho.com/open-view/2395394000008467312?ZOHO_CRITERIA=%22Localiza%20Chile%22.%22Codreg%22%3D6</t>
  </si>
  <si>
    <t>Relación entre Detenciones y Denuncias (%) para Delitos de Homicidio y Violación en la Región de Maule</t>
  </si>
  <si>
    <t>https://analytics.zoho.com/open-view/2395394000008467312?ZOHO_CRITERIA=%22Localiza%20Chile%22.%22Codreg%22%3D7</t>
  </si>
  <si>
    <t>Relación entre Detenciones y Denuncias (%) para Delitos de Homicidio y Violación en la Región del Biobío</t>
  </si>
  <si>
    <t>https://analytics.zoho.com/open-view/2395394000008467312?ZOHO_CRITERIA=%22Localiza%20Chile%22.%22Codreg%22%3D8</t>
  </si>
  <si>
    <t>Relación entre Detenciones y Denuncias (%) para Delitos de Homicidio y Violación en la Región de La Araucanía</t>
  </si>
  <si>
    <t>https://analytics.zoho.com/open-view/2395394000008467312?ZOHO_CRITERIA=%22Localiza%20Chile%22.%22Codreg%22%3D9</t>
  </si>
  <si>
    <t>Relación entre Detenciones y Denuncias (%) para Delitos de Homicidio y Violación en la Región de Los Lagos</t>
  </si>
  <si>
    <t>https://analytics.zoho.com/open-view/2395394000008467312?ZOHO_CRITERIA=%22Localiza%20Chile%22.%22Codreg%22%3D10</t>
  </si>
  <si>
    <t>Relación entre Detenciones y Denuncias (%) para Delitos de Homicidio y Violación en la Región de Aysén</t>
  </si>
  <si>
    <t>https://analytics.zoho.com/open-view/2395394000008467312?ZOHO_CRITERIA=%22Localiza%20Chile%22.%22Codreg%22%3D11</t>
  </si>
  <si>
    <t>Relación entre Detenciones y Denuncias (%) para Delitos de Homicidio y Violación en la Región de Magallanes</t>
  </si>
  <si>
    <t>https://analytics.zoho.com/open-view/2395394000008467312?ZOHO_CRITERIA=%22Localiza%20Chile%22.%22Codreg%22%3D12</t>
  </si>
  <si>
    <t>Relación entre Detenciones y Denuncias (%) para Delitos de Homicidio y Violación en la Región Metropolitana</t>
  </si>
  <si>
    <t>https://analytics.zoho.com/open-view/2395394000008467312?ZOHO_CRITERIA=%22Localiza%20Chile%22.%22Codreg%22%3D13</t>
  </si>
  <si>
    <t>Relación entre Detenciones y Denuncias (%) para Delitos de Homicidio y Violación en la Región de Los Ríos</t>
  </si>
  <si>
    <t>https://analytics.zoho.com/open-view/2395394000008467312?ZOHO_CRITERIA=%22Localiza%20Chile%22.%22Codreg%22%3D14</t>
  </si>
  <si>
    <t>Relación entre Detenciones y Denuncias (%) para Delitos de Homicidio y Violación en la Región de Arica y Parinacota</t>
  </si>
  <si>
    <t>https://analytics.zoho.com/open-view/2395394000008467312?ZOHO_CRITERIA=%22Localiza%20Chile%22.%22Codreg%22%3D15</t>
  </si>
  <si>
    <t>Relación entre Detenciones y Denuncias (%) para Delitos de Homicidio y Violación en la Región de Ñuble</t>
  </si>
  <si>
    <t>https://analytics.zoho.com/open-view/2395394000008467312?ZOHO_CRITERIA=%22Localiza%20Chile%22.%22Codreg%22%3D16</t>
  </si>
  <si>
    <t>Pobreza Extrema y No Extrema</t>
  </si>
  <si>
    <t>Pobreza</t>
  </si>
  <si>
    <t>Pobreza de la Población Autodefinida como Indígena</t>
  </si>
  <si>
    <t>Pobreza en la Población Autodefinida como Indígena a Escala Comunal - 2020 (Extrema y No Extrema)</t>
  </si>
  <si>
    <t>Según la encuesta CASEN realizada en 2020, existen 12 comunas en las que sobre el 50% de la población autodefinida como indígena vive en pobreza extrema y no extrema.</t>
  </si>
  <si>
    <t>pobreza no extrema población autodefinida indígena comunal nacional chile</t>
  </si>
  <si>
    <t>https://analytics.zoho.com/open-view/2395394000008493041</t>
  </si>
  <si>
    <t>Pobreza en la Población Autodefinida como Indígena a Escala Comunal en la Región de Tarapacá - 2020 (Extrema y No Extrema)</t>
  </si>
  <si>
    <t>pobreza no extrema población autodefinida indígena comunal región tarapacá</t>
  </si>
  <si>
    <t>https://analytics.zoho.com/open-view/2395394000008493398?ZOHO_CRITERIA=%22Localiza%20CL%22.%22Codreg%22%3D1</t>
  </si>
  <si>
    <t>Pobreza en la Población Autodefinida como Indígena a Escala Comunal en la Región de Antofagasta - 2020 (Extrema y No Extrema)</t>
  </si>
  <si>
    <t>pobreza no extrema población autodefinida indígena comunal región antofagasta</t>
  </si>
  <si>
    <t>https://analytics.zoho.com/open-view/2395394000008493398?ZOHO_CRITERIA=%22Localiza%20CL%22.%22Codreg%22%3D2</t>
  </si>
  <si>
    <t>Pobreza en la Población Autodefinida como Indígena a Escala Comunal en la Región de Atacama - 2020 (Extrema y No Extrema)</t>
  </si>
  <si>
    <t>pobreza no extrema población autodefinida indígena comunal región atacama</t>
  </si>
  <si>
    <t>https://analytics.zoho.com/open-view/2395394000008493398?ZOHO_CRITERIA=%22Localiza%20CL%22.%22Codreg%22%3D3</t>
  </si>
  <si>
    <t>Pobreza en la Población Autodefinida como Indígena a Escala Comunal en la Región de Coquimbo - 2020 (Extrema y No Extrema)</t>
  </si>
  <si>
    <t>pobreza no extrema población autodefinida indígena comunal región coquimbo</t>
  </si>
  <si>
    <t>https://analytics.zoho.com/open-view/2395394000008493398?ZOHO_CRITERIA=%22Localiza%20CL%22.%22Codreg%22%3D4</t>
  </si>
  <si>
    <t>Pobreza en la Población Autodefinida como Indígena a Escala Comunal en la Región de Valparaíso - 2020 (Extrema y No Extrema)</t>
  </si>
  <si>
    <t>pobreza no extrema población autodefinida indígena comunal región valparaíso</t>
  </si>
  <si>
    <t>https://analytics.zoho.com/open-view/2395394000008493398?ZOHO_CRITERIA=%22Localiza%20CL%22.%22Codreg%22%3D5</t>
  </si>
  <si>
    <t>Pobreza en la Población Autodefinida como Indígena a Escala Comunal en la Región de O'Higgins - 2020 (Extrema y No Extrema)</t>
  </si>
  <si>
    <t>pobreza no extrema población autodefinida indígena comunal región ohiggins</t>
  </si>
  <si>
    <t>https://analytics.zoho.com/open-view/2395394000008493398?ZOHO_CRITERIA=%22Localiza%20CL%22.%22Codreg%22%3D6</t>
  </si>
  <si>
    <t>Pobreza en la Población Autodefinida como Indígena a Escala Comunal en la Región de Maule - 2020 (Extrema y No Extrema)</t>
  </si>
  <si>
    <t>pobreza no extrema población autodefinida indígena comunal región maule</t>
  </si>
  <si>
    <t>https://analytics.zoho.com/open-view/2395394000008493398?ZOHO_CRITERIA=%22Localiza%20CL%22.%22Codreg%22%3D7</t>
  </si>
  <si>
    <t>Pobreza en la Población Autodefinida como Indígena a Escala Comunal en la Región del Biobío - 2020 (Extrema y No Extrema)</t>
  </si>
  <si>
    <t>pobreza no extrema población autodefinida indígena comunal región biobío</t>
  </si>
  <si>
    <t>https://analytics.zoho.com/open-view/2395394000008493398?ZOHO_CRITERIA=%22Localiza%20CL%22.%22Codreg%22%3D8</t>
  </si>
  <si>
    <t>Pobreza en la Población Autodefinida como Indígena a Escala Comunal en la Región de La Araucanía - 2020 (Extrema y No Extrema)</t>
  </si>
  <si>
    <t>pobreza no extrema población autodefinida indígena comunal región araucanía</t>
  </si>
  <si>
    <t>https://analytics.zoho.com/open-view/2395394000008493398?ZOHO_CRITERIA=%22Localiza%20CL%22.%22Codreg%22%3D9</t>
  </si>
  <si>
    <t>Pobreza en la Población Autodefinida como Indígena a Escala Comunal en la Región de Los Lagos - 2020 (Extrema y No Extrema)</t>
  </si>
  <si>
    <t>pobreza no extrema población autodefinida indígena comunal región los lagos</t>
  </si>
  <si>
    <t>https://analytics.zoho.com/open-view/2395394000008493398?ZOHO_CRITERIA=%22Localiza%20CL%22.%22Codreg%22%3D10</t>
  </si>
  <si>
    <t>Pobreza en la Población Autodefinida como Indígena a Escala Comunal en la Región de Aysén - 2020 (Extrema y No Extrema)</t>
  </si>
  <si>
    <t>pobreza no extrema población autodefinida indígena comunal región aysén</t>
  </si>
  <si>
    <t>https://analytics.zoho.com/open-view/2395394000008493398?ZOHO_CRITERIA=%22Localiza%20CL%22.%22Codreg%22%3D11</t>
  </si>
  <si>
    <t>Pobreza en la Población Autodefinida como Indígena a Escala Comunal en la Región de Magallanes - 2020 (Extrema y No Extrema)</t>
  </si>
  <si>
    <t>pobreza no extrema población autodefinida indígena comunal región magallanes</t>
  </si>
  <si>
    <t>https://analytics.zoho.com/open-view/2395394000008493398?ZOHO_CRITERIA=%22Localiza%20CL%22.%22Codreg%22%3D12</t>
  </si>
  <si>
    <t>Pobreza en la Población Autodefinida como Indígena a Escala Comunal en la Región Metropolitana - 2020 (Extrema y No Extrema)</t>
  </si>
  <si>
    <t>pobreza no extrema población autodefinida indígena comunal región metropolitana</t>
  </si>
  <si>
    <t>https://analytics.zoho.com/open-view/2395394000008493398?ZOHO_CRITERIA=%22Localiza%20CL%22.%22Codreg%22%3D13</t>
  </si>
  <si>
    <t>Pobreza en la Población Autodefinida como Indígena a Escala Comunal en la Región de Los Ríos - 2020 (Extrema y No Extrema)</t>
  </si>
  <si>
    <t>pobreza no extrema población autodefinida indígena comunal región los ríos</t>
  </si>
  <si>
    <t>https://analytics.zoho.com/open-view/2395394000008493398?ZOHO_CRITERIA=%22Localiza%20CL%22.%22Codreg%22%3D14</t>
  </si>
  <si>
    <t>Pobreza en la Población Autodefinida como Indígena a Escala Comunal en la Región de Arica y Parinacota - 2020 (Extrema y No Extrema)</t>
  </si>
  <si>
    <t>pobreza no extrema población autodefinida indígena comunal región arica parinacota</t>
  </si>
  <si>
    <t>https://analytics.zoho.com/open-view/2395394000008493398?ZOHO_CRITERIA=%22Localiza%20CL%22.%22Codreg%22%3D15</t>
  </si>
  <si>
    <t>Pobreza en la Población Autodefinida como Indígena a Escala Comunal en la Región de Ñuble - 2020 (Extrema y No Extrema)</t>
  </si>
  <si>
    <t>pobreza no extrema población autodefinida indígena comunal región ñuble</t>
  </si>
  <si>
    <t>https://analytics.zoho.com/open-view/2395394000008493398?ZOHO_CRITERIA=%22Localiza%20CL%22.%22Codreg%22%3D16</t>
  </si>
  <si>
    <t>Pobreza y Pobreza Extrema</t>
  </si>
  <si>
    <t>Periodo 2006-2020</t>
  </si>
  <si>
    <t>Evolución de la Pobreza y Pobreza Extrema a Escala Nacional</t>
  </si>
  <si>
    <t>De acuerdo a los resultados de la encuesta CASEN, los niveles de pobreza han disminuido de un 8,8% en el año 2006 a un 6,5% en el año 2020. Al contrario, la pobreza extrema ha aumentado de un 2,5% a un 4,3% en ese mismo periodo.</t>
  </si>
  <si>
    <t>socioeconómico evolución variación CASEN pobreza extrema nacional chile</t>
  </si>
  <si>
    <t>https://analytics.zoho.com/open-view/2395394000008486718</t>
  </si>
  <si>
    <t>Evolución de la Pobreza y Pobreza Extrema en la Región de Tarapacá</t>
  </si>
  <si>
    <t>socioeconómico evolución variación CASEN pobreza extrema región tarapacá</t>
  </si>
  <si>
    <t>https://analytics.zoho.com/open-view/2395394000008493571?ZOHO_CRITERIA=%22Localiza%20CL%22.%22Codreg%22%3D1</t>
  </si>
  <si>
    <t>Evolución de la Pobreza y Pobreza Extrema en la Región de Antofagasta</t>
  </si>
  <si>
    <t>socioeconómico evolución variación CASEN pobreza extrema región antofagasta</t>
  </si>
  <si>
    <t>https://analytics.zoho.com/open-view/2395394000008493571?ZOHO_CRITERIA=%22Localiza%20CL%22.%22Codreg%22%3D2</t>
  </si>
  <si>
    <t>Evolución de la Pobreza y Pobreza Extrema en la Región de Atacama</t>
  </si>
  <si>
    <t>socioeconómico evolución variación CASEN pobreza extrema región atacama</t>
  </si>
  <si>
    <t>https://analytics.zoho.com/open-view/2395394000008493571?ZOHO_CRITERIA=%22Localiza%20CL%22.%22Codreg%22%3D3</t>
  </si>
  <si>
    <t>Evolución de la Pobreza y Pobreza Extrema en la Región de Coquimbo</t>
  </si>
  <si>
    <t>socioeconómico evolución variación CASEN pobreza extrema región coquimbo</t>
  </si>
  <si>
    <t>https://analytics.zoho.com/open-view/2395394000008493571?ZOHO_CRITERIA=%22Localiza%20CL%22.%22Codreg%22%3D4</t>
  </si>
  <si>
    <t>Evolución de la Pobreza y Pobreza Extrema en la Región de Valparaíso</t>
  </si>
  <si>
    <t>socioeconómico evolución variación CASEN pobreza extrema región valparaíso</t>
  </si>
  <si>
    <t>https://analytics.zoho.com/open-view/2395394000008493571?ZOHO_CRITERIA=%22Localiza%20CL%22.%22Codreg%22%3D5</t>
  </si>
  <si>
    <t>Evolución de la Pobreza y Pobreza Extrema en la Región de O'Higgins</t>
  </si>
  <si>
    <t>socioeconómico evolución variación CASEN pobreza extrema región ohiggins</t>
  </si>
  <si>
    <t>https://analytics.zoho.com/open-view/2395394000008493571?ZOHO_CRITERIA=%22Localiza%20CL%22.%22Codreg%22%3D6</t>
  </si>
  <si>
    <t>Evolución de la Pobreza y Pobreza Extrema en la Región de Maule</t>
  </si>
  <si>
    <t>socioeconómico evolución variación CASEN pobreza extrema región maule</t>
  </si>
  <si>
    <t>https://analytics.zoho.com/open-view/2395394000008493571?ZOHO_CRITERIA=%22Localiza%20CL%22.%22Codreg%22%3D7</t>
  </si>
  <si>
    <t>Evolución de la Pobreza y Pobreza Extrema en la Región del Biobío</t>
  </si>
  <si>
    <t>socioeconómico evolución variación CASEN pobreza extrema región biobío</t>
  </si>
  <si>
    <t>https://analytics.zoho.com/open-view/2395394000008493571?ZOHO_CRITERIA=%22Localiza%20CL%22.%22Codreg%22%3D8</t>
  </si>
  <si>
    <t>Evolución de la Pobreza y Pobreza Extrema en la Región de La Araucanía</t>
  </si>
  <si>
    <t>socioeconómico evolución variación CASEN pobreza extrema región araucanía</t>
  </si>
  <si>
    <t>https://analytics.zoho.com/open-view/2395394000008493571?ZOHO_CRITERIA=%22Localiza%20CL%22.%22Codreg%22%3D9</t>
  </si>
  <si>
    <t>Evolución de la Pobreza y Pobreza Extrema en la Región de Los Lagos</t>
  </si>
  <si>
    <t>socioeconómico evolución variación CASEN pobreza extrema región los lagos</t>
  </si>
  <si>
    <t>https://analytics.zoho.com/open-view/2395394000008493571?ZOHO_CRITERIA=%22Localiza%20CL%22.%22Codreg%22%3D10</t>
  </si>
  <si>
    <t>Evolución de la Pobreza y Pobreza Extrema en la Región de Aysén</t>
  </si>
  <si>
    <t>socioeconómico evolución variación CASEN pobreza extrema región aysén</t>
  </si>
  <si>
    <t>https://analytics.zoho.com/open-view/2395394000008493571?ZOHO_CRITERIA=%22Localiza%20CL%22.%22Codreg%22%3D11</t>
  </si>
  <si>
    <t>Evolución de la Pobreza y Pobreza Extrema en la Región de Magallanes</t>
  </si>
  <si>
    <t>socioeconómico evolución variación CASEN pobreza extrema región magallanes</t>
  </si>
  <si>
    <t>https://analytics.zoho.com/open-view/2395394000008493571?ZOHO_CRITERIA=%22Localiza%20CL%22.%22Codreg%22%3D12</t>
  </si>
  <si>
    <t>Evolución de la Pobreza y Pobreza Extrema en la Región Metropolitana</t>
  </si>
  <si>
    <t>socioeconómico evolución variación CASEN pobreza extrema región metropolitana</t>
  </si>
  <si>
    <t>https://analytics.zoho.com/open-view/2395394000008493571?ZOHO_CRITERIA=%22Localiza%20CL%22.%22Codreg%22%3D13</t>
  </si>
  <si>
    <t>Evolución de la Pobreza y Pobreza Extrema en la Región de Los Ríos</t>
  </si>
  <si>
    <t>socioeconómico evolución variación CASEN pobreza extrema región los ríos</t>
  </si>
  <si>
    <t>https://analytics.zoho.com/open-view/2395394000008493571?ZOHO_CRITERIA=%22Localiza%20CL%22.%22Codreg%22%3D14</t>
  </si>
  <si>
    <t>Evolución de la Pobreza y Pobreza Extrema en la Región de Arica y Parinacota</t>
  </si>
  <si>
    <t>socioeconómico evolución variación CASEN pobreza extrema región arica parinacota</t>
  </si>
  <si>
    <t>https://analytics.zoho.com/open-view/2395394000008493571?ZOHO_CRITERIA=%22Localiza%20CL%22.%22Codreg%22%3D15</t>
  </si>
  <si>
    <t>Evolución de la Pobreza y Pobreza Extrema en la Región de Ñuble</t>
  </si>
  <si>
    <t>socioeconómico evolución variación CASEN pobreza extrema región ñuble</t>
  </si>
  <si>
    <t>https://analytics.zoho.com/open-view/2395394000008493571?ZOHO_CRITERIA=%22Localiza%20CL%22.%22Codreg%22%3D16</t>
  </si>
  <si>
    <t>Pobreza Extrema</t>
  </si>
  <si>
    <t>Geografía de la Pobreza Extrema a Escala Comunal - 2020</t>
  </si>
  <si>
    <t>Según la encuesta CASEN del año 2020, existen 28 comunas en Chile que tienen sobre un 10% de pobreza extrema. En cambio, solo 15 comunas tienen un porcentaje de pobreza extrema menor o igual a 1%.</t>
  </si>
  <si>
    <t>socioeconómico porcentaje mapa pobreza extrema comunal chile</t>
  </si>
  <si>
    <t>https://analytics.zoho.com/open-view/2395394000008483613</t>
  </si>
  <si>
    <t>Geografía de la Pobreza Extrema a Escala Comunal en la Región de Tarapacá - 2020</t>
  </si>
  <si>
    <t>socioeconómico porcentaje mapa pobreza extrema comunal región tarapacá</t>
  </si>
  <si>
    <t>https://analytics.zoho.com/open-view/2395394000008496266?ZOHO_CRITERIA=%22Localiza%20CL%22.%22Codreg%22%3D1</t>
  </si>
  <si>
    <t>Geografía de la Pobreza Extrema a Escala Comunal en la Región de Antofagasta - 2020</t>
  </si>
  <si>
    <t>socioeconómico porcentaje mapa pobreza extrema comunal región antofagasta</t>
  </si>
  <si>
    <t>https://analytics.zoho.com/open-view/2395394000008496266?ZOHO_CRITERIA=%22Localiza%20CL%22.%22Codreg%22%3D2</t>
  </si>
  <si>
    <t>Geografía de la Pobreza Extrema a Escala Comunal en la Región de Atacama - 2020</t>
  </si>
  <si>
    <t>socioeconómico porcentaje mapa pobreza extrema comunal región atacama</t>
  </si>
  <si>
    <t>https://analytics.zoho.com/open-view/2395394000008496266?ZOHO_CRITERIA=%22Localiza%20CL%22.%22Codreg%22%3D3</t>
  </si>
  <si>
    <t>Geografía de la Pobreza Extrema a Escala Comunal en la Región de Coquimbo - 2020</t>
  </si>
  <si>
    <t>socioeconómico porcentaje mapa pobreza extrema comunal región coquimbo</t>
  </si>
  <si>
    <t>https://analytics.zoho.com/open-view/2395394000008496266?ZOHO_CRITERIA=%22Localiza%20CL%22.%22Codreg%22%3D4</t>
  </si>
  <si>
    <t>Geografía de la Pobreza Extrema a Escala Comunal en la Región de Valparaíso - 2020</t>
  </si>
  <si>
    <t>socioeconómico porcentaje mapa pobreza extrema comunal región valparaíso</t>
  </si>
  <si>
    <t>https://analytics.zoho.com/open-view/2395394000008496266?ZOHO_CRITERIA=%22Localiza%20CL%22.%22Codreg%22%3D5</t>
  </si>
  <si>
    <t>Geografía de la Pobreza Extrema a Escala Comunal en la Región de O'Higgins - 2020</t>
  </si>
  <si>
    <t>socioeconómico porcentaje mapa pobreza extrema comunal región ohiggins</t>
  </si>
  <si>
    <t>https://analytics.zoho.com/open-view/2395394000008496266?ZOHO_CRITERIA=%22Localiza%20CL%22.%22Codreg%22%3D6</t>
  </si>
  <si>
    <t>Geografía de la Pobreza Extrema a Escala Comunal en la Región de Maule - 2020</t>
  </si>
  <si>
    <t>socioeconómico porcentaje mapa pobreza extrema comunal región maule</t>
  </si>
  <si>
    <t>https://analytics.zoho.com/open-view/2395394000008496266?ZOHO_CRITERIA=%22Localiza%20CL%22.%22Codreg%22%3D7</t>
  </si>
  <si>
    <t>Geografía de la Pobreza Extrema a Escala Comunal en la Región del Biobío - 2020</t>
  </si>
  <si>
    <t>socioeconómico porcentaje mapa pobreza extrema comunal región biobío</t>
  </si>
  <si>
    <t>https://analytics.zoho.com/open-view/2395394000008496266?ZOHO_CRITERIA=%22Localiza%20CL%22.%22Codreg%22%3D8</t>
  </si>
  <si>
    <t>Geografía de la Pobreza Extrema a Escala Comunal en la Región de La Araucanía - 2020</t>
  </si>
  <si>
    <t>socioeconómico porcentaje mapa pobreza extrema comunal región araucanía</t>
  </si>
  <si>
    <t>https://analytics.zoho.com/open-view/2395394000008496266?ZOHO_CRITERIA=%22Localiza%20CL%22.%22Codreg%22%3D9</t>
  </si>
  <si>
    <t>Geografía de la Pobreza Extrema a Escala Comunal en la Región de Los Lagos - 2020</t>
  </si>
  <si>
    <t>socioeconómico porcentaje mapa pobreza extrema comunal región los lagos</t>
  </si>
  <si>
    <t>https://analytics.zoho.com/open-view/2395394000008496266?ZOHO_CRITERIA=%22Localiza%20CL%22.%22Codreg%22%3D10</t>
  </si>
  <si>
    <t>Geografía de la Pobreza Extrema a Escala Comunal en la Región de Aysén - 2020</t>
  </si>
  <si>
    <t>socioeconómico porcentaje mapa pobreza extrema comunal región aysén</t>
  </si>
  <si>
    <t>https://analytics.zoho.com/open-view/2395394000008496266?ZOHO_CRITERIA=%22Localiza%20CL%22.%22Codreg%22%3D11</t>
  </si>
  <si>
    <t>Geografía de la Pobreza Extrema a Escala Comunal en la Región de Magallanes - 2020</t>
  </si>
  <si>
    <t>socioeconómico porcentaje mapa pobreza extrema comunal región magallanes</t>
  </si>
  <si>
    <t>https://analytics.zoho.com/open-view/2395394000008496266?ZOHO_CRITERIA=%22Localiza%20CL%22.%22Codreg%22%3D12</t>
  </si>
  <si>
    <t>Geografía de la Pobreza Extrema a Escala Comunal en la Región Metropolitana - 2020</t>
  </si>
  <si>
    <t>socioeconómico porcentaje mapa pobreza extrema comunal región metropolitana</t>
  </si>
  <si>
    <t>https://analytics.zoho.com/open-view/2395394000008496266?ZOHO_CRITERIA=%22Localiza%20CL%22.%22Codreg%22%3D13</t>
  </si>
  <si>
    <t>Geografía de la Pobreza Extrema a Escala Comunal en la Región de Los Ríos - 2020</t>
  </si>
  <si>
    <t>socioeconómico porcentaje mapa pobreza extrema comunal región los ríos</t>
  </si>
  <si>
    <t>https://analytics.zoho.com/open-view/2395394000008496266?ZOHO_CRITERIA=%22Localiza%20CL%22.%22Codreg%22%3D14</t>
  </si>
  <si>
    <t>Geografía de la Pobreza Extrema a Escala Comunal en la Región de Arica y Parinacota - 2020</t>
  </si>
  <si>
    <t>socioeconómico porcentaje mapa pobreza extrema comunal región arica parinacota</t>
  </si>
  <si>
    <t>https://analytics.zoho.com/open-view/2395394000008496266?ZOHO_CRITERIA=%22Localiza%20CL%22.%22Codreg%22%3D15</t>
  </si>
  <si>
    <t>Geografía de la Pobreza Extrema a Escala Comunal en la Región de Ñuble - 2020</t>
  </si>
  <si>
    <t>socioeconómico porcentaje mapa pobreza extrema comunal región ñuble</t>
  </si>
  <si>
    <t>https://analytics.zoho.com/open-view/2395394000008496266?ZOHO_CRITERIA=%22Localiza%20CL%22.%22Codreg%22%3D16</t>
  </si>
  <si>
    <t>Ingresos y Egresos de NNA a SENAME</t>
  </si>
  <si>
    <t>Protección de Menores</t>
  </si>
  <si>
    <t>Número y porcentaje de variación de ingresos/ egresos de NNA</t>
  </si>
  <si>
    <t>Periodo 2016-2019</t>
  </si>
  <si>
    <t>Número de ingresos/egresos y Porcentaje</t>
  </si>
  <si>
    <t>Servicio Nacional de Menores (SENAME)</t>
  </si>
  <si>
    <t>Evolución de Ingresos y Egresos de NNA en el Periodo 2016-2019</t>
  </si>
  <si>
    <t>En Chile, la diferencia entre los niños, niñas y adolescentes (NNA) egresados e ingresados en centros de SENAME en el año 2016 fue de 1.414, mientras que en el año 2019 fue de 15.080. Por otro lado, la variación porcentual anual de egresos en el periodo 2016-2019 ha disminuido de 11,4% a 6,8%, mientras que la de ingresos sufrió una baja desde el año 2018 al 2019 de 4,1%.</t>
  </si>
  <si>
    <t>protección restitución derechos social evolución ingresos egresos niños niñas adolescentes sename protección menores nacional chile</t>
  </si>
  <si>
    <t>https://app.powerbi.com/view?r=eyJrIjoiMTZjZmZhZjQtN2I5ZS00ZWFmLWFkZWMtMDlkMGYzOGZmNzk2IiwidCI6IjhmYmFhNWJmLTJlY2MtNGRjOC1iNTZiLThmOTJlMzA3ZjA3NiIsImMiOjR9</t>
  </si>
  <si>
    <t>Número de ingresos/egresos de NNA</t>
  </si>
  <si>
    <t>Número de ingresos/egresos</t>
  </si>
  <si>
    <t>Ingresos y Egresos de NNA por Línea de Atención en el Año 2019</t>
  </si>
  <si>
    <t>En Chile, la mayor cantidad de niños, niñas y adolescentes (NNA) ingresados en centros de SENAME en el año 2019 lo hizo por medio de la Línea Ambulatoria, seguida por la Línea Oficina Protección de Derechos, con 53.163 y 27.632 NNA respectivamente.</t>
  </si>
  <si>
    <t>protección restitución derechos social sename protección menores ingresos egresos niños niñas adolescentes línea atención nacional chile</t>
  </si>
  <si>
    <t>https://app.powerbi.com/view?r=eyJrIjoiMTFiMTI5YmQtYTU1Ni00MzI4LTk1NDUtMDRlYTM0NDAwYmJlIiwidCI6IjhmYmFhNWJmLTJlY2MtNGRjOC1iNTZiLThmOTJlMzA3ZjA3NiIsImMiOjR9</t>
  </si>
  <si>
    <t>Ingresos y Egresos de NNA por Región en el Año 2019</t>
  </si>
  <si>
    <t>En el año 2019, la mayor cantidad de egresos de niños, niñas y adolescentes (NNA) desde centros de SENAME ocurrió en la región Metropolitana, con 14.942, mientras que el egreso más bajo se dio en la región de Aysén, con 520 NNA.</t>
  </si>
  <si>
    <t>protección restitución derechos social sename protección menores ingresos egresos niños niñas adolescentes regional chile</t>
  </si>
  <si>
    <t>https://app.powerbi.com/view?r=eyJrIjoiNjg0OGI5NjEtNGNmMy00OGE4LWFlYzEtY2FmYWMxMjRhZmU5IiwidCI6IjhmYmFhNWJmLTJlY2MtNGRjOC1iNTZiLThmOTJlMzA3ZjA3NiIsImMiOjR9</t>
  </si>
  <si>
    <t>Predios No Agrícolas Habitacionales</t>
  </si>
  <si>
    <t>Número de predios no agrícolas habitacionales</t>
  </si>
  <si>
    <t>Número de predios</t>
  </si>
  <si>
    <t>Cantidad de Predios No Agrícolas Habitacionales por Comuna en el periodo 2006-2019</t>
  </si>
  <si>
    <t>El pago de contribuciones de los predios no agrícolas habitacionales, permite a los diferentes municipios financiar bienes y servicios comunitarios. Estos predios están exentos del pago de contribuciones hasta un monto de avalúo de $33.199.976. En el año 2019, la comuna que contó con la mayor cantidad de predios no agrícolas habitacionales fue Santiago, con 185.481, seguido de Puente Alto, con 172.920.</t>
  </si>
  <si>
    <t>gobiernos locales catastro predio municipal municipio no agrícola habitacional</t>
  </si>
  <si>
    <t>https://analytics.zoho.com/open-view/2395394000008083041</t>
  </si>
  <si>
    <t>Cantidad de Predios No Agrícolas Habitacionales por Comuna en la Región de Tarapacá en el periodo 2006-2019</t>
  </si>
  <si>
    <t>gobiernos locales catastro predio municipal municipio no agrícola habitacional región tarapacá</t>
  </si>
  <si>
    <t>https://analytics.zoho.com/open-view/2395394000008464571?ZOHO_CRITERIA=%22Localiza%20CL%22.%22Codreg%22%20%3D%201</t>
  </si>
  <si>
    <t>Cantidad de Predios No Agrícolas Habitacionales por Comuna en la Región de Antofagasta en el periodo 2006-2019</t>
  </si>
  <si>
    <t>gobiernos locales catastro predio municipal municipio no agrícola habitacional región antofagasta</t>
  </si>
  <si>
    <t>https://analytics.zoho.com/open-view/2395394000008464571?ZOHO_CRITERIA=%22Localiza%20CL%22.%22Codreg%22%20%3D%202</t>
  </si>
  <si>
    <t>Cantidad de Predios No Agrícolas Habitacionales por Comuna en la Región de Atacama en el periodo 2006-2019</t>
  </si>
  <si>
    <t>gobiernos locales catastro predio municipal municipio no agrícola habitacional región atacama</t>
  </si>
  <si>
    <t>https://analytics.zoho.com/open-view/2395394000008464571?ZOHO_CRITERIA=%22Localiza%20CL%22.%22Codreg%22%20%3D%203</t>
  </si>
  <si>
    <t>Cantidad de Predios No Agrícolas Habitacionales por Comuna en la Región de Coquimbo en el periodo 2006-2019</t>
  </si>
  <si>
    <t>gobiernos locales catastro predio municipal municipio no agrícola habitacional región coquimbo</t>
  </si>
  <si>
    <t>https://analytics.zoho.com/open-view/2395394000008464571?ZOHO_CRITERIA=%22Localiza%20CL%22.%22Codreg%22%20%3D%204</t>
  </si>
  <si>
    <t>Cantidad de Predios No Agrícolas Habitacionales por Comuna en la Región de Valparaíso en el periodo 2006-2019</t>
  </si>
  <si>
    <t>gobiernos locales catastro predio municipal municipio no agrícola habitacional región valparaíso</t>
  </si>
  <si>
    <t>https://analytics.zoho.com/open-view/2395394000008464571?ZOHO_CRITERIA=%22Localiza%20CL%22.%22Codreg%22%20%3D%205</t>
  </si>
  <si>
    <t>Cantidad de Predios No Agrícolas Habitacionales por Comuna en la Región de O'Higgins en el periodo 2006-2019</t>
  </si>
  <si>
    <t>gobiernos locales catastro predio municipal municipio no agrícola habitacional región ohiggins</t>
  </si>
  <si>
    <t>https://analytics.zoho.com/open-view/2395394000008464571?ZOHO_CRITERIA=%22Localiza%20CL%22.%22Codreg%22%20%3D%206</t>
  </si>
  <si>
    <t>Cantidad de Predios No Agrícolas Habitacionales por Comuna en la Región de Maule en el periodo 2006-2019</t>
  </si>
  <si>
    <t>gobiernos locales catastro predio municipal municipio no agrícola habitacional región maule</t>
  </si>
  <si>
    <t>https://analytics.zoho.com/open-view/2395394000008464571?ZOHO_CRITERIA=%22Localiza%20CL%22.%22Codreg%22%20%3D%207</t>
  </si>
  <si>
    <t>Cantidad de Predios No Agrícolas Habitacionales por Comuna en la Región del Biobío en el periodo 2006-2019</t>
  </si>
  <si>
    <t>gobiernos locales catastro predio municipal municipio no agrícola habitacional región biobío</t>
  </si>
  <si>
    <t>https://analytics.zoho.com/open-view/2395394000008464571?ZOHO_CRITERIA=%22Localiza%20CL%22.%22Codreg%22%20%3D%208</t>
  </si>
  <si>
    <t>Cantidad de Predios No Agrícolas Habitacionales por Comuna en la Región de La Araucanía en el periodo 2006-2019</t>
  </si>
  <si>
    <t>gobiernos locales catastro predio municipal municipio no agrícola habitacional región araucanía</t>
  </si>
  <si>
    <t>https://analytics.zoho.com/open-view/2395394000008464571?ZOHO_CRITERIA=%22Localiza%20CL%22.%22Codreg%22%20%3D%209</t>
  </si>
  <si>
    <t>Cantidad de Predios No Agrícolas Habitacionales por Comuna en la Región de Los Lagos en el periodo 2006-2019</t>
  </si>
  <si>
    <t>gobiernos locales catastro predio municipal municipio no agrícola habitacional región los lagos</t>
  </si>
  <si>
    <t>https://analytics.zoho.com/open-view/2395394000008464571?ZOHO_CRITERIA=%22Localiza%20CL%22.%22Codreg%22%20%3D%2010</t>
  </si>
  <si>
    <t>Cantidad de Predios No Agrícolas Habitacionales por Comuna en la Región de Aysén en el periodo 2006-2019</t>
  </si>
  <si>
    <t>gobiernos locales catastro predio municipal municipio no agrícola habitacional región aysén</t>
  </si>
  <si>
    <t>https://analytics.zoho.com/open-view/2395394000008464571?ZOHO_CRITERIA=%22Localiza%20CL%22.%22Codreg%22%20%3D%2011</t>
  </si>
  <si>
    <t>Cantidad de Predios No Agrícolas Habitacionales por Comuna en la Región de Magallanes en el periodo 2006-2019</t>
  </si>
  <si>
    <t>gobiernos locales catastro predio municipal municipio no agrícola habitacional región magallanes</t>
  </si>
  <si>
    <t>https://analytics.zoho.com/open-view/2395394000008464571?ZOHO_CRITERIA=%22Localiza%20CL%22.%22Codreg%22%20%3D%2012</t>
  </si>
  <si>
    <t>Cantidad de Predios No Agrícolas Habitacionales por Comuna en la Región Metropolitana en el periodo 2006-2019</t>
  </si>
  <si>
    <t>gobiernos locales catastro predio municipal municipio no agrícola habitacional región metropolitana</t>
  </si>
  <si>
    <t>https://analytics.zoho.com/open-view/2395394000008464571?ZOHO_CRITERIA=%22Localiza%20CL%22.%22Codreg%22%20%3D%2013</t>
  </si>
  <si>
    <t>Cantidad de Predios No Agrícolas Habitacionales por Comuna en la Región de Los Ríos en el periodo 2006-2019</t>
  </si>
  <si>
    <t>gobiernos locales catastro predio municipal municipio no agrícola habitacional región los ríos</t>
  </si>
  <si>
    <t>https://analytics.zoho.com/open-view/2395394000008464571?ZOHO_CRITERIA=%22Localiza%20CL%22.%22Codreg%22%20%3D%2014</t>
  </si>
  <si>
    <t>Cantidad de Predios No Agrícolas Habitacionales por Comuna en la Región de Arica y Parinacota en el periodo 2006-2019</t>
  </si>
  <si>
    <t>gobiernos locales catastro predio municipal municipio no agrícola habitacional región arica parinacota</t>
  </si>
  <si>
    <t>https://analytics.zoho.com/open-view/2395394000008464571?ZOHO_CRITERIA=%22Localiza%20CL%22.%22Codreg%22%20%3D%2015</t>
  </si>
  <si>
    <t>Cantidad de Predios No Agrícolas Habitacionales por Comuna en la Región de Ñuble en el periodo 2006-2019</t>
  </si>
  <si>
    <t>gobiernos locales catastro predio municipal municipio no agrícola habitacional región ñuble</t>
  </si>
  <si>
    <t>https://analytics.zoho.com/open-view/2395394000008464571?ZOHO_CRITERIA=%22Localiza%20CL%22.%22Codreg%22%20%3D%2016</t>
  </si>
  <si>
    <t>Propiedades Municipales</t>
  </si>
  <si>
    <t>Número de propiedades municipales</t>
  </si>
  <si>
    <t>Cantidad de Propiedades Municipales por Comuna en el periodo 2010-2019</t>
  </si>
  <si>
    <t>Al año 2019, el municipio que tuvo más propiedades fue el de Coquimbo, con 1.408. Le sigue el de Maipú, con 1.308. Cochamó, al contrario, no tuvo ninguna.</t>
  </si>
  <si>
    <t>gobiernos locales propiedades municipal municipio cantidad comunal chile</t>
  </si>
  <si>
    <t>https://analytics.zoho.com/open-view/2395394000008083242</t>
  </si>
  <si>
    <t>Cantidad de Propiedades Municipales por Comuna en la Región de Tarapacá en el periodo 2010-2019</t>
  </si>
  <si>
    <t>gobiernos locales propiedades municipal municipio cantidad comunal región tarapacá</t>
  </si>
  <si>
    <t>https://analytics.zoho.com/open-view/2395394000008771662?ZOHO_CRITERIA=%22Localiza%20CL%22.%22Codreg%22%20%3D%201</t>
  </si>
  <si>
    <t>Cantidad de Propiedades Municipales por Comuna en la Región de Antofagasta en el periodo 2010-2019</t>
  </si>
  <si>
    <t>gobiernos locales propiedades municipal municipio cantidad comunal región antofagasta</t>
  </si>
  <si>
    <t>https://analytics.zoho.com/open-view/2395394000008771662?ZOHO_CRITERIA=%22Localiza%20CL%22.%22Codreg%22%20%3D%202</t>
  </si>
  <si>
    <t>Cantidad de Propiedades Municipales por Comuna en la Región de Atacama en el periodo 2010-2019</t>
  </si>
  <si>
    <t>gobiernos locales propiedades municipal municipio cantidad comunal región atacama</t>
  </si>
  <si>
    <t>https://analytics.zoho.com/open-view/2395394000008771662?ZOHO_CRITERIA=%22Localiza%20CL%22.%22Codreg%22%20%3D%203</t>
  </si>
  <si>
    <t>Cantidad de Propiedades Municipales por Comuna en la Región de Coquimbo en el periodo 2010-2019</t>
  </si>
  <si>
    <t>gobiernos locales propiedades municipal municipio cantidad comunal región coquimbo</t>
  </si>
  <si>
    <t>https://analytics.zoho.com/open-view/2395394000008771662?ZOHO_CRITERIA=%22Localiza%20CL%22.%22Codreg%22%20%3D%204</t>
  </si>
  <si>
    <t>Cantidad de Propiedades Municipales por Comuna en la Región de Valparaíso en el periodo 2010-2019</t>
  </si>
  <si>
    <t>gobiernos locales propiedades municipal municipio cantidad comunal región valparaíso</t>
  </si>
  <si>
    <t>https://analytics.zoho.com/open-view/2395394000008771662?ZOHO_CRITERIA=%22Localiza%20CL%22.%22Codreg%22%20%3D%205</t>
  </si>
  <si>
    <t>Cantidad de Propiedades Municipales por Comuna en la Región de O'Higgins en el periodo 2010-2019</t>
  </si>
  <si>
    <t>gobiernos locales propiedades municipal municipio cantidad comunal región ohiggins</t>
  </si>
  <si>
    <t>https://analytics.zoho.com/open-view/2395394000008771662?ZOHO_CRITERIA=%22Localiza%20CL%22.%22Codreg%22%20%3D%206</t>
  </si>
  <si>
    <t>Cantidad de Propiedades Municipales por Comuna en la Región de Maule en el periodo 2010-2019</t>
  </si>
  <si>
    <t>gobiernos locales propiedades municipal municipio cantidad comunal región maule</t>
  </si>
  <si>
    <t>https://analytics.zoho.com/open-view/2395394000008771662?ZOHO_CRITERIA=%22Localiza%20CL%22.%22Codreg%22%20%3D%207</t>
  </si>
  <si>
    <t>Cantidad de Propiedades Municipales por Comuna en la Región del Biobío en el periodo 2010-2019</t>
  </si>
  <si>
    <t>gobiernos locales propiedades municipal municipio cantidad comunal región biobío</t>
  </si>
  <si>
    <t>https://analytics.zoho.com/open-view/2395394000008771662?ZOHO_CRITERIA=%22Localiza%20CL%22.%22Codreg%22%20%3D%208</t>
  </si>
  <si>
    <t>Cantidad de Propiedades Municipales por Comuna en la Región de La Araucanía en el periodo 2010-2019</t>
  </si>
  <si>
    <t>gobiernos locales propiedades municipal municipio cantidad comunal región araucanía</t>
  </si>
  <si>
    <t>https://analytics.zoho.com/open-view/2395394000008771662?ZOHO_CRITERIA=%22Localiza%20CL%22.%22Codreg%22%20%3D%209</t>
  </si>
  <si>
    <t>Cantidad de Propiedades Municipales por Comuna en la Región de Los Lagos en el periodo 2010-2019</t>
  </si>
  <si>
    <t>gobiernos locales propiedades municipal municipio cantidad comunal región los lagos</t>
  </si>
  <si>
    <t>https://analytics.zoho.com/open-view/2395394000008771662?ZOHO_CRITERIA=%22Localiza%20CL%22.%22Codreg%22%20%3D%2010</t>
  </si>
  <si>
    <t>Cantidad de Propiedades Municipales por Comuna en la Región de Aysén en el periodo 2010-2019</t>
  </si>
  <si>
    <t>gobiernos locales propiedades municipal municipio cantidad comunal región aysén</t>
  </si>
  <si>
    <t>https://analytics.zoho.com/open-view/2395394000008771662?ZOHO_CRITERIA=%22Localiza%20CL%22.%22Codreg%22%20%3D%2011</t>
  </si>
  <si>
    <t>Cantidad de Propiedades Municipales por Comuna en la Región de Magallanes en el periodo 2010-2019</t>
  </si>
  <si>
    <t>gobiernos locales propiedades municipal municipio cantidad comunal región magallanes</t>
  </si>
  <si>
    <t>https://analytics.zoho.com/open-view/2395394000008771662?ZOHO_CRITERIA=%22Localiza%20CL%22.%22Codreg%22%20%3D%2012</t>
  </si>
  <si>
    <t>Cantidad de Propiedades Municipales por Comuna en la Región Metropolitana en el periodo 2010-2019</t>
  </si>
  <si>
    <t>gobiernos locales propiedades municipal municipio cantidad comunal región metropolitana</t>
  </si>
  <si>
    <t>https://analytics.zoho.com/open-view/2395394000008771662?ZOHO_CRITERIA=%22Localiza%20CL%22.%22Codreg%22%20%3D%2013</t>
  </si>
  <si>
    <t>Cantidad de Propiedades Municipales por Comuna en la Región de Los Ríos en el periodo 2010-2019</t>
  </si>
  <si>
    <t>gobiernos locales propiedades municipal municipio cantidad comunal región los ríos</t>
  </si>
  <si>
    <t>https://analytics.zoho.com/open-view/2395394000008771662?ZOHO_CRITERIA=%22Localiza%20CL%22.%22Codreg%22%20%3D%2014</t>
  </si>
  <si>
    <t>Cantidad de Propiedades Municipales por Comuna en la Región de Arica y Parinacota en el periodo 2010-2019</t>
  </si>
  <si>
    <t>gobiernos locales propiedades municipal municipio cantidad comunal región arica parinacota</t>
  </si>
  <si>
    <t>https://analytics.zoho.com/open-view/2395394000008771662?ZOHO_CRITERIA=%22Localiza%20CL%22.%22Codreg%22%20%3D%2015</t>
  </si>
  <si>
    <t>Cantidad de Propiedades Municipales por Comuna en la Región de Ñuble en el periodo 2010-2019</t>
  </si>
  <si>
    <t>gobiernos locales propiedades municipal municipio cantidad comunal región ñuble</t>
  </si>
  <si>
    <t>https://analytics.zoho.com/open-view/2395394000008771662?ZOHO_CRITERIA=%22Localiza%20CL%22.%22Codreg%22%20%3D%2016</t>
  </si>
  <si>
    <t>Número de personas en el programa de salud cardiovascular</t>
  </si>
  <si>
    <t>Evolución Población en Control del Programa de Salud Cardiovascular, Chile 2012-2018</t>
  </si>
  <si>
    <t>La Población en Control del Programa de Salud Cardiovascular cayó considerablemente del año 2014 al 2015, reduciendo la Población en Control en un 42%. El año 2018 cerró con más de 5,5 millones de personas en control, lo cual supone un aumento de 1 millón de personas en control desde el año 2015.</t>
  </si>
  <si>
    <t>cardiovascular corazón hipertensión enfermedad renal dislipidemias infarto salud programa nacional chile</t>
  </si>
  <si>
    <t>https://analytics.zoho.com/open-view/2395394000008188638</t>
  </si>
  <si>
    <t>Población en Control del Programa de Salud Cardiovascular por Enfermedad, Chile 2012-2018</t>
  </si>
  <si>
    <t>La enfermedad por la que más ingresaron pacientes al Programa de Salud Cardiovascular fue la hipertensión, llevándose el máximo durante todo el periodo 2012-2018. Por otro lado, las 5 etapas de Enfermedad Renal Crónica (ERC) fueron las que se llevaron la menor cantidad de ingresos durante el mismo periodo. Cabe mencionar que las etapas de la ERC dependen de la cantidad de orina que pueden filtrar los riñones por minuto (ml/min).</t>
  </si>
  <si>
    <t>diabetes tabaquismo obesidad cardiovascular corazón hipertensión enfermedad renal dislipidemias infarto salud programa nacional chile</t>
  </si>
  <si>
    <t>https://analytics.zoho.com/open-view/2395394000008188953</t>
  </si>
  <si>
    <t>Población en Control del Programa de Salud Cardiovascular por Enfermedad en la Región de Tarapacá, 2012-2018</t>
  </si>
  <si>
    <t>diabetes tabaquismo obesidad cardiovascular corazón hipertensión enfermedad renal dislipidemias infarto salud programa región tarapacá</t>
  </si>
  <si>
    <t>https://analytics.zoho.com/open-view/2395394000008539404?ZOHO_CRITERIA=%22Uni%C3%B3n%202.11-2.12%22.%22C%C3%B3digo%20Regi%C3%B3n%22%20%3D%201</t>
  </si>
  <si>
    <t>Población en Control del Programa de Salud Cardiovascular por Enfermedad en la Región de Antofagasta, 2012-2018</t>
  </si>
  <si>
    <t>diabetes tabaquismo obesidad cardiovascular corazón hipertensión enfermedad renal dislipidemias infarto salud programa región antofagasta</t>
  </si>
  <si>
    <t>https://analytics.zoho.com/open-view/2395394000008539404?ZOHO_CRITERIA=%22Uni%C3%B3n%202.11-2.12%22.%22C%C3%B3digo%20Regi%C3%B3n%22%20%3D%202</t>
  </si>
  <si>
    <t>Población en Control del Programa de Salud Cardiovascular por Enfermedad en la Región de Atacama, 2012-2018</t>
  </si>
  <si>
    <t>diabetes tabaquismo obesidad cardiovascular corazón hipertensión enfermedad renal dislipidemias infarto salud programa región atacama</t>
  </si>
  <si>
    <t>https://analytics.zoho.com/open-view/2395394000008539404?ZOHO_CRITERIA=%22Uni%C3%B3n%202.11-2.12%22.%22C%C3%B3digo%20Regi%C3%B3n%22%20%3D%203</t>
  </si>
  <si>
    <t>Población en Control del Programa de Salud Cardiovascular por Enfermedad en la Región de Coquimbo, 2012-2018</t>
  </si>
  <si>
    <t>diabetes tabaquismo obesidad cardiovascular corazón hipertensión enfermedad renal dislipidemias infarto salud programa región coquimbo</t>
  </si>
  <si>
    <t>https://analytics.zoho.com/open-view/2395394000008539404?ZOHO_CRITERIA=%22Uni%C3%B3n%202.11-2.12%22.%22C%C3%B3digo%20Regi%C3%B3n%22%20%3D%204</t>
  </si>
  <si>
    <t>Población en Control del Programa de Salud Cardiovascular por Enfermedad en la Región de Valparaíso, 2012-2018</t>
  </si>
  <si>
    <t>diabetes tabaquismo obesidad cardiovascular corazón hipertensión enfermedad renal dislipidemias infarto salud programa región valparaíso</t>
  </si>
  <si>
    <t>https://analytics.zoho.com/open-view/2395394000008539404?ZOHO_CRITERIA=%22Uni%C3%B3n%202.11-2.12%22.%22C%C3%B3digo%20Regi%C3%B3n%22%20%3D%205</t>
  </si>
  <si>
    <t>Población en Control del Programa de Salud Cardiovascular por Enfermedad en la Región de O'Higgins, 2012-2018</t>
  </si>
  <si>
    <t>diabetes tabaquismo obesidad cardiovascular corazón hipertensión enfermedad renal dislipidemias infarto salud programa región ohiggins</t>
  </si>
  <si>
    <t>https://analytics.zoho.com/open-view/2395394000008539404?ZOHO_CRITERIA=%22Uni%C3%B3n%202.11-2.12%22.%22C%C3%B3digo%20Regi%C3%B3n%22%20%3D%206</t>
  </si>
  <si>
    <t>Población en Control del Programa de Salud Cardiovascular por Enfermedad en la Región de Maule, 2012-2018</t>
  </si>
  <si>
    <t>diabetes tabaquismo obesidad cardiovascular corazón hipertensión enfermedad renal dislipidemias infarto salud programa región maule</t>
  </si>
  <si>
    <t>https://analytics.zoho.com/open-view/2395394000008539404?ZOHO_CRITERIA=%22Uni%C3%B3n%202.11-2.12%22.%22C%C3%B3digo%20Regi%C3%B3n%22%20%3D%207</t>
  </si>
  <si>
    <t>Población en Control del Programa de Salud Cardiovascular por Enfermedad en la Región del Biobío, 2012-2018</t>
  </si>
  <si>
    <t>diabetes tabaquismo obesidad cardiovascular corazón hipertensión enfermedad renal dislipidemias infarto salud programa región biobío</t>
  </si>
  <si>
    <t>https://analytics.zoho.com/open-view/2395394000008539404?ZOHO_CRITERIA=%22Uni%C3%B3n%202.11-2.12%22.%22C%C3%B3digo%20Regi%C3%B3n%22%20%3D%208</t>
  </si>
  <si>
    <t>Población en Control del Programa de Salud Cardiovascular por Enfermedad en la Región de La Araucanía, 2012-2018</t>
  </si>
  <si>
    <t>diabetes tabaquismo obesidad cardiovascular corazón hipertensión enfermedad renal dislipidemias infarto salud programa región araucanía</t>
  </si>
  <si>
    <t>https://analytics.zoho.com/open-view/2395394000008539404?ZOHO_CRITERIA=%22Uni%C3%B3n%202.11-2.12%22.%22C%C3%B3digo%20Regi%C3%B3n%22%20%3D%209</t>
  </si>
  <si>
    <t>Población en Control del Programa de Salud Cardiovascular por Enfermedad en la Región de Los Lagos, 2012-2018</t>
  </si>
  <si>
    <t>diabetes tabaquismo obesidad cardiovascular corazón hipertensión enfermedad renal dislipidemias infarto salud programa región los lagos</t>
  </si>
  <si>
    <t>https://analytics.zoho.com/open-view/2395394000008539404?ZOHO_CRITERIA=%22Uni%C3%B3n%202.11-2.12%22.%22C%C3%B3digo%20Regi%C3%B3n%22%20%3D%2010</t>
  </si>
  <si>
    <t>Población en Control del Programa de Salud Cardiovascular por Enfermedad en la Región de Aysén, 2012-2018</t>
  </si>
  <si>
    <t>diabetes tabaquismo obesidad cardiovascular corazón hipertensión enfermedad renal dislipidemias infarto salud programa región aysén</t>
  </si>
  <si>
    <t>https://analytics.zoho.com/open-view/2395394000008539404?ZOHO_CRITERIA=%22Uni%C3%B3n%202.11-2.12%22.%22C%C3%B3digo%20Regi%C3%B3n%22%20%3D%2011</t>
  </si>
  <si>
    <t>Población en Control del Programa de Salud Cardiovascular por Enfermedad en la Región de Magallanes, 2012-2018</t>
  </si>
  <si>
    <t>diabetes tabaquismo obesidad cardiovascular corazón hipertensión enfermedad renal dislipidemias infarto salud programa región magallanes</t>
  </si>
  <si>
    <t>https://analytics.zoho.com/open-view/2395394000008539404?ZOHO_CRITERIA=%22Uni%C3%B3n%202.11-2.12%22.%22C%C3%B3digo%20Regi%C3%B3n%22%20%3D%2012</t>
  </si>
  <si>
    <t>Población en Control del Programa de Salud Cardiovascular por Enfermedad en la Región Metropolitana, 2012-2018</t>
  </si>
  <si>
    <t>diabetes tabaquismo obesidad cardiovascular corazón hipertensión enfermedad renal dislipidemias infarto salud programa región metropolitana</t>
  </si>
  <si>
    <t>https://analytics.zoho.com/open-view/2395394000008539404?ZOHO_CRITERIA=%22Uni%C3%B3n%202.11-2.12%22.%22C%C3%B3digo%20Regi%C3%B3n%22%20%3D%2013</t>
  </si>
  <si>
    <t>Población en Control del Programa de Salud Cardiovascular por Enfermedad en la Región de Los Ríos, 2012-2018</t>
  </si>
  <si>
    <t>diabetes tabaquismo obesidad cardiovascular corazón hipertensión enfermedad renal dislipidemias infarto salud programa región los ríos</t>
  </si>
  <si>
    <t>https://analytics.zoho.com/open-view/2395394000008539404?ZOHO_CRITERIA=%22Uni%C3%B3n%202.11-2.12%22.%22C%C3%B3digo%20Regi%C3%B3n%22%20%3D%2014</t>
  </si>
  <si>
    <t>Población en Control del Programa de Salud Cardiovascular por Enfermedad en la Región de Arica y Parinacota, 2012-2018</t>
  </si>
  <si>
    <t>diabetes tabaquismo obesidad cardiovascular corazón hipertensión enfermedad renal dislipidemias infarto salud programa región arica parinacota</t>
  </si>
  <si>
    <t>https://analytics.zoho.com/open-view/2395394000008539404?ZOHO_CRITERIA=%22Uni%C3%B3n%202.11-2.12%22.%22C%C3%B3digo%20Regi%C3%B3n%22%20%3D%2015</t>
  </si>
  <si>
    <t>Población en Control del Programa de Salud Cardiovascular por Enfermedad en la Región de Ñuble, 2012-2018</t>
  </si>
  <si>
    <t>diabetes tabaquismo obesidad cardiovascular corazón hipertensión enfermedad renal dislipidemias infarto salud programa región ñuble</t>
  </si>
  <si>
    <t>https://analytics.zoho.com/open-view/2395394000008539404?ZOHO_CRITERIA=%22Uni%C3%B3n%202.11-2.12%22.%22C%C3%B3digo%20Regi%C3%B3n%22%20%3D%2016</t>
  </si>
  <si>
    <t>Población en Control del Programa de Salud Cardiovascular por Región, Chile 2012-2018</t>
  </si>
  <si>
    <t>Para el año 2018, la Población en Control del Programa de Salud Cardiovascular (PSCV) se concentró en mayor cantidad en la Región Metropolitana con casi 2 millones de personas. Luego viene la Región del Biobío, la cual terminó el año 2018 con más de 600 mil personas en el programa.</t>
  </si>
  <si>
    <t>enfermedad cardiovascular corazón población control salud programa regional chile</t>
  </si>
  <si>
    <t>https://analytics.zoho.com/open-view/2395394000008188130</t>
  </si>
  <si>
    <t>Población en Control del Programa de Salud Cardiovascular en la Región de Tarapacá, 2012-2018</t>
  </si>
  <si>
    <t>enfermedad cardiovascular corazón población control salud programa región tarapacá</t>
  </si>
  <si>
    <t>https://analytics.zoho.com/open-view/2395394000008188130?ZOHO_CRITERIA=%22Uni%C3%B3n%202.11-2.12%22.%22C%C3%B3digo%20Regi%C3%B3n%22%20%3D%201</t>
  </si>
  <si>
    <t>Población en Control del Programa de Salud Cardiovascular en la Región de Antofagasta, 2012-2018</t>
  </si>
  <si>
    <t>enfermedad cardiovascular corazón población control salud programa región antofagasta</t>
  </si>
  <si>
    <t>https://analytics.zoho.com/open-view/2395394000008188130?ZOHO_CRITERIA=%22Uni%C3%B3n%202.11-2.12%22.%22C%C3%B3digo%20Regi%C3%B3n%22%20%3D%202</t>
  </si>
  <si>
    <t>Población en Control del Programa de Salud Cardiovascular en la Región de Atacama, 2012-2018</t>
  </si>
  <si>
    <t>enfermedad cardiovascular corazón población control salud programa región atacama</t>
  </si>
  <si>
    <t>https://analytics.zoho.com/open-view/2395394000008188130?ZOHO_CRITERIA=%22Uni%C3%B3n%202.11-2.12%22.%22C%C3%B3digo%20Regi%C3%B3n%22%20%3D%203</t>
  </si>
  <si>
    <t>Población en Control del Programa de Salud Cardiovascular en la Región de Coquimbo, 2012-2018</t>
  </si>
  <si>
    <t>enfermedad cardiovascular corazón población control salud programa región coquimbo</t>
  </si>
  <si>
    <t>https://analytics.zoho.com/open-view/2395394000008188130?ZOHO_CRITERIA=%22Uni%C3%B3n%202.11-2.12%22.%22C%C3%B3digo%20Regi%C3%B3n%22%20%3D%204</t>
  </si>
  <si>
    <t>Población en Control del Programa de Salud Cardiovascular en la Región de Valparaíso, 2012-2018</t>
  </si>
  <si>
    <t>enfermedad cardiovascular corazón población control salud programa región valparaíso</t>
  </si>
  <si>
    <t>https://analytics.zoho.com/open-view/2395394000008188130?ZOHO_CRITERIA=%22Uni%C3%B3n%202.11-2.12%22.%22C%C3%B3digo%20Regi%C3%B3n%22%20%3D%205</t>
  </si>
  <si>
    <t>Población en Control del Programa de Salud Cardiovascular en la Región de O'Higgins, 2012-2018</t>
  </si>
  <si>
    <t>enfermedad cardiovascular corazón población control salud programa región ohiggins</t>
  </si>
  <si>
    <t>https://analytics.zoho.com/open-view/2395394000008188130?ZOHO_CRITERIA=%22Uni%C3%B3n%202.11-2.12%22.%22C%C3%B3digo%20Regi%C3%B3n%22%20%3D%206</t>
  </si>
  <si>
    <t>Población en Control del Programa de Salud Cardiovascular en la Región de Maule, 2012-2018</t>
  </si>
  <si>
    <t>enfermedad cardiovascular corazón población control salud programa región maule</t>
  </si>
  <si>
    <t>https://analytics.zoho.com/open-view/2395394000008188130?ZOHO_CRITERIA=%22Uni%C3%B3n%202.11-2.12%22.%22C%C3%B3digo%20Regi%C3%B3n%22%20%3D%207</t>
  </si>
  <si>
    <t>Población en Control del Programa de Salud Cardiovascular en la Región del Biobío, 2012-2018</t>
  </si>
  <si>
    <t>enfermedad cardiovascular corazón población control salud programa región biobío</t>
  </si>
  <si>
    <t>https://analytics.zoho.com/open-view/2395394000008188130?ZOHO_CRITERIA=%22Uni%C3%B3n%202.11-2.12%22.%22C%C3%B3digo%20Regi%C3%B3n%22%20%3D%208</t>
  </si>
  <si>
    <t>Población en Control del Programa de Salud Cardiovascular en la Región de La Araucanía, 2012-2018</t>
  </si>
  <si>
    <t>enfermedad cardiovascular corazón población control salud programa región araucanía</t>
  </si>
  <si>
    <t>https://analytics.zoho.com/open-view/2395394000008188130?ZOHO_CRITERIA=%22Uni%C3%B3n%202.11-2.12%22.%22C%C3%B3digo%20Regi%C3%B3n%22%20%3D%209</t>
  </si>
  <si>
    <t>Población en Control del Programa de Salud Cardiovascular en la Región de Los Lagos, 2012-2018</t>
  </si>
  <si>
    <t>enfermedad cardiovascular corazón población control salud programa región los lagos</t>
  </si>
  <si>
    <t>https://analytics.zoho.com/open-view/2395394000008188130?ZOHO_CRITERIA=%22Uni%C3%B3n%202.11-2.12%22.%22C%C3%B3digo%20Regi%C3%B3n%22%20%3D%2010</t>
  </si>
  <si>
    <t>Población en Control del Programa de Salud Cardiovascular en la Región de Aysén, 2012-2018</t>
  </si>
  <si>
    <t>enfermedad cardiovascular corazón población control salud programa región aysén</t>
  </si>
  <si>
    <t>https://analytics.zoho.com/open-view/2395394000008188130?ZOHO_CRITERIA=%22Uni%C3%B3n%202.11-2.12%22.%22C%C3%B3digo%20Regi%C3%B3n%22%20%3D%2011</t>
  </si>
  <si>
    <t>Población en Control del Programa de Salud Cardiovascular en la Región de Magallanes, 2012-2018</t>
  </si>
  <si>
    <t>enfermedad cardiovascular corazón población control salud programa región magallanes</t>
  </si>
  <si>
    <t>https://analytics.zoho.com/open-view/2395394000008188130?ZOHO_CRITERIA=%22Uni%C3%B3n%202.11-2.12%22.%22C%C3%B3digo%20Regi%C3%B3n%22%20%3D%2012</t>
  </si>
  <si>
    <t>Población en Control del Programa de Salud Cardiovascular en la Región Metropolitana, 2012-2018</t>
  </si>
  <si>
    <t>enfermedad cardiovascular corazón población control salud programa región metropolitana</t>
  </si>
  <si>
    <t>https://analytics.zoho.com/open-view/2395394000008188130?ZOHO_CRITERIA=%22Uni%C3%B3n%202.11-2.12%22.%22C%C3%B3digo%20Regi%C3%B3n%22%20%3D%2013</t>
  </si>
  <si>
    <t>Población en Control del Programa de Salud Cardiovascular en la Región de Los Ríos, 2012-2018</t>
  </si>
  <si>
    <t>enfermedad cardiovascular corazón población control salud programa región los ríos</t>
  </si>
  <si>
    <t>https://analytics.zoho.com/open-view/2395394000008188130?ZOHO_CRITERIA=%22Uni%C3%B3n%202.11-2.12%22.%22C%C3%B3digo%20Regi%C3%B3n%22%20%3D%2014</t>
  </si>
  <si>
    <t>Población en Control del Programa de Salud Cardiovascular en la Región de Arica y Parinacota, 2012-2018</t>
  </si>
  <si>
    <t>enfermedad cardiovascular corazón población control salud programa región arica parinacota</t>
  </si>
  <si>
    <t>https://analytics.zoho.com/open-view/2395394000008188130?ZOHO_CRITERIA=%22Uni%C3%B3n%202.11-2.12%22.%22C%C3%B3digo%20Regi%C3%B3n%22%20%3D%2015</t>
  </si>
  <si>
    <t>Población en Control del Programa de Salud Cardiovascular en la Región de Ñuble, 2012-2018</t>
  </si>
  <si>
    <t>enfermedad cardiovascular corazón población control salud programa región ñuble</t>
  </si>
  <si>
    <t>https://analytics.zoho.com/open-view/2395394000008188130?ZOHO_CRITERIA=%22Uni%C3%B3n%202.11-2.12%22.%22C%C3%B3digo%20Regi%C3%B3n%22%20%3D%2016</t>
  </si>
  <si>
    <t>Población en Control del Programa de Salud Cardiovascular por Comuna, Chile 2012-2018</t>
  </si>
  <si>
    <t>Considerando el periodo 2012-2018, se observa que las comunas de Puente Alto y La Florida tuvieron la mayor Población en Control del Programa de Salud Cardiovascular superando el millón de personas, seguidos por la comuna Valparaíso que alcanzó 800 mil personas en control para el periodo analizado.</t>
  </si>
  <si>
    <t>enfermedad cardiovascular corazón población control salud programa comunal chile</t>
  </si>
  <si>
    <t>https://analytics.zoho.com/open-view/2395394000008188039</t>
  </si>
  <si>
    <t>Población en Control del Programa de Salud Cardiovascular por Comuna en la Región de Tarapacá, 2012-2018</t>
  </si>
  <si>
    <t>enfermedad cardiovascular corazón población control salud programa comunal región tarapacá</t>
  </si>
  <si>
    <t>https://analytics.zoho.com/open-view/2395394000008463254?ZOHO_CRITERIA=%22Uni%C3%B3n%202.11-2.12%22.%22C%C3%B3digo%20Regi%C3%B3n%22%20%3D%201</t>
  </si>
  <si>
    <t>Población en Control del Programa de Salud Cardiovascular por Comuna en la Región de Antofagasta, 2012-2018</t>
  </si>
  <si>
    <t>enfermedad cardiovascular corazón población control salud programa comunal región antofagasta</t>
  </si>
  <si>
    <t>https://analytics.zoho.com/open-view/2395394000008463254?ZOHO_CRITERIA=%22Uni%C3%B3n%202.11-2.12%22.%22C%C3%B3digo%20Regi%C3%B3n%22%20%3D%202</t>
  </si>
  <si>
    <t>Población en Control del Programa de Salud Cardiovascular por Comuna en la Región de Atacama, 2012-2018</t>
  </si>
  <si>
    <t>enfermedad cardiovascular corazón población control salud programa comunal región atacama</t>
  </si>
  <si>
    <t>https://analytics.zoho.com/open-view/2395394000008463254?ZOHO_CRITERIA=%22Uni%C3%B3n%202.11-2.12%22.%22C%C3%B3digo%20Regi%C3%B3n%22%20%3D%203</t>
  </si>
  <si>
    <t>Población en Control del Programa de Salud Cardiovascular por Comuna en la Región de Coquimbo, 2012-2018</t>
  </si>
  <si>
    <t>enfermedad cardiovascular corazón población control salud programa comunal región coquimbo</t>
  </si>
  <si>
    <t>https://analytics.zoho.com/open-view/2395394000008463254?ZOHO_CRITERIA=%22Uni%C3%B3n%202.11-2.12%22.%22C%C3%B3digo%20Regi%C3%B3n%22%20%3D%204</t>
  </si>
  <si>
    <t>Población en Control del Programa de Salud Cardiovascular por Comuna en la Región de Valparaíso, 2012-2018</t>
  </si>
  <si>
    <t>enfermedad cardiovascular corazón población control salud programa comunal región valparaíso</t>
  </si>
  <si>
    <t>https://analytics.zoho.com/open-view/2395394000008463254?ZOHO_CRITERIA=%22Uni%C3%B3n%202.11-2.12%22.%22C%C3%B3digo%20Regi%C3%B3n%22%20%3D%205</t>
  </si>
  <si>
    <t>Población en Control del Programa de Salud Cardiovascular por Comuna en la Región de O'Higgins, 2012-2018</t>
  </si>
  <si>
    <t>enfermedad cardiovascular corazón población control salud programa comunal región ohiggins</t>
  </si>
  <si>
    <t>https://analytics.zoho.com/open-view/2395394000008463254?ZOHO_CRITERIA=%22Uni%C3%B3n%202.11-2.12%22.%22C%C3%B3digo%20Regi%C3%B3n%22%20%3D%206</t>
  </si>
  <si>
    <t>Población en Control del Programa de Salud Cardiovascular por Comuna en la Región de Maule, 2012-2018</t>
  </si>
  <si>
    <t>enfermedad cardiovascular corazón población control salud programa comunal región maule</t>
  </si>
  <si>
    <t>https://analytics.zoho.com/open-view/2395394000008463254?ZOHO_CRITERIA=%22Uni%C3%B3n%202.11-2.12%22.%22C%C3%B3digo%20Regi%C3%B3n%22%20%3D%207</t>
  </si>
  <si>
    <t>Población en Control del Programa de Salud Cardiovascular por Comuna en la Región del Biobío, 2012-2018</t>
  </si>
  <si>
    <t>enfermedad cardiovascular corazón población control salud programa comunal región biobío</t>
  </si>
  <si>
    <t>https://analytics.zoho.com/open-view/2395394000008463254?ZOHO_CRITERIA=%22Uni%C3%B3n%202.11-2.12%22.%22C%C3%B3digo%20Regi%C3%B3n%22%20%3D%208</t>
  </si>
  <si>
    <t>Población en Control del Programa de Salud Cardiovascular por Comuna en la Región de La Araucanía, 2012-2018</t>
  </si>
  <si>
    <t>enfermedad cardiovascular corazón población control salud programa comunal región araucanía</t>
  </si>
  <si>
    <t>https://analytics.zoho.com/open-view/2395394000008463254?ZOHO_CRITERIA=%22Uni%C3%B3n%202.11-2.12%22.%22C%C3%B3digo%20Regi%C3%B3n%22%20%3D%209</t>
  </si>
  <si>
    <t>Población en Control del Programa de Salud Cardiovascular por Comuna en la Región de Los Lagos, 2012-2018</t>
  </si>
  <si>
    <t>enfermedad cardiovascular corazón población control salud programa comunal región los lagos</t>
  </si>
  <si>
    <t>https://analytics.zoho.com/open-view/2395394000008463254?ZOHO_CRITERIA=%22Uni%C3%B3n%202.11-2.12%22.%22C%C3%B3digo%20Regi%C3%B3n%22%20%3D%2010</t>
  </si>
  <si>
    <t>Población en Control del Programa de Salud Cardiovascular por Comuna en la Región de Aysén, 2012-2018</t>
  </si>
  <si>
    <t>enfermedad cardiovascular corazón población control salud programa comunal región aysén</t>
  </si>
  <si>
    <t>https://analytics.zoho.com/open-view/2395394000008463254?ZOHO_CRITERIA=%22Uni%C3%B3n%202.11-2.12%22.%22C%C3%B3digo%20Regi%C3%B3n%22%20%3D%2011</t>
  </si>
  <si>
    <t>Población en Control del Programa de Salud Cardiovascular por Comuna en la Región de Magallanes, 2012-2018</t>
  </si>
  <si>
    <t>enfermedad cardiovascular corazón población control salud programa comunal región magallanes</t>
  </si>
  <si>
    <t>https://analytics.zoho.com/open-view/2395394000008463254?ZOHO_CRITERIA=%22Uni%C3%B3n%202.11-2.12%22.%22C%C3%B3digo%20Regi%C3%B3n%22%20%3D%2012</t>
  </si>
  <si>
    <t>Población en Control del Programa de Salud Cardiovascular por Comuna en la Región Metropolitana, 2012-2018</t>
  </si>
  <si>
    <t>enfermedad cardiovascular corazón población control salud programa comunal región metropolitana</t>
  </si>
  <si>
    <t>https://analytics.zoho.com/open-view/2395394000008463254?ZOHO_CRITERIA=%22Uni%C3%B3n%202.11-2.12%22.%22C%C3%B3digo%20Regi%C3%B3n%22%20%3D%2013</t>
  </si>
  <si>
    <t>Población en Control del Programa de Salud Cardiovascular por Comuna en la Región de Los Ríos, 2012-2018</t>
  </si>
  <si>
    <t>enfermedad cardiovascular corazón población control salud programa comunal región los ríos</t>
  </si>
  <si>
    <t>https://analytics.zoho.com/open-view/2395394000008463254?ZOHO_CRITERIA=%22Uni%C3%B3n%202.11-2.12%22.%22C%C3%B3digo%20Regi%C3%B3n%22%20%3D%2014</t>
  </si>
  <si>
    <t>Población en Control del Programa de Salud Cardiovascular por Comuna en la Región de Arica y Parinacota, 2012-2018</t>
  </si>
  <si>
    <t>enfermedad cardiovascular corazón población control salud programa comunal región arica parinacota</t>
  </si>
  <si>
    <t>https://analytics.zoho.com/open-view/2395394000008463254?ZOHO_CRITERIA=%22Uni%C3%B3n%202.11-2.12%22.%22C%C3%B3digo%20Regi%C3%B3n%22%20%3D%2015</t>
  </si>
  <si>
    <t>Población en Control del Programa de Salud Cardiovascular por Comuna en la Región de Ñuble, 2012-2018</t>
  </si>
  <si>
    <t>enfermedad cardiovascular corazón población control salud programa comunal región ñuble</t>
  </si>
  <si>
    <t>https://analytics.zoho.com/open-view/2395394000008463254?ZOHO_CRITERIA=%22Uni%C3%B3n%202.11-2.12%22.%22C%C3%B3digo%20Regi%C3%B3n%22%20%3D%2016</t>
  </si>
  <si>
    <t>Población en Control del Programa de Salud Cardiovascular por Sexo, Chile 2012-2018</t>
  </si>
  <si>
    <t>En el Programa de Salud Cardiovascular (PSCV), durante el periodo comprendido entre los años 2012-2018, es mayor la cantidad de mujeres que de hombres, alcanzando su peak el año 2014. Sin embargo, durante los años 2015-2018, en que se observa una disminución en la Población en Control del PSCV, la diferencia entre pacientes mujeres y hombres se reduce a la mitad.</t>
  </si>
  <si>
    <t>enfermedad cardiovascular corazón población control salud programa sexo hombre mujer nacional chile</t>
  </si>
  <si>
    <t>https://analytics.zoho.com/open-view/2395394000008188229</t>
  </si>
  <si>
    <t>Población en Control del Programa de Salud Cardiovascular por Sexo en la Región de Tarapacá, 2012-2018</t>
  </si>
  <si>
    <t>enfermedad cardiovascular corazón población control salud programa sexo hombre mujer región tarapacá</t>
  </si>
  <si>
    <t>https://analytics.zoho.com/open-view/2395394000008463332?ZOHO_CRITERIA=%22Uni%C3%B3n%202.11-2.12%22.%22C%C3%B3digo%20Regi%C3%B3n%22%20%3D%201</t>
  </si>
  <si>
    <t>Población en Control del Programa de Salud Cardiovascular por Sexo en la Región de Antofagasta, 2012-2018</t>
  </si>
  <si>
    <t>enfermedad cardiovascular corazón población control salud programa sexo hombre mujer región antofagasta</t>
  </si>
  <si>
    <t>https://analytics.zoho.com/open-view/2395394000008463332?ZOHO_CRITERIA=%22Uni%C3%B3n%202.11-2.12%22.%22C%C3%B3digo%20Regi%C3%B3n%22%20%3D%202</t>
  </si>
  <si>
    <t>Población en Control del Programa de Salud Cardiovascular por Sexo en la Región de Atacama, 2012-2018</t>
  </si>
  <si>
    <t>enfermedad cardiovascular corazón población control salud programa sexo hombre mujer región atacama</t>
  </si>
  <si>
    <t>https://analytics.zoho.com/open-view/2395394000008463332?ZOHO_CRITERIA=%22Uni%C3%B3n%202.11-2.12%22.%22C%C3%B3digo%20Regi%C3%B3n%22%20%3D%203</t>
  </si>
  <si>
    <t>Población en Control del Programa de Salud Cardiovascular por Sexo en la Región de Coquimbo, 2012-2018</t>
  </si>
  <si>
    <t>enfermedad cardiovascular corazón población control salud programa sexo hombre mujer región coquimbo</t>
  </si>
  <si>
    <t>https://analytics.zoho.com/open-view/2395394000008463332?ZOHO_CRITERIA=%22Uni%C3%B3n%202.11-2.12%22.%22C%C3%B3digo%20Regi%C3%B3n%22%20%3D%204</t>
  </si>
  <si>
    <t>Población en Control del Programa de Salud Cardiovascular por Sexo en la Región de Valparaíso, 2012-2018</t>
  </si>
  <si>
    <t>enfermedad cardiovascular corazón población control salud programa sexo hombre mujer región valparaíso</t>
  </si>
  <si>
    <t>https://analytics.zoho.com/open-view/2395394000008463332?ZOHO_CRITERIA=%22Uni%C3%B3n%202.11-2.12%22.%22C%C3%B3digo%20Regi%C3%B3n%22%20%3D%205</t>
  </si>
  <si>
    <t>Población en Control del Programa de Salud Cardiovascular por Sexo en la Región de O'Higgins, 2012-2018</t>
  </si>
  <si>
    <t>enfermedad cardiovascular corazón población control salud programa sexo hombre mujer región ohiggins</t>
  </si>
  <si>
    <t>https://analytics.zoho.com/open-view/2395394000008463332?ZOHO_CRITERIA=%22Uni%C3%B3n%202.11-2.12%22.%22C%C3%B3digo%20Regi%C3%B3n%22%20%3D%206</t>
  </si>
  <si>
    <t>Población en Control del Programa de Salud Cardiovascular por Sexo en la Región de Maule, 2012-2018</t>
  </si>
  <si>
    <t>enfermedad cardiovascular corazón población control salud programa sexo hombre mujer región maule</t>
  </si>
  <si>
    <t>https://analytics.zoho.com/open-view/2395394000008463332?ZOHO_CRITERIA=%22Uni%C3%B3n%202.11-2.12%22.%22C%C3%B3digo%20Regi%C3%B3n%22%20%3D%207</t>
  </si>
  <si>
    <t>Población en Control del Programa de Salud Cardiovascular por Sexo en la Región del Biobío, 2012-2018</t>
  </si>
  <si>
    <t>enfermedad cardiovascular corazón población control salud programa sexo hombre mujer región biobío</t>
  </si>
  <si>
    <t>https://analytics.zoho.com/open-view/2395394000008463332?ZOHO_CRITERIA=%22Uni%C3%B3n%202.11-2.12%22.%22C%C3%B3digo%20Regi%C3%B3n%22%20%3D%208</t>
  </si>
  <si>
    <t>Población en Control del Programa de Salud Cardiovascular por Sexo en la Región de La Araucanía, 2012-2018</t>
  </si>
  <si>
    <t>enfermedad cardiovascular corazón población control salud programa sexo hombre mujer región araucanía</t>
  </si>
  <si>
    <t>https://analytics.zoho.com/open-view/2395394000008463332?ZOHO_CRITERIA=%22Uni%C3%B3n%202.11-2.12%22.%22C%C3%B3digo%20Regi%C3%B3n%22%20%3D%209</t>
  </si>
  <si>
    <t>Población en Control del Programa de Salud Cardiovascular por Sexo en la Región de Los Lagos, 2012-2018</t>
  </si>
  <si>
    <t>enfermedad cardiovascular corazón población control salud programa sexo hombre mujer región los lagos</t>
  </si>
  <si>
    <t>https://analytics.zoho.com/open-view/2395394000008463332?ZOHO_CRITERIA=%22Uni%C3%B3n%202.11-2.12%22.%22C%C3%B3digo%20Regi%C3%B3n%22%20%3D%2010</t>
  </si>
  <si>
    <t>Población en Control del Programa de Salud Cardiovascular por Sexo en la Región de Aysén, 2012-2018</t>
  </si>
  <si>
    <t>enfermedad cardiovascular corazón población control salud programa sexo hombre mujer región aysén</t>
  </si>
  <si>
    <t>https://analytics.zoho.com/open-view/2395394000008463332?ZOHO_CRITERIA=%22Uni%C3%B3n%202.11-2.12%22.%22C%C3%B3digo%20Regi%C3%B3n%22%20%3D%2011</t>
  </si>
  <si>
    <t>Población en Control del Programa de Salud Cardiovascular por Sexo en la Región de Magallanes, 2012-2018</t>
  </si>
  <si>
    <t>enfermedad cardiovascular corazón población control salud programa sexo hombre mujer región magallanes</t>
  </si>
  <si>
    <t>https://analytics.zoho.com/open-view/2395394000008463332?ZOHO_CRITERIA=%22Uni%C3%B3n%202.11-2.12%22.%22C%C3%B3digo%20Regi%C3%B3n%22%20%3D%2012</t>
  </si>
  <si>
    <t>Población en Control del Programa de Salud Cardiovascular por Sexo en la Región Metropolitana, 2012-2018</t>
  </si>
  <si>
    <t>enfermedad cardiovascular corazón población control salud programa sexo hombre mujer región metropolitana</t>
  </si>
  <si>
    <t>https://analytics.zoho.com/open-view/2395394000008463332?ZOHO_CRITERIA=%22Uni%C3%B3n%202.11-2.12%22.%22C%C3%B3digo%20Regi%C3%B3n%22%20%3D%2013</t>
  </si>
  <si>
    <t>Población en Control del Programa de Salud Cardiovascular por Sexo en la Región de Los Ríos, 2012-2018</t>
  </si>
  <si>
    <t>enfermedad cardiovascular corazón población control salud programa sexo hombre mujer región los ríos</t>
  </si>
  <si>
    <t>https://analytics.zoho.com/open-view/2395394000008463332?ZOHO_CRITERIA=%22Uni%C3%B3n%202.11-2.12%22.%22C%C3%B3digo%20Regi%C3%B3n%22%20%3D%2014</t>
  </si>
  <si>
    <t>Población en Control del Programa de Salud Cardiovascular por Sexo en la Región de Arica y Parinacota, 2012-2018</t>
  </si>
  <si>
    <t>enfermedad cardiovascular corazón población control salud programa sexo hombre mujer región arica parinacota</t>
  </si>
  <si>
    <t>https://analytics.zoho.com/open-view/2395394000008463332?ZOHO_CRITERIA=%22Uni%C3%B3n%202.11-2.12%22.%22C%C3%B3digo%20Regi%C3%B3n%22%20%3D%2015</t>
  </si>
  <si>
    <t>Población en Control del Programa de Salud Cardiovascular por Sexo en la Región de Ñuble, 2012-2018</t>
  </si>
  <si>
    <t>enfermedad cardiovascular corazón población control salud programa sexo hombre mujer región ñuble</t>
  </si>
  <si>
    <t>https://analytics.zoho.com/open-view/2395394000008463332?ZOHO_CRITERIA=%22Uni%C3%B3n%202.11-2.12%22.%22C%C3%B3digo%20Regi%C3%B3n%22%20%3D%2016</t>
  </si>
  <si>
    <t>Población en Control del Programa de Salud Cardiovascular por Rango Etario, Chile 2012-2018</t>
  </si>
  <si>
    <t>El año 2014 tuvo un peak de Población en Control del Programa de Salud Cardiovascular que superó los 8 millones de personas, siendo el rango etario que tuvo más pacientes el de" 65 y más años". El año 2018, los pacientes no superaron los 6 millones, siendo el rango etario mayoritario el comprendido entre los "55-64 años".</t>
  </si>
  <si>
    <t>enfermedad cardiovascular corazón población control salud programa edades rango etario nacional chile</t>
  </si>
  <si>
    <t>https://analytics.zoho.com/open-view/2395394000008188448</t>
  </si>
  <si>
    <t>Población en Control del Programa de Salud Cardiovascular por Rango Etario en la Región de Tarapacá, 2012-2018</t>
  </si>
  <si>
    <t>enfermedad cardiovascular corazón población control salud programa edades rango etario región tarapacá</t>
  </si>
  <si>
    <t>https://analytics.zoho.com/open-view/2395394000008463071?ZOHO_CRITERIA=%22Uni%C3%B3n%202.11-2.12%22.%22C%C3%B3digo%20Regi%C3%B3n%22%20%3D%201</t>
  </si>
  <si>
    <t>Población en Control del Programa de Salud Cardiovascular por Rango Etario en la Región de Antofagasta, 2012-2018</t>
  </si>
  <si>
    <t>enfermedad cardiovascular corazón población control salud programa edades rango etario región antofagasta</t>
  </si>
  <si>
    <t>https://analytics.zoho.com/open-view/2395394000008463071?ZOHO_CRITERIA=%22Uni%C3%B3n%202.11-2.12%22.%22C%C3%B3digo%20Regi%C3%B3n%22%20%3D%202</t>
  </si>
  <si>
    <t>Población en Control del Programa de Salud Cardiovascular por Rango Etario en la Región de Atacama, 2012-2018</t>
  </si>
  <si>
    <t>enfermedad cardiovascular corazón población control salud programa edades rango etario región atacama</t>
  </si>
  <si>
    <t>https://analytics.zoho.com/open-view/2395394000008463071?ZOHO_CRITERIA=%22Uni%C3%B3n%202.11-2.12%22.%22C%C3%B3digo%20Regi%C3%B3n%22%20%3D%203</t>
  </si>
  <si>
    <t>Población en Control del Programa de Salud Cardiovascular por Rango Etario en la Región de Coquimbo, 2012-2018</t>
  </si>
  <si>
    <t>enfermedad cardiovascular corazón población control salud programa edades rango etario región coquimbo</t>
  </si>
  <si>
    <t>https://analytics.zoho.com/open-view/2395394000008463071?ZOHO_CRITERIA=%22Uni%C3%B3n%202.11-2.12%22.%22C%C3%B3digo%20Regi%C3%B3n%22%20%3D%204</t>
  </si>
  <si>
    <t>Población en Control del Programa de Salud Cardiovascular por Rango Etario en la Región de Valparaíso, 2012-2018</t>
  </si>
  <si>
    <t>enfermedad cardiovascular corazón población control salud programa edades rango etario región valparaíso</t>
  </si>
  <si>
    <t>https://analytics.zoho.com/open-view/2395394000008463071?ZOHO_CRITERIA=%22Uni%C3%B3n%202.11-2.12%22.%22C%C3%B3digo%20Regi%C3%B3n%22%20%3D%205</t>
  </si>
  <si>
    <t>Población en Control del Programa de Salud Cardiovascular por Rango Etario en la Región de O'Higgins, 2012-2018</t>
  </si>
  <si>
    <t>enfermedad cardiovascular corazón población control salud programa edades rango etario región ohiggins</t>
  </si>
  <si>
    <t>https://analytics.zoho.com/open-view/2395394000008463071?ZOHO_CRITERIA=%22Uni%C3%B3n%202.11-2.12%22.%22C%C3%B3digo%20Regi%C3%B3n%22%20%3D%206</t>
  </si>
  <si>
    <t>Población en Control del Programa de Salud Cardiovascular por Rango Etario en la Región de Maule, 2012-2018</t>
  </si>
  <si>
    <t>enfermedad cardiovascular corazón población control salud programa edades rango etario región maule</t>
  </si>
  <si>
    <t>https://analytics.zoho.com/open-view/2395394000008463071?ZOHO_CRITERIA=%22Uni%C3%B3n%202.11-2.12%22.%22C%C3%B3digo%20Regi%C3%B3n%22%20%3D%207</t>
  </si>
  <si>
    <t>Población en Control del Programa de Salud Cardiovascular por Rango Etario en la Región del Biobío, 2012-2018</t>
  </si>
  <si>
    <t>enfermedad cardiovascular corazón población control salud programa edades rango etario región biobío</t>
  </si>
  <si>
    <t>https://analytics.zoho.com/open-view/2395394000008463071?ZOHO_CRITERIA=%22Uni%C3%B3n%202.11-2.12%22.%22C%C3%B3digo%20Regi%C3%B3n%22%20%3D%208</t>
  </si>
  <si>
    <t>Población en Control del Programa de Salud Cardiovascular por Rango Etario en la Región de La Araucanía, 2012-2018</t>
  </si>
  <si>
    <t>enfermedad cardiovascular corazón población control salud programa edades rango etario región araucanía</t>
  </si>
  <si>
    <t>https://analytics.zoho.com/open-view/2395394000008463071?ZOHO_CRITERIA=%22Uni%C3%B3n%202.11-2.12%22.%22C%C3%B3digo%20Regi%C3%B3n%22%20%3D%209</t>
  </si>
  <si>
    <t>Población en Control del Programa de Salud Cardiovascular por Rango Etario en la Región de Los Lagos, 2012-2018</t>
  </si>
  <si>
    <t>enfermedad cardiovascular corazón población control salud programa edades rango etario región los lagos</t>
  </si>
  <si>
    <t>https://analytics.zoho.com/open-view/2395394000008463071?ZOHO_CRITERIA=%22Uni%C3%B3n%202.11-2.12%22.%22C%C3%B3digo%20Regi%C3%B3n%22%20%3D%2010</t>
  </si>
  <si>
    <t>Población en Control del Programa de Salud Cardiovascular por Rango Etario en la Región de Aysén, 2012-2018</t>
  </si>
  <si>
    <t>enfermedad cardiovascular corazón población control salud programa edades rango etario región aysén</t>
  </si>
  <si>
    <t>https://analytics.zoho.com/open-view/2395394000008463071?ZOHO_CRITERIA=%22Uni%C3%B3n%202.11-2.12%22.%22C%C3%B3digo%20Regi%C3%B3n%22%20%3D%2011</t>
  </si>
  <si>
    <t>Población en Control del Programa de Salud Cardiovascular por Rango Etario en la Región de Magallanes, 2012-2018</t>
  </si>
  <si>
    <t>enfermedad cardiovascular corazón población control salud programa edades rango etario región magallanes</t>
  </si>
  <si>
    <t>https://analytics.zoho.com/open-view/2395394000008463071?ZOHO_CRITERIA=%22Uni%C3%B3n%202.11-2.12%22.%22C%C3%B3digo%20Regi%C3%B3n%22%20%3D%2012</t>
  </si>
  <si>
    <t>Población en Control del Programa de Salud Cardiovascular por Rango Etario en la Región Metropolitana, 2012-2018</t>
  </si>
  <si>
    <t>enfermedad cardiovascular corazón población control salud programa edades rango etario región metropolitana</t>
  </si>
  <si>
    <t>https://analytics.zoho.com/open-view/2395394000008463071?ZOHO_CRITERIA=%22Uni%C3%B3n%202.11-2.12%22.%22C%C3%B3digo%20Regi%C3%B3n%22%20%3D%2013</t>
  </si>
  <si>
    <t>Población en Control del Programa de Salud Cardiovascular por Rango Etario en la Región de Los Ríos, 2012-2018</t>
  </si>
  <si>
    <t>enfermedad cardiovascular corazón población control salud programa edades rango etario región los ríos</t>
  </si>
  <si>
    <t>https://analytics.zoho.com/open-view/2395394000008463071?ZOHO_CRITERIA=%22Uni%C3%B3n%202.11-2.12%22.%22C%C3%B3digo%20Regi%C3%B3n%22%20%3D%2014</t>
  </si>
  <si>
    <t>Población en Control del Programa de Salud Cardiovascular por Rango Etario en la Región de Arica y Parinacota, 2012-2018</t>
  </si>
  <si>
    <t>enfermedad cardiovascular corazón población control salud programa edades rango etario región arica parinacota</t>
  </si>
  <si>
    <t>https://analytics.zoho.com/open-view/2395394000008463071?ZOHO_CRITERIA=%22Uni%C3%B3n%202.11-2.12%22.%22C%C3%B3digo%20Regi%C3%B3n%22%20%3D%2015</t>
  </si>
  <si>
    <t>Población en Control del Programa de Salud Cardiovascular por Rango Etario en la Región de Ñuble, 2012-2018</t>
  </si>
  <si>
    <t>enfermedad cardiovascular corazón población control salud programa edades rango etario región ñuble</t>
  </si>
  <si>
    <t>https://analytics.zoho.com/open-view/2395394000008463071?ZOHO_CRITERIA=%22Uni%C3%B3n%202.11-2.12%22.%22C%C3%B3digo%20Regi%C3%B3n%22%20%3D%2016</t>
  </si>
  <si>
    <t>Producción Manufacturera</t>
  </si>
  <si>
    <t>Total Trabajo</t>
  </si>
  <si>
    <t>Total Gestión Municipal de Educación</t>
  </si>
  <si>
    <t>Total Manufacturas</t>
  </si>
  <si>
    <t>Total Comercio</t>
  </si>
  <si>
    <t>Total Pórticos y Peajes</t>
  </si>
  <si>
    <t>Total Carga Marítima</t>
  </si>
  <si>
    <t>Total Pobreza</t>
  </si>
  <si>
    <t>Total Protección de Menores</t>
  </si>
  <si>
    <t>https://analytics.zoho.com/open-view/2395394000008464353?ZOHO_CRITERIA=%22Espacios_Culturales_Completo%201%22.%22C%C3%B3digo_Regi%C3%B3n%22%20%3D%201</t>
  </si>
  <si>
    <t>https://analytics.zoho.com/open-view/2395394000008464353?ZOHO_CRITERIA=%22Espacios_Culturales_Completo%201%22.%22C%C3%B3digo_Regi%C3%B3n%22%20%3D%202</t>
  </si>
  <si>
    <t>https://analytics.zoho.com/open-view/2395394000008464353?ZOHO_CRITERIA=%22Espacios_Culturales_Completo%201%22.%22C%C3%B3digo_Regi%C3%B3n%22%20%3D%203</t>
  </si>
  <si>
    <t>https://analytics.zoho.com/open-view/2395394000008464353?ZOHO_CRITERIA=%22Espacios_Culturales_Completo%201%22.%22C%C3%B3digo_Regi%C3%B3n%22%20%3D%204</t>
  </si>
  <si>
    <t>https://analytics.zoho.com/open-view/2395394000008464353?ZOHO_CRITERIA=%22Espacios_Culturales_Completo%201%22.%22C%C3%B3digo_Regi%C3%B3n%22%20%3D%205</t>
  </si>
  <si>
    <t>https://analytics.zoho.com/open-view/2395394000008464353?ZOHO_CRITERIA=%22Espacios_Culturales_Completo%201%22.%22C%C3%B3digo_Regi%C3%B3n%22%20%3D%206</t>
  </si>
  <si>
    <t>https://analytics.zoho.com/open-view/2395394000008464353?ZOHO_CRITERIA=%22Espacios_Culturales_Completo%201%22.%22C%C3%B3digo_Regi%C3%B3n%22%20%3D%207</t>
  </si>
  <si>
    <t>https://analytics.zoho.com/open-view/2395394000008464353?ZOHO_CRITERIA=%22Espacios_Culturales_Completo%201%22.%22C%C3%B3digo_Regi%C3%B3n%22%20%3D%208</t>
  </si>
  <si>
    <t>https://analytics.zoho.com/open-view/2395394000008464353?ZOHO_CRITERIA=%22Espacios_Culturales_Completo%201%22.%22C%C3%B3digo_Regi%C3%B3n%22%20%3D%209</t>
  </si>
  <si>
    <t>https://analytics.zoho.com/open-view/2395394000008464353?ZOHO_CRITERIA=%22Espacios_Culturales_Completo%201%22.%22C%C3%B3digo_Regi%C3%B3n%22%20%3D%2010</t>
  </si>
  <si>
    <t>https://analytics.zoho.com/open-view/2395394000008464353?ZOHO_CRITERIA=%22Espacios_Culturales_Completo%201%22.%22C%C3%B3digo_Regi%C3%B3n%22%20%3D%2011</t>
  </si>
  <si>
    <t>https://analytics.zoho.com/open-view/2395394000008464353?ZOHO_CRITERIA=%22Espacios_Culturales_Completo%201%22.%22C%C3%B3digo_Regi%C3%B3n%22%20%3D%2012</t>
  </si>
  <si>
    <t>https://analytics.zoho.com/open-view/2395394000008464353?ZOHO_CRITERIA=%22Espacios_Culturales_Completo%201%22.%22C%C3%B3digo_Regi%C3%B3n%22%20%3D%2013</t>
  </si>
  <si>
    <t>https://analytics.zoho.com/open-view/2395394000008464353?ZOHO_CRITERIA=%22Espacios_Culturales_Completo%201%22.%22C%C3%B3digo_Regi%C3%B3n%22%20%3D%2014</t>
  </si>
  <si>
    <t>https://analytics.zoho.com/open-view/2395394000008464353?ZOHO_CRITERIA=%22Espacios_Culturales_Completo%201%22.%22C%C3%B3digo_Regi%C3%B3n%22%20%3D%2015</t>
  </si>
  <si>
    <t>https://analytics.zoho.com/open-view/2395394000008464353?ZOHO_CRITERIA=%22Espacios_Culturales_Completo%201%22.%22C%C3%B3digo_Regi%C3%B3n%22%20%3D%2016</t>
  </si>
  <si>
    <t>Top 10 de comunas en Chile con mayor cantidad de suscripciones a internet fija, Periodo 2007-2019</t>
  </si>
  <si>
    <t>Mapa de cantidad de conexiones a internet fija en la Región de Tarapacá, Año 2019</t>
  </si>
  <si>
    <t>Mapa de cantidad de conexiones a internet fija en la Región de Antofagasta, Año 2019</t>
  </si>
  <si>
    <t>Mapa de cantidad de conexiones a internet fija en la Región de Atacama, Año 2019</t>
  </si>
  <si>
    <t>Mapa de cantidad de conexiones a internet fija en la Región de Coquimbo, Año 2019</t>
  </si>
  <si>
    <t>Mapa de cantidad de conexiones a internet fija en la Región de Valparaíso, Año 2019</t>
  </si>
  <si>
    <t>Mapa de cantidad de conexiones a internet fija en la Región de O'Higgins, Año 2019</t>
  </si>
  <si>
    <t>Mapa de cantidad de conexiones a internet fija en la Región de Maule, Año 2019</t>
  </si>
  <si>
    <t>Mapa de cantidad de conexiones a internet fija en la Región del Biobío, Año 2019</t>
  </si>
  <si>
    <t>Mapa de cantidad de conexiones a internet fija en la Región de La Araucanía, Año 2019</t>
  </si>
  <si>
    <t>Mapa de cantidad de conexiones a internet fija en la Región de Los Lagos, Año 2019</t>
  </si>
  <si>
    <t>Mapa de cantidad de conexiones a internet fija en la Región de Aysén, Año 2019</t>
  </si>
  <si>
    <t>Mapa de cantidad de conexiones a internet fija en la Región de Magallanes, Año 2019</t>
  </si>
  <si>
    <t>Mapa de cantidad de conexiones a internet fija en la Región Metropolitana, Año 2019</t>
  </si>
  <si>
    <t>Mapa de cantidad de conexiones a internet fija en la Región de Los Ríos, Año 2019</t>
  </si>
  <si>
    <t>Mapa de cantidad de conexiones a internet fija en la Región de Arica y Parinacota, Año 2019</t>
  </si>
  <si>
    <t>Mapa de cantidad de conexiones a internet fija en la Región de Ñuble, Año 2019</t>
  </si>
  <si>
    <t>Evolución de los suscriptores de televisión de pago en Chile, Periodo 2007-2019</t>
  </si>
  <si>
    <t>Evolución de los suscriptores de televisión de pago en la Región de Tarapacá, Periodo 2007-2019</t>
  </si>
  <si>
    <t>Evolución de los suscriptores de televisión de pago en la Región de Antofagasta, Periodo 2007-2019</t>
  </si>
  <si>
    <t>Evolución de los suscriptores de televisión de pago en la Región de Atacama, Periodo 2007-2019</t>
  </si>
  <si>
    <t>Evolución de los suscriptores de televisión de pago en la Región de Coquimbo, Periodo 2007-2019</t>
  </si>
  <si>
    <t>Evolución de los suscriptores de televisión de pago en la Región de Valparaíso, Periodo 2007-2019</t>
  </si>
  <si>
    <t>Evolución de los suscriptores de televisión de pago en la Región de O'Higgins, Periodo 2007-2019</t>
  </si>
  <si>
    <t>Evolución de los suscriptores de televisión de pago en la Región de Maule, Periodo 2007-2019</t>
  </si>
  <si>
    <t>Evolución de los suscriptores de televisión de pago en la Región del Biobío, Periodo 2007-2019</t>
  </si>
  <si>
    <t>Evolución de los suscriptores de televisión de pago en la Región de La Araucanía, Periodo 2007-2019</t>
  </si>
  <si>
    <t>Evolución de los suscriptores de televisión de pago en la Región de Los Lagos, Periodo 2007-2019</t>
  </si>
  <si>
    <t>Evolución de los suscriptores de televisión de pago en la Región de Aysén, Periodo 2007-2019</t>
  </si>
  <si>
    <t>Evolución de los suscriptores de televisión de pago en la Región de Magallanes, Periodo 2007-2019</t>
  </si>
  <si>
    <t>Evolución de los suscriptores de televisión de pago en la Región Metropolitana, Periodo 2007-2019</t>
  </si>
  <si>
    <t>Evolución de los suscriptores de televisión de pago en la Región de Los Ríos, Periodo 2007-2019</t>
  </si>
  <si>
    <t>Evolución de los suscriptores de televisión de pago en la Región de Arica y Parinacota, Periodo 2007-2019</t>
  </si>
  <si>
    <t>Evolución de los suscriptores de televisión de pago en la Región de Ñuble, Periodo 2007-2019</t>
  </si>
  <si>
    <t>DMCS - Robo con Violencia o Intimidación</t>
  </si>
  <si>
    <t>DMCS - Homicidio</t>
  </si>
  <si>
    <t>DMCS - Homicidio y Violación</t>
  </si>
  <si>
    <t>Parque Vehicular Taxis</t>
  </si>
  <si>
    <t>https://analytics.zoho.com/open-view/2395394000008117468</t>
  </si>
  <si>
    <t>Delitos de Mayor Connotación Social (DMCS)</t>
  </si>
  <si>
    <t>https://analytics.zoho.com/open-view/2395394000008117468?ZOHO_CRITERIA=%22Localiza_CL_Poblacion%22.%22Codreg%22%3D1</t>
  </si>
  <si>
    <t>https://analytics.zoho.com/open-view/2395394000008117468?ZOHO_CRITERIA=%22Localiza_CL_Poblacion%22.%22Codreg%22%3D2</t>
  </si>
  <si>
    <t>https://analytics.zoho.com/open-view/2395394000008117468?ZOHO_CRITERIA=%22Localiza_CL_Poblacion%22.%22Codreg%22%3D3</t>
  </si>
  <si>
    <t>https://analytics.zoho.com/open-view/2395394000008117468?ZOHO_CRITERIA=%22Localiza_CL_Poblacion%22.%22Codreg%22%3D4</t>
  </si>
  <si>
    <t>https://analytics.zoho.com/open-view/2395394000008117468?ZOHO_CRITERIA=%22Localiza_CL_Poblacion%22.%22Codreg%22%3D5</t>
  </si>
  <si>
    <t>https://analytics.zoho.com/open-view/2395394000008117468?ZOHO_CRITERIA=%22Localiza_CL_Poblacion%22.%22Codreg%22%3D6</t>
  </si>
  <si>
    <t>https://analytics.zoho.com/open-view/2395394000008117468?ZOHO_CRITERIA=%22Localiza_CL_Poblacion%22.%22Codreg%22%3D7</t>
  </si>
  <si>
    <t>https://analytics.zoho.com/open-view/2395394000008117468?ZOHO_CRITERIA=%22Localiza_CL_Poblacion%22.%22Codreg%22%3D8</t>
  </si>
  <si>
    <t>https://analytics.zoho.com/open-view/2395394000008117468?ZOHO_CRITERIA=%22Localiza_CL_Poblacion%22.%22Codreg%22%3D9</t>
  </si>
  <si>
    <t>https://analytics.zoho.com/open-view/2395394000008117468?ZOHO_CRITERIA=%22Localiza_CL_Poblacion%22.%22Codreg%22%3D10</t>
  </si>
  <si>
    <t>https://analytics.zoho.com/open-view/2395394000008117468?ZOHO_CRITERIA=%22Localiza_CL_Poblacion%22.%22Codreg%22%3D11</t>
  </si>
  <si>
    <t>https://analytics.zoho.com/open-view/2395394000008117468?ZOHO_CRITERIA=%22Localiza_CL_Poblacion%22.%22Codreg%22%3D12</t>
  </si>
  <si>
    <t>https://analytics.zoho.com/open-view/2395394000008117468?ZOHO_CRITERIA=%22Localiza_CL_Poblacion%22.%22Codreg%22%3D13</t>
  </si>
  <si>
    <t>https://analytics.zoho.com/open-view/2395394000008117468?ZOHO_CRITERIA=%22Localiza_CL_Poblacion%22.%22Codreg%22%3D14</t>
  </si>
  <si>
    <t>https://analytics.zoho.com/open-view/2395394000008117468?ZOHO_CRITERIA=%22Localiza_CL_Poblacion%22.%22Codreg%22%3D15</t>
  </si>
  <si>
    <t>https://analytics.zoho.com/open-view/2395394000008117468?ZOHO_CRITERIA=%22Localiza_CL_Poblacion%22.%22Codreg%22%3D16</t>
  </si>
  <si>
    <t xml:space="preserve">Superficie Autorizada </t>
  </si>
  <si>
    <t>Métricas de la Educación</t>
  </si>
  <si>
    <t>Pesca y Acuicultura</t>
  </si>
  <si>
    <t>Total Métricas de la Educación</t>
  </si>
  <si>
    <t>Total Pesca y Acuicultura</t>
  </si>
  <si>
    <t>#1774B10</t>
  </si>
  <si>
    <t>#1774B11</t>
  </si>
  <si>
    <t>#1774B12</t>
  </si>
  <si>
    <t>#1774B13</t>
  </si>
  <si>
    <t>#1774B14</t>
  </si>
  <si>
    <t>#1774B15</t>
  </si>
  <si>
    <t>#1774B16</t>
  </si>
  <si>
    <t>#1774B17</t>
  </si>
  <si>
    <t>#1774B18</t>
  </si>
  <si>
    <t>#1774B19</t>
  </si>
  <si>
    <t>#1774B20</t>
  </si>
  <si>
    <t>#1774B21</t>
  </si>
  <si>
    <t>#1774B22</t>
  </si>
  <si>
    <t>#1774B23</t>
  </si>
  <si>
    <t>#1774B24</t>
  </si>
  <si>
    <t>#1774B25</t>
  </si>
  <si>
    <t>#1774B26</t>
  </si>
  <si>
    <t>#1774B27</t>
  </si>
  <si>
    <t>#1774B28</t>
  </si>
  <si>
    <t>#1774B29</t>
  </si>
  <si>
    <t>#1774B30</t>
  </si>
  <si>
    <t>#1774B31</t>
  </si>
  <si>
    <t>#1774B32</t>
  </si>
  <si>
    <t>#1774B33</t>
  </si>
  <si>
    <t>#1774B34</t>
  </si>
  <si>
    <t>#1774B35</t>
  </si>
  <si>
    <t>#1774B36</t>
  </si>
  <si>
    <t>#1774B37</t>
  </si>
  <si>
    <t>#1774B38</t>
  </si>
  <si>
    <t>#1774B39</t>
  </si>
  <si>
    <t>#1774B40</t>
  </si>
  <si>
    <t>#1774B41</t>
  </si>
  <si>
    <t>#1774B42</t>
  </si>
  <si>
    <t>#1774B43</t>
  </si>
  <si>
    <t>#1774B44</t>
  </si>
  <si>
    <t>#1774B45</t>
  </si>
  <si>
    <t>#1774B46</t>
  </si>
  <si>
    <t>#1774B47</t>
  </si>
  <si>
    <t>#1774B48</t>
  </si>
  <si>
    <t>#1774B49</t>
  </si>
  <si>
    <t>#1774B50</t>
  </si>
  <si>
    <t>#1774B51</t>
  </si>
  <si>
    <t>#1774B52</t>
  </si>
  <si>
    <t>#1774B53</t>
  </si>
  <si>
    <t>#1774B54</t>
  </si>
  <si>
    <t>#1774B55</t>
  </si>
  <si>
    <t>#1774B56</t>
  </si>
  <si>
    <t>#1774B57</t>
  </si>
  <si>
    <t>#1774B58</t>
  </si>
  <si>
    <t>#1774B59</t>
  </si>
  <si>
    <t>#1774B60</t>
  </si>
  <si>
    <t>#1774B61</t>
  </si>
  <si>
    <t>#1774B62</t>
  </si>
  <si>
    <t>#1774B63</t>
  </si>
  <si>
    <t>#1774B64</t>
  </si>
  <si>
    <t>#1774B65</t>
  </si>
  <si>
    <t>#1774B66</t>
  </si>
  <si>
    <t>#1774B67</t>
  </si>
  <si>
    <t>#1774B68</t>
  </si>
  <si>
    <t>#1774B69</t>
  </si>
  <si>
    <t>#1774B70</t>
  </si>
  <si>
    <t>#1774B71</t>
  </si>
  <si>
    <t>#1774B72</t>
  </si>
  <si>
    <t>#1774B73</t>
  </si>
  <si>
    <t>#1774B74</t>
  </si>
  <si>
    <t>#1774B75</t>
  </si>
  <si>
    <t>#1774B76</t>
  </si>
  <si>
    <t>#1774B77</t>
  </si>
  <si>
    <t>#1774B78</t>
  </si>
  <si>
    <t>#1774B79</t>
  </si>
  <si>
    <t>#1774B80</t>
  </si>
  <si>
    <t>#1774B81</t>
  </si>
  <si>
    <t>#1774B82</t>
  </si>
  <si>
    <t>#1774B83</t>
  </si>
  <si>
    <t>#1774B84</t>
  </si>
  <si>
    <t>#1774B85</t>
  </si>
  <si>
    <t>#1774B86</t>
  </si>
  <si>
    <t>#1774B87</t>
  </si>
  <si>
    <t>#1774B88</t>
  </si>
  <si>
    <t>#1774B89</t>
  </si>
  <si>
    <t>#1774B90</t>
  </si>
  <si>
    <t>#1774B91</t>
  </si>
  <si>
    <t>#1774B92</t>
  </si>
  <si>
    <t>#1774B93</t>
  </si>
  <si>
    <t>#1774B94</t>
  </si>
  <si>
    <t>#1774B95</t>
  </si>
  <si>
    <t>#1774B96</t>
  </si>
  <si>
    <t>#1774B97</t>
  </si>
  <si>
    <t>#1774B98</t>
  </si>
  <si>
    <t>#1774B99</t>
  </si>
  <si>
    <t>#1774B100</t>
  </si>
  <si>
    <t>#1774B101</t>
  </si>
  <si>
    <t>#1774B102</t>
  </si>
  <si>
    <t>#1774B103</t>
  </si>
  <si>
    <t>#1774B104</t>
  </si>
  <si>
    <t>#1774B105</t>
  </si>
  <si>
    <t>#1774B106</t>
  </si>
  <si>
    <t>#1774B107</t>
  </si>
  <si>
    <t>#1774B108</t>
  </si>
  <si>
    <t>#1774B109</t>
  </si>
  <si>
    <t>#1774B110</t>
  </si>
  <si>
    <t>#1774B111</t>
  </si>
  <si>
    <t>#1774B112</t>
  </si>
  <si>
    <t>#1774B113</t>
  </si>
  <si>
    <t>#1774B114</t>
  </si>
  <si>
    <t>#1774B115</t>
  </si>
  <si>
    <t>#1774B116</t>
  </si>
  <si>
    <t>#1774B117</t>
  </si>
  <si>
    <t>#1774B118</t>
  </si>
  <si>
    <t>#1774B119</t>
  </si>
  <si>
    <t>#1774B120</t>
  </si>
  <si>
    <t>#1774B121</t>
  </si>
  <si>
    <t>#1774B122</t>
  </si>
  <si>
    <t>#1774B123</t>
  </si>
  <si>
    <t>#1774B124</t>
  </si>
  <si>
    <t>#1774B125</t>
  </si>
  <si>
    <t>#1774B126</t>
  </si>
  <si>
    <t>#1774B127</t>
  </si>
  <si>
    <t>#1774B128</t>
  </si>
  <si>
    <t>#1774B129</t>
  </si>
  <si>
    <t>#1774B130</t>
  </si>
  <si>
    <t>#1774B131</t>
  </si>
  <si>
    <t>#1774B132</t>
  </si>
  <si>
    <t>#1774B133</t>
  </si>
  <si>
    <t>#1774B134</t>
  </si>
  <si>
    <t>#1774B135</t>
  </si>
  <si>
    <t>#1774B136</t>
  </si>
  <si>
    <t>#1774B137</t>
  </si>
  <si>
    <t>#1774B138</t>
  </si>
  <si>
    <t>#1774B139</t>
  </si>
  <si>
    <t>#1774B140</t>
  </si>
  <si>
    <t>#1774B141</t>
  </si>
  <si>
    <t>#1774B142</t>
  </si>
  <si>
    <t>#1774B143</t>
  </si>
  <si>
    <t>#1774B144</t>
  </si>
  <si>
    <t>#1774B145</t>
  </si>
  <si>
    <t>#1774B146</t>
  </si>
  <si>
    <t>#1774B147</t>
  </si>
  <si>
    <t>#1774B148</t>
  </si>
  <si>
    <t>#1774B149</t>
  </si>
  <si>
    <t>#1774B150</t>
  </si>
  <si>
    <t>#1774B151</t>
  </si>
  <si>
    <t>#1774B152</t>
  </si>
  <si>
    <t>#1774B153</t>
  </si>
  <si>
    <t>#1774B154</t>
  </si>
  <si>
    <t>#1774B155</t>
  </si>
  <si>
    <t>#1774B156</t>
  </si>
  <si>
    <t>#1774B157</t>
  </si>
  <si>
    <t>#1774B158</t>
  </si>
  <si>
    <t>#1774B159</t>
  </si>
  <si>
    <t>#1774B160</t>
  </si>
  <si>
    <t>#1774B161</t>
  </si>
  <si>
    <t>#1774B162</t>
  </si>
  <si>
    <t>#1774B163</t>
  </si>
  <si>
    <t>#1774B164</t>
  </si>
  <si>
    <t>#1774B165</t>
  </si>
  <si>
    <t>#1774B166</t>
  </si>
  <si>
    <t>#1774B167</t>
  </si>
  <si>
    <t>#1774B168</t>
  </si>
  <si>
    <t>#1774B169</t>
  </si>
  <si>
    <t>#1774B170</t>
  </si>
  <si>
    <t>#1774B171</t>
  </si>
  <si>
    <t>#1774B172</t>
  </si>
  <si>
    <t>#1774B173</t>
  </si>
  <si>
    <t>#1774B174</t>
  </si>
  <si>
    <t>#1774B175</t>
  </si>
  <si>
    <t>#1774B176</t>
  </si>
  <si>
    <t>#1774B177</t>
  </si>
  <si>
    <t>#1774B178</t>
  </si>
  <si>
    <t>#1774B179</t>
  </si>
  <si>
    <t>#1774B180</t>
  </si>
  <si>
    <t>#1774B181</t>
  </si>
  <si>
    <t>#1774B182</t>
  </si>
  <si>
    <t>#1774B183</t>
  </si>
  <si>
    <t>#1774B184</t>
  </si>
  <si>
    <t>#1774B185</t>
  </si>
  <si>
    <t>#1774B186</t>
  </si>
  <si>
    <t>#1774B187</t>
  </si>
  <si>
    <t>#1774B188</t>
  </si>
  <si>
    <t>#1774B189</t>
  </si>
  <si>
    <t>#1774B190</t>
  </si>
  <si>
    <t>#1774B191</t>
  </si>
  <si>
    <t>#1774B192</t>
  </si>
  <si>
    <t>#1774B193</t>
  </si>
  <si>
    <t>#1774B194</t>
  </si>
  <si>
    <t>#1774B195</t>
  </si>
  <si>
    <t>#1774B196</t>
  </si>
  <si>
    <t>#1774B197</t>
  </si>
  <si>
    <t>#1774B198</t>
  </si>
  <si>
    <t>#1774B199</t>
  </si>
  <si>
    <t>#1774B200</t>
  </si>
  <si>
    <t>#1774B201</t>
  </si>
  <si>
    <t>#1774B202</t>
  </si>
  <si>
    <t>#1774B203</t>
  </si>
  <si>
    <t>#1774B204</t>
  </si>
  <si>
    <t>#1774B205</t>
  </si>
  <si>
    <t>#1774B206</t>
  </si>
  <si>
    <t>#1774B207</t>
  </si>
  <si>
    <t>#1774B208</t>
  </si>
  <si>
    <t>#1774B209</t>
  </si>
  <si>
    <t>#1774B210</t>
  </si>
  <si>
    <t>#1774B211</t>
  </si>
  <si>
    <t>#1774B212</t>
  </si>
  <si>
    <t>#1774B213</t>
  </si>
  <si>
    <t>#1774B214</t>
  </si>
  <si>
    <t>#1774B215</t>
  </si>
  <si>
    <t>#1774B216</t>
  </si>
  <si>
    <t>#1774B217</t>
  </si>
  <si>
    <t>#1774B218</t>
  </si>
  <si>
    <t>#1774B219</t>
  </si>
  <si>
    <t>#1774B220</t>
  </si>
  <si>
    <t>#1774B221</t>
  </si>
  <si>
    <t>#1774B222</t>
  </si>
  <si>
    <t>#1774B223</t>
  </si>
  <si>
    <t>#1774B224</t>
  </si>
  <si>
    <t>#1774B225</t>
  </si>
  <si>
    <t>#1774B226</t>
  </si>
  <si>
    <t>#1774B227</t>
  </si>
  <si>
    <t>#1774B228</t>
  </si>
  <si>
    <t>#1774B229</t>
  </si>
  <si>
    <t>#1774B230</t>
  </si>
  <si>
    <t>#1774B231</t>
  </si>
  <si>
    <t>#1774B232</t>
  </si>
  <si>
    <t>#1774B233</t>
  </si>
  <si>
    <t>#1774B234</t>
  </si>
  <si>
    <t>#1774B235</t>
  </si>
  <si>
    <t>#1774B236</t>
  </si>
  <si>
    <t>#1774B237</t>
  </si>
  <si>
    <t>#1774B238</t>
  </si>
  <si>
    <t>#1774B239</t>
  </si>
  <si>
    <t>#1774B240</t>
  </si>
  <si>
    <t>#1774B241</t>
  </si>
  <si>
    <t>#1774B242</t>
  </si>
  <si>
    <t>#1774B243</t>
  </si>
  <si>
    <t>#1774B244</t>
  </si>
  <si>
    <t>#1774B245</t>
  </si>
  <si>
    <t>#1774B246</t>
  </si>
  <si>
    <t>#1774B247</t>
  </si>
  <si>
    <t>#1774B248</t>
  </si>
  <si>
    <t>#1774B249</t>
  </si>
  <si>
    <t>#1774B250</t>
  </si>
  <si>
    <t>#1774B251</t>
  </si>
  <si>
    <t>#1774B252</t>
  </si>
  <si>
    <t>#1774B253</t>
  </si>
  <si>
    <t>#1774B254</t>
  </si>
  <si>
    <t>#1774B255</t>
  </si>
  <si>
    <t>#1774B256</t>
  </si>
  <si>
    <t>#1774B257</t>
  </si>
  <si>
    <t>#1774B258</t>
  </si>
  <si>
    <t>#1774B259</t>
  </si>
  <si>
    <t>#1774B260</t>
  </si>
  <si>
    <t>#1774B261</t>
  </si>
  <si>
    <t>#1774B262</t>
  </si>
  <si>
    <t>#1774B263</t>
  </si>
  <si>
    <t>#1774B264</t>
  </si>
  <si>
    <t>#1774B265</t>
  </si>
  <si>
    <t>#1774B266</t>
  </si>
  <si>
    <t>#1774B267</t>
  </si>
  <si>
    <t>#1774B268</t>
  </si>
  <si>
    <t>#1774B269</t>
  </si>
  <si>
    <t>#1774B270</t>
  </si>
  <si>
    <t>#1774B271</t>
  </si>
  <si>
    <t>#1774B272</t>
  </si>
  <si>
    <t>#1774B273</t>
  </si>
  <si>
    <t>#1774B274</t>
  </si>
  <si>
    <t>#1774B275</t>
  </si>
  <si>
    <t>#1774B276</t>
  </si>
  <si>
    <t>#1774B277</t>
  </si>
  <si>
    <t>#1774B278</t>
  </si>
  <si>
    <t>#1774B279</t>
  </si>
  <si>
    <t>#1774B280</t>
  </si>
  <si>
    <t>#1774B281</t>
  </si>
  <si>
    <t>#1774B282</t>
  </si>
  <si>
    <t>#1774B283</t>
  </si>
  <si>
    <t>#1774B284</t>
  </si>
  <si>
    <t>#1774B285</t>
  </si>
  <si>
    <t>#1774B286</t>
  </si>
  <si>
    <t>#1774B287</t>
  </si>
  <si>
    <t>#1774B288</t>
  </si>
  <si>
    <t>#1774B289</t>
  </si>
  <si>
    <t>#1774B290</t>
  </si>
  <si>
    <t>#1774B291</t>
  </si>
  <si>
    <t>#1774B292</t>
  </si>
  <si>
    <t>#1774B293</t>
  </si>
  <si>
    <t>#1774B294</t>
  </si>
  <si>
    <t>#1774B295</t>
  </si>
  <si>
    <t>#1774B296</t>
  </si>
  <si>
    <t>#1774B297</t>
  </si>
  <si>
    <t>#1774B298</t>
  </si>
  <si>
    <t>#1774B299</t>
  </si>
  <si>
    <t>#1774B300</t>
  </si>
  <si>
    <t>#1774B301</t>
  </si>
  <si>
    <t>#1774B302</t>
  </si>
  <si>
    <t>#1774B303</t>
  </si>
  <si>
    <t>#1774B304</t>
  </si>
  <si>
    <t>#1774B305</t>
  </si>
  <si>
    <t>#1774B306</t>
  </si>
  <si>
    <t>#1774B307</t>
  </si>
  <si>
    <t>#1774B308</t>
  </si>
  <si>
    <t>#1774B309</t>
  </si>
  <si>
    <t>#1774B310</t>
  </si>
  <si>
    <t>#1774B311</t>
  </si>
  <si>
    <t>#1774B312</t>
  </si>
  <si>
    <t>#1774B313</t>
  </si>
  <si>
    <t>#1774B314</t>
  </si>
  <si>
    <t>#1774B315</t>
  </si>
  <si>
    <t>#1774B316</t>
  </si>
  <si>
    <t>#1774B317</t>
  </si>
  <si>
    <t>#1774B318</t>
  </si>
  <si>
    <t>#1774B319</t>
  </si>
  <si>
    <t>#1774B320</t>
  </si>
  <si>
    <t>#1774B321</t>
  </si>
  <si>
    <t>#1774B322</t>
  </si>
  <si>
    <t>#1774B323</t>
  </si>
  <si>
    <t>#1774B324</t>
  </si>
  <si>
    <t>#1774B325</t>
  </si>
  <si>
    <t>#1774B326</t>
  </si>
  <si>
    <t>#1774B327</t>
  </si>
  <si>
    <t>#1774B328</t>
  </si>
  <si>
    <t>#1774B329</t>
  </si>
  <si>
    <t>#1774B330</t>
  </si>
  <si>
    <t>#1774B331</t>
  </si>
  <si>
    <t>#1774B332</t>
  </si>
  <si>
    <t>#1774B333</t>
  </si>
  <si>
    <t>#1774B334</t>
  </si>
  <si>
    <t>#1774B335</t>
  </si>
  <si>
    <t>#1774B336</t>
  </si>
  <si>
    <t>#1774B337</t>
  </si>
  <si>
    <t>#1774B338</t>
  </si>
  <si>
    <t>#1774B339</t>
  </si>
  <si>
    <t>#1774B340</t>
  </si>
  <si>
    <t>#1774B341</t>
  </si>
  <si>
    <t>#1774B342</t>
  </si>
  <si>
    <t>#1774B343</t>
  </si>
  <si>
    <t>#1774B344</t>
  </si>
  <si>
    <t>#1774B345</t>
  </si>
  <si>
    <t>#1774B346</t>
  </si>
  <si>
    <t>#1774B347</t>
  </si>
  <si>
    <t>#1774B348</t>
  </si>
  <si>
    <t>#1774B349</t>
  </si>
  <si>
    <t>#1774B350</t>
  </si>
  <si>
    <t>#1774B351</t>
  </si>
  <si>
    <t>#1774B352</t>
  </si>
  <si>
    <t>#1774B353</t>
  </si>
  <si>
    <t>#1774B354</t>
  </si>
  <si>
    <t>#1774B355</t>
  </si>
  <si>
    <t>#1774B356</t>
  </si>
  <si>
    <t>#1774B357</t>
  </si>
  <si>
    <t>#1774B358</t>
  </si>
  <si>
    <t>#1774B359</t>
  </si>
  <si>
    <t>#1774B360</t>
  </si>
  <si>
    <t>#1774B361</t>
  </si>
  <si>
    <t>#1774B362</t>
  </si>
  <si>
    <t>#1774B363</t>
  </si>
  <si>
    <t>#1774B364</t>
  </si>
  <si>
    <t>#1774B365</t>
  </si>
  <si>
    <t>#1774B366</t>
  </si>
  <si>
    <t>#1774B367</t>
  </si>
  <si>
    <t>#1774B368</t>
  </si>
  <si>
    <t>#1774B369</t>
  </si>
  <si>
    <t>#1774B370</t>
  </si>
  <si>
    <t>#1774B371</t>
  </si>
  <si>
    <t>#1774B372</t>
  </si>
  <si>
    <t>#1774B373</t>
  </si>
  <si>
    <t>#1774B374</t>
  </si>
  <si>
    <t>#1774B375</t>
  </si>
  <si>
    <t>#1774B376</t>
  </si>
  <si>
    <t>#1774B377</t>
  </si>
  <si>
    <t>#1774B378</t>
  </si>
  <si>
    <t>#1774B379</t>
  </si>
  <si>
    <t>#1774B380</t>
  </si>
  <si>
    <t>#1774B381</t>
  </si>
  <si>
    <t>#1774B382</t>
  </si>
  <si>
    <t>#1774B383</t>
  </si>
  <si>
    <t>#1774B384</t>
  </si>
  <si>
    <t>#1774B385</t>
  </si>
  <si>
    <t>#1774B386</t>
  </si>
  <si>
    <t>#1774B387</t>
  </si>
  <si>
    <t>#1774B388</t>
  </si>
  <si>
    <t>#1774B389</t>
  </si>
  <si>
    <t>#1774B390</t>
  </si>
  <si>
    <t>#1774B391</t>
  </si>
  <si>
    <t>#1774B392</t>
  </si>
  <si>
    <t>#1774B393</t>
  </si>
  <si>
    <t>#1774B394</t>
  </si>
  <si>
    <t>#1774B395</t>
  </si>
  <si>
    <t>#1774B396</t>
  </si>
  <si>
    <t>#1774B397</t>
  </si>
  <si>
    <t>#1774B398</t>
  </si>
  <si>
    <t>#1774B399</t>
  </si>
  <si>
    <t>#1774B400</t>
  </si>
  <si>
    <t>#1774B401</t>
  </si>
  <si>
    <t>#1774B402</t>
  </si>
  <si>
    <t>#1774B403</t>
  </si>
  <si>
    <t>#1774B404</t>
  </si>
  <si>
    <t>#1774B405</t>
  </si>
  <si>
    <t>#1774B406</t>
  </si>
  <si>
    <t>#1774B407</t>
  </si>
  <si>
    <t>#1774B408</t>
  </si>
  <si>
    <t>#1774B409</t>
  </si>
  <si>
    <t>#1774B410</t>
  </si>
  <si>
    <t>#1774B411</t>
  </si>
  <si>
    <t>#1774B412</t>
  </si>
  <si>
    <t>#1774B413</t>
  </si>
  <si>
    <t>#1774B414</t>
  </si>
  <si>
    <t>#1774B415</t>
  </si>
  <si>
    <t>#1774B416</t>
  </si>
  <si>
    <t>#1774B417</t>
  </si>
  <si>
    <t>#1774B418</t>
  </si>
  <si>
    <t>#1774B419</t>
  </si>
  <si>
    <t>#1774B420</t>
  </si>
  <si>
    <t>#1774B421</t>
  </si>
  <si>
    <t>#1774B422</t>
  </si>
  <si>
    <t>#1774B423</t>
  </si>
  <si>
    <t>#1774B424</t>
  </si>
  <si>
    <t>#1774B425</t>
  </si>
  <si>
    <t>#1774B426</t>
  </si>
  <si>
    <t>#1774B427</t>
  </si>
  <si>
    <t>#1774B428</t>
  </si>
  <si>
    <t>#1774B429</t>
  </si>
  <si>
    <t>#1774B430</t>
  </si>
  <si>
    <t>#1774B431</t>
  </si>
  <si>
    <t>#1774B432</t>
  </si>
  <si>
    <t>#1774B433</t>
  </si>
  <si>
    <t>#1774B434</t>
  </si>
  <si>
    <t>#1774B435</t>
  </si>
  <si>
    <t>#1774B436</t>
  </si>
  <si>
    <t>#1774B437</t>
  </si>
  <si>
    <t>#1774B438</t>
  </si>
  <si>
    <t>#1774B439</t>
  </si>
  <si>
    <t>#1774B440</t>
  </si>
  <si>
    <t>#1774B441</t>
  </si>
  <si>
    <t>#1774B442</t>
  </si>
  <si>
    <t>#1774B443</t>
  </si>
  <si>
    <t>#1774B444</t>
  </si>
  <si>
    <t>#1774B445</t>
  </si>
  <si>
    <t>#1774B446</t>
  </si>
  <si>
    <t>#1774B447</t>
  </si>
  <si>
    <t>#1774B448</t>
  </si>
  <si>
    <t>#1774B449</t>
  </si>
  <si>
    <t>#1774B450</t>
  </si>
  <si>
    <t>#1774B451</t>
  </si>
  <si>
    <t>#1774B452</t>
  </si>
  <si>
    <t>#1774B453</t>
  </si>
  <si>
    <t>#1774B454</t>
  </si>
  <si>
    <t>#1774B455</t>
  </si>
  <si>
    <t>#1774B456</t>
  </si>
  <si>
    <t>#1774B457</t>
  </si>
  <si>
    <t>#1774B458</t>
  </si>
  <si>
    <t>#1774B459</t>
  </si>
  <si>
    <t>#1774B460</t>
  </si>
  <si>
    <t>#1774B461</t>
  </si>
  <si>
    <t>#1774B462</t>
  </si>
  <si>
    <t>#1774B463</t>
  </si>
  <si>
    <t>#1774B464</t>
  </si>
  <si>
    <t>#1774B465</t>
  </si>
  <si>
    <t>#1774B466</t>
  </si>
  <si>
    <t>#1774B467</t>
  </si>
  <si>
    <t>#1774B468</t>
  </si>
  <si>
    <t>#1774B469</t>
  </si>
  <si>
    <t>#1774B470</t>
  </si>
  <si>
    <t>#1774B471</t>
  </si>
  <si>
    <t>#1774B472</t>
  </si>
  <si>
    <t>#1774B473</t>
  </si>
  <si>
    <t>#1774B474</t>
  </si>
  <si>
    <t>#1774B475</t>
  </si>
  <si>
    <t>#1774B476</t>
  </si>
  <si>
    <t>#1774B477</t>
  </si>
  <si>
    <t>#1774B478</t>
  </si>
  <si>
    <t>#1774B479</t>
  </si>
  <si>
    <t>#1774B480</t>
  </si>
  <si>
    <t>#1774B481</t>
  </si>
  <si>
    <t>#1774B482</t>
  </si>
  <si>
    <t>#1774B483</t>
  </si>
  <si>
    <t>#1774B484</t>
  </si>
  <si>
    <t>#1774B485</t>
  </si>
  <si>
    <t>#1774B486</t>
  </si>
  <si>
    <t>#1774B487</t>
  </si>
  <si>
    <t>#1774B488</t>
  </si>
  <si>
    <t>#1774B489</t>
  </si>
  <si>
    <t>#1774B490</t>
  </si>
  <si>
    <t>#1774B491</t>
  </si>
  <si>
    <t>#1774B492</t>
  </si>
  <si>
    <t>#1774B493</t>
  </si>
  <si>
    <t>#1774B494</t>
  </si>
  <si>
    <t>#1774B495</t>
  </si>
  <si>
    <t>#1774B496</t>
  </si>
  <si>
    <t>#1774B497</t>
  </si>
  <si>
    <t>#1774B498</t>
  </si>
  <si>
    <t>#1774B499</t>
  </si>
  <si>
    <t>#1774B500</t>
  </si>
  <si>
    <t>#1774B501</t>
  </si>
  <si>
    <t>#1774B502</t>
  </si>
  <si>
    <t>#1774B503</t>
  </si>
  <si>
    <t>#1774B504</t>
  </si>
  <si>
    <t>#1774B505</t>
  </si>
  <si>
    <t>#1774B506</t>
  </si>
  <si>
    <t>#1774B507</t>
  </si>
  <si>
    <t>#1774B508</t>
  </si>
  <si>
    <t>#1774B509</t>
  </si>
  <si>
    <t>#1774B510</t>
  </si>
  <si>
    <t>#1774B511</t>
  </si>
  <si>
    <t>#1774B512</t>
  </si>
  <si>
    <t>#1774B513</t>
  </si>
  <si>
    <t>#1774B514</t>
  </si>
  <si>
    <t>#1774B515</t>
  </si>
  <si>
    <t>#1774B516</t>
  </si>
  <si>
    <t>#1774B517</t>
  </si>
  <si>
    <t>#1774B518</t>
  </si>
  <si>
    <t>#1774B519</t>
  </si>
  <si>
    <t>#1774B520</t>
  </si>
  <si>
    <t>#1774B521</t>
  </si>
  <si>
    <t>#1774B522</t>
  </si>
  <si>
    <t>#1774B523</t>
  </si>
  <si>
    <t>#1774B524</t>
  </si>
  <si>
    <t>#1774B525</t>
  </si>
  <si>
    <t>#1774B526</t>
  </si>
  <si>
    <t>#1774B527</t>
  </si>
  <si>
    <t>#1774B528</t>
  </si>
  <si>
    <t>#1774B529</t>
  </si>
  <si>
    <t>#1774B530</t>
  </si>
  <si>
    <t>#1774B531</t>
  </si>
  <si>
    <t>#1774B532</t>
  </si>
  <si>
    <t>#1774B533</t>
  </si>
  <si>
    <t>#1774B534</t>
  </si>
  <si>
    <t>#1774B535</t>
  </si>
  <si>
    <t>#1774B536</t>
  </si>
  <si>
    <t>#1774B537</t>
  </si>
  <si>
    <t>#1774B538</t>
  </si>
  <si>
    <t>#1774B539</t>
  </si>
  <si>
    <t>#1774B540</t>
  </si>
  <si>
    <t>#1774B541</t>
  </si>
  <si>
    <t>#1774B542</t>
  </si>
  <si>
    <t>#1774B543</t>
  </si>
  <si>
    <t>#1774B544</t>
  </si>
  <si>
    <t>#1774B545</t>
  </si>
  <si>
    <t>#1774B546</t>
  </si>
  <si>
    <t>#1774B547</t>
  </si>
  <si>
    <t>#1774B548</t>
  </si>
  <si>
    <t>#1774B549</t>
  </si>
  <si>
    <t>#1774B550</t>
  </si>
  <si>
    <t>#1774B551</t>
  </si>
  <si>
    <t>#1774B552</t>
  </si>
  <si>
    <t>#1774B553</t>
  </si>
  <si>
    <t>#1774B554</t>
  </si>
  <si>
    <t>#1774B555</t>
  </si>
  <si>
    <t>#1774B556</t>
  </si>
  <si>
    <t>#1774B557</t>
  </si>
  <si>
    <t>#1774B558</t>
  </si>
  <si>
    <t>#1774B559</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</si>
  <si>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</si>
  <si>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</si>
  <si>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</si>
  <si>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</si>
  <si>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</si>
  <si>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</si>
  <si>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</si>
  <si>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</si>
  <si>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</si>
  <si>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</si>
  <si>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</si>
  <si>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</si>
  <si>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</si>
  <si>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</si>
  <si>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</si>
  <si>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</si>
  <si>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</si>
  <si>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</si>
  <si>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</si>
  <si>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</si>
  <si>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</si>
  <si>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</si>
  <si>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</si>
  <si>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</si>
  <si>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</si>
  <si>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</si>
  <si>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</si>
  <si>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</si>
  <si>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</si>
  <si>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</si>
  <si>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</si>
  <si>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</si>
  <si>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</si>
  <si>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</si>
  <si>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</si>
  <si>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</si>
  <si>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</si>
  <si>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</si>
  <si>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</si>
  <si>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</si>
  <si>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</si>
  <si>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</si>
  <si>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</si>
  <si>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</si>
  <si>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</si>
  <si>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</si>
  <si>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</si>
  <si>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</si>
  <si>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</si>
  <si>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</si>
  <si>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</si>
  <si>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</si>
  <si>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</si>
  <si>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</si>
  <si>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</si>
  <si>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</si>
  <si>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</si>
  <si>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</si>
  <si>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</si>
  <si>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</si>
  <si>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</si>
  <si>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</si>
  <si>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</si>
  <si>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</si>
  <si>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</si>
  <si>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</si>
  <si>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</si>
  <si>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</si>
  <si>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</si>
  <si>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</si>
  <si>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</si>
  <si>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</si>
  <si>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</si>
  <si>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</si>
  <si>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</si>
  <si>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</si>
  <si>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</si>
  <si>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</si>
  <si>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</si>
  <si>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</si>
  <si>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</si>
  <si>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</si>
  <si>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</si>
  <si>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</si>
  <si>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</si>
  <si>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</si>
  <si>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</si>
  <si>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</si>
  <si>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</si>
  <si>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</si>
  <si>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</si>
  <si>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</si>
  <si>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</si>
  <si>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</si>
  <si>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</si>
  <si>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</si>
  <si>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</si>
  <si>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</si>
  <si>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</si>
  <si>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</si>
  <si>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</si>
  <si>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</si>
  <si>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</si>
  <si>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</si>
  <si>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</si>
  <si>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</si>
  <si>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</si>
  <si>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</si>
  <si>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</si>
  <si>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</si>
  <si>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</si>
  <si>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</si>
  <si>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</si>
  <si>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</si>
  <si>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</si>
  <si>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</si>
  <si>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</si>
  <si>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</si>
  <si>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</si>
  <si>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</si>
  <si>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</si>
  <si>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</si>
  <si>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</si>
  <si>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</si>
  <si>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</si>
  <si>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</si>
  <si>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</si>
  <si>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</si>
  <si>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</si>
  <si>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</si>
  <si>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</si>
  <si>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</si>
  <si>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</si>
  <si>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</si>
  <si>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</si>
  <si>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</si>
  <si>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</si>
  <si>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</si>
  <si>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</si>
  <si>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</si>
  <si>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</si>
  <si>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</si>
  <si>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</si>
  <si>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</si>
  <si>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</si>
  <si>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</si>
  <si>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</si>
  <si>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</si>
  <si>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</si>
  <si>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</si>
  <si>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</si>
  <si>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</si>
  <si>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</si>
  <si>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</si>
  <si>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</si>
  <si>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</si>
  <si>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</si>
  <si>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</si>
  <si>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</si>
  <si>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</si>
  <si>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</si>
  <si>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</si>
  <si>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</si>
  <si>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</si>
  <si>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</si>
  <si>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</si>
  <si>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</si>
  <si>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</si>
  <si>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</si>
  <si>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</si>
  <si>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</si>
  <si>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</si>
  <si>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</si>
  <si>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</si>
  <si>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</si>
  <si>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</si>
  <si>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</si>
  <si>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</si>
  <si>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</si>
  <si>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</si>
  <si>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</si>
  <si>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</si>
  <si>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</si>
  <si>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</si>
  <si>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</si>
  <si>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</si>
  <si>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</si>
  <si>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</si>
  <si>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</si>
  <si>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</si>
  <si>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</si>
  <si>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</si>
  <si>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</si>
  <si>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</si>
  <si>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</si>
  <si>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</si>
  <si>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</si>
  <si>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</si>
  <si>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</si>
  <si>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</si>
  <si>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</si>
  <si>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</si>
  <si>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</si>
  <si>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</si>
  <si>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</si>
  <si>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</si>
  <si>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</si>
  <si>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</si>
  <si>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</si>
  <si>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</si>
  <si>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</si>
  <si>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</si>
  <si>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</si>
  <si>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</si>
  <si>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</si>
  <si>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</si>
  <si>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</si>
  <si>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</si>
  <si>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</si>
  <si>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</si>
  <si>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</si>
  <si>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</si>
  <si>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</si>
  <si>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</si>
  <si>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</si>
  <si>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</si>
  <si>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</si>
  <si>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</si>
  <si>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</si>
  <si>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</si>
  <si>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</si>
  <si>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</si>
  <si>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</si>
  <si>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</si>
  <si>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</si>
  <si>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</si>
  <si>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</si>
  <si>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</si>
  <si>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</si>
  <si>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</si>
  <si>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</si>
  <si>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</si>
  <si>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</si>
  <si>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</si>
  <si>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</si>
  <si>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</si>
  <si>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</si>
  <si>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</si>
  <si>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</si>
  <si>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</si>
  <si>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</si>
  <si>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</si>
  <si>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</si>
  <si>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</si>
  <si>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</si>
  <si>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</si>
  <si>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</si>
  <si>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</si>
  <si>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</si>
  <si>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</si>
  <si>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</si>
  <si>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</si>
  <si>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</si>
  <si>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</si>
  <si>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</si>
  <si>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</si>
  <si>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</si>
  <si>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</si>
  <si>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</si>
  <si>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</si>
  <si>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</si>
  <si>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</si>
  <si>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</si>
  <si>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</si>
  <si>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</si>
  <si>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</si>
  <si>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</si>
  <si>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</si>
  <si>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</si>
  <si>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</si>
  <si>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</si>
  <si>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</si>
  <si>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</si>
  <si>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</si>
  <si>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</si>
  <si>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</si>
  <si>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</si>
  <si>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</si>
  <si>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</si>
  <si>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</si>
  <si>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</si>
  <si>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</si>
  <si>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</si>
  <si>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</si>
  <si>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</si>
  <si>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</si>
  <si>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</si>
  <si>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</si>
  <si>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</si>
  <si>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</si>
  <si>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</si>
  <si>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</si>
  <si>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</si>
  <si>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</si>
  <si>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</si>
  <si>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</si>
  <si>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</si>
  <si>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</si>
  <si>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</si>
  <si>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</si>
  <si>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</si>
  <si>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</si>
  <si>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</si>
  <si>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</si>
  <si>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</si>
  <si>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</si>
  <si>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</si>
  <si>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</si>
  <si>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</si>
  <si>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</si>
  <si>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</si>
  <si>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</si>
  <si>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</si>
  <si>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</si>
  <si>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</si>
  <si>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</si>
  <si>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</si>
  <si>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</si>
  <si>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</si>
  <si>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</si>
  <si>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</si>
  <si>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</si>
  <si>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</si>
  <si>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</si>
  <si>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</si>
  <si>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https://analytics.zoho.com/open-view/2395394000008378144</t>
  </si>
  <si>
    <t>https://app.powerbi.com/view?r=eyJrIjoiZDhlM2ZjNDQtYjE2My00NmY3LWE5ZjktNjI2NGZkMDA0Njc3IiwidCI6IjhmYmFhNWJmLTJlY2MtNGRjOC1iNTZiLThmOTJlMzA3ZjA3NiIsImMiOjR9&amp;pageName=ReportSection9386d36f00b3701c0c1d</t>
  </si>
  <si>
    <t>https://app.powerbi.com/view?r=eyJrIjoiNTY2Mjc1MmUtNDRjNy00NzU3LWE0MWYtOGE3MjJjM2Q1MzczIiwidCI6IjhmYmFhNWJmLTJlY2MtNGRjOC1iNTZiLThmOTJlMzA3ZjA3NiIsImMiOjR9</t>
  </si>
  <si>
    <t>https://app.powerbi.com/view?r=eyJrIjoiNzUwZmFjMGEtMTIyYy00YzZiLWFmYzEtZTc5N2IyNGYxZjEyIiwidCI6IjhmYmFhNWJmLTJlY2MtNGRjOC1iNTZiLThmOTJlMzA3ZjA3NiIsImMiOjR9</t>
  </si>
  <si>
    <t>https://app.powerbi.com/view?r=eyJrIjoiOGRjNzkwNzgtMWMzZS00NDhlLWEyNzAtZDJhMTkyZjc1Yjk5IiwidCI6IjhmYmFhNWJmLTJlY2MtNGRjOC1iNTZiLThmOTJlMzA3ZjA3NiIsImMiOjR9</t>
  </si>
  <si>
    <t>https://app.powerbi.com/view?r=eyJrIjoiODdiNDkxMDAtN2FhMC00YWU3LTg5NDEtOTU2ODRhN2E0ZjI3IiwidCI6IjhmYmFhNWJmLTJlY2MtNGRjOC1iNTZiLThmOTJlMzA3ZjA3NiIsImMiOjR9</t>
  </si>
  <si>
    <t>https://app.powerbi.com/view?r=eyJrIjoiYTZmOTVjYjUtNDdkNS00ODllLWIwNjctNjM3MjNkNmM2OTAwIiwidCI6IjhmYmFhNWJmLTJlY2MtNGRjOC1iNTZiLThmOTJlMzA3ZjA3NiIsImMiOjR9</t>
  </si>
  <si>
    <t>https://app.powerbi.com/view?r=eyJrIjoiOTI0NDRhY2ItZGVlZS00Mjk2LWE0NWMtZmJkMTJlMWZhZDk4IiwidCI6IjhmYmFhNWJmLTJlY2MtNGRjOC1iNTZiLThmOTJlMzA3ZjA3NiIsImMiOjR9</t>
  </si>
  <si>
    <t>https://app.powerbi.com/view?r=eyJrIjoiMTc0YzhlMjQtNWY1NC00Njc1LTgzOGItNzAzNGZjZTlhYTAxIiwidCI6IjhmYmFhNWJmLTJlY2MtNGRjOC1iNTZiLThmOTJlMzA3ZjA3NiIsImMiOjR9</t>
  </si>
  <si>
    <t>https://app.powerbi.com/view?r=eyJrIjoiZjc1MDVmYTEtY2RhMi00MjVlLWE4YmItODA0MmJhZmE0MzUwIiwidCI6IjhmYmFhNWJmLTJlY2MtNGRjOC1iNTZiLThmOTJlMzA3ZjA3NiIsImMiOjR9</t>
  </si>
  <si>
    <t>https://app.powerbi.com/view?r=eyJrIjoiMmY4NjE0ZDQtMzQxOC00MmExLWJmMDktNjhmNTA4NDkyMjNhIiwidCI6IjhmYmFhNWJmLTJlY2MtNGRjOC1iNTZiLThmOTJlMzA3ZjA3NiIsImMiOjR9</t>
  </si>
  <si>
    <t>https://app.powerbi.com/view?r=eyJrIjoiMTE2MzJkOTktMWEyNy00MzVjLWEzYzUtODYyZGQyMmVhMDU5IiwidCI6IjhmYmFhNWJmLTJlY2MtNGRjOC1iNTZiLThmOTJlMzA3ZjA3NiIsImMiOjR9</t>
  </si>
  <si>
    <t>https://app.powerbi.com/view?r=eyJrIjoiNjNlODQ2MDYtNDIzMy00MGQ4LTlhMWUtMjE3ZDA4NThlZWJhIiwidCI6IjhmYmFhNWJmLTJlY2MtNGRjOC1iNTZiLThmOTJlMzA3ZjA3NiIsImMiOjR9</t>
  </si>
  <si>
    <t>https://app.powerbi.com/view?r=eyJrIjoiNTEyOGRlNjgtOWJlOC00NTZkLTljZjMtYTRiOTYyMWM0NWJjIiwidCI6IjhmYmFhNWJmLTJlY2MtNGRjOC1iNTZiLThmOTJlMzA3ZjA3NiIsImMiOjR9</t>
  </si>
  <si>
    <t>https://app.powerbi.com/view?r=eyJrIjoiZmVjOGIxMzItZDY5Ni00ZTk0LWEwY2ItN2IyZmViZTM4YmE0IiwidCI6IjhmYmFhNWJmLTJlY2MtNGRjOC1iNTZiLThmOTJlMzA3ZjA3NiIsImMiOjR9</t>
  </si>
  <si>
    <t>https://app.powerbi.com/view?r=eyJrIjoiM2M2ZDRjNjctN2Y2MC00ZmYzLTgwOTktMTFhMzg5NTFmOTBjIiwidCI6IjhmYmFhNWJmLTJlY2MtNGRjOC1iNTZiLThmOTJlMzA3ZjA3NiIsImMiOjR9</t>
  </si>
  <si>
    <t>https://app.powerbi.com/view?r=eyJrIjoiNTk3NjE1MDYtZDViMS00M2YzLTkyZDAtNTY5ZDk5OTA3ZTM3IiwidCI6IjhmYmFhNWJmLTJlY2MtNGRjOC1iNTZiLThmOTJlMzA3ZjA3NiIsImMiOjR9</t>
  </si>
  <si>
    <t>https://app.powerbi.com/view?r=eyJrIjoiMjc0Mjg5ODMtZmYzMy00OWJhLWJiYWQtZjQ3ZWIzMjQwNzMxIiwidCI6IjhmYmFhNWJmLTJlY2MtNGRjOC1iNTZiLThmOTJlMzA3ZjA3NiIsImMiOjR9</t>
  </si>
  <si>
    <t>https://analytics.zoho.com/open-view/2395394000007909646</t>
  </si>
  <si>
    <t>Chile nacional comercio exterior exportaciones usd valor dólar productos mar mariscos salmón truchas</t>
  </si>
  <si>
    <t>evolución Chile nacional periodo 2015 2021 producto importado importación comercio exterior internacional valor USD mundial minería alimentos fruta</t>
  </si>
  <si>
    <t>evolución Chile nacional periodo 2015 2021 trimestre exportación importación comparación comercio exterior internacional valor USD dólar</t>
  </si>
  <si>
    <t>evolución nacional exportación comercio exterior internacional valor USD mundial chile producto minero minería detalle cobre</t>
  </si>
  <si>
    <t>evolución variación porcentaje fuerza de trabajo Chile mensual año anterior periodo 1986 2021</t>
  </si>
  <si>
    <t>evolución variación porcentaje desocupados Chile mensual año anterior periodo 1986 2021</t>
  </si>
  <si>
    <t>evolución Chile nacional índice de producción minera minería periodo 2014 2021 IPMin</t>
  </si>
  <si>
    <t xml:space="preserve"> evolución Chile toneladas méticas contenido fino producción cobre minería tmf periodo 2014 2021</t>
  </si>
  <si>
    <t xml:space="preserve"> evolución región de Tarapacá producción cobre toneladas contenido fino tmf periodo 2014 2021</t>
  </si>
  <si>
    <t xml:space="preserve"> evolución región de Antofagasta producción cobre toneladas contenido fino tmf periodo 2014 2021</t>
  </si>
  <si>
    <t xml:space="preserve"> evolución región de Atacama producción cobre toneladas contenido fino tmf periodo 2014 2021</t>
  </si>
  <si>
    <t xml:space="preserve"> evolución región de Coquimbo producción cobre toneladas contenido fino tmf periodo 2014 2021</t>
  </si>
  <si>
    <t xml:space="preserve"> evolución región de Valparaíso producción cobre toneladas contenido fino tmf periodo 2014 2021</t>
  </si>
  <si>
    <t xml:space="preserve"> evolución chile producción de cloruro sodio toneladas minería mensual periodo 2014 2021</t>
  </si>
  <si>
    <t xml:space="preserve"> evolución chile producción de hierro toneladas métricas tm minería mensual periodo 2014 2021</t>
  </si>
  <si>
    <t xml:space="preserve"> evolucion chile número pernoctaciones mensual región periodo 2016 2021</t>
  </si>
  <si>
    <t>Chile nacional comunas comunal parques urbanos municipal municipio superficie hectáreas</t>
  </si>
  <si>
    <t>Chile nacional comunas comunalplazas públicas municipal municipio superficie hectáreas</t>
  </si>
  <si>
    <t>nacional Chile exportación comercio exterior internacional valor mundial china canadá USA</t>
  </si>
  <si>
    <t>nacional Chile importación comercio exterior internacional valor USD mundial argentina brasil USA alimentos país origen</t>
  </si>
  <si>
    <t>población pueblos originarios indígenas etnia Chile</t>
  </si>
  <si>
    <t>población pueblos originarios indígenas etnia comunal Chile</t>
  </si>
  <si>
    <t>población pueblos originarios indígenas etnia edad regional Chile</t>
  </si>
  <si>
    <t>Chile población pueblos originarios indígenas etnia regional</t>
  </si>
  <si>
    <t xml:space="preserve">Chile población pueblos originarios indígenas etnia sexo hombre mujer </t>
  </si>
  <si>
    <t>Chile pesca industrial evolución mensual pesquero desembarco toneladas región regional</t>
  </si>
  <si>
    <t>Chile pesca artesanal evolución mensual pesquero desembarco toneladas región regional</t>
  </si>
  <si>
    <t>Chile evolución salmón atlántico plateado coho trucha arcoiris cosecha toneladas mensual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</si>
</sst>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9" x14ac:knownFonts="1">
    <font>
      <sz val="11"/>
      <color theme="1"/>
      <name val="Calibri"/>
      <family val="2"/>
      <scheme val="minor"/>
    </font>
    <font>
      <b/>
      <sz val="7"/>
      <color theme="0"/>
      <name val="Arial"/>
      <family val="2"/>
    </font>
    <font>
      <u/>
      <sz val="11"/>
      <color theme="1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sz val="8"/>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9"/>
      <name val="Calibri"/>
      <family val="2"/>
      <scheme val="minor"/>
    </font>
    <font>
      <u/>
      <sz val="8"/>
      <color rgb="FFFF0000"/>
      <name val="Calibri"/>
      <family val="2"/>
      <scheme val="minor"/>
    </font>
    <font>
      <b/>
      <sz val="9"/>
      <color theme="0"/>
      <name val="Calibri"/>
      <family val="2"/>
      <scheme val="minor"/>
    </font>
    <font>
      <sz val="11"/>
      <color theme="1"/>
      <name val="Calibri"/>
      <family val="2"/>
      <scheme val="minor"/>
    </font>
    <font>
      <sz val="9"/>
      <color rgb="FFFF0000"/>
      <name val="Calibri"/>
      <family val="2"/>
      <scheme val="minor"/>
    </font>
    <font>
      <u/>
      <sz val="8"/>
      <color theme="10"/>
      <name val="Calibri"/>
      <family val="2"/>
      <scheme val="minor"/>
    </font>
    <font>
      <sz val="11"/>
      <name val="Calibri"/>
      <family val="2"/>
      <scheme val="minor"/>
    </font>
    <font>
      <u/>
      <sz val="11"/>
      <name val="Calibri"/>
      <family val="2"/>
      <scheme val="minor"/>
    </font>
  </fonts>
  <fills count="21">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249977111117893"/>
        <bgColor theme="1"/>
      </patternFill>
    </fill>
    <fill>
      <patternFill patternType="solid">
        <fgColor theme="9" tint="-0.249977111117893"/>
        <bgColor indexed="64"/>
      </patternFill>
    </fill>
    <fill>
      <patternFill patternType="solid">
        <fgColor rgb="FFFF0000"/>
        <bgColor indexed="64"/>
      </patternFill>
    </fill>
    <fill>
      <patternFill patternType="solid">
        <fgColor rgb="FFFF0000"/>
        <bgColor theme="1"/>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5" tint="-0.249977111117893"/>
        <bgColor theme="1"/>
      </patternFill>
    </fill>
    <fill>
      <patternFill patternType="solid">
        <fgColor rgb="FF7030A0"/>
        <bgColor theme="1"/>
      </patternFill>
    </fill>
    <fill>
      <patternFill patternType="solid">
        <fgColor rgb="FF0070C0"/>
        <bgColor theme="1"/>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s>
  <cellStyleXfs count="4">
    <xf numFmtId="0" fontId="0" fillId="0" borderId="0"/>
    <xf numFmtId="0" fontId="2" fillId="0" borderId="0" applyNumberForma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cellStyleXfs>
  <cellXfs count="123">
    <xf numFmtId="0" fontId="0" fillId="0" borderId="0" xfId="0"/>
    <xf numFmtId="0" fontId="4" fillId="0" borderId="0" xfId="0" applyFont="1" applyAlignment="1">
      <alignment wrapText="1"/>
    </xf>
    <xf numFmtId="0" fontId="0" fillId="0" borderId="0" xfId="0" applyAlignment="1">
      <alignment horizontal="center"/>
    </xf>
    <xf numFmtId="0" fontId="1" fillId="7" borderId="2" xfId="0" applyFont="1" applyFill="1" applyBorder="1" applyAlignment="1">
      <alignment horizontal="left" vertical="center" wrapText="1"/>
    </xf>
    <xf numFmtId="0" fontId="10" fillId="9" borderId="0" xfId="0" applyFont="1" applyFill="1"/>
    <xf numFmtId="0" fontId="9" fillId="9" borderId="3" xfId="0" applyFont="1" applyFill="1" applyBorder="1"/>
    <xf numFmtId="0" fontId="1" fillId="2" borderId="4" xfId="0" applyFont="1" applyFill="1" applyBorder="1" applyAlignment="1">
      <alignment horizontal="center" vertical="center" wrapText="1"/>
    </xf>
    <xf numFmtId="0" fontId="1" fillId="2" borderId="4" xfId="0" applyFont="1" applyFill="1" applyBorder="1" applyAlignment="1">
      <alignment horizontal="left" vertical="center" wrapText="1"/>
    </xf>
    <xf numFmtId="0" fontId="1" fillId="8" borderId="4" xfId="0" applyFont="1" applyFill="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4" fillId="0" borderId="1" xfId="0" applyFont="1" applyBorder="1" applyAlignment="1">
      <alignment vertical="top" wrapText="1"/>
    </xf>
    <xf numFmtId="0" fontId="0" fillId="6" borderId="0" xfId="0" applyFill="1"/>
    <xf numFmtId="0" fontId="1" fillId="10" borderId="2" xfId="0" applyFont="1" applyFill="1" applyBorder="1" applyAlignment="1">
      <alignment horizontal="left" vertical="center" wrapText="1"/>
    </xf>
    <xf numFmtId="0" fontId="6" fillId="11" borderId="1" xfId="0" applyFont="1" applyFill="1" applyBorder="1" applyAlignment="1">
      <alignment horizontal="center" vertical="center"/>
    </xf>
    <xf numFmtId="0" fontId="8" fillId="0" borderId="0" xfId="0" applyFont="1" applyAlignment="1">
      <alignment horizontal="center"/>
    </xf>
    <xf numFmtId="0" fontId="9" fillId="3" borderId="0" xfId="0" applyFont="1" applyFill="1"/>
    <xf numFmtId="0" fontId="8" fillId="6" borderId="0" xfId="0" applyFont="1" applyFill="1" applyAlignment="1">
      <alignment horizontal="center"/>
    </xf>
    <xf numFmtId="0" fontId="3" fillId="0" borderId="1" xfId="0" applyFont="1" applyFill="1" applyBorder="1" applyAlignment="1">
      <alignment horizontal="left" vertical="top" wrapText="1"/>
    </xf>
    <xf numFmtId="0" fontId="6" fillId="12" borderId="1" xfId="0" applyFont="1" applyFill="1" applyBorder="1" applyAlignment="1">
      <alignment horizontal="center" vertical="center"/>
    </xf>
    <xf numFmtId="0" fontId="4" fillId="0" borderId="1" xfId="0" applyFont="1" applyBorder="1" applyAlignment="1">
      <alignment horizontal="left" vertical="top" wrapText="1"/>
    </xf>
    <xf numFmtId="0" fontId="11" fillId="0" borderId="1" xfId="0" quotePrefix="1" applyFont="1" applyFill="1" applyBorder="1" applyAlignment="1">
      <alignment horizontal="center" vertical="top" wrapText="1"/>
    </xf>
    <xf numFmtId="0" fontId="12" fillId="0" borderId="1" xfId="1" applyFont="1" applyBorder="1" applyAlignment="1">
      <alignment vertical="top" wrapText="1"/>
    </xf>
    <xf numFmtId="0" fontId="4" fillId="6" borderId="1" xfId="0" applyFont="1" applyFill="1" applyBorder="1" applyAlignment="1">
      <alignment vertical="top" wrapText="1"/>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3" fillId="0" borderId="4" xfId="0" applyFont="1" applyFill="1" applyBorder="1" applyAlignment="1">
      <alignment horizontal="left" vertical="top" wrapText="1"/>
    </xf>
    <xf numFmtId="0" fontId="4" fillId="0" borderId="4" xfId="0" applyFont="1" applyBorder="1" applyAlignment="1">
      <alignment horizontal="left" vertical="top" wrapText="1"/>
    </xf>
    <xf numFmtId="0" fontId="4" fillId="0" borderId="4" xfId="0" applyFont="1" applyBorder="1" applyAlignment="1">
      <alignment vertical="top" wrapText="1"/>
    </xf>
    <xf numFmtId="0" fontId="0" fillId="0" borderId="0" xfId="0" applyFill="1"/>
    <xf numFmtId="0" fontId="0" fillId="13" borderId="0" xfId="0" applyFill="1"/>
    <xf numFmtId="0" fontId="10" fillId="13" borderId="0" xfId="0" applyFont="1" applyFill="1"/>
    <xf numFmtId="0" fontId="4" fillId="6" borderId="1" xfId="0" applyFont="1" applyFill="1" applyBorder="1" applyAlignment="1">
      <alignment horizontal="left" vertical="top" wrapText="1"/>
    </xf>
    <xf numFmtId="0" fontId="13" fillId="13" borderId="1" xfId="0" applyFont="1" applyFill="1" applyBorder="1" applyAlignment="1">
      <alignment horizontal="center" vertical="top" wrapText="1"/>
    </xf>
    <xf numFmtId="0" fontId="3" fillId="14" borderId="1" xfId="0" applyFont="1" applyFill="1" applyBorder="1" applyAlignment="1">
      <alignment horizontal="center" vertical="top" wrapText="1"/>
    </xf>
    <xf numFmtId="0" fontId="13" fillId="8" borderId="1" xfId="0" applyFont="1" applyFill="1" applyBorder="1" applyAlignment="1">
      <alignment horizontal="center" vertical="top" wrapText="1"/>
    </xf>
    <xf numFmtId="0" fontId="3" fillId="12" borderId="1" xfId="0" applyFont="1" applyFill="1" applyBorder="1" applyAlignment="1">
      <alignment horizontal="center" vertical="top" wrapText="1"/>
    </xf>
    <xf numFmtId="0" fontId="2" fillId="0" borderId="4" xfId="1" applyBorder="1" applyAlignment="1">
      <alignment vertical="top" wrapText="1"/>
    </xf>
    <xf numFmtId="0" fontId="3" fillId="0" borderId="1" xfId="0" applyFont="1" applyFill="1" applyBorder="1" applyAlignment="1">
      <alignment horizontal="center" vertical="top" wrapText="1"/>
    </xf>
    <xf numFmtId="0" fontId="2" fillId="0" borderId="1" xfId="1" applyBorder="1" applyAlignment="1">
      <alignment vertical="top" wrapText="1"/>
    </xf>
    <xf numFmtId="0" fontId="3" fillId="6" borderId="1" xfId="0" applyFont="1" applyFill="1" applyBorder="1" applyAlignment="1">
      <alignment horizontal="center" vertical="top" wrapText="1"/>
    </xf>
    <xf numFmtId="0" fontId="2" fillId="0" borderId="1" xfId="1" applyFill="1" applyBorder="1" applyAlignment="1">
      <alignment vertical="top" wrapText="1"/>
    </xf>
    <xf numFmtId="0" fontId="3" fillId="6" borderId="4" xfId="0" applyFont="1" applyFill="1" applyBorder="1" applyAlignment="1">
      <alignment horizontal="center" vertical="top" wrapText="1"/>
    </xf>
    <xf numFmtId="0" fontId="2" fillId="0" borderId="1" xfId="1" applyBorder="1" applyAlignment="1">
      <alignment horizontal="left" vertical="top" wrapText="1"/>
    </xf>
    <xf numFmtId="0" fontId="5" fillId="5" borderId="4" xfId="0" applyFont="1" applyFill="1" applyBorder="1" applyAlignment="1">
      <alignment horizontal="center" vertical="top" wrapText="1"/>
    </xf>
    <xf numFmtId="0" fontId="4" fillId="0" borderId="1" xfId="0" applyFont="1" applyFill="1" applyBorder="1" applyAlignment="1">
      <alignment horizontal="left" vertical="top" wrapText="1"/>
    </xf>
    <xf numFmtId="0" fontId="6" fillId="12" borderId="4" xfId="0" applyFont="1" applyFill="1" applyBorder="1" applyAlignment="1">
      <alignment horizontal="center" vertical="center"/>
    </xf>
    <xf numFmtId="0" fontId="2" fillId="0" borderId="1" xfId="1" applyFill="1" applyBorder="1" applyAlignment="1">
      <alignment wrapText="1"/>
    </xf>
    <xf numFmtId="164" fontId="3" fillId="0" borderId="1" xfId="2" applyFont="1" applyFill="1" applyBorder="1" applyAlignment="1">
      <alignment horizontal="center" vertical="top" wrapText="1"/>
    </xf>
    <xf numFmtId="0" fontId="11" fillId="0" borderId="1" xfId="0" applyFont="1" applyFill="1" applyBorder="1" applyAlignment="1">
      <alignment horizontal="center" vertical="top" wrapText="1"/>
    </xf>
    <xf numFmtId="0" fontId="4" fillId="0" borderId="1" xfId="0" applyFont="1" applyFill="1" applyBorder="1" applyAlignment="1">
      <alignment vertical="top" wrapText="1"/>
    </xf>
    <xf numFmtId="0" fontId="15" fillId="6" borderId="1" xfId="0" applyFont="1" applyFill="1" applyBorder="1" applyAlignment="1">
      <alignment horizontal="center" vertical="top" wrapText="1"/>
    </xf>
    <xf numFmtId="0" fontId="1" fillId="15" borderId="4" xfId="0" applyFont="1" applyFill="1" applyBorder="1" applyAlignment="1">
      <alignment horizontal="left" vertical="center" wrapText="1"/>
    </xf>
    <xf numFmtId="0" fontId="1" fillId="16" borderId="4" xfId="0" applyFont="1" applyFill="1" applyBorder="1" applyAlignment="1">
      <alignment horizontal="left" vertical="center" wrapText="1"/>
    </xf>
    <xf numFmtId="0" fontId="1" fillId="17" borderId="4" xfId="0" applyFont="1" applyFill="1" applyBorder="1" applyAlignment="1">
      <alignment horizontal="left" vertical="center" wrapText="1"/>
    </xf>
    <xf numFmtId="0" fontId="1" fillId="19" borderId="4" xfId="0" applyFont="1" applyFill="1" applyBorder="1" applyAlignment="1">
      <alignment horizontal="center" vertical="center" wrapText="1"/>
    </xf>
    <xf numFmtId="0" fontId="5" fillId="5" borderId="1" xfId="0" applyFont="1" applyFill="1" applyBorder="1" applyAlignment="1">
      <alignment horizontal="center" vertical="top" wrapText="1"/>
    </xf>
    <xf numFmtId="0" fontId="16" fillId="0" borderId="1" xfId="1" applyFont="1" applyBorder="1" applyAlignment="1">
      <alignment vertical="top" wrapText="1"/>
    </xf>
    <xf numFmtId="0" fontId="3" fillId="12" borderId="4" xfId="0" applyFont="1" applyFill="1" applyBorder="1" applyAlignment="1">
      <alignment horizontal="center" vertical="top" wrapText="1"/>
    </xf>
    <xf numFmtId="0" fontId="3" fillId="0" borderId="4" xfId="0" applyFont="1" applyFill="1" applyBorder="1" applyAlignment="1">
      <alignment horizontal="center" vertical="top" wrapText="1"/>
    </xf>
    <xf numFmtId="0" fontId="2" fillId="0" borderId="1" xfId="0" applyFont="1" applyBorder="1" applyAlignment="1">
      <alignment vertical="top" wrapText="1"/>
    </xf>
    <xf numFmtId="0" fontId="0" fillId="0" borderId="1" xfId="0" applyBorder="1"/>
    <xf numFmtId="0" fontId="2" fillId="0" borderId="1" xfId="1" applyBorder="1" applyAlignment="1">
      <alignment wrapText="1"/>
    </xf>
    <xf numFmtId="0" fontId="11" fillId="0" borderId="1" xfId="0" applyFont="1" applyBorder="1" applyAlignment="1">
      <alignment horizontal="center" vertical="top" wrapText="1"/>
    </xf>
    <xf numFmtId="0" fontId="17" fillId="0" borderId="1" xfId="0" applyFont="1" applyBorder="1"/>
    <xf numFmtId="0" fontId="7" fillId="0" borderId="1" xfId="0" applyFont="1" applyBorder="1" applyAlignment="1">
      <alignment vertical="top" wrapText="1"/>
    </xf>
    <xf numFmtId="0" fontId="18" fillId="0" borderId="1" xfId="1" applyFont="1" applyFill="1" applyBorder="1" applyAlignment="1">
      <alignment wrapText="1"/>
    </xf>
    <xf numFmtId="0" fontId="2" fillId="0" borderId="1" xfId="1" applyBorder="1"/>
    <xf numFmtId="0" fontId="0" fillId="6" borderId="1"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4" xfId="0" applyFill="1" applyBorder="1" applyAlignment="1">
      <alignment horizontal="center" vertical="center" wrapText="1"/>
    </xf>
    <xf numFmtId="0" fontId="3" fillId="6" borderId="1" xfId="0" applyFont="1" applyFill="1" applyBorder="1" applyAlignment="1">
      <alignment horizontal="center" vertical="center" wrapText="1"/>
    </xf>
    <xf numFmtId="0" fontId="0" fillId="0" borderId="0" xfId="0" applyAlignment="1">
      <alignment horizontal="center" vertical="center"/>
    </xf>
    <xf numFmtId="0" fontId="0" fillId="6" borderId="1" xfId="0" applyFill="1" applyBorder="1" applyAlignment="1">
      <alignment horizontal="center" vertical="center"/>
    </xf>
    <xf numFmtId="0" fontId="17" fillId="6" borderId="1" xfId="0" applyFont="1" applyFill="1" applyBorder="1" applyAlignment="1">
      <alignment horizontal="center" vertical="center"/>
    </xf>
    <xf numFmtId="0" fontId="0" fillId="0" borderId="1" xfId="0" applyBorder="1" applyAlignment="1">
      <alignment horizontal="center" vertical="top"/>
    </xf>
    <xf numFmtId="0" fontId="0" fillId="0" borderId="0" xfId="0" applyAlignment="1">
      <alignment horizontal="center" vertical="top"/>
    </xf>
    <xf numFmtId="0" fontId="1" fillId="18" borderId="4" xfId="0" applyFont="1" applyFill="1" applyBorder="1" applyAlignment="1">
      <alignment horizontal="center" vertical="top" wrapText="1"/>
    </xf>
    <xf numFmtId="0" fontId="17" fillId="0" borderId="1" xfId="0" applyFont="1" applyBorder="1" applyAlignment="1">
      <alignment horizontal="center" vertical="top"/>
    </xf>
    <xf numFmtId="0" fontId="0" fillId="0" borderId="1" xfId="0" applyBorder="1" applyAlignment="1">
      <alignment vertical="top"/>
    </xf>
    <xf numFmtId="0" fontId="0" fillId="0" borderId="0" xfId="0"/>
    <xf numFmtId="0" fontId="0" fillId="0" borderId="0" xfId="0" pivotButton="1"/>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4" fillId="0" borderId="1" xfId="0" applyFont="1" applyBorder="1" applyAlignment="1">
      <alignment vertical="top" wrapText="1"/>
    </xf>
    <xf numFmtId="0" fontId="3"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6" borderId="1" xfId="0" applyFont="1" applyFill="1" applyBorder="1" applyAlignment="1">
      <alignment horizontal="center" vertical="top" wrapText="1"/>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3" fillId="0" borderId="4" xfId="0" applyFont="1" applyFill="1" applyBorder="1" applyAlignment="1">
      <alignment horizontal="left" vertical="top" wrapText="1"/>
    </xf>
    <xf numFmtId="0" fontId="4" fillId="0" borderId="4" xfId="0" applyFont="1" applyBorder="1" applyAlignment="1">
      <alignment horizontal="left" vertical="top" wrapText="1"/>
    </xf>
    <xf numFmtId="0" fontId="4" fillId="0" borderId="4" xfId="0" applyFont="1" applyBorder="1" applyAlignment="1">
      <alignment vertical="top" wrapText="1"/>
    </xf>
    <xf numFmtId="0" fontId="0" fillId="6" borderId="4" xfId="0" applyFont="1" applyFill="1" applyBorder="1" applyAlignment="1">
      <alignment horizontal="center" vertical="top" wrapText="1"/>
    </xf>
    <xf numFmtId="0" fontId="4" fillId="6" borderId="1" xfId="0" applyFont="1" applyFill="1" applyBorder="1" applyAlignment="1">
      <alignment horizontal="left" vertical="top" wrapText="1"/>
    </xf>
    <xf numFmtId="0" fontId="13" fillId="13" borderId="1" xfId="0" applyFont="1" applyFill="1" applyBorder="1" applyAlignment="1">
      <alignment horizontal="center" vertical="top" wrapText="1"/>
    </xf>
    <xf numFmtId="0" fontId="3" fillId="14" borderId="1" xfId="0" applyFont="1" applyFill="1" applyBorder="1" applyAlignment="1">
      <alignment horizontal="center" vertical="top" wrapText="1"/>
    </xf>
    <xf numFmtId="0" fontId="13" fillId="8" borderId="1" xfId="0" applyFont="1" applyFill="1" applyBorder="1" applyAlignment="1">
      <alignment horizontal="center" vertical="top" wrapText="1"/>
    </xf>
    <xf numFmtId="0" fontId="3" fillId="12" borderId="1" xfId="0" applyFont="1" applyFill="1" applyBorder="1" applyAlignment="1">
      <alignment horizontal="center" vertical="top" wrapText="1"/>
    </xf>
    <xf numFmtId="0" fontId="2" fillId="0" borderId="4" xfId="1" applyBorder="1" applyAlignment="1">
      <alignment vertical="top" wrapText="1"/>
    </xf>
    <xf numFmtId="0" fontId="0" fillId="0" borderId="0" xfId="0" applyNumberFormat="1"/>
    <xf numFmtId="0" fontId="2" fillId="0" borderId="1" xfId="1" applyBorder="1" applyAlignment="1">
      <alignment vertical="top" wrapText="1"/>
    </xf>
    <xf numFmtId="0" fontId="16" fillId="0" borderId="1" xfId="1" applyFont="1" applyBorder="1" applyAlignment="1">
      <alignment vertical="top" wrapText="1"/>
    </xf>
    <xf numFmtId="0" fontId="16" fillId="0" borderId="4" xfId="1" applyFont="1" applyBorder="1" applyAlignment="1">
      <alignment vertical="top" wrapText="1"/>
    </xf>
    <xf numFmtId="0" fontId="3" fillId="0" borderId="4" xfId="0" applyFont="1" applyFill="1" applyBorder="1" applyAlignment="1">
      <alignment horizontal="center" vertical="top" wrapText="1"/>
    </xf>
    <xf numFmtId="0" fontId="2" fillId="0" borderId="0" xfId="1"/>
    <xf numFmtId="0" fontId="4" fillId="6" borderId="4"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20" borderId="4" xfId="0" applyFont="1" applyFill="1" applyBorder="1" applyAlignment="1">
      <alignment horizontal="left" vertical="top" wrapText="1"/>
    </xf>
    <xf numFmtId="0" fontId="4" fillId="20" borderId="1" xfId="0" applyFont="1" applyFill="1" applyBorder="1" applyAlignment="1">
      <alignment horizontal="left" vertical="top" wrapText="1"/>
    </xf>
    <xf numFmtId="0" fontId="0" fillId="4" borderId="1" xfId="0" applyFill="1" applyBorder="1" applyAlignment="1">
      <alignment horizontal="center" vertical="center" wrapText="1"/>
    </xf>
    <xf numFmtId="0" fontId="0" fillId="4" borderId="1" xfId="0" applyFont="1" applyFill="1" applyBorder="1" applyAlignment="1">
      <alignment horizontal="center" vertical="center" wrapText="1"/>
    </xf>
    <xf numFmtId="0" fontId="0" fillId="4" borderId="4" xfId="0" applyFont="1" applyFill="1" applyBorder="1" applyAlignment="1">
      <alignment horizontal="center" vertical="center" wrapText="1"/>
    </xf>
    <xf numFmtId="1" fontId="6" fillId="12" borderId="1" xfId="0" applyNumberFormat="1" applyFont="1" applyFill="1" applyBorder="1" applyAlignment="1">
      <alignment horizontal="center" vertical="center"/>
    </xf>
    <xf numFmtId="1" fontId="6" fillId="11" borderId="1" xfId="0" applyNumberFormat="1" applyFont="1" applyFill="1" applyBorder="1" applyAlignment="1">
      <alignment horizontal="center" vertical="center"/>
    </xf>
    <xf numFmtId="1" fontId="6" fillId="12" borderId="4" xfId="0" applyNumberFormat="1" applyFont="1" applyFill="1" applyBorder="1" applyAlignment="1">
      <alignment horizontal="center" vertical="center"/>
    </xf>
    <xf numFmtId="0" fontId="6" fillId="0" borderId="1" xfId="0" applyFont="1" applyFill="1" applyBorder="1" applyAlignment="1">
      <alignment horizontal="center" vertical="top" wrapText="1"/>
    </xf>
    <xf numFmtId="0" fontId="5" fillId="0" borderId="1" xfId="0" applyFont="1" applyFill="1" applyBorder="1" applyAlignment="1">
      <alignment horizontal="center" vertical="top"/>
    </xf>
    <xf numFmtId="0" fontId="4" fillId="0" borderId="5" xfId="0" applyFont="1" applyFill="1" applyBorder="1" applyAlignment="1">
      <alignment vertical="top" wrapText="1"/>
    </xf>
    <xf numFmtId="0" fontId="4" fillId="0" borderId="4" xfId="0" applyFont="1" applyFill="1" applyBorder="1" applyAlignment="1">
      <alignment vertical="top" wrapText="1"/>
    </xf>
    <xf numFmtId="0" fontId="0" fillId="0" borderId="6" xfId="0" applyNumberFormat="1" applyFill="1" applyBorder="1" applyAlignment="1">
      <alignment horizontal="center" vertical="top"/>
    </xf>
    <xf numFmtId="0" fontId="12" fillId="6" borderId="1" xfId="1" applyFont="1" applyFill="1" applyBorder="1" applyAlignment="1">
      <alignment vertical="top" wrapText="1"/>
    </xf>
  </cellXfs>
  <cellStyles count="4">
    <cellStyle name="Hipervínculo" xfId="1" builtinId="8"/>
    <cellStyle name="Millares" xfId="2" builtinId="3"/>
    <cellStyle name="Millares 2" xfId="3" xr:uid="{7E25EE5A-4808-4B00-AC9E-A9E311A29A69}"/>
    <cellStyle name="Normal" xfId="0" builtinId="0"/>
  </cellStyles>
  <dxfs count="34">
    <dxf>
      <font>
        <color theme="0"/>
      </font>
      <fill>
        <patternFill patternType="solid">
          <fgColor indexed="64"/>
          <bgColor rgb="FFFF0000"/>
        </patternFill>
      </fill>
    </dxf>
    <dxf>
      <fill>
        <patternFill patternType="solid">
          <bgColor rgb="FFFF0000"/>
        </patternFill>
      </fill>
    </dxf>
    <dxf>
      <font>
        <color theme="0"/>
      </font>
    </dxf>
    <dxf>
      <font>
        <color theme="0"/>
      </font>
    </dxf>
    <dxf>
      <fill>
        <patternFill patternType="solid">
          <bgColor rgb="FFFF0000"/>
        </patternFill>
      </fill>
    </dxf>
    <dxf>
      <font>
        <color theme="0"/>
      </font>
      <fill>
        <patternFill patternType="solid">
          <fgColor indexed="64"/>
          <bgColor rgb="FFFF0000"/>
        </patternFill>
      </fill>
    </dxf>
    <dxf>
      <font>
        <b/>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center" vertical="top" textRotation="0" wrapText="0" indent="0" justifyLastLine="0" shrinkToFit="0" readingOrder="0"/>
      <border outline="0">
        <right style="thin">
          <color indexed="64"/>
        </right>
      </border>
    </dxf>
    <dxf>
      <numFmt numFmtId="0" formatCode="General"/>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8"/>
        <color theme="1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1"/>
        <name val="Calibri"/>
        <family val="2"/>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7"/>
        <color theme="0"/>
        <name val="Arial"/>
        <family val="2"/>
        <scheme val="none"/>
      </font>
      <fill>
        <patternFill patternType="solid">
          <fgColor theme="1"/>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14.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07/relationships/slicerCache" Target="slicerCaches/slicerCache10.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styles" Target="styles.xml"/><Relationship Id="rId10" Type="http://schemas.microsoft.com/office/2007/relationships/slicerCache" Target="slicerCaches/slicerCache3.xml"/><Relationship Id="rId19" Type="http://schemas.microsoft.com/office/2007/relationships/slicerCache" Target="slicerCaches/slicerCache12.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533400</xdr:colOff>
      <xdr:row>8</xdr:row>
      <xdr:rowOff>27214</xdr:rowOff>
    </xdr:to>
    <mc:AlternateContent xmlns:mc="http://schemas.openxmlformats.org/markup-compatibility/2006" xmlns:a14="http://schemas.microsoft.com/office/drawing/2010/main">
      <mc:Choice Requires="a14">
        <xdr:graphicFrame macro="">
          <xdr:nvGraphicFramePr>
            <xdr:cNvPr id="2" name="sector 1">
              <a:extLst>
                <a:ext uri="{FF2B5EF4-FFF2-40B4-BE49-F238E27FC236}">
                  <a16:creationId xmlns:a16="http://schemas.microsoft.com/office/drawing/2014/main" id="{77FE1F53-1866-4F0C-ABD0-CDABBD0E8989}"/>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0" y="0"/>
              <a:ext cx="2748642" cy="1478643"/>
            </a:xfrm>
            <a:prstGeom prst="rect">
              <a:avLst/>
            </a:prstGeom>
            <a:solidFill>
              <a:prstClr val="white"/>
            </a:solidFill>
            <a:ln w="1">
              <a:solidFill>
                <a:prstClr val="green"/>
              </a:solidFill>
            </a:ln>
          </xdr:spPr>
          <xdr:txBody>
            <a:bodyPr vertOverflow="clip" horzOverflow="clip"/>
            <a:lstStyle/>
            <a:p>
              <a:r>
                <a:rPr lang="es-C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5</xdr:col>
      <xdr:colOff>1404257</xdr:colOff>
      <xdr:row>0</xdr:row>
      <xdr:rowOff>0</xdr:rowOff>
    </xdr:from>
    <xdr:to>
      <xdr:col>7</xdr:col>
      <xdr:colOff>1496785</xdr:colOff>
      <xdr:row>8</xdr:row>
      <xdr:rowOff>20637</xdr:rowOff>
    </xdr:to>
    <mc:AlternateContent xmlns:mc="http://schemas.openxmlformats.org/markup-compatibility/2006" xmlns:a14="http://schemas.microsoft.com/office/drawing/2010/main">
      <mc:Choice Requires="a14">
        <xdr:graphicFrame macro="">
          <xdr:nvGraphicFramePr>
            <xdr:cNvPr id="3" name="tema 1">
              <a:extLst>
                <a:ext uri="{FF2B5EF4-FFF2-40B4-BE49-F238E27FC236}">
                  <a16:creationId xmlns:a16="http://schemas.microsoft.com/office/drawing/2014/main" id="{B4518174-256E-4130-B8FB-9B3AC4B51528}"/>
                </a:ext>
              </a:extLst>
            </xdr:cNvPr>
            <xdr:cNvGraphicFramePr/>
          </xdr:nvGraphicFramePr>
          <xdr:xfrm>
            <a:off x="0" y="0"/>
            <a:ext cx="0" cy="0"/>
          </xdr:xfrm>
          <a:graphic>
            <a:graphicData uri="http://schemas.microsoft.com/office/drawing/2010/slicer">
              <sle:slicer xmlns:sle="http://schemas.microsoft.com/office/drawing/2010/slicer" name="tema 1"/>
            </a:graphicData>
          </a:graphic>
        </xdr:graphicFrame>
      </mc:Choice>
      <mc:Fallback xmlns="">
        <xdr:sp macro="" textlink="">
          <xdr:nvSpPr>
            <xdr:cNvPr id="0" name=""/>
            <xdr:cNvSpPr>
              <a:spLocks noTextEdit="1"/>
            </xdr:cNvSpPr>
          </xdr:nvSpPr>
          <xdr:spPr>
            <a:xfrm>
              <a:off x="7696200" y="0"/>
              <a:ext cx="4942114" cy="1501094"/>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xdr:col>
      <xdr:colOff>573087</xdr:colOff>
      <xdr:row>0</xdr:row>
      <xdr:rowOff>30842</xdr:rowOff>
    </xdr:from>
    <xdr:to>
      <xdr:col>5</xdr:col>
      <xdr:colOff>1393372</xdr:colOff>
      <xdr:row>8</xdr:row>
      <xdr:rowOff>58056</xdr:rowOff>
    </xdr:to>
    <mc:AlternateContent xmlns:mc="http://schemas.openxmlformats.org/markup-compatibility/2006" xmlns:a14="http://schemas.microsoft.com/office/drawing/2010/main">
      <mc:Choice Requires="a14">
        <xdr:graphicFrame macro="">
          <xdr:nvGraphicFramePr>
            <xdr:cNvPr id="4" name="contenido 1">
              <a:extLst>
                <a:ext uri="{FF2B5EF4-FFF2-40B4-BE49-F238E27FC236}">
                  <a16:creationId xmlns:a16="http://schemas.microsoft.com/office/drawing/2014/main" id="{2B32899D-8F6C-4ED5-A15D-72DEFFE90CF2}"/>
                </a:ext>
              </a:extLst>
            </xdr:cNvPr>
            <xdr:cNvGraphicFramePr/>
          </xdr:nvGraphicFramePr>
          <xdr:xfrm>
            <a:off x="0" y="0"/>
            <a:ext cx="0" cy="0"/>
          </xdr:xfrm>
          <a:graphic>
            <a:graphicData uri="http://schemas.microsoft.com/office/drawing/2010/slicer">
              <sle:slicer xmlns:sle="http://schemas.microsoft.com/office/drawing/2010/slicer" name="contenido 1"/>
            </a:graphicData>
          </a:graphic>
        </xdr:graphicFrame>
      </mc:Choice>
      <mc:Fallback xmlns="">
        <xdr:sp macro="" textlink="">
          <xdr:nvSpPr>
            <xdr:cNvPr id="0" name=""/>
            <xdr:cNvSpPr>
              <a:spLocks noTextEdit="1"/>
            </xdr:cNvSpPr>
          </xdr:nvSpPr>
          <xdr:spPr>
            <a:xfrm>
              <a:off x="3675516" y="30842"/>
              <a:ext cx="4009799" cy="1507671"/>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7</xdr:col>
      <xdr:colOff>3188379</xdr:colOff>
      <xdr:row>0</xdr:row>
      <xdr:rowOff>13607</xdr:rowOff>
    </xdr:from>
    <xdr:to>
      <xdr:col>7</xdr:col>
      <xdr:colOff>5017633</xdr:colOff>
      <xdr:row>7</xdr:row>
      <xdr:rowOff>107495</xdr:rowOff>
    </xdr:to>
    <mc:AlternateContent xmlns:mc="http://schemas.openxmlformats.org/markup-compatibility/2006" xmlns:a14="http://schemas.microsoft.com/office/drawing/2010/main">
      <mc:Choice Requires="a14">
        <xdr:graphicFrame macro="">
          <xdr:nvGraphicFramePr>
            <xdr:cNvPr id="5" name="escala 1">
              <a:extLst>
                <a:ext uri="{FF2B5EF4-FFF2-40B4-BE49-F238E27FC236}">
                  <a16:creationId xmlns:a16="http://schemas.microsoft.com/office/drawing/2014/main" id="{944A9A87-0248-415C-A422-A156902B9B99}"/>
                </a:ext>
              </a:extLst>
            </xdr:cNvPr>
            <xdr:cNvGraphicFramePr/>
          </xdr:nvGraphicFramePr>
          <xdr:xfrm>
            <a:off x="0" y="0"/>
            <a:ext cx="0" cy="0"/>
          </xdr:xfrm>
          <a:graphic>
            <a:graphicData uri="http://schemas.microsoft.com/office/drawing/2010/slicer">
              <sle:slicer xmlns:sle="http://schemas.microsoft.com/office/drawing/2010/slicer" name="escala 1"/>
            </a:graphicData>
          </a:graphic>
        </xdr:graphicFrame>
      </mc:Choice>
      <mc:Fallback xmlns="">
        <xdr:sp macro="" textlink="">
          <xdr:nvSpPr>
            <xdr:cNvPr id="0" name=""/>
            <xdr:cNvSpPr>
              <a:spLocks noTextEdit="1"/>
            </xdr:cNvSpPr>
          </xdr:nvSpPr>
          <xdr:spPr>
            <a:xfrm>
              <a:off x="12778693" y="13607"/>
              <a:ext cx="1835604" cy="1382938"/>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7</xdr:col>
      <xdr:colOff>5110163</xdr:colOff>
      <xdr:row>0</xdr:row>
      <xdr:rowOff>0</xdr:rowOff>
    </xdr:from>
    <xdr:to>
      <xdr:col>7</xdr:col>
      <xdr:colOff>6945313</xdr:colOff>
      <xdr:row>8</xdr:row>
      <xdr:rowOff>8845</xdr:rowOff>
    </xdr:to>
    <mc:AlternateContent xmlns:mc="http://schemas.openxmlformats.org/markup-compatibility/2006" xmlns:a14="http://schemas.microsoft.com/office/drawing/2010/main">
      <mc:Choice Requires="a14">
        <xdr:graphicFrame macro="">
          <xdr:nvGraphicFramePr>
            <xdr:cNvPr id="6" name="territorio 1">
              <a:extLst>
                <a:ext uri="{FF2B5EF4-FFF2-40B4-BE49-F238E27FC236}">
                  <a16:creationId xmlns:a16="http://schemas.microsoft.com/office/drawing/2014/main" id="{B3D3C1FA-CC56-40BD-AE4E-6238EA1A28DF}"/>
                </a:ext>
              </a:extLst>
            </xdr:cNvPr>
            <xdr:cNvGraphicFramePr/>
          </xdr:nvGraphicFramePr>
          <xdr:xfrm>
            <a:off x="0" y="0"/>
            <a:ext cx="0" cy="0"/>
          </xdr:xfrm>
          <a:graphic>
            <a:graphicData uri="http://schemas.microsoft.com/office/drawing/2010/slicer">
              <sle:slicer xmlns:sle="http://schemas.microsoft.com/office/drawing/2010/slicer" name="territorio 1"/>
            </a:graphicData>
          </a:graphic>
        </xdr:graphicFrame>
      </mc:Choice>
      <mc:Fallback xmlns="">
        <xdr:sp macro="" textlink="">
          <xdr:nvSpPr>
            <xdr:cNvPr id="0" name=""/>
            <xdr:cNvSpPr>
              <a:spLocks noTextEdit="1"/>
            </xdr:cNvSpPr>
          </xdr:nvSpPr>
          <xdr:spPr>
            <a:xfrm>
              <a:off x="14700477" y="0"/>
              <a:ext cx="1828800" cy="1489302"/>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226695</xdr:colOff>
      <xdr:row>0</xdr:row>
      <xdr:rowOff>0</xdr:rowOff>
    </xdr:from>
    <xdr:to>
      <xdr:col>8</xdr:col>
      <xdr:colOff>1076325</xdr:colOff>
      <xdr:row>9</xdr:row>
      <xdr:rowOff>140335</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F88B9FB8-9239-4CBD-B5A4-F6EA82DA1E6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4920615" y="0"/>
              <a:ext cx="3004185" cy="178943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612140</xdr:colOff>
      <xdr:row>0</xdr:row>
      <xdr:rowOff>0</xdr:rowOff>
    </xdr:from>
    <xdr:to>
      <xdr:col>6</xdr:col>
      <xdr:colOff>141605</xdr:colOff>
      <xdr:row>9</xdr:row>
      <xdr:rowOff>140335</xdr:rowOff>
    </xdr:to>
    <mc:AlternateContent xmlns:mc="http://schemas.openxmlformats.org/markup-compatibility/2006" xmlns:sle15="http://schemas.microsoft.com/office/drawing/2012/slicer">
      <mc:Choice Requires="sle15">
        <xdr:graphicFrame macro="">
          <xdr:nvGraphicFramePr>
            <xdr:cNvPr id="4" name="contenido">
              <a:extLst>
                <a:ext uri="{FF2B5EF4-FFF2-40B4-BE49-F238E27FC236}">
                  <a16:creationId xmlns:a16="http://schemas.microsoft.com/office/drawing/2014/main" id="{12061715-F0FD-4D5B-952F-7BF4EE67C8D9}"/>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2116417" y="0"/>
              <a:ext cx="1869141" cy="175398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1736090</xdr:colOff>
      <xdr:row>0</xdr:row>
      <xdr:rowOff>40005</xdr:rowOff>
    </xdr:from>
    <xdr:to>
      <xdr:col>15</xdr:col>
      <xdr:colOff>741045</xdr:colOff>
      <xdr:row>9</xdr:row>
      <xdr:rowOff>143509</xdr:rowOff>
    </xdr:to>
    <mc:AlternateContent xmlns:mc="http://schemas.openxmlformats.org/markup-compatibility/2006" xmlns:sle15="http://schemas.microsoft.com/office/drawing/2012/slicer">
      <mc:Choice Requires="sle15">
        <xdr:graphicFrame macro="">
          <xdr:nvGraphicFramePr>
            <xdr:cNvPr id="5" name="escala">
              <a:extLst>
                <a:ext uri="{FF2B5EF4-FFF2-40B4-BE49-F238E27FC236}">
                  <a16:creationId xmlns:a16="http://schemas.microsoft.com/office/drawing/2014/main" id="{2E3EBC81-FEB1-4DFB-A44F-3B169226ACB2}"/>
                </a:ext>
              </a:extLst>
            </xdr:cNvPr>
            <xdr:cNvGraphicFramePr/>
          </xdr:nvGraphicFramePr>
          <xdr:xfrm>
            <a:off x="0" y="0"/>
            <a:ext cx="0" cy="0"/>
          </xdr:xfrm>
          <a:graphic>
            <a:graphicData uri="http://schemas.microsoft.com/office/drawing/2010/slicer">
              <sle:slicer xmlns:sle="http://schemas.microsoft.com/office/drawing/2010/slicer" name="escala"/>
            </a:graphicData>
          </a:graphic>
        </xdr:graphicFrame>
      </mc:Choice>
      <mc:Fallback xmlns="">
        <xdr:sp macro="" textlink="">
          <xdr:nvSpPr>
            <xdr:cNvPr id="0" name=""/>
            <xdr:cNvSpPr>
              <a:spLocks noTextEdit="1"/>
            </xdr:cNvSpPr>
          </xdr:nvSpPr>
          <xdr:spPr>
            <a:xfrm>
              <a:off x="15825470" y="40005"/>
              <a:ext cx="1430655" cy="17525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353695</xdr:colOff>
      <xdr:row>0</xdr:row>
      <xdr:rowOff>10795</xdr:rowOff>
    </xdr:from>
    <xdr:to>
      <xdr:col>18</xdr:col>
      <xdr:colOff>2248759</xdr:colOff>
      <xdr:row>9</xdr:row>
      <xdr:rowOff>152399</xdr:rowOff>
    </xdr:to>
    <mc:AlternateContent xmlns:mc="http://schemas.openxmlformats.org/markup-compatibility/2006" xmlns:sle15="http://schemas.microsoft.com/office/drawing/2012/slicer">
      <mc:Choice Requires="sle15">
        <xdr:graphicFrame macro="">
          <xdr:nvGraphicFramePr>
            <xdr:cNvPr id="6" name="territorio">
              <a:extLst>
                <a:ext uri="{FF2B5EF4-FFF2-40B4-BE49-F238E27FC236}">
                  <a16:creationId xmlns:a16="http://schemas.microsoft.com/office/drawing/2014/main" id="{C083D959-C1DC-4987-84C8-588E63D31B21}"/>
                </a:ext>
              </a:extLst>
            </xdr:cNvPr>
            <xdr:cNvGraphicFramePr/>
          </xdr:nvGraphicFramePr>
          <xdr:xfrm>
            <a:off x="0" y="0"/>
            <a:ext cx="0" cy="0"/>
          </xdr:xfrm>
          <a:graphic>
            <a:graphicData uri="http://schemas.microsoft.com/office/drawing/2010/slicer">
              <sle:slicer xmlns:sle="http://schemas.microsoft.com/office/drawing/2010/slicer" name="territorio"/>
            </a:graphicData>
          </a:graphic>
        </xdr:graphicFrame>
      </mc:Choice>
      <mc:Fallback xmlns="">
        <xdr:sp macro="" textlink="">
          <xdr:nvSpPr>
            <xdr:cNvPr id="0" name=""/>
            <xdr:cNvSpPr>
              <a:spLocks noTextEdit="1"/>
            </xdr:cNvSpPr>
          </xdr:nvSpPr>
          <xdr:spPr>
            <a:xfrm>
              <a:off x="20311110" y="7620"/>
              <a:ext cx="4028029" cy="17906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1107440</xdr:colOff>
      <xdr:row>0</xdr:row>
      <xdr:rowOff>29845</xdr:rowOff>
    </xdr:from>
    <xdr:to>
      <xdr:col>11</xdr:col>
      <xdr:colOff>47625</xdr:colOff>
      <xdr:row>9</xdr:row>
      <xdr:rowOff>163830</xdr:rowOff>
    </xdr:to>
    <mc:AlternateContent xmlns:mc="http://schemas.openxmlformats.org/markup-compatibility/2006" xmlns:sle15="http://schemas.microsoft.com/office/drawing/2012/slicer">
      <mc:Choice Requires="sle15">
        <xdr:graphicFrame macro="">
          <xdr:nvGraphicFramePr>
            <xdr:cNvPr id="7" name="Filtro Integrado">
              <a:extLst>
                <a:ext uri="{FF2B5EF4-FFF2-40B4-BE49-F238E27FC236}">
                  <a16:creationId xmlns:a16="http://schemas.microsoft.com/office/drawing/2014/main" id="{5472C0A4-91A6-42C1-A393-A18D9D3C0660}"/>
                </a:ext>
              </a:extLst>
            </xdr:cNvPr>
            <xdr:cNvGraphicFramePr/>
          </xdr:nvGraphicFramePr>
          <xdr:xfrm>
            <a:off x="0" y="0"/>
            <a:ext cx="0" cy="0"/>
          </xdr:xfrm>
          <a:graphic>
            <a:graphicData uri="http://schemas.microsoft.com/office/drawing/2010/slicer">
              <sle:slicer xmlns:sle="http://schemas.microsoft.com/office/drawing/2010/slicer" name="Filtro Integrado"/>
            </a:graphicData>
          </a:graphic>
        </xdr:graphicFrame>
      </mc:Choice>
      <mc:Fallback xmlns="">
        <xdr:sp macro="" textlink="">
          <xdr:nvSpPr>
            <xdr:cNvPr id="0" name=""/>
            <xdr:cNvSpPr>
              <a:spLocks noTextEdit="1"/>
            </xdr:cNvSpPr>
          </xdr:nvSpPr>
          <xdr:spPr>
            <a:xfrm>
              <a:off x="7959090" y="26670"/>
              <a:ext cx="2594610" cy="1786255"/>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92710</xdr:colOff>
      <xdr:row>0</xdr:row>
      <xdr:rowOff>31115</xdr:rowOff>
    </xdr:from>
    <xdr:to>
      <xdr:col>14</xdr:col>
      <xdr:colOff>401320</xdr:colOff>
      <xdr:row>10</xdr:row>
      <xdr:rowOff>10636</xdr:rowOff>
    </xdr:to>
    <mc:AlternateContent xmlns:mc="http://schemas.openxmlformats.org/markup-compatibility/2006" xmlns:sle15="http://schemas.microsoft.com/office/drawing/2012/slicer">
      <mc:Choice Requires="sle15">
        <xdr:graphicFrame macro="">
          <xdr:nvGraphicFramePr>
            <xdr:cNvPr id="8" name="Muestra">
              <a:extLst>
                <a:ext uri="{FF2B5EF4-FFF2-40B4-BE49-F238E27FC236}">
                  <a16:creationId xmlns:a16="http://schemas.microsoft.com/office/drawing/2014/main" id="{EAF619AD-8F97-47DC-8AAF-45BDB552F862}"/>
                </a:ext>
              </a:extLst>
            </xdr:cNvPr>
            <xdr:cNvGraphicFramePr/>
          </xdr:nvGraphicFramePr>
          <xdr:xfrm>
            <a:off x="0" y="0"/>
            <a:ext cx="0" cy="0"/>
          </xdr:xfrm>
          <a:graphic>
            <a:graphicData uri="http://schemas.microsoft.com/office/drawing/2010/slicer">
              <sle:slicer xmlns:sle="http://schemas.microsoft.com/office/drawing/2010/slicer" name="Muestra"/>
            </a:graphicData>
          </a:graphic>
        </xdr:graphicFrame>
      </mc:Choice>
      <mc:Fallback xmlns="">
        <xdr:sp macro="" textlink="">
          <xdr:nvSpPr>
            <xdr:cNvPr id="0" name=""/>
            <xdr:cNvSpPr>
              <a:spLocks noTextEdit="1"/>
            </xdr:cNvSpPr>
          </xdr:nvSpPr>
          <xdr:spPr>
            <a:xfrm>
              <a:off x="10601960" y="34290"/>
              <a:ext cx="3883660" cy="1791335"/>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130810</xdr:colOff>
      <xdr:row>0</xdr:row>
      <xdr:rowOff>30480</xdr:rowOff>
    </xdr:from>
    <xdr:to>
      <xdr:col>14</xdr:col>
      <xdr:colOff>1669415</xdr:colOff>
      <xdr:row>9</xdr:row>
      <xdr:rowOff>106679</xdr:rowOff>
    </xdr:to>
    <mc:AlternateContent xmlns:mc="http://schemas.openxmlformats.org/markup-compatibility/2006" xmlns:sle15="http://schemas.microsoft.com/office/drawing/2012/slicer">
      <mc:Choice Requires="sle15">
        <xdr:graphicFrame macro="">
          <xdr:nvGraphicFramePr>
            <xdr:cNvPr id="9" name="temporalidad">
              <a:extLst>
                <a:ext uri="{FF2B5EF4-FFF2-40B4-BE49-F238E27FC236}">
                  <a16:creationId xmlns:a16="http://schemas.microsoft.com/office/drawing/2014/main" id="{A3378071-08D8-4EAC-8987-B7ED83C1BDB5}"/>
                </a:ext>
              </a:extLst>
            </xdr:cNvPr>
            <xdr:cNvGraphicFramePr/>
          </xdr:nvGraphicFramePr>
          <xdr:xfrm>
            <a:off x="0" y="0"/>
            <a:ext cx="0" cy="0"/>
          </xdr:xfrm>
          <a:graphic>
            <a:graphicData uri="http://schemas.microsoft.com/office/drawing/2010/slicer">
              <sle:slicer xmlns:sle="http://schemas.microsoft.com/office/drawing/2010/slicer" name="temporalidad"/>
            </a:graphicData>
          </a:graphic>
        </xdr:graphicFrame>
      </mc:Choice>
      <mc:Fallback xmlns="">
        <xdr:sp macro="" textlink="">
          <xdr:nvSpPr>
            <xdr:cNvPr id="0" name=""/>
            <xdr:cNvSpPr>
              <a:spLocks noTextEdit="1"/>
            </xdr:cNvSpPr>
          </xdr:nvSpPr>
          <xdr:spPr>
            <a:xfrm>
              <a:off x="14215110" y="33655"/>
              <a:ext cx="1546860" cy="17221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2</xdr:col>
      <xdr:colOff>466725</xdr:colOff>
      <xdr:row>9</xdr:row>
      <xdr:rowOff>133350</xdr:rowOff>
    </xdr:to>
    <mc:AlternateContent xmlns:mc="http://schemas.openxmlformats.org/markup-compatibility/2006" xmlns:sle15="http://schemas.microsoft.com/office/drawing/2012/slicer">
      <mc:Choice Requires="sle15">
        <xdr:graphicFrame macro="">
          <xdr:nvGraphicFramePr>
            <xdr:cNvPr id="10" name="sector">
              <a:extLst>
                <a:ext uri="{FF2B5EF4-FFF2-40B4-BE49-F238E27FC236}">
                  <a16:creationId xmlns:a16="http://schemas.microsoft.com/office/drawing/2014/main" id="{86EF3C1F-1BC2-43D9-A1A4-3473FE7C8323}"/>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0" y="0"/>
              <a:ext cx="2000250" cy="17621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858108</xdr:colOff>
      <xdr:row>0</xdr:row>
      <xdr:rowOff>8032</xdr:rowOff>
    </xdr:from>
    <xdr:to>
      <xdr:col>17</xdr:col>
      <xdr:colOff>173840</xdr:colOff>
      <xdr:row>9</xdr:row>
      <xdr:rowOff>126441</xdr:rowOff>
    </xdr:to>
    <mc:AlternateContent xmlns:mc="http://schemas.openxmlformats.org/markup-compatibility/2006" xmlns:sle15="http://schemas.microsoft.com/office/drawing/2012/slicer">
      <mc:Choice Requires="sle15">
        <xdr:graphicFrame macro="">
          <xdr:nvGraphicFramePr>
            <xdr:cNvPr id="2" name="visualizacion">
              <a:extLst>
                <a:ext uri="{FF2B5EF4-FFF2-40B4-BE49-F238E27FC236}">
                  <a16:creationId xmlns:a16="http://schemas.microsoft.com/office/drawing/2014/main" id="{BDA9AD62-2E6F-432D-A612-960CCD254E53}"/>
                </a:ext>
              </a:extLst>
            </xdr:cNvPr>
            <xdr:cNvGraphicFramePr/>
          </xdr:nvGraphicFramePr>
          <xdr:xfrm>
            <a:off x="0" y="0"/>
            <a:ext cx="0" cy="0"/>
          </xdr:xfrm>
          <a:graphic>
            <a:graphicData uri="http://schemas.microsoft.com/office/drawing/2010/slicer">
              <sle:slicer xmlns:sle="http://schemas.microsoft.com/office/drawing/2010/slicer" name="visualizacion"/>
            </a:graphicData>
          </a:graphic>
        </xdr:graphicFrame>
      </mc:Choice>
      <mc:Fallback xmlns="">
        <xdr:sp macro="" textlink="">
          <xdr:nvSpPr>
            <xdr:cNvPr id="0" name=""/>
            <xdr:cNvSpPr>
              <a:spLocks noTextEdit="1"/>
            </xdr:cNvSpPr>
          </xdr:nvSpPr>
          <xdr:spPr>
            <a:xfrm>
              <a:off x="17647770" y="8032"/>
              <a:ext cx="2851524" cy="179929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21.693536921295" createdVersion="7" refreshedVersion="7" minRefreshableVersion="3" recordCount="2101" xr:uid="{16D461C4-7B81-410E-8D13-D0FA7FAF608D}">
  <cacheSource type="worksheet">
    <worksheetSource name="Agencia"/>
  </cacheSource>
  <cacheFields count="27">
    <cacheField name="id" numFmtId="0">
      <sharedItems containsBlank="1" count="80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428" u="1"/>
        <s v="4027" u="1"/>
        <s v="4838" u="1"/>
        <s v="6437" u="1"/>
        <s v="8036" u="1"/>
        <m u="1"/>
        <s v="3638" u="1"/>
        <s v="5237" u="1"/>
        <s v="7647" u="1"/>
        <s v="2438" u="1"/>
        <s v="4037" u="1"/>
        <s v="4848" u="1"/>
        <s v="6447" u="1"/>
        <s v="8046" u="1"/>
        <s v="3648" u="1"/>
        <s v="5247" u="1"/>
        <s v="7657" u="1"/>
        <s v="2448" u="1"/>
        <s v="4047" u="1"/>
        <s v="4858" u="1"/>
        <s v="6457" u="1"/>
        <s v="8056" u="1"/>
        <s v="3658" u="1"/>
        <s v="5257" u="1"/>
        <s v="7667" u="1"/>
        <s v="2458" u="1"/>
        <s v="4057" u="1"/>
        <s v="4868" u="1"/>
        <s v="6467" u="1"/>
        <s v="8066" u="1"/>
        <s v="3668" u="1"/>
        <s v="5267" u="1"/>
        <s v="7677" u="1"/>
        <s v="2468" u="1"/>
        <s v="4067" u="1"/>
        <s v="4878" u="1"/>
        <s v="6477" u="1"/>
        <s v="8076" u="1"/>
        <s v="3678" u="1"/>
        <s v="5277" u="1"/>
        <s v="6900" u="1"/>
        <s v="7687" u="1"/>
        <s v="2478" u="1"/>
        <s v="4077" u="1"/>
        <s v="4888" u="1"/>
        <s v="5700" u="1"/>
        <s v="6487" u="1"/>
        <s v="8086" u="1"/>
        <s v="2901" u="1"/>
        <s v="3688" u="1"/>
        <s v="4500" u="1"/>
        <s v="5287" u="1"/>
        <s v="6910" u="1"/>
        <s v="7697" u="1"/>
        <s v="2488" u="1"/>
        <s v="3300" u="1"/>
        <s v="4087" u="1"/>
        <s v="4898" u="1"/>
        <s v="5710" u="1"/>
        <s v="6497" u="1"/>
        <s v="8096" u="1"/>
        <s v="2911" u="1"/>
        <s v="3698" u="1"/>
        <s v="4510" u="1"/>
        <s v="5297" u="1"/>
        <s v="6920" u="1"/>
        <s v="2498" u="1"/>
        <s v="3310" u="1"/>
        <s v="4097" u="1"/>
        <s v="5720" u="1"/>
        <s v="2110" u="1"/>
        <s v="2921" u="1"/>
        <s v="4520" u="1"/>
        <s v="6930" u="1"/>
        <s v="3320" u="1"/>
        <s v="5730" u="1"/>
        <s v="2120" u="1"/>
        <s v="2931" u="1"/>
        <s v="4530" u="1"/>
        <s v="6940" u="1"/>
        <s v="3330" u="1"/>
        <s v="5740" u="1"/>
        <s v="2130" u="1"/>
        <s v="2941" u="1"/>
        <s v="4540" u="1"/>
        <s v="6950" u="1"/>
        <s v="3340" u="1"/>
        <s v="5750" u="1"/>
        <s v="2140" u="1"/>
        <s v="2951" u="1"/>
        <s v="4550" u="1"/>
        <s v="6960" u="1"/>
        <s v="3350" u="1"/>
        <s v="5760" u="1"/>
        <s v="2150" u="1"/>
        <s v="2961" u="1"/>
        <s v="4560" u="1"/>
        <s v="6970" u="1"/>
        <s v="3360" u="1"/>
        <s v="5770" u="1"/>
        <s v="2160" u="1"/>
        <s v="2971" u="1"/>
        <s v="4570" u="1"/>
        <s v="6808" u="1"/>
        <s v="6980" u="1"/>
        <s v="8407" u="1"/>
        <s v="3370" u="1"/>
        <s v="5608" u="1"/>
        <s v="5780" u="1"/>
        <s v="7207" u="1"/>
        <s v="2170" u="1"/>
        <s v="2809" u="1"/>
        <s v="2981" u="1"/>
        <s v="4408" u="1"/>
        <s v="4580" u="1"/>
        <s v="6007" u="1"/>
        <s v="6818" u="1"/>
        <s v="6990" u="1"/>
        <s v="8417" u="1"/>
        <s v="3208" u="1"/>
        <s v="3380" u="1"/>
        <s v="5618" u="1"/>
        <s v="5790" u="1"/>
        <s v="7217" u="1"/>
        <s v="2180" u="1"/>
        <s v="2819" u="1"/>
        <s v="2991" u="1"/>
        <s v="4418" u="1"/>
        <s v="4590" u="1"/>
        <s v="6017" u="1"/>
        <s v="6828" u="1"/>
        <s v="8427" u="1"/>
        <s v="3218" u="1"/>
        <s v="3390" u="1"/>
        <s v="5628" u="1"/>
        <s v="7227" u="1"/>
        <s v="2190" u="1"/>
        <s v="2829" u="1"/>
        <s v="4428" u="1"/>
        <s v="6027" u="1"/>
        <s v="6838" u="1"/>
        <s v="8437" u="1"/>
        <s v="3228" u="1"/>
        <s v="5638" u="1"/>
        <s v="7237" u="1"/>
        <s v="2839" u="1"/>
        <s v="4438" u="1"/>
        <s v="6037" u="1"/>
        <s v="6848" u="1"/>
        <s v="8447" u="1"/>
        <s v="3238" u="1"/>
        <s v="5648" u="1"/>
        <s v="7247" u="1"/>
        <s v="2849" u="1"/>
        <s v="4448" u="1"/>
        <s v="6047" u="1"/>
        <s v="6858" u="1"/>
        <s v="3248" u="1"/>
        <s v="5658" u="1"/>
        <s v="7257" u="1"/>
        <s v="2859" u="1"/>
        <s v="4458" u="1"/>
        <s v="6057" u="1"/>
        <s v="6868" u="1"/>
        <s v="3258" u="1"/>
        <s v="5668" u="1"/>
        <s v="7267" u="1"/>
        <s v="2869" u="1"/>
        <s v="4468" u="1"/>
        <s v="6067" u="1"/>
        <s v="6878" u="1"/>
        <s v="3268" u="1"/>
        <s v="5678" u="1"/>
        <s v="7277" u="1"/>
        <s v="2879" u="1"/>
        <s v="4478" u="1"/>
        <s v="6077" u="1"/>
        <s v="6888" u="1"/>
        <s v="7700" u="1"/>
        <s v="3278" u="1"/>
        <s v="4901" u="1"/>
        <s v="5688" u="1"/>
        <s v="6500" u="1"/>
        <s v="7287" u="1"/>
        <s v="2889" u="1"/>
        <s v="3701" u="1"/>
        <s v="4488" u="1"/>
        <s v="5300" u="1"/>
        <s v="6087" u="1"/>
        <s v="6898" u="1"/>
        <s v="7710" u="1"/>
        <s v="2501" u="1"/>
        <s v="3288" u="1"/>
        <s v="4100" u="1"/>
        <s v="4911" u="1"/>
        <s v="5698" u="1"/>
        <s v="6510" u="1"/>
        <s v="7297" u="1"/>
        <s v="2899" u="1"/>
        <s v="3711" u="1"/>
        <s v="4498" u="1"/>
        <s v="5310" u="1"/>
        <s v="6097" u="1"/>
        <s v="7720" u="1"/>
        <s v="2511" u="1"/>
        <s v="3298" u="1"/>
        <s v="4110" u="1"/>
        <s v="4921" u="1"/>
        <s v="6520" u="1"/>
        <s v="3721" u="1"/>
        <s v="5320" u="1"/>
        <s v="7730" u="1"/>
        <s v="2521" u="1"/>
        <s v="4120" u="1"/>
        <s v="4931" u="1"/>
        <s v="6530" u="1"/>
        <s v="3731" u="1"/>
        <s v="5330" u="1"/>
        <s v="7740" u="1"/>
        <s v="2531" u="1"/>
        <s v="4130" u="1"/>
        <s v="4941" u="1"/>
        <s v="6540" u="1"/>
        <s v="3741" u="1"/>
        <s v="5340" u="1"/>
        <s v="7750" u="1"/>
        <s v="2541" u="1"/>
        <s v="4140" u="1"/>
        <s v="4951" u="1"/>
        <s v="6550" u="1"/>
        <s v="3751" u="1"/>
        <s v="5350" u="1"/>
        <s v="7760" u="1"/>
        <s v="2551" u="1"/>
        <s v="4150" u="1"/>
        <s v="4961" u="1"/>
        <s v="6560" u="1"/>
        <s v="3761" u="1"/>
        <s v="5360" u="1"/>
        <s v="7770" u="1"/>
        <s v="2561" u="1"/>
        <s v="4160" u="1"/>
        <s v="4971" u="1"/>
        <s v="6570" u="1"/>
        <s v="3771" u="1"/>
        <s v="5370" u="1"/>
        <s v="7608" u="1"/>
        <s v="7780" u="1"/>
        <s v="2571" u="1"/>
        <s v="4170" u="1"/>
        <s v="4809" u="1"/>
        <s v="4981" u="1"/>
        <s v="6408" u="1"/>
        <s v="6580" u="1"/>
        <s v="8007" u="1"/>
        <s v="3609" u="1"/>
        <s v="3781" u="1"/>
        <s v="5208" u="1"/>
        <s v="5380" u="1"/>
        <s v="7618" u="1"/>
        <s v="7790" u="1"/>
        <s v="2409" u="1"/>
        <s v="2581" u="1"/>
        <s v="4008" u="1"/>
        <s v="4180" u="1"/>
        <s v="4819" u="1"/>
        <s v="4991" u="1"/>
        <s v="6418" u="1"/>
        <s v="6590" u="1"/>
        <s v="8017" u="1"/>
        <s v="3619" u="1"/>
        <s v="3791" u="1"/>
        <s v="5218" u="1"/>
        <s v="5390" u="1"/>
        <s v="7628" u="1"/>
        <s v="2419" u="1"/>
        <s v="2591" u="1"/>
        <s v="4018" u="1"/>
        <s v="4190" u="1"/>
        <s v="4829" u="1"/>
        <s v="6428" u="1"/>
        <s v="8027" u="1"/>
        <s v="3629" u="1"/>
        <s v="5228" u="1"/>
        <s v="7638" u="1"/>
        <s v="2429" u="1"/>
        <s v="4028" u="1"/>
        <s v="4839" u="1"/>
        <s v="6438" u="1"/>
        <s v="8037" u="1"/>
        <s v="3639" u="1"/>
        <s v="5238" u="1"/>
        <s v="7648" u="1"/>
        <s v="2439" u="1"/>
        <s v="4038" u="1"/>
        <s v="4849" u="1"/>
        <s v="6448" u="1"/>
        <s v="8047" u="1"/>
        <s v="3649" u="1"/>
        <s v="5248" u="1"/>
        <s v="7658" u="1"/>
        <s v="2449" u="1"/>
        <s v="4048" u="1"/>
        <s v="4859" u="1"/>
        <s v="6458" u="1"/>
        <s v="8057" u="1"/>
        <s v="3659" u="1"/>
        <s v="5258" u="1"/>
        <s v="7668" u="1"/>
        <s v="2459" u="1"/>
        <s v="4058" u="1"/>
        <s v="4869" u="1"/>
        <s v="6468" u="1"/>
        <s v="8067" u="1"/>
        <s v="3669" u="1"/>
        <s v="5268" u="1"/>
        <s v="7678" u="1"/>
        <s v="2469" u="1"/>
        <s v="4068" u="1"/>
        <s v="4879" u="1"/>
        <s v="6478" u="1"/>
        <s v="8077" u="1"/>
        <s v="3679" u="1"/>
        <s v="5278" u="1"/>
        <s v="6901" u="1"/>
        <s v="7688" u="1"/>
        <s v="2479" u="1"/>
        <s v="4078" u="1"/>
        <s v="4889" u="1"/>
        <s v="5701" u="1"/>
        <s v="6488" u="1"/>
        <s v="7300" u="1"/>
        <s v="8087" u="1"/>
        <s v="2902" u="1"/>
        <s v="3689" u="1"/>
        <s v="4501" u="1"/>
        <s v="5288" u="1"/>
        <s v="6100" u="1"/>
        <s v="6911" u="1"/>
        <s v="7698" u="1"/>
        <s v="2489" u="1"/>
        <s v="3301" u="1"/>
        <s v="4088" u="1"/>
        <s v="4899" u="1"/>
        <s v="5711" u="1"/>
        <s v="6498" u="1"/>
        <s v="7310" u="1"/>
        <s v="8097" u="1"/>
        <s v="2912" u="1"/>
        <s v="3699" u="1"/>
        <s v="4511" u="1"/>
        <s v="5298" u="1"/>
        <s v="6110" u="1"/>
        <s v="6921" u="1"/>
        <s v="2499" u="1"/>
        <s v="3311" u="1"/>
        <s v="4098" u="1"/>
        <s v="5721" u="1"/>
        <s v="7320" u="1"/>
        <s v="2111" u="1"/>
        <s v="2922" u="1"/>
        <s v="4521" u="1"/>
        <s v="6120" u="1"/>
        <s v="6931" u="1"/>
        <s v="3321" u="1"/>
        <s v="5731" u="1"/>
        <s v="7330" u="1"/>
        <s v="2121" u="1"/>
        <s v="2932" u="1"/>
        <s v="4531" u="1"/>
        <s v="6130" u="1"/>
        <s v="6941" u="1"/>
        <s v="3331" u="1"/>
        <s v="5741" u="1"/>
        <s v="7340" u="1"/>
        <s v="2131" u="1"/>
        <s v="2942" u="1"/>
        <s v="4541" u="1"/>
        <s v="6140" u="1"/>
        <s v="6951" u="1"/>
        <s v="3341" u="1"/>
        <s v="5751" u="1"/>
        <s v="7350" u="1"/>
        <s v="2141" u="1"/>
        <s v="2952" u="1"/>
        <s v="4551" u="1"/>
        <s v="6150" u="1"/>
        <s v="6961" u="1"/>
        <s v="3351" u="1"/>
        <s v="5761" u="1"/>
        <s v="7360" u="1"/>
        <s v="2151" u="1"/>
        <s v="2962" u="1"/>
        <s v="4561" u="1"/>
        <s v="6160" u="1"/>
        <s v="6971" u="1"/>
        <s v="3361" u="1"/>
        <s v="5771" u="1"/>
        <s v="7370" u="1"/>
        <s v="2161" u="1"/>
        <s v="2972" u="1"/>
        <s v="4571" u="1"/>
        <s v="6170" u="1"/>
        <s v="6809" u="1"/>
        <s v="6981" u="1"/>
        <s v="8408" u="1"/>
        <s v="3371" u="1"/>
        <s v="5609" u="1"/>
        <s v="5781" u="1"/>
        <s v="7208" u="1"/>
        <s v="7380" u="1"/>
        <s v="2171" u="1"/>
        <s v="2982" u="1"/>
        <s v="4409" u="1"/>
        <s v="4581" u="1"/>
        <s v="6008" u="1"/>
        <s v="6180" u="1"/>
        <s v="6819" u="1"/>
        <s v="6991" u="1"/>
        <s v="8418" u="1"/>
        <s v="3209" u="1"/>
        <s v="3381" u="1"/>
        <s v="5619" u="1"/>
        <s v="5791" u="1"/>
        <s v="7218" u="1"/>
        <s v="7390" u="1"/>
        <s v="2181" u="1"/>
        <s v="2992" u="1"/>
        <s v="4419" u="1"/>
        <s v="4591" u="1"/>
        <s v="6018" u="1"/>
        <s v="6190" u="1"/>
        <s v="6829" u="1"/>
        <s v="8428" u="1"/>
        <s v="3219" u="1"/>
        <s v="3391" u="1"/>
        <s v="5629" u="1"/>
        <s v="7228" u="1"/>
        <s v="2191" u="1"/>
        <s v="4429" u="1"/>
        <s v="6028" u="1"/>
        <s v="6839" u="1"/>
        <s v="8438" u="1"/>
        <s v="3229" u="1"/>
        <s v="5639" u="1"/>
        <s v="7238" u="1"/>
        <s v="4439" u="1"/>
        <s v="6038" u="1"/>
        <s v="6849" u="1"/>
        <s v="8448" u="1"/>
        <s v="3239" u="1"/>
        <s v="5649" u="1"/>
        <s v="7248" u="1"/>
        <s v="4449" u="1"/>
        <s v="6048" u="1"/>
        <s v="6859" u="1"/>
        <s v="3249" u="1"/>
        <s v="5659" u="1"/>
        <s v="7258" u="1"/>
        <s v="4459" u="1"/>
        <s v="6058" u="1"/>
        <s v="6869" u="1"/>
        <s v="3259" u="1"/>
        <s v="5669" u="1"/>
        <s v="7268" u="1"/>
        <s v="4469" u="1"/>
        <s v="6068" u="1"/>
        <s v="6879" u="1"/>
        <s v="3269" u="1"/>
        <s v="5679" u="1"/>
        <s v="7278" u="1"/>
        <s v="4479" u="1"/>
        <s v="6078" u="1"/>
        <s v="6889" u="1"/>
        <s v="7701" u="1"/>
        <s v="3279" u="1"/>
        <s v="4902" u="1"/>
        <s v="5689" u="1"/>
        <s v="6501" u="1"/>
        <s v="7288" u="1"/>
        <s v="8100" u="1"/>
        <s v="3702" u="1"/>
        <s v="4489" u="1"/>
        <s v="5301" u="1"/>
        <s v="6088" u="1"/>
        <s v="6899" u="1"/>
        <s v="7711" u="1"/>
        <s v="2502" u="1"/>
        <s v="3289" u="1"/>
        <s v="4101" u="1"/>
        <s v="4912" u="1"/>
        <s v="5699" u="1"/>
        <s v="6511" u="1"/>
        <s v="7298" u="1"/>
        <s v="8110" u="1"/>
        <s v="3712" u="1"/>
        <s v="4499" u="1"/>
        <s v="5311" u="1"/>
        <s v="6098" u="1"/>
        <s v="7721" u="1"/>
        <s v="2512" u="1"/>
        <s v="3299" u="1"/>
        <s v="4111" u="1"/>
        <s v="4922" u="1"/>
        <s v="6521" u="1"/>
        <s v="8120" u="1"/>
        <s v="3722" u="1"/>
        <s v="5321" u="1"/>
        <s v="7731" u="1"/>
        <s v="2522" u="1"/>
        <s v="4121" u="1"/>
        <s v="4932" u="1"/>
        <s v="6531" u="1"/>
        <s v="8130" u="1"/>
        <s v="3732" u="1"/>
        <s v="5331" u="1"/>
        <s v="7741" u="1"/>
        <s v="2532" u="1"/>
        <s v="4131" u="1"/>
        <s v="4942" u="1"/>
        <s v="6541" u="1"/>
        <s v="8140" u="1"/>
        <s v="3742" u="1"/>
        <s v="5341" u="1"/>
        <s v="7751" u="1"/>
        <s v="2542" u="1"/>
        <s v="4141" u="1"/>
        <s v="4952" u="1"/>
        <s v="6551" u="1"/>
        <s v="8150" u="1"/>
        <s v="3752" u="1"/>
        <s v="5351" u="1"/>
        <s v="7761" u="1"/>
        <s v="2552" u="1"/>
        <s v="4151" u="1"/>
        <s v="4962" u="1"/>
        <s v="6561" u="1"/>
        <s v="8160" u="1"/>
        <s v="3762" u="1"/>
        <s v="5361" u="1"/>
        <s v="7771" u="1"/>
        <s v="2562" u="1"/>
        <s v="4161" u="1"/>
        <s v="4972" u="1"/>
        <s v="6571" u="1"/>
        <s v="8170" u="1"/>
        <s v="3772" u="1"/>
        <s v="5371" u="1"/>
        <s v="7609" u="1"/>
        <s v="7781" u="1"/>
        <s v="2572" u="1"/>
        <s v="4171" u="1"/>
        <s v="4982" u="1"/>
        <s v="6409" u="1"/>
        <s v="6581" u="1"/>
        <s v="8008" u="1"/>
        <s v="8180" u="1"/>
        <s v="3782" u="1"/>
        <s v="5209" u="1"/>
        <s v="5381" u="1"/>
        <s v="7619" u="1"/>
        <s v="7791" u="1"/>
        <s v="2582" u="1"/>
        <s v="4009" u="1"/>
        <s v="4181" u="1"/>
        <s v="4992" u="1"/>
        <s v="6419" u="1"/>
        <s v="6591" u="1"/>
        <s v="8018" u="1"/>
        <s v="8190" u="1"/>
        <s v="3792" u="1"/>
        <s v="5219" u="1"/>
        <s v="5391" u="1"/>
        <s v="7629" u="1"/>
        <s v="2592" u="1"/>
        <s v="4019" u="1"/>
        <s v="4191" u="1"/>
        <s v="6429" u="1"/>
        <s v="8028" u="1"/>
        <s v="5229" u="1"/>
        <s v="7639" u="1"/>
        <s v="4029" u="1"/>
        <s v="6439" u="1"/>
        <s v="8038" u="1"/>
        <s v="5239" u="1"/>
        <s v="7649" u="1"/>
        <s v="4039" u="1"/>
        <s v="6449" u="1"/>
        <s v="8048" u="1"/>
        <s v="5249" u="1"/>
        <s v="7659" u="1"/>
        <s v="4049" u="1"/>
        <s v="6459" u="1"/>
        <s v="8058" u="1"/>
        <s v="5259" u="1"/>
        <s v="7669" u="1"/>
        <s v="4059" u="1"/>
        <s v="6469" u="1"/>
        <s v="8068" u="1"/>
        <s v="5269" u="1"/>
        <s v="7679" u="1"/>
        <s v="4069" u="1"/>
        <s v="6479" u="1"/>
        <s v="8078" u="1"/>
        <s v="5279" u="1"/>
        <s v="6902" u="1"/>
        <s v="7689" u="1"/>
        <s v="4079" u="1"/>
        <s v="5702" u="1"/>
        <s v="6489" u="1"/>
        <s v="7301" u="1"/>
        <s v="8088" u="1"/>
        <s v="2903" u="1"/>
        <s v="4502" u="1"/>
        <s v="5289" u="1"/>
        <s v="6101" u="1"/>
        <s v="6912" u="1"/>
        <s v="7699" u="1"/>
        <s v="3302" u="1"/>
        <s v="4089" u="1"/>
        <s v="5712" u="1"/>
        <s v="6499" u="1"/>
        <s v="7311" u="1"/>
        <s v="8098" u="1"/>
        <s v="2102" u="1"/>
        <s v="2913" u="1"/>
        <s v="4512" u="1"/>
        <s v="5299" u="1"/>
        <s v="6111" u="1"/>
        <s v="6922" u="1"/>
        <s v="3312" u="1"/>
        <s v="4099" u="1"/>
        <s v="5722" u="1"/>
        <s v="7321" u="1"/>
        <s v="2112" u="1"/>
        <s v="2923" u="1"/>
        <s v="4522" u="1"/>
        <s v="6121" u="1"/>
        <s v="6932" u="1"/>
        <s v="3322" u="1"/>
        <s v="5732" u="1"/>
        <s v="7331" u="1"/>
        <s v="2122" u="1"/>
        <s v="2933" u="1"/>
        <s v="4532" u="1"/>
        <s v="6131" u="1"/>
        <s v="6942" u="1"/>
        <s v="3332" u="1"/>
        <s v="5742" u="1"/>
        <s v="7341" u="1"/>
        <s v="2132" u="1"/>
        <s v="2943" u="1"/>
        <s v="4542" u="1"/>
        <s v="6141" u="1"/>
        <s v="6952" u="1"/>
        <s v="3342" u="1"/>
        <s v="5752" u="1"/>
        <s v="7351" u="1"/>
        <s v="2142" u="1"/>
        <s v="2953" u="1"/>
        <s v="4552" u="1"/>
        <s v="6151" u="1"/>
        <s v="6962" u="1"/>
        <s v="3352" u="1"/>
        <s v="5762" u="1"/>
        <s v="7361" u="1"/>
        <s v="2152" u="1"/>
        <s v="2963" u="1"/>
        <s v="4562" u="1"/>
        <s v="6161" u="1"/>
        <s v="6972" u="1"/>
        <s v="3362" u="1"/>
        <s v="5772" u="1"/>
        <s v="7371" u="1"/>
        <s v="2162" u="1"/>
        <s v="2973" u="1"/>
        <s v="4572" u="1"/>
        <s v="6171" u="1"/>
        <s v="6982" u="1"/>
        <s v="8409" u="1"/>
        <s v="3372" u="1"/>
        <s v="5782" u="1"/>
        <s v="7209" u="1"/>
        <s v="7381" u="1"/>
        <s v="2172" u="1"/>
        <s v="2983" u="1"/>
        <s v="4582" u="1"/>
        <s v="6009" u="1"/>
        <s v="6181" u="1"/>
        <s v="6992" u="1"/>
        <s v="8419" u="1"/>
        <s v="3382" u="1"/>
        <s v="5792" u="1"/>
        <s v="7219" u="1"/>
        <s v="7391" u="1"/>
        <s v="2182" u="1"/>
        <s v="2993" u="1"/>
        <s v="4592" u="1"/>
        <s v="6019" u="1"/>
        <s v="6191" u="1"/>
        <s v="8429" u="1"/>
        <s v="3392" u="1"/>
        <s v="7229" u="1"/>
        <s v="2192" u="1"/>
        <s v="6029" u="1"/>
        <s v="8439" u="1"/>
        <s v="7239" u="1"/>
        <s v="6039" u="1"/>
        <s v="7249" u="1"/>
        <s v="6049" u="1"/>
        <s v="7259" u="1"/>
        <s v="6059" u="1"/>
        <s v="7269" u="1"/>
        <s v="6069" u="1"/>
        <s v="7279" u="1"/>
        <s v="6079" u="1"/>
        <s v="7702" u="1"/>
        <s v="4903" u="1"/>
        <s v="6502" u="1"/>
        <s v="7289" u="1"/>
        <s v="8101" u="1"/>
        <s v="3703" u="1"/>
        <s v="5302" u="1"/>
        <s v="6089" u="1"/>
        <s v="7712" u="1"/>
        <s v="2503" u="1"/>
        <s v="4102" u="1"/>
        <s v="4913" u="1"/>
        <s v="6512" u="1"/>
        <s v="7299" u="1"/>
        <s v="8111" u="1"/>
        <s v="3713" u="1"/>
        <s v="5312" u="1"/>
        <s v="6099" u="1"/>
        <s v="7722" u="1"/>
        <s v="2513" u="1"/>
        <s v="4112" u="1"/>
        <s v="4923" u="1"/>
        <s v="6522" u="1"/>
        <s v="8121" u="1"/>
        <s v="3723" u="1"/>
        <s v="5322" u="1"/>
        <s v="7732" u="1"/>
        <s v="2523" u="1"/>
        <s v="4122" u="1"/>
        <s v="4933" u="1"/>
        <s v="6532" u="1"/>
        <s v="8131" u="1"/>
        <s v="3733" u="1"/>
        <s v="5332" u="1"/>
        <s v="7742" u="1"/>
        <s v="2533" u="1"/>
        <s v="4132" u="1"/>
        <s v="4943" u="1"/>
        <s v="6542" u="1"/>
        <s v="8141" u="1"/>
        <s v="3743" u="1"/>
        <s v="5342" u="1"/>
        <s v="7752" u="1"/>
        <s v="2543" u="1"/>
        <s v="4142" u="1"/>
        <s v="4953" u="1"/>
        <s v="6552" u="1"/>
        <s v="8151" u="1"/>
        <s v="3753" u="1"/>
        <s v="5352" u="1"/>
        <s v="7762" u="1"/>
        <s v="2553" u="1"/>
        <s v="4152" u="1"/>
        <s v="4963" u="1"/>
        <s v="6562" u="1"/>
        <s v="8161" u="1"/>
        <s v="3763" u="1"/>
        <s v="5362" u="1"/>
        <s v="7772" u="1"/>
        <s v="2563" u="1"/>
        <s v="4162" u="1"/>
        <s v="4973" u="1"/>
        <s v="6572" u="1"/>
        <s v="8171" u="1"/>
        <s v="3773" u="1"/>
        <s v="5372" u="1"/>
        <s v="7782" u="1"/>
        <s v="2573" u="1"/>
        <s v="4172" u="1"/>
        <s v="4983" u="1"/>
        <s v="6582" u="1"/>
        <s v="8009" u="1"/>
        <s v="8181" u="1"/>
        <s v="3783" u="1"/>
        <s v="5382" u="1"/>
        <s v="7792" u="1"/>
        <s v="2583" u="1"/>
        <s v="4182" u="1"/>
        <s v="4993" u="1"/>
        <s v="6592" u="1"/>
        <s v="8019" u="1"/>
        <s v="8191" u="1"/>
        <s v="3793" u="1"/>
        <s v="5392" u="1"/>
        <s v="2593" u="1"/>
        <s v="4192" u="1"/>
        <s v="8029" u="1"/>
        <s v="8039" u="1"/>
        <s v="8049" u="1"/>
        <s v="8059" u="1"/>
        <s v="8069" u="1"/>
        <s v="8079" u="1"/>
        <s v="6903" u="1"/>
        <s v="5703" u="1"/>
        <s v="7302" u="1"/>
        <s v="8089" u="1"/>
        <s v="2904" u="1"/>
        <s v="4503" u="1"/>
        <s v="6102" u="1"/>
        <s v="6913" u="1"/>
        <s v="3303" u="1"/>
        <s v="5713" u="1"/>
        <s v="7312" u="1"/>
        <s v="8099" u="1"/>
        <s v="2103" u="1"/>
        <s v="2914" u="1"/>
        <s v="4513" u="1"/>
        <s v="6112" u="1"/>
        <s v="6923" u="1"/>
        <s v="3313" u="1"/>
        <s v="5723" u="1"/>
        <s v="7322" u="1"/>
        <s v="2113" u="1"/>
        <s v="2924" u="1"/>
        <s v="4523" u="1"/>
        <s v="6122" u="1"/>
        <s v="6933" u="1"/>
        <s v="3323" u="1"/>
        <s v="5733" u="1"/>
        <s v="7332" u="1"/>
        <s v="2123" u="1"/>
        <s v="2934" u="1"/>
        <s v="4533" u="1"/>
        <s v="6132" u="1"/>
        <s v="6943" u="1"/>
        <s v="3333" u="1"/>
        <s v="5743" u="1"/>
        <s v="7342" u="1"/>
        <s v="2133" u="1"/>
        <s v="2944" u="1"/>
        <s v="4543" u="1"/>
        <s v="6142" u="1"/>
        <s v="6953" u="1"/>
        <s v="3343" u="1"/>
        <s v="5753" u="1"/>
        <s v="7352" u="1"/>
        <s v="2143" u="1"/>
        <s v="2954" u="1"/>
        <s v="4553" u="1"/>
        <s v="6152" u="1"/>
        <s v="6963" u="1"/>
        <s v="3353" u="1"/>
        <s v="5763" u="1"/>
        <s v="7362" u="1"/>
        <s v="2153" u="1"/>
        <s v="2964" u="1"/>
        <s v="4563" u="1"/>
        <s v="6162" u="1"/>
        <s v="6973" u="1"/>
        <s v="3363" u="1"/>
        <s v="5773" u="1"/>
        <s v="7372" u="1"/>
        <s v="2163" u="1"/>
        <s v="2974" u="1"/>
        <s v="4573" u="1"/>
        <s v="6172" u="1"/>
        <s v="6983" u="1"/>
        <s v="3373" u="1"/>
        <s v="5783" u="1"/>
        <s v="7382" u="1"/>
        <s v="2173" u="1"/>
        <s v="2984" u="1"/>
        <s v="4583" u="1"/>
        <s v="6182" u="1"/>
        <s v="6993" u="1"/>
        <s v="3383" u="1"/>
        <s v="5793" u="1"/>
        <s v="7392" u="1"/>
        <s v="2183" u="1"/>
        <s v="2994" u="1"/>
        <s v="4593" u="1"/>
        <s v="6192" u="1"/>
        <s v="3393" u="1"/>
        <s v="2193" u="1"/>
        <s v="7703" u="1"/>
        <s v="4904" u="1"/>
        <s v="6503" u="1"/>
        <s v="8102" u="1"/>
        <s v="3704" u="1"/>
        <s v="5303" u="1"/>
        <s v="7713" u="1"/>
        <s v="2504" u="1"/>
        <s v="4103" u="1"/>
        <s v="4914" u="1"/>
        <s v="6513" u="1"/>
        <s v="8112" u="1"/>
        <s v="3714" u="1"/>
        <s v="5313" u="1"/>
        <s v="7723" u="1"/>
        <s v="2514" u="1"/>
        <s v="4113" u="1"/>
        <s v="4924" u="1"/>
        <s v="6523" u="1"/>
        <s v="8122" u="1"/>
        <s v="3724" u="1"/>
        <s v="5323" u="1"/>
        <s v="7733" u="1"/>
        <s v="2524" u="1"/>
        <s v="4123" u="1"/>
        <s v="4934" u="1"/>
        <s v="6533" u="1"/>
        <s v="8132" u="1"/>
        <s v="3734" u="1"/>
        <s v="5333" u="1"/>
        <s v="7743" u="1"/>
        <s v="2534" u="1"/>
        <s v="4133" u="1"/>
        <s v="4944" u="1"/>
        <s v="6543" u="1"/>
        <s v="8142" u="1"/>
        <s v="3744" u="1"/>
        <s v="5343" u="1"/>
        <s v="7753" u="1"/>
        <s v="2544" u="1"/>
        <s v="4143" u="1"/>
        <s v="4954" u="1"/>
        <s v="6553" u="1"/>
        <s v="8152" u="1"/>
        <s v="3754" u="1"/>
        <s v="5353" u="1"/>
        <s v="7763" u="1"/>
        <s v="2554" u="1"/>
        <s v="4153" u="1"/>
        <s v="4964" u="1"/>
        <s v="6563" u="1"/>
        <s v="8162" u="1"/>
        <s v="3764" u="1"/>
        <s v="5363" u="1"/>
        <s v="7773" u="1"/>
        <s v="2564" u="1"/>
        <s v="4163" u="1"/>
        <s v="4974" u="1"/>
        <s v="6573" u="1"/>
        <s v="8172" u="1"/>
        <s v="3774" u="1"/>
        <s v="5373" u="1"/>
        <s v="7783" u="1"/>
        <s v="2574" u="1"/>
        <s v="4173" u="1"/>
        <s v="4984" u="1"/>
        <s v="6583" u="1"/>
        <s v="8182" u="1"/>
        <s v="3784" u="1"/>
        <s v="5383" u="1"/>
        <s v="7793" u="1"/>
        <s v="2584" u="1"/>
        <s v="4183" u="1"/>
        <s v="4994" u="1"/>
        <s v="6593" u="1"/>
        <s v="8192" u="1"/>
        <s v="3794" u="1"/>
        <s v="5393" u="1"/>
        <s v="2594" u="1"/>
        <s v="4193" u="1"/>
        <s v="6904" u="1"/>
        <s v="5704" u="1"/>
        <s v="7303" u="1"/>
        <s v="2905" u="1"/>
        <s v="4504" u="1"/>
        <s v="6103" u="1"/>
        <s v="6914" u="1"/>
        <s v="3304" u="1"/>
        <s v="5714" u="1"/>
        <s v="7313" u="1"/>
        <s v="2104" u="1"/>
        <s v="2915" u="1"/>
        <s v="4514" u="1"/>
        <s v="6113" u="1"/>
        <s v="6924" u="1"/>
        <s v="3314" u="1"/>
        <s v="5724" u="1"/>
        <s v="7323" u="1"/>
        <s v="2114" u="1"/>
        <s v="2925" u="1"/>
        <s v="4524" u="1"/>
        <s v="6123" u="1"/>
        <s v="6934" u="1"/>
        <s v="3324" u="1"/>
        <s v="5734" u="1"/>
        <s v="7333" u="1"/>
        <s v="2124" u="1"/>
        <s v="2935" u="1"/>
        <s v="4534" u="1"/>
        <s v="6133" u="1"/>
        <s v="6944" u="1"/>
        <s v="3334" u="1"/>
        <s v="5744" u="1"/>
        <s v="7343" u="1"/>
        <s v="2134" u="1"/>
        <s v="2945" u="1"/>
        <s v="4544" u="1"/>
        <s v="6143" u="1"/>
        <s v="6954" u="1"/>
        <s v="3344" u="1"/>
        <s v="5754" u="1"/>
        <s v="7353" u="1"/>
        <s v="2144" u="1"/>
        <s v="2955" u="1"/>
        <s v="4554" u="1"/>
        <s v="6153" u="1"/>
        <s v="6964" u="1"/>
        <s v="3354" u="1"/>
        <s v="5764" u="1"/>
        <s v="7363" u="1"/>
        <s v="2154" u="1"/>
        <s v="2965" u="1"/>
        <s v="4564" u="1"/>
        <s v="6163" u="1"/>
        <s v="6974" u="1"/>
        <s v="3364" u="1"/>
        <s v="5774" u="1"/>
        <s v="7373" u="1"/>
        <s v="2164" u="1"/>
        <s v="2975" u="1"/>
        <s v="4574" u="1"/>
        <s v="6173" u="1"/>
        <s v="6984" u="1"/>
        <s v="3374" u="1"/>
        <s v="5784" u="1"/>
        <s v="7383" u="1"/>
        <s v="2174" u="1"/>
        <s v="2985" u="1"/>
        <s v="4584" u="1"/>
        <s v="6183" u="1"/>
        <s v="6994" u="1"/>
        <s v="3384" u="1"/>
        <s v="5794" u="1"/>
        <s v="7393" u="1"/>
        <s v="2184" u="1"/>
        <s v="2995" u="1"/>
        <s v="4594" u="1"/>
        <s v="6193" u="1"/>
        <s v="3394" u="1"/>
        <s v="2194" u="1"/>
        <s v="7704" u="1"/>
        <s v="4905" u="1"/>
        <s v="6504" u="1"/>
        <s v="8103" u="1"/>
        <s v="3705" u="1"/>
        <s v="5304" u="1"/>
        <s v="7714" u="1"/>
        <s v="2505" u="1"/>
        <s v="4104" u="1"/>
        <s v="4915" u="1"/>
        <s v="6514" u="1"/>
        <s v="8113" u="1"/>
        <s v="3715" u="1"/>
        <s v="5314" u="1"/>
        <s v="7724" u="1"/>
        <s v="2515" u="1"/>
        <s v="4114" u="1"/>
        <s v="4925" u="1"/>
        <s v="6524" u="1"/>
        <s v="8123" u="1"/>
        <s v="3725" u="1"/>
        <s v="5324" u="1"/>
        <s v="7734" u="1"/>
        <s v="2525" u="1"/>
        <s v="4124" u="1"/>
        <s v="4935" u="1"/>
        <s v="6534" u="1"/>
        <s v="8133" u="1"/>
        <s v="3735" u="1"/>
        <s v="5334" u="1"/>
        <s v="7744" u="1"/>
        <s v="2535" u="1"/>
        <s v="4134" u="1"/>
        <s v="4945" u="1"/>
        <s v="6544" u="1"/>
        <s v="8143" u="1"/>
        <s v="3745" u="1"/>
        <s v="5344" u="1"/>
        <s v="7754" u="1"/>
        <s v="2545" u="1"/>
        <s v="4144" u="1"/>
        <s v="4955" u="1"/>
        <s v="6554" u="1"/>
        <s v="8153" u="1"/>
        <s v="3755" u="1"/>
        <s v="5354" u="1"/>
        <s v="7764" u="1"/>
        <s v="2555" u="1"/>
        <s v="4154" u="1"/>
        <s v="4965" u="1"/>
        <s v="6564" u="1"/>
        <s v="8163" u="1"/>
        <s v="3765" u="1"/>
        <s v="5364" u="1"/>
        <s v="7774" u="1"/>
        <s v="2565" u="1"/>
        <s v="4164" u="1"/>
        <s v="4975" u="1"/>
        <s v="6574" u="1"/>
        <s v="8173" u="1"/>
        <s v="3775" u="1"/>
        <s v="5374" u="1"/>
        <s v="7784" u="1"/>
        <s v="2575" u="1"/>
        <s v="4174" u="1"/>
        <s v="4985" u="1"/>
        <s v="6584" u="1"/>
        <s v="8183" u="1"/>
        <s v="3785" u="1"/>
        <s v="5384" u="1"/>
        <s v="7794" u="1"/>
        <s v="2585" u="1"/>
        <s v="4184" u="1"/>
        <s v="4995" u="1"/>
        <s v="6594" u="1"/>
        <s v="8193" u="1"/>
        <s v="3795" u="1"/>
        <s v="5394" u="1"/>
        <s v="2595" u="1"/>
        <s v="4194" u="1"/>
        <s v="6905" u="1"/>
        <s v="5705" u="1"/>
        <s v="7304" u="1"/>
        <s v="2906" u="1"/>
        <s v="4505" u="1"/>
        <s v="6104" u="1"/>
        <s v="6915" u="1"/>
        <s v="3305" u="1"/>
        <s v="5715" u="1"/>
        <s v="7314" u="1"/>
        <s v="2105" u="1"/>
        <s v="2916" u="1"/>
        <s v="4515" u="1"/>
        <s v="6114" u="1"/>
        <s v="6925" u="1"/>
        <s v="3315" u="1"/>
        <s v="5725" u="1"/>
        <s v="7324" u="1"/>
        <s v="2115" u="1"/>
        <s v="2926" u="1"/>
        <s v="4525" u="1"/>
        <s v="6124" u="1"/>
        <s v="6935" u="1"/>
        <s v="3325" u="1"/>
        <s v="5735" u="1"/>
        <s v="7334" u="1"/>
        <s v="2125" u="1"/>
        <s v="2936" u="1"/>
        <s v="4535" u="1"/>
        <s v="6134" u="1"/>
        <s v="6945" u="1"/>
        <s v="3335" u="1"/>
        <s v="5745" u="1"/>
        <s v="7344" u="1"/>
        <s v="2135" u="1"/>
        <s v="2946" u="1"/>
        <s v="4545" u="1"/>
        <s v="6144" u="1"/>
        <s v="6955" u="1"/>
        <s v="3345" u="1"/>
        <s v="5755" u="1"/>
        <s v="7354" u="1"/>
        <s v="2145" u="1"/>
        <s v="2956" u="1"/>
        <s v="4555" u="1"/>
        <s v="6154" u="1"/>
        <s v="6965" u="1"/>
        <s v="3355" u="1"/>
        <s v="5765" u="1"/>
        <s v="7364" u="1"/>
        <s v="2155" u="1"/>
        <s v="2966" u="1"/>
        <s v="4565" u="1"/>
        <s v="6164" u="1"/>
        <s v="6975" u="1"/>
        <s v="3365" u="1"/>
        <s v="5775" u="1"/>
        <s v="7374" u="1"/>
        <s v="2165" u="1"/>
        <s v="2976" u="1"/>
        <s v="4575" u="1"/>
        <s v="6174" u="1"/>
        <s v="6985" u="1"/>
        <s v="3375" u="1"/>
        <s v="5785" u="1"/>
        <s v="7384" u="1"/>
        <s v="2175" u="1"/>
        <s v="2986" u="1"/>
        <s v="4585" u="1"/>
        <s v="6184" u="1"/>
        <s v="6995" u="1"/>
        <s v="3385" u="1"/>
        <s v="5795" u="1"/>
        <s v="7394" u="1"/>
        <s v="2185" u="1"/>
        <s v="2996" u="1"/>
        <s v="4595" u="1"/>
        <s v="6194" u="1"/>
        <s v="3395" u="1"/>
        <s v="2195" u="1"/>
        <s v="7705" u="1"/>
        <s v="4906" u="1"/>
        <s v="6505" u="1"/>
        <s v="8104" u="1"/>
        <s v="3706" u="1"/>
        <s v="5305" u="1"/>
        <s v="7715" u="1"/>
        <s v="2506" u="1"/>
        <s v="4105" u="1"/>
        <s v="4916" u="1"/>
        <s v="6515" u="1"/>
        <s v="8114" u="1"/>
        <s v="3716" u="1"/>
        <s v="5315" u="1"/>
        <s v="7725" u="1"/>
        <s v="2516" u="1"/>
        <s v="4115" u="1"/>
        <s v="4926" u="1"/>
        <s v="6525" u="1"/>
        <s v="8124" u="1"/>
        <s v="3726" u="1"/>
        <s v="5325" u="1"/>
        <s v="7735" u="1"/>
        <s v="2526" u="1"/>
        <s v="4125" u="1"/>
        <s v="4936" u="1"/>
        <s v="6535" u="1"/>
        <s v="8134" u="1"/>
        <s v="3736" u="1"/>
        <s v="5335" u="1"/>
        <s v="7745" u="1"/>
        <s v="2536" u="1"/>
        <s v="4135" u="1"/>
        <s v="4946" u="1"/>
        <s v="6545" u="1"/>
        <s v="8144" u="1"/>
        <s v="3746" u="1"/>
        <s v="5345" u="1"/>
        <s v="7755" u="1"/>
        <s v="2546" u="1"/>
        <s v="4145" u="1"/>
        <s v="4956" u="1"/>
        <s v="6555" u="1"/>
        <s v="8154" u="1"/>
        <s v="3756" u="1"/>
        <s v="5355" u="1"/>
        <s v="7765" u="1"/>
        <s v="2556" u="1"/>
        <s v="4155" u="1"/>
        <s v="4966" u="1"/>
        <s v="6565" u="1"/>
        <s v="8164" u="1"/>
        <s v="3766" u="1"/>
        <s v="5365" u="1"/>
        <s v="7775" u="1"/>
        <s v="2566" u="1"/>
        <s v="4165" u="1"/>
        <s v="4976" u="1"/>
        <s v="6575" u="1"/>
        <s v="8174" u="1"/>
        <s v="3776" u="1"/>
        <s v="5375" u="1"/>
        <s v="7785" u="1"/>
        <s v="2576" u="1"/>
        <s v="4175" u="1"/>
        <s v="4986" u="1"/>
        <s v="6585" u="1"/>
        <s v="8184" u="1"/>
        <s v="3786" u="1"/>
        <s v="5385" u="1"/>
        <s v="7795" u="1"/>
        <s v="2586" u="1"/>
        <s v="4185" u="1"/>
        <s v="4996" u="1"/>
        <s v="6595" u="1"/>
        <s v="8194" u="1"/>
        <s v="3796" u="1"/>
        <s v="5395" u="1"/>
        <s v="2596" u="1"/>
        <s v="4195" u="1"/>
        <s v="6906" u="1"/>
        <s v="5706" u="1"/>
        <s v="7305" u="1"/>
        <s v="2907" u="1"/>
        <s v="4506" u="1"/>
        <s v="6105" u="1"/>
        <s v="6916" u="1"/>
        <s v="3306" u="1"/>
        <s v="5716" u="1"/>
        <s v="7315" u="1"/>
        <s v="2106" u="1"/>
        <s v="2917" u="1"/>
        <s v="4516" u="1"/>
        <s v="6115" u="1"/>
        <s v="6926" u="1"/>
        <s v="3316" u="1"/>
        <s v="5726" u="1"/>
        <s v="7325" u="1"/>
        <s v="2116" u="1"/>
        <s v="2927" u="1"/>
        <s v="4526" u="1"/>
        <s v="6125" u="1"/>
        <s v="6936" u="1"/>
        <s v="3326" u="1"/>
        <s v="5736" u="1"/>
        <s v="7335" u="1"/>
        <s v="2126" u="1"/>
        <s v="2937" u="1"/>
        <s v="4536" u="1"/>
        <s v="6135" u="1"/>
        <s v="6946" u="1"/>
        <s v="3336" u="1"/>
        <s v="5746" u="1"/>
        <s v="7345" u="1"/>
        <s v="2136" u="1"/>
        <s v="2947" u="1"/>
        <s v="4546" u="1"/>
        <s v="6145" u="1"/>
        <s v="6956" u="1"/>
        <s v="3346" u="1"/>
        <s v="5756" u="1"/>
        <s v="7355" u="1"/>
        <s v="2146" u="1"/>
        <s v="2957" u="1"/>
        <s v="4556" u="1"/>
        <s v="6155" u="1"/>
        <s v="6966" u="1"/>
        <s v="3356" u="1"/>
        <s v="5766" u="1"/>
        <s v="7365" u="1"/>
        <s v="2156" u="1"/>
        <s v="2967" u="1"/>
        <s v="4566" u="1"/>
        <s v="6165" u="1"/>
        <s v="6976" u="1"/>
        <s v="3366" u="1"/>
        <s v="5776" u="1"/>
        <s v="7375" u="1"/>
        <s v="2166" u="1"/>
        <s v="2977" u="1"/>
        <s v="4576" u="1"/>
        <s v="6175" u="1"/>
        <s v="6986" u="1"/>
        <s v="3376" u="1"/>
        <s v="5786" u="1"/>
        <s v="7385" u="1"/>
        <s v="2176" u="1"/>
        <s v="2987" u="1"/>
        <s v="4586" u="1"/>
        <s v="6185" u="1"/>
        <s v="6996" u="1"/>
        <s v="3386" u="1"/>
        <s v="5796" u="1"/>
        <s v="7395" u="1"/>
        <s v="2186" u="1"/>
        <s v="2997" u="1"/>
        <s v="4596" u="1"/>
        <s v="6195" u="1"/>
        <s v="3396" u="1"/>
        <s v="2196" u="1"/>
        <s v="7706" u="1"/>
        <s v="4907" u="1"/>
        <s v="6506" u="1"/>
        <s v="8105" u="1"/>
        <s v="3707" u="1"/>
        <s v="5306" u="1"/>
        <s v="7716" u="1"/>
        <s v="2507" u="1"/>
        <s v="4106" u="1"/>
        <s v="4917" u="1"/>
        <s v="6516" u="1"/>
        <s v="8115" u="1"/>
        <s v="3717" u="1"/>
        <s v="5316" u="1"/>
        <s v="7726" u="1"/>
        <s v="2517" u="1"/>
        <s v="4116" u="1"/>
        <s v="4927" u="1"/>
        <s v="6526" u="1"/>
        <s v="8125" u="1"/>
        <s v="3727" u="1"/>
        <s v="5326" u="1"/>
        <s v="7736" u="1"/>
        <s v="2527" u="1"/>
        <s v="4126" u="1"/>
        <s v="4937" u="1"/>
        <s v="6536" u="1"/>
        <s v="8135" u="1"/>
        <s v="3737" u="1"/>
        <s v="5336" u="1"/>
        <s v="7746" u="1"/>
        <s v="2537" u="1"/>
        <s v="4136" u="1"/>
        <s v="4947" u="1"/>
        <s v="6546" u="1"/>
        <s v="8145" u="1"/>
        <s v="3747" u="1"/>
        <s v="5346" u="1"/>
        <s v="7756" u="1"/>
        <s v="2547" u="1"/>
        <s v="4146" u="1"/>
        <s v="4957" u="1"/>
        <s v="6556" u="1"/>
        <s v="8155" u="1"/>
        <s v="3757" u="1"/>
        <s v="5356" u="1"/>
        <s v="7766" u="1"/>
        <s v="2557" u="1"/>
        <s v="4156" u="1"/>
        <s v="4967" u="1"/>
        <s v="6566" u="1"/>
        <s v="8165" u="1"/>
        <s v="3767" u="1"/>
        <s v="5366" u="1"/>
        <s v="7776" u="1"/>
        <s v="2567" u="1"/>
        <s v="4166" u="1"/>
        <s v="4977" u="1"/>
        <s v="6576" u="1"/>
        <s v="8175" u="1"/>
        <s v="3777" u="1"/>
        <s v="5376" u="1"/>
        <s v="7786" u="1"/>
        <s v="2577" u="1"/>
        <s v="4176" u="1"/>
        <s v="4987" u="1"/>
        <s v="6586" u="1"/>
        <s v="8185" u="1"/>
        <s v="3787" u="1"/>
        <s v="5386" u="1"/>
        <s v="7796" u="1"/>
        <s v="2587" u="1"/>
        <s v="4186" u="1"/>
        <s v="4997" u="1"/>
        <s v="6596" u="1"/>
        <s v="8195" u="1"/>
        <s v="3797" u="1"/>
        <s v="5396" u="1"/>
        <s v="2597" u="1"/>
        <s v="4196" u="1"/>
        <s v="6907" u="1"/>
        <s v="5707" u="1"/>
        <s v="7306" u="1"/>
        <s v="2908" u="1"/>
        <s v="4507" u="1"/>
        <s v="6106" u="1"/>
        <s v="6917" u="1"/>
        <s v="3307" u="1"/>
        <s v="5717" u="1"/>
        <s v="7316" u="1"/>
        <s v="2107" u="1"/>
        <s v="2918" u="1"/>
        <s v="4517" u="1"/>
        <s v="6116" u="1"/>
        <s v="6927" u="1"/>
        <s v="3317" u="1"/>
        <s v="5727" u="1"/>
        <s v="7326" u="1"/>
        <s v="2117" u="1"/>
        <s v="2928" u="1"/>
        <s v="4527" u="1"/>
        <s v="6126" u="1"/>
        <s v="6937" u="1"/>
        <s v="3327" u="1"/>
        <s v="5737" u="1"/>
        <s v="7336" u="1"/>
        <s v="2127" u="1"/>
        <s v="2938" u="1"/>
        <s v="4537" u="1"/>
        <s v="6136" u="1"/>
        <s v="6947" u="1"/>
        <s v="3337" u="1"/>
        <s v="5747" u="1"/>
        <s v="7346" u="1"/>
        <s v="2137" u="1"/>
        <s v="2948" u="1"/>
        <s v="4547" u="1"/>
        <s v="6146" u="1"/>
        <s v="6957" u="1"/>
        <s v="3347" u="1"/>
        <s v="5757" u="1"/>
        <s v="7356" u="1"/>
        <s v="2147" u="1"/>
        <s v="2958" u="1"/>
        <s v="4557" u="1"/>
        <s v="6156" u="1"/>
        <s v="6967" u="1"/>
        <s v="3357" u="1"/>
        <s v="5767" u="1"/>
        <s v="7366" u="1"/>
        <s v="2157" u="1"/>
        <s v="2968" u="1"/>
        <s v="4567" u="1"/>
        <s v="6166" u="1"/>
        <s v="6977" u="1"/>
        <s v="3367" u="1"/>
        <s v="5777" u="1"/>
        <s v="7376" u="1"/>
        <s v="2167" u="1"/>
        <s v="2978" u="1"/>
        <s v="4577" u="1"/>
        <s v="6176" u="1"/>
        <s v="6987" u="1"/>
        <s v="3377" u="1"/>
        <s v="5787" u="1"/>
        <s v="7386" u="1"/>
        <s v="2177" u="1"/>
        <s v="2988" u="1"/>
        <s v="3800" u="1"/>
        <s v="4587" u="1"/>
        <s v="6186" u="1"/>
        <s v="6997" u="1"/>
        <s v="2600" u="1"/>
        <s v="3387" u="1"/>
        <s v="5797" u="1"/>
        <s v="7396" u="1"/>
        <s v="2187" u="1"/>
        <s v="2998" u="1"/>
        <s v="3810" u="1"/>
        <s v="4597" u="1"/>
        <s v="6196" u="1"/>
        <s v="2610" u="1"/>
        <s v="3397" u="1"/>
        <s v="2197" u="1"/>
        <s v="3820" u="1"/>
        <s v="2620" u="1"/>
        <s v="3830" u="1"/>
        <s v="2630" u="1"/>
        <s v="3840" u="1"/>
        <s v="2640" u="1"/>
        <s v="3850" u="1"/>
        <s v="2650" u="1"/>
        <s v="3860" u="1"/>
        <s v="2660" u="1"/>
        <s v="3870" u="1"/>
        <s v="7707" u="1"/>
        <s v="2670" u="1"/>
        <s v="4908" u="1"/>
        <s v="6507" u="1"/>
        <s v="8106" u="1"/>
        <s v="3708" u="1"/>
        <s v="3880" u="1"/>
        <s v="5307" u="1"/>
        <s v="7717" u="1"/>
        <s v="2508" u="1"/>
        <s v="2680" u="1"/>
        <s v="4107" u="1"/>
        <s v="4918" u="1"/>
        <s v="6517" u="1"/>
        <s v="8116" u="1"/>
        <s v="3718" u="1"/>
        <s v="3890" u="1"/>
        <s v="5317" u="1"/>
        <s v="7727" u="1"/>
        <s v="2518" u="1"/>
        <s v="2690" u="1"/>
        <s v="4117" u="1"/>
        <s v="4928" u="1"/>
        <s v="6527" u="1"/>
        <s v="8126" u="1"/>
        <s v="3728" u="1"/>
        <s v="5327" u="1"/>
        <s v="7737" u="1"/>
        <s v="2528" u="1"/>
        <s v="4127" u="1"/>
        <s v="4938" u="1"/>
        <s v="6537" u="1"/>
        <s v="8136" u="1"/>
        <s v="3738" u="1"/>
        <s v="5337" u="1"/>
        <s v="7747" u="1"/>
        <s v="2538" u="1"/>
        <s v="4137" u="1"/>
        <s v="4948" u="1"/>
        <s v="6547" u="1"/>
        <s v="8146" u="1"/>
        <s v="3748" u="1"/>
        <s v="5347" u="1"/>
        <s v="7757" u="1"/>
        <s v="2548" u="1"/>
        <s v="4147" u="1"/>
        <s v="4958" u="1"/>
        <s v="6557" u="1"/>
        <s v="8156" u="1"/>
        <s v="3758" u="1"/>
        <s v="5357" u="1"/>
        <s v="7767" u="1"/>
        <s v="2558" u="1"/>
        <s v="4157" u="1"/>
        <s v="4968" u="1"/>
        <s v="6567" u="1"/>
        <s v="8166" u="1"/>
        <s v="3768" u="1"/>
        <s v="5367" u="1"/>
        <s v="7777" u="1"/>
        <s v="2568" u="1"/>
        <s v="4167" u="1"/>
        <s v="4978" u="1"/>
        <s v="6577" u="1"/>
        <s v="8176" u="1"/>
        <s v="3778" u="1"/>
        <s v="5377" u="1"/>
        <s v="7787" u="1"/>
        <s v="2578" u="1"/>
        <s v="4177" u="1"/>
        <s v="4988" u="1"/>
        <s v="5800" u="1"/>
        <s v="6587" u="1"/>
        <s v="8186" u="1"/>
        <s v="3788" u="1"/>
        <s v="4600" u="1"/>
        <s v="5387" u="1"/>
        <s v="7797" u="1"/>
        <s v="2588" u="1"/>
        <s v="3400" u="1"/>
        <s v="4187" u="1"/>
        <s v="4998" u="1"/>
        <s v="5810" u="1"/>
        <s v="6597" u="1"/>
        <s v="8196" u="1"/>
        <s v="2200" u="1"/>
        <s v="3798" u="1"/>
        <s v="4610" u="1"/>
        <s v="5397" u="1"/>
        <s v="2598" u="1"/>
        <s v="3410" u="1"/>
        <s v="4197" u="1"/>
        <s v="5820" u="1"/>
        <s v="2210" u="1"/>
        <s v="4620" u="1"/>
        <s v="3420" u="1"/>
        <s v="5830" u="1"/>
        <s v="2220" u="1"/>
        <s v="4630" u="1"/>
        <s v="3430" u="1"/>
        <s v="5840" u="1"/>
        <s v="2230" u="1"/>
        <s v="4640" u="1"/>
        <s v="3440" u="1"/>
        <s v="5850" u="1"/>
        <s v="2240" u="1"/>
        <s v="4650" u="1"/>
        <s v="3450" u="1"/>
        <s v="5860" u="1"/>
        <s v="2250" u="1"/>
        <s v="4660" u="1"/>
        <s v="3460" u="1"/>
        <s v="5870" u="1"/>
        <s v="2260" u="1"/>
        <s v="4670" u="1"/>
        <s v="6908" u="1"/>
        <s v="3470" u="1"/>
        <s v="5708" u="1"/>
        <s v="5880" u="1"/>
        <s v="7307" u="1"/>
        <s v="2270" u="1"/>
        <s v="2909" u="1"/>
        <s v="4508" u="1"/>
        <s v="4680" u="1"/>
        <s v="6107" u="1"/>
        <s v="6918" u="1"/>
        <s v="3308" u="1"/>
        <s v="3480" u="1"/>
        <s v="5718" u="1"/>
        <s v="5890" u="1"/>
        <s v="7317" u="1"/>
        <s v="2108" u="1"/>
        <s v="2280" u="1"/>
        <s v="2919" u="1"/>
        <s v="4518" u="1"/>
        <s v="4690" u="1"/>
        <s v="6117" u="1"/>
        <s v="6928" u="1"/>
        <s v="3318" u="1"/>
        <s v="3490" u="1"/>
        <s v="5728" u="1"/>
        <s v="7327" u="1"/>
        <s v="2118" u="1"/>
        <s v="2290" u="1"/>
        <s v="2929" u="1"/>
        <s v="4528" u="1"/>
        <s v="6127" u="1"/>
        <s v="6938" u="1"/>
        <s v="3328" u="1"/>
        <s v="5738" u="1"/>
        <s v="7337" u="1"/>
        <s v="2128" u="1"/>
        <s v="2939" u="1"/>
        <s v="4538" u="1"/>
        <s v="6137" u="1"/>
        <s v="6948" u="1"/>
        <s v="3338" u="1"/>
        <s v="5748" u="1"/>
        <s v="7347" u="1"/>
        <s v="2138" u="1"/>
        <s v="2949" u="1"/>
        <s v="4548" u="1"/>
        <s v="6147" u="1"/>
        <s v="6958" u="1"/>
        <s v="3348" u="1"/>
        <s v="5758" u="1"/>
        <s v="7357" u="1"/>
        <s v="2148" u="1"/>
        <s v="2959" u="1"/>
        <s v="4558" u="1"/>
        <s v="6157" u="1"/>
        <s v="6968" u="1"/>
        <s v="3358" u="1"/>
        <s v="5768" u="1"/>
        <s v="7367" u="1"/>
        <s v="2158" u="1"/>
        <s v="2969" u="1"/>
        <s v="4568" u="1"/>
        <s v="6167" u="1"/>
        <s v="6978" u="1"/>
        <s v="3368" u="1"/>
        <s v="5778" u="1"/>
        <s v="7377" u="1"/>
        <s v="2168" u="1"/>
        <s v="2979" u="1"/>
        <s v="4578" u="1"/>
        <s v="6177" u="1"/>
        <s v="6988" u="1"/>
        <s v="7800" u="1"/>
        <s v="3378" u="1"/>
        <s v="5788" u="1"/>
        <s v="6600" u="1"/>
        <s v="7387" u="1"/>
        <s v="2178" u="1"/>
        <s v="2989" u="1"/>
        <s v="3801" u="1"/>
        <s v="4588" u="1"/>
        <s v="5400" u="1"/>
        <s v="6187" u="1"/>
        <s v="6998" u="1"/>
        <s v="7810" u="1"/>
        <s v="2601" u="1"/>
        <s v="3388" u="1"/>
        <s v="4200" u="1"/>
        <s v="5798" u="1"/>
        <s v="6610" u="1"/>
        <s v="7397" u="1"/>
        <s v="2188" u="1"/>
        <s v="2999" u="1"/>
        <s v="3000" u="1"/>
        <s v="3811" u="1"/>
        <s v="4598" u="1"/>
        <s v="5410" u="1"/>
        <s v="6197" u="1"/>
        <s v="7820" u="1"/>
        <s v="2611" u="1"/>
        <s v="3398" u="1"/>
        <s v="4210" u="1"/>
        <s v="6620" u="1"/>
        <s v="2198" u="1"/>
        <s v="3010" u="1"/>
        <s v="3821" u="1"/>
        <s v="5420" u="1"/>
        <s v="7830" u="1"/>
        <s v="2621" u="1"/>
        <s v="4220" u="1"/>
        <s v="6630" u="1"/>
        <s v="3020" u="1"/>
        <s v="3831" u="1"/>
        <s v="5430" u="1"/>
        <s v="7840" u="1"/>
        <s v="2631" u="1"/>
        <s v="4230" u="1"/>
        <s v="6640" u="1"/>
        <s v="3030" u="1"/>
        <s v="3841" u="1"/>
        <s v="5440" u="1"/>
        <s v="7850" u="1"/>
        <s v="2641" u="1"/>
        <s v="4240" u="1"/>
        <s v="6650" u="1"/>
        <s v="3040" u="1"/>
        <s v="3851" u="1"/>
        <s v="5450" u="1"/>
        <s v="7860" u="1"/>
        <s v="2651" u="1"/>
        <s v="4250" u="1"/>
        <s v="6660" u="1"/>
        <s v="3050" u="1"/>
        <s v="3861" u="1"/>
        <s v="5460" u="1"/>
        <s v="7870" u="1"/>
        <s v="2661" u="1"/>
        <s v="4260" u="1"/>
        <s v="6670" u="1"/>
        <s v="3060" u="1"/>
        <s v="3871" u="1"/>
        <s v="5470" u="1"/>
        <s v="7708" u="1"/>
        <s v="7880" u="1"/>
        <s v="2671" u="1"/>
        <s v="4270" u="1"/>
        <s v="4909" u="1"/>
        <s v="6508" u="1"/>
        <s v="6680" u="1"/>
        <s v="8107" u="1"/>
        <s v="3070" u="1"/>
        <s v="3709" u="1"/>
        <s v="3881" u="1"/>
        <s v="5308" u="1"/>
        <s v="5480" u="1"/>
        <s v="7718" u="1"/>
        <s v="7890" u="1"/>
        <s v="2509" u="1"/>
        <s v="2681" u="1"/>
        <s v="4108" u="1"/>
        <s v="4280" u="1"/>
        <s v="4919" u="1"/>
        <s v="6518" u="1"/>
        <s v="6690" u="1"/>
        <s v="8117" u="1"/>
        <s v="3080" u="1"/>
        <s v="3719" u="1"/>
        <s v="3891" u="1"/>
        <s v="5318" u="1"/>
        <s v="5490" u="1"/>
        <s v="7728" u="1"/>
        <s v="2519" u="1"/>
        <s v="2691" u="1"/>
        <s v="4118" u="1"/>
        <s v="4290" u="1"/>
        <s v="4929" u="1"/>
        <s v="6528" u="1"/>
        <s v="8127" u="1"/>
        <s v="3090" u="1"/>
        <s v="3729" u="1"/>
        <s v="5328" u="1"/>
        <s v="7738" u="1"/>
        <s v="2529" u="1"/>
        <s v="4128" u="1"/>
        <s v="4939" u="1"/>
        <s v="6538" u="1"/>
        <s v="8137" u="1"/>
        <s v="3739" u="1"/>
        <s v="5338" u="1"/>
        <s v="7748" u="1"/>
        <s v="2539" u="1"/>
        <s v="4138" u="1"/>
        <s v="4949" u="1"/>
        <s v="6548" u="1"/>
        <s v="8147" u="1"/>
        <s v="3749" u="1"/>
        <s v="5348" u="1"/>
        <s v="7758" u="1"/>
        <s v="2549" u="1"/>
        <s v="4148" u="1"/>
        <s v="4959" u="1"/>
        <s v="6558" u="1"/>
        <s v="8157" u="1"/>
        <s v="3759" u="1"/>
        <s v="5358" u="1"/>
        <s v="7768" u="1"/>
        <s v="2559" u="1"/>
        <s v="4158" u="1"/>
        <s v="4969" u="1"/>
        <s v="6568" u="1"/>
        <s v="8167" u="1"/>
        <s v="3769" u="1"/>
        <s v="5368" u="1"/>
        <s v="7778" u="1"/>
        <s v="2569" u="1"/>
        <s v="4168" u="1"/>
        <s v="4979" u="1"/>
        <s v="6578" u="1"/>
        <s v="8177" u="1"/>
        <s v="3779" u="1"/>
        <s v="5378" u="1"/>
        <s v="7788" u="1"/>
        <s v="2579" u="1"/>
        <s v="4178" u="1"/>
        <s v="4989" u="1"/>
        <s v="5801" u="1"/>
        <s v="6588" u="1"/>
        <s v="7400" u="1"/>
        <s v="8187" u="1"/>
        <s v="3789" u="1"/>
        <s v="4601" u="1"/>
        <s v="5388" u="1"/>
        <s v="6200" u="1"/>
        <s v="7798" u="1"/>
        <s v="2589" u="1"/>
        <s v="3401" u="1"/>
        <s v="4188" u="1"/>
        <s v="4999" u="1"/>
        <s v="5000" u="1"/>
        <s v="5811" u="1"/>
        <s v="6598" u="1"/>
        <s v="7410" u="1"/>
        <s v="8197" u="1"/>
        <s v="2201" u="1"/>
        <s v="3799" u="1"/>
        <s v="4611" u="1"/>
        <s v="5398" u="1"/>
        <s v="6210" u="1"/>
        <s v="2599" u="1"/>
        <s v="3411" u="1"/>
        <s v="4198" u="1"/>
        <s v="5010" u="1"/>
        <s v="5821" u="1"/>
        <s v="7420" u="1"/>
        <s v="2211" u="1"/>
        <s v="4621" u="1"/>
        <s v="6220" u="1"/>
        <s v="3421" u="1"/>
        <s v="5020" u="1"/>
        <s v="5831" u="1"/>
        <s v="7430" u="1"/>
        <s v="2221" u="1"/>
        <s v="4631" u="1"/>
        <s v="6230" u="1"/>
        <s v="3431" u="1"/>
        <s v="5030" u="1"/>
        <s v="5841" u="1"/>
        <s v="7440" u="1"/>
        <s v="2231" u="1"/>
        <s v="4641" u="1"/>
        <s v="6240" u="1"/>
        <s v="3441" u="1"/>
        <s v="5040" u="1"/>
        <s v="5851" u="1"/>
        <s v="7450" u="1"/>
        <s v="2241" u="1"/>
        <s v="4651" u="1"/>
        <s v="6250" u="1"/>
        <s v="3451" u="1"/>
        <s v="5050" u="1"/>
        <s v="5861" u="1"/>
        <s v="7460" u="1"/>
        <s v="2251" u="1"/>
        <s v="4661" u="1"/>
        <s v="6260" u="1"/>
        <s v="3461" u="1"/>
        <s v="5060" u="1"/>
        <s v="5871" u="1"/>
        <s v="7470" u="1"/>
        <s v="2261" u="1"/>
        <s v="4671" u="1"/>
        <s v="6270" u="1"/>
        <s v="6909" u="1"/>
        <s v="3471" u="1"/>
        <s v="5070" u="1"/>
        <s v="5709" u="1"/>
        <s v="5881" u="1"/>
        <s v="7308" u="1"/>
        <s v="7480" u="1"/>
        <s v="2271" u="1"/>
        <s v="4509" u="1"/>
        <s v="4681" u="1"/>
        <s v="6108" u="1"/>
        <s v="6280" u="1"/>
        <s v="6919" u="1"/>
        <s v="3309" u="1"/>
        <s v="3481" u="1"/>
        <s v="5080" u="1"/>
        <s v="5719" u="1"/>
        <s v="5891" u="1"/>
        <s v="7318" u="1"/>
        <s v="7490" u="1"/>
        <s v="2109" u="1"/>
        <s v="2281" u="1"/>
        <s v="4519" u="1"/>
        <s v="4691" u="1"/>
        <s v="6118" u="1"/>
        <s v="6290" u="1"/>
        <s v="6929" u="1"/>
        <s v="3319" u="1"/>
        <s v="3491" u="1"/>
        <s v="5090" u="1"/>
        <s v="5729" u="1"/>
        <s v="7328" u="1"/>
        <s v="2119" u="1"/>
        <s v="2291" u="1"/>
        <s v="4529" u="1"/>
        <s v="6128" u="1"/>
        <s v="6939" u="1"/>
        <s v="3329" u="1"/>
        <s v="5739" u="1"/>
        <s v="7338" u="1"/>
        <s v="2129" u="1"/>
        <s v="4539" u="1"/>
        <s v="6138" u="1"/>
        <s v="6949" u="1"/>
        <s v="3339" u="1"/>
        <s v="5749" u="1"/>
        <s v="7348" u="1"/>
        <s v="2139" u="1"/>
        <s v="4549" u="1"/>
        <s v="6148" u="1"/>
        <s v="6959" u="1"/>
        <s v="3349" u="1"/>
        <s v="5759" u="1"/>
        <s v="7358" u="1"/>
        <s v="2149" u="1"/>
        <s v="4559" u="1"/>
        <s v="6158" u="1"/>
        <s v="6969" u="1"/>
        <s v="3359" u="1"/>
        <s v="5769" u="1"/>
        <s v="7368" u="1"/>
        <s v="2159" u="1"/>
        <s v="4569" u="1"/>
        <s v="6168" u="1"/>
        <s v="6979" u="1"/>
        <s v="3369" u="1"/>
        <s v="5779" u="1"/>
        <s v="7378" u="1"/>
        <s v="2169" u="1"/>
        <s v="4579" u="1"/>
        <s v="6178" u="1"/>
        <s v="6989" u="1"/>
        <s v="7801" u="1"/>
        <s v="3379" u="1"/>
        <s v="5789" u="1"/>
        <s v="6601" u="1"/>
        <s v="7388" u="1"/>
        <s v="8200" u="1"/>
        <s v="2179" u="1"/>
        <s v="3802" u="1"/>
        <s v="4589" u="1"/>
        <s v="5401" u="1"/>
        <s v="6188" u="1"/>
        <s v="6999" u="1"/>
        <s v="7000" u="1"/>
        <s v="7811" u="1"/>
        <s v="2602" u="1"/>
        <s v="3389" u="1"/>
        <s v="4201" u="1"/>
        <s v="5799" u="1"/>
        <s v="6611" u="1"/>
        <s v="7398" u="1"/>
        <s v="8210" u="1"/>
        <s v="2189" u="1"/>
        <s v="3001" u="1"/>
        <s v="3812" u="1"/>
        <s v="4599" u="1"/>
        <s v="5411" u="1"/>
        <s v="6198" u="1"/>
        <s v="7010" u="1"/>
        <s v="7821" u="1"/>
        <s v="2612" u="1"/>
        <s v="3399" u="1"/>
        <s v="4211" u="1"/>
        <s v="6621" u="1"/>
        <s v="8220" u="1"/>
        <s v="2199" u="1"/>
        <s v="3011" u="1"/>
        <s v="3822" u="1"/>
        <s v="5421" u="1"/>
        <s v="7020" u="1"/>
        <s v="7831" u="1"/>
        <s v="2622" u="1"/>
        <s v="4221" u="1"/>
        <s v="6631" u="1"/>
        <s v="8230" u="1"/>
        <s v="3021" u="1"/>
        <s v="3832" u="1"/>
        <s v="5431" u="1"/>
        <s v="7030" u="1"/>
        <s v="7841" u="1"/>
        <s v="2632" u="1"/>
        <s v="4231" u="1"/>
        <s v="6641" u="1"/>
        <s v="8240" u="1"/>
        <s v="3031" u="1"/>
        <s v="3842" u="1"/>
        <s v="5441" u="1"/>
        <s v="7040" u="1"/>
        <s v="7851" u="1"/>
        <s v="2642" u="1"/>
        <s v="4241" u="1"/>
        <s v="6651" u="1"/>
        <s v="8250" u="1"/>
        <s v="3041" u="1"/>
        <s v="3852" u="1"/>
        <s v="5451" u="1"/>
        <s v="7050" u="1"/>
        <s v="7861" u="1"/>
        <s v="2652" u="1"/>
        <s v="4251" u="1"/>
        <s v="6661" u="1"/>
        <s v="8260" u="1"/>
        <s v="3051" u="1"/>
        <s v="3862" u="1"/>
        <s v="5461" u="1"/>
        <s v="7060" u="1"/>
        <s v="7871" u="1"/>
        <s v="2662" u="1"/>
        <s v="4261" u="1"/>
        <s v="6671" u="1"/>
        <s v="8270" u="1"/>
        <s v="3061" u="1"/>
        <s v="3872" u="1"/>
        <s v="5471" u="1"/>
        <s v="7070" u="1"/>
        <s v="7709" u="1"/>
        <s v="7881" u="1"/>
        <s v="2672" u="1"/>
        <s v="4271" u="1"/>
        <s v="6509" u="1"/>
        <s v="6681" u="1"/>
        <s v="8108" u="1"/>
        <s v="8280" u="1"/>
        <s v="3071" u="1"/>
        <s v="3882" u="1"/>
        <s v="5309" u="1"/>
        <s v="5481" u="1"/>
        <s v="7080" u="1"/>
        <s v="7719" u="1"/>
        <s v="7891" u="1"/>
        <s v="2682" u="1"/>
        <s v="4109" u="1"/>
        <s v="4281" u="1"/>
        <s v="6519" u="1"/>
        <s v="6691" u="1"/>
        <s v="8118" u="1"/>
        <s v="8290" u="1"/>
        <s v="3081" u="1"/>
        <s v="3892" u="1"/>
        <s v="5319" u="1"/>
        <s v="5491" u="1"/>
        <s v="7090" u="1"/>
        <s v="7729" u="1"/>
        <s v="2692" u="1"/>
        <s v="4119" u="1"/>
        <s v="4291" u="1"/>
        <s v="6529" u="1"/>
        <s v="8128" u="1"/>
        <s v="3091" u="1"/>
        <s v="5329" u="1"/>
        <s v="7739" u="1"/>
        <s v="4129" u="1"/>
        <s v="6539" u="1"/>
        <s v="8138" u="1"/>
        <s v="5339" u="1"/>
        <s v="7749" u="1"/>
        <s v="4139" u="1"/>
        <s v="6549" u="1"/>
        <s v="8148" u="1"/>
        <s v="5349" u="1"/>
        <s v="7759" u="1"/>
        <s v="4149" u="1"/>
        <s v="6559" u="1"/>
        <s v="8158" u="1"/>
        <s v="5359" u="1"/>
        <s v="7769" u="1"/>
        <s v="4159" u="1"/>
        <s v="6569" u="1"/>
        <s v="8168" u="1"/>
        <s v="5369" u="1"/>
        <s v="7779" u="1"/>
        <s v="4169" u="1"/>
        <s v="6579" u="1"/>
        <s v="8178" u="1"/>
        <s v="5379" u="1"/>
        <s v="7789" u="1"/>
        <s v="4179" u="1"/>
        <s v="5802" u="1"/>
        <s v="6589" u="1"/>
        <s v="7401" u="1"/>
        <s v="8188" u="1"/>
        <s v="4602" u="1"/>
        <s v="5389" u="1"/>
        <s v="6201" u="1"/>
        <s v="7799" u="1"/>
        <s v="3402" u="1"/>
        <s v="4189" u="1"/>
        <s v="5001" u="1"/>
        <s v="5812" u="1"/>
        <s v="6599" u="1"/>
        <s v="7411" u="1"/>
        <s v="8198" u="1"/>
        <s v="2202" u="1"/>
        <s v="4612" u="1"/>
        <s v="5399" u="1"/>
        <s v="6211" u="1"/>
        <s v="3412" u="1"/>
        <s v="4199" u="1"/>
        <s v="5011" u="1"/>
        <s v="5822" u="1"/>
        <s v="7421" u="1"/>
        <s v="2212" u="1"/>
        <s v="4622" u="1"/>
        <s v="6221" u="1"/>
        <s v="3422" u="1"/>
        <s v="5021" u="1"/>
        <s v="5832" u="1"/>
        <s v="7431" u="1"/>
        <s v="2222" u="1"/>
        <s v="4632" u="1"/>
        <s v="6231" u="1"/>
        <s v="3432" u="1"/>
        <s v="5031" u="1"/>
        <s v="5842" u="1"/>
        <s v="7441" u="1"/>
        <s v="2232" u="1"/>
        <s v="4642" u="1"/>
        <s v="6241" u="1"/>
        <s v="3442" u="1"/>
        <s v="5041" u="1"/>
        <s v="5852" u="1"/>
        <s v="7451" u="1"/>
        <s v="2242" u="1"/>
        <s v="4652" u="1"/>
        <s v="6251" u="1"/>
        <s v="3452" u="1"/>
        <s v="5051" u="1"/>
        <s v="5862" u="1"/>
        <s v="7461" u="1"/>
        <s v="2252" u="1"/>
        <s v="4662" u="1"/>
        <s v="6261" u="1"/>
        <s v="3462" u="1"/>
        <s v="5061" u="1"/>
        <s v="5872" u="1"/>
        <s v="7471" u="1"/>
        <s v="2262" u="1"/>
        <s v="4672" u="1"/>
        <s v="6271" u="1"/>
        <s v="3472" u="1"/>
        <s v="5071" u="1"/>
        <s v="5882" u="1"/>
        <s v="7309" u="1"/>
        <s v="7481" u="1"/>
        <s v="2272" u="1"/>
        <s v="4682" u="1"/>
        <s v="6109" u="1"/>
        <s v="6281" u="1"/>
        <s v="3482" u="1"/>
        <s v="5081" u="1"/>
        <s v="5892" u="1"/>
        <s v="7319" u="1"/>
        <s v="7491" u="1"/>
        <s v="2282" u="1"/>
        <s v="4692" u="1"/>
        <s v="6119" u="1"/>
        <s v="6291" u="1"/>
        <s v="3492" u="1"/>
        <s v="5091" u="1"/>
        <s v="7329" u="1"/>
        <s v="2292" u="1"/>
        <s v="6129" u="1"/>
        <s v="7339" u="1"/>
        <s v="6139" u="1"/>
        <s v="7349" u="1"/>
        <s v="6149" u="1"/>
        <s v="7359" u="1"/>
        <s v="6159" u="1"/>
        <s v="7369" u="1"/>
        <s v="6169" u="1"/>
        <s v="7379" u="1"/>
        <s v="6179" u="1"/>
        <s v="7802" u="1"/>
        <s v="6602" u="1"/>
        <s v="7389" u="1"/>
        <s v="8201" u="1"/>
        <s v="3803" u="1"/>
        <s v="5402" u="1"/>
        <s v="6189" u="1"/>
        <s v="7001" u="1"/>
        <s v="7812" u="1"/>
        <s v="2603" u="1"/>
        <s v="4202" u="1"/>
        <s v="6612" u="1"/>
        <s v="7399" u="1"/>
        <s v="8211" u="1"/>
        <s v="3002" u="1"/>
        <s v="3813" u="1"/>
        <s v="5412" u="1"/>
        <s v="6199" u="1"/>
        <s v="7011" u="1"/>
        <s v="7822" u="1"/>
        <s v="2613" u="1"/>
        <s v="4212" u="1"/>
        <s v="6622" u="1"/>
        <s v="8221" u="1"/>
        <s v="3012" u="1"/>
        <s v="3823" u="1"/>
        <s v="5422" u="1"/>
        <s v="7021" u="1"/>
        <s v="7832" u="1"/>
        <s v="2623" u="1"/>
        <s v="4222" u="1"/>
        <s v="6632" u="1"/>
        <s v="8231" u="1"/>
        <s v="3022" u="1"/>
        <s v="3833" u="1"/>
        <s v="5432" u="1"/>
        <s v="7031" u="1"/>
        <s v="7842" u="1"/>
        <s v="2633" u="1"/>
        <s v="4232" u="1"/>
        <s v="6642" u="1"/>
        <s v="8241" u="1"/>
        <s v="3032" u="1"/>
        <s v="3843" u="1"/>
        <s v="5442" u="1"/>
        <s v="7041" u="1"/>
        <s v="7852" u="1"/>
        <s v="2643" u="1"/>
        <s v="4242" u="1"/>
        <s v="6652" u="1"/>
        <s v="8251" u="1"/>
        <s v="3042" u="1"/>
        <s v="3853" u="1"/>
        <s v="5452" u="1"/>
        <s v="7051" u="1"/>
        <s v="7862" u="1"/>
        <s v="2653" u="1"/>
        <s v="4252" u="1"/>
        <s v="6662" u="1"/>
        <s v="8261" u="1"/>
        <s v="3052" u="1"/>
        <s v="3863" u="1"/>
        <s v="5462" u="1"/>
        <s v="7061" u="1"/>
        <s v="7872" u="1"/>
        <s v="2663" u="1"/>
        <s v="4262" u="1"/>
        <s v="6672" u="1"/>
        <s v="8271" u="1"/>
        <s v="3062" u="1"/>
        <s v="3873" u="1"/>
        <s v="5472" u="1"/>
        <s v="7071" u="1"/>
        <s v="7882" u="1"/>
        <s v="2673" u="1"/>
        <s v="4272" u="1"/>
        <s v="6682" u="1"/>
        <s v="8109" u="1"/>
        <s v="8281" u="1"/>
        <s v="3072" u="1"/>
        <s v="3883" u="1"/>
        <s v="5482" u="1"/>
        <s v="7081" u="1"/>
        <s v="7892" u="1"/>
        <s v="2683" u="1"/>
        <s v="4282" u="1"/>
        <s v="6692" u="1"/>
        <s v="8119" u="1"/>
        <s v="8291" u="1"/>
        <s v="3082" u="1"/>
        <s v="3893" u="1"/>
        <s v="5492" u="1"/>
        <s v="7091" u="1"/>
        <s v="2693" u="1"/>
        <s v="4292" u="1"/>
        <s v="8129" u="1"/>
        <s v="3092" u="1"/>
        <s v="8139" u="1"/>
        <s v="8149" u="1"/>
        <s v="8159" u="1"/>
        <s v="8169" u="1"/>
        <s v="8179" u="1"/>
        <s v="5803" u="1"/>
        <s v="7402" u="1"/>
        <s v="8189" u="1"/>
        <s v="4603" u="1"/>
        <s v="6202" u="1"/>
        <s v="3403" u="1"/>
        <s v="5002" u="1"/>
        <s v="5813" u="1"/>
        <s v="7412" u="1"/>
        <s v="8199" u="1"/>
        <s v="2203" u="1"/>
        <s v="4613" u="1"/>
        <s v="6212" u="1"/>
        <s v="3413" u="1"/>
        <s v="5012" u="1"/>
        <s v="5823" u="1"/>
        <s v="7422" u="1"/>
        <s v="2213" u="1"/>
        <s v="4623" u="1"/>
        <s v="6222" u="1"/>
        <s v="3423" u="1"/>
        <s v="5022" u="1"/>
        <s v="5833" u="1"/>
        <s v="7432" u="1"/>
        <s v="2223" u="1"/>
        <s v="4633" u="1"/>
        <s v="6232" u="1"/>
        <s v="3433" u="1"/>
        <s v="5032" u="1"/>
        <s v="5843" u="1"/>
        <s v="7442" u="1"/>
        <s v="2233" u="1"/>
        <s v="4643" u="1"/>
        <s v="6242" u="1"/>
        <s v="3443" u="1"/>
        <s v="5042" u="1"/>
        <s v="5853" u="1"/>
        <s v="7452" u="1"/>
        <s v="2243" u="1"/>
        <s v="4653" u="1"/>
        <s v="6252" u="1"/>
        <s v="3453" u="1"/>
        <s v="5052" u="1"/>
        <s v="5863" u="1"/>
        <s v="7462" u="1"/>
        <s v="2253" u="1"/>
        <s v="4663" u="1"/>
        <s v="6262" u="1"/>
        <s v="3463" u="1"/>
        <s v="5062" u="1"/>
        <s v="5873" u="1"/>
        <s v="7472" u="1"/>
        <s v="2263" u="1"/>
        <s v="4673" u="1"/>
        <s v="6272" u="1"/>
        <s v="3473" u="1"/>
        <s v="5072" u="1"/>
        <s v="5883" u="1"/>
        <s v="7482" u="1"/>
        <s v="2273" u="1"/>
        <s v="4683" u="1"/>
        <s v="6282" u="1"/>
        <s v="3483" u="1"/>
        <s v="5082" u="1"/>
        <s v="5893" u="1"/>
        <s v="7492" u="1"/>
        <s v="2283" u="1"/>
        <s v="4693" u="1"/>
        <s v="6292" u="1"/>
        <s v="3493" u="1"/>
        <s v="5092" u="1"/>
        <s v="2293" u="1"/>
        <s v="7803" u="1"/>
        <s v="6603" u="1"/>
        <s v="8202" u="1"/>
        <s v="3804" u="1"/>
        <s v="5403" u="1"/>
        <s v="7002" u="1"/>
        <s v="7813" u="1"/>
        <s v="2604" u="1"/>
        <s v="4203" u="1"/>
        <s v="6613" u="1"/>
        <s v="8212" u="1"/>
        <s v="3003" u="1"/>
        <s v="3814" u="1"/>
        <s v="5413" u="1"/>
        <s v="7012" u="1"/>
        <s v="7823" u="1"/>
        <s v="2614" u="1"/>
        <s v="4213" u="1"/>
        <s v="6623" u="1"/>
        <s v="8222" u="1"/>
        <s v="3013" u="1"/>
        <s v="3824" u="1"/>
        <s v="5423" u="1"/>
        <s v="7022" u="1"/>
        <s v="7833" u="1"/>
        <s v="2624" u="1"/>
        <s v="4223" u="1"/>
        <s v="6633" u="1"/>
        <s v="8232" u="1"/>
        <s v="3023" u="1"/>
        <s v="3834" u="1"/>
        <s v="5433" u="1"/>
        <s v="7032" u="1"/>
        <s v="7843" u="1"/>
        <s v="2634" u="1"/>
        <s v="4233" u="1"/>
        <s v="6643" u="1"/>
        <s v="8242" u="1"/>
        <s v="3033" u="1"/>
        <s v="3844" u="1"/>
        <s v="5443" u="1"/>
        <s v="7042" u="1"/>
        <s v="7853" u="1"/>
        <s v="2644" u="1"/>
        <s v="4243" u="1"/>
        <s v="6653" u="1"/>
        <s v="8252" u="1"/>
        <s v="3043" u="1"/>
        <s v="3854" u="1"/>
        <s v="5453" u="1"/>
        <s v="7052" u="1"/>
        <s v="7863" u="1"/>
        <s v="2654" u="1"/>
        <s v="4253" u="1"/>
        <s v="6663" u="1"/>
        <s v="8262" u="1"/>
        <s v="3053" u="1"/>
        <s v="3864" u="1"/>
        <s v="5463" u="1"/>
        <s v="7062" u="1"/>
        <s v="7873" u="1"/>
        <s v="2664" u="1"/>
        <s v="4263" u="1"/>
        <s v="6673" u="1"/>
        <s v="8272" u="1"/>
        <s v="3063" u="1"/>
        <s v="3874" u="1"/>
        <s v="5473" u="1"/>
        <s v="7072" u="1"/>
        <s v="7883" u="1"/>
        <s v="2674" u="1"/>
        <s v="4273" u="1"/>
        <s v="6683" u="1"/>
        <s v="8282" u="1"/>
        <s v="3073" u="1"/>
        <s v="3884" u="1"/>
        <s v="5483" u="1"/>
        <s v="7082" u="1"/>
        <s v="7893" u="1"/>
        <s v="2684" u="1"/>
        <s v="4283" u="1"/>
        <s v="6693" u="1"/>
        <s v="8292" u="1"/>
        <s v="3083" u="1"/>
        <s v="3894" u="1"/>
        <s v="5493" u="1"/>
        <s v="7092" u="1"/>
        <s v="2694" u="1"/>
        <s v="4293" u="1"/>
        <s v="3093" u="1"/>
        <s v="5804" u="1"/>
        <s v="7403" u="1"/>
        <s v="4604" u="1"/>
        <s v="6203" u="1"/>
        <s v="3404" u="1"/>
        <s v="5003" u="1"/>
        <s v="5814" u="1"/>
        <s v="7413" u="1"/>
        <s v="2204" u="1"/>
        <s v="4614" u="1"/>
        <s v="6213" u="1"/>
        <s v="3414" u="1"/>
        <s v="5013" u="1"/>
        <s v="5824" u="1"/>
        <s v="7423" u="1"/>
        <s v="2214" u="1"/>
        <s v="4624" u="1"/>
        <s v="6223" u="1"/>
        <s v="3424" u="1"/>
        <s v="5023" u="1"/>
        <s v="5834" u="1"/>
        <s v="7433" u="1"/>
        <s v="2224" u="1"/>
        <s v="4634" u="1"/>
        <s v="6233" u="1"/>
        <s v="3434" u="1"/>
        <s v="5033" u="1"/>
        <s v="5844" u="1"/>
        <s v="7443" u="1"/>
        <s v="2234" u="1"/>
        <s v="4644" u="1"/>
        <s v="6243" u="1"/>
        <s v="3444" u="1"/>
        <s v="5043" u="1"/>
        <s v="5854" u="1"/>
        <s v="7453" u="1"/>
        <s v="2244" u="1"/>
        <s v="4654" u="1"/>
        <s v="6253" u="1"/>
        <s v="3454" u="1"/>
        <s v="5053" u="1"/>
        <s v="5864" u="1"/>
        <s v="7463" u="1"/>
        <s v="2254" u="1"/>
        <s v="4664" u="1"/>
        <s v="6263" u="1"/>
        <s v="3464" u="1"/>
        <s v="5063" u="1"/>
        <s v="5874" u="1"/>
        <s v="7473" u="1"/>
        <s v="2264" u="1"/>
        <s v="4674" u="1"/>
        <s v="6273" u="1"/>
        <s v="3474" u="1"/>
        <s v="5073" u="1"/>
        <s v="5884" u="1"/>
        <s v="7483" u="1"/>
        <s v="2274" u="1"/>
        <s v="4684" u="1"/>
        <s v="6283" u="1"/>
        <s v="3484" u="1"/>
        <s v="5083" u="1"/>
        <s v="5894" u="1"/>
        <s v="7493" u="1"/>
        <s v="2284" u="1"/>
        <s v="4694" u="1"/>
        <s v="6293" u="1"/>
        <s v="3494" u="1"/>
        <s v="5093" u="1"/>
        <s v="2294" u="1"/>
        <s v="7804" u="1"/>
        <s v="6604" u="1"/>
        <s v="8203" u="1"/>
        <s v="3805" u="1"/>
        <s v="5404" u="1"/>
        <s v="7003" u="1"/>
        <s v="7814" u="1"/>
        <s v="2605" u="1"/>
        <s v="4204" u="1"/>
        <s v="6614" u="1"/>
        <s v="8213" u="1"/>
        <s v="3004" u="1"/>
        <s v="3815" u="1"/>
        <s v="5414" u="1"/>
        <s v="7013" u="1"/>
        <s v="7824" u="1"/>
        <s v="2615" u="1"/>
        <s v="4214" u="1"/>
        <s v="6624" u="1"/>
        <s v="8223" u="1"/>
        <s v="3014" u="1"/>
        <s v="3825" u="1"/>
        <s v="5424" u="1"/>
        <s v="7023" u="1"/>
        <s v="7834" u="1"/>
        <s v="2625" u="1"/>
        <s v="4224" u="1"/>
        <s v="6634" u="1"/>
        <s v="8233" u="1"/>
        <s v="3024" u="1"/>
        <s v="3835" u="1"/>
        <s v="5434" u="1"/>
        <s v="7033" u="1"/>
        <s v="7844" u="1"/>
        <s v="2635" u="1"/>
        <s v="4234" u="1"/>
        <s v="6644" u="1"/>
        <s v="8243" u="1"/>
        <s v="3034" u="1"/>
        <s v="3845" u="1"/>
        <s v="5444" u="1"/>
        <s v="7043" u="1"/>
        <s v="7854" u="1"/>
        <s v="2645" u="1"/>
        <s v="4244" u="1"/>
        <s v="6654" u="1"/>
        <s v="8253" u="1"/>
        <s v="3044" u="1"/>
        <s v="3855" u="1"/>
        <s v="5454" u="1"/>
        <s v="7053" u="1"/>
        <s v="7864" u="1"/>
        <s v="2655" u="1"/>
        <s v="4254" u="1"/>
        <s v="6664" u="1"/>
        <s v="8263" u="1"/>
        <s v="3054" u="1"/>
        <s v="3865" u="1"/>
        <s v="5464" u="1"/>
        <s v="7063" u="1"/>
        <s v="7874" u="1"/>
        <s v="2665" u="1"/>
        <s v="4264" u="1"/>
        <s v="6674" u="1"/>
        <s v="8273" u="1"/>
        <s v="3064" u="1"/>
        <s v="3875" u="1"/>
        <s v="5474" u="1"/>
        <s v="7073" u="1"/>
        <s v="7884" u="1"/>
        <s v="2675" u="1"/>
        <s v="4274" u="1"/>
        <s v="6684" u="1"/>
        <s v="8283" u="1"/>
        <s v="3074" u="1"/>
        <s v="3885" u="1"/>
        <s v="5484" u="1"/>
        <s v="7083" u="1"/>
        <s v="7894" u="1"/>
        <s v="2685" u="1"/>
        <s v="4284" u="1"/>
        <s v="6694" u="1"/>
        <s v="8293" u="1"/>
        <s v="3084" u="1"/>
        <s v="3895" u="1"/>
        <s v="5494" u="1"/>
        <s v="7093" u="1"/>
        <s v="2695" u="1"/>
        <s v="4294" u="1"/>
        <s v="3094" u="1"/>
        <s v="5805" u="1"/>
        <s v="7404" u="1"/>
        <s v="4605" u="1"/>
        <s v="6204" u="1"/>
        <s v="3405" u="1"/>
        <s v="5004" u="1"/>
        <s v="5815" u="1"/>
        <s v="7414" u="1"/>
        <s v="2205" u="1"/>
        <s v="4615" u="1"/>
        <s v="6214" u="1"/>
        <s v="3415" u="1"/>
        <s v="5014" u="1"/>
        <s v="5825" u="1"/>
        <s v="7424" u="1"/>
        <s v="2215" u="1"/>
        <s v="4625" u="1"/>
        <s v="6224" u="1"/>
        <s v="3425" u="1"/>
        <s v="5024" u="1"/>
        <s v="5835" u="1"/>
        <s v="7434" u="1"/>
        <s v="2225" u="1"/>
        <s v="4635" u="1"/>
        <s v="6234" u="1"/>
        <s v="3435" u="1"/>
        <s v="5034" u="1"/>
        <s v="5845" u="1"/>
        <s v="7444" u="1"/>
        <s v="2235" u="1"/>
        <s v="4645" u="1"/>
        <s v="6244" u="1"/>
        <s v="3445" u="1"/>
        <s v="5044" u="1"/>
        <s v="5855" u="1"/>
        <s v="7454" u="1"/>
        <s v="2245" u="1"/>
        <s v="4655" u="1"/>
        <s v="6254" u="1"/>
        <s v="3455" u="1"/>
        <s v="5054" u="1"/>
        <s v="5865" u="1"/>
        <s v="7464" u="1"/>
        <s v="2255" u="1"/>
        <s v="4665" u="1"/>
        <s v="6264" u="1"/>
        <s v="3465" u="1"/>
        <s v="5064" u="1"/>
        <s v="5875" u="1"/>
        <s v="7474" u="1"/>
        <s v="2265" u="1"/>
        <s v="4675" u="1"/>
        <s v="6274" u="1"/>
        <s v="3475" u="1"/>
        <s v="5074" u="1"/>
        <s v="5885" u="1"/>
        <s v="7484" u="1"/>
        <s v="2275" u="1"/>
        <s v="4685" u="1"/>
        <s v="6284" u="1"/>
        <s v="3485" u="1"/>
        <s v="5084" u="1"/>
        <s v="5895" u="1"/>
        <s v="7494" u="1"/>
        <s v="2285" u="1"/>
        <s v="4695" u="1"/>
        <s v="6294" u="1"/>
        <s v="3495" u="1"/>
        <s v="5094" u="1"/>
        <s v="2295" u="1"/>
        <s v="7805" u="1"/>
        <s v="6605" u="1"/>
        <s v="8204" u="1"/>
        <s v="3806" u="1"/>
        <s v="5405" u="1"/>
        <s v="7004" u="1"/>
        <s v="7815" u="1"/>
        <s v="2606" u="1"/>
        <s v="4205" u="1"/>
        <s v="6615" u="1"/>
        <s v="8214" u="1"/>
        <s v="3005" u="1"/>
        <s v="3816" u="1"/>
        <s v="5415" u="1"/>
        <s v="7014" u="1"/>
        <s v="7825" u="1"/>
        <s v="2616" u="1"/>
        <s v="4215" u="1"/>
        <s v="6625" u="1"/>
        <s v="8224" u="1"/>
        <s v="3015" u="1"/>
        <s v="3826" u="1"/>
        <s v="5425" u="1"/>
        <s v="7024" u="1"/>
        <s v="7835" u="1"/>
        <s v="2626" u="1"/>
        <s v="4225" u="1"/>
        <s v="6635" u="1"/>
        <s v="8234" u="1"/>
        <s v="3025" u="1"/>
        <s v="3836" u="1"/>
        <s v="5435" u="1"/>
        <s v="7034" u="1"/>
        <s v="7845" u="1"/>
        <s v="2636" u="1"/>
        <s v="4235" u="1"/>
        <s v="6645" u="1"/>
        <s v="8244" u="1"/>
        <s v="3035" u="1"/>
        <s v="3846" u="1"/>
        <s v="5445" u="1"/>
        <s v="7044" u="1"/>
        <s v="7855" u="1"/>
        <s v="2646" u="1"/>
        <s v="4245" u="1"/>
        <s v="6655" u="1"/>
        <s v="8254" u="1"/>
        <s v="3045" u="1"/>
        <s v="3856" u="1"/>
        <s v="5455" u="1"/>
        <s v="7054" u="1"/>
        <s v="7865" u="1"/>
        <s v="2656" u="1"/>
        <s v="4255" u="1"/>
        <s v="6665" u="1"/>
        <s v="8264" u="1"/>
        <s v="3055" u="1"/>
        <s v="3866" u="1"/>
        <s v="5465" u="1"/>
        <s v="7064" u="1"/>
        <s v="7875" u="1"/>
        <s v="2666" u="1"/>
        <s v="4265" u="1"/>
        <s v="6675" u="1"/>
        <s v="8274" u="1"/>
        <s v="3065" u="1"/>
        <s v="3876" u="1"/>
        <s v="5475" u="1"/>
        <s v="7074" u="1"/>
        <s v="7885" u="1"/>
        <s v="2676" u="1"/>
        <s v="4275" u="1"/>
        <s v="6685" u="1"/>
        <s v="8284" u="1"/>
        <s v="3075" u="1"/>
        <s v="3886" u="1"/>
        <s v="5485" u="1"/>
        <s v="7084" u="1"/>
        <s v="7895" u="1"/>
        <s v="2686" u="1"/>
        <s v="4285" u="1"/>
        <s v="6695" u="1"/>
        <s v="8294" u="1"/>
        <s v="3085" u="1"/>
        <s v="3896" u="1"/>
        <s v="5495" u="1"/>
        <s v="7094" u="1"/>
        <s v="2696" u="1"/>
        <s v="4295" u="1"/>
        <s v="3095" u="1"/>
        <s v="5806" u="1"/>
        <s v="7405" u="1"/>
        <s v="4606" u="1"/>
        <s v="6205" u="1"/>
        <s v="3406" u="1"/>
        <s v="5005" u="1"/>
        <s v="5816" u="1"/>
        <s v="7415" u="1"/>
        <s v="2206" u="1"/>
        <s v="4616" u="1"/>
        <s v="6215" u="1"/>
        <s v="3416" u="1"/>
        <s v="5015" u="1"/>
        <s v="5826" u="1"/>
        <s v="7425" u="1"/>
        <s v="2216" u="1"/>
        <s v="4626" u="1"/>
        <s v="6225" u="1"/>
        <s v="3426" u="1"/>
        <s v="5025" u="1"/>
        <s v="5836" u="1"/>
        <s v="7435" u="1"/>
        <s v="2226" u="1"/>
        <s v="4636" u="1"/>
        <s v="6235" u="1"/>
        <s v="3436" u="1"/>
        <s v="5035" u="1"/>
        <s v="5846" u="1"/>
        <s v="7445" u="1"/>
        <s v="2236" u="1"/>
        <s v="4646" u="1"/>
        <s v="6245" u="1"/>
        <s v="3446" u="1"/>
        <s v="5045" u="1"/>
        <s v="5856" u="1"/>
        <s v="7455" u="1"/>
        <s v="2246" u="1"/>
        <s v="4656" u="1"/>
        <s v="6255" u="1"/>
        <s v="3456" u="1"/>
        <s v="5055" u="1"/>
        <s v="5866" u="1"/>
        <s v="7465" u="1"/>
        <s v="2256" u="1"/>
        <s v="4666" u="1"/>
        <s v="6265" u="1"/>
        <s v="3466" u="1"/>
        <s v="5065" u="1"/>
        <s v="5876" u="1"/>
        <s v="7475" u="1"/>
        <s v="2266" u="1"/>
        <s v="4676" u="1"/>
        <s v="6275" u="1"/>
        <s v="3476" u="1"/>
        <s v="5075" u="1"/>
        <s v="5886" u="1"/>
        <s v="7485" u="1"/>
        <s v="2276" u="1"/>
        <s v="4686" u="1"/>
        <s v="6285" u="1"/>
        <s v="3486" u="1"/>
        <s v="5085" u="1"/>
        <s v="5896" u="1"/>
        <s v="7495" u="1"/>
        <s v="2286" u="1"/>
        <s v="4696" u="1"/>
        <s v="6295" u="1"/>
        <s v="3496" u="1"/>
        <s v="5095" u="1"/>
        <s v="2296" u="1"/>
        <s v="7806" u="1"/>
        <s v="6606" u="1"/>
        <s v="8205" u="1"/>
        <s v="3807" u="1"/>
        <s v="5406" u="1"/>
        <s v="7005" u="1"/>
        <s v="7816" u="1"/>
        <s v="2607" u="1"/>
        <s v="4206" u="1"/>
        <s v="6616" u="1"/>
        <s v="8215" u="1"/>
        <s v="3006" u="1"/>
        <s v="3817" u="1"/>
        <s v="5416" u="1"/>
        <s v="7015" u="1"/>
        <s v="7826" u="1"/>
        <s v="2617" u="1"/>
        <s v="4216" u="1"/>
        <s v="6626" u="1"/>
        <s v="8225" u="1"/>
        <s v="3016" u="1"/>
        <s v="3827" u="1"/>
        <s v="5426" u="1"/>
        <s v="7025" u="1"/>
        <s v="7836" u="1"/>
        <s v="2627" u="1"/>
        <s v="4226" u="1"/>
        <s v="6636" u="1"/>
        <s v="8235" u="1"/>
        <s v="3026" u="1"/>
        <s v="3837" u="1"/>
        <s v="5436" u="1"/>
        <s v="7035" u="1"/>
        <s v="7846" u="1"/>
        <s v="2637" u="1"/>
        <s v="4236" u="1"/>
        <s v="6646" u="1"/>
        <s v="8245" u="1"/>
        <s v="3036" u="1"/>
        <s v="3847" u="1"/>
        <s v="5446" u="1"/>
        <s v="7045" u="1"/>
        <s v="7856" u="1"/>
        <s v="2647" u="1"/>
        <s v="4246" u="1"/>
        <s v="6656" u="1"/>
        <s v="8255" u="1"/>
        <s v="3046" u="1"/>
        <s v="3857" u="1"/>
        <s v="5456" u="1"/>
        <s v="7055" u="1"/>
        <s v="7866" u="1"/>
        <s v="2657" u="1"/>
        <s v="4256" u="1"/>
        <s v="6666" u="1"/>
        <s v="8265" u="1"/>
        <s v="3056" u="1"/>
        <s v="3867" u="1"/>
        <s v="5466" u="1"/>
        <s v="7065" u="1"/>
        <s v="7876" u="1"/>
        <s v="2667" u="1"/>
        <s v="4266" u="1"/>
        <s v="6676" u="1"/>
        <s v="8275" u="1"/>
        <s v="3066" u="1"/>
        <s v="3877" u="1"/>
        <s v="5476" u="1"/>
        <s v="7075" u="1"/>
        <s v="7886" u="1"/>
        <s v="2677" u="1"/>
        <s v="4276" u="1"/>
        <s v="6686" u="1"/>
        <s v="8285" u="1"/>
        <s v="3076" u="1"/>
        <s v="3887" u="1"/>
        <s v="5486" u="1"/>
        <s v="7085" u="1"/>
        <s v="7896" u="1"/>
        <s v="2687" u="1"/>
        <s v="4286" u="1"/>
        <s v="6696" u="1"/>
        <s v="8295" u="1"/>
        <s v="3086" u="1"/>
        <s v="3897" u="1"/>
        <s v="5496" u="1"/>
        <s v="7095" u="1"/>
        <s v="2697" u="1"/>
        <s v="4296" u="1"/>
        <s v="3096" u="1"/>
        <s v="5807" u="1"/>
        <s v="7406" u="1"/>
        <s v="4607" u="1"/>
        <s v="6206" u="1"/>
        <s v="3407" u="1"/>
        <s v="5006" u="1"/>
        <s v="5817" u="1"/>
        <s v="7416" u="1"/>
        <s v="2207" u="1"/>
        <s v="4617" u="1"/>
        <s v="6216" u="1"/>
        <s v="3417" u="1"/>
        <s v="5016" u="1"/>
        <s v="5827" u="1"/>
        <s v="7426" u="1"/>
        <s v="2217" u="1"/>
        <s v="4627" u="1"/>
        <s v="6226" u="1"/>
        <s v="3427" u="1"/>
        <s v="5026" u="1"/>
        <s v="5837" u="1"/>
        <s v="7436" u="1"/>
        <s v="2227" u="1"/>
        <s v="4637" u="1"/>
        <s v="6236" u="1"/>
        <s v="3437" u="1"/>
        <s v="5036" u="1"/>
        <s v="5847" u="1"/>
        <s v="7446" u="1"/>
        <s v="2237" u="1"/>
        <s v="4647" u="1"/>
        <s v="6246" u="1"/>
        <s v="3447" u="1"/>
        <s v="5046" u="1"/>
        <s v="5857" u="1"/>
        <s v="7456" u="1"/>
        <s v="2247" u="1"/>
        <s v="4657" u="1"/>
        <s v="6256" u="1"/>
        <s v="3457" u="1"/>
        <s v="5056" u="1"/>
        <s v="5867" u="1"/>
        <s v="7466" u="1"/>
        <s v="2257" u="1"/>
        <s v="4667" u="1"/>
        <s v="6266" u="1"/>
        <s v="3467" u="1"/>
        <s v="5066" u="1"/>
        <s v="5877" u="1"/>
        <s v="7476" u="1"/>
        <s v="2267" u="1"/>
        <s v="4677" u="1"/>
        <s v="6276" u="1"/>
        <s v="3477" u="1"/>
        <s v="5076" u="1"/>
        <s v="5887" u="1"/>
        <s v="7486" u="1"/>
        <s v="2277" u="1"/>
        <s v="3900" u="1"/>
        <s v="4687" u="1"/>
        <s v="6286" u="1"/>
        <s v="2700" u="1"/>
        <s v="3487" u="1"/>
        <s v="5086" u="1"/>
        <s v="5897" u="1"/>
        <s v="7496" u="1"/>
        <s v="2287" u="1"/>
        <s v="3910" u="1"/>
        <s v="4697" u="1"/>
        <s v="6296" u="1"/>
        <s v="2710" u="1"/>
        <s v="3497" u="1"/>
        <s v="5096" u="1"/>
        <s v="2297" u="1"/>
        <s v="3920" u="1"/>
        <s v="2720" u="1"/>
        <s v="3930" u="1"/>
        <s v="2730" u="1"/>
        <s v="3940" u="1"/>
        <s v="2740" u="1"/>
        <s v="3950" u="1"/>
        <s v="2750" u="1"/>
        <s v="3960" u="1"/>
        <s v="2760" u="1"/>
        <s v="3970" u="1"/>
        <s v="7807" u="1"/>
        <s v="2770" u="1"/>
        <s v="6607" u="1"/>
        <s v="8206" u="1"/>
        <s v="3808" u="1"/>
        <s v="3980" u="1"/>
        <s v="5407" u="1"/>
        <s v="7006" u="1"/>
        <s v="7817" u="1"/>
        <s v="2608" u="1"/>
        <s v="2780" u="1"/>
        <s v="4207" u="1"/>
        <s v="6617" u="1"/>
        <s v="8216" u="1"/>
        <s v="3007" u="1"/>
        <s v="3818" u="1"/>
        <s v="3990" u="1"/>
        <s v="5417" u="1"/>
        <s v="7016" u="1"/>
        <s v="7827" u="1"/>
        <s v="2618" u="1"/>
        <s v="2790" u="1"/>
        <s v="4217" u="1"/>
        <s v="6627" u="1"/>
        <s v="8226" u="1"/>
        <s v="3017" u="1"/>
        <s v="3828" u="1"/>
        <s v="5427" u="1"/>
        <s v="7026" u="1"/>
        <s v="7837" u="1"/>
        <s v="2628" u="1"/>
        <s v="4227" u="1"/>
        <s v="6637" u="1"/>
        <s v="8236" u="1"/>
        <s v="3027" u="1"/>
        <s v="3838" u="1"/>
        <s v="5437" u="1"/>
        <s v="7036" u="1"/>
        <s v="7847" u="1"/>
        <s v="2638" u="1"/>
        <s v="4237" u="1"/>
        <s v="6647" u="1"/>
        <s v="8246" u="1"/>
        <s v="3037" u="1"/>
        <s v="3848" u="1"/>
        <s v="5447" u="1"/>
        <s v="7046" u="1"/>
        <s v="7857" u="1"/>
        <s v="2648" u="1"/>
        <s v="4247" u="1"/>
        <s v="6657" u="1"/>
        <s v="8256" u="1"/>
        <s v="3047" u="1"/>
        <s v="3858" u="1"/>
        <s v="5457" u="1"/>
        <s v="7056" u="1"/>
        <s v="7867" u="1"/>
        <s v="2658" u="1"/>
        <s v="4257" u="1"/>
        <s v="6667" u="1"/>
        <s v="8266" u="1"/>
        <s v="3057" u="1"/>
        <s v="3868" u="1"/>
        <s v="5467" u="1"/>
        <s v="7066" u="1"/>
        <s v="7877" u="1"/>
        <s v="2668" u="1"/>
        <s v="4267" u="1"/>
        <s v="6677" u="1"/>
        <s v="8276" u="1"/>
        <s v="3067" u="1"/>
        <s v="3878" u="1"/>
        <s v="5477" u="1"/>
        <s v="7076" u="1"/>
        <s v="7887" u="1"/>
        <s v="2678" u="1"/>
        <s v="4277" u="1"/>
        <s v="5900" u="1"/>
        <s v="6687" u="1"/>
        <s v="8286" u="1"/>
        <s v="3077" u="1"/>
        <s v="3888" u="1"/>
        <s v="4700" u="1"/>
        <s v="5487" u="1"/>
        <s v="7086" u="1"/>
        <s v="7897" u="1"/>
        <s v="2688" u="1"/>
        <s v="3500" u="1"/>
        <s v="4287" u="1"/>
        <s v="5910" u="1"/>
        <s v="6697" u="1"/>
        <s v="8296" u="1"/>
        <s v="2300" u="1"/>
        <s v="3087" u="1"/>
        <s v="3898" u="1"/>
        <s v="4710" u="1"/>
        <s v="5497" u="1"/>
        <s v="7096" u="1"/>
        <s v="2698" u="1"/>
        <s v="3510" u="1"/>
        <s v="4297" u="1"/>
        <s v="5920" u="1"/>
        <s v="2310" u="1"/>
        <s v="3097" u="1"/>
        <s v="4720" u="1"/>
        <s v="3520" u="1"/>
        <s v="5930" u="1"/>
        <s v="2320" u="1"/>
        <s v="4730" u="1"/>
        <s v="3530" u="1"/>
        <s v="5940" u="1"/>
        <s v="2330" u="1"/>
        <s v="4740" u="1"/>
        <s v="3540" u="1"/>
        <s v="5950" u="1"/>
        <s v="2340" u="1"/>
        <s v="4750" u="1"/>
        <s v="3550" u="1"/>
        <s v="5960" u="1"/>
        <s v="2350" u="1"/>
        <s v="4760" u="1"/>
        <s v="3560" u="1"/>
        <s v="5970" u="1"/>
        <s v="2360" u="1"/>
        <s v="4770" u="1"/>
        <s v="3570" u="1"/>
        <s v="5808" u="1"/>
        <s v="5980" u="1"/>
        <s v="7407" u="1"/>
        <s v="2370" u="1"/>
        <s v="4608" u="1"/>
        <s v="4780" u="1"/>
        <s v="6207" u="1"/>
        <s v="3408" u="1"/>
        <s v="3580" u="1"/>
        <s v="5007" u="1"/>
        <s v="5818" u="1"/>
        <s v="5990" u="1"/>
        <s v="7417" u="1"/>
        <s v="2208" u="1"/>
        <s v="2380" u="1"/>
        <s v="4618" u="1"/>
        <s v="4790" u="1"/>
        <s v="6217" u="1"/>
        <s v="3418" u="1"/>
        <s v="3590" u="1"/>
        <s v="5017" u="1"/>
        <s v="5828" u="1"/>
        <s v="7427" u="1"/>
        <s v="2218" u="1"/>
        <s v="2390" u="1"/>
        <s v="4628" u="1"/>
        <s v="6227" u="1"/>
        <s v="3428" u="1"/>
        <s v="5027" u="1"/>
        <s v="5838" u="1"/>
        <s v="7437" u="1"/>
        <s v="2228" u="1"/>
        <s v="4638" u="1"/>
        <s v="6237" u="1"/>
        <s v="3438" u="1"/>
        <s v="5037" u="1"/>
        <s v="5848" u="1"/>
        <s v="7447" u="1"/>
        <s v="2238" u="1"/>
        <s v="4648" u="1"/>
        <s v="6247" u="1"/>
        <s v="3448" u="1"/>
        <s v="5047" u="1"/>
        <s v="5858" u="1"/>
        <s v="7457" u="1"/>
        <s v="2248" u="1"/>
        <s v="4658" u="1"/>
        <s v="6257" u="1"/>
        <s v="3458" u="1"/>
        <s v="5057" u="1"/>
        <s v="5868" u="1"/>
        <s v="7467" u="1"/>
        <s v="2258" u="1"/>
        <s v="4668" u="1"/>
        <s v="6267" u="1"/>
        <s v="3468" u="1"/>
        <s v="5067" u="1"/>
        <s v="5878" u="1"/>
        <s v="7477" u="1"/>
        <s v="2268" u="1"/>
        <s v="4678" u="1"/>
        <s v="6277" u="1"/>
        <s v="7900" u="1"/>
        <s v="3478" u="1"/>
        <s v="5077" u="1"/>
        <s v="5888" u="1"/>
        <s v="6700" u="1"/>
        <s v="7487" u="1"/>
        <s v="2278" u="1"/>
        <s v="3901" u="1"/>
        <s v="4688" u="1"/>
        <s v="5500" u="1"/>
        <s v="6287" u="1"/>
        <s v="7910" u="1"/>
        <s v="2701" u="1"/>
        <s v="3488" u="1"/>
        <s v="4300" u="1"/>
        <s v="5087" u="1"/>
        <s v="5898" u="1"/>
        <s v="6710" u="1"/>
        <s v="7497" u="1"/>
        <s v="2288" u="1"/>
        <s v="3100" u="1"/>
        <s v="3911" u="1"/>
        <s v="4698" u="1"/>
        <s v="5510" u="1"/>
        <s v="6297" u="1"/>
        <s v="7920" u="1"/>
        <s v="2711" u="1"/>
        <s v="3498" u="1"/>
        <s v="4310" u="1"/>
        <s v="5097" u="1"/>
        <s v="6720" u="1"/>
        <s v="2298" u="1"/>
        <s v="3110" u="1"/>
        <s v="3921" u="1"/>
        <s v="5520" u="1"/>
        <s v="7930" u="1"/>
        <s v="2721" u="1"/>
        <s v="4320" u="1"/>
        <s v="6730" u="1"/>
        <s v="3120" u="1"/>
        <s v="3931" u="1"/>
        <s v="5530" u="1"/>
        <s v="7940" u="1"/>
        <s v="2731" u="1"/>
        <s v="4330" u="1"/>
        <s v="6740" u="1"/>
        <s v="3130" u="1"/>
        <s v="3941" u="1"/>
        <s v="5540" u="1"/>
        <s v="7950" u="1"/>
        <s v="2741" u="1"/>
        <s v="4340" u="1"/>
        <s v="6750" u="1"/>
        <s v="3140" u="1"/>
        <s v="3951" u="1"/>
        <s v="5550" u="1"/>
        <s v="7960" u="1"/>
        <s v="2751" u="1"/>
        <s v="4350" u="1"/>
        <s v="6760" u="1"/>
        <s v="3150" u="1"/>
        <s v="3961" u="1"/>
        <s v="5560" u="1"/>
        <s v="7970" u="1"/>
        <s v="2761" u="1"/>
        <s v="4360" u="1"/>
        <s v="6770" u="1"/>
        <s v="3160" u="1"/>
        <s v="3971" u="1"/>
        <s v="5570" u="1"/>
        <s v="7808" u="1"/>
        <s v="7980" u="1"/>
        <s v="2771" u="1"/>
        <s v="4370" u="1"/>
        <s v="6608" u="1"/>
        <s v="6780" u="1"/>
        <s v="8207" u="1"/>
        <s v="3170" u="1"/>
        <s v="3809" u="1"/>
        <s v="3981" u="1"/>
        <s v="5408" u="1"/>
        <s v="5580" u="1"/>
        <s v="7007" u="1"/>
        <s v="7818" u="1"/>
        <s v="7990" u="1"/>
        <s v="2609" u="1"/>
        <s v="2781" u="1"/>
        <s v="4208" u="1"/>
        <s v="4380" u="1"/>
        <s v="6618" u="1"/>
        <s v="6790" u="1"/>
        <s v="8217" u="1"/>
        <s v="3008" u="1"/>
        <s v="3180" u="1"/>
        <s v="3819" u="1"/>
        <s v="3991" u="1"/>
        <s v="5418" u="1"/>
        <s v="5590" u="1"/>
        <s v="7017" u="1"/>
        <s v="7828" u="1"/>
        <s v="2619" u="1"/>
        <s v="2791" u="1"/>
        <s v="4218" u="1"/>
        <s v="4390" u="1"/>
        <s v="6628" u="1"/>
        <s v="8227" u="1"/>
        <s v="3018" u="1"/>
        <s v="3190" u="1"/>
        <s v="3829" u="1"/>
        <s v="5428" u="1"/>
        <s v="7027" u="1"/>
        <s v="7838" u="1"/>
        <s v="2629" u="1"/>
        <s v="4228" u="1"/>
        <s v="6638" u="1"/>
        <s v="8237" u="1"/>
        <s v="3028" u="1"/>
        <s v="3839" u="1"/>
        <s v="5438" u="1"/>
        <s v="7037" u="1"/>
        <s v="7848" u="1"/>
        <s v="2639" u="1"/>
        <s v="4238" u="1"/>
        <s v="6648" u="1"/>
        <s v="8247" u="1"/>
        <s v="3038" u="1"/>
        <s v="3849" u="1"/>
        <s v="5448" u="1"/>
        <s v="7047" u="1"/>
        <s v="7858" u="1"/>
        <s v="2649" u="1"/>
        <s v="4248" u="1"/>
        <s v="6658" u="1"/>
        <s v="8257" u="1"/>
        <s v="3048" u="1"/>
        <s v="3859" u="1"/>
        <s v="5458" u="1"/>
        <s v="7057" u="1"/>
        <s v="7868" u="1"/>
        <s v="2659" u="1"/>
        <s v="4258" u="1"/>
        <s v="6668" u="1"/>
        <s v="8267" u="1"/>
        <s v="3058" u="1"/>
        <s v="3869" u="1"/>
        <s v="5468" u="1"/>
        <s v="7067" u="1"/>
        <s v="7878" u="1"/>
        <s v="2669" u="1"/>
        <s v="4268" u="1"/>
        <s v="6678" u="1"/>
        <s v="8277" u="1"/>
        <s v="3068" u="1"/>
        <s v="3879" u="1"/>
        <s v="5478" u="1"/>
        <s v="7077" u="1"/>
        <s v="7888" u="1"/>
        <s v="2679" u="1"/>
        <s v="4278" u="1"/>
        <s v="5901" u="1"/>
        <s v="6688" u="1"/>
        <s v="7500" u="1"/>
        <s v="8287" u="1"/>
        <s v="3078" u="1"/>
        <s v="3889" u="1"/>
        <s v="4701" u="1"/>
        <s v="5488" u="1"/>
        <s v="6300" u="1"/>
        <s v="7087" u="1"/>
        <s v="7898" u="1"/>
        <s v="2689" u="1"/>
        <s v="3501" u="1"/>
        <s v="4288" u="1"/>
        <s v="5100" u="1"/>
        <s v="5911" u="1"/>
        <s v="6698" u="1"/>
        <s v="7510" u="1"/>
        <s v="8297" u="1"/>
        <s v="2301" u="1"/>
        <s v="3088" u="1"/>
        <s v="3899" u="1"/>
        <s v="4711" u="1"/>
        <s v="5498" u="1"/>
        <s v="6310" u="1"/>
        <s v="7097" u="1"/>
        <s v="2699" u="1"/>
        <s v="3511" u="1"/>
        <s v="4298" u="1"/>
        <s v="5110" u="1"/>
        <s v="5921" u="1"/>
        <s v="7520" u="1"/>
        <s v="2311" u="1"/>
        <s v="3098" u="1"/>
        <s v="4721" u="1"/>
        <s v="6320" u="1"/>
        <s v="3521" u="1"/>
        <s v="5120" u="1"/>
        <s v="5931" u="1"/>
        <s v="7530" u="1"/>
        <s v="2321" u="1"/>
        <s v="4731" u="1"/>
        <s v="6330" u="1"/>
        <s v="3531" u="1"/>
        <s v="5130" u="1"/>
        <s v="5941" u="1"/>
        <s v="7540" u="1"/>
        <s v="2331" u="1"/>
        <s v="4741" u="1"/>
        <s v="6340" u="1"/>
        <s v="3541" u="1"/>
        <s v="5140" u="1"/>
        <s v="5951" u="1"/>
        <s v="7550" u="1"/>
        <s v="2341" u="1"/>
        <s v="4751" u="1"/>
        <s v="6350" u="1"/>
        <s v="3551" u="1"/>
        <s v="5150" u="1"/>
        <s v="5961" u="1"/>
        <s v="7560" u="1"/>
        <s v="2351" u="1"/>
        <s v="4761" u="1"/>
        <s v="6360" u="1"/>
        <s v="3561" u="1"/>
        <s v="5160" u="1"/>
        <s v="5971" u="1"/>
        <s v="7570" u="1"/>
        <s v="2361" u="1"/>
        <s v="4771" u="1"/>
        <s v="6370" u="1"/>
        <s v="3571" u="1"/>
        <s v="5170" u="1"/>
        <s v="5809" u="1"/>
        <s v="5981" u="1"/>
        <s v="7408" u="1"/>
        <s v="7580" u="1"/>
        <s v="2371" u="1"/>
        <s v="4609" u="1"/>
        <s v="4781" u="1"/>
        <s v="6208" u="1"/>
        <s v="6380" u="1"/>
        <s v="3409" u="1"/>
        <s v="3581" u="1"/>
        <s v="5008" u="1"/>
        <s v="5180" u="1"/>
        <s v="5819" u="1"/>
        <s v="5991" u="1"/>
        <s v="7418" u="1"/>
        <s v="7590" u="1"/>
        <s v="2209" u="1"/>
        <s v="2381" u="1"/>
        <s v="4619" u="1"/>
        <s v="4791" u="1"/>
        <s v="6218" u="1"/>
        <s v="6390" u="1"/>
        <s v="3419" u="1"/>
        <s v="3591" u="1"/>
        <s v="5018" u="1"/>
        <s v="5190" u="1"/>
        <s v="5829" u="1"/>
        <s v="7428" u="1"/>
        <s v="2219" u="1"/>
        <s v="2391" u="1"/>
        <s v="4629" u="1"/>
        <s v="6228" u="1"/>
        <s v="3429" u="1"/>
        <s v="5028" u="1"/>
        <s v="5839" u="1"/>
        <s v="7438" u="1"/>
        <s v="2229" u="1"/>
        <s v="4639" u="1"/>
        <s v="6238" u="1"/>
        <s v="3439" u="1"/>
        <s v="5038" u="1"/>
        <s v="5849" u="1"/>
        <s v="7448" u="1"/>
        <s v="2239" u="1"/>
        <s v="4649" u="1"/>
        <s v="6248" u="1"/>
        <s v="3449" u="1"/>
        <s v="5048" u="1"/>
        <s v="5859" u="1"/>
        <s v="7458" u="1"/>
        <s v="2249" u="1"/>
        <s v="4659" u="1"/>
        <s v="6258" u="1"/>
        <s v="3459" u="1"/>
        <s v="5058" u="1"/>
        <s v="5869" u="1"/>
        <s v="7468" u="1"/>
        <s v="2259" u="1"/>
        <s v="4669" u="1"/>
        <s v="6268" u="1"/>
        <s v="3469" u="1"/>
        <s v="5068" u="1"/>
        <s v="5879" u="1"/>
        <s v="7478" u="1"/>
        <s v="2269" u="1"/>
        <s v="4679" u="1"/>
        <s v="6278" u="1"/>
        <s v="7901" u="1"/>
        <s v="3479" u="1"/>
        <s v="5078" u="1"/>
        <s v="5889" u="1"/>
        <s v="6701" u="1"/>
        <s v="7488" u="1"/>
        <s v="8300" u="1"/>
        <s v="2279" u="1"/>
        <s v="3902" u="1"/>
        <s v="4689" u="1"/>
        <s v="5501" u="1"/>
        <s v="6288" u="1"/>
        <s v="7100" u="1"/>
        <s v="7911" u="1"/>
        <s v="2702" u="1"/>
        <s v="3489" u="1"/>
        <s v="4301" u="1"/>
        <s v="5088" u="1"/>
        <s v="5899" u="1"/>
        <s v="6711" u="1"/>
        <s v="7498" u="1"/>
        <s v="8310" u="1"/>
        <s v="2289" u="1"/>
        <s v="3101" u="1"/>
        <s v="3912" u="1"/>
        <s v="4699" u="1"/>
        <s v="5511" u="1"/>
        <s v="6298" u="1"/>
        <s v="7110" u="1"/>
        <s v="7921" u="1"/>
        <s v="2712" u="1"/>
        <s v="3499" u="1"/>
        <s v="4311" u="1"/>
        <s v="5098" u="1"/>
        <s v="6721" u="1"/>
        <s v="8320" u="1"/>
        <s v="2299" u="1"/>
        <s v="3111" u="1"/>
        <s v="3922" u="1"/>
        <s v="5521" u="1"/>
        <s v="7120" u="1"/>
        <s v="7931" u="1"/>
        <s v="2722" u="1"/>
        <s v="4321" u="1"/>
        <s v="6731" u="1"/>
        <s v="8330" u="1"/>
        <s v="3121" u="1"/>
        <s v="3932" u="1"/>
        <s v="5531" u="1"/>
        <s v="7130" u="1"/>
        <s v="7941" u="1"/>
        <s v="2732" u="1"/>
        <s v="4331" u="1"/>
        <s v="6741" u="1"/>
        <s v="8340" u="1"/>
        <s v="3131" u="1"/>
        <s v="3942" u="1"/>
        <s v="5541" u="1"/>
        <s v="7140" u="1"/>
        <s v="7951" u="1"/>
        <s v="2742" u="1"/>
        <s v="4341" u="1"/>
        <s v="6751" u="1"/>
        <s v="8350" u="1"/>
        <s v="3141" u="1"/>
        <s v="3952" u="1"/>
        <s v="5551" u="1"/>
        <s v="7150" u="1"/>
        <s v="7961" u="1"/>
        <s v="2752" u="1"/>
        <s v="4351" u="1"/>
        <s v="6761" u="1"/>
        <s v="8360" u="1"/>
        <s v="3151" u="1"/>
        <s v="3962" u="1"/>
        <s v="5561" u="1"/>
        <s v="7160" u="1"/>
        <s v="7971" u="1"/>
        <s v="2762" u="1"/>
        <s v="4361" u="1"/>
        <s v="6771" u="1"/>
        <s v="8370" u="1"/>
        <s v="3161" u="1"/>
        <s v="3972" u="1"/>
        <s v="5571" u="1"/>
        <s v="7170" u="1"/>
        <s v="7809" u="1"/>
        <s v="7981" u="1"/>
        <s v="2772" u="1"/>
        <s v="4371" u="1"/>
        <s v="6609" u="1"/>
        <s v="6781" u="1"/>
        <s v="8208" u="1"/>
        <s v="8380" u="1"/>
        <s v="3171" u="1"/>
        <s v="3982" u="1"/>
        <s v="5409" u="1"/>
        <s v="5581" u="1"/>
        <s v="7008" u="1"/>
        <s v="7180" u="1"/>
        <s v="7819" u="1"/>
        <s v="7991" u="1"/>
        <s v="2782" u="1"/>
        <s v="4209" u="1"/>
        <s v="4381" u="1"/>
        <s v="6619" u="1"/>
        <s v="6791" u="1"/>
        <s v="8218" u="1"/>
        <s v="8390" u="1"/>
        <s v="3009" u="1"/>
        <s v="3181" u="1"/>
        <s v="3992" u="1"/>
        <s v="5419" u="1"/>
        <s v="5591" u="1"/>
        <s v="7018" u="1"/>
        <s v="7190" u="1"/>
        <s v="7829" u="1"/>
        <s v="2792" u="1"/>
        <s v="4219" u="1"/>
        <s v="4391" u="1"/>
        <s v="6629" u="1"/>
        <s v="8228" u="1"/>
        <s v="3019" u="1"/>
        <s v="3191" u="1"/>
        <s v="5429" u="1"/>
        <s v="7028" u="1"/>
        <s v="7839" u="1"/>
        <s v="4229" u="1"/>
        <s v="6639" u="1"/>
        <s v="8238" u="1"/>
        <s v="3029" u="1"/>
        <s v="5439" u="1"/>
        <s v="7038" u="1"/>
        <s v="7849" u="1"/>
        <s v="4239" u="1"/>
        <s v="6649" u="1"/>
        <s v="8248" u="1"/>
        <s v="3039" u="1"/>
        <s v="5449" u="1"/>
        <s v="7048" u="1"/>
        <s v="7859" u="1"/>
        <s v="4249" u="1"/>
        <s v="6659" u="1"/>
        <s v="8258" u="1"/>
        <s v="3049" u="1"/>
        <s v="5459" u="1"/>
        <s v="7058" u="1"/>
        <s v="7869" u="1"/>
        <s v="4259" u="1"/>
        <s v="6669" u="1"/>
        <s v="8268" u="1"/>
        <s v="3059" u="1"/>
        <s v="5469" u="1"/>
        <s v="7068" u="1"/>
        <s v="7879" u="1"/>
        <s v="4269" u="1"/>
        <s v="6679" u="1"/>
        <s v="8278" u="1"/>
        <s v="3069" u="1"/>
        <s v="5479" u="1"/>
        <s v="7078" u="1"/>
        <s v="7889" u="1"/>
        <s v="4279" u="1"/>
        <s v="5902" u="1"/>
        <s v="6689" u="1"/>
        <s v="7501" u="1"/>
        <s v="8288" u="1"/>
        <s v="3079" u="1"/>
        <s v="4702" u="1"/>
        <s v="5489" u="1"/>
        <s v="6301" u="1"/>
        <s v="7088" u="1"/>
        <s v="7899" u="1"/>
        <s v="3502" u="1"/>
        <s v="4289" u="1"/>
        <s v="5101" u="1"/>
        <s v="5912" u="1"/>
        <s v="6699" u="1"/>
        <s v="7511" u="1"/>
        <s v="8298" u="1"/>
        <s v="2302" u="1"/>
        <s v="3089" u="1"/>
        <s v="4712" u="1"/>
        <s v="5499" u="1"/>
        <s v="6311" u="1"/>
        <s v="7098" u="1"/>
        <s v="3512" u="1"/>
        <s v="4299" u="1"/>
        <s v="5111" u="1"/>
        <s v="5922" u="1"/>
        <s v="7521" u="1"/>
        <s v="2312" u="1"/>
        <s v="3099" u="1"/>
        <s v="4722" u="1"/>
        <s v="6321" u="1"/>
        <s v="3522" u="1"/>
        <s v="5121" u="1"/>
        <s v="5932" u="1"/>
        <s v="7531" u="1"/>
        <s v="2322" u="1"/>
        <s v="4732" u="1"/>
        <s v="6331" u="1"/>
        <s v="3532" u="1"/>
        <s v="5131" u="1"/>
        <s v="5942" u="1"/>
        <s v="7541" u="1"/>
        <s v="2332" u="1"/>
        <s v="4742" u="1"/>
        <s v="6341" u="1"/>
        <s v="3542" u="1"/>
        <s v="5141" u="1"/>
        <s v="5952" u="1"/>
        <s v="7551" u="1"/>
        <s v="2342" u="1"/>
        <s v="4752" u="1"/>
        <s v="6351" u="1"/>
        <s v="3552" u="1"/>
        <s v="5151" u="1"/>
        <s v="5962" u="1"/>
        <s v="7561" u="1"/>
        <s v="2352" u="1"/>
        <s v="4762" u="1"/>
        <s v="6361" u="1"/>
        <s v="3562" u="1"/>
        <s v="5161" u="1"/>
        <s v="5972" u="1"/>
        <s v="7571" u="1"/>
        <s v="2362" u="1"/>
        <s v="4772" u="1"/>
        <s v="6371" u="1"/>
        <s v="3572" u="1"/>
        <s v="5171" u="1"/>
        <s v="5982" u="1"/>
        <s v="7409" u="1"/>
        <s v="7581" u="1"/>
        <s v="2372" u="1"/>
        <s v="4782" u="1"/>
        <s v="6209" u="1"/>
        <s v="6381" u="1"/>
        <s v="3582" u="1"/>
        <s v="5009" u="1"/>
        <s v="5181" u="1"/>
        <s v="5992" u="1"/>
        <s v="7419" u="1"/>
        <s v="7591" u="1"/>
        <s v="2382" u="1"/>
        <s v="4792" u="1"/>
        <s v="6219" u="1"/>
        <s v="6391" u="1"/>
        <s v="3592" u="1"/>
        <s v="5019" u="1"/>
        <s v="5191" u="1"/>
        <s v="7429" u="1"/>
        <s v="2392" u="1"/>
        <s v="6229" u="1"/>
        <s v="5029" u="1"/>
        <s v="7439" u="1"/>
        <s v="6239" u="1"/>
        <s v="5039" u="1"/>
        <s v="7449" u="1"/>
        <s v="6249" u="1"/>
        <s v="5049" u="1"/>
        <s v="7459" u="1"/>
        <s v="6259" u="1"/>
        <s v="5059" u="1"/>
        <s v="7469" u="1"/>
        <s v="6269" u="1"/>
        <s v="5069" u="1"/>
        <s v="7479" u="1"/>
        <s v="6279" u="1"/>
        <s v="7902" u="1"/>
        <s v="5079" u="1"/>
        <s v="6702" u="1"/>
        <s v="7489" u="1"/>
        <s v="8301" u="1"/>
        <s v="3903" u="1"/>
        <s v="5502" u="1"/>
        <s v="6289" u="1"/>
        <s v="7101" u="1"/>
        <s v="7912" u="1"/>
        <s v="2703" u="1"/>
        <s v="4302" u="1"/>
        <s v="5089" u="1"/>
        <s v="6712" u="1"/>
        <s v="7499" u="1"/>
        <s v="8311" u="1"/>
        <s v="3102" u="1"/>
        <s v="3913" u="1"/>
        <s v="5512" u="1"/>
        <s v="6299" u="1"/>
        <s v="7111" u="1"/>
        <s v="7922" u="1"/>
        <s v="2713" u="1"/>
        <s v="4312" u="1"/>
        <s v="5099" u="1"/>
        <s v="6722" u="1"/>
        <s v="8321" u="1"/>
        <s v="3112" u="1"/>
        <s v="3923" u="1"/>
        <s v="5522" u="1"/>
        <s v="7121" u="1"/>
        <s v="7932" u="1"/>
        <s v="2723" u="1"/>
        <s v="4322" u="1"/>
        <s v="6732" u="1"/>
        <s v="8331" u="1"/>
        <s v="3122" u="1"/>
        <s v="3933" u="1"/>
        <s v="5532" u="1"/>
        <s v="7131" u="1"/>
        <s v="7942" u="1"/>
        <s v="2733" u="1"/>
        <s v="4332" u="1"/>
        <s v="6742" u="1"/>
        <s v="8341" u="1"/>
        <s v="3132" u="1"/>
        <s v="3943" u="1"/>
        <s v="5542" u="1"/>
        <s v="7141" u="1"/>
        <s v="7952" u="1"/>
        <s v="2743" u="1"/>
        <s v="4342" u="1"/>
        <s v="6752" u="1"/>
        <s v="8351" u="1"/>
        <s v="3142" u="1"/>
        <s v="3953" u="1"/>
        <s v="5552" u="1"/>
        <s v="7151" u="1"/>
        <s v="7962" u="1"/>
        <s v="2753" u="1"/>
        <s v="4352" u="1"/>
        <s v="6762" u="1"/>
        <s v="8361" u="1"/>
        <s v="3152" u="1"/>
        <s v="3963" u="1"/>
        <s v="5562" u="1"/>
        <s v="7161" u="1"/>
        <s v="7972" u="1"/>
        <s v="2763" u="1"/>
        <s v="4362" u="1"/>
        <s v="6772" u="1"/>
        <s v="8371" u="1"/>
        <s v="3162" u="1"/>
        <s v="3973" u="1"/>
        <s v="5572" u="1"/>
        <s v="7171" u="1"/>
        <s v="7982" u="1"/>
        <s v="2773" u="1"/>
        <s v="4372" u="1"/>
        <s v="6782" u="1"/>
        <s v="8209" u="1"/>
        <s v="8381" u="1"/>
        <s v="3172" u="1"/>
        <s v="3983" u="1"/>
        <s v="5582" u="1"/>
        <s v="7009" u="1"/>
        <s v="7181" u="1"/>
        <s v="7992" u="1"/>
        <s v="2783" u="1"/>
        <s v="4382" u="1"/>
        <s v="6792" u="1"/>
        <s v="8219" u="1"/>
        <s v="8391" u="1"/>
        <s v="3182" u="1"/>
        <s v="3993" u="1"/>
        <s v="5592" u="1"/>
        <s v="7019" u="1"/>
        <s v="7191" u="1"/>
        <s v="2793" u="1"/>
        <s v="4392" u="1"/>
        <s v="8229" u="1"/>
        <s v="3192" u="1"/>
        <s v="7029" u="1"/>
        <s v="8239" u="1"/>
        <s v="7039" u="1"/>
        <s v="8249" u="1"/>
        <s v="7049" u="1"/>
        <s v="8259" u="1"/>
        <s v="7059" u="1"/>
        <s v="8269" u="1"/>
        <s v="7069" u="1"/>
        <s v="8279" u="1"/>
        <s v="7079" u="1"/>
        <s v="5903" u="1"/>
        <s v="7502" u="1"/>
        <s v="8289" u="1"/>
        <s v="4703" u="1"/>
        <s v="6302" u="1"/>
        <s v="7089" u="1"/>
        <s v="3503" u="1"/>
        <s v="5102" u="1"/>
        <s v="5913" u="1"/>
        <s v="7512" u="1"/>
        <s v="8299" u="1"/>
        <s v="2303" u="1"/>
        <s v="4713" u="1"/>
        <s v="6312" u="1"/>
        <s v="7099" u="1"/>
        <s v="3513" u="1"/>
        <s v="5112" u="1"/>
        <s v="5923" u="1"/>
        <s v="7522" u="1"/>
        <s v="2313" u="1"/>
        <s v="4723" u="1"/>
        <s v="6322" u="1"/>
        <s v="3523" u="1"/>
        <s v="5122" u="1"/>
        <s v="5933" u="1"/>
        <s v="7532" u="1"/>
        <s v="2323" u="1"/>
        <s v="4733" u="1"/>
        <s v="6332" u="1"/>
        <s v="3533" u="1"/>
        <s v="5132" u="1"/>
        <s v="5943" u="1"/>
        <s v="7542" u="1"/>
        <s v="2333" u="1"/>
        <s v="4743" u="1"/>
        <s v="6342" u="1"/>
        <s v="3543" u="1"/>
        <s v="5142" u="1"/>
        <s v="5953" u="1"/>
        <s v="7552" u="1"/>
        <s v="2343" u="1"/>
        <s v="4753" u="1"/>
        <s v="6352" u="1"/>
        <s v="3553" u="1"/>
        <s v="5152" u="1"/>
        <s v="5963" u="1"/>
        <s v="7562" u="1"/>
        <s v="2353" u="1"/>
        <s v="4763" u="1"/>
        <s v="6362" u="1"/>
        <s v="3563" u="1"/>
        <s v="5162" u="1"/>
        <s v="5973" u="1"/>
        <s v="7572" u="1"/>
        <s v="2363" u="1"/>
        <s v="4773" u="1"/>
        <s v="6372" u="1"/>
        <s v="3573" u="1"/>
        <s v="5172" u="1"/>
        <s v="5983" u="1"/>
        <s v="7582" u="1"/>
        <s v="2373" u="1"/>
        <s v="4783" u="1"/>
        <s v="6382" u="1"/>
        <s v="3583" u="1"/>
        <s v="5182" u="1"/>
        <s v="5993" u="1"/>
        <s v="7592" u="1"/>
        <s v="2383" u="1"/>
        <s v="4793" u="1"/>
        <s v="6392" u="1"/>
        <s v="3593" u="1"/>
        <s v="5192" u="1"/>
        <s v="2393" u="1"/>
        <s v="7903" u="1"/>
        <s v="6703" u="1"/>
        <s v="8302" u="1"/>
        <s v="3904" u="1"/>
        <s v="5503" u="1"/>
        <s v="7102" u="1"/>
        <s v="7913" u="1"/>
        <s v="2704" u="1"/>
        <s v="4303" u="1"/>
        <s v="6713" u="1"/>
        <s v="8312" u="1"/>
        <s v="3103" u="1"/>
        <s v="3914" u="1"/>
        <s v="5513" u="1"/>
        <s v="7112" u="1"/>
        <s v="7923" u="1"/>
        <s v="2714" u="1"/>
        <s v="4313" u="1"/>
        <s v="6723" u="1"/>
        <s v="8322" u="1"/>
        <s v="3113" u="1"/>
        <s v="3924" u="1"/>
        <s v="5523" u="1"/>
        <s v="7122" u="1"/>
        <s v="7933" u="1"/>
        <s v="2724" u="1"/>
        <s v="4323" u="1"/>
        <s v="6733" u="1"/>
        <s v="8332" u="1"/>
        <s v="3123" u="1"/>
        <s v="3934" u="1"/>
        <s v="5533" u="1"/>
        <s v="7132" u="1"/>
        <s v="7943" u="1"/>
        <s v="2734" u="1"/>
        <s v="4333" u="1"/>
        <s v="6743" u="1"/>
        <s v="8342" u="1"/>
        <s v="3133" u="1"/>
        <s v="3944" u="1"/>
        <s v="5543" u="1"/>
        <s v="7142" u="1"/>
        <s v="7953" u="1"/>
        <s v="2744" u="1"/>
        <s v="4343" u="1"/>
        <s v="6753" u="1"/>
        <s v="8352" u="1"/>
        <s v="3143" u="1"/>
        <s v="3954" u="1"/>
        <s v="5553" u="1"/>
        <s v="7152" u="1"/>
        <s v="7963" u="1"/>
        <s v="2754" u="1"/>
        <s v="4353" u="1"/>
        <s v="6763" u="1"/>
        <s v="8362" u="1"/>
        <s v="3153" u="1"/>
        <s v="3964" u="1"/>
        <s v="5563" u="1"/>
        <s v="7162" u="1"/>
        <s v="7973" u="1"/>
        <s v="2764" u="1"/>
        <s v="4363" u="1"/>
        <s v="6773" u="1"/>
        <s v="8372" u="1"/>
        <s v="3163" u="1"/>
        <s v="3974" u="1"/>
        <s v="5573" u="1"/>
        <s v="7172" u="1"/>
        <s v="7983" u="1"/>
        <s v="2774" u="1"/>
        <s v="4373" u="1"/>
        <s v="6783" u="1"/>
        <s v="8382" u="1"/>
        <s v="3173" u="1"/>
        <s v="3984" u="1"/>
        <s v="5583" u="1"/>
        <s v="7182" u="1"/>
        <s v="7993" u="1"/>
        <s v="2784" u="1"/>
        <s v="4383" u="1"/>
        <s v="6793" u="1"/>
        <s v="8392" u="1"/>
        <s v="3183" u="1"/>
        <s v="3994" u="1"/>
        <s v="5593" u="1"/>
        <s v="7192" u="1"/>
        <s v="2794" u="1"/>
        <s v="4393" u="1"/>
        <s v="3193" u="1"/>
        <s v="5904" u="1"/>
        <s v="7503" u="1"/>
        <s v="4704" u="1"/>
        <s v="6303" u="1"/>
        <s v="3504" u="1"/>
        <s v="5103" u="1"/>
        <s v="5914" u="1"/>
        <s v="7513" u="1"/>
        <s v="2304" u="1"/>
        <s v="4714" u="1"/>
        <s v="6313" u="1"/>
        <s v="3514" u="1"/>
        <s v="5113" u="1"/>
        <s v="5924" u="1"/>
        <s v="7523" u="1"/>
        <s v="2314" u="1"/>
        <s v="4724" u="1"/>
        <s v="6323" u="1"/>
        <s v="3524" u="1"/>
        <s v="5123" u="1"/>
        <s v="5934" u="1"/>
        <s v="7533" u="1"/>
        <s v="2324" u="1"/>
        <s v="4734" u="1"/>
        <s v="6333" u="1"/>
        <s v="3534" u="1"/>
        <s v="5133" u="1"/>
        <s v="5944" u="1"/>
        <s v="7543" u="1"/>
        <s v="2334" u="1"/>
        <s v="4744" u="1"/>
        <s v="6343" u="1"/>
        <s v="3544" u="1"/>
        <s v="5143" u="1"/>
        <s v="5954" u="1"/>
        <s v="7553" u="1"/>
        <s v="2344" u="1"/>
        <s v="4754" u="1"/>
        <s v="6353" u="1"/>
        <s v="3554" u="1"/>
        <s v="5153" u="1"/>
        <s v="5964" u="1"/>
        <s v="7563" u="1"/>
        <s v="2354" u="1"/>
        <s v="4764" u="1"/>
        <s v="6363" u="1"/>
        <s v="3564" u="1"/>
        <s v="5163" u="1"/>
        <s v="5974" u="1"/>
        <s v="7573" u="1"/>
        <s v="2364" u="1"/>
        <s v="4774" u="1"/>
        <s v="6373" u="1"/>
        <s v="3574" u="1"/>
        <s v="5173" u="1"/>
        <s v="5984" u="1"/>
        <s v="7583" u="1"/>
        <s v="2374" u="1"/>
        <s v="4784" u="1"/>
        <s v="6383" u="1"/>
        <s v="3584" u="1"/>
        <s v="5183" u="1"/>
        <s v="5994" u="1"/>
        <s v="7593" u="1"/>
        <s v="2384" u="1"/>
        <s v="4794" u="1"/>
        <s v="6393" u="1"/>
        <s v="3594" u="1"/>
        <s v="5193" u="1"/>
        <s v="2394" u="1"/>
        <s v="7904" u="1"/>
        <s v="6704" u="1"/>
        <s v="8303" u="1"/>
        <s v="3905" u="1"/>
        <s v="5504" u="1"/>
        <s v="7103" u="1"/>
        <s v="7914" u="1"/>
        <s v="2705" u="1"/>
        <s v="4304" u="1"/>
        <s v="6714" u="1"/>
        <s v="8313" u="1"/>
        <s v="3104" u="1"/>
        <s v="3915" u="1"/>
        <s v="5514" u="1"/>
        <s v="7113" u="1"/>
        <s v="7924" u="1"/>
        <s v="2715" u="1"/>
        <s v="4314" u="1"/>
        <s v="6724" u="1"/>
        <s v="8323" u="1"/>
        <s v="3114" u="1"/>
        <s v="3925" u="1"/>
        <s v="5524" u="1"/>
        <s v="7123" u="1"/>
        <s v="7934" u="1"/>
        <s v="2725" u="1"/>
        <s v="4324" u="1"/>
        <s v="6734" u="1"/>
        <s v="8333" u="1"/>
        <s v="3124" u="1"/>
        <s v="3935" u="1"/>
        <s v="5534" u="1"/>
        <s v="7133" u="1"/>
        <s v="7944" u="1"/>
        <s v="2735" u="1"/>
        <s v="4334" u="1"/>
        <s v="6744" u="1"/>
        <s v="8343" u="1"/>
        <s v="3134" u="1"/>
        <s v="3945" u="1"/>
        <s v="5544" u="1"/>
        <s v="7143" u="1"/>
        <s v="7954" u="1"/>
        <s v="2745" u="1"/>
        <s v="4344" u="1"/>
        <s v="6754" u="1"/>
        <s v="8353" u="1"/>
        <s v="3144" u="1"/>
        <s v="3955" u="1"/>
        <s v="5554" u="1"/>
        <s v="7153" u="1"/>
        <s v="7964" u="1"/>
        <s v="2755" u="1"/>
        <s v="4354" u="1"/>
        <s v="6764" u="1"/>
        <s v="8363" u="1"/>
        <s v="3154" u="1"/>
        <s v="3965" u="1"/>
        <s v="5564" u="1"/>
        <s v="7163" u="1"/>
        <s v="7974" u="1"/>
        <s v="2765" u="1"/>
        <s v="4364" u="1"/>
        <s v="6774" u="1"/>
        <s v="8373" u="1"/>
        <s v="3164" u="1"/>
        <s v="3975" u="1"/>
        <s v="5574" u="1"/>
        <s v="7173" u="1"/>
        <s v="7984" u="1"/>
        <s v="2775" u="1"/>
        <s v="4374" u="1"/>
        <s v="6784" u="1"/>
        <s v="8383" u="1"/>
        <s v="3174" u="1"/>
        <s v="3985" u="1"/>
        <s v="5584" u="1"/>
        <s v="7183" u="1"/>
        <s v="7994" u="1"/>
        <s v="2785" u="1"/>
        <s v="4384" u="1"/>
        <s v="6794" u="1"/>
        <s v="8393" u="1"/>
        <s v="3184" u="1"/>
        <s v="3995" u="1"/>
        <s v="5594" u="1"/>
        <s v="7193" u="1"/>
        <s v="2795" u="1"/>
        <s v="4394" u="1"/>
        <s v="3194" u="1"/>
        <s v="5905" u="1"/>
        <s v="7504" u="1"/>
        <s v="4705" u="1"/>
        <s v="6304" u="1"/>
        <s v="3505" u="1"/>
        <s v="5104" u="1"/>
        <s v="5915" u="1"/>
        <s v="7514" u="1"/>
        <s v="2305" u="1"/>
        <s v="4715" u="1"/>
        <s v="6314" u="1"/>
        <s v="3515" u="1"/>
        <s v="5114" u="1"/>
        <s v="5925" u="1"/>
        <s v="7524" u="1"/>
        <s v="2315" u="1"/>
        <s v="4725" u="1"/>
        <s v="6324" u="1"/>
        <s v="3525" u="1"/>
        <s v="5124" u="1"/>
        <s v="5935" u="1"/>
        <s v="7534" u="1"/>
        <s v="2325" u="1"/>
        <s v="4735" u="1"/>
        <s v="6334" u="1"/>
        <s v="3535" u="1"/>
        <s v="5134" u="1"/>
        <s v="5945" u="1"/>
        <s v="7544" u="1"/>
        <s v="2335" u="1"/>
        <s v="4745" u="1"/>
        <s v="6344" u="1"/>
        <s v="3545" u="1"/>
        <s v="5144" u="1"/>
        <s v="5955" u="1"/>
        <s v="7554" u="1"/>
        <s v="2345" u="1"/>
        <s v="4755" u="1"/>
        <s v="6354" u="1"/>
        <s v="3555" u="1"/>
        <s v="5154" u="1"/>
        <s v="5965" u="1"/>
        <s v="7564" u="1"/>
        <s v="2355" u="1"/>
        <s v="4765" u="1"/>
        <s v="6364" u="1"/>
        <s v="3565" u="1"/>
        <s v="5164" u="1"/>
        <s v="5975" u="1"/>
        <s v="7574" u="1"/>
        <s v="2365" u="1"/>
        <s v="4775" u="1"/>
        <s v="6374" u="1"/>
        <s v="3575" u="1"/>
        <s v="5174" u="1"/>
        <s v="5985" u="1"/>
        <s v="7584" u="1"/>
        <s v="2375" u="1"/>
        <s v="4785" u="1"/>
        <s v="6384" u="1"/>
        <s v="3585" u="1"/>
        <s v="5184" u="1"/>
        <s v="5995" u="1"/>
        <s v="7594" u="1"/>
        <s v="2385" u="1"/>
        <s v="4795" u="1"/>
        <s v="6394" u="1"/>
        <s v="3595" u="1"/>
        <s v="5194" u="1"/>
        <s v="2395" u="1"/>
        <s v="7905" u="1"/>
        <s v="6705" u="1"/>
        <s v="8304" u="1"/>
        <s v="3906" u="1"/>
        <s v="5505" u="1"/>
        <s v="7104" u="1"/>
        <s v="7915" u="1"/>
        <s v="2706" u="1"/>
        <s v="4305" u="1"/>
        <s v="6715" u="1"/>
        <s v="8314" u="1"/>
        <s v="3105" u="1"/>
        <s v="3916" u="1"/>
        <s v="5515" u="1"/>
        <s v="7114" u="1"/>
        <s v="7925" u="1"/>
        <s v="2716" u="1"/>
        <s v="4315" u="1"/>
        <s v="6725" u="1"/>
        <s v="8324" u="1"/>
        <s v="3115" u="1"/>
        <s v="3926" u="1"/>
        <s v="5525" u="1"/>
        <s v="7124" u="1"/>
        <s v="7935" u="1"/>
        <s v="2726" u="1"/>
        <s v="4325" u="1"/>
        <s v="6735" u="1"/>
        <s v="8334" u="1"/>
        <s v="3125" u="1"/>
        <s v="3936" u="1"/>
        <s v="5535" u="1"/>
        <s v="7134" u="1"/>
        <s v="7945" u="1"/>
        <s v="2736" u="1"/>
        <s v="4335" u="1"/>
        <s v="6745" u="1"/>
        <s v="8344" u="1"/>
        <s v="3135" u="1"/>
        <s v="3946" u="1"/>
        <s v="5545" u="1"/>
        <s v="7144" u="1"/>
        <s v="7955" u="1"/>
        <s v="2746" u="1"/>
        <s v="4345" u="1"/>
        <s v="6755" u="1"/>
        <s v="8354" u="1"/>
        <s v="3145" u="1"/>
        <s v="3956" u="1"/>
        <s v="5555" u="1"/>
        <s v="7154" u="1"/>
        <s v="7965" u="1"/>
        <s v="2756" u="1"/>
        <s v="4355" u="1"/>
        <s v="6765" u="1"/>
        <s v="8364" u="1"/>
        <s v="3155" u="1"/>
        <s v="3966" u="1"/>
        <s v="5565" u="1"/>
        <s v="7164" u="1"/>
        <s v="7975" u="1"/>
        <s v="2766" u="1"/>
        <s v="4365" u="1"/>
        <s v="6775" u="1"/>
        <s v="8374" u="1"/>
        <s v="3165" u="1"/>
        <s v="3976" u="1"/>
        <s v="5575" u="1"/>
        <s v="7174" u="1"/>
        <s v="7985" u="1"/>
        <s v="2776" u="1"/>
        <s v="4375" u="1"/>
        <s v="6785" u="1"/>
        <s v="8384" u="1"/>
        <s v="3175" u="1"/>
        <s v="3986" u="1"/>
        <s v="5585" u="1"/>
        <s v="7184" u="1"/>
        <s v="7995" u="1"/>
        <s v="2786" u="1"/>
        <s v="4385" u="1"/>
        <s v="6795" u="1"/>
        <s v="8394" u="1"/>
        <s v="3185" u="1"/>
        <s v="3996" u="1"/>
        <s v="5595" u="1"/>
        <s v="7194" u="1"/>
        <s v="2796" u="1"/>
        <s v="4395" u="1"/>
        <s v="3195" u="1"/>
        <s v="5906" u="1"/>
        <s v="7505" u="1"/>
        <s v="4706" u="1"/>
        <s v="6305" u="1"/>
        <s v="3506" u="1"/>
        <s v="5105" u="1"/>
        <s v="5916" u="1"/>
        <s v="7515" u="1"/>
        <s v="2306" u="1"/>
        <s v="4716" u="1"/>
        <s v="6315" u="1"/>
        <s v="3516" u="1"/>
        <s v="5115" u="1"/>
        <s v="5926" u="1"/>
        <s v="7525" u="1"/>
        <s v="2316" u="1"/>
        <s v="4726" u="1"/>
        <s v="6325" u="1"/>
        <s v="3526" u="1"/>
        <s v="5125" u="1"/>
        <s v="5936" u="1"/>
        <s v="7535" u="1"/>
        <s v="2326" u="1"/>
        <s v="4736" u="1"/>
        <s v="6335" u="1"/>
        <s v="3536" u="1"/>
        <s v="5135" u="1"/>
        <s v="5946" u="1"/>
        <s v="7545" u="1"/>
        <s v="2336" u="1"/>
        <s v="4746" u="1"/>
        <s v="6345" u="1"/>
        <s v="3546" u="1"/>
        <s v="5145" u="1"/>
        <s v="5956" u="1"/>
        <s v="7555" u="1"/>
        <s v="2346" u="1"/>
        <s v="4756" u="1"/>
        <s v="6355" u="1"/>
        <s v="3556" u="1"/>
        <s v="5155" u="1"/>
        <s v="5966" u="1"/>
        <s v="7565" u="1"/>
        <s v="2356" u="1"/>
        <s v="4766" u="1"/>
        <s v="6365" u="1"/>
        <s v="3566" u="1"/>
        <s v="5165" u="1"/>
        <s v="5976" u="1"/>
        <s v="7575" u="1"/>
        <s v="2366" u="1"/>
        <s v="4776" u="1"/>
        <s v="6375" u="1"/>
        <s v="3576" u="1"/>
        <s v="5175" u="1"/>
        <s v="5986" u="1"/>
        <s v="7585" u="1"/>
        <s v="2376" u="1"/>
        <s v="4786" u="1"/>
        <s v="6385" u="1"/>
        <s v="3586" u="1"/>
        <s v="5185" u="1"/>
        <s v="5996" u="1"/>
        <s v="7595" u="1"/>
        <s v="2386" u="1"/>
        <s v="4796" u="1"/>
        <s v="6395" u="1"/>
        <s v="3596" u="1"/>
        <s v="5195" u="1"/>
        <s v="2396" u="1"/>
        <s v="7906" u="1"/>
        <s v="6706" u="1"/>
        <s v="8305" u="1"/>
        <s v="3907" u="1"/>
        <s v="5506" u="1"/>
        <s v="7105" u="1"/>
        <s v="7916" u="1"/>
        <s v="2707" u="1"/>
        <s v="4306" u="1"/>
        <s v="6716" u="1"/>
        <s v="8315" u="1"/>
        <s v="3106" u="1"/>
        <s v="3917" u="1"/>
        <s v="5516" u="1"/>
        <s v="7115" u="1"/>
        <s v="7926" u="1"/>
        <s v="2717" u="1"/>
        <s v="4316" u="1"/>
        <s v="6726" u="1"/>
        <s v="8325" u="1"/>
        <s v="3116" u="1"/>
        <s v="3927" u="1"/>
        <s v="5526" u="1"/>
        <s v="7125" u="1"/>
        <s v="7936" u="1"/>
        <s v="2727" u="1"/>
        <s v="4326" u="1"/>
        <s v="6736" u="1"/>
        <s v="8335" u="1"/>
        <s v="3126" u="1"/>
        <s v="3937" u="1"/>
        <s v="5536" u="1"/>
        <s v="7135" u="1"/>
        <s v="7946" u="1"/>
        <s v="2737" u="1"/>
        <s v="4336" u="1"/>
        <s v="6746" u="1"/>
        <s v="8345" u="1"/>
        <s v="3136" u="1"/>
        <s v="3947" u="1"/>
        <s v="5546" u="1"/>
        <s v="7145" u="1"/>
        <s v="7956" u="1"/>
        <s v="2747" u="1"/>
        <s v="4346" u="1"/>
        <s v="6756" u="1"/>
        <s v="8355" u="1"/>
        <s v="3146" u="1"/>
        <s v="3957" u="1"/>
        <s v="5556" u="1"/>
        <s v="7155" u="1"/>
        <s v="7966" u="1"/>
        <s v="2757" u="1"/>
        <s v="4356" u="1"/>
        <s v="6766" u="1"/>
        <s v="8365" u="1"/>
        <s v="3156" u="1"/>
        <s v="3967" u="1"/>
        <s v="5566" u="1"/>
        <s v="7165" u="1"/>
        <s v="7976" u="1"/>
        <s v="2767" u="1"/>
        <s v="4366" u="1"/>
        <s v="6776" u="1"/>
        <s v="8375" u="1"/>
        <s v="3166" u="1"/>
        <s v="3977" u="1"/>
        <s v="5576" u="1"/>
        <s v="7175" u="1"/>
        <s v="7986" u="1"/>
        <s v="2777" u="1"/>
        <s v="4376" u="1"/>
        <s v="6786" u="1"/>
        <s v="8385" u="1"/>
        <s v="3176" u="1"/>
        <s v="3987" u="1"/>
        <s v="5586" u="1"/>
        <s v="7185" u="1"/>
        <s v="7996" u="1"/>
        <s v="2787" u="1"/>
        <s v="4386" u="1"/>
        <s v="6796" u="1"/>
        <s v="8395" u="1"/>
        <s v="3186" u="1"/>
        <s v="3997" u="1"/>
        <s v="5596" u="1"/>
        <s v="7195" u="1"/>
        <s v="2797" u="1"/>
        <s v="4396" u="1"/>
        <s v="3196" u="1"/>
        <s v="5907" u="1"/>
        <s v="7506" u="1"/>
        <s v="4707" u="1"/>
        <s v="6306" u="1"/>
        <s v="3507" u="1"/>
        <s v="5106" u="1"/>
        <s v="5917" u="1"/>
        <s v="7516" u="1"/>
        <s v="2307" u="1"/>
        <s v="4717" u="1"/>
        <s v="6316" u="1"/>
        <s v="3517" u="1"/>
        <s v="5116" u="1"/>
        <s v="5927" u="1"/>
        <s v="7526" u="1"/>
        <s v="2317" u="1"/>
        <s v="4727" u="1"/>
        <s v="6326" u="1"/>
        <s v="3527" u="1"/>
        <s v="5126" u="1"/>
        <s v="5937" u="1"/>
        <s v="7536" u="1"/>
        <s v="2327" u="1"/>
        <s v="4737" u="1"/>
        <s v="6336" u="1"/>
        <s v="3537" u="1"/>
        <s v="5136" u="1"/>
        <s v="5947" u="1"/>
        <s v="7546" u="1"/>
        <s v="2337" u="1"/>
        <s v="4747" u="1"/>
        <s v="6346" u="1"/>
        <s v="3547" u="1"/>
        <s v="5146" u="1"/>
        <s v="5957" u="1"/>
        <s v="7556" u="1"/>
        <s v="2347" u="1"/>
        <s v="4757" u="1"/>
        <s v="6356" u="1"/>
        <s v="3557" u="1"/>
        <s v="5156" u="1"/>
        <s v="5967" u="1"/>
        <s v="7566" u="1"/>
        <s v="2357" u="1"/>
        <s v="4767" u="1"/>
        <s v="6366" u="1"/>
        <s v="3567" u="1"/>
        <s v="5166" u="1"/>
        <s v="5977" u="1"/>
        <s v="7576" u="1"/>
        <s v="2367" u="1"/>
        <s v="4777" u="1"/>
        <s v="6376" u="1"/>
        <s v="3577" u="1"/>
        <s v="5176" u="1"/>
        <s v="5987" u="1"/>
        <s v="7586" u="1"/>
        <s v="2377" u="1"/>
        <s v="4787" u="1"/>
        <s v="6386" u="1"/>
        <s v="2800" u="1"/>
        <s v="3587" u="1"/>
        <s v="5186" u="1"/>
        <s v="5997" u="1"/>
        <s v="7596" u="1"/>
        <s v="2387" u="1"/>
        <s v="4797" u="1"/>
        <s v="6396" u="1"/>
        <s v="2810" u="1"/>
        <s v="3597" u="1"/>
        <s v="5196" u="1"/>
        <s v="2397" u="1"/>
        <s v="2820" u="1"/>
        <s v="2830" u="1"/>
        <s v="2840" u="1"/>
        <s v="2850" u="1"/>
        <s v="2860" u="1"/>
        <s v="7907" u="1"/>
        <s v="2870" u="1"/>
        <s v="6707" u="1"/>
        <s v="8306" u="1"/>
        <s v="3908" u="1"/>
        <s v="5507" u="1"/>
        <s v="7106" u="1"/>
        <s v="7917" u="1"/>
        <s v="2708" u="1"/>
        <s v="2880" u="1"/>
        <s v="4307" u="1"/>
        <s v="6717" u="1"/>
        <s v="8316" u="1"/>
        <s v="3107" u="1"/>
        <s v="3918" u="1"/>
        <s v="5517" u="1"/>
        <s v="7116" u="1"/>
        <s v="7927" u="1"/>
        <s v="2718" u="1"/>
        <s v="2890" u="1"/>
        <s v="4317" u="1"/>
        <s v="6727" u="1"/>
        <s v="8326" u="1"/>
        <s v="3117" u="1"/>
        <s v="3928" u="1"/>
        <s v="5527" u="1"/>
        <s v="7126" u="1"/>
        <s v="7937" u="1"/>
        <s v="2728" u="1"/>
        <s v="4327" u="1"/>
        <s v="6737" u="1"/>
        <s v="8336" u="1"/>
        <s v="3127" u="1"/>
        <s v="3938" u="1"/>
        <s v="5537" u="1"/>
        <s v="7136" u="1"/>
        <s v="7947" u="1"/>
        <s v="2738" u="1"/>
        <s v="4337" u="1"/>
        <s v="6747" u="1"/>
        <s v="8346" u="1"/>
        <s v="3137" u="1"/>
        <s v="3948" u="1"/>
        <s v="5547" u="1"/>
        <s v="7146" u="1"/>
        <s v="7957" u="1"/>
        <s v="2748" u="1"/>
        <s v="4347" u="1"/>
        <s v="6757" u="1"/>
        <s v="8356" u="1"/>
        <s v="3147" u="1"/>
        <s v="3958" u="1"/>
        <s v="5557" u="1"/>
        <s v="7156" u="1"/>
        <s v="7967" u="1"/>
        <s v="2758" u="1"/>
        <s v="4357" u="1"/>
        <s v="6767" u="1"/>
        <s v="8366" u="1"/>
        <s v="3157" u="1"/>
        <s v="3968" u="1"/>
        <s v="5567" u="1"/>
        <s v="7166" u="1"/>
        <s v="7977" u="1"/>
        <s v="2768" u="1"/>
        <s v="4367" u="1"/>
        <s v="6777" u="1"/>
        <s v="8376" u="1"/>
        <s v="3167" u="1"/>
        <s v="3978" u="1"/>
        <s v="5577" u="1"/>
        <s v="7176" u="1"/>
        <s v="7987" u="1"/>
        <s v="2778" u="1"/>
        <s v="4377" u="1"/>
        <s v="6787" u="1"/>
        <s v="8386" u="1"/>
        <s v="3177" u="1"/>
        <s v="3988" u="1"/>
        <s v="4800" u="1"/>
        <s v="5587" u="1"/>
        <s v="7186" u="1"/>
        <s v="7997" u="1"/>
        <s v="2788" u="1"/>
        <s v="3600" u="1"/>
        <s v="4387" u="1"/>
        <s v="6797" u="1"/>
        <s v="8396" u="1"/>
        <s v="2400" u="1"/>
        <s v="3187" u="1"/>
        <s v="3998" u="1"/>
        <s v="4810" u="1"/>
        <s v="5597" u="1"/>
        <s v="7196" u="1"/>
        <s v="2798" u="1"/>
        <s v="3610" u="1"/>
        <s v="4397" u="1"/>
        <s v="2410" u="1"/>
        <s v="3197" u="1"/>
        <s v="4820" u="1"/>
        <s v="3620" u="1"/>
        <s v="2420" u="1"/>
        <s v="4830" u="1"/>
        <s v="3630" u="1"/>
        <s v="2430" u="1"/>
        <s v="4840" u="1"/>
        <s v="3640" u="1"/>
        <s v="2440" u="1"/>
        <s v="4850" u="1"/>
        <s v="3650" u="1"/>
        <s v="2450" u="1"/>
        <s v="4860" u="1"/>
        <s v="3660" u="1"/>
        <s v="2460" u="1"/>
        <s v="4870" u="1"/>
        <s v="3670" u="1"/>
        <s v="5908" u="1"/>
        <s v="7507" u="1"/>
        <s v="2470" u="1"/>
        <s v="4708" u="1"/>
        <s v="4880" u="1"/>
        <s v="6307" u="1"/>
        <s v="3508" u="1"/>
        <s v="3680" u="1"/>
        <s v="5107" u="1"/>
        <s v="5918" u="1"/>
        <s v="7517" u="1"/>
        <s v="2308" u="1"/>
        <s v="2480" u="1"/>
        <s v="4718" u="1"/>
        <s v="4890" u="1"/>
        <s v="6317" u="1"/>
        <s v="3518" u="1"/>
        <s v="3690" u="1"/>
        <s v="5117" u="1"/>
        <s v="5928" u="1"/>
        <s v="7527" u="1"/>
        <s v="2318" u="1"/>
        <s v="2490" u="1"/>
        <s v="4728" u="1"/>
        <s v="6327" u="1"/>
        <s v="3528" u="1"/>
        <s v="5127" u="1"/>
        <s v="5938" u="1"/>
        <s v="7537" u="1"/>
        <s v="2328" u="1"/>
        <s v="4738" u="1"/>
        <s v="6337" u="1"/>
        <s v="3538" u="1"/>
        <s v="5137" u="1"/>
        <s v="5948" u="1"/>
        <s v="7547" u="1"/>
        <s v="2338" u="1"/>
        <s v="4748" u="1"/>
        <s v="6347" u="1"/>
        <s v="3548" u="1"/>
        <s v="5147" u="1"/>
        <s v="5958" u="1"/>
        <s v="7557" u="1"/>
        <s v="2348" u="1"/>
        <s v="4758" u="1"/>
        <s v="6357" u="1"/>
        <s v="3558" u="1"/>
        <s v="5157" u="1"/>
        <s v="5968" u="1"/>
        <s v="7567" u="1"/>
        <s v="2358" u="1"/>
        <s v="4768" u="1"/>
        <s v="6367" u="1"/>
        <s v="3568" u="1"/>
        <s v="5167" u="1"/>
        <s v="5978" u="1"/>
        <s v="7577" u="1"/>
        <s v="2368" u="1"/>
        <s v="4778" u="1"/>
        <s v="6377" u="1"/>
        <s v="3578" u="1"/>
        <s v="5177" u="1"/>
        <s v="5988" u="1"/>
        <s v="6800" u="1"/>
        <s v="7587" u="1"/>
        <s v="2378" u="1"/>
        <s v="4788" u="1"/>
        <s v="5600" u="1"/>
        <s v="6387" u="1"/>
        <s v="2801" u="1"/>
        <s v="3588" u="1"/>
        <s v="4400" u="1"/>
        <s v="5187" u="1"/>
        <s v="5998" u="1"/>
        <s v="6810" u="1"/>
        <s v="7597" u="1"/>
        <s v="2388" u="1"/>
        <s v="3200" u="1"/>
        <s v="4798" u="1"/>
        <s v="5610" u="1"/>
        <s v="6397" u="1"/>
        <s v="2811" u="1"/>
        <s v="3598" u="1"/>
        <s v="4410" u="1"/>
        <s v="5197" u="1"/>
        <s v="6820" u="1"/>
        <s v="2398" u="1"/>
        <s v="3210" u="1"/>
        <s v="5620" u="1"/>
        <s v="2821" u="1"/>
        <s v="4420" u="1"/>
        <s v="6830" u="1"/>
        <s v="3220" u="1"/>
        <s v="5630" u="1"/>
        <s v="2831" u="1"/>
        <s v="4430" u="1"/>
        <s v="6840" u="1"/>
        <s v="3230" u="1"/>
        <s v="5640" u="1"/>
        <s v="2841" u="1"/>
        <s v="4440" u="1"/>
        <s v="6850" u="1"/>
        <s v="3240" u="1"/>
        <s v="5650" u="1"/>
        <s v="2851" u="1"/>
        <s v="4450" u="1"/>
        <s v="6860" u="1"/>
        <s v="3250" u="1"/>
        <s v="5660" u="1"/>
        <s v="2861" u="1"/>
        <s v="4460" u="1"/>
        <s v="6870" u="1"/>
        <s v="3260" u="1"/>
        <s v="5670" u="1"/>
        <s v="7908" u="1"/>
        <s v="2871" u="1"/>
        <s v="4470" u="1"/>
        <s v="6708" u="1"/>
        <s v="6880" u="1"/>
        <s v="8307" u="1"/>
        <s v="3270" u="1"/>
        <s v="3909" u="1"/>
        <s v="5508" u="1"/>
        <s v="5680" u="1"/>
        <s v="7107" u="1"/>
        <s v="7918" u="1"/>
        <s v="2709" u="1"/>
        <s v="2881" u="1"/>
        <s v="4308" u="1"/>
        <s v="4480" u="1"/>
        <s v="6718" u="1"/>
        <s v="6890" u="1"/>
        <s v="8317" u="1"/>
        <s v="3108" u="1"/>
        <s v="3280" u="1"/>
        <s v="3919" u="1"/>
        <s v="5518" u="1"/>
        <s v="5690" u="1"/>
        <s v="7117" u="1"/>
        <s v="7928" u="1"/>
        <s v="2719" u="1"/>
        <s v="2891" u="1"/>
        <s v="4318" u="1"/>
        <s v="4490" u="1"/>
        <s v="6728" u="1"/>
        <s v="8327" u="1"/>
        <s v="3118" u="1"/>
        <s v="3290" u="1"/>
        <s v="3929" u="1"/>
        <s v="5528" u="1"/>
        <s v="7127" u="1"/>
        <s v="7938" u="1"/>
        <s v="2729" u="1"/>
        <s v="4328" u="1"/>
        <s v="6738" u="1"/>
        <s v="8337" u="1"/>
        <s v="3128" u="1"/>
        <s v="3939" u="1"/>
        <s v="5538" u="1"/>
        <s v="7137" u="1"/>
        <s v="7948" u="1"/>
        <s v="2739" u="1"/>
        <s v="4338" u="1"/>
        <s v="6748" u="1"/>
        <s v="8347" u="1"/>
        <s v="3138" u="1"/>
        <s v="3949" u="1"/>
        <s v="5548" u="1"/>
        <s v="7147" u="1"/>
        <s v="7958" u="1"/>
        <s v="2749" u="1"/>
        <s v="4348" u="1"/>
        <s v="6758" u="1"/>
        <s v="8357" u="1"/>
        <s v="3148" u="1"/>
        <s v="3959" u="1"/>
        <s v="5558" u="1"/>
        <s v="7157" u="1"/>
        <s v="7968" u="1"/>
        <s v="2759" u="1"/>
        <s v="4358" u="1"/>
        <s v="6768" u="1"/>
        <s v="8367" u="1"/>
        <s v="3158" u="1"/>
        <s v="3969" u="1"/>
        <s v="5568" u="1"/>
        <s v="7167" u="1"/>
        <s v="7978" u="1"/>
        <s v="2769" u="1"/>
        <s v="4368" u="1"/>
        <s v="6778" u="1"/>
        <s v="8377" u="1"/>
        <s v="3168" u="1"/>
        <s v="3979" u="1"/>
        <s v="5578" u="1"/>
        <s v="7177" u="1"/>
        <s v="7988" u="1"/>
        <s v="2779" u="1"/>
        <s v="4378" u="1"/>
        <s v="6788" u="1"/>
        <s v="7600" u="1"/>
        <s v="8387" u="1"/>
        <s v="3178" u="1"/>
        <s v="3989" u="1"/>
        <s v="4801" u="1"/>
        <s v="5588" u="1"/>
        <s v="6400" u="1"/>
        <s v="7187" u="1"/>
        <s v="7998" u="1"/>
        <s v="2789" u="1"/>
        <s v="3601" u="1"/>
        <s v="4388" u="1"/>
        <s v="5200" u="1"/>
        <s v="6798" u="1"/>
        <s v="7610" u="1"/>
        <s v="8397" u="1"/>
        <s v="2401" u="1"/>
        <s v="3188" u="1"/>
        <s v="3999" u="1"/>
        <s v="4000" u="1"/>
        <s v="4811" u="1"/>
        <s v="5598" u="1"/>
        <s v="6410" u="1"/>
        <s v="7197" u="1"/>
        <s v="2799" u="1"/>
        <s v="3611" u="1"/>
        <s v="4398" u="1"/>
        <s v="5210" u="1"/>
        <s v="7620" u="1"/>
        <s v="2411" u="1"/>
        <s v="3198" u="1"/>
        <s v="4010" u="1"/>
        <s v="4821" u="1"/>
        <s v="6420" u="1"/>
        <s v="3621" u="1"/>
        <s v="5220" u="1"/>
        <s v="7630" u="1"/>
        <s v="2421" u="1"/>
        <s v="4020" u="1"/>
        <s v="4831" u="1"/>
        <s v="6430" u="1"/>
        <s v="3631" u="1"/>
        <s v="5230" u="1"/>
        <s v="7640" u="1"/>
        <s v="2431" u="1"/>
        <s v="4030" u="1"/>
        <s v="4841" u="1"/>
        <s v="6440" u="1"/>
        <s v="3641" u="1"/>
        <s v="5240" u="1"/>
        <s v="7650" u="1"/>
        <s v="2441" u="1"/>
        <s v="4040" u="1"/>
        <s v="4851" u="1"/>
        <s v="6450" u="1"/>
        <s v="3651" u="1"/>
        <s v="5250" u="1"/>
        <s v="7660" u="1"/>
        <s v="2451" u="1"/>
        <s v="4050" u="1"/>
        <s v="4861" u="1"/>
        <s v="6460" u="1"/>
        <s v="3661" u="1"/>
        <s v="5260" u="1"/>
        <s v="7670" u="1"/>
        <s v="2461" u="1"/>
        <s v="4060" u="1"/>
        <s v="4871" u="1"/>
        <s v="6470" u="1"/>
        <s v="3671" u="1"/>
        <s v="5270" u="1"/>
        <s v="5909" u="1"/>
        <s v="7508" u="1"/>
        <s v="7680" u="1"/>
        <s v="2471" u="1"/>
        <s v="4070" u="1"/>
        <s v="4709" u="1"/>
        <s v="4881" u="1"/>
        <s v="6308" u="1"/>
        <s v="6480" u="1"/>
        <s v="3509" u="1"/>
        <s v="3681" u="1"/>
        <s v="5108" u="1"/>
        <s v="5280" u="1"/>
        <s v="5919" u="1"/>
        <s v="7518" u="1"/>
        <s v="7690" u="1"/>
        <s v="2309" u="1"/>
        <s v="2481" u="1"/>
        <s v="4080" u="1"/>
        <s v="4719" u="1"/>
        <s v="4891" u="1"/>
        <s v="6318" u="1"/>
        <s v="6490" u="1"/>
        <s v="3519" u="1"/>
        <s v="3691" u="1"/>
        <s v="5118" u="1"/>
        <s v="5290" u="1"/>
        <s v="5929" u="1"/>
        <s v="7528" u="1"/>
        <s v="2319" u="1"/>
        <s v="2491" u="1"/>
        <s v="4090" u="1"/>
        <s v="4729" u="1"/>
        <s v="6328" u="1"/>
        <s v="3529" u="1"/>
        <s v="5128" u="1"/>
        <s v="5939" u="1"/>
        <s v="7538" u="1"/>
        <s v="2329" u="1"/>
        <s v="4739" u="1"/>
        <s v="6338" u="1"/>
        <s v="3539" u="1"/>
        <s v="5138" u="1"/>
        <s v="5949" u="1"/>
        <s v="7548" u="1"/>
        <s v="2339" u="1"/>
        <s v="4749" u="1"/>
        <s v="6348" u="1"/>
        <s v="3549" u="1"/>
        <s v="5148" u="1"/>
        <s v="5959" u="1"/>
        <s v="7558" u="1"/>
        <s v="2349" u="1"/>
        <s v="4759" u="1"/>
        <s v="6358" u="1"/>
        <s v="3559" u="1"/>
        <s v="5158" u="1"/>
        <s v="5969" u="1"/>
        <s v="7568" u="1"/>
        <s v="2359" u="1"/>
        <s v="4769" u="1"/>
        <s v="6368" u="1"/>
        <s v="3569" u="1"/>
        <s v="5168" u="1"/>
        <s v="5979" u="1"/>
        <s v="7578" u="1"/>
        <s v="2369" u="1"/>
        <s v="4779" u="1"/>
        <s v="6378" u="1"/>
        <s v="3579" u="1"/>
        <s v="5178" u="1"/>
        <s v="5989" u="1"/>
        <s v="6801" u="1"/>
        <s v="7588" u="1"/>
        <s v="8400" u="1"/>
        <s v="2379" u="1"/>
        <s v="4789" u="1"/>
        <s v="5601" u="1"/>
        <s v="6388" u="1"/>
        <s v="7200" u="1"/>
        <s v="2802" u="1"/>
        <s v="3589" u="1"/>
        <s v="4401" u="1"/>
        <s v="5188" u="1"/>
        <s v="5999" u="1"/>
        <s v="6000" u="1"/>
        <s v="6811" u="1"/>
        <s v="7598" u="1"/>
        <s v="8410" u="1"/>
        <s v="2389" u="1"/>
        <s v="3201" u="1"/>
        <s v="4799" u="1"/>
        <s v="5611" u="1"/>
        <s v="6398" u="1"/>
        <s v="7210" u="1"/>
        <s v="2812" u="1"/>
        <s v="3599" u="1"/>
        <s v="4411" u="1"/>
        <s v="5198" u="1"/>
        <s v="6010" u="1"/>
        <s v="6821" u="1"/>
        <s v="8420" u="1"/>
        <s v="2399" u="1"/>
        <s v="3211" u="1"/>
        <s v="5621" u="1"/>
        <s v="7220" u="1"/>
        <s v="2822" u="1"/>
        <s v="4421" u="1"/>
        <s v="6020" u="1"/>
        <s v="6831" u="1"/>
        <s v="8430" u="1"/>
        <s v="3221" u="1"/>
        <s v="5631" u="1"/>
        <s v="7230" u="1"/>
        <s v="2832" u="1"/>
        <s v="4431" u="1"/>
        <s v="6030" u="1"/>
        <s v="6841" u="1"/>
        <s v="8440" u="1"/>
        <s v="3231" u="1"/>
        <s v="5641" u="1"/>
        <s v="7240" u="1"/>
        <s v="2842" u="1"/>
        <s v="4441" u="1"/>
        <s v="6040" u="1"/>
        <s v="6851" u="1"/>
        <s v="3241" u="1"/>
        <s v="5651" u="1"/>
        <s v="7250" u="1"/>
        <s v="2852" u="1"/>
        <s v="4451" u="1"/>
        <s v="6050" u="1"/>
        <s v="6861" u="1"/>
        <s v="3251" u="1"/>
        <s v="5661" u="1"/>
        <s v="7260" u="1"/>
        <s v="2862" u="1"/>
        <s v="4461" u="1"/>
        <s v="6060" u="1"/>
        <s v="6871" u="1"/>
        <s v="3261" u="1"/>
        <s v="5671" u="1"/>
        <s v="7270" u="1"/>
        <s v="7909" u="1"/>
        <s v="2872" u="1"/>
        <s v="4471" u="1"/>
        <s v="6070" u="1"/>
        <s v="6709" u="1"/>
        <s v="6881" u="1"/>
        <s v="8308" u="1"/>
        <s v="3271" u="1"/>
        <s v="5509" u="1"/>
        <s v="5681" u="1"/>
        <s v="7108" u="1"/>
        <s v="7280" u="1"/>
        <s v="7919" u="1"/>
        <s v="2882" u="1"/>
        <s v="4309" u="1"/>
        <s v="4481" u="1"/>
        <s v="6080" u="1"/>
        <s v="6719" u="1"/>
        <s v="6891" u="1"/>
        <s v="8318" u="1"/>
        <s v="3109" u="1"/>
        <s v="3281" u="1"/>
        <s v="5519" u="1"/>
        <s v="5691" u="1"/>
        <s v="7118" u="1"/>
        <s v="7290" u="1"/>
        <s v="7929" u="1"/>
        <s v="2892" u="1"/>
        <s v="4319" u="1"/>
        <s v="4491" u="1"/>
        <s v="6090" u="1"/>
        <s v="6729" u="1"/>
        <s v="8328" u="1"/>
        <s v="3119" u="1"/>
        <s v="3291" u="1"/>
        <s v="5529" u="1"/>
        <s v="7128" u="1"/>
        <s v="7939" u="1"/>
        <s v="4329" u="1"/>
        <s v="6739" u="1"/>
        <s v="8338" u="1"/>
        <s v="3129" u="1"/>
        <s v="5539" u="1"/>
        <s v="7138" u="1"/>
        <s v="7949" u="1"/>
        <s v="4339" u="1"/>
        <s v="6749" u="1"/>
        <s v="8348" u="1"/>
        <s v="3139" u="1"/>
        <s v="5549" u="1"/>
        <s v="7148" u="1"/>
        <s v="7959" u="1"/>
        <s v="4349" u="1"/>
        <s v="6759" u="1"/>
        <s v="8358" u="1"/>
        <s v="3149" u="1"/>
        <s v="5559" u="1"/>
        <s v="7158" u="1"/>
        <s v="7969" u="1"/>
        <s v="4359" u="1"/>
        <s v="6769" u="1"/>
        <s v="8368" u="1"/>
        <s v="3159" u="1"/>
        <s v="5569" u="1"/>
        <s v="7168" u="1"/>
        <s v="7979" u="1"/>
        <s v="4369" u="1"/>
        <s v="6779" u="1"/>
        <s v="8378" u="1"/>
        <s v="3169" u="1"/>
        <s v="5579" u="1"/>
        <s v="7178" u="1"/>
        <s v="7989" u="1"/>
        <s v="4379" u="1"/>
        <s v="6789" u="1"/>
        <s v="7601" u="1"/>
        <s v="8388" u="1"/>
        <s v="3179" u="1"/>
        <s v="4802" u="1"/>
        <s v="5589" u="1"/>
        <s v="6401" u="1"/>
        <s v="7188" u="1"/>
        <s v="7999" u="1"/>
        <s v="8000" u="1"/>
        <s v="3602" u="1"/>
        <s v="4389" u="1"/>
        <s v="5201" u="1"/>
        <s v="6799" u="1"/>
        <s v="7611" u="1"/>
        <s v="8398" u="1"/>
        <s v="2402" u="1"/>
        <s v="3189" u="1"/>
        <s v="4001" u="1"/>
        <s v="4812" u="1"/>
        <s v="5599" u="1"/>
        <s v="6411" u="1"/>
        <s v="7198" u="1"/>
        <s v="8010" u="1"/>
        <s v="3612" u="1"/>
        <s v="4399" u="1"/>
        <s v="5211" u="1"/>
        <s v="7621" u="1"/>
        <s v="2412" u="1"/>
        <s v="3199" u="1"/>
        <s v="4011" u="1"/>
        <s v="4822" u="1"/>
        <s v="6421" u="1"/>
        <s v="8020" u="1"/>
        <s v="3622" u="1"/>
        <s v="5221" u="1"/>
        <s v="7631" u="1"/>
        <s v="2422" u="1"/>
        <s v="4021" u="1"/>
        <s v="4832" u="1"/>
        <s v="6431" u="1"/>
        <s v="8030" u="1"/>
        <s v="3632" u="1"/>
        <s v="5231" u="1"/>
        <s v="7641" u="1"/>
        <s v="2432" u="1"/>
        <s v="4031" u="1"/>
        <s v="4842" u="1"/>
        <s v="6441" u="1"/>
        <s v="8040" u="1"/>
        <s v="3642" u="1"/>
        <s v="5241" u="1"/>
        <s v="7651" u="1"/>
        <s v="2442" u="1"/>
        <s v="4041" u="1"/>
        <s v="4852" u="1"/>
        <s v="6451" u="1"/>
        <s v="8050" u="1"/>
        <s v="3652" u="1"/>
        <s v="5251" u="1"/>
        <s v="7661" u="1"/>
        <s v="2452" u="1"/>
        <s v="4051" u="1"/>
        <s v="4862" u="1"/>
        <s v="6461" u="1"/>
        <s v="8060" u="1"/>
        <s v="3662" u="1"/>
        <s v="5261" u="1"/>
        <s v="7671" u="1"/>
        <s v="2462" u="1"/>
        <s v="4061" u="1"/>
        <s v="4872" u="1"/>
        <s v="6471" u="1"/>
        <s v="8070" u="1"/>
        <s v="3672" u="1"/>
        <s v="5271" u="1"/>
        <s v="7509" u="1"/>
        <s v="7681" u="1"/>
        <s v="2472" u="1"/>
        <s v="4071" u="1"/>
        <s v="4882" u="1"/>
        <s v="6309" u="1"/>
        <s v="6481" u="1"/>
        <s v="8080" u="1"/>
        <s v="3682" u="1"/>
        <s v="5109" u="1"/>
        <s v="5281" u="1"/>
        <s v="7519" u="1"/>
        <s v="7691" u="1"/>
        <s v="2482" u="1"/>
        <s v="4081" u="1"/>
        <s v="4892" u="1"/>
        <s v="6319" u="1"/>
        <s v="6491" u="1"/>
        <s v="8090" u="1"/>
        <s v="3692" u="1"/>
        <s v="5119" u="1"/>
        <s v="5291" u="1"/>
        <s v="7529" u="1"/>
        <s v="2492" u="1"/>
        <s v="4091" u="1"/>
        <s v="6329" u="1"/>
        <s v="5129" u="1"/>
        <s v="7539" u="1"/>
        <s v="6339" u="1"/>
        <s v="5139" u="1"/>
        <s v="7549" u="1"/>
        <s v="6349" u="1"/>
        <s v="5149" u="1"/>
        <s v="7559" u="1"/>
        <s v="6359" u="1"/>
        <s v="5159" u="1"/>
        <s v="7569" u="1"/>
        <s v="6369" u="1"/>
        <s v="5169" u="1"/>
        <s v="7579" u="1"/>
        <s v="6379" u="1"/>
        <s v="5179" u="1"/>
        <s v="6802" u="1"/>
        <s v="7589" u="1"/>
        <s v="8401" u="1"/>
        <s v="5602" u="1"/>
        <s v="6389" u="1"/>
        <s v="7201" u="1"/>
        <s v="2803" u="1"/>
        <s v="4402" u="1"/>
        <s v="5189" u="1"/>
        <s v="6001" u="1"/>
        <s v="6812" u="1"/>
        <s v="7599" u="1"/>
        <s v="8411" u="1"/>
        <s v="3202" u="1"/>
        <s v="5612" u="1"/>
        <s v="6399" u="1"/>
        <s v="7211" u="1"/>
        <s v="2813" u="1"/>
        <s v="4412" u="1"/>
        <s v="5199" u="1"/>
        <s v="6011" u="1"/>
        <s v="6822" u="1"/>
        <s v="8421" u="1"/>
        <s v="3212" u="1"/>
        <s v="5622" u="1"/>
        <s v="7221" u="1"/>
        <s v="2823" u="1"/>
        <s v="4422" u="1"/>
        <s v="6021" u="1"/>
        <s v="6832" u="1"/>
        <s v="8431" u="1"/>
        <s v="3222" u="1"/>
        <s v="5632" u="1"/>
        <s v="7231" u="1"/>
        <s v="2833" u="1"/>
        <s v="4432" u="1"/>
        <s v="6031" u="1"/>
        <s v="6842" u="1"/>
        <s v="8441" u="1"/>
        <s v="3232" u="1"/>
        <s v="5642" u="1"/>
        <s v="7241" u="1"/>
        <s v="2843" u="1"/>
        <s v="4442" u="1"/>
        <s v="6041" u="1"/>
        <s v="6852" u="1"/>
        <s v="3242" u="1"/>
        <s v="5652" u="1"/>
        <s v="7251" u="1"/>
        <s v="2853" u="1"/>
        <s v="4452" u="1"/>
        <s v="6051" u="1"/>
        <s v="6862" u="1"/>
        <s v="3252" u="1"/>
        <s v="5662" u="1"/>
        <s v="7261" u="1"/>
        <s v="2863" u="1"/>
        <s v="4462" u="1"/>
        <s v="6061" u="1"/>
        <s v="6872" u="1"/>
        <s v="3262" u="1"/>
        <s v="5672" u="1"/>
        <s v="7271" u="1"/>
        <s v="2873" u="1"/>
        <s v="4472" u="1"/>
        <s v="6071" u="1"/>
        <s v="6882" u="1"/>
        <s v="8309" u="1"/>
        <s v="3272" u="1"/>
        <s v="5682" u="1"/>
        <s v="7109" u="1"/>
        <s v="7281" u="1"/>
        <s v="2883" u="1"/>
        <s v="4482" u="1"/>
        <s v="6081" u="1"/>
        <s v="6892" u="1"/>
        <s v="8319" u="1"/>
        <s v="3282" u="1"/>
        <s v="5692" u="1"/>
        <s v="7119" u="1"/>
        <s v="7291" u="1"/>
        <s v="2893" u="1"/>
        <s v="4492" u="1"/>
        <s v="6091" u="1"/>
        <s v="8329" u="1"/>
        <s v="3292" u="1"/>
        <s v="7129" u="1"/>
        <s v="8339" u="1"/>
        <s v="7139" u="1"/>
        <s v="8349" u="1"/>
        <s v="7149" u="1"/>
        <s v="8359" u="1"/>
        <s v="7159" u="1"/>
        <s v="8369" u="1"/>
        <s v="7169" u="1"/>
        <s v="8379" u="1"/>
        <s v="7179" u="1"/>
        <s v="7602" u="1"/>
        <s v="8389" u="1"/>
        <s v="4803" u="1"/>
        <s v="6402" u="1"/>
        <s v="7189" u="1"/>
        <s v="8001" u="1"/>
        <s v="3603" u="1"/>
        <s v="5202" u="1"/>
        <s v="7612" u="1"/>
        <s v="8399" u="1"/>
        <s v="2403" u="1"/>
        <s v="4002" u="1"/>
        <s v="4813" u="1"/>
        <s v="6412" u="1"/>
        <s v="7199" u="1"/>
        <s v="8011" u="1"/>
        <s v="3613" u="1"/>
        <s v="5212" u="1"/>
        <s v="7622" u="1"/>
        <s v="2413" u="1"/>
        <s v="4012" u="1"/>
        <s v="4823" u="1"/>
        <s v="6422" u="1"/>
        <s v="8021" u="1"/>
        <s v="3623" u="1"/>
        <s v="5222" u="1"/>
        <s v="7632" u="1"/>
        <s v="2423" u="1"/>
        <s v="4022" u="1"/>
        <s v="4833" u="1"/>
        <s v="6432" u="1"/>
        <s v="8031" u="1"/>
        <s v="3633" u="1"/>
        <s v="5232" u="1"/>
        <s v="7642" u="1"/>
        <s v="2433" u="1"/>
        <s v="4032" u="1"/>
        <s v="4843" u="1"/>
        <s v="6442" u="1"/>
        <s v="8041" u="1"/>
        <s v="3643" u="1"/>
        <s v="5242" u="1"/>
        <s v="7652" u="1"/>
        <s v="2443" u="1"/>
        <s v="4042" u="1"/>
        <s v="4853" u="1"/>
        <s v="6452" u="1"/>
        <s v="8051" u="1"/>
        <s v="3653" u="1"/>
        <s v="5252" u="1"/>
        <s v="7662" u="1"/>
        <s v="2453" u="1"/>
        <s v="4052" u="1"/>
        <s v="4863" u="1"/>
        <s v="6462" u="1"/>
        <s v="8061" u="1"/>
        <s v="3663" u="1"/>
        <s v="5262" u="1"/>
        <s v="7672" u="1"/>
        <s v="2463" u="1"/>
        <s v="4062" u="1"/>
        <s v="4873" u="1"/>
        <s v="6472" u="1"/>
        <s v="8071" u="1"/>
        <s v="3673" u="1"/>
        <s v="5272" u="1"/>
        <s v="7682" u="1"/>
        <s v="2473" u="1"/>
        <s v="4072" u="1"/>
        <s v="4883" u="1"/>
        <s v="6482" u="1"/>
        <s v="8081" u="1"/>
        <s v="3683" u="1"/>
        <s v="5282" u="1"/>
        <s v="7692" u="1"/>
        <s v="2483" u="1"/>
        <s v="4082" u="1"/>
        <s v="4893" u="1"/>
        <s v="6492" u="1"/>
        <s v="8091" u="1"/>
        <s v="3693" u="1"/>
        <s v="5292" u="1"/>
        <s v="2493" u="1"/>
        <s v="4092" u="1"/>
        <s v="6803" u="1"/>
        <s v="8402" u="1"/>
        <s v="5603" u="1"/>
        <s v="7202" u="1"/>
        <s v="2804" u="1"/>
        <s v="4403" u="1"/>
        <s v="6002" u="1"/>
        <s v="6813" u="1"/>
        <s v="8412" u="1"/>
        <s v="3203" u="1"/>
        <s v="5613" u="1"/>
        <s v="7212" u="1"/>
        <s v="2814" u="1"/>
        <s v="4413" u="1"/>
        <s v="6012" u="1"/>
        <s v="6823" u="1"/>
        <s v="8422" u="1"/>
        <s v="3213" u="1"/>
        <s v="5623" u="1"/>
        <s v="7222" u="1"/>
        <s v="2824" u="1"/>
        <s v="4423" u="1"/>
        <s v="6022" u="1"/>
        <s v="6833" u="1"/>
        <s v="8432" u="1"/>
        <s v="3223" u="1"/>
        <s v="5633" u="1"/>
        <s v="7232" u="1"/>
        <s v="2834" u="1"/>
        <s v="4433" u="1"/>
        <s v="6032" u="1"/>
        <s v="6843" u="1"/>
        <s v="8442" u="1"/>
        <s v="3233" u="1"/>
        <s v="5643" u="1"/>
        <s v="7242" u="1"/>
        <s v="2844" u="1"/>
        <s v="4443" u="1"/>
        <s v="6042" u="1"/>
        <s v="6853" u="1"/>
        <s v="3243" u="1"/>
        <s v="5653" u="1"/>
        <s v="7252" u="1"/>
        <s v="2854" u="1"/>
        <s v="4453" u="1"/>
        <s v="6052" u="1"/>
        <s v="6863" u="1"/>
        <s v="3253" u="1"/>
        <s v="5663" u="1"/>
        <s v="7262" u="1"/>
        <s v="2864" u="1"/>
        <s v="4463" u="1"/>
        <s v="6062" u="1"/>
        <s v="6873" u="1"/>
        <s v="3263" u="1"/>
        <s v="5673" u="1"/>
        <s v="7272" u="1"/>
        <s v="2874" u="1"/>
        <s v="4473" u="1"/>
        <s v="6072" u="1"/>
        <s v="6883" u="1"/>
        <s v="3273" u="1"/>
        <s v="5683" u="1"/>
        <s v="7282" u="1"/>
        <s v="2884" u="1"/>
        <s v="4483" u="1"/>
        <s v="6082" u="1"/>
        <s v="6893" u="1"/>
        <s v="3283" u="1"/>
        <s v="5693" u="1"/>
        <s v="7292" u="1"/>
        <s v="2894" u="1"/>
        <s v="4493" u="1"/>
        <s v="6092" u="1"/>
        <s v="3293" u="1"/>
        <s v="7603" u="1"/>
        <s v="4804" u="1"/>
        <s v="6403" u="1"/>
        <s v="8002" u="1"/>
        <s v="3604" u="1"/>
        <s v="5203" u="1"/>
        <s v="7613" u="1"/>
        <s v="2404" u="1"/>
        <s v="4003" u="1"/>
        <s v="4814" u="1"/>
        <s v="6413" u="1"/>
        <s v="8012" u="1"/>
        <s v="3614" u="1"/>
        <s v="5213" u="1"/>
        <s v="7623" u="1"/>
        <s v="2414" u="1"/>
        <s v="4013" u="1"/>
        <s v="4824" u="1"/>
        <s v="6423" u="1"/>
        <s v="8022" u="1"/>
        <s v="3624" u="1"/>
        <s v="5223" u="1"/>
        <s v="7633" u="1"/>
        <s v="2424" u="1"/>
        <s v="4023" u="1"/>
        <s v="4834" u="1"/>
        <s v="6433" u="1"/>
        <s v="8032" u="1"/>
        <s v="3634" u="1"/>
        <s v="5233" u="1"/>
        <s v="7643" u="1"/>
        <s v="2434" u="1"/>
        <s v="4033" u="1"/>
        <s v="4844" u="1"/>
        <s v="6443" u="1"/>
        <s v="8042" u="1"/>
        <s v="3644" u="1"/>
        <s v="5243" u="1"/>
        <s v="7653" u="1"/>
        <s v="2444" u="1"/>
        <s v="4043" u="1"/>
        <s v="4854" u="1"/>
        <s v="6453" u="1"/>
        <s v="8052" u="1"/>
        <s v="3654" u="1"/>
        <s v="5253" u="1"/>
        <s v="7663" u="1"/>
        <s v="2454" u="1"/>
        <s v="4053" u="1"/>
        <s v="4864" u="1"/>
        <s v="6463" u="1"/>
        <s v="8062" u="1"/>
        <s v="3664" u="1"/>
        <s v="5263" u="1"/>
        <s v="7673" u="1"/>
        <s v="2464" u="1"/>
        <s v="4063" u="1"/>
        <s v="4874" u="1"/>
        <s v="6473" u="1"/>
        <s v="8072" u="1"/>
        <s v="3674" u="1"/>
        <s v="5273" u="1"/>
        <s v="7683" u="1"/>
        <s v="2474" u="1"/>
        <s v="4073" u="1"/>
        <s v="4884" u="1"/>
        <s v="6483" u="1"/>
        <s v="8082" u="1"/>
        <s v="3684" u="1"/>
        <s v="5283" u="1"/>
        <s v="7693" u="1"/>
        <s v="2484" u="1"/>
        <s v="4083" u="1"/>
        <s v="4894" u="1"/>
        <s v="6493" u="1"/>
        <s v="8092" u="1"/>
        <s v="3694" u="1"/>
        <s v="5293" u="1"/>
        <s v="2494" u="1"/>
        <s v="4093" u="1"/>
        <s v="6804" u="1"/>
        <s v="8403" u="1"/>
        <s v="5604" u="1"/>
        <s v="7203" u="1"/>
        <s v="2805" u="1"/>
        <s v="4404" u="1"/>
        <s v="6003" u="1"/>
        <s v="6814" u="1"/>
        <s v="8413" u="1"/>
        <s v="3204" u="1"/>
        <s v="5614" u="1"/>
        <s v="7213" u="1"/>
        <s v="2815" u="1"/>
        <s v="4414" u="1"/>
        <s v="6013" u="1"/>
        <s v="6824" u="1"/>
        <s v="8423" u="1"/>
        <s v="3214" u="1"/>
        <s v="5624" u="1"/>
        <s v="7223" u="1"/>
        <s v="2825" u="1"/>
        <s v="4424" u="1"/>
        <s v="6023" u="1"/>
        <s v="6834" u="1"/>
        <s v="8433" u="1"/>
        <s v="3224" u="1"/>
        <s v="5634" u="1"/>
        <s v="7233" u="1"/>
        <s v="2835" u="1"/>
        <s v="4434" u="1"/>
        <s v="6033" u="1"/>
        <s v="6844" u="1"/>
        <s v="8443" u="1"/>
        <s v="3234" u="1"/>
        <s v="5644" u="1"/>
        <s v="7243" u="1"/>
        <s v="2845" u="1"/>
        <s v="4444" u="1"/>
        <s v="6043" u="1"/>
        <s v="6854" u="1"/>
        <s v="3244" u="1"/>
        <s v="5654" u="1"/>
        <s v="7253" u="1"/>
        <s v="2855" u="1"/>
        <s v="4454" u="1"/>
        <s v="6053" u="1"/>
        <s v="6864" u="1"/>
        <s v="3254" u="1"/>
        <s v="5664" u="1"/>
        <s v="7263" u="1"/>
        <s v="2865" u="1"/>
        <s v="4464" u="1"/>
        <s v="6063" u="1"/>
        <s v="6874" u="1"/>
        <s v="3264" u="1"/>
        <s v="5674" u="1"/>
        <s v="7273" u="1"/>
        <s v="2875" u="1"/>
        <s v="4474" u="1"/>
        <s v="6073" u="1"/>
        <s v="6884" u="1"/>
        <s v="3274" u="1"/>
        <s v="5684" u="1"/>
        <s v="7283" u="1"/>
        <s v="2885" u="1"/>
        <s v="4484" u="1"/>
        <s v="6083" u="1"/>
        <s v="6894" u="1"/>
        <s v="3284" u="1"/>
        <s v="5694" u="1"/>
        <s v="7293" u="1"/>
        <s v="2895" u="1"/>
        <s v="4494" u="1"/>
        <s v="6093" u="1"/>
        <s v="3294" u="1"/>
        <s v="7604" u="1"/>
        <s v="4805" u="1"/>
        <s v="6404" u="1"/>
        <s v="8003" u="1"/>
        <s v="3605" u="1"/>
        <s v="5204" u="1"/>
        <s v="7614" u="1"/>
        <s v="2405" u="1"/>
        <s v="4004" u="1"/>
        <s v="4815" u="1"/>
        <s v="6414" u="1"/>
        <s v="8013" u="1"/>
        <s v="3615" u="1"/>
        <s v="5214" u="1"/>
        <s v="7624" u="1"/>
        <s v="2415" u="1"/>
        <s v="4014" u="1"/>
        <s v="4825" u="1"/>
        <s v="6424" u="1"/>
        <s v="8023" u="1"/>
        <s v="3625" u="1"/>
        <s v="5224" u="1"/>
        <s v="7634" u="1"/>
        <s v="2425" u="1"/>
        <s v="4024" u="1"/>
        <s v="4835" u="1"/>
        <s v="6434" u="1"/>
        <s v="8033" u="1"/>
        <s v="3635" u="1"/>
        <s v="5234" u="1"/>
        <s v="7644" u="1"/>
        <s v="2435" u="1"/>
        <s v="4034" u="1"/>
        <s v="4845" u="1"/>
        <s v="6444" u="1"/>
        <s v="8043" u="1"/>
        <s v="3645" u="1"/>
        <s v="5244" u="1"/>
        <s v="7654" u="1"/>
        <s v="2445" u="1"/>
        <s v="4044" u="1"/>
        <s v="4855" u="1"/>
        <s v="6454" u="1"/>
        <s v="8053" u="1"/>
        <s v="3655" u="1"/>
        <s v="5254" u="1"/>
        <s v="7664" u="1"/>
        <s v="2455" u="1"/>
        <s v="4054" u="1"/>
        <s v="4865" u="1"/>
        <s v="6464" u="1"/>
        <s v="8063" u="1"/>
        <s v="3665" u="1"/>
        <s v="5264" u="1"/>
        <s v="7674" u="1"/>
        <s v="2465" u="1"/>
        <s v="4064" u="1"/>
        <s v="4875" u="1"/>
        <s v="6474" u="1"/>
        <s v="8073" u="1"/>
        <s v="3675" u="1"/>
        <s v="5274" u="1"/>
        <s v="7684" u="1"/>
        <s v="2475" u="1"/>
        <s v="4074" u="1"/>
        <s v="4885" u="1"/>
        <s v="6484" u="1"/>
        <s v="8083" u="1"/>
        <s v="3685" u="1"/>
        <s v="5284" u="1"/>
        <s v="7694" u="1"/>
        <s v="2485" u="1"/>
        <s v="4084" u="1"/>
        <s v="4895" u="1"/>
        <s v="6494" u="1"/>
        <s v="8093" u="1"/>
        <s v="3695" u="1"/>
        <s v="5294" u="1"/>
        <s v="2495" u="1"/>
      </sharedItems>
    </cacheField>
    <cacheField name="idcoleccion" numFmtId="0">
      <sharedItems containsString="0" containsBlank="1" containsNumber="1" containsInteger="1" minValue="990" maxValue="990"/>
    </cacheField>
    <cacheField name="coleccion" numFmtId="0">
      <sharedItems containsBlank="1" count="3">
        <s v="Agencia Información"/>
        <m/>
        <e v="#REF!" u="1"/>
      </sharedItems>
    </cacheField>
    <cacheField name="sector" numFmtId="0">
      <sharedItems containsBlank="1" count="17">
        <s v="Socioeconómico"/>
        <s v="Educación"/>
        <s v="Mujeres"/>
        <s v="Gobiernos locales"/>
        <s v="Salud"/>
        <s v="Agropecuario y Forestal"/>
        <s v="Política y Gobierno"/>
        <s v="Arte y cultura"/>
        <s v="Social"/>
        <s v="Vivienda y Construcción"/>
        <s v="Economía"/>
        <s v="Energía"/>
        <s v="Medio Ambiente"/>
        <s v="Transporte y tránsito"/>
        <s v="Tecnología, Internet y Telecomunicaciones"/>
        <s v="Turismo"/>
        <m/>
      </sharedItems>
    </cacheField>
    <cacheField name="Filtro URL" numFmtId="0">
      <sharedItems containsString="0" containsBlank="1" containsNumber="1" containsInteger="1" minValue="0" maxValue="16"/>
    </cacheField>
    <cacheField name="tema" numFmtId="0">
      <sharedItems containsBlank="1" count="157">
        <s v="Ingreso Promedio Regional"/>
        <s v="PSU"/>
        <s v="Violaciones"/>
        <s v="Ingreso Promedio Nacional"/>
        <s v="Ingreso por etnia"/>
        <s v="Indicadores de Calidad de Educación Municipal"/>
        <s v="Evolución COVID-19"/>
        <s v="Exportaciones"/>
        <s v="Abuso sexual"/>
        <s v="Resultados de evaluaciones"/>
        <s v="Incendios Forestales"/>
        <s v="Precios"/>
        <s v="Titularidad de espacios culturales"/>
        <s v="Delitos de Mayor Connotación Social (DMCS)"/>
        <s v="Violencia Intrafamiliar"/>
        <s v="Producción"/>
        <s v="Plantaciones"/>
        <s v="Instrumentos de Planificación Territorial (IPT)"/>
        <s v="Acceso para Discapacitados en espacios culturales"/>
        <s v="Ventas"/>
        <s v="Establecimientos de Apoyo"/>
        <s v="Atenciones de Salud Violencia de Género"/>
        <s v="Capacidad Instalada "/>
        <s v="Importaciones"/>
        <s v="Programa de Cáncer de Cuello Uterino"/>
        <s v="Programa de VIH/SIDA"/>
        <s v="Índice de Vulnerabilidad"/>
        <s v="Monitoreo de Glaciares"/>
        <s v="Pesca Industrial y Artesanal"/>
        <s v="Población por sexo"/>
        <s v="Defunciones"/>
        <s v="Nacimientos"/>
        <s v="Permisos de circulación"/>
        <s v="Emisiones por quema de combustible"/>
        <s v="Trabajadores dependientes"/>
        <s v="Trabajadores dependientes o a honorarios"/>
        <s v="SIMCE"/>
        <s v="Indicadores de Participación y formación ciudadana"/>
        <s v="Femicidios"/>
        <s v="Parque vehicular escolar"/>
        <s v="Detalle Programas e Instituciones"/>
        <s v="Indicadores de Desarrollo Personal y Social"/>
        <s v="Superficie Autorizada "/>
        <s v="Trabajadores por sexo"/>
        <s v="Renta neta"/>
        <s v="Empresas por tamaño"/>
        <s v="Programa de Salud Cardiovascular"/>
        <s v="Absorciones de CO2"/>
        <s v="Emisiones netas de CO2"/>
        <s v="Emisiones de CO2 "/>
        <s v="Emisiones y absorciones de CO2"/>
        <s v="Ventas anuales"/>
        <s v="Candidatos electos"/>
        <s v="Cupos"/>
        <s v="Empresas vigentes"/>
        <s v="Trabajadores "/>
        <s v="Espacios culturales"/>
        <s v="Financiamiento"/>
        <s v="Estado mantención"/>
        <s v="Ubicación"/>
        <s v="Predios Agrícolas"/>
        <s v="Establecimientos de Salud"/>
        <s v="Licencias de Conducir Profesionales"/>
        <s v="Licencias de Conducir"/>
        <s v="Propietarios de Centrales"/>
        <s v="Cantidad de Centrales"/>
        <s v="Centrales ERNC"/>
        <s v="Farmacias"/>
        <s v="Balanza"/>
        <s v="Parques Urbanos"/>
        <s v="Plazas Públicas"/>
        <s v="Áreas Verdes  "/>
        <s v="Salud Mental"/>
        <s v="Conexiones de internet fija"/>
        <s v="Televisión de pago"/>
        <s v="Población de pueblos indígenas"/>
        <s v="Tasa de desocupación"/>
        <s v="Fuerza de trabajo"/>
        <s v="Desocupados"/>
        <s v="Producción minera"/>
        <s v="Pernoctaciones"/>
        <s v="Habitaciones ocupadas"/>
        <s v="Pesca industrial"/>
        <s v="Pesca artesanal"/>
        <s v="Acuicultura"/>
        <s v="Importaciones y exportaciones"/>
        <s v="Producción Manufacturera"/>
        <s v="Supermercados"/>
        <s v="Pórticos Autopistas Interurbanas"/>
        <s v="Parque Vehicular Taxis"/>
        <s v="Carga Portuaria"/>
        <s v="Superficie Autorizada Habitacional (Obras Nuevas)"/>
        <s v="Viviendas Autorizadas"/>
        <s v="Superficie Autorizada No Habitacional (Ampliaciones ICEF)"/>
        <s v="DMCS - Robo con Violencia o Intimidación"/>
        <s v="DMCS - Homicidio"/>
        <s v="DMCS - Homicidio y Violación"/>
        <s v="Pobreza Extrema y No Extrema"/>
        <s v="Pobreza Extrema"/>
        <s v="Ingresos y Egresos de NNA a SENAME"/>
        <s v="Predios No Agrícolas Habitacionales"/>
        <s v="Propiedades Municipales"/>
        <m/>
        <s v="Indicador de Participación y formación ciudadana" u="1"/>
        <s v="Atenciones" u="1"/>
        <s v="Superficie plantada" u="1"/>
        <s v="IPTs Locales (PRC, LU, PS)" u="1"/>
        <s v="Ingresos regionales" u="1"/>
        <s v="Casas de Acogida" u="1"/>
        <s v="Gestión Municipal Territorial" u="1"/>
        <s v="Precios de frutas" u="1"/>
        <s v="Denuncias por VIF" u="1"/>
        <s v="Valor de exportaciones" u="1"/>
        <s v="SIMCE Lectura 8° Básico" u="1"/>
        <s v="Centrales" u="1"/>
        <s v="Fruta exportada" u="1"/>
        <s v="Evolución mensual" u="1"/>
        <s v="Activos" u="1"/>
        <s v="Autoestima, Convivencia, Hábitos Salud y Participación" u="1"/>
        <s v="Homicidio" u="1"/>
        <s v="Ingresos promedio" u="1"/>
        <s v="SIMCE Lectura 2° Medio" u="1"/>
        <s v="SIMCE Lectura 4° Básico" u="1"/>
        <s v="Relación con el femicida" u="1"/>
        <s v="SIMCE Matemáticas 2° Medio" u="1"/>
        <s v="Consultas Salud Mental" u="1"/>
        <s v="Casos activos COVID-19" u="1"/>
        <s v="Volumen de exportaciones" u="1"/>
        <s v="Volumen de importaciones" u="1"/>
        <s v="Propietarios" u="1"/>
        <s v="Evolución diaria" u="1"/>
        <s v="Plan Regional de Desarrollo Urbano (PRDU)" u="1"/>
        <s v="Casos de VIF" u="1"/>
        <s v="Fallecidos" u="1"/>
        <s v="Solicitudes autorizadas" u="1"/>
        <s v="Envases" u="1"/>
        <s v="Ingresos por etnia" u="1"/>
        <s v="Evolución de incendios" u="1"/>
        <s v="Áreas Verdes Mantenidas por Habitante" u="1"/>
        <s v="Clima de Convivencia Escolar" u="1"/>
        <s v="País de destino" u="1"/>
        <s v="Centros de la Mujer" u="1"/>
        <s v="Edad" u="1"/>
        <s v="Generación de ERNC" u="1"/>
        <s v="Delitos de Mayor Connotación Social" u="1"/>
        <s v="Potencia Neta" u="1"/>
        <s v="Frecuencia de delitos" u="1"/>
        <s v="SIMCE Lectura 6° Básico" u="1"/>
        <s v="Sentencias por delitos de abuso sexual" u="1"/>
        <s v="Homicidio y Violación" u="1"/>
        <s v="Precios de hortalizas" u="1"/>
        <s v="Superficie de plantaciones afectadas por incendios" u="1"/>
        <s v="Taxis" u="1"/>
        <s v="Autoestima Académica y Motivación Escolar" u="1"/>
        <s v="Denuncias" u="1"/>
        <s v="Producción Agrícola" u="1"/>
        <s v="Robo con Violencia o Intimidación" u="1"/>
      </sharedItems>
    </cacheField>
    <cacheField name="contenido" numFmtId="0">
      <sharedItems containsBlank="1" count="95">
        <s v="Ingresos Históricos"/>
        <s v="Métricas de la Educación"/>
        <s v="Violencia Contra la Mujer"/>
        <s v="Gestión Municipal de Educación"/>
        <s v="COVID-19"/>
        <s v="Agricultura"/>
        <s v="Evaluación de Programas"/>
        <s v="Forestal"/>
        <s v="Cultura"/>
        <s v="Delincuencia"/>
        <s v="Territorio"/>
        <s v="Empresas"/>
        <s v="Energía"/>
        <s v="Mujer Salud"/>
        <s v="Programas de Salud"/>
        <s v="Vulnerabilidad"/>
        <s v="Glaciares"/>
        <s v="Pesca y Acuicultura"/>
        <s v="Pueblos Indígenas"/>
        <s v="Demografía"/>
        <s v="Tránsito"/>
        <s v="Inventario de Gases de Efecto Invernadero (GEI)"/>
        <s v="Transporte"/>
        <s v="Vivienda y Construcción"/>
        <s v="Elecciones"/>
        <s v="Gestión Municipal Territorial"/>
        <s v="Establecimientos de Salud"/>
        <s v="Comercio Exterior"/>
        <s v="Estado de la Salud"/>
        <s v="Internet"/>
        <s v="Telecomunicaciones"/>
        <s v="Trabajo"/>
        <s v="Minería"/>
        <s v="Turismo"/>
        <s v="Manufacturas"/>
        <s v="Comercio"/>
        <s v="Pórticos y Peajes"/>
        <s v="Carga Marítima"/>
        <s v="Pobreza"/>
        <s v="Protección de Menores"/>
        <m/>
        <s v="Evolución COVID-19" u="1"/>
        <s v="Licencias de Conducir" u="1"/>
        <s v="Ingreso por etnia" u="1"/>
        <s v="Instrumentos de Planificación Territorial (IPT)" u="1"/>
        <s v="GEI" u="1"/>
        <s v="SIMCE" u="1"/>
        <s v="Permisos de circulación" u="1"/>
        <s v="Importaciones" u="1"/>
        <s v="Solicitudes edificación" u="1"/>
        <s v="Exportaciones" u="1"/>
        <s v="Enfermedades Cardiovasculares" u="1"/>
        <s v="Gestión Educación" u="1"/>
        <s v="Evaluación de Programas Gubernamentales" u="1"/>
        <s v="Violencia Intrafamiliar" u="1"/>
        <s v="Capacidad Instalada " u="1"/>
        <s v="Municipio" u="1"/>
        <s v="Indicadores de Desarrollo Personal y Social" u="1"/>
        <s v="Centrales" u="1"/>
        <s v="Incendios" u="1"/>
        <s v="Femicidios" u="1"/>
        <s v="Enfermedades Mundiales" u="1"/>
        <s v="Ingreso Promedio Mensual" u="1"/>
        <s v="Ingresos" u="1"/>
        <s v="Producción" u="1"/>
        <s v="Laboral" u="1"/>
        <s v="Pesca" u="1"/>
        <s v="Estadísticas vitales" u="1"/>
        <s v="Cáncer Cuello Cervicouterino" u="1"/>
        <s v="Trabajadores" u="1"/>
        <s v="Establecimientos de Apoyo" u="1"/>
        <s v="ERNC" u="1"/>
        <s v="Población" u="1"/>
        <s v="Enfermedades de Transmisión Sexual" u="1"/>
        <s v="Violaciones" u="1"/>
        <s v="Infraestructura" u="1"/>
        <s v="Desembarque" u="1"/>
        <s v="Viviendas" u="1"/>
        <s v="Superficie No Habitacional" u="1"/>
        <s v="Precios" u="1"/>
        <s v="Incendios Forestales" u="1"/>
        <s v="Monitoreo" u="1"/>
        <s v="Abuso sexual" u="1"/>
        <s v="Salud Mental" u="1"/>
        <s v="Ventas" u="1"/>
        <s v="Gases de Efecto Invernadero (GEI)" u="1"/>
        <s v="Delitos de Mayor Connotación Social" u="1"/>
        <s v="Infraestructura Cultural" u="1"/>
        <s v="Calidad de la Educación" u="1"/>
        <s v="Parque vehicular escolar" u="1"/>
        <s v="Parque Vehicular" u="1"/>
        <s v="Atenciones de Salud Violencia de Género" u="1"/>
        <s v="Plantaciones" u="1"/>
        <s v="Métricas de Educación" u="1"/>
        <s v="Superficie Habitacional" u="1"/>
      </sharedItems>
    </cacheField>
    <cacheField name="escala" numFmtId="0">
      <sharedItems containsBlank="1" count="3">
        <s v="País"/>
        <s v="Región"/>
        <m/>
      </sharedItems>
    </cacheField>
    <cacheField name="territorio" numFmtId="0">
      <sharedItems containsBlank="1" count="18">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m/>
      </sharedItems>
    </cacheField>
    <cacheField name="Filtro Integrado" numFmtId="0">
      <sharedItems containsBlank="1"/>
    </cacheField>
    <cacheField name="Muestra" numFmtId="0">
      <sharedItems containsBlank="1"/>
    </cacheField>
    <cacheField name="temporalidad" numFmtId="0">
      <sharedItems containsBlank="1" containsMixedTypes="1" containsNumber="1" containsInteger="1" minValue="0" maxValue="0"/>
    </cacheField>
    <cacheField name="unidad_medida" numFmtId="0">
      <sharedItems containsBlank="1"/>
    </cacheField>
    <cacheField name="fuente" numFmtId="0">
      <sharedItems containsBlank="1"/>
    </cacheField>
    <cacheField name="titulo" numFmtId="0">
      <sharedItems containsBlank="1" count="2376">
        <s v="Evolución de Ingreso Promedio Mensual en Chile para el Periodo 2006-2017"/>
        <s v="Evolución de Ingreso Promedio Mensual en la Región de Tarapacá para el Periodo 2006-2017"/>
        <s v="Evolución de Ingreso Promedio Mensual en la Región de Antofagasta para el Periodo 2006-2017"/>
        <s v="Evolución de Ingreso Promedio Mensual en la Región de Atacama para el Periodo 2006-2017"/>
        <s v="Evolución de Ingreso Promedio Mensual en la Región de Coquimbo para el Periodo 2006-2017"/>
        <s v="Evolución de Ingreso Promedio Mensual en la Región de Valparaíso para el Periodo 2006-2017"/>
        <s v="Evolución de Ingreso Promedio Mensual en la Región de O'Higgins para el Periodo 2006-2017"/>
        <s v="Evolución de Ingreso Promedio Mensual en la Región de Maule para el Periodo 2006-2017"/>
        <s v="Evolución de Ingreso Promedio Mensual en la Región del Biobío para el Periodo 2006-2017"/>
        <s v="Evolución de Ingreso Promedio Mensual en la Región de La Araucanía para el Periodo 2006-2017"/>
        <s v="Evolución de Ingreso Promedio Mensual en la Región de Los Lagos para el Periodo 2006-2017"/>
        <s v="Evolución de Ingreso Promedio Mensual en la Región de Aysén para el Periodo 2006-2017"/>
        <s v="Evolución de Ingreso Promedio Mensual en la Región de Magallanes para el Periodo 2006-2017"/>
        <s v="Evolución de Ingreso Promedio Mensual en la Región Metropolitana para el Periodo 2006-2017"/>
        <s v="Evolución de Ingreso Promedio Mensual en la Región de Los Ríos para el Periodo 2006-2017"/>
        <s v="Evolución de Ingreso Promedio Mensual en la Región de Arica y Parinacota para el Periodo 2006-2017"/>
        <s v="Evolución de Ingreso Promedio Mensual en la Región de Ñuble para el Periodo 2006-2017"/>
        <s v="Proporción de Alumnos de 4to Medio con más de 450 puntos en la PSU según dependencia de colegios"/>
        <s v="Proporción de Alumnos de 4to Medio con más de 450 puntos en la PSU según dependencia de colegios en la Región de Tarapacá"/>
        <s v="Proporción de Alumnos de 4to Medio con más de 450 puntos en la PSU según dependencia de colegios en la Región de Antofagasta"/>
        <s v="Proporción de Alumnos de 4to Medio con más de 450 puntos en la PSU según dependencia de colegios en la Región de Atacama"/>
        <s v="Proporción de Alumnos de 4to Medio con más de 450 puntos en la PSU según dependencia de colegios en la Región de Coquimbo"/>
        <s v="Proporción de Alumnos de 4to Medio con más de 450 puntos en la PSU según dependencia de colegios en la Región de Valparaíso"/>
        <s v="Proporción de Alumnos de 4to Medio con más de 450 puntos en la PSU según dependencia de colegios en la Región de O'Higgins"/>
        <s v="Proporción de Alumnos de 4to Medio con más de 450 puntos en la PSU según dependencia de colegios en la Región de Maule"/>
        <s v="Proporción de Alumnos de 4to Medio con más de 450 puntos en la PSU según dependencia de colegios en la Región del Biobío"/>
        <s v="Proporción de Alumnos de 4to Medio con más de 450 puntos en la PSU según dependencia de colegios en la Región de La Araucanía"/>
        <s v="Proporción de Alumnos de 4to Medio con más de 450 puntos en la PSU según dependencia de colegios en la Región de Los Lagos"/>
        <s v="Proporción de Alumnos de 4to Medio con más de 450 puntos en la PSU según dependencia de colegios en la Región de Aysén"/>
        <s v="Proporción de Alumnos de 4to Medio con más de 450 puntos en la PSU según dependencia de colegios en la Región de Magallanes"/>
        <s v="Proporción de Alumnos de 4to Medio con más de 450 puntos en la PSU según dependencia de colegios en la Región Metropolitana"/>
        <s v="Proporción de Alumnos de 4to Medio con más de 450 puntos en la PSU según dependencia de colegios en la Región de Los Ríos"/>
        <s v="Proporción de Alumnos de 4to Medio con más de 450 puntos en la PSU según dependencia de colegios en la Región de Arica y Parinacota"/>
        <s v="Proporción de Alumnos de 4to Medio con más de 450 puntos en la PSU según dependencia de colegios en la Región de Ñuble"/>
        <s v="Evolución de denuncias por violación en Chile en el Periodo 2008-2020"/>
        <s v="Evolución de denuncias por violación en la Región de Tarapacá en el Periodo 2008-2020"/>
        <s v="Distribución comunal de denuncias por violación en la Región de Antofagasta en el Periodo 2008-2020"/>
        <s v="Distribución comunal de denuncias por violación en la Región de Atacama en el Periodo 2008-2020"/>
        <s v="Distribución comunal de denuncias por violación en la Región de Coquimbo en el Periodo 2008-2020"/>
        <s v="Distribución comunal de denuncias por violación en la Región de Valparaíso en el Periodo 2008-2020"/>
        <s v="Distribución comunal de denuncias por violación en la Región de O'Higgins en el Periodo 2008-2020"/>
        <s v="Distribución comunal de denuncias por violación en la Región de Maule en el Periodo 2008-2020"/>
        <s v="Distribución comunal de denuncias por violación en la Región del Biobío en el Periodo 2008-2020"/>
        <s v="Distribución comunal de denuncias por violación en la Región de La Araucanía en el Periodo 2008-2020"/>
        <s v="Distribución comunal de denuncias por violación en la Región de Los Lagos en el Periodo 2008-2020"/>
        <s v="Distribución comunal de denuncias por violación en la Región de Aysén en el Periodo 2008-2020"/>
        <s v="Distribución comunal de denuncias por violación en la Región de Magallanes en el Periodo 2008-2020"/>
        <s v="Distribución comunal de denuncias por violación en la Región Metropolitana en el Periodo 2008-2020"/>
        <s v="Distribución comunal de denuncias por violación en la Región de Los Ríos en el Periodo 2008-2020"/>
        <s v="Distribución comunal de denuncias por violación en la Región de Arica y Parinacota en el Periodo 2008-2020"/>
        <s v="Distribución comunal de denuncias por violación en la Región de Ñuble en el Periodo 2008-2020"/>
        <s v="Evolución del Ingreso Promedio Mensual a Escala Nacional (CLP/mes)"/>
        <s v="Evolución de Ingreso Promedio Mensual por Etnia en Chile para el Periodo 2006-2017"/>
        <s v="Evolución de Ingreso Promedio Mensual por Etnia en la Región de Tarapacá para el Periodo 2006-2017"/>
        <s v="Evolución de Ingreso Promedio Mensual por Etnia en la Región de Antofagasta para el Periodo 2006-2017"/>
        <s v="Evolución de Ingreso Promedio Mensual por Etnia en la Región de Atacama para el Periodo 2006-2017"/>
        <s v="Evolución de Ingreso Promedio Mensual por Etnia en la Región de Coquimbo para el Periodo 2006-2017"/>
        <s v="Evolución de Ingreso Promedio Mensual por Etnia en la Región de Valparaíso para el Periodo 2006-2017"/>
        <s v="Evolución de Ingreso Promedio Mensual por Etnia en la Región de O'Higgins para el Periodo 2006-2017"/>
        <s v="Evolución de Ingreso Promedio Mensual por Etnia en la Región de Maule para el Periodo 2006-2017"/>
        <s v="Evolución de Ingreso Promedio Mensual por Etnia en la Región del Biobío para el Periodo 2006-2017"/>
        <s v="Evolución de Ingreso Promedio Mensual por Etnia en la Región de La Araucanía para el Periodo 2006-2017"/>
        <s v="Evolución de Ingreso Promedio Mensual por Etnia en la Región de Los Lagos para el Periodo 2006-2017"/>
        <s v="Evolución de Ingreso Promedio Mensual por Etnia en la Región de Aysén para el Periodo 2006-2017"/>
        <s v="Evolución de Ingreso Promedio Mensual por Etnia en la Región de Magallanes para el Periodo 2006-2017"/>
        <s v="Evolución de Ingreso Promedio Mensual por Etnia en la Región Metropolitana para el Periodo 2006-2017"/>
        <s v="Evolución de Ingreso Promedio Mensual por Etnia en la Región de Los Ríos para el Periodo 2006-2017"/>
        <s v="Evolución de Ingreso Promedio Mensual por Etnia en la Región de Arica y Parinacota para el Periodo 2006-2017"/>
        <s v="Evolución de Ingreso Promedio Mensual por Etnia en la Región de Ñuble para el Periodo 2006-2017"/>
        <s v="Ranking Comunal 2020: Número de Alumnos por Docente en Aula, variación Periodo 2019-2020"/>
        <s v="Ranking Comunal Región de Tarapacá 2020: Número de Alumnos por Docente en Aula, variación Periodo 2019-2020"/>
        <s v="Ranking Comunal Región de Antofagasta 2020: Número de Alumnos por Docente en Aula, variación Periodo 2019-2020"/>
        <s v="Ranking Comunal Región de Atacama 2020: Número de Alumnos por Docente en Aula, variación Periodo 2019-2020"/>
        <s v="Ranking Comunal Región de Coquimbo 2020: Número de Alumnos por Docente en Aula, variación Periodo 2019-2020"/>
        <s v="Ranking Comunal Región de Valparaíso 2020: Número de Alumnos por Docente en Aula, variación Periodo 2019-2020"/>
        <s v="Ranking Comunal Región de O'Higgins 2020: Número de Alumnos por Docente en Aula, variación Periodo 2019-2020"/>
        <s v="Ranking Comunal Región de Maule 2020: Número de Alumnos por Docente en Aula, variación Periodo 2019-2020"/>
        <s v="Ranking Comunal Región del Biobío 2020: Número de Alumnos por Docente en Aula, variación Periodo 2019-2020"/>
        <s v="Ranking Comunal Región de La Araucanía 2020: Número de Alumnos por Docente en Aula, variación Periodo 2019-2020"/>
        <s v="Ranking Comunal Región de Los Lagos 2020: Número de Alumnos por Docente en Aula, variación Periodo 2019-2020"/>
        <s v="Ranking Comunal Región de Aysén 2020: Número de Alumnos por Docente en Aula, variación Periodo 2019-2020"/>
        <s v="Ranking Comunal Región de Magallanes 2020: Número de Alumnos por Docente en Aula, variación Periodo 2019-2020"/>
        <s v="Ranking Comunal Región Metropolitana 2020: Número de Alumnos por Docente en Aula, variación Periodo 2019-2020"/>
        <s v="Ranking Comunal Región de Los Ríos 2020: Número de Alumnos por Docente en Aula, variación Periodo 2019-2020"/>
        <s v="Ranking Comunal Región de Arica y Parinacota 2020: Número de Alumnos por Docente en Aula, variación Periodo 2019-2020"/>
        <s v="Ranking Comunal Región de Ñuble 2020: Número de Alumnos por Docente en Aula, variación Periodo 2019-2020"/>
        <s v="Evolución de Casos Activos de COVID-19 por 1 millón de habitantes en las comunas de Chile durante el Periodo 2020-2021"/>
        <s v="Evolución de Casos Activos de COVID-19 por 1 millón de habitantes en las comunas de la Región de Tarapacá durante el Periodo 2020-2021"/>
        <s v="Evolución de Casos Activos de COVID-19 por 1 millón de habitantes en las comunas de la Región de Antofagasta durante el Periodo 2020-2021"/>
        <s v="Evolución de Casos Activos de COVID-19 por 1 millón de habitantes en las comunas de la Región de Atacama durante el Periodo 2020-2021"/>
        <s v="Evolución de Casos Activos de COVID-19 por 1 millón de habitantes en las comunas de la Región de Coquimbo durante el Periodo 2020-2021"/>
        <s v="Evolución de Casos Activos de COVID-19 por 1 millón de habitantes en las comunas de la Región de Valparaíso durante el Periodo 2020-2021"/>
        <s v="Evolución de Casos Activos de COVID-19 por 1 millón de habitantes en las comunas de la Región de O'Higgins durante el Periodo 2020-2021"/>
        <s v="Evolución de Casos Activos de COVID-19 por 1 millón de habitantes en las comunas de la Región de Maule durante el Periodo 2020-2021"/>
        <s v="Evolución de Casos Activos de COVID-19 por 1 millón de habitantes en las comunas de la Región del Biobío durante el Periodo 2020-2021"/>
        <s v="Evolución de Casos Activos de COVID-19 por 1 millón de habitantes en las comunas de la Región de La Araucanía durante el Periodo 2020-2021"/>
        <s v="Evolución de Casos Activos de COVID-19 por 1 millón de habitantes en las comunas de la Región de Los Lagos durante el Periodo 2020-2021"/>
        <s v="Evolución de Casos Activos de COVID-19 por 1 millón de habitantes en las comunas de la Región de Aysén durante el Periodo 2020-2021"/>
        <s v="Evolución de Casos Activos de COVID-19 por 1 millón de habitantes en las comunas de la Región de Magallanes durante el Periodo 2020-2021"/>
        <s v="Evolución de Casos Activos de COVID-19 por 1 millón de habitantes en las comunas de la Región Metropolitana durante el Periodo 2020-2021"/>
        <s v="Evolución de Casos Activos de COVID-19 por 1 millón de habitantes en las comunas de la Región de Los Ríos durante el Periodo 2020-2021"/>
        <s v="Evolución de Casos Activos de COVID-19 por 1 millón de habitantes en las comunas de la Región de Arica y Parinacota durante el Periodo 2020-2021"/>
        <s v="Evolución de Casos Activos de COVID-19 por 1 millón de habitantes en las comunas de la Región de Ñuble durante el Periodo 2020-2021"/>
        <s v="Volumen de Exportaciones Frutícolas en Chile, Periodo 2012-2020"/>
        <s v="Volumen acumulado de Exportaciones Frutícolas por país de destino, Periodo 2012-2020"/>
        <s v="Sentencias Dictadas por delitos de Abuso Sexual en Chile para el Periodo 2013-2019"/>
        <s v="Sentencias Dictadas por delitos de Abuso Sexual en la Región de Tarapacá para el Periodo 2013-2019"/>
        <s v="Sentencias Dictadas por delitos de Abuso Sexual en la Región de Antofagasta para el Periodo 2013-2019"/>
        <s v="Sentencias Dictadas por delitos de Abuso Sexual en la Región de Atacama para el Periodo 2013-2019"/>
        <s v="Sentencias Dictadas por delitos de Abuso Sexual en la Región de Coquimbo para el Periodo 2013-2019"/>
        <s v="Sentencias Dictadas por delitos de Abuso Sexual en la Región de Valparaíso para el Periodo 2013-2019"/>
        <s v="Sentencias Dictadas por delitos de Abuso Sexual en la Región de O'Higgins para el Periodo 2013-2019"/>
        <s v="Sentencias Dictadas por delitos de Abuso Sexual en la Región de Maule para el Periodo 2013-2019"/>
        <s v="Sentencias Dictadas por delitos de Abuso Sexual en la Región del Biobío para el Periodo 2013-2019"/>
        <s v="Sentencias Dictadas por delitos de Abuso Sexual en la Región de La Araucanía para el Periodo 2013-2019"/>
        <s v="Sentencias Dictadas por delitos de Abuso Sexual en la Región de Los Lagos para el Periodo 2013-2019"/>
        <s v="Sentencias Dictadas por delitos de Abuso Sexual en la Región de Aysén para el Periodo 2013-2019"/>
        <s v="Sentencias Dictadas por delitos de Abuso Sexual en la Región de Magallanes para el Periodo 2013-2019"/>
        <s v="Sentencias Dictadas por delitos de Abuso Sexual en la Región Metropolitana para el Periodo 2013-2019"/>
        <s v="Sentencias Dictadas por delitos de Abuso Sexual en la Región de Los Ríos para el Periodo 2013-2019"/>
        <s v="Sentencias Dictadas por delitos de Abuso Sexual en la Región de Arica y Parinacota para el Periodo 2013-2019"/>
        <s v="Sentencias Dictadas por delitos de Abuso Sexual en la Región de Ñuble para el Periodo 2013-2019"/>
        <s v="Esquema jerárquico de programas/instituciones evaluados (periodo 1997 -2019)"/>
        <s v="Número de programas/instituciones evaluadas según línea de evaluación (periodo 1997 -2020)"/>
        <s v="Evolución de la Superficie de Plantaciones Forestales Afectadas por Incendios por Comuna"/>
        <s v="Precios diarios de hortalizas en mercados mayoristas de Chile, Año 2021"/>
        <s v="Precios diarios de hortalizas en mercados mayoristas de la Región de Coquimbo, Año 2021"/>
        <s v="Precios diarios de hortalizas en mercados mayoristas de la Región de Valparaíso, Año 2021"/>
        <s v="Precios diarios de hortalizas en mercados mayoristas de la Región de Maule, Año 2021"/>
        <s v="Precios diarios de hortalizas en mercados mayoristas de la Región del Biobío, Año 2021"/>
        <s v="Precios diarios de hortalizas en mercados mayoristas de la Región de La Araucanía, Año 2021"/>
        <s v="Precios diarios de hortalizas en mercados mayoristas de la Región de Los Lagos, Año 2021"/>
        <s v="Precios diarios de hortalizas en mercados mayoristas de la Región Metropolitana, Año 2021"/>
        <s v="Precios diarios de hortalizas en mercados mayoristas de la Región de Arica y Parinacota, Año 2021"/>
        <s v="Precios diarios de hortalizas en mercados mayoristas de la Región de Ñuble, Año 2021"/>
        <s v="Precios diarios de frutas en mercados mayoristas de Chile, Año 2021"/>
        <s v="Precios diarios de frutas en mercados mayoristas de la Región de Coquimbo, Año 2021"/>
        <s v="Precios diarios de frutas en mercados mayoristas de la Región de Valparaíso, Año 2021"/>
        <s v="Precios diarios de frutas en mercados mayoristas de la Región de Maule, Año 2021"/>
        <s v="Precios diarios de frutas en mercados mayoristas de la Región del Biobío, Año 2021"/>
        <s v="Precios diarios de frutas en mercados mayoristas de la Región de La Araucanía, Año 2021"/>
        <s v="Precios diarios de frutas en mercados mayoristas de la Región de Los Lagos, Año 2021"/>
        <s v="Precios diarios de frutas en mercados mayoristas de la Región Metropolitana, Año 2021"/>
        <s v="Precios diarios de frutas en mercados mayoristas de la Región de Arica y Parinacota, Año 2021"/>
        <s v="Precios diarios de frutas en mercados mayoristas de la Región de Ñuble, Año 2021"/>
        <s v="Cantidad de Espacios Culturales por Tipo de Titularidad y Comuna en el año 2021"/>
        <s v="Cantidad de Espacios Culturales en la Región de Tarapacá por Tipo de Titularidad y Comuna en el Año 2021"/>
        <s v="Cantidad de Espacios Culturales en la Región de Antofagasta por Tipo de Titularidad y Comuna en el Año 2021"/>
        <s v="Cantidad de Espacios Culturales en la Región de Atacama por Tipo de Titularidad y Comuna en el Año 2021"/>
        <s v="Cantidad de Espacios Culturales en la Región de Coquimbo por Tipo de Titularidad y Comuna en el Año 2021"/>
        <s v="Cantidad de Espacios Culturales en la Región de Valparaíso por Tipo de Titularidad y Comuna en el Año 2021"/>
        <s v="Cantidad de Espacios Culturales en la Región de O'Higgins por Tipo de Titularidad y Comuna en el Año 2021"/>
        <s v="Cantidad de Espacios Culturales en la Región de Maule por Tipo de Titularidad y Comuna en el Año 2021"/>
        <s v="Cantidad de Espacios Culturales en la Región del Biobío por Tipo de Titularidad y Comuna en el Año 2021"/>
        <s v="Cantidad de Espacios Culturales en la Región de La Araucanía por Tipo de Titularidad y Comuna en el Año 2021"/>
        <s v="Cantidad de Espacios Culturales en la Región de Los Lagos por Tipo de Titularidad y Comuna en el Año 2021"/>
        <s v="Cantidad de Espacios Culturales en la Región de Aysén por Tipo de Titularidad y Comuna en el Año 2021"/>
        <s v="Cantidad de Espacios Culturales en la Región de Magallanes por Tipo de Titularidad y Comuna en el Año 2021"/>
        <s v="Cantidad de Espacios Culturales en la Región Metropolitana por Tipo de Titularidad y Comuna en el Año 2021"/>
        <s v="Cantidad de Espacios Culturales en la Región de Los Ríos por Tipo de Titularidad y Comuna en el Año 2021"/>
        <s v="Cantidad de Espacios Culturales en la Región de Arica y Parinacota por Tipo de Titularidad y Comuna en el Año 2021"/>
        <s v="Cantidad de Espacios Culturales en la Región de Ñuble por Tipo de Titularidad y Comuna en el Año 2021"/>
        <s v="Variación Anual de Frecuencia de Delitos de Mayor Connotación Social en Chile, Periodo 2008-2021"/>
        <s v="Variación Anual de Frecuencia de Delitos de Mayor Connotación Social en la Región de Tarapacá, Periodo 2008-2021"/>
        <s v="Variación Anual de Frecuencia de Delitos de Mayor Connotación Social en la Región de Antofagasta, Periodo 2008-2021"/>
        <s v="Variación Anual de Frecuencia de Delitos de Mayor Connotación Social en la Región de Atacama, Periodo 2008-2021"/>
        <s v="Variación Anual de Frecuencia de Delitos de Mayor Connotación Social en la Región de Coquimbo, Periodo 2008-2021"/>
        <s v="Variación Anual de Frecuencia de Delitos de Mayor Connotación Social en la Región de Valparaíso, Periodo 2008-2021"/>
        <s v="Variación Anual de Frecuencia de Delitos de Mayor Connotación Social en la Región de O'Higgins, Periodo 2008-2021"/>
        <s v="Variación Anual de Frecuencia de Delitos de Mayor Connotación Social en la Región de Maule, Periodo 2008-2021"/>
        <s v="Variación Anual de Frecuencia de Delitos de Mayor Connotación Social en la Región del Biobío, Periodo 2008-2021"/>
        <s v="Variación Anual de Frecuencia de Delitos de Mayor Connotación Social en la Región de La Araucanía, Periodo 2008-2021"/>
        <s v="Variación Anual de Frecuencia de Delitos de Mayor Connotación Social en la Región de Los Lagos, Periodo 2008-2021"/>
        <s v="Variación Anual de Frecuencia de Delitos de Mayor Connotación Social en la Región de Aysén, Periodo 2008-2021"/>
        <s v="Variación Anual de Frecuencia de Delitos de Mayor Connotación Social en la Región de Magallanes, Periodo 2008-2021"/>
        <s v="Variación Anual de Frecuencia de Delitos de Mayor Connotación Social en la Región Metropolitana, Periodo 2008-2021"/>
        <s v="Variación Anual de Frecuencia de Delitos de Mayor Connotación Social en la Región de Los Ríos, Periodo 2008-2021"/>
        <s v="Variación Anual de Frecuencia de Delitos de Mayor Connotación Social en la Región de Arica y Parinacota, Periodo 2008-2021"/>
        <s v="Variación Anual de Frecuencia de Delitos de Mayor Connotación Social en la Región de Ñuble, Periodo 2008-2021"/>
        <s v="Evolución trimestral de Casos de Violencia Intrafamiliar presentados a la Fiscalía, a nivel nacional"/>
        <s v="Evolución trimestral de Casos de Violencia Intrafamiliar presentados frente a la Fiscalía Nacional en Chile"/>
        <s v="Evolución trimestral de Casos de Violencia Intrafamiliar presentados frente a la Fiscalía Nacional en la Región de Tarapacá"/>
        <s v="Evolución trimestral de Casos de Violencia Intrafamiliar presentados frente a la Fiscalía Nacional en la Región de Antofagasta"/>
        <s v="Evolución trimestral de Casos de Violencia Intrafamiliar presentados frente a la Fiscalía Nacional en la Región de Atacama"/>
        <s v="Evolución trimestral de Casos de Violencia Intrafamiliar presentados frente a la Fiscalía Nacional en la Región de Coquimbo"/>
        <s v="Evolución trimestral de Casos de Violencia Intrafamiliar presentados frente a la Fiscalía Nacional en la Región de Valparaíso"/>
        <s v="Evolución trimestral de Casos de Violencia Intrafamiliar presentados frente a la Fiscalía Nacional en la Región de O'Higgins"/>
        <s v="Evolución trimestral de Casos de Violencia Intrafamiliar presentados frente a la Fiscalía Nacional en la Región de Maule"/>
        <s v="Evolución trimestral de Casos de Violencia Intrafamiliar presentados frente a la Fiscalía Nacional en la Región del Biobío"/>
        <s v="Evolución trimestral de Casos de Violencia Intrafamiliar presentados frente a la Fiscalía Nacional en la Región de La Araucanía"/>
        <s v="Evolución trimestral de Casos de Violencia Intrafamiliar presentados frente a la Fiscalía Nacional en la Región de Los Lagos"/>
        <s v="Evolución trimestral de Casos de Violencia Intrafamiliar presentados frente a la Fiscalía Nacional en la Región de Aysén"/>
        <s v="Evolución trimestral de Casos de Violencia Intrafamiliar presentados frente a la Fiscalía Nacional en la Región de Magallanes"/>
        <s v="Evolución trimestral de Casos de Violencia Intrafamiliar presentados frente a la Fiscalía Nacional en la Región Metropolitana"/>
        <s v="Evolución trimestral de Casos de Violencia Intrafamiliar presentados frente a la Fiscalía Nacional en la Región de Los Ríos"/>
        <s v="Evolución trimestral de Casos de Violencia Intrafamiliar presentados frente a la Fiscalía Nacional en la Región de Arica y Parinacota"/>
        <s v="Evolución trimestral de Casos de Violencia Intrafamiliar presentados frente a la Fiscalía Nacional en la Región de Ñuble"/>
        <s v="Cantidad de Denuncias por Violencia Intrafamiliar hacia la mujer, acumuladas en el Periodo 2020-2021"/>
        <s v="Cantidad de Denuncias por Violencia Intrafamiliar hacia la mujer, en la Región de Tarapacá, acumuladas en el Periodo 2020-2021"/>
        <s v="Sentencias Dictadas por delitos de Abuso Sexual en la Región de Antofagasta para el Periodo 2020-2021"/>
        <s v="Sentencias Dictadas por delitos de Abuso Sexual en la Región de Atacama para el Periodo 2020-2021"/>
        <s v="Sentencias Dictadas por delitos de Abuso Sexual en la Región de Coquimbo para el Periodo 2020-2021"/>
        <s v="Sentencias Dictadas por delitos de Abuso Sexual en la Región de Valparaíso para el Periodo 2020-2021"/>
        <s v="Sentencias Dictadas por delitos de Abuso Sexual en la Región de O'Higgins para el Periodo 2020-2021"/>
        <s v="Sentencias Dictadas por delitos de Abuso Sexual en la Región de Maule para el Periodo 2020-2021"/>
        <s v="Sentencias Dictadas por delitos de Abuso Sexual en la Región del Biobío para el Periodo 2020-2021"/>
        <s v="Sentencias Dictadas por delitos de Abuso Sexual en la Región de La Araucanía para el Periodo 2020-2021"/>
        <s v="Sentencias Dictadas por delitos de Abuso Sexual en la Región de Los Lagos para el Periodo 2020-2021"/>
        <s v="Sentencias Dictadas por delitos de Abuso Sexual en la Región de Aysén para el Periodo 2020-2021"/>
        <s v="Sentencias Dictadas por delitos de Abuso Sexual en la Región de Magallanes para el Periodo 2020-2021"/>
        <s v="Sentencias Dictadas por delitos de Abuso Sexual en la Región Metropolitana para el Periodo 2020-2021"/>
        <s v="Sentencias Dictadas por delitos de Abuso Sexual en la Región de Los Ríos para el Periodo 2020-2021"/>
        <s v="Sentencias Dictadas por delitos de Abuso Sexual en la Región de Arica y Parinacota para el Periodo 2020-2021"/>
        <s v="Sentencias Dictadas por delitos de Abuso Sexual en la Región de Ñuble para el Periodo 2020-2021"/>
        <s v="Toneladas de fruta producidas en Chile por tipo de envase utilizado"/>
        <s v="Proporción del destino de la fruta producida por Chile, en el Periodo 2018-2020"/>
        <s v="Proporción del destino de la fruta producida por la Región de Tarapacá, en el Periodo 2018-2020"/>
        <s v="Proporción del destino de la fruta producida por la Región de Antofagasta, en el Periodo 2018-2020"/>
        <s v="Proporción del destino de la fruta producida por la Región de Atacama, en el Periodo 2018-2020"/>
        <s v="Proporción del destino de la fruta producida por la Región de Coquimbo, en el Periodo 2018-2020"/>
        <s v="Proporción del destino de la fruta producida por la Región de Valparaíso, en el Periodo 2018-2020"/>
        <s v="Proporción del destino de la fruta producida por la Región de O'Higgins, en el Periodo 2018-2020"/>
        <s v="Proporción del destino de la fruta producida por la Región de Maule, en el Periodo 2018-2020"/>
        <s v="Proporción del destino de la fruta producida por la Región del Biobío, en el Periodo 2018-2020"/>
        <s v="Proporción del destino de la fruta producida por la Región de La Araucanía, en el Periodo 2018-2020"/>
        <s v="Proporción del destino de la fruta producida por la Región de Los Lagos, en el Periodo 2018-2020"/>
        <s v="Proporción del destino de la fruta producida por la Región de Aysén, en el Periodo 2018-2020"/>
        <s v="Proporción del destino de la fruta producida por la Región de Magallanes, en el Periodo 2018-2020"/>
        <s v="Proporción del destino de la fruta producida por la Región Metropolitana, en el Periodo 2018-2020"/>
        <s v="Proporción del destino de la fruta producida por la Región de Los Ríos, en el Periodo 2018-2020"/>
        <s v="Proporción del destino de la fruta producida por la Región de Arica y Parinacota, en el Periodo 2018-2020"/>
        <s v="Proporción del destino de la fruta producida por la Región de Ñuble, en el Periodo 2018-2020"/>
        <s v="Evolución anual de superficie plantada (ha) de lechuga por región"/>
        <s v="Evolución anual de superficie plantada (ha) de lechuga en la Región de Atacama"/>
        <s v="Evolución anual de superficie plantada (ha) de lechuga en la Región de Coquimbo"/>
        <s v="Evolución anual de superficie plantada (ha) de lechuga en la Región de Valparaíso"/>
        <s v="Evolución anual de superficie plantada (ha) de lechuga en la Región de O'Higgins"/>
        <s v="Evolución anual de superficie plantada (ha) de lechuga en la Región de Maule"/>
        <s v="Evolución anual de superficie plantada (ha) de lechuga en la Región del Biobío"/>
        <s v="Evolución anual de superficie plantada (ha) de lechuga en la Región de La Araucanía"/>
        <s v="Evolución anual de superficie plantada (ha) de lechuga en la Región Metropolitana"/>
        <s v="Evolución anual de superficie plantada (ha) de lechuga en la Región de Arica y Parinacota"/>
        <s v="Evolución anual de superficie plantada (ha) de lechuga en la Región de Ñuble"/>
        <s v="Estado del Plan Regional de Desarrollo Urbano por Región"/>
        <s v="Cantidad de Espacios Culturales con Acceso para Discapacitados en el Año 2021"/>
        <s v="Cantidad de Espacios Culturales con Acceso para Discapacitados en la Región de Tarapacá, en el Año 2021"/>
        <s v="Cantidad de Espacios Culturales con Acceso para Discapacitados en la Región de Antofagasta, en el Año 2021"/>
        <s v="Cantidad de Espacios Culturales con Acceso para Discapacitados en la Región de Atacama, en el Año 2021"/>
        <s v="Cantidad de Espacios Culturales con Acceso para Discapacitados en la Región de Coquimbo, en el Año 2021"/>
        <s v="Cantidad de Espacios Culturales con Acceso para Discapacitados en la Región de Valparaíso, en el Año 2021"/>
        <s v="Cantidad de Espacios Culturales con Acceso para Discapacitados en la Región de O'Higgins, en el Año 2021"/>
        <s v="Cantidad de Espacios Culturales con Acceso para Discapacitados en la Región de Maule, en el Año 2021"/>
        <s v="Cantidad de Espacios Culturales con Acceso para Discapacitados en la Región del Biobío, en el Año 2021"/>
        <s v="Cantidad de Espacios Culturales con Acceso para Discapacitados en la Región de La Araucanía, en el Año 2021"/>
        <s v="Cantidad de Espacios Culturales con Acceso para Discapacitados en la Región de Los Lagos, en el Año 2021"/>
        <s v="Cantidad de Espacios Culturales con Acceso para Discapacitados en la Región de Aysén, en el Año 2021"/>
        <s v="Cantidad de Espacios Culturales con Acceso para Discapacitados en la Región de Magallanes, en el Año 2021"/>
        <s v="Cantidad de Espacios Culturales con Acceso para Discapacitados en la Región Metropolitana, en el Año 2021"/>
        <s v="Cantidad de Espacios Culturales con Acceso para Discapacitados en la Región de Los Ríos, en el Año 2021"/>
        <s v="Cantidad de Espacios Culturales con Acceso para Discapacitados en la Región de Arica y Parinacota, en el Año 2021"/>
        <s v="Cantidad de Espacios Culturales con Acceso para Discapacitados en la Región de Ñuble, en el Año 2021"/>
        <s v="Ventas anuales en UF por rubro en Chile, Año 2019"/>
        <s v="Ventas anuales en UF por rubro en la Región de Tarapacá, Año 2019"/>
        <s v="Ventas anuales en UF por rubro en la Región de Antofagasta, Año 2019"/>
        <s v="Ventas anuales en UF por rubro en la Región de Atacama, Año 2019"/>
        <s v="Ventas anuales en UF por rubro en la Región de Coquimbo, Año 2019"/>
        <s v="Ventas anuales en UF por rubro en la Región de Valparaíso, Año 2019"/>
        <s v="Ventas anuales en UF por rubro en la Región de O'Higgins, Año 2019"/>
        <s v="Ventas anuales en UF por rubro en la Región de Maule, Año 2019"/>
        <s v="Ventas anuales en UF por rubro en la Región del Biobío, Año 2019"/>
        <s v="Ventas anuales en UF por rubro en la Región de La Araucanía, Año 2019"/>
        <s v="Ventas anuales en UF por rubro en la Región de Los Lagos, Año 2019"/>
        <s v="Ventas anuales en UF por rubro en la Región de Aysén, Año 2019"/>
        <s v="Ventas anuales en UF por rubro en la Región de Magallanes, Año 2019"/>
        <s v="Ventas anuales en UF por rubro en la Región Metropolitana, Año 2019"/>
        <s v="Ventas anuales en UF por rubro en la Región de Los Ríos, Año 2019"/>
        <s v="Ventas anuales en UF por rubro en la Región de Arica y Parinacota, Año 2019"/>
        <s v="Ventas anuales en UF por rubro en la Región de Ñuble, Año 2019"/>
        <s v="Cantidad de Centros de la Mujer por Región en el Año 2021"/>
        <s v="Cantidad de Mujeres Ingresadas en Centros de la Mujer en Chile para el Periodo 2014-2019"/>
        <s v="Cantidad de Salidas desde Casas de Acogida en Chile durante el Periodo 2014-2019"/>
        <s v="Proporción por tipo de Salida desde Casas de Acogida en Chile para el Periodo 2014-2019"/>
        <s v="Evolución de las Atenciones de Salud por Violencia de Género en Chile, para el Periodo 2010-2016"/>
        <s v="Evolución de las Atenciones de Salud por Violencia de Género en Región de Tarapacá, para el Periodo 2010-2016"/>
        <s v="Evolución de las Atenciones de Salud por Violencia de Género en Región de Antofagasta, para el Periodo 2010-2016"/>
        <s v="Evolución de las Atenciones de Salud por Violencia de Género en Región de Atacama, para el Periodo 2010-2016"/>
        <s v="Evolución de las Atenciones de Salud por Violencia de Género en Región de Coquimbo, para el Periodo 2010-2016"/>
        <s v="Evolución de las Atenciones de Salud por Violencia de Género en Región de Valparaíso, para el Periodo 2010-2016"/>
        <s v="Evolución de las Atenciones de Salud por Violencia de Género en Región de O'Higgins, para el Periodo 2010-2016"/>
        <s v="Evolución de las Atenciones de Salud por Violencia de Género en Región de Maule, para el Periodo 2010-2016"/>
        <s v="Evolución de las Atenciones de Salud por Violencia de Género en Región del Biobío, para el Periodo 2010-2016"/>
        <s v="Evolución de las Atenciones de Salud por Violencia de Género en Región de La Araucanía, para el Periodo 2010-2016"/>
        <s v="Evolución de las Atenciones de Salud por Violencia de Género en Región de Los Lagos, para el Periodo 2010-2016"/>
        <s v="Evolución de las Atenciones de Salud por Violencia de Género en Región de Aysén, para el Periodo 2010-2016"/>
        <s v="Evolución de las Atenciones de Salud por Violencia de Género en Región de Magallanes, para el Periodo 2010-2016"/>
        <s v="Evolución de las Atenciones de Salud por Violencia de Género en Región Metropolitana, para el Periodo 2010-2016"/>
        <s v="Evolución de las Atenciones de Salud por Violencia de Género en Región de Los Ríos, para el Periodo 2010-2016"/>
        <s v="Evolución de las Atenciones de Salud por Violencia de Género en Región de Arica y Parinacota, para el Periodo 2010-2016"/>
        <s v="Evolución de las Atenciones de Salud por Violencia de Género en Región de Ñuble, para el Periodo 2010-2016"/>
        <s v="Evolución de las Exportaciones (USD) de frutas desde Chile para el Periodo 2012-2020"/>
        <s v="Evolución de las Exportaciones (USD) de frutas desde la Región de Tarapacá para el Periodo 2012-2020"/>
        <s v="Evolución de las Exportaciones (USD) de frutas desde la Región de Antofagasta para el Periodo 2012-2020"/>
        <s v="Evolución de las Exportaciones (USD) de frutas desde la Región de Atacama para el Periodo 2012-2020"/>
        <s v="Evolución de las Exportaciones (USD) de frutas desde la Región de Coquimbo para el Periodo 2012-2020"/>
        <s v="Evolución de las Exportaciones (USD) de frutas desde la Región de Valparaíso para el Periodo 2012-2020"/>
        <s v="Evolución de las Exportaciones (USD) de frutas desde la Región de O'Higgins para el Periodo 2012-2020"/>
        <s v="Evolución de las Exportaciones (USD) de frutas desde la Región de Maule para el Periodo 2012-2020"/>
        <s v="Evolución de las Exportaciones (USD) de frutas desde la Región del Biobío para el Periodo 2012-2020"/>
        <s v="Evolución de las Exportaciones (USD) de frutas desde la Región de La Araucanía para el Periodo 2012-2020"/>
        <s v="Evolución de las Exportaciones (USD) de frutas desde la Región de Los Lagos para el Periodo 2012-2020"/>
        <s v="Evolución de las Exportaciones (USD) de frutas desde la Región de Aysén para el Periodo 2012-2020"/>
        <s v="Evolución de las Exportaciones (USD) de frutas desde la Región de Magallanes para el Periodo 2012-2020"/>
        <s v="Evolución de las Exportaciones (USD) de frutas desde la Región Metropolitana para el Periodo 2012-2020"/>
        <s v="Evolución de las Exportaciones (USD) de frutas desde la Región de Los Ríos para el Periodo 2012-2020"/>
        <s v="Evolución de las Exportaciones (USD) de frutas desde la Región de Arica y Parinacota para el Periodo 2012-2020"/>
        <s v="Evolución de las Exportaciones (USD) de frutas desde la Región de Ñuble para el Periodo 2012-2020"/>
        <s v="Valor acumulado (USD) de Exportaciones Frutícolas por país de destino, Periodo 2012-2020"/>
        <s v="Capacidad Instalada (MW) de Centrales de Energía Renovable y No Renovable en Chile, para el Año 2021"/>
        <s v="Capacidad Instalada (MW) de Centrales de Energía Renovable y No Renovable en la Región de Tarapacá, para el Año 2021"/>
        <s v="Capacidad Instalada (MW) de Centrales de Energía Renovable y No Renovable en la Región de Antofagasta, para el Año 2021"/>
        <s v="Capacidad Instalada (MW) de Centrales de Energía Renovable y No Renovable en la Región de Atacama, para el Año 2021"/>
        <s v="Capacidad Instalada (MW) de Centrales de Energía Renovable y No Renovable en la Región de Coquimbo, para el Año 2021"/>
        <s v="Capacidad Instalada (MW) de Centrales de Energía Renovable y No Renovable en la Región de Valparaíso, para el Año 2021"/>
        <s v="Capacidad Instalada (MW) de Centrales de Energía Renovable y No Renovable en la Región de O'Higgins, para el Año 2021"/>
        <s v="Capacidad Instalada (MW) de Centrales de Energía Renovable y No Renovable en la Región de Maule, para el Año 2021"/>
        <s v="Capacidad Instalada (MW) de Centrales de Energía Renovable y No Renovable en la Región del Biobío, para el Año 2021"/>
        <s v="Capacidad Instalada (MW) de Centrales de Energía Renovable y No Renovable en la Región de La Araucanía, para el Año 2021"/>
        <s v="Capacidad Instalada (MW) de Centrales de Energía Renovable y No Renovable en la Región de Los Lagos, para el Año 2021"/>
        <s v="Capacidad Instalada (MW) de Centrales de Energía Renovable y No Renovable en la Región de Aysén, para el Año 2021"/>
        <s v="Capacidad Instalada (MW) de Centrales de Energía Renovable y No Renovable en la Región de Magallanes, para el Año 2021"/>
        <s v="Capacidad Instalada (MW) de Centrales de Energía Renovable y No Renovable en la Región Metropolitana, para el Año 2021"/>
        <s v="Capacidad Instalada (MW) de Centrales de Energía Renovable y No Renovable en la Región de Los Ríos, para el Año 2021"/>
        <s v="Capacidad Instalada (MW) de Centrales de Energía Renovable y No Renovable en la Región de Arica y Parinacota, para el Año 2021"/>
        <s v="Capacidad Instalada (MW) de Centrales de Energía Renovable y No Renovable en la Región de Ñuble, para el Año 2021"/>
        <s v="Producción Agrícola (t) en Chile en el Periodo 1979-2020"/>
        <s v="Producción Agrícola (t) en la Región de Tarapacá en el Periodo 1979-2020"/>
        <s v="Producción Agrícola (t) en la Región de Antofagasta en el Periodo 1979-2020"/>
        <s v="Producción Agrícola (t) en la Región de Atacama en el Periodo 1979-2020"/>
        <s v="Producción Agrícola (t) en la Región de Coquimbo en el Periodo 1979-2020"/>
        <s v="Producción Agrícola (t) en la Región de Valparaíso en el Periodo 1979-2020"/>
        <s v="Producción Agrícola (t) en la Región de O'Higgins en el Periodo 1979-2020"/>
        <s v="Producción Agrícola (t) en la Región de Maule en el Periodo 1979-2020"/>
        <s v="Producción Agrícola (t) en la Región del Biobío en el Periodo 1979-2020"/>
        <s v="Producción Agrícola (t) en la Región de La Araucanía en el Periodo 1979-2020"/>
        <s v="Producción Agrícola (t) en la Región de Los Lagos en el Periodo 1979-2020"/>
        <s v="Producción Agrícola (t) en la Región de Aysén en el Periodo 1979-2020"/>
        <s v="Producción Agrícola (t) en la Región de Magallanes en el Periodo 1979-2020"/>
        <s v="Producción Agrícola (t) en la Región Metropolitana en el Periodo 1979-2020"/>
        <s v="Producción Agrícola (t) en la Región de Los Ríos en el Periodo 1979-2020"/>
        <s v="Producción Agrícola (t) en la Región de Arica y Parinacota en el Periodo 1979-2020"/>
        <s v="Producción Agrícola (t) en la Región de Ñuble en el Periodo 1979-2020"/>
        <s v="Volumen de Importaciones (t) de frutas tropicales y subtropicales, en el Periodo 2012-2020"/>
        <s v="Volumen de Importaciones (t) por Procesamiento, en el Periodo 2012-2020"/>
        <s v="Evolución de Casos de Cáncer de Cuello Uterino en Chile durante el Periodo 2011-2018"/>
        <s v="Evolución de Población en Control en el Programa de VIH/SIDA según sexo en Chile durante el Periodo 2011-2018"/>
        <s v="Evolución de Población en Control en el Programa de VIH/SIDA según sexo en Región de Tarapacá durante el Periodo 2011-2018"/>
        <s v="Evolución de Población en Control en el Programa de VIH/SIDA según sexo en Región de Antofagasta durante el Periodo 2011-2018"/>
        <s v="Evolución de Población en Control en el Programa de VIH/SIDA según sexo en Región de Atacama durante el Periodo 2011-2018"/>
        <s v="Evolución de Población en Control en el Programa de VIH/SIDA según sexo en Región de Coquimbo durante el Periodo 2011-2018"/>
        <s v="Evolución de Población en Control en el Programa de VIH/SIDA según sexo en Región de Valparaíso durante el Periodo 2011-2018"/>
        <s v="Evolución de Población en Control en el Programa de VIH/SIDA según sexo en Región de O'Higgins durante el Periodo 2011-2018"/>
        <s v="Evolución de Población en Control en el Programa de VIH/SIDA según sexo en Región de Maule durante el Periodo 2011-2018"/>
        <s v="Evolución de Población en Control en el Programa de VIH/SIDA según sexo en Región del Biobío durante el Periodo 2011-2018"/>
        <s v="Evolución de Población en Control en el Programa de VIH/SIDA según sexo en Región de La Araucanía durante el Periodo 2011-2018"/>
        <s v="Evolución de Población en Control en el Programa de VIH/SIDA según sexo en Región de Los Lagos durante el Periodo 2011-2018"/>
        <s v="Evolución de Población en Control en el Programa de VIH/SIDA según sexo en Región de Aysén durante el Periodo 2011-2018"/>
        <s v="Evolución de Población en Control en el Programa de VIH/SIDA según sexo en Región de Magallanes durante el Periodo 2011-2018"/>
        <s v="Evolución de Población en Control en el Programa de VIH/SIDA según sexo en Región Metropolitana durante el Periodo 2011-2018"/>
        <s v="Evolución de Población en Control en el Programa de VIH/SIDA según sexo en Región de Los Ríos durante el Periodo 2011-2018"/>
        <s v="Evolución de Población en Control en el Programa de VIH/SIDA según sexo en Región de Arica y Parinacota durante el Periodo 2011-2018"/>
        <s v="Evolución de Población en Control en el Programa de VIH/SIDA según sexo en Región de Ñuble durante el Periodo 2011-2018"/>
        <s v="Cantidad de comunas por región según grado de vulnerabilidad al cambio climático, POR DEFINIR"/>
        <s v="Cantidad de comunas según grado de vulnerabilidad al cambio climático, Región de Tarapacá, POR DEFINIR"/>
        <s v="Cantidad de comunas según grado de vulnerabilidad al cambio climático, Región de Antofagasta, POR DEFINIR"/>
        <s v="Cantidad de comunas según grado de vulnerabilidad al cambio climático, Región de Atacama, POR DEFINIR"/>
        <s v="Cantidad de comunas según grado de vulnerabilidad al cambio climático, Región de Coquimbo, POR DEFINIR"/>
        <s v="Cantidad de comunas según grado de vulnerabilidad al cambio climático, Región de Valparaíso, POR DEFINIR"/>
        <s v="Cantidad de comunas según grado de vulnerabilidad al cambio climático, Región de O'Higgins, POR DEFINIR"/>
        <s v="Cantidad de comunas según grado de vulnerabilidad al cambio climático, Región de Maule, POR DEFINIR"/>
        <s v="Cantidad de comunas según grado de vulnerabilidad al cambio climático, Región del Biobío, POR DEFINIR"/>
        <s v="Cantidad de comunas según grado de vulnerabilidad al cambio climático, Región de La Araucanía, POR DEFINIR"/>
        <s v="Cantidad de comunas según grado de vulnerabilidad al cambio climático, Región de Los Lagos, POR DEFINIR"/>
        <s v="Cantidad de comunas según grado de vulnerabilidad al cambio climático, Región de Aysén, POR DEFINIR"/>
        <s v="Cantidad de comunas según grado de vulnerabilidad al cambio climático, Región de Magallanes, POR DEFINIR"/>
        <s v="Cantidad de comunas según grado de vulnerabilidad al cambio climático, Región Metropolitana, POR DEFINIR"/>
        <s v="Cantidad de comunas según grado de vulnerabilidad al cambio climático, Región de Los Ríos, POR DEFINIR"/>
        <s v="Cantidad de comunas según grado de vulnerabilidad al cambio climático, Región de Arica y Parinacota, POR DEFINIR"/>
        <s v="Cantidad de comunas según grado de vulnerabilidad al cambio climático, Región de Ñuble, POR DEFINIR"/>
        <s v="Mapa de Comunas con ALTA Vulnerabilidad al Cambio Climático en Chile, POR DEFINIR"/>
        <s v="Ranking de las regiones con mayor Vulnerabilidad al Cambio Climático en Chile, POR DEFINIR"/>
        <s v="Superficie de glaciares en Chile para el Periodo 2016-2021"/>
        <s v="Superficie de glaciares en la Región de Tarapacá para el Periodo 2016-2021"/>
        <s v="Superficie de glaciares en la Región de Antofagasta para el Periodo 2016-2021"/>
        <s v="Superficie de glaciares en la Región de Atacama para el Periodo 2016-2021"/>
        <s v="Superficie de glaciares en la Región de Coquimbo para el Periodo 2016-2021"/>
        <s v="Superficie de glaciares en la Región de Valparaíso para el Periodo 2016-2021"/>
        <s v="Superficie de glaciares en la Región de O'Higgins para el Periodo 2016-2021"/>
        <s v="Superficie de glaciares en la Región de Maule para el Periodo 2016-2021"/>
        <s v="Superficie de glaciares en la Región del Biobío para el Periodo 2016-2021"/>
        <s v="Superficie de glaciares en la Región de La Araucanía para el Periodo 2016-2021"/>
        <s v="Superficie de glaciares en la Región de Los Lagos para el Periodo 2016-2021"/>
        <s v="Superficie de glaciares en la Región de Aysén para el Periodo 2016-2021"/>
        <s v="Superficie de glaciares en la Región de Magallanes para el Periodo 2016-2021"/>
        <s v="Superficie de glaciares en la Región Metropolitana para el Periodo 2016-2021"/>
        <s v="Superficie de glaciares en la Región de Los Ríos para el Periodo 2016-2021"/>
        <s v="Superficie de glaciares en la Región de Arica y Parinacota para el Periodo 2016-2021"/>
        <s v="Superficie de glaciares en la Región de Ñuble para el Periodo 2016-2021"/>
        <s v="Representación geográfica de regiones con la proporción de comunas que poseen IPT's locales, para el Año 2020"/>
        <s v="Desembarque total por tipo (industrial o artesanal) a nivel regional en Chile para el Año 2019"/>
        <s v="Desembarque total por tipo (industrial o artesanal) en la Región de Tarapacá para el Año 2019"/>
        <s v="Sentencias Dictadas por delitos de Abuso Sexual en la Región de Antofagasta para el Año 2019"/>
        <s v="Sentencias Dictadas por delitos de Abuso Sexual en la Región de Atacama para el Año 2019"/>
        <s v="Sentencias Dictadas por delitos de Abuso Sexual en la Región de Coquimbo para el Año 2019"/>
        <s v="Sentencias Dictadas por delitos de Abuso Sexual en la Región de Valparaíso para el Año 2019"/>
        <s v="Sentencias Dictadas por delitos de Abuso Sexual en la Región de O'Higgins para el Año 2019"/>
        <s v="Sentencias Dictadas por delitos de Abuso Sexual en la Región de Maule para el Año 2019"/>
        <s v="Sentencias Dictadas por delitos de Abuso Sexual en la Región del Biobío para el Año 2019"/>
        <s v="Sentencias Dictadas por delitos de Abuso Sexual en la Región de La Araucanía para el Año 2019"/>
        <s v="Sentencias Dictadas por delitos de Abuso Sexual en la Región de Los Lagos para el Año 2019"/>
        <s v="Sentencias Dictadas por delitos de Abuso Sexual en la Región de Aysén para el Año 2019"/>
        <s v="Sentencias Dictadas por delitos de Abuso Sexual en la Región de Magallanes para el Año 2019"/>
        <s v="Sentencias Dictadas por delitos de Abuso Sexual en la Región Metropolitana para el Año 2019"/>
        <s v="Sentencias Dictadas por delitos de Abuso Sexual en la Región de Los Ríos para el Año 2019"/>
        <s v="Sentencias Dictadas por delitos de Abuso Sexual en la Región de Arica y Parinacota para el Año 2019"/>
        <s v="Sentencias Dictadas por delitos de Abuso Sexual en la Región de Ñuble para el Año 2019"/>
        <s v="Población perteneciente a pueblos originarios por región en Chile, POR DEFINIR"/>
        <s v="Cantidad de defunciones anuales por región en Chile, Periodo 2010-2021"/>
        <s v="Cantidad de defunciones anuales en la Región de Tarapacá, Periodo 2010-2021"/>
        <s v="Cantidad de defunciones anuales en la Región de Antofagasta, Periodo 2010-2021"/>
        <s v="Cantidad de defunciones anuales en la Región de Atacama, Periodo 2010-2021"/>
        <s v="Cantidad de defunciones anuales en la Región de Coquimbo, Periodo 2010-2021"/>
        <s v="Cantidad de defunciones anuales en la Región de Valparaíso, Periodo 2010-2021"/>
        <s v="Cantidad de defunciones anuales en la Región de O'Higgins, Periodo 2010-2021"/>
        <s v="Cantidad de defunciones anuales en la Región de Maule, Periodo 2010-2021"/>
        <s v="Cantidad de defunciones anuales en la Región del Biobío, Periodo 2010-2021"/>
        <s v="Cantidad de defunciones anuales en la Región de La Araucanía, Periodo 2010-2021"/>
        <s v="Cantidad de defunciones anuales en la Región de Los Lagos, Periodo 2010-2021"/>
        <s v="Cantidad de defunciones anuales en la Región de Aysén, Periodo 2010-2021"/>
        <s v="Cantidad de defunciones anuales en la Región de Magallanes, Periodo 2010-2021"/>
        <s v="Cantidad de defunciones anuales en la Región Metropolitana, Periodo 2010-2021"/>
        <s v="Cantidad de defunciones anuales en la Región de Los Ríos, Periodo 2010-2021"/>
        <s v="Cantidad de defunciones anuales en la Región de Arica y Parinacota, Periodo 2010-2021"/>
        <s v="Cantidad de defunciones anuales en la Región de Ñuble, Periodo 2010-2021"/>
        <s v="Cantidad de nacimientos anuales por región en Chile, Periodo 2010-2021"/>
        <s v="Cantidad de nacimientos anuales en la Región de Tarapacá, Periodo 2010-2021"/>
        <s v="Cantidad de nacimientos anuales en la Región de Antofagasta, Periodo 2010-2021"/>
        <s v="Cantidad de nacimientos anuales en la Región de Atacama, Periodo 2010-2021"/>
        <s v="Cantidad de nacimientos anuales en la Región de Coquimbo, Periodo 2010-2021"/>
        <s v="Cantidad de nacimientos anuales en la Región de Valparaíso, Periodo 2010-2021"/>
        <s v="Cantidad de nacimientos anuales en la Región de O'Higgins, Periodo 2010-2021"/>
        <s v="Cantidad de nacimientos anuales en la Región de Maule, Periodo 2010-2021"/>
        <s v="Cantidad de nacimientos anuales en la Región del Biobío, Periodo 2010-2021"/>
        <s v="Cantidad de nacimientos anuales en la Región de La Araucanía, Periodo 2010-2021"/>
        <s v="Cantidad de nacimientos anuales en la Región de Los Lagos, Periodo 2010-2021"/>
        <s v="Cantidad de nacimientos anuales en la Región de Aysén, Periodo 2010-2021"/>
        <s v="Cantidad de nacimientos anuales en la Región de Magallanes, Periodo 2010-2021"/>
        <s v="Cantidad de nacimientos anuales en la Región Metropolitana, Periodo 2010-2021"/>
        <s v="Cantidad de nacimientos anuales en la Región de Los Ríos, Periodo 2010-2021"/>
        <s v="Cantidad de nacimientos anuales en la Región de Arica y Parinacota, Periodo 2010-2021"/>
        <s v="Cantidad de nacimientos anuales en la Región de Ñuble, Periodo 2010-2021"/>
        <s v="Cantidad de permisos de circulación según tipo de vehículo en Chile, Periodo 2008-2019"/>
        <s v="Cantidad de permisos de circulación según tipo de vehículo en la Región de Tarapacá, Periodo 2008-2019"/>
        <s v="Cantidad de permisos de circulación según tipo de vehículo en la Región de Antofagasta, Periodo 2008-2019"/>
        <s v="Cantidad de permisos de circulación según tipo de vehículo en la Región de Atacama, Periodo 2008-2019"/>
        <s v="Cantidad de permisos de circulación según tipo de vehículo en la Región de Coquimbo, Periodo 2008-2019"/>
        <s v="Cantidad de permisos de circulación según tipo de vehículo en la Región de Valparaíso, Periodo 2008-2019"/>
        <s v="Cantidad de permisos de circulación según tipo de vehículo en la Región de O'Higgins, Periodo 2008-2019"/>
        <s v="Cantidad de permisos de circulación según tipo de vehículo en la Región de Maule, Periodo 2008-2019"/>
        <s v="Cantidad de permisos de circulación según tipo de vehículo en la Región del Biobío, Periodo 2008-2019"/>
        <s v="Cantidad de permisos de circulación según tipo de vehículo en la Región de La Araucanía, Periodo 2008-2019"/>
        <s v="Cantidad de permisos de circulación según tipo de vehículo en la Región de Los Lagos, Periodo 2008-2019"/>
        <s v="Cantidad de permisos de circulación según tipo de vehículo en la Región de Aysén, Periodo 2008-2019"/>
        <s v="Cantidad de permisos de circulación según tipo de vehículo en la Región de Magallanes, Periodo 2008-2019"/>
        <s v="Cantidad de permisos de circulación según tipo de vehículo en la Región Metropolitana, Periodo 2008-2019"/>
        <s v="Cantidad de permisos de circulación según tipo de vehículo en la Región de Los Ríos, Periodo 2008-2019"/>
        <s v="Cantidad de permisos de circulación según tipo de vehículo en la Región de Arica y Parinacota, Periodo 2008-2019"/>
        <s v="Cantidad de permisos de circulación según tipo de vehículo en la Región de Ñuble, Periodo 2008-2019"/>
        <s v="Emisiones (t) de CO2 por Tipo de Combustible en Chile, Periodo 1990-2019"/>
        <s v="Variación Porcentual (%) Anual de Emisiones de CO2 por Quema de Combustible en Chile, Periodo 1990-2019"/>
        <s v="Emisiones per cápita (t) de CO2 por Quema de Combustible en Chile, para el Periodo 1990-2019 y previsión 2020-2025"/>
        <s v="Proporción de CO2 Emitido por Quema de Combustible con respecto al Año Anterior en Chile, Periodo 1990-2019"/>
        <s v="Diferencia porcentual con respecto al año anterior de trabajadores dependientes informados por género, Periodo 2005-2019"/>
        <s v="Número de trabajadores informados por tipo de contrato para cada año en Chile, Periodo 2005-2019"/>
        <s v="Número de trabajadores informados por tipo de contrato para cada año en la Región de Tarapacá, Periodo 2005-2019"/>
        <s v="Número de trabajadores informados por tipo de contrato para cada año en la Región de Antofagasta, Periodo 2005-2019"/>
        <s v="Número de trabajadores informados por tipo de contrato para cada año en la Región de Atacama, Periodo 2005-2019"/>
        <s v="Número de trabajadores informados por tipo de contrato para cada año en la Región de Coquimbo, Periodo 2005-2019"/>
        <s v="Número de trabajadores informados por tipo de contrato para cada año en la Región de Valparaíso, Periodo 2005-2019"/>
        <s v="Número de trabajadores informados por tipo de contrato para cada año en la Región de O'Higgins, Periodo 2005-2019"/>
        <s v="Número de trabajadores informados por tipo de contrato para cada año en la Región de Maule, Periodo 2005-2019"/>
        <s v="Número de trabajadores informados por tipo de contrato para cada año en la Región del Biobío, Periodo 2005-2019"/>
        <s v="Número de trabajadores informados por tipo de contrato para cada año en la Región de La Araucanía, Periodo 2005-2019"/>
        <s v="Número de trabajadores informados por tipo de contrato para cada año en la Región de Los Lagos, Periodo 2005-2019"/>
        <s v="Número de trabajadores informados por tipo de contrato para cada año en la Región de Aysén, Periodo 2005-2019"/>
        <s v="Número de trabajadores informados por tipo de contrato para cada año en la Región de Magallanes, Periodo 2005-2019"/>
        <s v="Número de trabajadores informados por tipo de contrato para cada año en la Región Metropolitana, Periodo 2005-2019"/>
        <s v="Número de trabajadores informados por tipo de contrato para cada año en la Región de Los Ríos, Periodo 2005-2019"/>
        <s v="Número de trabajadores informados por tipo de contrato para cada año en la Región de Arica y Parinacota, Periodo 2005-2019"/>
        <s v="Número de trabajadores informados por tipo de contrato para cada año en la Región de Ñuble, Periodo 2005-2019"/>
        <s v="Evolución de Puntaje SIMCE de Lectura por Dependencia de Establecimientos para 4° Básico en Chile para el Periodo 2015 - 2018"/>
        <s v="Evolución de Puntaje SIMCE de Lectura por Dependencia de Establecimientos para 4° Básico en la Región de Tarapacá para el Periodo 2015 - 2018"/>
        <s v="Evolución de Puntaje SIMCE de Lectura por Dependencia de Establecimientos para 4° Básico en la Región de Antofagasta para el Periodo 2015 - 2018"/>
        <s v="Evolución de Puntaje SIMCE de Lectura por Dependencia de Establecimientos para 4° Básico en la Región de Atacama para el Periodo 2015 - 2018"/>
        <s v="Evolución de Puntaje SIMCE de Lectura por Dependencia de Establecimientos para 4° Básico en la Región de Coquimbo para el Periodo 2015 - 2018"/>
        <s v="Evolución de Puntaje SIMCE de Lectura por Dependencia de Establecimientos para 4° Básico en la Región de Valparaíso para el Periodo 2015 - 2018"/>
        <s v="Evolución de Puntaje SIMCE de Lectura por Dependencia de Establecimientos para 4° Básico en la Región de O'Higgins para el Periodo 2015 - 2018"/>
        <s v="Evolución de Puntaje SIMCE de Lectura por Dependencia de Establecimientos para 4° Básico en la Región de Maule para el Periodo 2015 - 2018"/>
        <s v="Evolución de Puntaje SIMCE de Lectura por Dependencia de Establecimientos para 4° Básico en la Región del Biobío para el Periodo 2015 - 2018"/>
        <s v="Evolución de Puntaje SIMCE de Lectura por Dependencia de Establecimientos para 4° Básico en la Región de La Araucanía para el Periodo 2015 - 2018"/>
        <s v="Evolución de Puntaje SIMCE de Lectura por Dependencia de Establecimientos para 4° Básico en la Región de Los Lagos para el Periodo 2015 - 2018"/>
        <s v="Evolución de Puntaje SIMCE de Lectura por Dependencia de Establecimientos para 4° Básico en la Región de Aysén para el Periodo 2015 - 2018"/>
        <s v="Evolución de Puntaje SIMCE de Lectura por Dependencia de Establecimientos para 4° Básico en la Región de Magallanes para el Periodo 2015 - 2018"/>
        <s v="Evolución de Puntaje SIMCE de Lectura por Dependencia de Establecimientos para 4° Básico en la Región Metropolitana para el Periodo 2015 - 2018"/>
        <s v="Evolución de Puntaje SIMCE de Lectura por Dependencia de Establecimientos para 4° Básico en la Región de Los Ríos para el Periodo 2015 - 2018"/>
        <s v="Evolución de Puntaje SIMCE de Lectura por Dependencia de Establecimientos para 4° Básico en la Región de Arica y Parinacota para el Periodo 2015 - 2018"/>
        <s v="Evolución de Puntaje SIMCE de Lectura por Dependencia de Establecimientos para 4° Básico en la Región de Ñuble para el Periodo 2015 - 2018"/>
        <s v="Evolución de Puntaje SIMCE de Lectura según área urbana o rural para 6° Básico en Chile para el Periodo 2015 - 2018"/>
        <s v="Evolución de Puntaje SIMCE de Lectura según área urbana o rural para 6° Básico en la Región de Tarapacá para el Periodo 2015 - 2018"/>
        <s v="Evolución de Puntaje SIMCE de Lectura según área urbana o rural para 6° Básico en la Región de Antofagasta para el Periodo 2015 - 2018"/>
        <s v="Evolución de Puntaje SIMCE de Lectura según área urbana o rural para 6° Básico en la Región de Atacama para el Periodo 2015 - 2018"/>
        <s v="Evolución de Puntaje SIMCE de Lectura según área urbana o rural para 6° Básico en la Región de Coquimbo para el Periodo 2015 - 2018"/>
        <s v="Evolución de Puntaje SIMCE de Lectura según área urbana o rural para 6° Básico en la Región de Valparaíso para el Periodo 2015 - 2018"/>
        <s v="Evolución de Puntaje SIMCE de Lectura según área urbana o rural para 6° Básico en la Región de O'Higgins para el Periodo 2015 - 2018"/>
        <s v="Evolución de Puntaje SIMCE de Lectura según área urbana o rural para 6° Básico en la Región de Maule para el Periodo 2015 - 2018"/>
        <s v="Evolución de Puntaje SIMCE de Lectura según área urbana o rural para 6° Básico en la Región del Biobío para el Periodo 2015 - 2018"/>
        <s v="Evolución de Puntaje SIMCE de Lectura según área urbana o rural para 6° Básico en la Región de La Araucanía para el Periodo 2015 - 2018"/>
        <s v="Evolución de Puntaje SIMCE de Lectura según área urbana o rural para 6° Básico en la Región de Los Lagos para el Periodo 2015 - 2018"/>
        <s v="Evolución de Puntaje SIMCE de Lectura según área urbana o rural para 6° Básico en la Región de Aysén para el Periodo 2015 - 2018"/>
        <s v="Evolución de Puntaje SIMCE de Lectura según área urbana o rural para 6° Básico en la Región de Magallanes para el Periodo 2015 - 2018"/>
        <s v="Evolución de Puntaje SIMCE de Lectura según área urbana o rural para 6° Básico en la Región Metropolitana para el Periodo 2015 - 2018"/>
        <s v="Evolución de Puntaje SIMCE de Lectura según área urbana o rural para 6° Básico en la Región de Los Ríos para el Periodo 2015 - 2018"/>
        <s v="Evolución de Puntaje SIMCE de Lectura según área urbana o rural para 6° Básico en la Región de Arica y Parinacota para el Periodo 2015 - 2018"/>
        <s v="Evolución de Puntaje SIMCE de Lectura según área urbana o rural para 6° Básico en la Región de Ñuble para el Periodo 2015 - 2018"/>
        <s v="Mapa Puntaje Promedio y Máximo en prueba SIMCE de Lectura de 8vo Básico por Comuna en Chile para el Año 2020"/>
        <s v="Mapa Puntaje Promedio y Máximo en prueba SIMCE de Lectura de 8vo Básico por Comuna en la Región de Tarapacá para el Año 2020"/>
        <s v="Mapa Puntaje Promedio y Máximo en prueba SIMCE de Lectura de 8vo Básico por Comuna en la Región de Antofagasta para el Año 2020"/>
        <s v="Mapa Puntaje Promedio y Máximo en prueba SIMCE de Lectura de 8vo Básico por Comuna en la Región de Atacama para el Año 2020"/>
        <s v="Mapa Puntaje Promedio y Máximo en prueba SIMCE de Lectura de 8vo Básico por Comuna en la Región de Coquimbo para el Año 2020"/>
        <s v="Mapa Puntaje Promedio y Máximo en prueba SIMCE de Lectura de 8vo Básico por Comuna en la Región de Valparaíso para el Año 2020"/>
        <s v="Mapa Puntaje Promedio y Máximo en prueba SIMCE de Lectura de 8vo Básico por Comuna en la Región de O'Higgins para el Año 2020"/>
        <s v="Mapa Puntaje Promedio y Máximo en prueba SIMCE de Lectura de 8vo Básico por Comuna en la Región de Maule para el Año 2020"/>
        <s v="Mapa Puntaje Promedio y Máximo en prueba SIMCE de Lectura de 8vo Básico por Comuna en la Región del Biobío para el Año 2020"/>
        <s v="Mapa Puntaje Promedio y Máximo en prueba SIMCE de Lectura de 8vo Básico por Comuna en la Región de La Araucanía para el Año 2020"/>
        <s v="Mapa Puntaje Promedio y Máximo en prueba SIMCE de Lectura de 8vo Básico por Comuna en la Región de Los Lagos para el Año 2020"/>
        <s v="Mapa Puntaje Promedio y Máximo en prueba SIMCE de Lectura de 8vo Básico por Comuna en la Región de Aysén para el Año 2020"/>
        <s v="Mapa Puntaje Promedio y Máximo en prueba SIMCE de Lectura de 8vo Básico por Comuna en la Región de Magallanes para el Año 2020"/>
        <s v="Mapa Puntaje Promedio y Máximo en prueba SIMCE de Lectura de 8vo Básico por Comuna en la Región Metropolitana para el Año 2020"/>
        <s v="Mapa Puntaje Promedio y Máximo en prueba SIMCE de Lectura de 8vo Básico por Comuna en la Región de Los Ríos para el Año 2020"/>
        <s v="Mapa Puntaje Promedio y Máximo en prueba SIMCE de Lectura de 8vo Básico por Comuna en la Región de Arica y Parinacota para el Año 2020"/>
        <s v="Mapa Puntaje Promedio y Máximo en prueba SIMCE de Lectura de 8vo Básico por Comuna en la Región de Ñuble para el Año 2020"/>
        <s v="Evolución del Indicador de Participación y formación ciudadana por Dependencia de Establecimientos en Chile para el Periodo 2014 - 2019"/>
        <s v="Evolución del Indicador de Participación y formación ciudadana por Dependencia de Establecimientos en la Región de Tarapacá para el Periodo 2014 - 2019"/>
        <s v="Evolución del Indicador de Participación y formación ciudadana por Dependencia de Establecimientos en la Región de Antofagasta para el Periodo 2014 - 2019"/>
        <s v="Evolución del Indicador de Participación y formación ciudadana por Dependencia de Establecimientos en la Región de Atacama para el Periodo 2014 - 2019"/>
        <s v="Evolución del Indicador de Participación y formación ciudadana por Dependencia de Establecimientos en la Región de Coquimbo para el Periodo 2014 - 2019"/>
        <s v="Evolución del Indicador de Participación y formación ciudadana por Dependencia de Establecimientos en la Región de Valparaíso para el Periodo 2014 - 2019"/>
        <s v="Evolución del Indicador de Participación y formación ciudadana por Dependencia de Establecimientos en la Región de O'Higgins para el Periodo 2014 - 2019"/>
        <s v="Evolución del Indicador de Participación y formación ciudadana por Dependencia de Establecimientos en la Región de Maule para el Periodo 2014 - 2019"/>
        <s v="Evolución del Indicador de Participación y formación ciudadana por Dependencia de Establecimientos en la Región del Biobío para el Periodo 2014 - 2019"/>
        <s v="Evolución del Indicador de Participación y formación ciudadana por Dependencia de Establecimientos en la Región de La Araucanía para el Periodo 2014 - 2019"/>
        <s v="Evolución del Indicador de Participación y formación ciudadana por Dependencia de Establecimientos en la Región de Los Lagos para el Periodo 2014 - 2019"/>
        <s v="Evolución del Indicador de Participación y formación ciudadana por Dependencia de Establecimientos en la Región de Aysén para el Periodo 2014 - 2019"/>
        <s v="Evolución del Indicador de Participación y formación ciudadana por Dependencia de Establecimientos en la Región de Magallanes para el Periodo 2014 - 2019"/>
        <s v="Evolución del Indicador de Participación y formación ciudadana por Dependencia de Establecimientos en la Región Metropolitana para el Periodo 2014 - 2019"/>
        <s v="Evolución del Indicador de Participación y formación ciudadana por Dependencia de Establecimientos en la Región de Los Ríos para el Periodo 2014 - 2019"/>
        <s v="Evolución del Indicador de Participación y formación ciudadana por Dependencia de Establecimientos en la Región de Arica y Parinacota para el Periodo 2014 - 2019"/>
        <s v="Evolución del Indicador de Participación y formación ciudadana por Dependencia de Establecimientos en la Región de Ñuble para el Periodo 2014 - 2019"/>
        <s v="Edad de Víctimas de Femicidios en Chile para el Periodo 2010-2021"/>
        <s v="Edad de Víctimas de Femicidios en la Región de Tarapacá para el Periodo 2010-2021"/>
        <s v="Edad de Víctimas de Femicidios en la Región de Antofagasta para el Periodo 2010-2021"/>
        <s v="Edad de Víctimas de Femicidios en la Región de Atacama para el Periodo 2010-2021"/>
        <s v="Edad de Víctimas de Femicidios en la Región de Coquimbo para el Periodo 2010-2021"/>
        <s v="Edad de Víctimas de Femicidios en la Región de Valparaíso para el Periodo 2010-2021"/>
        <s v="Edad de Víctimas de Femicidios en la Región de O'Higgins para el Periodo 2010-2021"/>
        <s v="Edad de Víctimas de Femicidios en la Región de Maule para el Periodo 2010-2021"/>
        <s v="Edad de Víctimas de Femicidios en la Región del Biobío para el Periodo 2010-2021"/>
        <s v="Edad de Víctimas de Femicidios en la Región de La Araucanía para el Periodo 2010-2021"/>
        <s v="Edad de Víctimas de Femicidios en la Región de Los Lagos para el Periodo 2010-2021"/>
        <s v="Edad de Víctimas de Femicidios en la Región de Aysén para el Periodo 2010-2021"/>
        <s v="Edad de Víctimas de Femicidios en la Región de Magallanes para el Periodo 2010-2021"/>
        <s v="Edad de Víctimas de Femicidios en la Región Metropolitana para el Periodo 2010-2021"/>
        <s v="Edad de Víctimas de Femicidios en la Región de Los Ríos para el Periodo 2010-2021"/>
        <s v="Edad de Víctimas de Femicidios en la Región de Arica y Parinacota para el Periodo 2010-2021"/>
        <s v="Edad de Víctimas de Femicidios en la Región de Ñuble para el Periodo 2010-2021"/>
        <s v="Relación Víctima-Femicida en Chile para el Periodo 2010-2021"/>
        <s v="Relación Víctima-Femicida en la Región de Tarapacá para el Periodo 2010-2021"/>
        <s v="Relación Víctima-Femicida en la Región de Antofagasta para el Periodo 2010-2021"/>
        <s v="Relación Víctima-Femicida en la Región de Atacama para el Periodo 2010-2021"/>
        <s v="Relación Víctima-Femicida en la Región de Coquimbo para el Periodo 2010-2021"/>
        <s v="Relación Víctima-Femicida en la Región de Valparaíso para el Periodo 2010-2021"/>
        <s v="Relación Víctima-Femicida en la Región de O'Higgins para el Periodo 2010-2021"/>
        <s v="Relación Víctima-Femicida en la Región de Maule para el Periodo 2010-2021"/>
        <s v="Relación Víctima-Femicida en la Región del Biobío para el Periodo 2010-2021"/>
        <s v="Relación Víctima-Femicida en la Región de La Araucanía para el Periodo 2010-2021"/>
        <s v="Relación Víctima-Femicida en la Región de Los Lagos para el Periodo 2010-2021"/>
        <s v="Relación Víctima-Femicida en la Región de Aysén para el Periodo 2010-2021"/>
        <s v="Relación Víctima-Femicida en la Región de Magallanes para el Periodo 2010-2021"/>
        <s v="Relación Víctima-Femicida en la Región Metropolitana para el Periodo 2010-2021"/>
        <s v="Relación Víctima-Femicida en la Región de Los Ríos para el Periodo 2010-2021"/>
        <s v="Relación Víctima-Femicida en la Región de Arica y Parinacota para el Periodo 2010-2021"/>
        <s v="Relación Víctima-Femicida en la Región de Ñuble para el Periodo 2010-2021"/>
        <s v="Evolución Comparada Anual de Femicidios en Chile para el Periodo 2018-2021"/>
        <s v="Evolución de Femicidios por mes en Chile para el Periodo 2010-2021"/>
        <s v="Evolución de Parque Vehicular Escolar por Región en Chile para el Periodo 2014-2021"/>
        <s v="Detalle de programas e instituciones evaluados por ministerio en Chile durante el Periodo 1997-2020"/>
        <s v="Evolución de número de fallecidos por 1 millón de habitantes por comuna en Chile durante el Periodo 2020-2021"/>
        <s v="Evolución de número de fallecidos por 1 millón de habitantes por comuna en la Región de Tarapacá durante el Periodo 2020-2021"/>
        <s v="Evolución de número de fallecidos por 1 millón de habitantes por comuna en la Región de Antofagasta durante el Periodo 2020-2021"/>
        <s v="Evolución de número de fallecidos por 1 millón de habitantes por comuna en la Región de Atacama durante el Periodo 2020-2021"/>
        <s v="Evolución de número de fallecidos por 1 millón de habitantes por comuna en la Región de Coquimbo durante el Periodo 2020-2021"/>
        <s v="Evolución de número de fallecidos por 1 millón de habitantes por comuna en la Región de Valparaíso durante el Periodo 2020-2021"/>
        <s v="Evolución de número de fallecidos por 1 millón de habitantes por comuna en la Región de O'Higgins durante el Periodo 2020-2021"/>
        <s v="Evolución de número de fallecidos por 1 millón de habitantes por comuna en la Región de Maule durante el Periodo 2020-2021"/>
        <s v="Evolución de número de fallecidos por 1 millón de habitantes por comuna en la Región del Biobío durante el Periodo 2020-2021"/>
        <s v="Evolución de número de fallecidos por 1 millón de habitantes por comuna en la Región de La Araucanía durante el Periodo 2020-2021"/>
        <s v="Evolución de número de fallecidos por 1 millón de habitantes por comuna en la Región de Los Lagos durante el Periodo 2020-2021"/>
        <s v="Evolución de número de fallecidos por 1 millón de habitantes por comuna en la Región de Aysén durante el Periodo 2020-2021"/>
        <s v="Evolución de número de fallecidos por 1 millón de habitantes por comuna en la Región de Magallanes durante el Periodo 2020-2021"/>
        <s v="Evolución de número de fallecidos por 1 millón de habitantes por comuna en la Región Metropolitana durante el Periodo 2020-2021"/>
        <s v="Evolución de número de fallecidos por 1 millón de habitantes por comuna en la Región de Los Ríos durante el Periodo 2020-2021"/>
        <s v="Evolución de número de fallecidos por 1 millón de habitantes por comuna en la Región de Arica y Parinacota durante el Periodo 2020-2021"/>
        <s v="Evolución de número de fallecidos por 1 millón de habitantes por comuna en la Región de Ñuble durante el Periodo 2020-2021"/>
        <s v="Evolución de Puntaje SIMCE de Lectura por Dependencia de Establecimientos para 2° Medio en Chile, Periodo 2015-2018"/>
        <s v="Evolución de Puntaje SIMCE de Lectura por Dependencia de Establecimientos para 2° Medio en la Región de Tarapacá, Periodo 2015-2018"/>
        <s v="Evolución de Puntaje SIMCE de Lectura por Dependencia de Establecimientos para 2° Medio en la Región de Antofagasta, Periodo 2015-2018"/>
        <s v="Evolución de Puntaje SIMCE de Lectura por Dependencia de Establecimientos para 2° Medio en la Región de Atacama, Periodo 2015-2018"/>
        <s v="Evolución de Puntaje SIMCE de Lectura por Dependencia de Establecimientos para 2° Medio en la Región de Coquimbo, Periodo 2015-2018"/>
        <s v="Evolución de Puntaje SIMCE de Lectura por Dependencia de Establecimientos para 2° Medio en la Región de Valparaíso, Periodo 2015-2018"/>
        <s v="Evolución de Puntaje SIMCE de Lectura por Dependencia de Establecimientos para 2° Medio en la Región de O'Higgins, Periodo 2015-2018"/>
        <s v="Evolución de Puntaje SIMCE de Lectura por Dependencia de Establecimientos para 2° Medio en la Región de Maule, Periodo 2015-2018"/>
        <s v="Evolución de Puntaje SIMCE de Lectura por Dependencia de Establecimientos para 2° Medio en la Región del Biobío, Periodo 2015-2018"/>
        <s v="Evolución de Puntaje SIMCE de Lectura por Dependencia de Establecimientos para 2° Medio en la Región de La Araucanía, Periodo 2015-2018"/>
        <s v="Evolución de Puntaje SIMCE de Lectura por Dependencia de Establecimientos para 2° Medio en la Región de Los Lagos, Periodo 2015-2018"/>
        <s v="Evolución de Puntaje SIMCE de Lectura por Dependencia de Establecimientos para 2° Medio en la Región de Aysén, Periodo 2015-2018"/>
        <s v="Evolución de Puntaje SIMCE de Lectura por Dependencia de Establecimientos para 2° Medio en la Región de Magallanes, Periodo 2015-2018"/>
        <s v="Evolución de Puntaje SIMCE de Lectura por Dependencia de Establecimientos para 2° Medio en la Región Metropolitana, Periodo 2015-2018"/>
        <s v="Evolución de Puntaje SIMCE de Lectura por Dependencia de Establecimientos para 2° Medio en la Región de Los Ríos, Periodo 2015-2018"/>
        <s v="Evolución de Puntaje SIMCE de Lectura por Dependencia de Establecimientos para 2° Medio en la Región de Arica y Parinacota, Periodo 2015-2018"/>
        <s v="Evolución de Puntaje SIMCE de Lectura por Dependencia de Establecimientos para 2° Medio en la Región de Ñuble, Periodo 2015-2018"/>
        <s v="Evolución de Puntaje SIMCE de Matemáticas por Dependencia de Establecimientos para 2° Medio en Chile, Periodo 2015-2018"/>
        <s v="Evolución de Puntaje SIMCE de Matemáticas por Dependencia de Establecimientos para 2° Medio en la Región de Tarapacá, Periodo 2015-2018"/>
        <s v="Evolución de Puntaje SIMCE de Matemáticas por Dependencia de Establecimientos para 2° Medio en la Región de Antofagasta, Periodo 2015-2018"/>
        <s v="Evolución de Puntaje SIMCE de Matemáticas por Dependencia de Establecimientos para 2° Medio en la Región de Atacama, Periodo 2015-2018"/>
        <s v="Evolución de Puntaje SIMCE de Matemáticas por Dependencia de Establecimientos para 2° Medio en la Región de Coquimbo, Periodo 2015-2018"/>
        <s v="Evolución de Puntaje SIMCE de Matemáticas por Dependencia de Establecimientos para 2° Medio en la Región de Valparaíso, Periodo 2015-2018"/>
        <s v="Evolución de Puntaje SIMCE de Matemáticas por Dependencia de Establecimientos para 2° Medio en la Región de O'Higgins, Periodo 2015-2018"/>
        <s v="Evolución de Puntaje SIMCE de Matemáticas por Dependencia de Establecimientos para 2° Medio en la Región de Maule, Periodo 2015-2018"/>
        <s v="Evolución de Puntaje SIMCE de Matemáticas por Dependencia de Establecimientos para 2° Medio en la Región del Biobío, Periodo 2015-2018"/>
        <s v="Evolución de Puntaje SIMCE de Matemáticas por Dependencia de Establecimientos para 2° Medio en la Región de La Araucanía, Periodo 2015-2018"/>
        <s v="Evolución de Puntaje SIMCE de Matemáticas por Dependencia de Establecimientos para 2° Medio en la Región de Los Lagos, Periodo 2015-2018"/>
        <s v="Evolución de Puntaje SIMCE de Matemáticas por Dependencia de Establecimientos para 2° Medio en la Región de Aysén, Periodo 2015-2018"/>
        <s v="Evolución de Puntaje SIMCE de Matemáticas por Dependencia de Establecimientos para 2° Medio en la Región de Magallanes, Periodo 2015-2018"/>
        <s v="Evolución de Puntaje SIMCE de Matemáticas por Dependencia de Establecimientos para 2° Medio en la Región Metropolitana, Periodo 2015-2018"/>
        <s v="Evolución de Puntaje SIMCE de Matemáticas por Dependencia de Establecimientos para 2° Medio en la Región de Los Ríos, Periodo 2015-2018"/>
        <s v="Evolución de Puntaje SIMCE de Matemáticas por Dependencia de Establecimientos para 2° Medio en la Región de Arica y Parinacota, Periodo 2015-2018"/>
        <s v="Evolución de Puntaje SIMCE de Matemáticas por Dependencia de Establecimientos para 2° Medio en la Región de Ñuble, Periodo 2015-2018"/>
        <s v="Resumen de Indicadores de Desarrollo Personal y Social por Dependencia de Establecimiento por comuna en Chile, Periodo 2014-2019"/>
        <s v="Resumen de Indicadores de Desarrollo Personal y Social por Dependencia de Establecimiento por comuna en la Región de Tarapacá, Periodo 2014-2019"/>
        <s v="Resumen de Indicadores de Desarrollo Personal y Social por Dependencia de Establecimiento por comuna en la Región de Antofagasta, Periodo 2014-2019"/>
        <s v="Resumen de Indicadores de Desarrollo Personal y Social por Dependencia de Establecimiento por comuna en la Región de Atacama, Periodo 2014-2019"/>
        <s v="Resumen de Indicadores de Desarrollo Personal y Social por Dependencia de Establecimiento por comuna en la Región de Coquimbo, Periodo 2014-2019"/>
        <s v="Resumen de Indicadores de Desarrollo Personal y Social por Dependencia de Establecimiento por comuna en la Región de Valparaíso, Periodo 2014-2019"/>
        <s v="Resumen de Indicadores de Desarrollo Personal y Social por Dependencia de Establecimiento por comuna en la Región de O'Higgins, Periodo 2014-2019"/>
        <s v="Resumen de Indicadores de Desarrollo Personal y Social por Dependencia de Establecimiento por comuna en la Región de Maule, Periodo 2014-2019"/>
        <s v="Resumen de Indicadores de Desarrollo Personal y Social por Dependencia de Establecimiento por comuna en la Región del Biobío, Periodo 2014-2019"/>
        <s v="Resumen de Indicadores de Desarrollo Personal y Social por Dependencia de Establecimiento por comuna en la Región de La Araucanía, Periodo 2014-2019"/>
        <s v="Resumen de Indicadores de Desarrollo Personal y Social por Dependencia de Establecimiento por comuna en la Región de Los Lagos, Periodo 2014-2019"/>
        <s v="Resumen de Indicadores de Desarrollo Personal y Social por Dependencia de Establecimiento por comuna en la Región de Aysén, Periodo 2014-2019"/>
        <s v="Resumen de Indicadores de Desarrollo Personal y Social por Dependencia de Establecimiento por comuna en la Región de Magallanes, Periodo 2014-2019"/>
        <s v="Resumen de Indicadores de Desarrollo Personal y Social por Dependencia de Establecimiento por comuna en la Región Metropolitana, Periodo 2014-2019"/>
        <s v="Resumen de Indicadores de Desarrollo Personal y Social por Dependencia de Establecimiento por comuna en la Región de Los Ríos, Periodo 2014-2019"/>
        <s v="Resumen de Indicadores de Desarrollo Personal y Social por Dependencia de Establecimiento por comuna en la Región de Arica y Parinacota, Periodo 2014-2019"/>
        <s v="Resumen de Indicadores de Desarrollo Personal y Social por Dependencia de Establecimiento por comuna en la Región de Ñuble, Periodo 2014-2019"/>
        <s v="Mapa de distribución geográfica en Chile del Indicador de Autoestima Académica y Motivación Escolar, Periodo 2014-2019"/>
        <s v="Mapa de distribución geográfica en la Región de Tarapacá del Indicador de Autoestima Académica y Motivación Escolar, Periodo 2014-2019"/>
        <s v="Mapa de distribución geográfica en la Región de Antofagasta del Indicador de Autoestima Académica y Motivación Escolar, Periodo 2014-2019"/>
        <s v="Mapa de distribución geográfica en la Región de Atacama del Indicador de Autoestima Académica y Motivación Escolar, Periodo 2014-2019"/>
        <s v="Mapa de distribución geográfica en la Región de Coquimbo del Indicador de Autoestima Académica y Motivación Escolar, Periodo 2014-2019"/>
        <s v="Mapa de distribución geográfica en la Región de Valparaíso del Indicador de Autoestima Académica y Motivación Escolar, Periodo 2014-2019"/>
        <s v="Mapa de distribución geográfica en la Región de O'Higgins del Indicador de Autoestima Académica y Motivación Escolar, Periodo 2014-2019"/>
        <s v="Mapa de distribución geográfica en la Región de Maule del Indicador de Autoestima Académica y Motivación Escolar, Periodo 2014-2019"/>
        <s v="Mapa de distribución geográfica en la Región del Biobío del Indicador de Autoestima Académica y Motivación Escolar, Periodo 2014-2019"/>
        <s v="Mapa de distribución geográfica en la Región de La Araucanía del Indicador de Autoestima Académica y Motivación Escolar, Periodo 2014-2019"/>
        <s v="Mapa de distribución geográfica en la Región de Los Lagos del Indicador de Autoestima Académica y Motivación Escolar, Periodo 2014-2019"/>
        <s v="Mapa de distribución geográfica en la Región de Aysén del Indicador de Autoestima Académica y Motivación Escolar, Periodo 2014-2019"/>
        <s v="Mapa de distribución geográfica en la Región de Magallanes del Indicador de Autoestima Académica y Motivación Escolar, Periodo 2014-2019"/>
        <s v="Mapa de distribución geográfica en la Región Metropolitana del Indicador de Autoestima Académica y Motivación Escolar, Periodo 2014-2019"/>
        <s v="Mapa de distribución geográfica en la Región de Los Ríos del Indicador de Autoestima Académica y Motivación Escolar, Periodo 2014-2019"/>
        <s v="Mapa de distribución geográfica en la Región de Arica y Parinacota del Indicador de Autoestima Académica y Motivación Escolar, Periodo 2014-2019"/>
        <s v="Mapa de distribución geográfica en la Región de Ñuble del Indicador de Autoestima Académica y Motivación Escolar, Periodo 2014-2019"/>
        <s v="Evolución del Indicador de Clima de Convivencia Escolar por Dependencia de Establecimientos en Chile, Periodo 2014-2019"/>
        <s v="Evolución del Indicador de Clima de Convivencia Escolar por Dependencia de Establecimientos en la Región de Tarapacá, Periodo 2014-2019"/>
        <s v="Evolución del Indicador de Clima de Convivencia Escolar por Dependencia de Establecimientos en la Región de Antofagasta, Periodo 2014-2019"/>
        <s v="Evolución del Indicador de Clima de Convivencia Escolar por Dependencia de Establecimientos en la Región de Atacama, Periodo 2014-2019"/>
        <s v="Evolución del Indicador de Clima de Convivencia Escolar por Dependencia de Establecimientos en la Región de Coquimbo, Periodo 2014-2019"/>
        <s v="Evolución del Indicador de Clima de Convivencia Escolar por Dependencia de Establecimientos en la Región de Valparaíso, Periodo 2014-2019"/>
        <s v="Evolución del Indicador de Clima de Convivencia Escolar por Dependencia de Establecimientos en la Región de O'Higgins, Periodo 2014-2019"/>
        <s v="Evolución del Indicador de Clima de Convivencia Escolar por Dependencia de Establecimientos en la Región de Maule, Periodo 2014-2019"/>
        <s v="Evolución del Indicador de Clima de Convivencia Escolar por Dependencia de Establecimientos en la Región del Biobío, Periodo 2014-2019"/>
        <s v="Evolución del Indicador de Clima de Convivencia Escolar por Dependencia de Establecimientos en la Región de La Araucanía, Periodo 2014-2019"/>
        <s v="Evolución del Indicador de Clima de Convivencia Escolar por Dependencia de Establecimientos en la Región de Los Lagos, Periodo 2014-2019"/>
        <s v="Evolución del Indicador de Clima de Convivencia Escolar por Dependencia de Establecimientos en la Región de Aysén, Periodo 2014-2019"/>
        <s v="Evolución del Indicador de Clima de Convivencia Escolar por Dependencia de Establecimientos en la Región de Magallanes, Periodo 2014-2019"/>
        <s v="Evolución del Indicador de Clima de Convivencia Escolar por Dependencia de Establecimientos en la Región Metropolitana, Periodo 2014-2019"/>
        <s v="Evolución del Indicador de Clima de Convivencia Escolar por Dependencia de Establecimientos en la Región de Los Ríos, Periodo 2014-2019"/>
        <s v="Evolución del Indicador de Clima de Convivencia Escolar por Dependencia de Establecimientos en la Región de Arica y Parinacota, Periodo 2014-2019"/>
        <s v="Evolución del Indicador de Clima de Convivencia Escolar por Dependencia de Establecimientos en la Región de Ñuble, Periodo 2014-2019"/>
        <s v="Superficie de Solicitudes de Edificación Autorizadas por Categoría en Chile, Periodo 2020-2021"/>
        <s v="Número trabajadores dependientes informados por género según tamaño de empresa en Chile, Año 2019"/>
        <s v="Número trabajadores dependientes informados por sexo según tamaño de empresa en la Región de Tarapacá, Año 2019"/>
        <s v="Número trabajadores dependientes informados por sexo según tamaño de empresa en la Región de Antofagasta, Año 2019"/>
        <s v="Número trabajadores dependientes informados por sexo según tamaño de empresa en la Región de Atacama, Año 2019"/>
        <s v="Número trabajadores dependientes informados por sexo según tamaño de empresa en la Región de Coquimbo, Año 2019"/>
        <s v="Número trabajadores dependientes informados por sexo según tamaño de empresa en la Región de Valparaíso, Año 2019"/>
        <s v="Número trabajadores dependientes informados por sexo según tamaño de empresa en la Región de O'Higgins, Año 2019"/>
        <s v="Número trabajadores dependientes informados por sexo según tamaño de empresa en la Región de Maule, Año 2019"/>
        <s v="Número trabajadores dependientes informados por sexo según tamaño de empresa en la Región del Biobío, Año 2019"/>
        <s v="Número trabajadores dependientes informados por sexo según tamaño de empresa en la Región de La Araucanía, Año 2019"/>
        <s v="Número trabajadores dependientes informados por sexo según tamaño de empresa en la Región de Los Lagos, Año 2019"/>
        <s v="Número trabajadores dependientes informados por sexo según tamaño de empresa en la Región de Aysén, Año 2019"/>
        <s v="Número trabajadores dependientes informados por sexo según tamaño de empresa en la Región de Magallanes, Año 2019"/>
        <s v="Número trabajadores dependientes informados por sexo según tamaño de empresa en la Región Metropolitana, Año 2019"/>
        <s v="Número trabajadores dependientes informados por sexo según tamaño de empresa en la Región de Los Ríos, Año 2019"/>
        <s v="Número trabajadores dependientes informados por sexo según tamaño de empresa en la Región de Arica y Parinacota, Año 2019"/>
        <s v="Número trabajadores dependientes informados por sexo según tamaño de empresa en la Región de Ñuble, Año 2019"/>
        <s v="Renta neta informada de trabajadoras en Chile, Periodo 2005-2019"/>
        <s v="Renta neta informada de trabajadoras en la Región de Tarapacá, Periodo 2005-2019"/>
        <s v="Renta neta informada de trabajadoras en la Región de Antofagasta, Periodo 2005-2019"/>
        <s v="Renta neta informada de trabajadoras en la Región de Atacama, Periodo 2005-2019"/>
        <s v="Renta neta informada de trabajadoras en la Región de Coquimbo, Periodo 2005-2019"/>
        <s v="Renta neta informada de trabajadoras en la Región de Valparaíso, Periodo 2005-2019"/>
        <s v="Renta neta informada de trabajadoras en la Región de O'Higgins, Periodo 2005-2019"/>
        <s v="Renta neta informada de trabajadoras en la Región de Maule, Periodo 2005-2019"/>
        <s v="Renta neta informada de trabajadoras en la Región del Biobío, Periodo 2005-2019"/>
        <s v="Renta neta informada de trabajadoras en la Región de La Araucanía, Periodo 2005-2019"/>
        <s v="Renta neta informada de trabajadoras en la Región de Los Lagos, Periodo 2005-2019"/>
        <s v="Renta neta informada de trabajadoras en la Región de Aysén, Periodo 2005-2019"/>
        <s v="Renta neta informada de trabajadoras en la Región de Magallanes, Periodo 2005-2019"/>
        <s v="Renta neta informada de trabajadoras en la Región Metropolitana, Periodo 2005-2019"/>
        <s v="Renta neta informada de trabajadoras en la Región de Los Ríos, Periodo 2005-2019"/>
        <s v="Renta neta informada de trabajadoras en la Región de Arica y Parinacota, Periodo 2005-2019"/>
        <s v="Renta neta informada de trabajadoras en la Región de Ñuble, Periodo 2005-2019"/>
        <s v="Número de Empresas por Tamaño según ventas en Chile, Periodo 2005-2019"/>
        <s v="Número de Empresas por Tamaño según ventas en la Región de Tarapacá, Periodo 2005-2019"/>
        <s v="Número de Empresas por Tamaño según ventas en la Región de Antofagasta, Periodo 2005-2019"/>
        <s v="Número de Empresas por Tamaño según ventas en la Región de Atacama, Periodo 2005-2019"/>
        <s v="Número de Empresas por Tamaño según ventas en la Región de Coquimbo, Periodo 2005-2019"/>
        <s v="Número de Empresas por Tamaño según ventas en la Región de Valparaíso, Periodo 2005-2019"/>
        <s v="Número de Empresas por Tamaño según ventas en la Región de O'Higgins, Periodo 2005-2019"/>
        <s v="Número de Empresas por Tamaño según ventas en la Región de Maule, Periodo 2005-2019"/>
        <s v="Número de Empresas por Tamaño según ventas en la Región del Biobío, Periodo 2005-2019"/>
        <s v="Número de Empresas por Tamaño según ventas en la Región de La Araucanía, Periodo 2005-2019"/>
        <s v="Número de Empresas por Tamaño según ventas en la Región de Los Lagos, Periodo 2005-2019"/>
        <s v="Número de Empresas por Tamaño según ventas en la Región de Aysén, Periodo 2005-2019"/>
        <s v="Número de Empresas por Tamaño según ventas en la Región de Magallanes, Periodo 2005-2019"/>
        <s v="Número de Empresas por Tamaño según ventas en la Región Metropolitana, Periodo 2005-2019"/>
        <s v="Número de Empresas por Tamaño según ventas en la Región de Los Ríos, Periodo 2005-2019"/>
        <s v="Número de Empresas por Tamaño según ventas en la Región de Arica y Parinacota, Periodo 2005-2019"/>
        <s v="Número de Empresas por Tamaño según ventas en la Región de Ñuble, Periodo 2005-2019"/>
        <s v="Población en Control del Programa de Salud Cardiovascular en Chile, Año 2018"/>
        <s v="Mapa de Absorciones (kt) de CO2 por Región, Chile, Periodo 1990-2018"/>
        <s v="Promedio de Emisiones Netas (kt) de CO2 equivalente, Chile, Periodo 1990-2018"/>
        <s v="Emisiones (kt) de CO2 equivalente por Gas en Chile, durante el Periodo 1990-2018"/>
        <s v="Emisiones y Absorciones (kt) de CO2 equivalente por Subsector en Chile, para el Año 2018"/>
        <s v="Número de trabajadores dependientes por sexo, en el rubro B-Explotación minera y canteras, según año comercial y a nivel regional en Chile, Periodo 2005-2019"/>
        <s v="Número de trabajadores dependientes por sexo, en el rubro B-Explotación minera y canteras, según año comercial en la Región de Tarapacá, Periodo 2005-2019"/>
        <s v="Número de trabajadores dependientes por sexo, en el rubro B-Explotación minera y canteras, según año comercial en la Región de Antofagasta, Periodo 2005-2019"/>
        <s v="Número de trabajadores dependientes por sexo, en el rubro B-Explotación minera y canteras, según año comercial en la Región de Atacama, Periodo 2005-2019"/>
        <s v="Número de trabajadores dependientes por sexo, en el rubro B-Explotación minera y canteras, según año comercial en la Región de Coquimbo, Periodo 2005-2019"/>
        <s v="Número de trabajadores dependientes por sexo, en el rubro B-Explotación minera y canteras, según año comercial en la Región de Valparaíso, Periodo 2005-2019"/>
        <s v="Número de trabajadores dependientes por sexo, en el rubro B-Explotación minera y canteras, según año comercial en la Región de O'Higgins, Periodo 2005-2019"/>
        <s v="Número de trabajadores dependientes por sexo, en el rubro B-Explotación minera y canteras, según año comercial en la Región de Maule, Periodo 2005-2019"/>
        <s v="Número de trabajadores dependientes por sexo, en el rubro B-Explotación minera y canteras, según año comercial en la Región del Biobío, Periodo 2005-2019"/>
        <s v="Número de trabajadores dependientes por sexo, en el rubro B-Explotación minera y canteras, según año comercial en la Región de La Araucanía, Periodo 2005-2019"/>
        <s v="Número de trabajadores dependientes por sexo, en el rubro B-Explotación minera y canteras, según año comercial en la Región de Los Lagos, Periodo 2005-2019"/>
        <s v="Número de trabajadores dependientes por sexo, en el rubro B-Explotación minera y canteras, según año comercial en la Región de Aysén, Periodo 2005-2019"/>
        <s v="Número de trabajadores dependientes por sexo, en el rubro B-Explotación minera y canteras, según año comercial en la Región de Magallanes, Periodo 2005-2019"/>
        <s v="Número de trabajadores dependientes por sexo, en el rubro B-Explotación minera y canteras, según año comercial en la Región Metropolitana, Periodo 2005-2019"/>
        <s v="Número de trabajadores dependientes por sexo, en el rubro B-Explotación minera y canteras, según año comercial en la Región de Los Ríos, Periodo 2005-2019"/>
        <s v="Número de trabajadores dependientes por sexo, en el rubro B-Explotación minera y canteras, según año comercial en la Región de Arica y Parinacota, Periodo 2005-2019"/>
        <s v="Número de trabajadores dependientes por sexo, en el rubro B-Explotación minera y canteras, según año comercial en la Región de Ñuble, Periodo 2005-2019"/>
        <s v="Evolución de las Ventas Anuales en UF para el rubro L-Actividades Inmobiliarias en Chile, Periodo 2005-2019"/>
        <s v="Evolución Casos de Cáncer de Cuello Uterino por Comuna en Chile, Periodo 2011-2018"/>
        <s v="Evolución Casos de Cáncer de Cuello Uterino por Comuna en la Región de Tarapacá, Periodo 2011-2018"/>
        <s v="Evolución Casos de Cáncer de Cuello Uterino por Comuna en la Región de Antofagasta, Periodo 2011-2018"/>
        <s v="Evolución Casos de Cáncer de Cuello Uterino por Comuna en la Región de Atacama, Periodo 2011-2018"/>
        <s v="Evolución Casos de Cáncer de Cuello Uterino por Comuna en la Región de Coquimbo, Periodo 2011-2018"/>
        <s v="Evolución Casos de Cáncer de Cuello Uterino por Comuna en la Región de Valparaíso, Periodo 2011-2018"/>
        <s v="Evolución Casos de Cáncer de Cuello Uterino por Comuna en la Región de O'Higgins, Periodo 2011-2018"/>
        <s v="Evolución Casos de Cáncer de Cuello Uterino por Comuna en la Región de Maule, Periodo 2011-2018"/>
        <s v="Evolución Casos de Cáncer de Cuello Uterino por Comuna en la Región del Biobío, Periodo 2011-2018"/>
        <s v="Evolución Casos de Cáncer de Cuello Uterino por Comuna en la Región de La Araucanía, Periodo 2011-2018"/>
        <s v="Evolución Casos de Cáncer de Cuello Uterino por Comuna en la Región de Los Lagos, Periodo 2011-2018"/>
        <s v="Evolución Casos de Cáncer de Cuello Uterino por Comuna en la Región de Aysén, Periodo 2011-2018"/>
        <s v="Evolución Casos de Cáncer de Cuello Uterino por Comuna en la Región de Magallanes, Periodo 2011-2018"/>
        <s v="Evolución Casos de Cáncer de Cuello Uterino por Comuna en la Región Metropolitana, Periodo 2011-2018"/>
        <s v="Evolución Casos de Cáncer de Cuello Uterino por Comuna en la Región de Los Ríos, Periodo 2011-2018"/>
        <s v="Evolución Casos de Cáncer de Cuello Uterino por Comuna en la Región de Arica y Parinacota, Periodo 2011-2018"/>
        <s v="Evolución Casos de Cáncer de Cuello Uterino por Comuna en la Región de Ñuble, Periodo 2011-2018"/>
        <s v="Emisiones Netas (kt) de CO2 equivalente por Región en Chile, Año 2018"/>
        <s v="Superficie de Incendios Forestales por Comuna en Chile, Periodo 2010-2020"/>
        <s v="Superficie de Incendios Forestales por Comuna en la Región de Tarapacá, Periodo 2010-2020"/>
        <s v="Superficie de Incendios Forestales por Comuna en la Región de Antofagasta, Periodo 2010-2020"/>
        <s v="Superficie de Incendios Forestales por Comuna en la Región de Atacama, Periodo 2010-2020"/>
        <s v="Superficie de Incendios Forestales por Comuna en la Región de Coquimbo, Periodo 2010-2020"/>
        <s v="Superficie de Incendios Forestales por Comuna en la Región de Valparaíso, Periodo 2010-2020"/>
        <s v="Superficie de Incendios Forestales por Comuna en la Región de O'Higgins, Periodo 2010-2020"/>
        <s v="Superficie de Incendios Forestales por Comuna en la Región de Maule, Periodo 2010-2020"/>
        <s v="Superficie de Incendios Forestales por Comuna en la Región del Biobío, Periodo 2010-2020"/>
        <s v="Superficie de Incendios Forestales por Comuna en la Región de La Araucanía, Periodo 2010-2020"/>
        <s v="Superficie de Incendios Forestales por Comuna en la Región de Los Lagos, Periodo 2010-2020"/>
        <s v="Superficie de Incendios Forestales por Comuna en la Región de Aysén, Periodo 2010-2020"/>
        <s v="Superficie de Incendios Forestales por Comuna en la Región de Magallanes, Periodo 2010-2020"/>
        <s v="Superficie de Incendios Forestales por Comuna en la Región Metropolitana, Periodo 2010-2020"/>
        <s v="Superficie de Incendios Forestales por Comuna en la Región de Los Ríos, Periodo 2010-2020"/>
        <s v="Superficie de Incendios Forestales por Comuna en la Región de Arica y Parinacota, Periodo 2010-2020"/>
        <s v="Superficie de Incendios Forestales por Comuna en la Región de Ñuble, Periodo 2010-2020"/>
        <s v="Evolución Anual de la superficie afectada por Incendios Forestales en Chile, Periodo 2010-2020"/>
        <s v="Evolución Anual de la superficie afectada por Incendios Forestales en la Región de Tarapacá, Periodo 2010-2020"/>
        <s v="Evolución Anual de la superficie afectada por Incendios Forestales en la Región de Antofagasta, Periodo 2010-2020"/>
        <s v="Evolución Anual de la superficie afectada por Incendios Forestales en la Región de Atacama, Periodo 2010-2020"/>
        <s v="Evolución Anual de la superficie afectada por Incendios Forestales en la Región de Coquimbo, Periodo 2010-2020"/>
        <s v="Evolución Anual de la superficie afectada por Incendios Forestales en la Región de Valparaíso, Periodo 2010-2020"/>
        <s v="Evolución Anual de la superficie afectada por Incendios Forestales en la Región de O'Higgins, Periodo 2010-2020"/>
        <s v="Evolución Anual de la superficie afectada por Incendios Forestales en la Región de Maule, Periodo 2010-2020"/>
        <s v="Evolución Anual de la superficie afectada por Incendios Forestales en la Región del Biobío, Periodo 2010-2020"/>
        <s v="Evolución Anual de la superficie afectada por Incendios Forestales en la Región de La Araucanía, Periodo 2010-2020"/>
        <s v="Evolución Anual de la superficie afectada por Incendios Forestales en la Región de Los Lagos, Periodo 2010-2020"/>
        <s v="Evolución Anual de la superficie afectada por Incendios Forestales en la Región de Aysén, Periodo 2010-2020"/>
        <s v="Evolución Anual de la superficie afectada por Incendios Forestales en la Región de Magallanes, Periodo 2010-2020"/>
        <s v="Evolución Anual de la superficie afectada por Incendios Forestales en la Región Metropolitana, Periodo 2010-2020"/>
        <s v="Evolución Anual de la superficie afectada por Incendios Forestales en la Región de Los Ríos, Periodo 2010-2020"/>
        <s v="Evolución Anual de la superficie afectada por Incendios Forestales en la Región de Arica y Parinacota, Periodo 2010-2020"/>
        <s v="Evolución Anual de la superficie afectada por Incendios Forestales en la Región de Ñuble, Periodo 2010-2020"/>
        <s v="Incendios y superficie afectada de plantaciones Forestales según causas específicas en Chile, Periodo 2010-2020"/>
        <s v="Incendios y superficie afectada de plantaciones Forestales según causas específicas en la Región de Tarapacá, Periodo 2010-2020"/>
        <s v="Incendios y superficie afectada de plantaciones Forestales según causas específicas en la Región de Antofagasta, Periodo 2010-2020"/>
        <s v="Incendios y superficie afectada de plantaciones Forestales según causas específicas en la Región de Atacama, Periodo 2010-2020"/>
        <s v="Incendios y superficie afectada de plantaciones Forestales según causas específicas en la Región de Coquimbo, Periodo 2010-2020"/>
        <s v="Incendios y superficie afectada de plantaciones Forestales según causas específicas en la Región de Valparaíso, Periodo 2010-2020"/>
        <s v="Incendios y superficie afectada de plantaciones Forestales según causas específicas en la Región de O'Higgins, Periodo 2010-2020"/>
        <s v="Incendios y superficie afectada de plantaciones Forestales según causas específicas en la Región de Maule, Periodo 2010-2020"/>
        <s v="Incendios y superficie afectada de plantaciones Forestales según causas específicas en la Región del Biobío, Periodo 2010-2020"/>
        <s v="Incendios y superficie afectada de plantaciones Forestales según causas específicas en la Región de La Araucanía, Periodo 2010-2020"/>
        <s v="Incendios y superficie afectada de plantaciones Forestales según causas específicas en la Región de Los Lagos, Periodo 2010-2020"/>
        <s v="Incendios y superficie afectada de plantaciones Forestales según causas específicas en la Región de Aysén, Periodo 2010-2020"/>
        <s v="Incendios y superficie afectada de plantaciones Forestales según causas específicas en la Región de Magallanes, Periodo 2010-2020"/>
        <s v="Incendios y superficie afectada de plantaciones Forestales según causas específicas en la Región Metropolitana, Periodo 2010-2020"/>
        <s v="Incendios y superficie afectada de plantaciones Forestales según causas específicas en la Región de Los Ríos, Periodo 2010-2020"/>
        <s v="Incendios y superficie afectada de plantaciones Forestales según causas específicas en la Región de Arica y Parinacota, Periodo 2010-2020"/>
        <s v="Incendios y superficie afectada de plantaciones Forestales según causas específicas en la Región de Ñuble, Periodo 2010-2020"/>
        <s v="Incendios y superficie afectada según causas generales y específicas en Chile, Periodo 2010-2020"/>
        <s v="Incendios y superficie afectada según causas generales y específicas en la Región de Tarapacá, Periodo 2010-2020"/>
        <s v="Incendios y superficie afectada según causas generales y específicas en la Región de Antofagasta, Periodo 2010-2020"/>
        <s v="Incendios y superficie afectada según causas generales y específicas en la Región de Atacama, Periodo 2010-2020"/>
        <s v="Incendios y superficie afectada según causas generales y específicas en la Región de Coquimbo, Periodo 2010-2020"/>
        <s v="Incendios y superficie afectada según causas generales y específicas en la Región de Valparaíso, Periodo 2010-2020"/>
        <s v="Incendios y superficie afectada según causas generales y específicas en la Región de O'Higgins, Periodo 2010-2020"/>
        <s v="Incendios y superficie afectada según causas generales y específicas en la Región de Maule, Periodo 2010-2020"/>
        <s v="Incendios y superficie afectada según causas generales y específicas en la Región del Biobío, Periodo 2010-2020"/>
        <s v="Incendios y superficie afectada según causas generales y específicas en la Región de La Araucanía, Periodo 2010-2020"/>
        <s v="Incendios y superficie afectada según causas generales y específicas en la Región de Los Lagos, Periodo 2010-2020"/>
        <s v="Incendios y superficie afectada según causas generales y específicas en la Región de Aysén, Periodo 2010-2020"/>
        <s v="Incendios y superficie afectada según causas generales y específicas en la Región de Magallanes, Periodo 2010-2020"/>
        <s v="Incendios y superficie afectada según causas generales y específicas en la Región Metropolitana, Periodo 2010-2020"/>
        <s v="Incendios y superficie afectada según causas generales y específicas en la Región de Los Ríos, Periodo 2010-2020"/>
        <s v="Incendios y superficie afectada según causas generales y específicas en la Región de Arica y Parinacota, Periodo 2010-2020"/>
        <s v="Incendios y superficie afectada según causas generales y específicas en la Región de Ñuble, Periodo 2010-2020"/>
        <s v="Candidatos electos, Lista-Partido y Votación Obtenida a los cargos de Elección Popular, para 7 comunas en Chile, Periodo 1990-2020"/>
        <s v="Candidatos electos, Lista-Partido y Votación Obtenida a los cargos de Elección Popular, para 7 comunas en la Región de Tarapacá, Periodo 1990-2020"/>
        <s v="Candidatos electos, Lista-Partido y Votación Obtenida a los cargos de Elección Popular, para 7 comunas en la Región de Antofagasta, Periodo 1990-2020"/>
        <s v="Candidatos electos, Lista-Partido y Votación Obtenida a los cargos de Elección Popular, para 7 comunas en la Región de Atacama, Periodo 1990-2020"/>
        <s v="Candidatos electos, Lista-Partido y Votación Obtenida a los cargos de Elección Popular, para 7 comunas en la Región de Coquimbo, Periodo 1990-2020"/>
        <s v="Candidatos electos, Lista-Partido y Votación Obtenida a los cargos de Elección Popular, para 7 comunas en la Región de Valparaíso, Periodo 1990-2020"/>
        <s v="Candidatos electos, Lista-Partido y Votación Obtenida a los cargos de Elección Popular, para 7 comunas en la Región de O'Higgins, Periodo 1990-2020"/>
        <s v="Candidatos electos, Lista-Partido y Votación Obtenida a los cargos de Elección Popular, para 7 comunas en la Región de Maule, Periodo 1990-2020"/>
        <s v="Candidatos electos, Lista-Partido y Votación Obtenida a los cargos de Elección Popular, para 7 comunas en la Región del Biobío, Periodo 1990-2020"/>
        <s v="Candidatos electos, Lista-Partido y Votación Obtenida a los cargos de Elección Popular, para 7 comunas en la Región de La Araucanía, Periodo 1990-2020"/>
        <s v="Candidatos electos, Lista-Partido y Votación Obtenida a los cargos de Elección Popular, para 7 comunas en la Región de Los Lagos, Periodo 1990-2020"/>
        <s v="Candidatos electos, Lista-Partido y Votación Obtenida a los cargos de Elección Popular, para 7 comunas en la Región de Aysén, Periodo 1990-2020"/>
        <s v="Candidatos electos, Lista-Partido y Votación Obtenida a los cargos de Elección Popular, para 7 comunas en la Región de Magallanes, Periodo 1990-2020"/>
        <s v="Candidatos electos, Lista-Partido y Votación Obtenida a los cargos de Elección Popular, para 7 comunas en la Región Metropolitana, Periodo 1990-2020"/>
        <s v="Candidatos electos, Lista-Partido y Votación Obtenida a los cargos de Elección Popular, para 7 comunas en la Región de Los Ríos, Periodo 1990-2020"/>
        <s v="Candidatos electos, Lista-Partido y Votación Obtenida a los cargos de Elección Popular, para 7 comunas en la Región de Arica y Parinacota, Periodo 1990-2020"/>
        <s v="Candidatos electos, Lista-Partido y Votación Obtenida a los cargos de Elección Popular, para 7 comunas en la Región de Ñuble, Periodo 1990-2020"/>
        <s v="Cupos para cargos de Elección Popular, a nivel regional y comunal en Chile"/>
        <s v="Cupos para cargos de Elección Popular, a nivel regional y comunal en la Región de Tarapacá"/>
        <s v="Cupos para cargos de Elección Popular, a nivel regional y comunal en la Región de Antofagasta"/>
        <s v="Cupos para cargos de Elección Popular, a nivel regional y comunal en la Región de Atacama"/>
        <s v="Cupos para cargos de Elección Popular, a nivel regional y comunal en la Región de Coquimbo"/>
        <s v="Cupos para cargos de Elección Popular, a nivel regional y comunal en la Región de Valparaíso"/>
        <s v="Cupos para cargos de Elección Popular, a nivel regional y comunal en la Región de O'Higgins"/>
        <s v="Cupos para cargos de Elección Popular, a nivel regional y comunal en la Región de Maule"/>
        <s v="Cupos para cargos de Elección Popular, a nivel regional y comunal en la Región del Biobío"/>
        <s v="Cupos para cargos de Elección Popular, a nivel regional y comunal en la Región de La Araucanía"/>
        <s v="Cupos para cargos de Elección Popular, a nivel regional y comunal en la Región de Los Lagos"/>
        <s v="Cupos para cargos de Elección Popular, a nivel regional y comunal en la Región de Aysén"/>
        <s v="Cupos para cargos de Elección Popular, a nivel regional y comunal en la Región de Magallanes"/>
        <s v="Cupos para cargos de Elección Popular, a nivel regional y comunal en la Región Metropolitana"/>
        <s v="Cupos para cargos de Elección Popular, a nivel regional y comunal en la Región de Los Ríos"/>
        <s v="Cupos para cargos de Elección Popular, a nivel regional y comunal en la Región de Arica y Parinacota"/>
        <s v="Cupos para cargos de Elección Popular, a nivel regional y comunal en la Región de Ñuble"/>
        <s v="Número de empresas vigentes según año de inicio de actividades y tipo de contribuyente en Chile, Periodo 1993-2019"/>
        <s v="Número de empresas vigentes según año de inicio de actividades y tipo de contribuyente en la Región de Tarapacá, Periodo 1993-2019"/>
        <s v="Número de empresas vigentes según año de inicio de actividades y tipo de contribuyente en la Región de Antofagasta, Periodo 1993-2019"/>
        <s v="Número de empresas vigentes según año de inicio de actividades y tipo de contribuyente en la Región de Atacama, Periodo 1993-2019"/>
        <s v="Número de empresas vigentes según año de inicio de actividades y tipo de contribuyente en la Región de Coquimbo, Periodo 1993-2019"/>
        <s v="Número de empresas vigentes según año de inicio de actividades y tipo de contribuyente en la Región de Valparaíso, Periodo 1993-2019"/>
        <s v="Número de empresas vigentes según año de inicio de actividades y tipo de contribuyente en la Región de O'Higgins, Periodo 1993-2019"/>
        <s v="Número de empresas vigentes según año de inicio de actividades y tipo de contribuyente en la Región de Maule, Periodo 1993-2019"/>
        <s v="Número de empresas vigentes según año de inicio de actividades y tipo de contribuyente en la Región del Biobío, Periodo 1993-2019"/>
        <s v="Número de empresas vigentes según año de inicio de actividades y tipo de contribuyente en la Región de La Araucanía, Periodo 1993-2019"/>
        <s v="Número de empresas vigentes según año de inicio de actividades y tipo de contribuyente en la Región de Los Lagos, Periodo 1993-2019"/>
        <s v="Número de empresas vigentes según año de inicio de actividades y tipo de contribuyente en la Región de Aysén, Periodo 1993-2019"/>
        <s v="Número de empresas vigentes según año de inicio de actividades y tipo de contribuyente en la Región de Magallanes, Periodo 1993-2019"/>
        <s v="Número de empresas vigentes según año de inicio de actividades y tipo de contribuyente en la Región Metropolitana, Periodo 1993-2019"/>
        <s v="Número de empresas vigentes según año de inicio de actividades y tipo de contribuyente en la Región de Los Ríos, Periodo 1993-2019"/>
        <s v="Número de empresas vigentes según año de inicio de actividades y tipo de contribuyente en la Región de Arica y Parinacota, Periodo 1993-2019"/>
        <s v="Número de empresas vigentes según año de inicio de actividades y tipo de contribuyente en la Región de Ñuble, Periodo 1993-2019"/>
        <s v="Número de trabajadores de empresas vigentes, por año de inicio de actividades y tipo de contribuyentes en Chile, Periodo 1993-2019"/>
        <s v="Número de trabajadores de empresas vigentes, por año de inicio de actividades y tipo de contribuyentes en la Región de Tarapacá, Periodo 1993-2019"/>
        <s v="Número de trabajadores de empresas vigentes, por año de inicio de actividades y tipo de contribuyentes en la Región de Antofagasta, Periodo 1993-2019"/>
        <s v="Número de trabajadores de empresas vigentes, por año de inicio de actividades y tipo de contribuyentes en la Región de Atacama, Periodo 1993-2019"/>
        <s v="Número de trabajadores de empresas vigentes, por año de inicio de actividades y tipo de contribuyentes en la Región de Coquimbo, Periodo 1993-2019"/>
        <s v="Número de trabajadores de empresas vigentes, por año de inicio de actividades y tipo de contribuyentes en la Región de Valparaíso, Periodo 1993-2019"/>
        <s v="Número de trabajadores de empresas vigentes, por año de inicio de actividades y tipo de contribuyentes en la Región de O'Higgins, Periodo 1993-2019"/>
        <s v="Número de trabajadores de empresas vigentes, por año de inicio de actividades y tipo de contribuyentes en la Región de Maule, Periodo 1993-2019"/>
        <s v="Número de trabajadores de empresas vigentes, por año de inicio de actividades y tipo de contribuyentes en la Región del Biobío, Periodo 1993-2019"/>
        <s v="Número de trabajadores de empresas vigentes, por año de inicio de actividades y tipo de contribuyentes en la Región de La Araucanía, Periodo 1993-2019"/>
        <s v="Número de trabajadores de empresas vigentes, por año de inicio de actividades y tipo de contribuyentes en la Región de Los Lagos, Periodo 1993-2019"/>
        <s v="Número de trabajadores de empresas vigentes, por año de inicio de actividades y tipo de contribuyentes en la Región de Aysén, Periodo 1993-2019"/>
        <s v="Número de trabajadores de empresas vigentes, por año de inicio de actividades y tipo de contribuyentes en la Región de Magallanes, Periodo 1993-2019"/>
        <s v="Número de trabajadores de empresas vigentes, por año de inicio de actividades y tipo de contribuyentes en la Región Metropolitana, Periodo 1993-2019"/>
        <s v="Número de trabajadores de empresas vigentes, por año de inicio de actividades y tipo de contribuyentes en la Región de Los Ríos, Periodo 1993-2019"/>
        <s v="Número de trabajadores de empresas vigentes, por año de inicio de actividades y tipo de contribuyentes en la Región de Arica y Parinacota, Periodo 1993-2019"/>
        <s v="Número de trabajadores de empresas vigentes, por año de inicio de actividades y tipo de contribuyentes en la Región de Ñuble, Periodo 1993-2019"/>
        <s v="Evolución de Población en el Programa de VIH/SIDA según Comuna en Chile, Periodo 2012-2018"/>
        <s v="Evolución de Población en el Programa de VIH/SIDA según Comuna en la Región de Tarapacá, Periodo 2012-2018"/>
        <s v="Evolución de Población en el Programa de VIH/SIDA según Comuna en la Región de Antofagasta, Periodo 2012-2018"/>
        <s v="Evolución de Población en el Programa de VIH/SIDA según Comuna en la Región de Atacama, Periodo 2012-2018"/>
        <s v="Evolución de Población en el Programa de VIH/SIDA según Comuna en la Región de Coquimbo, Periodo 2012-2018"/>
        <s v="Evolución de Población en el Programa de VIH/SIDA según Comuna en la Región de Valparaíso, Periodo 2012-2018"/>
        <s v="Evolución de Población en el Programa de VIH/SIDA según Comuna en la Región de O'Higgins, Periodo 2012-2018"/>
        <s v="Evolución de Población en el Programa de VIH/SIDA según Comuna en la Región de Maule, Periodo 2012-2018"/>
        <s v="Evolución de Población en el Programa de VIH/SIDA según Comuna en la Región del Biobío, Periodo 2012-2018"/>
        <s v="Evolución de Población en el Programa de VIH/SIDA según Comuna en la Región de La Araucanía, Periodo 2012-2018"/>
        <s v="Evolución de Población en el Programa de VIH/SIDA según Comuna en la Región de Los Lagos, Periodo 2012-2018"/>
        <s v="Evolución de Población en el Programa de VIH/SIDA según Comuna en la Región de Aysén, Periodo 2012-2018"/>
        <s v="Evolución de Población en el Programa de VIH/SIDA según Comuna en la Región de Magallanes, Periodo 2012-2018"/>
        <s v="Evolución de Población en el Programa de VIH/SIDA según Comuna en la Región Metropolitana, Periodo 2012-2018"/>
        <s v="Evolución de Población en el Programa de VIH/SIDA según Comuna en la Región de Los Ríos, Periodo 2012-2018"/>
        <s v="Evolución de Población en el Programa de VIH/SIDA según Comuna en la Región de Arica y Parinacota, Periodo 2012-2018"/>
        <s v="Evolución de Población en el Programa de VIH/SIDA según Comuna en la Región de Ñuble, Periodo 2012-2018"/>
        <s v="Evolución de Población en Control en el Programa de VIH/SIDA según Región en Chile, Periodo 2012-2018"/>
        <s v="Evolución de Población en Control en el Programa de VIH/SIDA en la Región de Tarapacá, Periodo 2012-2018"/>
        <s v="Evolución de Población en Control en el Programa de VIH/SIDA en la Región de Antofagasta, Periodo 2012-2018"/>
        <s v="Evolución de Población en Control en el Programa de VIH/SIDA en la Región de Atacama, Periodo 2012-2018"/>
        <s v="Evolución de Población en Control en el Programa de VIH/SIDA en la Región de Coquimbo, Periodo 2012-2018"/>
        <s v="Evolución de Población en Control en el Programa de VIH/SIDA en la Región de Valparaíso, Periodo 2012-2018"/>
        <s v="Evolución de Población en Control en el Programa de VIH/SIDA en la Región de O'Higgins, Periodo 2012-2018"/>
        <s v="Evolución de Población en Control en el Programa de VIH/SIDA en la Región de Maule, Periodo 2012-2018"/>
        <s v="Evolución de Población en Control en el Programa de VIH/SIDA en la Región del Biobío, Periodo 2012-2018"/>
        <s v="Evolución de Población en Control en el Programa de VIH/SIDA en la Región de La Araucanía, Periodo 2012-2018"/>
        <s v="Evolución de Población en Control en el Programa de VIH/SIDA en la Región de Los Lagos, Periodo 2012-2018"/>
        <s v="Evolución de Población en Control en el Programa de VIH/SIDA en la Región de Aysén, Periodo 2012-2018"/>
        <s v="Evolución de Población en Control en el Programa de VIH/SIDA en la Región de Magallanes, Periodo 2012-2018"/>
        <s v="Evolución de Población en Control en el Programa de VIH/SIDA en la Región Metropolitana, Periodo 2012-2018"/>
        <s v="Evolución de Población en Control en el Programa de VIH/SIDA en la Región de Los Ríos, Periodo 2012-2018"/>
        <s v="Evolución de Población en Control en el Programa de VIH/SIDA en la Región de Arica y Parinacota, Periodo 2012-2018"/>
        <s v="Evolución de Población en Control en el Programa de VIH/SIDA en la Región de Ñuble, Periodo 2012-2018"/>
        <s v="Evolución de Población en Control en el Programa de VIH/SIDA según Rango Etario en Chile, Periodo 2012-2018"/>
        <s v="Evolución de Población en Control en el Programa de VIH/SIDA según Rango Etario en la Región de Tarapacá, Periodo 2012-2018"/>
        <s v="Evolución de Población en Control en el Programa de VIH/SIDA según Rango Etario en la Región de Antofagasta, Periodo 2012-2018"/>
        <s v="Evolución de Población en Control en el Programa de VIH/SIDA según Rango Etario en la Región de Atacama, Periodo 2012-2018"/>
        <s v="Evolución de Población en Control en el Programa de VIH/SIDA según Rango Etario en la Región de Coquimbo, Periodo 2012-2018"/>
        <s v="Evolución de Población en Control en el Programa de VIH/SIDA según Rango Etario en la Región de Valparaíso, Periodo 2012-2018"/>
        <s v="Evolución de Población en Control en el Programa de VIH/SIDA según Rango Etario en la Región de O'Higgins, Periodo 2012-2018"/>
        <s v="Evolución de Población en Control en el Programa de VIH/SIDA según Rango Etario en la Región de Maule, Periodo 2012-2018"/>
        <s v="Evolución de Población en Control en el Programa de VIH/SIDA según Rango Etario en la Región del Biobío, Periodo 2012-2018"/>
        <s v="Evolución de Población en Control en el Programa de VIH/SIDA según Rango Etario en la Región de La Araucanía, Periodo 2012-2018"/>
        <s v="Evolución de Población en Control en el Programa de VIH/SIDA según Rango Etario en la Región de Los Lagos, Periodo 2012-2018"/>
        <s v="Evolución de Población en Control en el Programa de VIH/SIDA según Rango Etario en la Región de Aysén, Periodo 2012-2018"/>
        <s v="Evolución de Población en Control en el Programa de VIH/SIDA según Rango Etario en la Región de Magallanes, Periodo 2012-2018"/>
        <s v="Evolución de Población en Control en el Programa de VIH/SIDA según Rango Etario en la Región Metropolitana, Periodo 2012-2018"/>
        <s v="Evolución de Población en Control en el Programa de VIH/SIDA según Rango Etario en la Región de Los Ríos, Periodo 2012-2018"/>
        <s v="Evolución de Población en Control en el Programa de VIH/SIDA según Rango Etario en la Región de Arica y Parinacota, Periodo 2012-2018"/>
        <s v="Evolución de Población en Control en el Programa de VIH/SIDA según Rango Etario en la Región de Ñuble, Periodo 2012-2018"/>
        <s v="Mapa de la Cantidad de Espacios Culturales por Comuna en Chile, Año 2021"/>
        <s v="Mapa de la Cantidad de Espacios Culturales por Comuna en la Región de Tarapacá, Año 2021"/>
        <s v="Mapa de la Cantidad de Espacios Culturales por Comuna en la Región de Antofagasta, Año 2021"/>
        <s v="Mapa de la Cantidad de Espacios Culturales por Comuna en la Región de Atacama, Año 2021"/>
        <s v="Mapa de la Cantidad de Espacios Culturales por Comuna en la Región de Coquimbo, Año 2021"/>
        <s v="Mapa de la Cantidad de Espacios Culturales por Comuna en la Región de Valparaíso, Año 2021"/>
        <s v="Mapa de la Cantidad de Espacios Culturales por Comuna en la Región de O'Higgins, Año 2021"/>
        <s v="Mapa de la Cantidad de Espacios Culturales por Comuna en la Región de Maule, Año 2021"/>
        <s v="Mapa de la Cantidad de Espacios Culturales por Comuna en la Región del Biobío, Año 2021"/>
        <s v="Mapa de la Cantidad de Espacios Culturales por Comuna en la Región de La Araucanía, Año 2021"/>
        <s v="Mapa de la Cantidad de Espacios Culturales por Comuna en la Región de Los Lagos, Año 2021"/>
        <s v="Mapa de la Cantidad de Espacios Culturales por Comuna en la Región de Aysén, Año 2021"/>
        <s v="Mapa de la Cantidad de Espacios Culturales por Comuna en la Región de Magallanes, Año 2021"/>
        <s v="Mapa de la Cantidad de Espacios Culturales por Comuna en la Región Metropolitana, Año 2021"/>
        <s v="Mapa de la Cantidad de Espacios Culturales por Comuna en la Región de Los Ríos, Año 2021"/>
        <s v="Mapa de la Cantidad de Espacios Culturales por Comuna en la Región de Arica y Parinacota, Año 2021"/>
        <s v="Mapa de la Cantidad de Espacios Culturales por Comuna en la Región de Ñuble, Año 2021"/>
        <s v="Cantidad de Espacios Culturales por Fuente de Financiamiento y Región en Chile, Año 2021"/>
        <s v="Cantidad de Espacios Culturales por Fuente de Financiamiento en la Región de Tarapacá, Año 2021"/>
        <s v="Cantidad de Espacios Culturales por Fuente de Financiamiento en la Región de Antofagasta, Año 2021"/>
        <s v="Cantidad de Espacios Culturales por Fuente de Financiamiento en la Región de Atacama, Año 2021"/>
        <s v="Cantidad de Espacios Culturales por Fuente de Financiamiento en la Región de Coquimbo, Año 2021"/>
        <s v="Cantidad de Espacios Culturales por Fuente de Financiamiento en la Región de Valparaíso, Año 2021"/>
        <s v="Cantidad de Espacios Culturales por Fuente de Financiamiento en la Región de O'Higgins, Año 2021"/>
        <s v="Cantidad de Espacios Culturales por Fuente de Financiamiento en la Región de Maule, Año 2021"/>
        <s v="Cantidad de Espacios Culturales por Fuente de Financiamiento en la Región del Biobío, Año 2021"/>
        <s v="Cantidad de Espacios Culturales por Fuente de Financiamiento en la Región de La Araucanía, Año 2021"/>
        <s v="Cantidad de Espacios Culturales por Fuente de Financiamiento en la Región de Los Lagos, Año 2021"/>
        <s v="Cantidad de Espacios Culturales por Fuente de Financiamiento en la Región de Aysén, Año 2021"/>
        <s v="Cantidad de Espacios Culturales por Fuente de Financiamiento en la Región de Magallanes, Año 2021"/>
        <s v="Cantidad de Espacios Culturales por Fuente de Financiamiento en la Región Metropolitana, Año 2021"/>
        <s v="Cantidad de Espacios Culturales por Fuente de Financiamiento en la Región de Los Ríos, Año 2021"/>
        <s v="Cantidad de Espacios Culturales por Fuente de Financiamiento en la Región de Arica y Parinacota, Año 2021"/>
        <s v="Cantidad de Espacios Culturales por Fuente de Financiamiento en la Región de Ñuble, Año 2021"/>
        <s v="Cantidad de Espacios Culturales por Categoría y Región en Chile, Año 2021"/>
        <s v="Cantidad de Espacios Culturales por Categoría en la Región de Tarapacá, Año 2021"/>
        <s v="Cantidad de Espacios Culturales por Categoría en la Región de Antofagasta, Año 2021"/>
        <s v="Cantidad de Espacios Culturales por Categoría en la Región de Atacama, Año 2021"/>
        <s v="Cantidad de Espacios Culturales por Categoría en la Región de Coquimbo, Año 2021"/>
        <s v="Cantidad de Espacios Culturales por Categoría en la Región de Valparaíso, Año 2021"/>
        <s v="Cantidad de Espacios Culturales por Categoría en la Región de O'Higgins, Año 2021"/>
        <s v="Cantidad de Espacios Culturales por Categoría en la Región de Maule, Año 2021"/>
        <s v="Cantidad de Espacios Culturales por Categoría en la Región del Biobío, Año 2021"/>
        <s v="Cantidad de Espacios Culturales por Categoría en la Región de La Araucanía, Año 2021"/>
        <s v="Cantidad de Espacios Culturales por Categoría en la Región de Los Lagos, Año 2021"/>
        <s v="Cantidad de Espacios Culturales por Categoría en la Región de Aysén, Año 2021"/>
        <s v="Cantidad de Espacios Culturales por Categoría en la Región de Magallanes, Año 2021"/>
        <s v="Cantidad de Espacios Culturales por Categoría en la Región Metropolitana, Año 2021"/>
        <s v="Cantidad de Espacios Culturales por Categoría en la Región de Los Ríos, Año 2021"/>
        <s v="Cantidad de Espacios Culturales por Categoría en la Región de Arica y Parinacota, Año 2021"/>
        <s v="Cantidad de Espacios Culturales por Categoría en la Región de Ñuble, Año 2021"/>
        <s v="Cantidad de Espacios Culturales por Estado de Mantención y Región en Chile, Año 2021"/>
        <s v="Cantidad de Espacios Culturales por Estado de Mantención en la Región de Tarapacá, Año 2021"/>
        <s v="Cantidad de Espacios Culturales por Estado de Mantención en la Región de Antofagasta, Año 2021"/>
        <s v="Cantidad de Espacios Culturales por Estado de Mantención en la Región de Atacama, Año 2021"/>
        <s v="Cantidad de Espacios Culturales por Estado de Mantención en la Región de Coquimbo, Año 2021"/>
        <s v="Cantidad de Espacios Culturales por Estado de Mantención en la Región de Valparaíso, Año 2021"/>
        <s v="Cantidad de Espacios Culturales por Estado de Mantención en la Región de O'Higgins, Año 2021"/>
        <s v="Cantidad de Espacios Culturales por Estado de Mantención en la Región de Maule, Año 2021"/>
        <s v="Cantidad de Espacios Culturales por Estado de Mantención en la Región del Biobío, Año 2021"/>
        <s v="Cantidad de Espacios Culturales por Estado de Mantención en la Región de La Araucanía, Año 2021"/>
        <s v="Cantidad de Espacios Culturales por Estado de Mantención en la Región de Los Lagos, Año 2021"/>
        <s v="Cantidad de Espacios Culturales por Estado de Mantención en la Región de Aysén, Año 2021"/>
        <s v="Cantidad de Espacios Culturales por Estado de Mantención en la Región de Magallanes, Año 2021"/>
        <s v="Cantidad de Espacios Culturales por Estado de Mantención en la Región Metropolitana, Año 2021"/>
        <s v="Cantidad de Espacios Culturales por Estado de Mantención en la Región de Los Ríos, Año 2021"/>
        <s v="Cantidad de Espacios Culturales por Estado de Mantención en la Región de Arica y Parinacota, Año 2021"/>
        <s v="Cantidad de Espacios Culturales por Estado de Mantención en la Región de Ñuble, Año 2021"/>
        <s v="Mapa de Espacios Culturales en Chile, Año 2021"/>
        <s v="Mapa de Espacios Culturales en la Región de Tarapacá, Año 2021"/>
        <s v="Mapa de Espacios Culturales en la Región de Antofagasta, Año 2021"/>
        <s v="Mapa de Espacios Culturales en la Región de Atacama, Año 2021"/>
        <s v="Mapa de Espacios Culturales en la Región de Coquimbo, Año 2021"/>
        <s v="Mapa de Espacios Culturales en la Región de Valparaíso, Año 2021"/>
        <s v="Mapa de Espacios Culturales en la Región de O'Higgins, Año 2021"/>
        <s v="Mapa de Espacios Culturales en la Región de Maule, Año 2021"/>
        <s v="Mapa de Espacios Culturales en la Región del Biobío, Año 2021"/>
        <s v="Mapa de Espacios Culturales en la Región de La Araucanía, Año 2021"/>
        <s v="Mapa de Espacios Culturales en la Región de Los Lagos, Año 2021"/>
        <s v="Mapa de Espacios Culturales en la Región de Aysén, Año 2021"/>
        <s v="Mapa de Espacios Culturales en la Región de Magallanes, Año 2021"/>
        <s v="Mapa de Espacios Culturales en la Región Metropolitana, Año 2021"/>
        <s v="Mapa de Espacios Culturales en la Región de Los Ríos, Año 2021"/>
        <s v="Mapa de Espacios Culturales en la Región de Arica y Parinacota, Año 2021"/>
        <s v="Mapa de Espacios Culturales en la Región de Ñuble, Año 2021"/>
        <s v="Población en Control del Programa de Cáncer de Cuello Uterino por Rango Etario en Chile, Periodo 2011-2018"/>
        <s v="Población en Control del Programa de Cáncer de Cuello Uterino por Rango Etario en la Región de Tarapacá, Periodo 2011-2018"/>
        <s v="Población en Control del Programa de Cáncer de Cuello Uterino por Rango Etario en la Región de Antofagasta, Periodo 2011-2018"/>
        <s v="Población en Control del Programa de Cáncer de Cuello Uterino por Rango Etario en la Región de Atacama, Periodo 2011-2018"/>
        <s v="Población en Control del Programa de Cáncer de Cuello Uterino por Rango Etario en la Región de Coquimbo, Periodo 2011-2018"/>
        <s v="Población en Control del Programa de Cáncer de Cuello Uterino por Rango Etario en la Región de Valparaíso, Periodo 2011-2018"/>
        <s v="Población en Control del Programa de Cáncer de Cuello Uterino por Rango Etario en la Región de O'Higgins, Periodo 2011-2018"/>
        <s v="Población en Control del Programa de Cáncer de Cuello Uterino por Rango Etario en la Región de Maule, Periodo 2011-2018"/>
        <s v="Población en Control del Programa de Cáncer de Cuello Uterino por Rango Etario en la Región del Biobío, Periodo 2011-2018"/>
        <s v="Población en Control del Programa de Cáncer de Cuello Uterino por Rango Etario en la Región de La Araucanía, Periodo 2011-2018"/>
        <s v="Población en Control del Programa de Cáncer de Cuello Uterino por Rango Etario en la Región de Los Lagos, Periodo 2011-2018"/>
        <s v="Población en Control del Programa de Cáncer de Cuello Uterino por Rango Etario en la Región de Aysén, Periodo 2011-2018"/>
        <s v="Población en Control del Programa de Cáncer de Cuello Uterino por Rango Etario en la Región de Magallanes, Periodo 2011-2018"/>
        <s v="Población en Control del Programa de Cáncer de Cuello Uterino por Rango Etario en la Región Metropolitana, Periodo 2011-2018"/>
        <s v="Población en Control del Programa de Cáncer de Cuello Uterino por Rango Etario en la Región de Los Ríos, Periodo 2011-2018"/>
        <s v="Población en Control del Programa de Cáncer de Cuello Uterino por Rango Etario en la Región de Arica y Parinacota, Periodo 2011-2018"/>
        <s v="Población en Control del Programa de Cáncer de Cuello Uterino por Rango Etario en la Región de Ñuble, Periodo 2011-2018"/>
        <s v="Población en Control del Programa de Cáncer de Cuello Uterino por Región en Chile, Periodo 2011-2018"/>
        <s v="Población en Control del Programa de Cáncer de Cuello Uterino en la Región de Tarapacá, Periodo 2011-2018"/>
        <s v="Población en Control del Programa de Cáncer de Cuello Uterino en la Región de Antofagasta, Periodo 2011-2018"/>
        <s v="Población en Control del Programa de Cáncer de Cuello Uterino en la Región de Atacama, Periodo 2011-2018"/>
        <s v="Población en Control del Programa de Cáncer de Cuello Uterino en la Región de Coquimbo, Periodo 2011-2018"/>
        <s v="Población en Control del Programa de Cáncer de Cuello Uterino en la Región de Valparaíso, Periodo 2011-2018"/>
        <s v="Población en Control del Programa de Cáncer de Cuello Uterino en la Región de O'Higgins, Periodo 2011-2018"/>
        <s v="Población en Control del Programa de Cáncer de Cuello Uterino en la Región de Maule, Periodo 2011-2018"/>
        <s v="Población en Control del Programa de Cáncer de Cuello Uterino en la Región del Biobío, Periodo 2011-2018"/>
        <s v="Población en Control del Programa de Cáncer de Cuello Uterino en la Región de La Araucanía, Periodo 2011-2018"/>
        <s v="Población en Control del Programa de Cáncer de Cuello Uterino en la Región de Los Lagos, Periodo 2011-2018"/>
        <s v="Población en Control del Programa de Cáncer de Cuello Uterino en la Región de Aysén, Periodo 2011-2018"/>
        <s v="Población en Control del Programa de Cáncer de Cuello Uterino en la Región de Magallanes, Periodo 2011-2018"/>
        <s v="Población en Control del Programa de Cáncer de Cuello Uterino en la Región Metropolitana, Periodo 2011-2018"/>
        <s v="Población en Control del Programa de Cáncer de Cuello Uterino en la Región de Los Ríos, Periodo 2011-2018"/>
        <s v="Población en Control del Programa de Cáncer de Cuello Uterino en la Región de Arica y Parinacota, Periodo 2011-2018"/>
        <s v="Población en Control del Programa de Cáncer de Cuello Uterino en la Región de Ñuble, Periodo 2011-2018"/>
        <s v="Evolución de Población en Control en el Programa de VIH/SIDA y Variación Anual en Chile, Periodo 2012-2018"/>
        <s v="Población en Control del Programa de Cáncer de Cuello Uterino en la Región de Tarapacá, Periodo 2012-2018"/>
        <s v="Población en Control del Programa de Cáncer de Cuello Uterino en la Región de Antofagasta, Periodo 2012-2018"/>
        <s v="Población en Control del Programa de Cáncer de Cuello Uterino en la Región de Atacama, Periodo 2012-2018"/>
        <s v="Población en Control del Programa de Cáncer de Cuello Uterino en la Región de Coquimbo, Periodo 2012-2018"/>
        <s v="Población en Control del Programa de Cáncer de Cuello Uterino en la Región de Valparaíso, Periodo 2012-2018"/>
        <s v="Población en Control del Programa de Cáncer de Cuello Uterino en la Región de O'Higgins, Periodo 2012-2018"/>
        <s v="Población en Control del Programa de Cáncer de Cuello Uterino en la Región de Maule, Periodo 2012-2018"/>
        <s v="Población en Control del Programa de Cáncer de Cuello Uterino en la Región del Biobío, Periodo 2012-2018"/>
        <s v="Población en Control del Programa de Cáncer de Cuello Uterino en la Región de La Araucanía, Periodo 2012-2018"/>
        <s v="Población en Control del Programa de Cáncer de Cuello Uterino en la Región de Los Lagos, Periodo 2012-2018"/>
        <s v="Población en Control del Programa de Cáncer de Cuello Uterino en la Región de Aysén, Periodo 2012-2018"/>
        <s v="Población en Control del Programa de Cáncer de Cuello Uterino en la Región de Magallanes, Periodo 2012-2018"/>
        <s v="Población en Control del Programa de Cáncer de Cuello Uterino en la Región Metropolitana, Periodo 2012-2018"/>
        <s v="Población en Control del Programa de Cáncer de Cuello Uterino en la Región de Los Ríos, Periodo 2012-2018"/>
        <s v="Población en Control del Programa de Cáncer de Cuello Uterino en la Región de Arica y Parinacota, Periodo 2012-2018"/>
        <s v="Población en Control del Programa de Cáncer de Cuello Uterino en la Región de Ñuble, Periodo 2012-2018"/>
        <s v="Cantidad de Predios Agrícolas por Comuna en Chile, Periodo 2006-2019"/>
        <s v="Cantidad de Predios Agrícolas por Comuna en la Región de Tarapacá, Periodo 2006-2019"/>
        <s v="Cantidad de Predios Agrícolas por Comuna en la Región de Antofagasta, Periodo 2006-2019"/>
        <s v="Cantidad de Predios Agrícolas por Comuna en la Región de Atacama, Periodo 2006-2019"/>
        <s v="Cantidad de Predios Agrícolas por Comuna en la Región de Coquimbo, Periodo 2006-2019"/>
        <s v="Cantidad de Predios Agrícolas por Comuna en la Región de Valparaíso, Periodo 2006-2019"/>
        <s v="Cantidad de Predios Agrícolas por Comuna en la Región de O'Higgins, Periodo 2006-2019"/>
        <s v="Cantidad de Predios Agrícolas por Comuna en la Región de Maule, Periodo 2006-2019"/>
        <s v="Cantidad de Predios Agrícolas por Comuna en la Región del Biobío, Periodo 2006-2019"/>
        <s v="Cantidad de Predios Agrícolas por Comuna en la Región de La Araucanía, Periodo 2006-2019"/>
        <s v="Cantidad de Predios Agrícolas por Comuna en la Región de Los Lagos, Periodo 2006-2019"/>
        <s v="Cantidad de Predios Agrícolas por Comuna en la Región de Aysén, Periodo 2006-2019"/>
        <s v="Cantidad de Predios Agrícolas por Comuna en la Región de Magallanes, Periodo 2006-2019"/>
        <s v="Cantidad de Predios Agrícolas por Comuna en la Región Metropolitana, Periodo 2006-2019"/>
        <s v="Cantidad de Predios Agrícolas por Comuna en la Región de Los Ríos, Periodo 2006-2019"/>
        <s v="Cantidad de Predios Agrícolas por Comuna en la Región de Arica y Parinacota, Periodo 2006-2019"/>
        <s v="Cantidad de Predios Agrícolas por Comuna en la Región de Ñuble, Periodo 2006-2019"/>
        <s v="Cantidad de Establecimientos de la Salud por Región en Chile, Año 2021"/>
        <s v="Cantidad de Establecimientos de la Salud en la Región de Tarapacá, Año 2021"/>
        <s v="Cantidad de Establecimientos de la Salud en la Región de Antofagasta, Año 2021"/>
        <s v="Cantidad de Establecimientos de la Salud en la Región de Atacama, Año 2021"/>
        <s v="Cantidad de Establecimientos de la Salud en la Región de Coquimbo, Año 2021"/>
        <s v="Cantidad de Establecimientos de la Salud en la Región de Valparaíso, Año 2021"/>
        <s v="Cantidad de Establecimientos de la Salud en la Región de O'Higgins, Año 2021"/>
        <s v="Cantidad de Establecimientos de la Salud en la Región de Maule, Año 2021"/>
        <s v="Cantidad de Establecimientos de la Salud en la Región del Biobío, Año 2021"/>
        <s v="Cantidad de Establecimientos de la Salud en la Región de La Araucanía, Año 2021"/>
        <s v="Cantidad de Establecimientos de la Salud en la Región de Los Lagos, Año 2021"/>
        <s v="Cantidad de Establecimientos de la Salud en la Región de Aysén, Año 2021"/>
        <s v="Cantidad de Establecimientos de la Salud en la Región de Magallanes, Año 2021"/>
        <s v="Cantidad de Establecimientos de la Salud en la Región Metropolitana, Año 2021"/>
        <s v="Cantidad de Establecimientos de la Salud en la Región de Los Ríos, Año 2021"/>
        <s v="Cantidad de Establecimientos de la Salud en la Región de Arica y Parinacota, Año 2021"/>
        <s v="Cantidad de Establecimientos de la Salud en la Región de Ñuble, Año 2021"/>
        <s v="Cantidad de Establecimientos de la Salud por Comuna en Chile, Año 2021"/>
        <s v="Cantidad de Establecimientos de la Salud por Comuna en la Región de Tarapacá, Año 2021"/>
        <s v="Cantidad de Establecimientos de la Salud por Comuna en la Región de Antofagasta, Año 2021"/>
        <s v="Cantidad de Establecimientos de la Salud por Comuna en la Región de Atacama, Año 2021"/>
        <s v="Cantidad de Establecimientos de la Salud por Comuna en la Región de Coquimbo, Año 2021"/>
        <s v="Cantidad de Establecimientos de la Salud por Comuna en la Región de Valparaíso, Año 2021"/>
        <s v="Cantidad de Establecimientos de la Salud por Comuna en la Región de O'Higgins, Año 2021"/>
        <s v="Cantidad de Establecimientos de la Salud por Comuna en la Región de Maule, Año 2021"/>
        <s v="Cantidad de Establecimientos de la Salud por Comuna en la Región del Biobío, Año 2021"/>
        <s v="Cantidad de Establecimientos de la Salud por Comuna en la Región de La Araucanía, Año 2021"/>
        <s v="Cantidad de Establecimientos de la Salud por Comuna en la Región de Los Lagos, Año 2021"/>
        <s v="Cantidad de Establecimientos de la Salud por Comuna en la Región de Aysén, Año 2021"/>
        <s v="Cantidad de Establecimientos de la Salud por Comuna en la Región de Magallanes, Año 2021"/>
        <s v="Cantidad de Establecimientos de la Salud por Comuna en la Región Metropolitana, Año 2021"/>
        <s v="Cantidad de Establecimientos de la Salud por Comuna en la Región de Los Ríos, Año 2021"/>
        <s v="Cantidad de Establecimientos de la Salud por Comuna en la Región de Arica y Parinacota, Año 2021"/>
        <s v="Cantidad de Establecimientos de la Salud por Comuna en la Región de Ñuble, Año 2021"/>
        <s v="Cantidad de Establecimientos de la Salud por Tipo en Chile, Año 2021"/>
        <s v="Cantidad de Establecimientos de la Salud por Tipo en la Región de Tarapacá, Año 2021"/>
        <s v="Cantidad de Establecimientos de la Salud por Tipo en la Región de Antofagasta, Año 2021"/>
        <s v="Cantidad de Establecimientos de la Salud por Tipo en la Región de Atacama, Año 2021"/>
        <s v="Cantidad de Establecimientos de la Salud por Tipo en la Región de Coquimbo, Año 2021"/>
        <s v="Cantidad de Establecimientos de la Salud por Tipo en la Región de Valparaíso, Año 2021"/>
        <s v="Cantidad de Establecimientos de la Salud por Tipo en la Región de O'Higgins, Año 2021"/>
        <s v="Cantidad de Establecimientos de la Salud por Tipo en la Región de Maule, Año 2021"/>
        <s v="Cantidad de Establecimientos de la Salud por Tipo en la Región del Biobío, Año 2021"/>
        <s v="Cantidad de Establecimientos de la Salud por Tipo en la Región de La Araucanía, Año 2021"/>
        <s v="Cantidad de Establecimientos de la Salud por Tipo en la Región de Los Lagos, Año 2021"/>
        <s v="Cantidad de Establecimientos de la Salud por Tipo en la Región de Aysén, Año 2021"/>
        <s v="Cantidad de Establecimientos de la Salud por Tipo en la Región de Magallanes, Año 2021"/>
        <s v="Cantidad de Establecimientos de la Salud por Tipo en la Región Metropolitana, Año 2021"/>
        <s v="Cantidad de Establecimientos de la Salud por Tipo en la Región de Los Ríos, Año 2021"/>
        <s v="Cantidad de Establecimientos de la Salud por Tipo en la Región de Arica y Parinacota, Año 2021"/>
        <s v="Cantidad de Establecimientos de la Salud por Tipo en la Región de Ñuble, Año 2021"/>
        <s v="Atenciones Médicas por Violencia de Género por Región en Chile, Periodo 2010-2016"/>
        <s v="Atenciones Médicas por Violencia de Género en la Región de Tarapacá, Periodo 2010-2016"/>
        <s v="Atenciones Médicas por Violencia de Género en la Región de Antofagasta, Periodo 2010-2016"/>
        <s v="Atenciones Médicas por Violencia de Género en la Región de Atacama, Periodo 2010-2016"/>
        <s v="Atenciones Médicas por Violencia de Género en la Región de Coquimbo, Periodo 2010-2016"/>
        <s v="Atenciones Médicas por Violencia de Género en la Región de Valparaíso, Periodo 2010-2016"/>
        <s v="Atenciones Médicas por Violencia de Género en la Región de O'Higgins, Periodo 2010-2016"/>
        <s v="Atenciones Médicas por Violencia de Género en la Región de Maule, Periodo 2010-2016"/>
        <s v="Atenciones Médicas por Violencia de Género en la Región del Biobío, Periodo 2010-2016"/>
        <s v="Atenciones Médicas por Violencia de Género en la Región de La Araucanía, Periodo 2010-2016"/>
        <s v="Atenciones Médicas por Violencia de Género en la Región de Los Lagos, Periodo 2010-2016"/>
        <s v="Atenciones Médicas por Violencia de Género en la Región de Aysén, Periodo 2010-2016"/>
        <s v="Atenciones Médicas por Violencia de Género en la Región de Magallanes, Periodo 2010-2016"/>
        <s v="Atenciones Médicas por Violencia de Género en la Región Metropolitana, Periodo 2010-2016"/>
        <s v="Atenciones Médicas por Violencia de Género en la Región de Los Ríos, Periodo 2010-2016"/>
        <s v="Atenciones Médicas por Violencia de Género en la Región de Arica y Parinacota, Periodo 2010-2016"/>
        <s v="Atenciones Médicas por Violencia de Género en la Región de Ñuble, Periodo 2010-2016"/>
        <s v="Cantidad de Establecimientos de la Salud por Tipo y Categoría en Chile, Año 2021"/>
        <s v="Cantidad de Establecimientos de la Salud por Tipo y Categoría en la Región de Tarapacá, Año 2021"/>
        <s v="Cantidad de Establecimientos de la Salud por Tipo y Categoría en la Región de Antofagasta, Año 2021"/>
        <s v="Cantidad de Establecimientos de la Salud por Tipo y Categoría en la Región de Atacama, Año 2021"/>
        <s v="Cantidad de Establecimientos de la Salud por Tipo y Categoría en la Región de Coquimbo, Año 2021"/>
        <s v="Cantidad de Establecimientos de la Salud por Tipo y Categoría en la Región de Valparaíso, Año 2021"/>
        <s v="Cantidad de Establecimientos de la Salud por Tipo y Categoría en la Región de O'Higgins, Año 2021"/>
        <s v="Cantidad de Establecimientos de la Salud por Tipo y Categoría en la Región de Maule, Año 2021"/>
        <s v="Cantidad de Establecimientos de la Salud por Tipo y Categoría en la Región del Biobío, Año 2021"/>
        <s v="Cantidad de Establecimientos de la Salud por Tipo y Categoría en la Región de La Araucanía, Año 2021"/>
        <s v="Cantidad de Establecimientos de la Salud por Tipo y Categoría en la Región de Los Lagos, Año 2021"/>
        <s v="Cantidad de Establecimientos de la Salud por Tipo y Categoría en la Región de Aysén, Año 2021"/>
        <s v="Cantidad de Establecimientos de la Salud por Tipo y Categoría en la Región de Magallanes, Año 2021"/>
        <s v="Cantidad de Establecimientos de la Salud por Tipo y Categoría en la Región Metropolitana, Año 2021"/>
        <s v="Cantidad de Establecimientos de la Salud por Tipo y Categoría en la Región de Los Ríos, Año 2021"/>
        <s v="Cantidad de Establecimientos de la Salud por Tipo y Categoría en la Región de Arica y Parinacota, Año 2021"/>
        <s v="Cantidad de Establecimientos de la Salud por Tipo y Categoría en la Región de Ñuble, Año 2021"/>
        <s v="Cantidad de licencias de conducir del tipo profesional según clase en Chile, Periodo 2011-2017"/>
        <s v="Cantidad de licencias de conducir del tipo profesional según clase en la Región de Tarapacá, Periodo 2011-2017"/>
        <s v="Cantidad de licencias de conducir del tipo profesional según clase en la Región de Antofagasta, Periodo 2011-2017"/>
        <s v="Cantidad de licencias de conducir del tipo profesional según clase en la Región de Atacama, Periodo 2011-2017"/>
        <s v="Cantidad de licencias de conducir del tipo profesional según clase en la Región de Coquimbo, Periodo 2011-2017"/>
        <s v="Cantidad de licencias de conducir del tipo profesional según clase en la Región de Valparaíso, Periodo 2011-2017"/>
        <s v="Cantidad de licencias de conducir del tipo profesional según clase en la Región de O'Higgins, Periodo 2011-2017"/>
        <s v="Cantidad de licencias de conducir del tipo profesional según clase en la Región de Maule, Periodo 2011-2017"/>
        <s v="Cantidad de licencias de conducir del tipo profesional según clase en la Región del Biobío, Periodo 2011-2017"/>
        <s v="Cantidad de licencias de conducir del tipo profesional según clase en la Región de La Araucanía, Periodo 2011-2017"/>
        <s v="Cantidad de licencias de conducir del tipo profesional según clase en la Región de Los Lagos, Periodo 2011-2017"/>
        <s v="Cantidad de licencias de conducir del tipo profesional según clase en la Región de Aysén, Periodo 2011-2017"/>
        <s v="Cantidad de licencias de conducir del tipo profesional según clase en la Región de Magallanes, Periodo 2011-2017"/>
        <s v="Cantidad de licencias de conducir del tipo profesional según clase en la Región Metropolitana, Periodo 2011-2017"/>
        <s v="Cantidad de licencias de conducir del tipo profesional según clase en la Región de Los Ríos, Periodo 2011-2017"/>
        <s v="Cantidad de licencias de conducir del tipo profesional según clase en la Región de Arica y Parinacota, Periodo 2011-2017"/>
        <s v="Cantidad de licencias de conducir del tipo profesional según clase en la Región de Ñuble, Periodo 2011-2017"/>
        <s v="Cantidad de permisos de circulación según tipo de transporte en Chile, Periodo 2008-2019"/>
        <s v="Cantidad de permisos de circulación según tipo de transporte en la Región de Tarapacá, Periodo 2008-2019"/>
        <s v="Cantidad de permisos de circulación según tipo de transporte en la Región de Antofagasta, Periodo 2008-2019"/>
        <s v="Cantidad de permisos de circulación según tipo de transporte en la Región de Atacama, Periodo 2008-2019"/>
        <s v="Cantidad de permisos de circulación según tipo de transporte en la Región de Coquimbo, Periodo 2008-2019"/>
        <s v="Cantidad de permisos de circulación según tipo de transporte en la Región de Valparaíso, Periodo 2008-2019"/>
        <s v="Cantidad de permisos de circulación según tipo de transporte en la Región de O'Higgins, Periodo 2008-2019"/>
        <s v="Cantidad de permisos de circulación según tipo de transporte en la Región de Maule, Periodo 2008-2019"/>
        <s v="Cantidad de permisos de circulación según tipo de transporte en la Región del Biobío, Periodo 2008-2019"/>
        <s v="Cantidad de permisos de circulación según tipo de transporte en la Región de La Araucanía, Periodo 2008-2019"/>
        <s v="Cantidad de permisos de circulación según tipo de transporte en la Región de Los Lagos, Periodo 2008-2019"/>
        <s v="Cantidad de permisos de circulación según tipo de transporte en la Región de Aysén, Periodo 2008-2019"/>
        <s v="Cantidad de permisos de circulación según tipo de transporte en la Región de Magallanes, Periodo 2008-2019"/>
        <s v="Cantidad de permisos de circulación según tipo de transporte en la Región Metropolitana, Periodo 2008-2019"/>
        <s v="Cantidad de permisos de circulación según tipo de transporte en la Región de Los Ríos, Periodo 2008-2019"/>
        <s v="Cantidad de permisos de circulación según tipo de transporte en la Región de Arica y Parinacota, Periodo 2008-2019"/>
        <s v="Cantidad de permisos de circulación según tipo de transporte en la Región de Ñuble, Periodo 2008-2019"/>
        <s v="Cantidad de licencias de conducir del tipo no profesional por Comuna en Chile, Periodo 2011-2017"/>
        <s v="Cantidad de licencias de conducir del tipo no profesional por Comuna en la Región de Tarapacá, Periodo 2011-2017"/>
        <s v="Cantidad de licencias de conducir del tipo no profesional por Comuna en la Región de Antofagasta, Periodo 2011-2017"/>
        <s v="Cantidad de licencias de conducir del tipo no profesional por Comuna en la Región de Atacama, Periodo 2011-2017"/>
        <s v="Cantidad de licencias de conducir del tipo no profesional por Comuna en la Región de Coquimbo, Periodo 2011-2017"/>
        <s v="Cantidad de licencias de conducir del tipo no profesional por Comuna en la Región de Valparaíso, Periodo 2011-2017"/>
        <s v="Cantidad de licencias de conducir del tipo no profesional por Comuna en la Región de O'Higgins, Periodo 2011-2017"/>
        <s v="Cantidad de licencias de conducir del tipo no profesional por Comuna en la Región de Maule, Periodo 2011-2017"/>
        <s v="Cantidad de licencias de conducir del tipo no profesional por Comuna en la Región del Biobío, Periodo 2011-2017"/>
        <s v="Cantidad de licencias de conducir del tipo no profesional por Comuna en la Región de La Araucanía, Periodo 2011-2017"/>
        <s v="Cantidad de licencias de conducir del tipo no profesional por Comuna en la Región de Los Lagos, Periodo 2011-2017"/>
        <s v="Cantidad de licencias de conducir del tipo no profesional por Comuna en la Región de Aysén, Periodo 2011-2017"/>
        <s v="Cantidad de licencias de conducir del tipo no profesional por Comuna en la Región de Magallanes, Periodo 2011-2017"/>
        <s v="Cantidad de licencias de conducir del tipo no profesional por Comuna en la Región Metropolitana, Periodo 2011-2017"/>
        <s v="Cantidad de licencias de conducir del tipo no profesional por Comuna en la Región de Los Ríos, Periodo 2011-2017"/>
        <s v="Cantidad de licencias de conducir del tipo no profesional por Comuna en la Región de Arica y Parinacota, Periodo 2011-2017"/>
        <s v="Cantidad de licencias de conducir del tipo no profesional por Comuna en la Región de Ñuble, Periodo 2011-2017"/>
        <s v="Cantidad de permisos de circulación de transportes colectivos por Comuna en Chile, Periodo 2008-2019"/>
        <s v="Cantidad de permisos de circulación de transportes colectivos por Comuna en la Región de Tarapacá, Periodo 2008-2019"/>
        <s v="Cantidad de permisos de circulación de transportes colectivos por Comuna en la Región de Antofagasta, Periodo 2008-2019"/>
        <s v="Cantidad de permisos de circulación de transportes colectivos por Comuna en la Región de Atacama, Periodo 2008-2019"/>
        <s v="Cantidad de permisos de circulación de transportes colectivos por Comuna en la Región de Coquimbo, Periodo 2008-2019"/>
        <s v="Cantidad de permisos de circulación de transportes colectivos por Comuna en la Región de Valparaíso, Periodo 2008-2019"/>
        <s v="Cantidad de permisos de circulación de transportes colectivos por Comuna en la Región de O'Higgins, Periodo 2008-2019"/>
        <s v="Cantidad de permisos de circulación de transportes colectivos por Comuna en la Región de Maule, Periodo 2008-2019"/>
        <s v="Cantidad de permisos de circulación de transportes colectivos por Comuna en la Región del Biobío, Periodo 2008-2019"/>
        <s v="Cantidad de permisos de circulación de transportes colectivos por Comuna en la Región de La Araucanía, Periodo 2008-2019"/>
        <s v="Cantidad de permisos de circulación de transportes colectivos por Comuna en la Región de Los Lagos, Periodo 2008-2019"/>
        <s v="Cantidad de permisos de circulación de transportes colectivos por Comuna en la Región de Aysén, Periodo 2008-2019"/>
        <s v="Cantidad de permisos de circulación de transportes colectivos por Comuna en la Región de Magallanes, Periodo 2008-2019"/>
        <s v="Cantidad de permisos de circulación de transportes colectivos por Comuna en la Región Metropolitana, Periodo 2008-2019"/>
        <s v="Cantidad de permisos de circulación de transportes colectivos por Comuna en la Región de Los Ríos, Periodo 2008-2019"/>
        <s v="Cantidad de permisos de circulación de transportes colectivos por Comuna en la Región de Arica y Parinacota, Periodo 2008-2019"/>
        <s v="Cantidad de permisos de circulación de transportes colectivos por Comuna en la Región de Ñuble, Periodo 2008-2019"/>
        <s v="Cantidad de licencias de conducir por clase y Comuna en Chile, Periodo 2011-2017"/>
        <s v="Cantidad de licencias de conducir por clase y Comuna en la Región de Tarapacá, Periodo 2011-2017"/>
        <s v="Cantidad de licencias de conducir por clase y Comuna en la Región de Antofagasta, Periodo 2011-2017"/>
        <s v="Cantidad de licencias de conducir por clase y Comuna en la Región de Atacama, Periodo 2011-2017"/>
        <s v="Cantidad de licencias de conducir por clase y Comuna en la Región de Coquimbo, Periodo 2011-2017"/>
        <s v="Cantidad de licencias de conducir por clase y Comuna en la Región de Valparaíso, Periodo 2011-2017"/>
        <s v="Cantidad de licencias de conducir por clase y Comuna en la Región de O'Higgins, Periodo 2011-2017"/>
        <s v="Cantidad de licencias de conducir por clase y Comuna en la Región de Maule, Periodo 2011-2017"/>
        <s v="Cantidad de licencias de conducir por clase y Comuna en la Región del Biobío, Periodo 2011-2017"/>
        <s v="Cantidad de licencias de conducir por clase y Comuna en la Región de La Araucanía, Periodo 2011-2017"/>
        <s v="Cantidad de licencias de conducir por clase y Comuna en la Región de Los Lagos, Periodo 2011-2017"/>
        <s v="Cantidad de licencias de conducir por clase y Comuna en la Región de Aysén, Periodo 2011-2017"/>
        <s v="Cantidad de licencias de conducir por clase y Comuna en la Región de Magallanes, Periodo 2011-2017"/>
        <s v="Cantidad de licencias de conducir por clase y Comuna en la Región Metropolitana, Periodo 2011-2017"/>
        <s v="Cantidad de licencias de conducir por clase y Comuna en la Región de Los Ríos, Periodo 2011-2017"/>
        <s v="Cantidad de licencias de conducir por clase y Comuna en la Región de Arica y Parinacota, Periodo 2011-2017"/>
        <s v="Cantidad de licencias de conducir por clase y Comuna en la Región de Ñuble, Periodo 2011-2017"/>
        <s v="Capacidad Instalada (MW) de Centrales Eléctricas por Tipo de Energía y Región en Chile, para el Año 2021"/>
        <s v="Capacidad Instalada (MW) de Centrales Eléctricas por Tipo de Energía en la Región de Tarapacá, para el Año 2021"/>
        <s v="Capacidad Instalada (MW) de Centrales Eléctricas por Tipo de Energía en la Región de Antofagasta, para el Año 2021"/>
        <s v="Capacidad Instalada (MW) de Centrales Eléctricas por Tipo de Energía en la Región de Atacama, para el Año 2021"/>
        <s v="Capacidad Instalada (MW) de Centrales Eléctricas por Tipo de Energía en la Región de Coquimbo, para el Año 2021"/>
        <s v="Capacidad Instalada (MW) de Centrales Eléctricas por Tipo de Energía en la Región de Valparaíso, para el Año 2021"/>
        <s v="Capacidad Instalada (MW) de Centrales Eléctricas por Tipo de Energía en la Región de O'Higgins, para el Año 2021"/>
        <s v="Capacidad Instalada (MW) de Centrales Eléctricas por Tipo de Energía en la Región de Maule, para el Año 2021"/>
        <s v="Capacidad Instalada (MW) de Centrales Eléctricas por Tipo de Energía en la Región del Biobío, para el Año 2021"/>
        <s v="Capacidad Instalada (MW) de Centrales Eléctricas por Tipo de Energía en la Región de La Araucanía, para el Año 2021"/>
        <s v="Capacidad Instalada (MW) de Centrales Eléctricas por Tipo de Energía en la Región de Los Lagos, para el Año 2021"/>
        <s v="Capacidad Instalada (MW) de Centrales Eléctricas por Tipo de Energía en la Región de Aysén, para el Año 2021"/>
        <s v="Capacidad Instalada (MW) de Centrales Eléctricas por Tipo de Energía en la Región de Magallanes, para el Año 2021"/>
        <s v="Capacidad Instalada (MW) de Centrales Eléctricas por Tipo de Energía en la Región Metropolitana, para el Año 2021"/>
        <s v="Capacidad Instalada (MW) de Centrales Eléctricas por Tipo de Energía en la Región de Los Ríos, para el Año 2021"/>
        <s v="Capacidad Instalada (MW) de Centrales Eléctricas por Tipo de Energía en la Región de Arica y Parinacota, para el Año 2021"/>
        <s v="Capacidad Instalada (MW) de Centrales Eléctricas por Tipo de Energía en la Región de Ñuble, para el Año 2021"/>
        <s v="Top 10 de Propietarios de Centrales Eléctricas con Mayor Capacidad Instalada (MW) en Chile, para el Año 2021"/>
        <s v="Cantidad de Centrales de Energía Renovable No Convencional por Comuna en Chile, para el Año 2021"/>
        <s v="Cantidad de Centrales de Energía Renovable No Convencional por Comuna en la Región de Tarapacá, para el Año 2021"/>
        <s v="Cantidad de Centrales de Energía Renovable No Convencional por Comuna en la Región de Antofagasta, para el Año 2021"/>
        <s v="Cantidad de Centrales de Energía Renovable No Convencional por Comuna en la Región de Atacama, para el Año 2021"/>
        <s v="Cantidad de Centrales de Energía Renovable No Convencional por Comuna en la Región de Coquimbo, para el Año 2021"/>
        <s v="Cantidad de Centrales de Energía Renovable No Convencional por Comuna en la Región de Valparaíso, para el Año 2021"/>
        <s v="Cantidad de Centrales de Energía Renovable No Convencional por Comuna en la Región de O'Higgins, para el Año 2021"/>
        <s v="Cantidad de Centrales de Energía Renovable No Convencional por Comuna en la Región de Maule, para el Año 2021"/>
        <s v="Cantidad de Centrales de Energía Renovable No Convencional por Comuna en la Región del Biobío, para el Año 2021"/>
        <s v="Cantidad de Centrales de Energía Renovable No Convencional por Comuna en la Región de La Araucanía, para el Año 2021"/>
        <s v="Cantidad de Centrales de Energía Renovable No Convencional por Comuna en la Región de Los Lagos, para el Año 2021"/>
        <s v="Cantidad de Centrales de Energía Renovable No Convencional por Comuna en la Región de Aysén, para el Año 2021"/>
        <s v="Cantidad de Centrales de Energía Renovable No Convencional por Comuna en la Región de Magallanes, para el Año 2021"/>
        <s v="Cantidad de Centrales de Energía Renovable No Convencional por Comuna en la Región Metropolitana, para el Año 2021"/>
        <s v="Cantidad de Centrales de Energía Renovable No Convencional por Comuna en la Región de Los Ríos, para el Año 2021"/>
        <s v="Cantidad de Centrales de Energía Renovable No Convencional por Comuna en la Región de Arica y Parinacota, para el Año 2021"/>
        <s v="Cantidad de Centrales de Energía Renovable No Convencional por Comuna en la Región de Ñuble, para el Año 2021"/>
        <s v="Capacidad Instalada (MW) de Centrales Eléctricas por Región en Chile, Año 2021"/>
        <s v="Top 10 Comunas con la mayor cantidad de farmacias enChile, Año 2021"/>
        <s v="Cantidad de Farmacias por Región en Chile, Año 2021"/>
        <s v="Cantidad de Farmacias de Turno por Comuna en Chile, Año 2021"/>
        <s v="Cantidad de Farmacias de Turno por Comuna en la Región de Tarapacá, Año 2021"/>
        <s v="Cantidad de Farmacias de Turno por Comuna en la Región de Antofagasta, Año 2021"/>
        <s v="Cantidad de Farmacias de Turno por Comuna en la Región de Atacama, Año 2021"/>
        <s v="Cantidad de Farmacias de Turno por Comuna en la Región de Coquimbo, Año 2021"/>
        <s v="Cantidad de Farmacias de Turno por Comuna en la Región de Valparaíso, Año 2021"/>
        <s v="Cantidad de Farmacias de Turno por Comuna en la Región de O'Higgins, Año 2021"/>
        <s v="Cantidad de Farmacias de Turno por Comuna en la Región de Maule, Año 2021"/>
        <s v="Cantidad de Farmacias de Turno por Comuna en la Región del Biobío, Año 2021"/>
        <s v="Cantidad de Farmacias de Turno por Comuna en la Región de La Araucanía, Año 2021"/>
        <s v="Cantidad de Farmacias de Turno por Comuna en la Región de Los Lagos, Año 2021"/>
        <s v="Cantidad de Farmacias de Turno por Comuna en la Región de Aysén, Año 2021"/>
        <s v="Cantidad de Farmacias de Turno por Comuna en la Región de Magallanes, Año 2021"/>
        <s v="Cantidad de Farmacias de Turno por Comuna en la Región Metropolitana, Año 2021"/>
        <s v="Cantidad de Farmacias de Turno por Comuna en la Región de Los Ríos, Año 2021"/>
        <s v="Cantidad de Farmacias de Turno por Comuna en la Región de Arica y Parinacota, Año 2021"/>
        <s v="Cantidad de Farmacias de Turno por Comuna en la Región de Ñuble, Año 2021"/>
        <s v="Cantidad de Farmacias de Turno por Región en Chile, Año 2021"/>
        <s v="Evolución Trimestral de Exportaciones (USD) de Productos del Mar desde Chile, Periodo 2018-2021"/>
        <s v="Evolución Trimestral de Exportaciones (USD) por Tipo de Producto desde Chile, Periodo 2015-2021"/>
        <s v="Mapa de calor que muestra el valor de las Importaciones en USD por Región  en Chile, Año 2021"/>
        <s v="Volumen de las importaciones en kilogramo según tipo de terminal de entrada en Chile, Periodo 2015-2021"/>
        <s v="Volumen de las importaciones en kilogramo según tipo de terminal de entrada en la Región de Tarapacá, Periodo 2015-2021"/>
        <s v="Volumen de las importaciones en kilogramo según tipo de terminal de entrada en la Región de Antofagasta, Periodo 2015-2021"/>
        <s v="Volumen de las importaciones en kilogramo según tipo de terminal de entrada en la Región de Atacama, Periodo 2015-2021"/>
        <s v="Volumen de las importaciones en kilogramo según tipo de terminal de entrada en la Región de Coquimbo, Periodo 2015-2021"/>
        <s v="Volumen de las importaciones en kilogramo según tipo de terminal de entrada en la Región de Valparaíso, Periodo 2015-2021"/>
        <s v="Volumen de las importaciones en kilogramo según tipo de terminal de entrada en la Región de O'Higgins, Periodo 2015-2021"/>
        <s v="Volumen de las importaciones en kilogramo según tipo de terminal de entrada en la Región de Maule, Periodo 2015-2021"/>
        <s v="Volumen de las importaciones en kilogramo según tipo de terminal de entrada en la Región del Biobío, Periodo 2015-2021"/>
        <s v="Volumen de las importaciones en kilogramo según tipo de terminal de entrada en la Región de La Araucanía, Periodo 2015-2021"/>
        <s v="Volumen de las importaciones en kilogramo según tipo de terminal de entrada en la Región de Los Lagos, Periodo 2015-2021"/>
        <s v="Volumen de las importaciones en kilogramo según tipo de terminal de entrada en la Región de Aysén, Periodo 2015-2021"/>
        <s v="Volumen de las importaciones en kilogramo según tipo de terminal de entrada en la Región de Magallanes, Periodo 2015-2021"/>
        <s v="Volumen de las importaciones en kilogramo según tipo de terminal de entrada en la Región Metropolitana, Periodo 2015-2021"/>
        <s v="Volumen de las importaciones en kilogramo según tipo de terminal de entrada en la Región de Los Ríos, Periodo 2015-2021"/>
        <s v="Volumen de las importaciones en kilogramo según tipo de terminal de entrada en la Región de Arica y Parinacota, Periodo 2015-2021"/>
        <s v="Valor de las exportaciones en USD según terminal de salida para Chile, Periodo 2015-2021"/>
        <s v="Valor de las exportaciones en USD según terminal de salida para la Región de Tarapacá, Periodo 2015-2021"/>
        <s v="Valor de las exportaciones en USD según terminal de salida para la Región de Antofagasta, Periodo 2015-2021"/>
        <s v="Valor de las exportaciones en USD según terminal de salida para la Región de Atacama, Periodo 2015-2021"/>
        <s v="Valor de las exportaciones en USD según terminal de salida para la Región de Coquimbo, Periodo 2015-2021"/>
        <s v="Valor de las exportaciones en USD según terminal de salida para la Región de Valparaíso, Periodo 2015-2021"/>
        <s v="Valor de las exportaciones en USD según terminal de salida para la Región de O'Higgins, Periodo 2015-2021"/>
        <s v="Valor de las exportaciones en USD según terminal de salida para la Región de Maule, Periodo 2015-2021"/>
        <s v="Valor de las exportaciones en USD según terminal de salida para la Región del Biobío, Periodo 2015-2021"/>
        <s v="Valor de las exportaciones en USD según terminal de salida para la Región de La Araucanía, Periodo 2015-2021"/>
        <s v="Valor de las exportaciones en USD según terminal de salida para la Región de Los Lagos, Periodo 2015-2021"/>
        <s v="Valor de las exportaciones en USD según terminal de salida para la Región de Aysén, Periodo 2015-2021"/>
        <s v="Valor de las exportaciones en USD según terminal de salida para la Región de Magallanes, Periodo 2015-2021"/>
        <s v="Valor de las exportaciones en USD según terminal de salida para la Región Metropolitana, Periodo 2015-2021"/>
        <s v="Valor de las exportaciones en USD según terminal de salida para la Región de Los Ríos, Periodo 2015-2021"/>
        <s v="Valor de las exportaciones en USD según terminal de salida para la Región de Arica y Parinacota, Periodo 2015-2021"/>
        <s v="Volumen de las exportaciones en kilogramo en Chile, Periodo 2015-2021"/>
        <s v="Evolución por trimestre de Importaciones y exportaciones según el volumen (kg) en Chile, Periodo 2015-2021"/>
        <s v="Evolución por trimestre de Importaciones y exportaciones según el volumen (kg) en la Región de Tarapacá, Periodo 2015-2021"/>
        <s v="Evolución por trimestre de Importaciones y exportaciones según el volumen (kg) en la Región de Antofagasta, Periodo 2015-2021"/>
        <s v="Evolución por trimestre de Importaciones y exportaciones según el volumen (kg) en la Región de Atacama, Periodo 2015-2021"/>
        <s v="Evolución por trimestre de Importaciones y exportaciones según el volumen (kg) en la Región de Coquimbo, Periodo 2015-2021"/>
        <s v="Evolución por trimestre de Importaciones y exportaciones según el volumen (kg) en la Región de Valparaíso, Periodo 2015-2021"/>
        <s v="Evolución por trimestre de Importaciones y exportaciones según el volumen (kg) en la Región de O'Higgins, Periodo 2015-2021"/>
        <s v="Evolución por trimestre de Importaciones y exportaciones según el volumen (kg) en la Región de Maule, Periodo 2015-2021"/>
        <s v="Evolución por trimestre de Importaciones y exportaciones según el volumen (kg) en la Región del Biobío, Periodo 2015-2021"/>
        <s v="Evolución por trimestre de Importaciones y exportaciones según el volumen (kg) en la Región de La Araucanía, Periodo 2015-2021"/>
        <s v="Evolución por trimestre de Importaciones y exportaciones según el volumen (kg) en la Región de Los Lagos, Periodo 2015-2021"/>
        <s v="Evolución por trimestre de Importaciones y exportaciones según el volumen (kg) en la Región de Aysén, Periodo 2015-2021"/>
        <s v="Evolución por trimestre de Importaciones y exportaciones según el volumen (kg) en la Región de Magallanes, Periodo 2015-2021"/>
        <s v="Evolución por trimestre de Importaciones y exportaciones según el volumen (kg) en la Región Metropolitana, Periodo 2015-2021"/>
        <s v="Evolución por trimestre de Importaciones y exportaciones según el volumen (kg) en la Región de Los Ríos, Periodo 2015-2021"/>
        <s v="Evolución por trimestre de Importaciones y exportaciones según el volumen (kg) en la Región de Arica y Parinacota, Periodo 2015-2021"/>
        <s v="Cantidad de Parques Urbanos por Comuna en Chile, Año 2020"/>
        <s v="Cantidad de Parques Urbanos por Comuna en la Región de Tarapacá, Año 2020"/>
        <s v="Cantidad de Parques Urbanos por Comuna en la Región de Antofagasta, Año 2020"/>
        <s v="Cantidad de Parques Urbanos por Comuna en la Región de Atacama, Año 2020"/>
        <s v="Cantidad de Parques Urbanos por Comuna en la Región de Coquimbo, Año 2020"/>
        <s v="Cantidad de Parques Urbanos por Comuna en la Región de Valparaíso, Año 2020"/>
        <s v="Cantidad de Parques Urbanos por Comuna en la Región de O'Higgins, Año 2020"/>
        <s v="Cantidad de Parques Urbanos por Comuna en la Región de Maule, Año 2020"/>
        <s v="Cantidad de Parques Urbanos por Comuna en la Región del Biobío, Año 2020"/>
        <s v="Cantidad de Parques Urbanos por Comuna en la Región de La Araucanía, Año 2020"/>
        <s v="Cantidad de Parques Urbanos por Comuna en la Región de Los Lagos, Año 2020"/>
        <s v="Cantidad de Parques Urbanos por Comuna en la Región de Aysén, Año 2020"/>
        <s v="Cantidad de Parques Urbanos por Comuna en la Región de Magallanes, Año 2020"/>
        <s v="Cantidad de Parques Urbanos por Comuna en la Región Metropolitana, Año 2020"/>
        <s v="Cantidad de Parques Urbanos por Comuna en la Región de Los Ríos, Año 2020"/>
        <s v="Cantidad de Parques Urbanos por Comuna en la Región de Arica y Parinacota, Año 2020"/>
        <s v="Cantidad de Parques Urbanos por Comuna en la Región de Ñuble, Año 2020"/>
        <s v="Cantidad de Plazas Públicas por Comuna en Chile, Año 2020"/>
        <s v="Cantidad de Plazas Públicas por Comuna en la Región de Tarapacá, Año 2020"/>
        <s v="Cantidad de Plazas Públicas por Comuna en la Región de Antofagasta, Año 2020"/>
        <s v="Cantidad de Plazas Públicas por Comuna en la Región de Atacama, Año 2020"/>
        <s v="Cantidad de Plazas Públicas por Comuna en la Región de Coquimbo, Año 2020"/>
        <s v="Cantidad de Plazas Públicas por Comuna en la Región de Valparaíso, Año 2020"/>
        <s v="Cantidad de Plazas Públicas por Comuna en la Región de O'Higgins, Año 2020"/>
        <s v="Cantidad de Plazas Públicas por Comuna en la Región de Maule, Año 2020"/>
        <s v="Cantidad de Plazas Públicas por Comuna en la Región del Biobío, Año 2020"/>
        <s v="Cantidad de Plazas Públicas por Comuna en la Región de La Araucanía, Año 2020"/>
        <s v="Cantidad de Plazas Públicas por Comuna en la Región de Los Lagos, Año 2020"/>
        <s v="Cantidad de Plazas Públicas por Comuna en la Región de Aysén, Año 2020"/>
        <s v="Cantidad de Plazas Públicas por Comuna en la Región de Magallanes, Año 2020"/>
        <s v="Cantidad de Plazas Públicas por Comuna en la Región Metropolitana, Año 2020"/>
        <s v="Cantidad de Plazas Públicas por Comuna en la Región de Los Ríos, Año 2020"/>
        <s v="Cantidad de Plazas Públicas por Comuna en la Región de Arica y Parinacota, Año 2020"/>
        <s v="Cantidad de Plazas Públicas por Comuna en la Región de Ñuble, Año 2020"/>
        <s v="Áreas Verdes Mantenidas (m2) por Habitante y Comuna en Chile, Periodo 2001-2020"/>
        <s v="Áreas Verdes Mantenidas (m2) por Habitante y Comuna en la Región de Tarapacá, Periodo 2001-2020"/>
        <s v="Áreas Verdes Mantenidas (m2) por Habitante y Comuna en la Región de Antofagasta, Periodo 2001-2020"/>
        <s v="Áreas Verdes Mantenidas (m2) por Habitante y Comuna en la Región de Atacama, Periodo 2001-2020"/>
        <s v="Áreas Verdes Mantenidas (m2) por Habitante y Comuna en la Región de Coquimbo, Periodo 2001-2020"/>
        <s v="Áreas Verdes Mantenidas (m2) por Habitante y Comuna en la Región de Valparaíso, Periodo 2001-2020"/>
        <s v="Áreas Verdes Mantenidas (m2) por Habitante y Comuna en la Región de O'Higgins, Periodo 2001-2020"/>
        <s v="Áreas Verdes Mantenidas (m2) por Habitante y Comuna en la Región de Maule, Periodo 2001-2020"/>
        <s v="Áreas Verdes Mantenidas (m2) por Habitante y Comuna en la Región del Biobío, Periodo 2001-2020"/>
        <s v="Áreas Verdes Mantenidas (m2) por Habitante y Comuna en la Región de La Araucanía, Periodo 2001-2020"/>
        <s v="Áreas Verdes Mantenidas (m2) por Habitante y Comuna en la Región de Los Lagos, Periodo 2001-2020"/>
        <s v="Áreas Verdes Mantenidas (m2) por Habitante y Comuna en la Región de Aysén, Periodo 2001-2020"/>
        <s v="Áreas Verdes Mantenidas (m2) por Habitante y Comuna en la Región de Magallanes, Periodo 2001-2020"/>
        <s v="Áreas Verdes Mantenidas (m2) por Habitante y Comuna en la Región Metropolitana, Periodo 2001-2020"/>
        <s v="Áreas Verdes Mantenidas (m2) por Habitante y Comuna en la Región de Los Ríos, Periodo 2001-2020"/>
        <s v="Áreas Verdes Mantenidas (m2) por Habitante y Comuna en la Región de Arica y Parinacota, Periodo 2001-2020"/>
        <s v="Áreas Verdes Mantenidas (m2) por Habitante y Comuna en la Región de Ñuble, Periodo 2001-2020"/>
        <s v="Evolución de la Proporción de la Población que tuvo Consultas Mentales a Escala Nacional en Chile, Periodo 2009-2017"/>
        <s v="Evolución de la Tasa de Consultas Mentales a Escala Regional (Consultas cada 100 mil habitantes) en Chile, Periodo 2009-2017"/>
        <s v="Evolución de la Tasa de Consultas Mentales a Escala Comunal (Consultas cada 100 mil habitantes) en  Chile, Periodo 2009-2017"/>
        <s v="Evolución de la Tasa de Consultas Mentales a Escala Comunal (Consultas cada 100 mil habitantes) en la  Región de Tarapacá, Periodo 2009-2017"/>
        <s v="Evolución de la Tasa de Consultas Mentales a Escala Comunal (Consultas cada 100 mil habitantes) en la  Región de Antofagasta, Periodo 2009-2017"/>
        <s v="Evolución de la Tasa de Consultas Mentales a Escala Comunal (Consultas cada 100 mil habitantes) en la  Región de Atacama, Periodo 2009-2017"/>
        <s v="Evolución de la Tasa de Consultas Mentales a Escala Comunal (Consultas cada 100 mil habitantes) en la  Región de Coquimbo, Periodo 2009-2017"/>
        <s v="Evolución de la Tasa de Consultas Mentales a Escala Comunal (Consultas cada 100 mil habitantes) en la  Región de Valparaíso, Periodo 2009-2017"/>
        <s v="Evolución de la Tasa de Consultas Mentales a Escala Comunal (Consultas cada 100 mil habitantes) en la  Región de O'Higgins, Periodo 2009-2017"/>
        <s v="Evolución de la Tasa de Consultas Mentales a Escala Comunal (Consultas cada 100 mil habitantes) en la  Región de Maule, Periodo 2009-2017"/>
        <s v="Evolución de la Tasa de Consultas Mentales a Escala Comunal (Consultas cada 100 mil habitantes) en la  Región del Biobío, Periodo 2009-2017"/>
        <s v="Evolución de la Tasa de Consultas Mentales a Escala Comunal (Consultas cada 100 mil habitantes) en la  Región de La Araucanía, Periodo 2009-2017"/>
        <s v="Evolución de la Tasa de Consultas Mentales a Escala Comunal (Consultas cada 100 mil habitantes) en la  Región de Los Lagos, Periodo 2009-2017"/>
        <s v="Evolución de la Tasa de Consultas Mentales a Escala Comunal (Consultas cada 100 mil habitantes) en la  Región de Aysén, Periodo 2009-2017"/>
        <s v="Evolución de la Tasa de Consultas Mentales a Escala Comunal (Consultas cada 100 mil habitantes) en la  Región de Magallanes, Periodo 2009-2017"/>
        <s v="Evolución de la Tasa de Consultas Mentales a Escala Comunal (Consultas cada 100 mil habitantes) en la  Región Metropolitana, Periodo 2009-2017"/>
        <s v="Evolución de la Tasa de Consultas Mentales a Escala Comunal (Consultas cada 100 mil habitantes) en la  Región de Los Ríos, Periodo 2009-2017"/>
        <s v="Evolución de la Tasa de Consultas Mentales a Escala Comunal (Consultas cada 100 mil habitantes) en la  Región de Arica y Parinacota, Periodo 2009-2017"/>
        <s v="Evolución de la Tasa de Consultas Mentales a Escala Comunal (Consultas cada 100 mil habitantes) en la  Región de Ñuble, Periodo 2009-2017"/>
        <s v="Top 10 de comunas en Chile con mayor cantidad de suscripciones a internet fija, Periodo 2007-2019"/>
        <s v="Mapa de cantidad de conexiones a internet fija en Chile, Año 2019"/>
        <s v="Mapa de cantidad de conexiones a internet fija en la Región de Tarapacá, Año 2019"/>
        <s v="Mapa de cantidad de conexiones a internet fija en la Región de Antofagasta, Año 2019"/>
        <s v="Mapa de cantidad de conexiones a internet fija en la Región de Atacama, Año 2019"/>
        <s v="Mapa de cantidad de conexiones a internet fija en la Región de Coquimbo, Año 2019"/>
        <s v="Mapa de cantidad de conexiones a internet fija en la Región de Valparaíso, Año 2019"/>
        <s v="Mapa de cantidad de conexiones a internet fija en la Región de O'Higgins, Año 2019"/>
        <s v="Mapa de cantidad de conexiones a internet fija en la Región de Maule, Año 2019"/>
        <s v="Mapa de cantidad de conexiones a internet fija en la Región del Biobío, Año 2019"/>
        <s v="Mapa de cantidad de conexiones a internet fija en la Región de La Araucanía, Año 2019"/>
        <s v="Mapa de cantidad de conexiones a internet fija en la Región de Los Lagos, Año 2019"/>
        <s v="Mapa de cantidad de conexiones a internet fija en la Región de Aysén, Año 2019"/>
        <s v="Mapa de cantidad de conexiones a internet fija en la Región de Magallanes, Año 2019"/>
        <s v="Mapa de cantidad de conexiones a internet fija en la Región Metropolitana, Año 2019"/>
        <s v="Mapa de cantidad de conexiones a internet fija en la Región de Los Ríos, Año 2019"/>
        <s v="Mapa de cantidad de conexiones a internet fija en la Región de Arica y Parinacota, Año 2019"/>
        <s v="Mapa de cantidad de conexiones a internet fija en la Región de Ñuble, Año 2019"/>
        <s v="Evolución de los suscriptores de televisión de pago en Chile, Periodo 2007-2019"/>
        <s v="Evolución de los suscriptores de televisión de pago en la Región de Tarapacá, Periodo 2007-2019"/>
        <s v="Evolución de los suscriptores de televisión de pago en la Región de Antofagasta, Periodo 2007-2019"/>
        <s v="Evolución de los suscriptores de televisión de pago en la Región de Atacama, Periodo 2007-2019"/>
        <s v="Evolución de los suscriptores de televisión de pago en la Región de Coquimbo, Periodo 2007-2019"/>
        <s v="Evolución de los suscriptores de televisión de pago en la Región de Valparaíso, Periodo 2007-2019"/>
        <s v="Evolución de los suscriptores de televisión de pago en la Región de O'Higgins, Periodo 2007-2019"/>
        <s v="Evolución de los suscriptores de televisión de pago en la Región de Maule, Periodo 2007-2019"/>
        <s v="Evolución de los suscriptores de televisión de pago en la Región del Biobío, Periodo 2007-2019"/>
        <s v="Evolución de los suscriptores de televisión de pago en la Región de La Araucanía, Periodo 2007-2019"/>
        <s v="Evolución de los suscriptores de televisión de pago en la Región de Los Lagos, Periodo 2007-2019"/>
        <s v="Evolución de los suscriptores de televisión de pago en la Región de Aysén, Periodo 2007-2019"/>
        <s v="Evolución de los suscriptores de televisión de pago en la Región de Magallanes, Periodo 2007-2019"/>
        <s v="Evolución de los suscriptores de televisión de pago en la Región Metropolitana, Periodo 2007-2019"/>
        <s v="Evolución de los suscriptores de televisión de pago en la Región de Los Ríos, Periodo 2007-2019"/>
        <s v="Evolución de los suscriptores de televisión de pago en la Región de Arica y Parinacota, Periodo 2007-2019"/>
        <s v="Evolución de los suscriptores de televisión de pago en la Región de Ñuble, Periodo 2007-2019"/>
        <s v="Comunas por región con la mayor cantidad de suscripciones de televisión de pago, Año 2019"/>
        <s v="Comunas de la región de Tarapacá con la mayor cantidad de suscripciones de televisión de pago, Año 2019"/>
        <s v="Comunas de la región de Antofagasta con la mayor cantidad de suscripciones de televisión de pago, Año 2019"/>
        <s v="Comunas de la región de Atacama con la mayor cantidad de suscripciones de televisión de pago, Año 2019"/>
        <s v="Comunas de la región de Coquimbo con la mayor cantidad de suscripciones de televisión de pago, Año 2019"/>
        <s v="Comunas de la región de Valparaíso con la mayor cantidad de suscripciones de televisión de pago, Año 2019"/>
        <s v="Comunas de la región de O'Higgins con la mayor cantidad de suscripciones de televisión de pago, Año 2019"/>
        <s v="Comunas de la región de Maule con la mayor cantidad de suscripciones de televisión de pago, Año 2019"/>
        <s v="Comunas de la región del Biobío con la mayor cantidad de suscripciones de televisión de pago, Año 2019"/>
        <s v="Comunas de la región de La Araucanía con la mayor cantidad de suscripciones de televisión de pago, Año 2019"/>
        <s v="Comunas de la región de Los Lagos con la mayor cantidad de suscripciones de televisión de pago, Año 2019"/>
        <s v="Comunas de la región de Aysén con la mayor cantidad de suscripciones de televisión de pago, Año 2019"/>
        <s v="Comunas de la región de Magallanes con la mayor cantidad de suscripciones de televisión de pago, Año 2019"/>
        <s v="Comunas de la región Metropolitana con la mayor cantidad de suscripciones de televisión de pago, Año 2019"/>
        <s v="Comunas de la región de Los Ríos con la mayor cantidad de suscripciones de televisión de pago, Año 2019"/>
        <s v="Comunas de la región de Arica y Parinacota con la mayor cantidad de suscripciones de televisión de pago, Año 2019"/>
        <s v="Comunas de la región de Ñuble con la mayor cantidad de suscripciones de televisión de pago, Año 2019"/>
        <s v="Cantidad de Personas que se Identifican con un Pueblo Indígena por Comuna en Chile, Año 2017"/>
        <s v="Cantidad de Personas que se Identifican con un Pueblo Indígena en la región de Tarapacá, Año 2017"/>
        <s v="Cantidad de Personas que se Identifican con un Pueblo Indígena en la región de Antofagasta, Año 2017"/>
        <s v="Cantidad de Personas que se Identifican con un Pueblo Indígena en la región de Atacama, Año 2017"/>
        <s v="Cantidad de Personas que se Identifican con un Pueblo Indígena en la región de Coquimbo, Año 2017"/>
        <s v="Cantidad de Personas que se Identifican con un Pueblo Indígena en la región de Valparaíso, Año 2017"/>
        <s v="Cantidad de Personas que se Identifican con un Pueblo Indígena en la región de O'Higgins, Año 2017"/>
        <s v="Cantidad de Personas que se Identifican con un Pueblo Indígena en la región de Maule, Año 2017"/>
        <s v="Cantidad de Personas que se Identifican con un Pueblo Indígena en la región del Biobío, Año 2017"/>
        <s v="Cantidad de Personas que se Identifican con un Pueblo Indígena en la región de La Araucanía, Año 2017"/>
        <s v="Cantidad de Personas que se Identifican con un Pueblo Indígena en la región de Los Lagos, Año 2017"/>
        <s v="Cantidad de Personas que se Identifican con un Pueblo Indígena en la región de Aysén, Año 2017"/>
        <s v="Cantidad de Personas que se Identifican con un Pueblo Indígena en la región de Magallanes, Año 2017"/>
        <s v="Cantidad de Personas que se Identifican con un Pueblo Indígena en la región Metropolitana, Año 2017"/>
        <s v="Cantidad de Personas que se Identifican con un Pueblo Indígena en la región de Los Ríos, Año 2017"/>
        <s v="Cantidad de Personas que se Identifican con un Pueblo Indígena en la región de Arica y Parinacota, Año 2017"/>
        <s v="Cantidad de Personas que se Identifican con un Pueblo Indígena en la región de Ñuble, Año 2017"/>
        <s v="Cantidad de Personas que se Identifican con un Pueblo Indígena por Grupo de Edad en Chile, Año 2017"/>
        <s v="Cantidad de Personas que se Identifican con un Pueblo Indígena por Grupo de Edad en la región de Tarapacá, Año 2017"/>
        <s v="Cantidad de Personas que se Identifican con un Pueblo Indígena por Pueblo en Chile, Año 2017"/>
        <s v="Cantidad de Personas que se Identifican con un Pueblo Indígena por Pueblo y región en Chile, Año 2017"/>
        <s v="Cantidad de Personas que se Identifican con un Pueblo Indígena por Pueblo en la región de Tarapacá, Año 2017"/>
        <s v="Cantidad de Personas que se Identifican con un Pueblo Indígena por Pueblo en la región de Antofagasta, Año 2017"/>
        <s v="Cantidad de Personas que se Identifican con un Pueblo Indígena por Pueblo en la región de Atacama, Año 2017"/>
        <s v="Cantidad de Personas que se Identifican con un Pueblo Indígena por Pueblo en la región de Coquimbo, Año 2017"/>
        <s v="Cantidad de Personas que se Identifican con un Pueblo Indígena por Pueblo en la región de Valparaíso, Año 2017"/>
        <s v="Cantidad de Personas que se Identifican con un Pueblo Indígena por Pueblo en la región de O'Higgins, Año 2017"/>
        <s v="Cantidad de Personas que se Identifican con un Pueblo Indígena por Pueblo en la región de Maule, Año 2017"/>
        <s v="Cantidad de Personas que se Identifican con un Pueblo Indígena por Pueblo en la región de Biobío, Año 2017"/>
        <s v="Cantidad de Personas que se Identifican con un Pueblo Indígena por Pueblo en la región de La Araucanía, Año 2017"/>
        <s v="Cantidad de Personas que se Identifican con un Pueblo Indígena por Pueblo en la región de Los Lagos, Año 2017"/>
        <s v="Cantidad de Personas que se Identifican con un Pueblo Indígena por Pueblo en la región de Aysén, Año 2017"/>
        <s v="Cantidad de Personas que se Identifican con un Pueblo Indígena por Pueblo en la región de Magallanes, Año 2017"/>
        <s v="Cantidad de Personas que se Identifican con un Pueblo Indígena por Pueblo en la región Metropolitana, Año 2017"/>
        <s v="Cantidad de Personas que se Identifican con un Pueblo Indígena por Pueblo en la región de Los Ríos, Año 2017"/>
        <s v="Cantidad de Personas que se Identifican con un Pueblo Indígena por Pueblo en la región de Arica y Parinacota, Año 2017"/>
        <s v="Cantidad de Personas que se Identifican con un Pueblo Indígena por Pueblo en la región de Ñuble, Año 2017"/>
        <s v="Cantidad de Personas que se Identifican con un Pueblo Indígena por Sexo y Región en Chile, Año 2017"/>
        <s v="Cantidad de Personas que se Identifican con un Pueblo Indígena por Sexo en la Región de Tarapacá, Año 2017"/>
        <s v="Cantidad de Personas que se Identifican con un Pueblo Indígena por Sexo en la Región de Antofagasta, Año 2017"/>
        <s v="Cantidad de Personas que se Identifican con un Pueblo Indígena por Sexo en la Región de Atacama, Año 2017"/>
        <s v="Cantidad de Personas que se Identifican con un Pueblo Indígena por Sexo en la Región de Coquimbo, Año 2017"/>
        <s v="Cantidad de Personas que se Identifican con un Pueblo Indígena por Sexo en la Región de Valparaíso, Año 2017"/>
        <s v="Cantidad de Personas que se Identifican con un Pueblo Indígena por Sexo en la Región de O'Higgins, Año 2017"/>
        <s v="Cantidad de Personas que se Identifican con un Pueblo Indígena por Sexo en la Región de Maule, Año 2017"/>
        <s v="Cantidad de Personas que se Identifican con un Pueblo Indígena por Sexo en la Región del Biobío, Año 2017"/>
        <s v="Cantidad de Personas que se Identifican con un Pueblo Indígena por Sexo en la Región de La Araucanía, Año 2017"/>
        <s v="Cantidad de Personas que se Identifican con un Pueblo Indígena por Sexo en la Región de Los Lagos, Año 2017"/>
        <s v="Cantidad de Personas que se Identifican con un Pueblo Indígena por Sexo en la Región de Aysén, Año 2017"/>
        <s v="Cantidad de Personas que se Identifican con un Pueblo Indígena por Sexo en la Región de Magallanes, Año 2017"/>
        <s v="Cantidad de Personas que se Identifican con un Pueblo Indígena por Sexo en la Región Metropolitana, Año 2017"/>
        <s v="Cantidad de Personas que se Identifican con un Pueblo Indígena por Sexo en la Región de Los Ríos, Año 2017"/>
        <s v="Cantidad de Personas que se Identifican con un Pueblo Indígena por Sexo en la Región de Arica y Parinacota, Año 2017"/>
        <s v="Cantidad de Personas que se Identifican con un Pueblo Indígena por Sexo en la Región de Ñuble, Año 2017"/>
        <s v="Tasa de Desocupación en Chile en el Periodo 1986-2021"/>
        <s v="Variación de la Fuerza de Trabajo en Chile con el Año Anterior en el Periodo 1986-2021"/>
        <s v="Variación de desocupados en Chile con el Año Anterior en el Periodo 1986-2021"/>
        <s v="Índice de Producción Minera en Chile en el Periodo 2014-2021"/>
        <s v="Índice de Producción Minera en la Región de Tarapacá en el Periodo 2014-2021"/>
        <s v="Índice de Producción Minera en la Región de Antofagasta en el Periodo 2014-2021"/>
        <s v="Índice de Producción Minera en la Región de Atacama en el Periodo 2014-2021"/>
        <s v="Índice de Producción Minera en la Región de Coquimbo en el Periodo 2014-2021"/>
        <s v="Producción de cobre en la región de Coquimbo en el periodo 2014-2021"/>
        <s v="Producción de cobre en la región de Tarapáca en el periodo 2014-2021"/>
        <s v="Producción de cobre en la región de Antofagasta en el periodo 2014-2021"/>
        <s v="Producción de cobre en la región de Atacama en el periodo 2014-2021"/>
        <s v="Producción de cobre en la región de Valparaíso en el periodo 2014-2021"/>
        <s v="Producción de cloruro de sodio en Chile en el periodo 2014-2021"/>
        <s v="Producción de hierro en Chile en el periodo 2014-2021"/>
        <s v="Número de pernoctaciones en Chile en el periodo 2016-2021"/>
        <s v="Número de Pernoctaciones en la Región de Tarapacá en el periodo 2016-2021"/>
        <s v="Número de Pernoctaciones en la Región de Antofagasta en el periodo 2016-2021"/>
        <s v="Número de Pernoctaciones en la Región de Atacama en el periodo 2016-2021"/>
        <s v="Número de Pernoctaciones en la Región de Coquimbo en el periodo 2016-2021"/>
        <s v="Número de Pernoctaciones en la Región de Valparaíso en el periodo 2016-2021"/>
        <s v="Número de Pernoctaciones en la Región de O'Higgins en el periodo 2016-2021"/>
        <s v="Número de Pernoctaciones en la Región de Maule en el periodo 2016-2021"/>
        <s v="Número de Pernoctaciones en la Región del Biobío en el periodo 2016-2021"/>
        <s v="Número de Pernoctaciones en la Región de La Araucanía en el periodo 2016-2021"/>
        <s v="Número de Pernoctaciones en la Región de Los Lagos en el periodo 2016-2021"/>
        <s v="Número de Pernoctaciones en la Región de Aysén en el periodo 2016-2021"/>
        <s v="Número de Pernoctaciones en la Región de Magallanes en el periodo 2016-2021"/>
        <s v="Número de Pernoctaciones en la Región Metropolitana en el periodo 2016-2021"/>
        <s v="Número de Pernoctaciones en la Región de Los Ríos en el periodo 2016-2021"/>
        <s v="Número de Pernoctaciones en la Región de Arica y Parinacota en el periodo 2016-2021"/>
        <s v="Número de Pernoctaciones en la Región de Ñuble en el periodo 2016-2021"/>
        <s v="Precio Promedio de Habitación Ocupada en Chile en el periodo 2016-2021"/>
        <s v="Precio Promedio de Habitación Ocupada en la Región de Tarapacá en el periodo 2016-2021"/>
        <s v="Precio Promedio de Habitación Ocupada en la Región de Antofagasta en el periodo 2016-2021"/>
        <s v="Precio Promedio de Habitación Ocupada en la Región de Atacama en el periodo 2016-2021"/>
        <s v="Precio Promedio de Habitación Ocupada en la Región de Coquimbo en el periodo 2016-2021"/>
        <s v="Precio Promedio de Habitación Ocupada en la Región de Valparaíso en el periodo 2016-2021"/>
        <s v="Precio Promedio de Habitación Ocupada en la Región de O'Higgins en el periodo 2016-2021"/>
        <s v="Precio Promedio de Habitación Ocupada en la Región de Maule en el periodo 2016-2021"/>
        <s v="Precio Promedio de Habitación Ocupada en la Región del Biobío en el periodo 2016-2021"/>
        <s v="Precio Promedio de Habitación Ocupada en la Región de La Araucanía en el periodo 2016-2021"/>
        <s v="Precio Promedio de Habitación Ocupada en la Región de Los Lagos en el periodo 2016-2021"/>
        <s v="Precio Promedio de Habitación Ocupada en la Región de Aysén en el periodo 2016-2021"/>
        <s v="Precio Promedio de Habitación Ocupada en la Región de Magallanes en el periodo 2016-2021"/>
        <s v="Precio Promedio de Habitación Ocupada en la Región Metropolitana en el periodo 2016-2021"/>
        <s v="Precio Promedio de Habitación Ocupada en la Región de Los Ríos en el periodo 2016-2021"/>
        <s v="Precio Promedio de Habitación Ocupada en la Región de Arica y Parinacota en el periodo 2016-2021"/>
        <s v="Precio Promedio de Habitación Ocupada en la Región de Ñuble en el periodo 2016-2021"/>
        <s v="Desembarque de pesca industrial en Chile en el periodo 2014-2021"/>
        <s v="Desembarque de pesca artesanal en Chile en el periodo 2014-2021"/>
        <s v="Cosecha acuícola en Chile en el periodo 2014-2021"/>
        <s v="Superficie de Parques Urbanos en Chile en el año 2019"/>
        <s v="Superficie de Parques Urbanos en la Región de Tarapacá en el año 2019"/>
        <s v="Superficie de Parques Urbanos en la Región de Antofagasta en el año 2019"/>
        <s v="Superficie de Parques Urbanos en la Región de Atacama en el año 2019"/>
        <s v="Superficie de Parques Urbanos en la Región de Coquimbo en el año 2019"/>
        <s v="Superficie de Parques Urbanos en la Región de Valparaíso en el año 2019"/>
        <s v="Superficie de Parques Urbanos en la Región de O'Higgins en el año 2019"/>
        <s v="Superficie de Parques Urbanos en la Región de Maule en el año 2019"/>
        <s v="Superficie de Parques Urbanos en la Región del Biobío en el año 2019"/>
        <s v="Superficie de Parques Urbanos en la Región de La Araucanía en el año 2019"/>
        <s v="Superficie de Parques Urbanos en la Región de Los Lagos en el año 2019"/>
        <s v="Superficie de Parques Urbanos en la Región de Aysén en el año 2019"/>
        <s v="Superficie de Parques Urbanos en la Región de Magallanes en el año 2019"/>
        <s v="Superficie de Parques Urbanos en la Región Metropolitana en el año 2019"/>
        <s v="Superficie de Parques Urbanos en la Región de Los Ríos en el año 2019"/>
        <s v="Superficie de Parques Urbanos en la Región de Arica y Parinacota en el año 2019"/>
        <s v="Superficie de Parques Urbanos en la Región de Ñuble en el año 2019"/>
        <s v="Superficie de Plazas Públicas en la Chile en el año 2019"/>
        <s v="Superficie de Plazas Públicas en la Región de Tarapacá en el año 2019"/>
        <s v="Superficie de Plazas Públicas en la Región de Antofagasta en el año 2019"/>
        <s v="Superficie de Plazas Públicas en la Región de Atacama en el año 2019"/>
        <s v="Superficie de Plazas Públicas en la Región de Coquimbo en el año 2019"/>
        <s v="Superficie de Plazas Públicas en la Región de Valparaíso en el año 2019"/>
        <s v="Superficie de Plazas Públicas en la Región de O'Higgins en el año 2019"/>
        <s v="Superficie de Plazas Públicas en la Región de Maule en el año 2019"/>
        <s v="Superficie de Plazas Públicas en la Región del Biobío en el año 2019"/>
        <s v="Superficie de Plazas Públicas en la Región de La Araucanía en el año 2019"/>
        <s v="Superficie de Plazas Públicas en la Región de Los Lagos en el año 2019"/>
        <s v="Superficie de Plazas Públicas en la Región de Aysén en el año 2019"/>
        <s v="Superficie de Plazas Públicas en la Región de Magallanes en el año 2019"/>
        <s v="Superficie de Plazas Públicas en la Región Metropolitana en el año 2019"/>
        <s v="Superficie de Plazas Públicas en la Región de Los Ríos en el año 2019"/>
        <s v="Superficie de Plazas Públicas en la Región de Arica y Parinacota en el año 2019"/>
        <m/>
        <s v="Evolución Mensual de Importaciones en Chile en el periodo 2015-2021"/>
        <s v="Evolución Trimestral de Importaciones y Exportaciones en Chile en el periodo 2015-2021"/>
        <s v="Valor de exportaciones acumuladas por país de destino en el periodo 2005-2021 "/>
        <s v="Valor de importaciones de alimentos por país de origen en el año 2021"/>
        <s v="Evolución Trimestral de Exportaciones por Producto Minero en el Periodo 2015-2021 "/>
        <s v="Evolución del Índice de Producción Manufacturera (IPMan) a Escala Nacional"/>
        <s v="Evolución del Índice de Producción Manufacturera (IPMan) en la Región de Valparaíso"/>
        <s v="Evolución del Índice de Producción Manufacturera (IPMan) en la Región de O'Higgins"/>
        <s v="Evolución del Índice de Producción Manufacturera (IPMan) en la Región del Biobío"/>
        <s v="Evolución del Índice de Producción Manufacturera (IPMan) en la Región de La Araucanía"/>
        <s v="Evolución del Índice de Producción Manufacturera (IPMan) en la Región de Los Ríos"/>
        <s v="Evolución del Número de establecimientos clasificados como supermercados, que cuentan con tres o más cajas instaladas a Escala Nacional"/>
        <s v="Evolución del Número de establecimientos clasificados como supermercados, que cuentan con tres o más cajas instaladas en la Región de Tarapacá"/>
        <s v="Evolución del Número de establecimientos clasificados como supermercados, que cuentan con tres o más cajas instaladas en la Región de Antofagasta"/>
        <s v="Evolución del Número de establecimientos clasificados como supermercados, que cuentan con tres o más cajas instaladas en la Región de Atacama"/>
        <s v="Evolución del Número de establecimientos clasificados como supermercados, que cuentan con tres o más cajas instaladas en la Región de Coquimbo"/>
        <s v="Evolución del Número de establecimientos clasificados como supermercados, que cuentan con tres o más cajas instaladas en la Región de Valparaíso"/>
        <s v="Evolución del Número de establecimientos clasificados como supermercados, que cuentan con tres o más cajas instaladas en la Región de O'Higgins"/>
        <s v="Evolución del Número de establecimientos clasificados como supermercados, que cuentan con tres o más cajas instaladas en la Región de Maule"/>
        <s v="Evolución del Número de establecimientos clasificados como supermercados, que cuentan con tres o más cajas instaladas en la Región del Biobío"/>
        <s v="Evolución del Número de establecimientos clasificados como supermercados, que cuentan con tres o más cajas instaladas en la Región de La Araucanía"/>
        <s v="Evolución del Número de establecimientos clasificados como supermercados, que cuentan con tres o más cajas instaladas en la Región de Los Lagos"/>
        <s v="Evolución del Número de establecimientos clasificados como supermercados, que cuentan con tres o más cajas instaladas en la Región de Aysén"/>
        <s v="Evolución del Número de establecimientos clasificados como supermercados, que cuentan con tres o más cajas instaladas en la Región de Magallanes"/>
        <s v="Evolución del Número de establecimientos clasificados como supermercados, que cuentan con tres o más cajas instaladas en la Región Metropolitana"/>
        <s v="Evolución del Número de establecimientos clasificados como supermercados, que cuentan con tres o más cajas instaladas en la Región de Los Ríos"/>
        <s v="Evolución del Número de establecimientos clasificados como supermercados, que cuentan con tres o más cajas instaladas en la Región de Arica y Parinacota"/>
        <s v="Evolución del Número de establecimientos clasificados como supermercados, que cuentan con tres o más cajas instaladas en la Región de Ñuble"/>
        <s v="Evolución del Índice de Producción de la división Elaboración de productos alimenticios a Escala Nacional"/>
        <s v="Evolución del Índice de Producción de la división Elaboración de productos alimenticios en la Región de Valparaíso"/>
        <s v="Evolución del Índice de Producción de la división Elaboración de productos alimenticios en la Región de O'Higgins"/>
        <s v="Evolución del Índice de Producción de la división Elaboración de productos alimenticios en la Región del Biobío"/>
        <s v="Evolución del Índice de Producción de la división Elaboración de productos alimenticios en la Región de Los Ríos"/>
        <s v="Evolución del Índice de Producción de la división Fabricación de productos farmacéuticos, sustancias químicas medicinales y productos botánicos de uso farmacéutico a Escala Nacional"/>
        <s v="Evolución del Índice de Producción de la división Fabricación de sustancias y productos químicos a Escala Nacional"/>
        <s v="Evolución del Índice de Producción de la división Fabricación de sustancias y productos químicos en la Región de Valparaíso"/>
        <s v="Evolución del Índice de Producción de la división Fabricación de sustancias y productos químicos en la Región de O'Higgins"/>
        <s v="Evolución del Índice de Producción de la división Fabricación de sustancias y productos químicos en la Región del Biobío"/>
        <s v="Evolución de la Pasada de vehículos por plazas de peajes y pórticos de autopistas interurbanas a Escala Nacional"/>
        <s v="Evolución de la Pasada de vehículos por plazas de peajes y pórticos de autopistas interurbanas en la Región de Valparaíso"/>
        <s v="Evolución de la Pasada de vehículos por plazas de peajes y pórticos de autopistas interurbanas en la Región del Biobío"/>
        <s v="Evolución de la Pasada de vehículos por plazas de peajes y pórticos de autopistas interurbanas en la Región Metropolitana"/>
        <s v="Evolución de la Pasada de vehículos por plazas de peajes y pórticos de autopistas interurbanas en la Región de Ñuble"/>
        <s v="Evolución del Parque Vehicular de Taxis a Escala Nacional"/>
        <s v="Evolución del Parque Vehicular de Taxis en la Región de Tarapacá"/>
        <s v="Evolución del Parque Vehicular de Taxis en la Región de Antofagasta"/>
        <s v="Evolución del Parque Vehicular de Taxis en la Región de Atacama"/>
        <s v="Evolución del Parque Vehicular de Taxis en la Región de Coquimbo"/>
        <s v="Evolución del Parque Vehicular de Taxis en la Región de Valparaíso"/>
        <s v="Evolución del Parque Vehicular de Taxis en la Región de O'Higgins"/>
        <s v="Evolución del Parque Vehicular de Taxis en la Región de Maule"/>
        <s v="Evolución del Parque Vehicular de Taxis en la Región del Biobío"/>
        <s v="Evolución del Parque Vehicular de Taxis en la Región de La Araucanía"/>
        <s v="Evolución del Parque Vehicular de Taxis en la Región de Los Lagos"/>
        <s v="Evolución del Parque Vehicular de Taxis en la Región de Aysén"/>
        <s v="Evolución del Parque Vehicular de Taxis en la Región de Magallanes"/>
        <s v="Evolución del Parque Vehicular de Taxis en la Región Metropolitana"/>
        <s v="Evolución del Parque Vehicular de Taxis en la Región de Los Ríos"/>
        <s v="Evolución del Parque Vehicular de Taxis en la Región de Arica y Parinacota"/>
        <s v="Evolución del Parque Vehicular de Taxis en la Región de Ñuble"/>
        <s v="Evolución del Movimiento de Carga Portuaria Embarcada al Exterior a Escala Nacional"/>
        <s v="Evolución del Movimiento de Carga Portuaria Embarcada al Exterior en la Región de Tarapacá"/>
        <s v="Evolución del Movimiento de Carga Portuaria Embarcada al Exterior en la Región de Valparaíso"/>
        <s v="Evolución del Movimiento de Carga Portuaria Embarcada al Exterior en la Región del Biobío"/>
        <s v="Evolución de la Superficie de las solicitudes de edificación Habitacional autorizada para construcción de Obras Nuevas a Escala Nacional"/>
        <s v="Evolución de la Superficie de las solicitudes de edificación Habitacional autorizada para construcción de Obras Nuevas en la Región de Tarapacá"/>
        <s v="Evolución de la Superficie de las solicitudes de edificación Habitacional autorizada para construcción de Obras Nuevas en la Región de Antofagasta"/>
        <s v="Evolución de la Superficie de las solicitudes de edificación Habitacional autorizada para construcción de Obras Nuevas en la Región de Atacama"/>
        <s v="Evolución de la Superficie de las solicitudes de edificación Habitacional autorizada para construcción de Obras Nuevas en la Región de Coquimbo"/>
        <s v="Evolución de la Superficie de las solicitudes de edificación Habitacional autorizada para construcción de Obras Nuevas en la Región de Valparaíso"/>
        <s v="Evolución de la Superficie de las solicitudes de edificación Habitacional autorizada para construcción de Obras Nuevas en la Región de O'Higgins"/>
        <s v="Evolución de la Superficie de las solicitudes de edificación Habitacional autorizada para construcción de Obras Nuevas en la Región de Maule"/>
        <s v="Evolución de la Superficie de las solicitudes de edificación Habitacional autorizada para construcción de Obras Nuevas en la Región del Biobío"/>
        <s v="Evolución de la Superficie de las solicitudes de edificación Habitacional autorizada para construcción de Obras Nuevas en la Región de La Araucanía"/>
        <s v="Evolución de la Superficie de las solicitudes de edificación Habitacional autorizada para construcción de Obras Nuevas en la Región de Los Lagos"/>
        <s v="Evolución de la Superficie de las solicitudes de edificación Habitacional autorizada para construcción de Obras Nuevas en la Región de Aysén"/>
        <s v="Evolución de la Superficie de las solicitudes de edificación Habitacional autorizada para construcción de Obras Nuevas en la Región de Magallanes"/>
        <s v="Evolución de la Superficie de las solicitudes de edificación Habitacional autorizada para construcción de Obras Nuevas en la Región Metropolitana"/>
        <s v="Evolución de la Superficie de las solicitudes de edificación Habitacional autorizada para construcción de Obras Nuevas en la Región de Los Ríos"/>
        <s v="Evolución de la Superficie de las solicitudes de edificación Habitacional autorizada para construcción de Obras Nuevas en la Región de Arica y Parinacota"/>
        <s v="Evolución de la Superficie de las solicitudes de edificación Habitacional autorizada para construcción de Obras Nuevas en la Región de Ñuble"/>
        <s v="Evolución Mensual del Número de Viviendas Autorizadas para Construcción a Escala Nacional"/>
        <s v="Evolución Mensual del Número de Viviendas Autorizadas para Construcción en la Región de Tarapacá"/>
        <s v="Evolución Mensual del Número de Viviendas Autorizadas para Construcción en la Región de Antofagasta"/>
        <s v="Evolución Mensual del Número de Viviendas Autorizadas para Construcción en la Región de Atacama"/>
        <s v="Evolución Mensual del Número de Viviendas Autorizadas para Construcción en la Región de Coquimbo"/>
        <s v="Evolución Mensual del Número de Viviendas Autorizadas para Construcción en la Región de Valparaíso"/>
        <s v="Evolución Mensual del Número de Viviendas Autorizadas para Construcción en la Región de O'Higgins"/>
        <s v="Evolución Mensual del Número de Viviendas Autorizadas para Construcción en la Región de Maule"/>
        <s v="Evolución Mensual del Número de Viviendas Autorizadas para Construcción en la Región del Biobío"/>
        <s v="Evolución Mensual del Número de Viviendas Autorizadas para Construcción en la Región de La Araucanía"/>
        <s v="Evolución Mensual del Número de Viviendas Autorizadas para Construcción en la Región de Los Lagos"/>
        <s v="Evolución Mensual del Número de Viviendas Autorizadas para Construcción en la Región de Aysén"/>
        <s v="Evolución Mensual del Número de Viviendas Autorizadas para Construcción en la Región de Magallanes"/>
        <s v="Evolución Mensual del Número de Viviendas Autorizadas para Construcción en la Región Metropolitana"/>
        <s v="Evolución Mensual del Número de Viviendas Autorizadas para Construcción en la Región de Los Ríos"/>
        <s v="Evolución Mensual del Número de Viviendas Autorizadas para Construcción en la Región de Arica y Parinacota"/>
        <s v="Evolución Mensual del Número de Viviendas Autorizadas para Construcción en la Región de Ñuble"/>
        <s v="Evolución de la Superficie de las solicitudes de edificación No Habitacional autorizada para construcción de Ampliaciones de la industria, comercio y establecimientos financieros (ICEF) a Escala Nacional"/>
        <s v="Evolución de la Superficie de las solicitudes de edificación No Habitacional autorizada para construcción de Ampliaciones de la industria, comercio y establecimientos financieros (ICEF) en la Región de Tarapacá"/>
        <s v="Evolución de la Superficie de las solicitudes de edificación No Habitacional autorizada para construcción de Ampliaciones de la industria, comercio y establecimientos financieros (ICEF) en la Región de Antofagasta"/>
        <s v="Evolución de la Superficie de las solicitudes de edificación No Habitacional autorizada para construcción de Ampliaciones de la industria, comercio y establecimientos financieros (ICEF) en la Región de Atacama"/>
        <s v="Evolución de la Superficie de las solicitudes de edificación No Habitacional autorizada para construcción de Ampliaciones de la industria, comercio y establecimientos financieros (ICEF) en la Región de Coquimbo"/>
        <s v="Evolución de la Superficie de las solicitudes de edificación No Habitacional autorizada para construcción de Ampliaciones de la industria, comercio y establecimientos financieros (ICEF) en la Región de Valparaíso"/>
        <s v="Evolución de la Superficie de las solicitudes de edificación No Habitacional autorizada para construcción de Ampliaciones de la industria, comercio y establecimientos financieros (ICEF) en la Región de O'Higgins"/>
        <s v="Evolución de la Superficie de las solicitudes de edificación No Habitacional autorizada para construcción de Ampliaciones de la industria, comercio y establecimientos financieros (ICEF) en la Región de Maule"/>
        <s v="Evolución de la Superficie de las solicitudes de edificación No Habitacional autorizada para construcción de Ampliaciones de la industria, comercio y establecimientos financieros (ICEF) en la Región del Biobío"/>
        <s v="Evolución de la Superficie de las solicitudes de edificación No Habitacional autorizada para construcción de Ampliaciones de la industria, comercio y establecimientos financieros (ICEF) en la Región de La Araucanía"/>
        <s v="Evolución de la Superficie de las solicitudes de edificación No Habitacional autorizada para construcción de Ampliaciones de la industria, comercio y establecimientos financieros (ICEF) en la Región de Los Lagos"/>
        <s v="Evolución de la Superficie de las solicitudes de edificación No Habitacional autorizada para construcción de Ampliaciones de la industria, comercio y establecimientos financieros (ICEF) en la Región de Aysén"/>
        <s v="Evolución de la Superficie de las solicitudes de edificación No Habitacional autorizada para construcción de Ampliaciones de la industria, comercio y establecimientos financieros (ICEF) en la Región de Magallanes"/>
        <s v="Evolución de la Superficie de las solicitudes de edificación No Habitacional autorizada para construcción de Ampliaciones de la industria, comercio y establecimientos financieros (ICEF) en la Región Metropolitana"/>
        <s v="Evolución de la Superficie de las solicitudes de edificación No Habitacional autorizada para construcción de Ampliaciones de la industria, comercio y establecimientos financieros (ICEF) en la Región de Los Ríos"/>
        <s v="Evolución de la Superficie de las solicitudes de edificación No Habitacional autorizada para construcción de Ampliaciones de la industria, comercio y establecimientos financieros (ICEF) en la Región de Arica y Parinacota"/>
        <s v="Evolución de la Superficie de las solicitudes de edificación No Habitacional autorizada para construcción de Ampliaciones de la industria, comercio y establecimientos financieros (ICEF) en la Región de Ñuble"/>
        <s v="Variación de Frecuencia de Casos Policiales entre 2019 y 2020 de Robo con Violencia o Intimidación"/>
        <s v="Variación de Frecuencia de Casos Policiales entre 2019 y 2020 de Robo con Violencia o Intimidación en la Región de Tarapacá"/>
        <s v="Variación de Frecuencia de Casos Policiales entre 2019 y 2020 de Robo con Violencia o Intimidación en la Región de Antofagasta"/>
        <s v="Variación de Frecuencia de Casos Policiales entre 2019 y 2020 de Robo con Violencia o Intimidación en la Región de Atacama"/>
        <s v="Variación de Frecuencia de Casos Policiales entre 2019 y 2020 de Robo con Violencia o Intimidación en la Región de Coquimbo"/>
        <s v="Variación de Frecuencia de Casos Policiales entre 2019 y 2020 de Robo con Violencia o Intimidación en la Región de Valparaíso"/>
        <s v="Variación de Frecuencia de Casos Policiales entre 2019 y 2020 de Robo con Violencia o Intimidación en la Región de O'Higgins"/>
        <s v="Variación de Frecuencia de Casos Policiales entre 2019 y 2020 de Robo con Violencia o Intimidación en la Región de Maule"/>
        <s v="Variación de Frecuencia de Casos Policiales entre 2019 y 2020 de Robo con Violencia o Intimidación en la Región del Biobío"/>
        <s v="Variación de Frecuencia de Casos Policiales entre 2019 y 2020 de Robo con Violencia o Intimidación en la Región de La Araucanía"/>
        <s v="Variación de Frecuencia de Casos Policiales entre 2019 y 2020 de Robo con Violencia o Intimidación en la Región de Los Lagos"/>
        <s v="Variación de Frecuencia de Casos Policiales entre 2019 y 2020 de Robo con Violencia o Intimidación en la Región de Aysén"/>
        <s v="Variación de Frecuencia de Casos Policiales entre 2019 y 2020 de Robo con Violencia o Intimidación en la Región de Magallanes"/>
        <s v="Variación de Frecuencia de Casos Policiales entre 2019 y 2020 de Robo con Violencia o Intimidación en la Región Metropolitana"/>
        <s v="Variación de Frecuencia de Casos Policiales entre 2019 y 2020 de Robo con Violencia o Intimidación en la Región de Los Ríos"/>
        <s v="Variación de Frecuencia de Casos Policiales entre 2019 y 2020 de Robo con Violencia o Intimidación en la Región de Arica y Parinacota"/>
        <s v="Variación de Frecuencia de Casos Policiales entre 2019 y 2020 de Robo con Violencia o Intimidación en la Región de Ñuble"/>
        <s v="Variación de Frecuencia de Casos Policiales entre 2019 y 2020 de Homicidios"/>
        <s v="Variación de Frecuencia de Casos Policiales entre 2019 y 2020 de Homicidios en la Región de Tarapacá"/>
        <s v="Variación de Frecuencia de Casos Policiales entre 2019 y 2020 de Homicidios en la Región de Antofagasta"/>
        <s v="Variación de Frecuencia de Casos Policiales entre 2019 y 2020 de Homicidios en la Región de Atacama"/>
        <s v="Variación de Frecuencia de Casos Policiales entre 2019 y 2020 de Homicidios en la Región de Coquimbo"/>
        <s v="Variación de Frecuencia de Casos Policiales entre 2019 y 2020 de Homicidios en la Región de Valparaíso"/>
        <s v="Variación de Frecuencia de Casos Policiales entre 2019 y 2020 de Homicidios en la Región de O'Higgins"/>
        <s v="Variación de Frecuencia de Casos Policiales entre 2019 y 2020 de Homicidios en la Región de Maule"/>
        <s v="Variación de Frecuencia de Casos Policiales entre 2019 y 2020 de Homicidios en la Región del Biobío"/>
        <s v="Variación de Frecuencia de Casos Policiales entre 2019 y 2020 de Homicidios en la Región de La Araucanía"/>
        <s v="Variación de Frecuencia de Casos Policiales entre 2019 y 2020 de Homicidios en la Región de Los Lagos"/>
        <s v="Variación de Frecuencia de Casos Policiales entre 2019 y 2020 de Homicidios en la Región de Aysén"/>
        <s v="Variación de Frecuencia de Casos Policiales entre 2019 y 2020 de Homicidios en la Región de Magallanes"/>
        <s v="Variación de Frecuencia de Casos Policiales entre 2019 y 2020 de Homicidios en la Región Metropolitana"/>
        <s v="Variación de Frecuencia de Casos Policiales entre 2019 y 2020 de Homicidios en la Región de Los Ríos"/>
        <s v="Variación de Frecuencia de Casos Policiales entre 2019 y 2020 de Homicidios en la Región de Arica y Parinacota"/>
        <s v="Variación de Frecuencia de Casos Policiales entre 2019 y 2020 de Homicidios en la Región de Ñuble"/>
        <s v="Relación entre Detenciones y Denuncias (%) para Delitos de Homicidio y Violación"/>
        <s v="Relación entre Detenciones y Denuncias (%) para Delitos de Homicidio y Violación en la Región de Tarapacá"/>
        <s v="Relación entre Detenciones y Denuncias (%) para Delitos de Homicidio y Violación en la Región de Antofagasta"/>
        <s v="Relación entre Detenciones y Denuncias (%) para Delitos de Homicidio y Violación en la Región de Atacama"/>
        <s v="Relación entre Detenciones y Denuncias (%) para Delitos de Homicidio y Violación en la Región de Coquimbo"/>
        <s v="Relación entre Detenciones y Denuncias (%) para Delitos de Homicidio y Violación en la Región de Valparaíso"/>
        <s v="Relación entre Detenciones y Denuncias (%) para Delitos de Homicidio y Violación en la Región de O'Higgins"/>
        <s v="Relación entre Detenciones y Denuncias (%) para Delitos de Homicidio y Violación en la Región de Maule"/>
        <s v="Relación entre Detenciones y Denuncias (%) para Delitos de Homicidio y Violación en la Región del Biobío"/>
        <s v="Relación entre Detenciones y Denuncias (%) para Delitos de Homicidio y Violación en la Región de La Araucanía"/>
        <s v="Relación entre Detenciones y Denuncias (%) para Delitos de Homicidio y Violación en la Región de Los Lagos"/>
        <s v="Relación entre Detenciones y Denuncias (%) para Delitos de Homicidio y Violación en la Región de Aysén"/>
        <s v="Relación entre Detenciones y Denuncias (%) para Delitos de Homicidio y Violación en la Región de Magallanes"/>
        <s v="Relación entre Detenciones y Denuncias (%) para Delitos de Homicidio y Violación en la Región Metropolitana"/>
        <s v="Relación entre Detenciones y Denuncias (%) para Delitos de Homicidio y Violación en la Región de Los Ríos"/>
        <s v="Relación entre Detenciones y Denuncias (%) para Delitos de Homicidio y Violación en la Región de Arica y Parinacota"/>
        <s v="Relación entre Detenciones y Denuncias (%) para Delitos de Homicidio y Violación en la Región de Ñuble"/>
        <s v="Pobreza en la Población Autodefinida como Indígena a Escala Comunal - 2020 (Extrema y No Extrema)"/>
        <s v="Pobreza en la Población Autodefinida como Indígena a Escala Comunal en la Región de Tarapacá - 2020 (Extrema y No Extrema)"/>
        <s v="Pobreza en la Población Autodefinida como Indígena a Escala Comunal en la Región de Antofagasta - 2020 (Extrema y No Extrema)"/>
        <s v="Pobreza en la Población Autodefinida como Indígena a Escala Comunal en la Región de Atacama - 2020 (Extrema y No Extrema)"/>
        <s v="Pobreza en la Población Autodefinida como Indígena a Escala Comunal en la Región de Coquimbo - 2020 (Extrema y No Extrema)"/>
        <s v="Pobreza en la Población Autodefinida como Indígena a Escala Comunal en la Región de Valparaíso - 2020 (Extrema y No Extrema)"/>
        <s v="Pobreza en la Población Autodefinida como Indígena a Escala Comunal en la Región de O'Higgins - 2020 (Extrema y No Extrema)"/>
        <s v="Pobreza en la Población Autodefinida como Indígena a Escala Comunal en la Región de Maule - 2020 (Extrema y No Extrema)"/>
        <s v="Pobreza en la Población Autodefinida como Indígena a Escala Comunal en la Región del Biobío - 2020 (Extrema y No Extrema)"/>
        <s v="Pobreza en la Población Autodefinida como Indígena a Escala Comunal en la Región de La Araucanía - 2020 (Extrema y No Extrema)"/>
        <s v="Pobreza en la Población Autodefinida como Indígena a Escala Comunal en la Región de Los Lagos - 2020 (Extrema y No Extrema)"/>
        <s v="Pobreza en la Población Autodefinida como Indígena a Escala Comunal en la Región de Aysén - 2020 (Extrema y No Extrema)"/>
        <s v="Pobreza en la Población Autodefinida como Indígena a Escala Comunal en la Región de Magallanes - 2020 (Extrema y No Extrema)"/>
        <s v="Pobreza en la Población Autodefinida como Indígena a Escala Comunal en la Región Metropolitana - 2020 (Extrema y No Extrema)"/>
        <s v="Pobreza en la Población Autodefinida como Indígena a Escala Comunal en la Región de Los Ríos - 2020 (Extrema y No Extrema)"/>
        <s v="Pobreza en la Población Autodefinida como Indígena a Escala Comunal en la Región de Arica y Parinacota - 2020 (Extrema y No Extrema)"/>
        <s v="Pobreza en la Población Autodefinida como Indígena a Escala Comunal en la Región de Ñuble - 2020 (Extrema y No Extrema)"/>
        <s v="Evolución de la Pobreza y Pobreza Extrema a Escala Nacional"/>
        <s v="Evolución de la Pobreza y Pobreza Extrema en la Región de Tarapacá"/>
        <s v="Evolución de la Pobreza y Pobreza Extrema en la Región de Antofagasta"/>
        <s v="Evolución de la Pobreza y Pobreza Extrema en la Región de Atacama"/>
        <s v="Evolución de la Pobreza y Pobreza Extrema en la Región de Coquimbo"/>
        <s v="Evolución de la Pobreza y Pobreza Extrema en la Región de Valparaíso"/>
        <s v="Evolución de la Pobreza y Pobreza Extrema en la Región de O'Higgins"/>
        <s v="Evolución de la Pobreza y Pobreza Extrema en la Región de Maule"/>
        <s v="Evolución de la Pobreza y Pobreza Extrema en la Región del Biobío"/>
        <s v="Evolución de la Pobreza y Pobreza Extrema en la Región de La Araucanía"/>
        <s v="Evolución de la Pobreza y Pobreza Extrema en la Región de Los Lagos"/>
        <s v="Evolución de la Pobreza y Pobreza Extrema en la Región de Aysén"/>
        <s v="Evolución de la Pobreza y Pobreza Extrema en la Región de Magallanes"/>
        <s v="Evolución de la Pobreza y Pobreza Extrema en la Región Metropolitana"/>
        <s v="Evolución de la Pobreza y Pobreza Extrema en la Región de Los Ríos"/>
        <s v="Evolución de la Pobreza y Pobreza Extrema en la Región de Arica y Parinacota"/>
        <s v="Evolución de la Pobreza y Pobreza Extrema en la Región de Ñuble"/>
        <s v="Geografía de la Pobreza Extrema a Escala Comunal - 2020"/>
        <s v="Geografía de la Pobreza Extrema a Escala Comunal en la Región de Tarapacá - 2020"/>
        <s v="Geografía de la Pobreza Extrema a Escala Comunal en la Región de Antofagasta - 2020"/>
        <s v="Geografía de la Pobreza Extrema a Escala Comunal en la Región de Atacama - 2020"/>
        <s v="Geografía de la Pobreza Extrema a Escala Comunal en la Región de Coquimbo - 2020"/>
        <s v="Geografía de la Pobreza Extrema a Escala Comunal en la Región de Valparaíso - 2020"/>
        <s v="Geografía de la Pobreza Extrema a Escala Comunal en la Región de O'Higgins - 2020"/>
        <s v="Geografía de la Pobreza Extrema a Escala Comunal en la Región de Maule - 2020"/>
        <s v="Geografía de la Pobreza Extrema a Escala Comunal en la Región del Biobío - 2020"/>
        <s v="Geografía de la Pobreza Extrema a Escala Comunal en la Región de La Araucanía - 2020"/>
        <s v="Geografía de la Pobreza Extrema a Escala Comunal en la Región de Los Lagos - 2020"/>
        <s v="Geografía de la Pobreza Extrema a Escala Comunal en la Región de Aysén - 2020"/>
        <s v="Geografía de la Pobreza Extrema a Escala Comunal en la Región de Magallanes - 2020"/>
        <s v="Geografía de la Pobreza Extrema a Escala Comunal en la Región Metropolitana - 2020"/>
        <s v="Geografía de la Pobreza Extrema a Escala Comunal en la Región de Los Ríos - 2020"/>
        <s v="Geografía de la Pobreza Extrema a Escala Comunal en la Región de Arica y Parinacota - 2020"/>
        <s v="Geografía de la Pobreza Extrema a Escala Comunal en la Región de Ñuble - 2020"/>
        <s v="Evolución de Ingresos y Egresos de NNA en el Periodo 2016-2019"/>
        <s v="Ingresos y Egresos de NNA por Línea de Atención en el Año 2019"/>
        <s v="Ingresos y Egresos de NNA por Región en el Año 2019"/>
        <s v="Cantidad de Predios No Agrícolas Habitacionales por Comuna en el periodo 2006-2019"/>
        <s v="Cantidad de Predios No Agrícolas Habitacionales por Comuna en la Región de Tarapacá en el periodo 2006-2019"/>
        <s v="Cantidad de Predios No Agrícolas Habitacionales por Comuna en la Región de Antofagasta en el periodo 2006-2019"/>
        <s v="Cantidad de Predios No Agrícolas Habitacionales por Comuna en la Región de Atacama en el periodo 2006-2019"/>
        <s v="Cantidad de Predios No Agrícolas Habitacionales por Comuna en la Región de Coquimbo en el periodo 2006-2019"/>
        <s v="Cantidad de Predios No Agrícolas Habitacionales por Comuna en la Región de Valparaíso en el periodo 2006-2019"/>
        <s v="Cantidad de Predios No Agrícolas Habitacionales por Comuna en la Región de O'Higgins en el periodo 2006-2019"/>
        <s v="Cantidad de Predios No Agrícolas Habitacionales por Comuna en la Región de Maule en el periodo 2006-2019"/>
        <s v="Cantidad de Predios No Agrícolas Habitacionales por Comuna en la Región del Biobío en el periodo 2006-2019"/>
        <s v="Cantidad de Predios No Agrícolas Habitacionales por Comuna en la Región de La Araucanía en el periodo 2006-2019"/>
        <s v="Cantidad de Predios No Agrícolas Habitacionales por Comuna en la Región de Los Lagos en el periodo 2006-2019"/>
        <s v="Cantidad de Predios No Agrícolas Habitacionales por Comuna en la Región de Aysén en el periodo 2006-2019"/>
        <s v="Cantidad de Predios No Agrícolas Habitacionales por Comuna en la Región de Magallanes en el periodo 2006-2019"/>
        <s v="Cantidad de Predios No Agrícolas Habitacionales por Comuna en la Región Metropolitana en el periodo 2006-2019"/>
        <s v="Cantidad de Predios No Agrícolas Habitacionales por Comuna en la Región de Los Ríos en el periodo 2006-2019"/>
        <s v="Cantidad de Predios No Agrícolas Habitacionales por Comuna en la Región de Arica y Parinacota en el periodo 2006-2019"/>
        <s v="Cantidad de Predios No Agrícolas Habitacionales por Comuna en la Región de Ñuble en el periodo 2006-2019"/>
        <s v="Cantidad de Propiedades Municipales por Comuna en el periodo 2010-2019"/>
        <s v="Cantidad de Propiedades Municipales por Comuna en la Región de Tarapacá en el periodo 2010-2019"/>
        <s v="Cantidad de Propiedades Municipales por Comuna en la Región de Antofagasta en el periodo 2010-2019"/>
        <s v="Cantidad de Propiedades Municipales por Comuna en la Región de Atacama en el periodo 2010-2019"/>
        <s v="Cantidad de Propiedades Municipales por Comuna en la Región de Coquimbo en el periodo 2010-2019"/>
        <s v="Cantidad de Propiedades Municipales por Comuna en la Región de Valparaíso en el periodo 2010-2019"/>
        <s v="Cantidad de Propiedades Municipales por Comuna en la Región de O'Higgins en el periodo 2010-2019"/>
        <s v="Cantidad de Propiedades Municipales por Comuna en la Región de Maule en el periodo 2010-2019"/>
        <s v="Cantidad de Propiedades Municipales por Comuna en la Región del Biobío en el periodo 2010-2019"/>
        <s v="Cantidad de Propiedades Municipales por Comuna en la Región de La Araucanía en el periodo 2010-2019"/>
        <s v="Cantidad de Propiedades Municipales por Comuna en la Región de Los Lagos en el periodo 2010-2019"/>
        <s v="Cantidad de Propiedades Municipales por Comuna en la Región de Aysén en el periodo 2010-2019"/>
        <s v="Cantidad de Propiedades Municipales por Comuna en la Región de Magallanes en el periodo 2010-2019"/>
        <s v="Cantidad de Propiedades Municipales por Comuna en la Región Metropolitana en el periodo 2010-2019"/>
        <s v="Cantidad de Propiedades Municipales por Comuna en la Región de Los Ríos en el periodo 2010-2019"/>
        <s v="Cantidad de Propiedades Municipales por Comuna en la Región de Arica y Parinacota en el periodo 2010-2019"/>
        <s v="Cantidad de Propiedades Municipales por Comuna en la Región de Ñuble en el periodo 2010-2019"/>
        <s v="Evolución Población en Control del Programa de Salud Cardiovascular, Chile 2012-2018"/>
        <s v="Población en Control del Programa de Salud Cardiovascular por Enfermedad, Chile 2012-2018"/>
        <s v="Población en Control del Programa de Salud Cardiovascular por Enfermedad en la Región de Tarapacá, 2012-2018"/>
        <s v="Población en Control del Programa de Salud Cardiovascular por Enfermedad en la Región de Antofagasta, 2012-2018"/>
        <s v="Población en Control del Programa de Salud Cardiovascular por Enfermedad en la Región de Atacama, 2012-2018"/>
        <s v="Población en Control del Programa de Salud Cardiovascular por Enfermedad en la Región de Coquimbo, 2012-2018"/>
        <s v="Población en Control del Programa de Salud Cardiovascular por Enfermedad en la Región de Valparaíso, 2012-2018"/>
        <s v="Población en Control del Programa de Salud Cardiovascular por Enfermedad en la Región de O'Higgins, 2012-2018"/>
        <s v="Población en Control del Programa de Salud Cardiovascular por Enfermedad en la Región de Maule, 2012-2018"/>
        <s v="Población en Control del Programa de Salud Cardiovascular por Enfermedad en la Región del Biobío, 2012-2018"/>
        <s v="Población en Control del Programa de Salud Cardiovascular por Enfermedad en la Región de La Araucanía, 2012-2018"/>
        <s v="Población en Control del Programa de Salud Cardiovascular por Enfermedad en la Región de Los Lagos, 2012-2018"/>
        <s v="Población en Control del Programa de Salud Cardiovascular por Enfermedad en la Región de Aysén, 2012-2018"/>
        <s v="Población en Control del Programa de Salud Cardiovascular por Enfermedad en la Región de Magallanes, 2012-2018"/>
        <s v="Población en Control del Programa de Salud Cardiovascular por Enfermedad en la Región Metropolitana, 2012-2018"/>
        <s v="Población en Control del Programa de Salud Cardiovascular por Enfermedad en la Región de Los Ríos, 2012-2018"/>
        <s v="Población en Control del Programa de Salud Cardiovascular por Enfermedad en la Región de Arica y Parinacota, 2012-2018"/>
        <s v="Población en Control del Programa de Salud Cardiovascular por Enfermedad en la Región de Ñuble, 2012-2018"/>
        <s v="Población en Control del Programa de Salud Cardiovascular por Región, Chile 2012-2018"/>
        <s v="Población en Control del Programa de Salud Cardiovascular en la Región de Tarapacá, 2012-2018"/>
        <s v="Población en Control del Programa de Salud Cardiovascular en la Región de Antofagasta, 2012-2018"/>
        <s v="Población en Control del Programa de Salud Cardiovascular en la Región de Atacama, 2012-2018"/>
        <s v="Población en Control del Programa de Salud Cardiovascular en la Región de Coquimbo, 2012-2018"/>
        <s v="Población en Control del Programa de Salud Cardiovascular en la Región de Valparaíso, 2012-2018"/>
        <s v="Población en Control del Programa de Salud Cardiovascular en la Región de O'Higgins, 2012-2018"/>
        <s v="Población en Control del Programa de Salud Cardiovascular en la Región de Maule, 2012-2018"/>
        <s v="Población en Control del Programa de Salud Cardiovascular en la Región del Biobío, 2012-2018"/>
        <s v="Población en Control del Programa de Salud Cardiovascular en la Región de La Araucanía, 2012-2018"/>
        <s v="Población en Control del Programa de Salud Cardiovascular en la Región de Los Lagos, 2012-2018"/>
        <s v="Población en Control del Programa de Salud Cardiovascular en la Región de Aysén, 2012-2018"/>
        <s v="Población en Control del Programa de Salud Cardiovascular en la Región de Magallanes, 2012-2018"/>
        <s v="Población en Control del Programa de Salud Cardiovascular en la Región Metropolitana, 2012-2018"/>
        <s v="Población en Control del Programa de Salud Cardiovascular en la Región de Los Ríos, 2012-2018"/>
        <s v="Población en Control del Programa de Salud Cardiovascular en la Región de Arica y Parinacota, 2012-2018"/>
        <s v="Población en Control del Programa de Salud Cardiovascular en la Región de Ñuble, 2012-2018"/>
        <s v="Población en Control del Programa de Salud Cardiovascular por Comuna, Chile 2012-2018"/>
        <s v="Población en Control del Programa de Salud Cardiovascular por Comuna en la Región de Tarapacá, 2012-2018"/>
        <s v="Población en Control del Programa de Salud Cardiovascular por Comuna en la Región de Antofagasta, 2012-2018"/>
        <s v="Población en Control del Programa de Salud Cardiovascular por Comuna en la Región de Atacama, 2012-2018"/>
        <s v="Población en Control del Programa de Salud Cardiovascular por Comuna en la Región de Coquimbo, 2012-2018"/>
        <s v="Población en Control del Programa de Salud Cardiovascular por Comuna en la Región de Valparaíso, 2012-2018"/>
        <s v="Población en Control del Programa de Salud Cardiovascular por Comuna en la Región de O'Higgins, 2012-2018"/>
        <s v="Población en Control del Programa de Salud Cardiovascular por Comuna en la Región de Maule, 2012-2018"/>
        <s v="Población en Control del Programa de Salud Cardiovascular por Comuna en la Región del Biobío, 2012-2018"/>
        <s v="Población en Control del Programa de Salud Cardiovascular por Comuna en la Región de La Araucanía, 2012-2018"/>
        <s v="Población en Control del Programa de Salud Cardiovascular por Comuna en la Región de Los Lagos, 2012-2018"/>
        <s v="Población en Control del Programa de Salud Cardiovascular por Comuna en la Región de Aysén, 2012-2018"/>
        <s v="Población en Control del Programa de Salud Cardiovascular por Comuna en la Región de Magallanes, 2012-2018"/>
        <s v="Población en Control del Programa de Salud Cardiovascular por Comuna en la Región Metropolitana, 2012-2018"/>
        <s v="Población en Control del Programa de Salud Cardiovascular por Comuna en la Región de Los Ríos, 2012-2018"/>
        <s v="Población en Control del Programa de Salud Cardiovascular por Comuna en la Región de Arica y Parinacota, 2012-2018"/>
        <s v="Población en Control del Programa de Salud Cardiovascular por Comuna en la Región de Ñuble, 2012-2018"/>
        <s v="Población en Control del Programa de Salud Cardiovascular por Sexo, Chile 2012-2018"/>
        <s v="Población en Control del Programa de Salud Cardiovascular por Sexo en la Región de Tarapacá, 2012-2018"/>
        <s v="Población en Control del Programa de Salud Cardiovascular por Sexo en la Región de Antofagasta, 2012-2018"/>
        <s v="Población en Control del Programa de Salud Cardiovascular por Sexo en la Región de Atacama, 2012-2018"/>
        <s v="Población en Control del Programa de Salud Cardiovascular por Sexo en la Región de Coquimbo, 2012-2018"/>
        <s v="Población en Control del Programa de Salud Cardiovascular por Sexo en la Región de Valparaíso, 2012-2018"/>
        <s v="Población en Control del Programa de Salud Cardiovascular por Sexo en la Región de O'Higgins, 2012-2018"/>
        <s v="Población en Control del Programa de Salud Cardiovascular por Sexo en la Región de Maule, 2012-2018"/>
        <s v="Población en Control del Programa de Salud Cardiovascular por Sexo en la Región del Biobío, 2012-2018"/>
        <s v="Población en Control del Programa de Salud Cardiovascular por Sexo en la Región de La Araucanía, 2012-2018"/>
        <s v="Población en Control del Programa de Salud Cardiovascular por Sexo en la Región de Los Lagos, 2012-2018"/>
        <s v="Población en Control del Programa de Salud Cardiovascular por Sexo en la Región de Aysén, 2012-2018"/>
        <s v="Población en Control del Programa de Salud Cardiovascular por Sexo en la Región de Magallanes, 2012-2018"/>
        <s v="Población en Control del Programa de Salud Cardiovascular por Sexo en la Región Metropolitana, 2012-2018"/>
        <s v="Población en Control del Programa de Salud Cardiovascular por Sexo en la Región de Los Ríos, 2012-2018"/>
        <s v="Población en Control del Programa de Salud Cardiovascular por Sexo en la Región de Arica y Parinacota, 2012-2018"/>
        <s v="Población en Control del Programa de Salud Cardiovascular por Sexo en la Región de Ñuble, 2012-2018"/>
        <s v="Población en Control del Programa de Salud Cardiovascular por Rango Etario, Chile 2012-2018"/>
        <s v="Población en Control del Programa de Salud Cardiovascular por Rango Etario en la Región de Tarapacá, 2012-2018"/>
        <s v="Población en Control del Programa de Salud Cardiovascular por Rango Etario en la Región de Antofagasta, 2012-2018"/>
        <s v="Población en Control del Programa de Salud Cardiovascular por Rango Etario en la Región de Atacama, 2012-2018"/>
        <s v="Población en Control del Programa de Salud Cardiovascular por Rango Etario en la Región de Coquimbo, 2012-2018"/>
        <s v="Población en Control del Programa de Salud Cardiovascular por Rango Etario en la Región de Valparaíso, 2012-2018"/>
        <s v="Población en Control del Programa de Salud Cardiovascular por Rango Etario en la Región de O'Higgins, 2012-2018"/>
        <s v="Población en Control del Programa de Salud Cardiovascular por Rango Etario en la Región de Maule, 2012-2018"/>
        <s v="Población en Control del Programa de Salud Cardiovascular por Rango Etario en la Región del Biobío, 2012-2018"/>
        <s v="Población en Control del Programa de Salud Cardiovascular por Rango Etario en la Región de La Araucanía, 2012-2018"/>
        <s v="Población en Control del Programa de Salud Cardiovascular por Rango Etario en la Región de Los Lagos, 2012-2018"/>
        <s v="Población en Control del Programa de Salud Cardiovascular por Rango Etario en la Región de Aysén, 2012-2018"/>
        <s v="Población en Control del Programa de Salud Cardiovascular por Rango Etario en la Región de Magallanes, 2012-2018"/>
        <s v="Población en Control del Programa de Salud Cardiovascular por Rango Etario en la Región Metropolitana, 2012-2018"/>
        <s v="Población en Control del Programa de Salud Cardiovascular por Rango Etario en la Región de Los Ríos, 2012-2018"/>
        <s v="Población en Control del Programa de Salud Cardiovascular por Rango Etario en la Región de Arica y Parinacota, 2012-2018"/>
        <s v="Población en Control del Programa de Salud Cardiovascular por Rango Etario en la Región de Ñuble, 2012-2018"/>
        <s v="Resumen Indicadores de Desarrollo Personal y Social por Establecimiento para la "/>
        <s v="Volumen de Exportaciones Frutícolas en la Región de Los Lagos, Periodo 2012-2020" u="1"/>
        <s v="Volumen de Exportaciones Frutícolas en la Región de O'Higgins, Periodo 2012-2020" u="1"/>
        <e v="#VALUE!" u="1"/>
        <s v="Sentencias Dictadas por delitos de Abuso Sexual en la  para el Periodo 1979-2020" u="1"/>
        <s v="Volumen de las exportaciones en kilogramo en Región de Arica y Parinacota, Periodo 2015-2021" u="1"/>
        <s v="Capacidad Instalada de Generación de ERNC en la Región de Coquimbo para el POR DEFINIR" u="1"/>
        <s v="Capacidad Instalada de Generación de ERNC en la Región de Los Ríos para el POR DEFINIR" u="1"/>
        <s v="Capacidad Instalada de Generación de ERNC en la Región de Tarapacá para el POR DEFINIR" u="1"/>
        <s v="Evolución por trimestre de Importaciones y exportaciones según el volumen (kg) en la Región de Magallanes, Año 2020" u="1"/>
        <s v="Evolución por trimestre de Importaciones y exportaciones según el volumen (kg) en la Región de Valparaíso, Año 2020" u="1"/>
        <s v="Evolución por trimestre de Importaciones y exportaciones según el volumen (kg) en la Región Metropolitana, Año 2020" u="1"/>
        <s v="Atenciones Médicas por Violencia de Género en la Región de Antofagasta, Año 2021" u="1"/>
        <s v="Cantidad de licencias de conducir por clase y Comuna en la Región de Coquimbo, Año 2021" u="1"/>
        <s v="Cantidad de licencias de conducir por clase y Comuna en la Región de Los Ríos, Año 2021" u="1"/>
        <s v="Cantidad de licencias de conducir por clase y Comuna en la Región de Tarapacá, Año 2021" u="1"/>
        <s v="Ingresos promedios mensuales en Región de Magallanes en el POR DEFINIR" u="1"/>
        <s v="Ingresos promedios mensuales en Región de Valparaíso en el POR DEFINIR" u="1"/>
        <s v="Ingresos promedios mensuales en Región Metropolitana en el POR DEFINIR" u="1"/>
        <s v="Cantidad de Plazas Públicas por Comuna en la Región de Los Lagos, Periodo 2001-2020" u="1"/>
        <s v="Cantidad de Plazas Públicas por Comuna en la Región de O'Higgins, Periodo 2001-2020" u="1"/>
        <s v="Cantidad de Centrales de Energía Renovable No Convencional por Comuna en Región de Ñuble, para el Año 2021" u="1"/>
        <s v="Atenciones Médicas por Violencia de Género en la Región de Coquimbo, Año 2021" u="1"/>
        <s v="Atenciones Médicas por Violencia de Género en la Región de Los Ríos, Año 2021" u="1"/>
        <s v="Atenciones Médicas por Violencia de Género en la Región de Tarapacá, Año 2021" u="1"/>
        <s v="Cantidad de permisos de circulación según tipo de transporte en la Región de Aysén, Periodo 2011-2017" u="1"/>
        <s v="Cantidad de permisos de circulación según tipo de transporte en la Región de Maule, Periodo 2011-2017" u="1"/>
        <s v="Cantidad de Farmacias de Turno por Comuna en la Región de Atacama, Periodo 2015-2021" u="1"/>
        <s v="Cantidad de Farmacias de Turno por Comuna en la Región del Biobío, Periodo 2015-2021" u="1"/>
        <s v="Cantidad de Farmacias de Turno por Región en Región de Magallanes, Periodo 2015-2021" u="1"/>
        <s v="Cantidad de licencias de conducir del tipo no profesional por Comuna en la Chile, Periodo 2008-2019" u="1"/>
        <s v="Cantidad de permisos de circulación de transportes colectivos por Comuna en la Región de La Araucanía, Periodo 2011-2017" u="1"/>
        <s v="Cantidad de Establecimientos de la Salud por Tipo en la Chile, Periodo 2010-2016" u="1"/>
        <s v="Cantidad de Establecimientos de la Salud por Tipo y Categoría en la Región de Aysén, Periodo 2011-2017" u="1"/>
        <s v="Cantidad de Establecimientos de la Salud por Tipo y Categoría en la Región de Maule, Periodo 2011-2017" u="1"/>
        <s v="Distribución comunal de denuncias por violación en Chile en el Año 2020" u="1"/>
        <s v="Cantidad de licencias de conducir del tipo no profesional por Comuna en la Región de Magallanes, Periodo 2008-2019" u="1"/>
        <s v="Cantidad de licencias de conducir del tipo no profesional por Comuna en la Región de Valparaíso, Periodo 2008-2019" u="1"/>
        <s v="Cantidad de licencias de conducir del tipo no profesional por Comuna en la Región Metropolitana, Periodo 2008-2019" u="1"/>
        <s v="Cantidad de licencias de conducir del tipo profesional según clase en la Región de La Araucanía, Periodo 2008-2019" u="1"/>
        <s v="Distribución comunal de denuncias por violación en la Región de Antofagasta en el Año 2020" u="1"/>
        <s v="Cantidad de Establecimientos de la Salud por Tipo y Categoría en la Región de Magallanes, Periodo 2011-2017" u="1"/>
        <s v="Cantidad de Establecimientos de la Salud por Tipo y Categoría en la Región de Valparaíso, Periodo 2011-2017" u="1"/>
        <s v="Cantidad de Establecimientos de la Salud por Tipo y Categoría en la Región Metropolitana, Periodo 2011-2017" u="1"/>
        <s v="Cantidad de permisos de circulación según tipo de transporte en la Región de Antofagasta, Periodo 2011-2017" u="1"/>
        <s v="Cantidad de Establecimientos de la Salud por Comuna en la Chile, Año 2021" u="1"/>
        <s v="Cantidad de licencias de conducir del tipo profesional según clase en la Chile, Periodo 2008-2019" u="1"/>
        <s v="Cantidad de permisos de circulación de transportes colectivos por Comuna en la Región de Arica y Parinacota, Periodo 2011-2017" u="1"/>
        <s v="Ingresos promedios mensuales en Región de Arica y Parinacota en el POR DEFINIR" u="1"/>
        <s v="Cantidad de licencias de conducir del tipo no profesional por Comuna en la Región de La Araucanía, Periodo 2008-2019" u="1"/>
        <s v="Ingresos promedios mensuales en Chile en el POR DEFINIR" u="1"/>
        <s v="Cantidad de permisos de circulación de transportes colectivos por Comuna en la Región de Magallanes, Periodo 2011-2017" u="1"/>
        <s v="Cantidad de permisos de circulación de transportes colectivos por Comuna en la Región de Valparaíso, Periodo 2011-2017" u="1"/>
        <s v="Cantidad de permisos de circulación de transportes colectivos por Comuna en la Región Metropolitana, Periodo 2011-2017" u="1"/>
        <s v="Mapa Regional de Ingresos Promedio Mensuales (CLP/mes) para la población de la Región de Magallanes autodefinida como Etnia Mapuche en el Año 2017" u="1"/>
        <s v="Mapa Regional de Ingresos Promedio Mensuales (CLP/mes) para la población de la Región de Valparaíso autodefinida como Etnia Mapuche en el Año 2017" u="1"/>
        <s v="Mapa Regional de Ingresos Promedio Mensuales (CLP/mes) para la población de la Región Metropolitana autodefinida como Etnia Mapuche en el Año 2017" u="1"/>
        <s v="Cantidad de Establecimientos de la Salud por Tipo en la Región de Atacama, Periodo 2010-2016" u="1"/>
        <s v="Cantidad de Establecimientos de la Salud por Tipo en la Región del Biobío, Periodo 2010-2016" u="1"/>
        <s v="Cantidad de Farmacias de Turno por Comuna en la Región de Aysén, Periodo 2015-2021" u="1"/>
        <s v="Cantidad de Farmacias de Turno por Comuna en la Región de Maule, Periodo 2015-2021" u="1"/>
        <s v="Cantidad de Establecimientos de la Salud en la Chile, Año 2021" u="1"/>
        <s v="Cantidad de Establecimientos de la Salud por Tipo y Categoría en la Región de Arica y Parinacota, Periodo 2011-2017" u="1"/>
        <s v="Cantidad de permisos de circulación de transportes colectivos por Comuna en la Región de Atacama, Periodo 2011-2017" u="1"/>
        <s v="Cantidad de permisos de circulación de transportes colectivos por Comuna en la Región del Biobío, Periodo 2011-2017" u="1"/>
        <s v="Evolución por trimestre de Importaciones y exportaciones según el volumen (kg) en Chile, Año 2020" u="1"/>
        <s v="Cantidad de licencias de conducir por clase y Comuna en la Región de Atacama, Año 2021" u="1"/>
        <s v="Cantidad de licencias de conducir por clase y Comuna en la Región del Biobío, Año 2021" u="1"/>
        <s v="Evolución por trimestre de Importaciones y exportaciones según el volumen (kg) en la Región de Antofagasta, Año 2020" u="1"/>
        <s v="Cantidad de Parques Urbanos por Comuna en Región de Ñuble, Año 2020" u="1"/>
        <s v="Cantidad de Plazas Públicas por Comuna en Región de Ñuble, Año 2020" u="1"/>
        <s v="Mapa Regional de Ingresos Promedio Mensuales (CLP/mes) para la población de Chile autodefinida de Etnia Mapuche en el Año 2017" u="1"/>
        <s v="Cantidad de Centrales de Energía Renovable No Convencional por Comuna en Región de Arica y Parinacota, para el Año 2021" u="1"/>
        <s v="Evolución de la Tasa de Consultas Mentales a Escala Comunal (Consultas cada 100 mil habitantes) en  Región de Ñuble, Periodo 2009-2017" u="1"/>
        <s v="Mapa Regional de Ingresos Promedio Mensuales (CLP/mes) para la población de la Región de Los Lagos autodefinida como Etnia Mapuche en el Año 2017" u="1"/>
        <s v="Mapa Regional de Ingresos Promedio Mensuales (CLP/mes) para la población de la Región de O'Higgins autodefinida como Etnia Mapuche en el Año 2017" u="1"/>
        <s v="Evolución por trimestre de Importaciones y exportaciones según el volumen (kg) en la Región de Aysén, Año 2020" u="1"/>
        <s v="Evolución por trimestre de Importaciones y exportaciones según el volumen (kg) en la Región de Maule, Año 2020" u="1"/>
        <s v="Evolución de los suscriptores de televisión de pago en la región de Aysén" u="1"/>
        <s v="Capacidad Instalada de Generación de ERNC en la Región de Atacama para el POR DEFINIR" u="1"/>
        <s v="Capacidad Instalada de Generación de ERNC en la Región del Biobío para el POR DEFINIR" u="1"/>
        <s v="Evolución de los suscriptores de televisión de pago en la región del Biobío" u="1"/>
        <s v="Evolución de los suscriptores de televisión de pago en la región de Magallanes" u="1"/>
        <s v="Top 10 de comunas en Chile con mayor cantidad de suscripciones a internet fija" u="1"/>
        <s v="Mapa Regional de Ingresos Promedio Mensuales (CLP/mes) para la población de la Región de Aysén autodefinida como Etnia Mapuche en el Año 2017" u="1"/>
        <s v="Mapa Regional de Ingresos Promedio Mensuales (CLP/mes) para la población de la Región de Maule autodefinida como Etnia Mapuche en el Año 2017" u="1"/>
        <s v="Mapa Regional de Ingresos Promedio Mensuales (CLP/mes) para la población de la Región de Ñuble autodefinida como Etnia Mapuche en el Año 2017" u="1"/>
        <s v="Volumen de Exportaciones Frutícolas en la Región de Antofagasta, Periodo 2012-2020" u="1"/>
        <s v="Evolución de los suscriptores de televisión de pago en la región de Los Ríos" u="1"/>
        <s v="Capacidad Instalada de Generación de ERNC en Chile para el POR DEFINIR" u="1"/>
        <s v="Cantidad de Plazas Públicas por Comuna en la Región de Aysén, Periodo 2001-2020" u="1"/>
        <s v="Cantidad de Plazas Públicas por Comuna en la Región de Maule, Periodo 2001-2020" u="1"/>
        <s v="Capacidad Instalada de Generación de ERNC en la Región de Antofagasta para el POR DEFINIR" u="1"/>
        <s v="Evolución de los suscriptores de televisión de pago en la región de Antofagasta" u="1"/>
        <s v="Cantidad de licencias de conducir del tipo no profesional por Comuna en la Región de Antofagasta, Periodo 2008-2019" u="1"/>
        <s v="Evolución de los suscriptores de televisión de pago en la región de Valparaíso" u="1"/>
        <s v="Cantidad de licencias de conducir por clase y Comuna en la Región de La Araucanía, Año 2021" u="1"/>
        <s v="Valor de las exportaciones en USD según terminal de salida para la Chile, Periodo 2015-2021" u="1"/>
        <s v="Evolución anual de superficie plantada (ha) de lechuga en la Región de Magallanes" u="1"/>
        <s v="Cantidad de Farmacias de Turno por Comuna en la Región de Valparaíso, Periodo 2015-2021" u="1"/>
        <s v="Producción Agrícola en la Región de Aysén en el Periodo 1979-2020" u="1"/>
        <s v="Producción Agrícola en la Región de Maule en el Periodo 1979-2020" u="1"/>
        <s v="Producción Agrícola en la Región de Ñuble en el Periodo 1979-2020" u="1"/>
        <s v="Cantidad de permisos de circulación de transportes colectivos por Comuna en la Región de Los Lagos, Periodo 2011-2017" u="1"/>
        <s v="Cantidad de permisos de circulación de transportes colectivos por Comuna en la Región de O'Higgins, Periodo 2011-2017" u="1"/>
        <s v="Distribución comunal de denuncias por violación en la Región de Los Lagos en el Año 2020" u="1"/>
        <s v="Distribución comunal de denuncias por violación en la Región de O'Higgins en el Año 2020" u="1"/>
        <s v="Volumen de Exportaciones Frutícolas en la Región de Aysén, Periodo 2012-2020" u="1"/>
        <s v="Volumen de Exportaciones Frutícolas en la Región de Maule, Periodo 2012-2020" u="1"/>
        <s v="Volumen de Exportaciones Frutícolas en la Región de Ñuble, Periodo 2012-2020" u="1"/>
        <s v="Evolución anual de superficie plantada (ha) de lechuga en la Región de Aysén" u="1"/>
        <s v="Ingresos promedios mensuales en Región de Coquimbo en el POR DEFINIR" u="1"/>
        <s v="Ingresos promedios mensuales en Región de Los Ríos en el POR DEFINIR" u="1"/>
        <s v="Ingresos promedios mensuales en Región de Tarapacá en el POR DEFINIR" u="1"/>
        <s v="Cantidad de Establecimientos de la Salud por Tipo y Categoría en la Región de Coquimbo, Periodo 2011-2017" u="1"/>
        <s v="Cantidad de Establecimientos de la Salud por Tipo y Categoría en la Región de Los Ríos, Periodo 2011-2017" u="1"/>
        <s v="Cantidad de Establecimientos de la Salud por Tipo y Categoría en la Región de Tarapacá, Periodo 2011-2017" u="1"/>
        <s v="Cantidad de permisos de circulación según tipo de transporte en la Región de Los Lagos, Periodo 2011-2017" u="1"/>
        <s v="Cantidad de permisos de circulación según tipo de transporte en la Región de O'Higgins, Periodo 2011-2017" u="1"/>
        <s v="Ingresos promedios mensuales en Región de Aysén en el POR DEFINIR" u="1"/>
        <s v="Ingresos promedios mensuales en Región de Maule en el POR DEFINIR" u="1"/>
        <s v="Ingresos promedios mensuales en Región de Ñuble en el POR DEFINIR" u="1"/>
        <s v="Cantidad de Farmacias de Turno por Comuna en la Región de Antofagasta, Periodo 2015-2021" u="1"/>
        <s v="Cantidad de Establecimientos de la Salud por Tipo en la Región de La Araucanía, Periodo 2010-2016" u="1"/>
        <s v="Cantidad de licencias de conducir del tipo no profesional por Comuna en la Región de Arica y Parinacota, Periodo 2008-2019" u="1"/>
        <s v="Cantidad de permisos de circulación según tipo de transporte en la Región de Arica y Parinacota, Periodo 2011-2017" u="1"/>
        <s v="Cantidad de Establecimientos de la Salud por Tipo en la Región de Magallanes, Periodo 2010-2016" u="1"/>
        <s v="Cantidad de Establecimientos de la Salud por Tipo en la Región de Valparaíso, Periodo 2010-2016" u="1"/>
        <s v="Cantidad de Establecimientos de la Salud por Tipo en la Región Metropolitana, Periodo 2010-2016" u="1"/>
        <s v="Cantidad de licencias de conducir por clase y Comuna en la Región de Aysén, Año 2021" u="1"/>
        <s v="Cantidad de licencias de conducir por clase y Comuna en la Región de Maule, Año 2021" u="1"/>
        <s v="Cantidad de Establecimientos de la Salud por Tipo y Categoría en la Región de Los Lagos, Periodo 2011-2017" u="1"/>
        <s v="Cantidad de Establecimientos de la Salud por Tipo y Categoría en la Región de O'Higgins, Periodo 2011-2017" u="1"/>
        <s v="Cantidad de licencias de conducir del tipo no profesional por Comuna en Región de Ñuble, Periodo 2011-2017" u="1"/>
        <s v="Cantidad de permisos de circulación según tipo de transporte en la Región de Magallanes, Periodo 2011-2017" u="1"/>
        <s v="Cantidad de permisos de circulación según tipo de transporte en la Región de Valparaíso, Periodo 2011-2017" u="1"/>
        <s v="Cantidad de permisos de circulación según tipo de transporte en la Región Metropolitana, Periodo 2011-2017" u="1"/>
        <s v="Cantidad de Farmacias de Turno por Comuna en Región de Ñuble, Año 2021" u="1"/>
        <s v="Cantidad de Establecimientos de la Salud por Tipo en la Región de Arica y Parinacota, Periodo 2010-2016" u="1"/>
        <s v="Cantidad de licencias de conducir por clase y Comuna en la Región de Magallanes, Año 2021" u="1"/>
        <s v="Cantidad de licencias de conducir por clase y Comuna en la Región de Valparaíso, Año 2021" u="1"/>
        <s v="Cantidad de licencias de conducir por clase y Comuna en la Región Metropolitana, Año 2021" u="1"/>
        <s v="Capacidad Instalada (MW) de Centrales Eléctricas por Región en Región Metropolitana, Año 2021" u="1"/>
        <s v="Cantidad de Establecimientos de la Salud por Tipo y Categoría en la Chile, Periodo 2011-2017" u="1"/>
        <s v="Áreas Verdes Mantenidas (m2) por Habitante y Comuna en la Región de Magallanes, Periodo 2009-2017" u="1"/>
        <s v="Áreas Verdes Mantenidas (m2) por Habitante y Comuna en la Región de Valparaíso, Periodo 2009-2017" u="1"/>
        <s v="Áreas Verdes Mantenidas (m2) por Habitante y Comuna en la Región Metropolitana, Periodo 2009-2017" u="1"/>
        <s v="Atenciones Médicas por Violencia de Género por Región en Región de Ñuble, Periodo 2010-2016" u="1"/>
        <s v="Cantidad de Establecimientos de la Salud por Tipo en la Región de Coquimbo, Periodo 2010-2016" u="1"/>
        <s v="Cantidad de Establecimientos de la Salud por Tipo en la Región de Los Ríos, Periodo 2010-2016" u="1"/>
        <s v="Cantidad de Establecimientos de la Salud por Tipo en la Región de Tarapacá, Periodo 2010-2016" u="1"/>
        <s v="Evolución anual de superficie plantada (ha) de lechuga en la Región de Los Ríos" u="1"/>
        <s v="Cantidad de Plazas Públicas por Comuna en la Región de La Araucanía, Periodo 2001-2020" u="1"/>
        <s v="Atenciones Médicas por Violencia de Género en la Región de Aysén, Año 2021" u="1"/>
        <s v="Atenciones Médicas por Violencia de Género en la Región de Maule, Año 2021" u="1"/>
        <s v="Cantidad de permisos de circulación de transportes colectivos por Comuna en la Chile, Periodo 2011-2017" u="1"/>
        <s v="Cantidad de permisos de circulación según tipo de transporte en la Región de Atacama, Periodo 2011-2017" u="1"/>
        <s v="Cantidad de permisos de circulación según tipo de transporte en la Región del Biobío, Periodo 2011-2017" u="1"/>
        <s v="Precios diarios de hortalizas en mercados mayoristas (año 2021)" u="1"/>
        <s v="Áreas Verdes Mantenidas (m2) por Habitante y Comuna en la Región de Atacama, Periodo 2009-2017" u="1"/>
        <s v="Áreas Verdes Mantenidas (m2) por Habitante y Comuna en la Región del Biobío, Periodo 2009-2017" u="1"/>
        <s v="Capacidad Instalada de Generación de ERNC en la Región de Arica y Parinacota para el POR DEFINIR" u="1"/>
        <s v="Evolución de los suscriptores de televisión de pago en la región de Los Lagos" u="1"/>
        <s v="Cantidad de Farmacias de Turno por Comuna en la Chile, Año 2021" u="1"/>
        <s v="Evolución por trimestre de Importaciones y exportaciones según el volumen (kg) en la Región de La Araucanía, Año 2020" u="1"/>
        <s v="Cantidad de Establecimientos de la Salud por Tipo en Región de Ñuble, Año 2021" u="1"/>
        <s v="Capacidad Instalada (MW) de Centrales Eléctricas por Tipo de Energía y Región en Región de Ñuble, para el Año 2021" u="1"/>
        <s v="Atenciones Médicas por Violencia de Género en la Región de Arica y Parinacota, Año 2021" u="1"/>
        <s v="Cantidad de Establecimientos de la Salud por Tipo en la Región de Los Lagos, Periodo 2010-2016" u="1"/>
        <s v="Cantidad de Establecimientos de la Salud por Tipo en la Región de O'Higgins, Periodo 2010-2016" u="1"/>
        <s v="Cantidad de licencias de conducir por clase y Comuna en la Región de Arica y Parinacota, Año 2021" u="1"/>
        <s v="Evolución de los suscriptores de televisión de pago en la región Metropolitana" u="1"/>
        <s v="Mapa de cantidad de conexiones a internet fija en la región de Metropolitana, Año 2019" u="1"/>
        <s v="Evolución por trimestre de Importaciones y exportaciones según el volumen (kg) en la Región de Arica y Parinacota, Año 2020" u="1"/>
        <s v="Evolución de los suscriptores de televisión de pago en la región de Coquimbo" u="1"/>
        <s v="Cantidad de Farmacias de Turno por Comuna en la Región de Los Lagos, Periodo 2015-2021" u="1"/>
        <s v="Cantidad de Farmacias de Turno por Comuna en la Región de O'Higgins, Periodo 2015-2021" u="1"/>
        <s v="Distribución comunal de denuncias por violación en la Región de Coquimbo en el Año 2020" u="1"/>
        <s v="Distribución comunal de denuncias por violación en la Región de Los Ríos en el Año 2020" u="1"/>
        <s v="Distribución comunal de denuncias por violación en la Región de Tarapacá en el Año 2020" u="1"/>
        <s v="Evolución de los suscriptores de televisión de pago en la región de O'Higgins" u="1"/>
        <s v="Evolución de los suscriptores de televisión de pago en la región de Atacama" u="1"/>
        <s v="Cantidad de Parques Urbanos por Comuna en la Chile, Año 2020" u="1"/>
        <s v="Atenciones Médicas por Violencia de Género en la Región de Atacama, Año 2021" u="1"/>
        <s v="Atenciones Médicas por Violencia de Género en la Región del Biobío, Año 2021" u="1"/>
        <s v="Evolución de los suscriptores de televisión de pago en la región de Ñuble" u="1"/>
        <s v="Áreas Verdes Mantenidas (m2) por Habitante y Comuna en la Región de La Araucanía, Periodo 2009-2017" u="1"/>
        <s v="Producción Agrícola en la Región de Los Lagos en el Periodo 1979-2020" u="1"/>
        <s v="Producción Agrícola en la Región de O'Higgins en el Periodo 1979-2020" u="1"/>
        <s v="Evolución por trimestre de Importaciones y exportaciones según el volumen (kg) en la Región de Coquimbo, Año 2020" u="1"/>
        <s v="Evolución por trimestre de Importaciones y exportaciones según el volumen (kg) en la Región de Los Ríos, Año 2020" u="1"/>
        <s v="Evolución por trimestre de Importaciones y exportaciones según el volumen (kg) en la Región de Tarapacá, Año 2020" u="1"/>
        <s v="Áreas Verdes Mantenidas (m2) por Habitante y Comuna en la Región de Coquimbo, Periodo 2009-2017" u="1"/>
        <s v="Áreas Verdes Mantenidas (m2) por Habitante y Comuna en la Región de Los Ríos, Periodo 2009-2017" u="1"/>
        <s v="Áreas Verdes Mantenidas (m2) por Habitante y Comuna en la Región de Tarapacá, Periodo 2009-2017" u="1"/>
        <s v="Producción Agrícola en Chile en el Periodo 1979-2020" u="1"/>
        <s v="Áreas Verdes Mantenidas (m2) por Habitante y Comuna en la Región de Antofagasta, Periodo 2009-2017" u="1"/>
        <s v="Mapa Regional de Ingresos Promedio Mensuales (CLP/mes) para la población de la Región de Atacama autodefinida como Etnia Mapuche en el Año 2017" u="1"/>
        <s v="Mapa Regional de Ingresos Promedio Mensuales (CLP/mes) para la población de la Región del Biobío autodefinida como Etnia Mapuche en el Año 2017" u="1"/>
        <s v="Capacidad Instalada de Generación de ERNC en la Región de Los Lagos para el POR DEFINIR" u="1"/>
        <s v="Capacidad Instalada de Generación de ERNC en la Región de O'Higgins para el POR DEFINIR" u="1"/>
        <s v="Cantidad de permisos de circulación de transportes colectivos por Comuna en la Región de Aysén, Periodo 2011-2017" u="1"/>
        <s v="Cantidad de permisos de circulación de transportes colectivos por Comuna en la Región de Maule, Periodo 2011-2017" u="1"/>
        <s v="Producción Agrícola en la Región de Antofagasta en el Periodo 1979-2020" u="1"/>
        <s v="Cantidad de Establecimientos de la Salud por Comuna en Región de Ñuble, Año 2021" u="1"/>
        <s v="Cantidad de Establecimientos de la Salud por Región en Región de Ñuble, Año 2021" u="1"/>
        <s v="Mapa Regional de Ingresos Promedio Mensuales (CLP/mes) para la población de la Región de Coquimbo autodefinida como Etnia Mapuche en el Año 2017" u="1"/>
        <s v="Mapa Regional de Ingresos Promedio Mensuales (CLP/mes) para la población de la Región de Los Ríos autodefinida como Etnia Mapuche en el Año 2017" u="1"/>
        <s v="Mapa Regional de Ingresos Promedio Mensuales (CLP/mes) para la población de la Región de Tarapacá autodefinida como Etnia Mapuche en el Año 2017" u="1"/>
        <s v="Cantidad de Centrales de Energía Renovable No Convencional por Comuna en la Chile, para el Año 2021" u="1"/>
        <s v="Evolución de los suscriptores de televisión de pago en la región de La Araucanía" u="1"/>
        <s v="Cantidad de Establecimientos de la Salud por Tipo y Categoría en Región de Ñuble, Año 2021" u="1"/>
        <s v="Cantidad de licencias de conducir por clase y Comuna en la Región de Antofagasta, Año 2021" u="1"/>
        <s v="Cantidad de licencias de conducir del tipo profesional según clase en la Región de Arica y Parinacota, Periodo 2008-2019" u="1"/>
        <s v="Cantidad de Plazas Públicas por Comuna en la Región de Antofagasta, Periodo 2001-2020" u="1"/>
        <s v="Volumen de Exportaciones Frutícolas en la Región de Arica y Parinacota, Periodo 2012-2020" u="1"/>
        <s v="Evolución anual de superficie plantada (ha) de lechuga en la Región de Antofagasta" u="1"/>
        <s v="Cantidad de Plazas Públicas por Comuna en la Región de Coquimbo, Periodo 2001-2020" u="1"/>
        <s v="Cantidad de Plazas Públicas por Comuna en la Región de Los Ríos, Periodo 2001-2020" u="1"/>
        <s v="Cantidad de Plazas Públicas por Comuna en la Región de Tarapacá, Periodo 2001-2020" u="1"/>
        <s v="Producción Agrícola en la Región de Arica y Parinacota en el Periodo 1979-2020" u="1"/>
        <s v="Valor acumulado de Exportaciones Frutícolas por país de destino, Periodo 2012-2020" u="1"/>
        <s v="Producción Agrícola en la Región de Magallanes en el Periodo 1979-2020" u="1"/>
        <s v="Producción Agrícola en la Región de Valparaíso en el Periodo 1979-2020" u="1"/>
        <s v="Producción Agrícola en la Región Metropolitana en el Periodo 1979-2020" u="1"/>
        <s v="Ingresos promedios mensuales en Región de Antofagasta en el POR DEFINIR" u="1"/>
        <s v="Atenciones Médicas por Violencia de Género en la Región de La Araucanía, Año 2021" u="1"/>
        <s v="Cantidad de Plazas Públicas por Comuna en la Región de Arica y Parinacota, Periodo 2001-2020" u="1"/>
        <s v="Cantidad de Establecimientos de la Salud por Tipo en la Región de Antofagasta, Periodo 2010-2016" u="1"/>
        <s v="Evolución Trimestral de Exportaciones (USD) por Tipo de Producto desde Región de Los Ríos, Periodo 2015-2021" u="1"/>
        <s v="Distribución comunal de denuncias por violación en la Región de Atacama en el Año 2020" u="1"/>
        <s v="Distribución comunal de denuncias por violación en la Región del Biobío en el Año 2020" u="1"/>
        <s v="Cantidad de Plazas Públicas por Comuna en la Región de Atacama, Periodo 2001-2020" u="1"/>
        <s v="Cantidad de Plazas Públicas por Comuna en la Región del Biobío, Periodo 2001-2020" u="1"/>
        <s v="Cantidad de Plazas Públicas por Comuna en la Chile, Periodo 2001-2020" u="1"/>
        <s v="Ingresos promedios mensuales en Región de La Araucanía en el POR DEFINIR" u="1"/>
        <s v="Evolución de los suscriptores de televisión de pago en la región de Tarapacá" u="1"/>
        <s v="Evolución de la Proporción de la Población que tuvo Consultas Mentales a Escala Nacional en Región de Los Ríos, Periodo 2009-2017" u="1"/>
        <s v="Ingresos promedios mensuales en Región de Los Lagos en el POR DEFINIR" u="1"/>
        <s v="Ingresos promedios mensuales en Región de O'Higgins en el POR DEFINIR" u="1"/>
        <s v="Distribución comunal de denuncias por violación en la Región de Arica y Parinacota en el Año 2020" u="1"/>
        <s v="Cantidad de Establecimientos de la Salud por Tipo y Categoría en la Región de Antofagasta, Periodo 2011-2017" u="1"/>
        <s v="Cantidad de permisos de circulación según tipo de transporte en la Región de La Araucanía, Periodo 2011-2017" u="1"/>
        <s v="Evolución Trimestral de Exportaciones (USD) de Productos del Mar desde Región Metropolitana, Periodo 2015-2021" u="1"/>
        <s v="Cantidad de Farmacias de Turno por Comuna en la Región de La Araucanía, Periodo 2015-2021" u="1"/>
        <s v="Cantidad de Farmacias de Turno por Comuna en la Chile, Periodo 2018-2021" u="1"/>
        <s v="Producción Agrícola en la Región de La Araucanía en el Periodo 1979-2020" u="1"/>
        <s v="Cantidad de Plazas Públicas por Comuna en la Región de Magallanes, Periodo 2001-2020" u="1"/>
        <s v="Cantidad de Plazas Públicas por Comuna en la Región de Valparaíso, Periodo 2001-2020" u="1"/>
        <s v="Cantidad de Plazas Públicas por Comuna en la Región Metropolitana, Periodo 2001-2020" u="1"/>
        <s v="Distribución comunal de denuncias por violación en la Región de La Araucanía en el Año 2020" u="1"/>
        <s v="Volumen de Exportaciones Frutícolas en la Región de Coquimbo, Periodo 2012-2020" u="1"/>
        <s v="Volumen de Exportaciones Frutícolas en la Región de Los Ríos, Periodo 2012-2020" u="1"/>
        <s v="Volumen de Exportaciones Frutícolas en la Región de Tarapacá, Periodo 2012-2020" u="1"/>
        <s v="Cantidad de Farmacias de Turno por Comuna en la Región de Coquimbo, Periodo 2015-2021" u="1"/>
        <s v="Cantidad de Farmacias de Turno por Comuna en la Región de Tarapacá, Periodo 2015-2021" u="1"/>
        <s v="Cantidad de Establecimientos de la Salud por Tipo y Categoría en la Región de Atacama, Periodo 2011-2017" u="1"/>
        <s v="Cantidad de Establecimientos de la Salud por Tipo y Categoría en la Región del Biobío, Periodo 2011-2017" u="1"/>
        <s v="Cantidad de licencias de conducir del tipo profesional según clase en Región de Ñuble, Periodo 2011-2017" u="1"/>
        <s v="Cantidad de permisos de circulación según tipo de transporte en la Región de Coquimbo, Periodo 2011-2017" u="1"/>
        <s v="Cantidad de permisos de circulación según tipo de transporte en la Región de Los Ríos, Periodo 2011-2017" u="1"/>
        <s v="Cantidad de permisos de circulación según tipo de transporte en la Región de Tarapacá, Periodo 2011-2017" u="1"/>
        <s v="Distribución comunal de denuncias por violación en la Región de Aysén en el Año 2020" u="1"/>
        <s v="Distribución comunal de denuncias por violación en la Región de Maule en el Año 2020" u="1"/>
        <s v="Distribución comunal de denuncias por violación en la Región de Ñuble en el Año 2020" u="1"/>
        <s v="Cantidad de permisos de circulación de transportes colectivos por Comuna en la Región de Antofagasta, Periodo 2011-2017" u="1"/>
        <s v="Mapa de calor que muestra el valor de las Importaciones en USD por Región  en Región de Arica y Parinacota, Periodo 2015-2021" u="1"/>
        <s v="Ingresos promedios mensuales en Región de Atacama en el POR DEFINIR" u="1"/>
        <s v="Ingresos promedios mensuales en Región del Biobío en el POR DEFINIR" u="1"/>
        <s v="Cantidad de Farmacias de Turno por Comuna en la Chile, Periodo 2015-2021" u="1"/>
        <s v="Áreas Verdes Mantenidas (m2) por Habitante y Comuna en la Región de Los Lagos, Periodo 2009-2017" u="1"/>
        <s v="Áreas Verdes Mantenidas (m2) por Habitante y Comuna en la Región de O'Higgins, Periodo 2009-2017" u="1"/>
        <s v="Producción Agrícola en la Región de Atacama en el Periodo 1979-2020" u="1"/>
        <s v="Producción Agrícola en la Región del Biobío en el Periodo 1979-2020" u="1"/>
        <s v="Cantidad de licencias de conducir del tipo no profesional por Comuna en la Región de Coquimbo, Periodo 2008-2019" u="1"/>
        <s v="Cantidad de licencias de conducir del tipo no profesional por Comuna en la Región de Los Ríos, Periodo 2008-2019" u="1"/>
        <s v="Cantidad de licencias de conducir del tipo no profesional por Comuna en la Región de Tarapacá, Periodo 2008-2019" u="1"/>
        <s v="Cantidad de licencias de conducir del tipo profesional según clase en la Región de Magallanes, Periodo 2008-2019" u="1"/>
        <s v="Cantidad de licencias de conducir del tipo profesional según clase en la Región de Valparaíso, Periodo 2008-2019" u="1"/>
        <s v="Cantidad de licencias de conducir del tipo profesional según clase en la Región Metropolitana, Periodo 2008-2019" u="1"/>
        <s v="Evolución por trimestre de Importaciones y exportaciones según el volumen (kg) en la Región de Atacama, Año 2020" u="1"/>
        <s v="Evolución por trimestre de Importaciones y exportaciones según el volumen (kg) en la Región del Biobío, Año 2020" u="1"/>
        <s v="Distribución comunal de denuncias por violación en la Región de Magallanes en el Año 2020" u="1"/>
        <s v="Distribución comunal de denuncias por violación en la Región de Valparaíso en el Año 2020" u="1"/>
        <s v="Distribución comunal de denuncias por violación en la Región Metropolitana en el Año 2020" u="1"/>
        <s v="Volumen de Exportaciones Frutícolas en la Región de Magallanes, Periodo 2012-2020" u="1"/>
        <s v="Volumen de Exportaciones Frutícolas en la Región de Valparaíso, Periodo 2012-2020" u="1"/>
        <s v="Volumen de Exportaciones Frutícolas en la Región Metropolitana, Periodo 2012-2020" u="1"/>
        <s v="Cantidad de licencias de conducir del tipo profesional según clase en la Región de Coquimbo, Periodo 2008-2019" u="1"/>
        <s v="Cantidad de licencias de conducir del tipo profesional según clase en la Región de Los Ríos, Periodo 2008-2019" u="1"/>
        <s v="Cantidad de licencias de conducir del tipo profesional según clase en la Región de Tarapacá, Periodo 2008-2019" u="1"/>
        <s v="Cantidad de permisos de circulación de transportes colectivos por Comuna en Región de Ñuble, Periodo 2008-2019" u="1"/>
        <s v="Mapa Regional de Ingresos Promedio Mensuales (CLP/mes) para la población de la Región de Antofagasta autodefinida como Etnia Mapuche en el Año 2017" u="1"/>
        <s v="Cantidad de permisos de circulación de transportes colectivos por Comuna en la Región de Coquimbo, Periodo 2011-2017" u="1"/>
        <s v="Cantidad de permisos de circulación de transportes colectivos por Comuna en la Región de Los Ríos, Periodo 2011-2017" u="1"/>
        <s v="Cantidad de permisos de circulación de transportes colectivos por Comuna en la Región de Tarapacá, Periodo 2011-2017" u="1"/>
        <s v="Top 10 de Propietarios de Centrales Eléctricas con Mayor Capacidad Instalada (MW) en Región de Los Ríos, para el Año 2021" u="1"/>
        <s v="Atenciones Médicas por Violencia de Género en la Chile, Año 2021" u="1"/>
        <s v="Cantidad de licencias de conducir por clase y Comuna en Región de Ñuble, Periodo 2011-2017" u="1"/>
        <s v="Cantidad de Establecimientos de la Salud por Tipo en la Región de Aysén, Periodo 2010-2016" u="1"/>
        <s v="Cantidad de Establecimientos de la Salud por Tipo en la Región de Maule, Periodo 2010-2016" u="1"/>
        <s v="Capacidad Instalada de Generación de ERNC en la Región de La Araucanía para el POR DEFINIR" u="1"/>
        <s v="Cantidad de Establecimientos de la Salud por Tipo y Categoría en la Región de La Araucanía, Periodo 2011-2017" u="1"/>
        <s v="Cantidad de licencias de conducir del tipo no profesional por Comuna en la Región de Los Lagos, Periodo 2008-2019" u="1"/>
        <s v="Cantidad de licencias de conducir del tipo no profesional por Comuna en la Región de O'Higgins, Periodo 2008-2019" u="1"/>
        <s v="Cantidad de licencias de conducir del tipo profesional según clase en la Región de Antofagasta, Periodo 2008-2019" u="1"/>
        <s v="Mapa Regional de Ingresos Promedio Mensuales (CLP/mes) para la población de la Región de La Araucanía autodefinida como Etnia Mapuche en el Año 2017" u="1"/>
        <s v="Capacidad Instalada de Generación de ERNC en la Región de Aysén para el POR DEFINIR" u="1"/>
        <s v="Capacidad Instalada de Generación de ERNC en la Región de Maule para el POR DEFINIR" u="1"/>
        <s v="Capacidad Instalada de Generación de ERNC en la Región de Ñuble para el POR DEFINIR" u="1"/>
        <s v="Cantidad de licencias de conducir del tipo profesional según clase en la Región de Aysén, Periodo 2008-2019" u="1"/>
        <s v="Cantidad de licencias de conducir del tipo profesional según clase en la Región de Maule, Periodo 2008-2019" u="1"/>
        <s v="Evolución anual de superficie plantada (ha) de lechuga en la Región de Tarapacá" u="1"/>
        <s v="Producción Agrícola en la Región de Coquimbo en el Periodo 1979-2020" u="1"/>
        <s v="Producción Agrícola en la Región de Los Ríos en el Periodo 1979-2020" u="1"/>
        <s v="Producción Agrícola en la Región de Tarapacá en el Periodo 1979-2020" u="1"/>
        <s v="Cantidad de permisos de circulación según tipo de transporte en Región de Ñuble, Periodo 2008-2019" u="1"/>
        <s v="Volumen de Exportaciones Frutícolas en la Región de La Araucanía, Periodo 2012-2020" u="1"/>
        <s v="Evolución de los suscriptores de televisión de pago en la región de Arica y Parinacota" u="1"/>
        <s v="Evolución de los suscriptores de televisión de pago en la región de Maule" u="1"/>
        <s v="Atenciones Médicas por Violencia de Género en la Región de Los Lagos, Año 2021" u="1"/>
        <s v="Atenciones Médicas por Violencia de Género en la Región de O'Higgins, Año 2021" u="1"/>
        <s v="Cantidad de permisos de circulación según tipo de transporte en la Chile, Periodo 2011-2017" u="1"/>
        <s v="Cantidad de licencias de conducir por clase y Comuna en la Región de Los Lagos, Año 2021" u="1"/>
        <s v="Cantidad de licencias de conducir por clase y Comuna en la Región de O'Higgins, Año 2021" u="1"/>
        <s v="Capacidad Instalada (MW) de Centrales Eléctricas por Tipo de Energía en la Chile, para el Año 2021" u="1"/>
        <s v="Cantidad de licencias de conducir del tipo no profesional por Comuna en la Región de Aysén, Periodo 2008-2019" u="1"/>
        <s v="Cantidad de licencias de conducir del tipo no profesional por Comuna en la Región de Maule, Periodo 2008-2019" u="1"/>
        <s v="Cantidad de licencias de conducir del tipo profesional según clase en la Región de Atacama, Periodo 2008-2019" u="1"/>
        <s v="Cantidad de licencias de conducir del tipo profesional según clase en la Región del Biobío, Periodo 2008-2019" u="1"/>
        <s v="Cantidad de licencias de conducir del tipo no profesional por Comuna en la Región de Atacama, Periodo 2008-2019" u="1"/>
        <s v="Cantidad de licencias de conducir del tipo no profesional por Comuna en la Región del Biobío, Periodo 2008-2019" u="1"/>
        <s v="Cantidad de licencias de conducir del tipo profesional según clase en la Región de Los Lagos, Periodo 2008-2019" u="1"/>
        <s v="Cantidad de licencias de conducir del tipo profesional según clase en la Región de O'Higgins, Periodo 2008-2019" u="1"/>
        <s v="Áreas Verdes Mantenidas (m2) por Habitante y Comuna en Región de Ñuble, Periodo 2001-2020" u="1"/>
        <s v="Áreas Verdes Mantenidas (m2) por Habitante y Comuna en la Región de Arica y Parinacota, Periodo 2009-2017" u="1"/>
        <s v="Evolución anual de superficie plantada (ha) de lechuga en la Región de Los Lagos" u="1"/>
        <s v="Capacidad Instalada de Generación de ERNC en la Región de Magallanes para el POR DEFINIR" u="1"/>
        <s v="Capacidad Instalada de Generación de ERNC en la Región de Valparaíso para el POR DEFINIR" u="1"/>
        <s v="Capacidad Instalada de Generación de ERNC en la Región Metropolitana para el POR DEFINIR" u="1"/>
        <s v="Mapa Regional de Ingresos Promedio Mensuales (CLP/mes) para la población de la Región de Arica y Parinacota autodefinida como Etnia Mapuche en el Año 2017" u="1"/>
        <s v="Áreas Verdes Mantenidas (m2) por Habitante y Comuna en la Región de Aysén, Periodo 2009-2017" u="1"/>
        <s v="Áreas Verdes Mantenidas (m2) por Habitante y Comuna en la Región de Maule, Periodo 2009-2017" u="1"/>
        <s v="Áreas Verdes Mantenidas (m2) por Habitante y Comuna en la Región de Ñuble, Periodo 2009-2017" u="1"/>
        <s v="Precios diarios de fruta en mercados mayoristas (año 2021)" u="1"/>
        <s v="Cantidad de Farmacias por Región en Región de Arica y Parinacota, Año 2021" u="1"/>
        <s v="Cantidad de licencias de conducir por clase y Comuna en la Chile, Año 2021" u="1"/>
        <s v="Volumen de Exportaciones Frutícolas en la Región de Atacama, Periodo 2012-2020" u="1"/>
        <s v="Volumen de Exportaciones Frutícolas en la Región del Biobío, Periodo 2012-2020" u="1"/>
        <s v="Evolución de la Tasa de Consultas Mentales a Escala Regional (Consultas cada 100 mil habitantes) en Región de Arica y Parinacota, Periodo 2009-2017" u="1"/>
        <s v="Atenciones Médicas por Violencia de Género en la Región de Magallanes, Año 2021" u="1"/>
        <s v="Atenciones Médicas por Violencia de Género en la Región de Valparaíso, Año 2021" u="1"/>
        <s v="Atenciones Médicas por Violencia de Género en la Región Metropolitana, Año 2021" u="1"/>
        <s v="Top 10 Comunas con la mayor cantidad de farmacias enRegión de Los Ríos, Año 2021" u="1"/>
        <s v="Evolución por trimestre de Importaciones y exportaciones según el volumen (kg) en la Región de Los Lagos, Año 2020" u="1"/>
        <s v="Evolución por trimestre de Importaciones y exportaciones según el volumen (kg) en la Región de O'Higgins, Año 2020" u="1"/>
      </sharedItems>
    </cacheField>
    <cacheField name="descripcion_larga" numFmtId="0">
      <sharedItems containsBlank="1" longText="1"/>
    </cacheField>
    <cacheField name="visualizacion" numFmtId="0">
      <sharedItems containsBlank="1"/>
    </cacheField>
    <cacheField name="tag" numFmtId="0">
      <sharedItems containsBlank="1"/>
    </cacheField>
    <cacheField name="url" numFmtId="0">
      <sharedItems containsBlank="1" count="1707">
        <s v="https://analytics.zoho.com/open-view/2395394000008229874"/>
        <s v="https://analytics.zoho.com/open-view/2395394000008161200?ZOHO_CRITERIA=%22Localiza%20Chile%22.%22Codreg%22%3D1"/>
        <s v="https://analytics.zoho.com/open-view/2395394000008161200?ZOHO_CRITERIA=%22Localiza%20Chile%22.%22Codreg%22%3D2"/>
        <s v="https://analytics.zoho.com/open-view/2395394000008161200?ZOHO_CRITERIA=%22Localiza%20Chile%22.%22Codreg%22%3D3"/>
        <s v="https://analytics.zoho.com/open-view/2395394000008161200?ZOHO_CRITERIA=%22Localiza%20Chile%22.%22Codreg%22%3D4"/>
        <s v="https://analytics.zoho.com/open-view/2395394000008161200?ZOHO_CRITERIA=%22Localiza%20Chile%22.%22Codreg%22%3D5"/>
        <s v="https://analytics.zoho.com/open-view/2395394000008161200?ZOHO_CRITERIA=%22Localiza%20Chile%22.%22Codreg%22%3D6"/>
        <s v="https://analytics.zoho.com/open-view/2395394000008161200?ZOHO_CRITERIA=%22Localiza%20Chile%22.%22Codreg%22%3D7"/>
        <s v="https://analytics.zoho.com/open-view/2395394000008161200?ZOHO_CRITERIA=%22Localiza%20Chile%22.%22Codreg%22%3D8"/>
        <s v="https://analytics.zoho.com/open-view/2395394000008161200?ZOHO_CRITERIA=%22Localiza%20Chile%22.%22Codreg%22%3D9"/>
        <s v="https://analytics.zoho.com/open-view/2395394000008161200?ZOHO_CRITERIA=%22Localiza%20Chile%22.%22Codreg%22%3D10"/>
        <s v="https://analytics.zoho.com/open-view/2395394000008161200?ZOHO_CRITERIA=%22Localiza%20Chile%22.%22Codreg%22%3D11"/>
        <s v="https://analytics.zoho.com/open-view/2395394000008161200?ZOHO_CRITERIA=%22Localiza%20Chile%22.%22Codreg%22%3D12"/>
        <s v="https://analytics.zoho.com/open-view/2395394000008161200?ZOHO_CRITERIA=%22Localiza%20Chile%22.%22Codreg%22%3D13"/>
        <s v="https://analytics.zoho.com/open-view/2395394000008161200?ZOHO_CRITERIA=%22Localiza%20Chile%22.%22Codreg%22%3D14"/>
        <s v="https://analytics.zoho.com/open-view/2395394000008161200?ZOHO_CRITERIA=%22Localiza%20Chile%22.%22Codreg%22%3D15"/>
        <s v="https://analytics.zoho.com/open-view/2395394000008161200?ZOHO_CRITERIA=%22Localiza%20Chile%22.%22Codreg%22%3D16"/>
        <s v="https://analytics.zoho.com/open-view/2395394000008231090"/>
        <s v="https://analytics.zoho.com/open-view/2395394000007732994?ZOHO_CRITERIA=%22Localiza%20CL%22.%22Codreg%22%3D1"/>
        <s v="https://analytics.zoho.com/open-view/2395394000007732994?ZOHO_CRITERIA=%22Localiza%20CL%22.%22Codreg%22%3D2"/>
        <s v="https://analytics.zoho.com/open-view/2395394000007732994?ZOHO_CRITERIA=%22Localiza%20CL%22.%22Codreg%22%3D3"/>
        <s v="https://analytics.zoho.com/open-view/2395394000007732994?ZOHO_CRITERIA=%22Localiza%20CL%22.%22Codreg%22%3D4"/>
        <s v="https://analytics.zoho.com/open-view/2395394000007732994?ZOHO_CRITERIA=%22Localiza%20CL%22.%22Codreg%22%3D5"/>
        <s v="https://analytics.zoho.com/open-view/2395394000007732994?ZOHO_CRITERIA=%22Localiza%20CL%22.%22Codreg%22%3D6"/>
        <s v="https://analytics.zoho.com/open-view/2395394000007732994?ZOHO_CRITERIA=%22Localiza%20CL%22.%22Codreg%22%3D7"/>
        <s v="https://analytics.zoho.com/open-view/2395394000007732994?ZOHO_CRITERIA=%22Localiza%20CL%22.%22Codreg%22%3D8"/>
        <s v="https://analytics.zoho.com/open-view/2395394000007732994?ZOHO_CRITERIA=%22Localiza%20CL%22.%22Codreg%22%3D9"/>
        <s v="https://analytics.zoho.com/open-view/2395394000007732994?ZOHO_CRITERIA=%22Localiza%20CL%22.%22Codreg%22%3D10"/>
        <s v="https://analytics.zoho.com/open-view/2395394000007732994?ZOHO_CRITERIA=%22Localiza%20CL%22.%22Codreg%22%3D11"/>
        <s v="https://analytics.zoho.com/open-view/2395394000007732994?ZOHO_CRITERIA=%22Localiza%20CL%22.%22Codreg%22%3D12"/>
        <s v="https://analytics.zoho.com/open-view/2395394000007732994?ZOHO_CRITERIA=%22Localiza%20CL%22.%22Codreg%22%3D13"/>
        <s v="https://analytics.zoho.com/open-view/2395394000007732994?ZOHO_CRITERIA=%22Localiza%20CL%22.%22Codreg%22%3D14"/>
        <s v="https://analytics.zoho.com/open-view/2395394000007732994?ZOHO_CRITERIA=%22Localiza%20CL%22.%22Codreg%22%3D15"/>
        <s v="https://analytics.zoho.com/open-view/2395394000007732994?ZOHO_CRITERIA=%22Localiza%20CL%22.%22Codreg%22%3D16"/>
        <s v="https://analytics.zoho.com/open-view/2395394000006789672"/>
        <s v="https://analytics.zoho.com/open-view/2395394000008231335?ZOHO_CRITERIA=%22Localiza%20CL%22.%22Codreg%22%3D1"/>
        <s v="https://analytics.zoho.com/open-view/2395394000008231335?ZOHO_CRITERIA=%22Localiza%20CL%22.%22Codreg%22%3D2"/>
        <s v="https://analytics.zoho.com/open-view/2395394000008231335?ZOHO_CRITERIA=%22Localiza%20CL%22.%22Codreg%22%3D3"/>
        <s v="https://analytics.zoho.com/open-view/2395394000008231335?ZOHO_CRITERIA=%22Localiza%20CL%22.%22Codreg%22%3D4"/>
        <s v="https://analytics.zoho.com/open-view/2395394000008231335?ZOHO_CRITERIA=%22Localiza%20CL%22.%22Codreg%22%3D5"/>
        <s v="https://analytics.zoho.com/open-view/2395394000008231335?ZOHO_CRITERIA=%22Localiza%20CL%22.%22Codreg%22%3D6"/>
        <s v="https://analytics.zoho.com/open-view/2395394000008231335?ZOHO_CRITERIA=%22Localiza%20CL%22.%22Codreg%22%3D7"/>
        <s v="https://analytics.zoho.com/open-view/2395394000008231335?ZOHO_CRITERIA=%22Localiza%20CL%22.%22Codreg%22%3D8"/>
        <s v="https://analytics.zoho.com/open-view/2395394000008231335?ZOHO_CRITERIA=%22Localiza%20CL%22.%22Codreg%22%3D9"/>
        <s v="https://analytics.zoho.com/open-view/2395394000008231335?ZOHO_CRITERIA=%22Localiza%20CL%22.%22Codreg%22%3D10"/>
        <s v="https://analytics.zoho.com/open-view/2395394000008231335?ZOHO_CRITERIA=%22Localiza%20CL%22.%22Codreg%22%3D11"/>
        <s v="https://analytics.zoho.com/open-view/2395394000008231335?ZOHO_CRITERIA=%22Localiza%20CL%22.%22Codreg%22%3D12"/>
        <s v="https://analytics.zoho.com/open-view/2395394000008231335?ZOHO_CRITERIA=%22Localiza%20CL%22.%22Codreg%22%3D13"/>
        <s v="https://analytics.zoho.com/open-view/2395394000008231335?ZOHO_CRITERIA=%22Localiza%20CL%22.%22Codreg%22%3D14"/>
        <s v="https://analytics.zoho.com/open-view/2395394000008231335?ZOHO_CRITERIA=%22Localiza%20CL%22.%22Codreg%22%3D15"/>
        <s v="https://analytics.zoho.com/open-view/2395394000008231335?ZOHO_CRITERIA=%22Localiza%20CL%22.%22Codreg%22%3D16"/>
        <s v="https://analytics.zoho.com/open-view/2395394000008231718"/>
        <s v="https://analytics.zoho.com/open-view/2395394000008231525"/>
        <s v="https://analytics.zoho.com/open-view/2395394000008231605?ZOHO_CRITERIA=%22Localiza%20Chile%22.%22Codreg%22%3D1"/>
        <s v="https://analytics.zoho.com/open-view/2395394000008231605?ZOHO_CRITERIA=%22Localiza%20Chile%22.%22Codreg%22%3D2"/>
        <s v="https://analytics.zoho.com/open-view/2395394000008231605?ZOHO_CRITERIA=%22Localiza%20Chile%22.%22Codreg%22%3D3"/>
        <s v="https://analytics.zoho.com/open-view/2395394000008231605?ZOHO_CRITERIA=%22Localiza%20Chile%22.%22Codreg%22%3D4"/>
        <s v="https://analytics.zoho.com/open-view/2395394000008231605?ZOHO_CRITERIA=%22Localiza%20Chile%22.%22Codreg%22%3D5"/>
        <s v="https://analytics.zoho.com/open-view/2395394000008231605?ZOHO_CRITERIA=%22Localiza%20Chile%22.%22Codreg%22%3D6"/>
        <s v="https://analytics.zoho.com/open-view/2395394000008231605?ZOHO_CRITERIA=%22Localiza%20Chile%22.%22Codreg%22%3D7"/>
        <s v="https://analytics.zoho.com/open-view/2395394000008231605?ZOHO_CRITERIA=%22Localiza%20Chile%22.%22Codreg%22%3D8"/>
        <s v="https://analytics.zoho.com/open-view/2395394000008231605?ZOHO_CRITERIA=%22Localiza%20Chile%22.%22Codreg%22%3D9"/>
        <s v="https://analytics.zoho.com/open-view/2395394000008231605?ZOHO_CRITERIA=%22Localiza%20Chile%22.%22Codreg%22%3D10"/>
        <s v="https://analytics.zoho.com/open-view/2395394000008231605?ZOHO_CRITERIA=%22Localiza%20Chile%22.%22Codreg%22%3D11"/>
        <s v="https://analytics.zoho.com/open-view/2395394000008231605?ZOHO_CRITERIA=%22Localiza%20Chile%22.%22Codreg%22%3D12"/>
        <s v="https://analytics.zoho.com/open-view/2395394000008231605?ZOHO_CRITERIA=%22Localiza%20Chile%22.%22Codreg%22%3D13"/>
        <s v="https://analytics.zoho.com/open-view/2395394000008231605?ZOHO_CRITERIA=%22Localiza%20Chile%22.%22Codreg%22%3D14"/>
        <s v="https://analytics.zoho.com/open-view/2395394000008231605?ZOHO_CRITERIA=%22Localiza%20Chile%22.%22Codreg%22%3D15"/>
        <s v="https://analytics.zoho.com/open-view/2395394000008231605?ZOHO_CRITERIA=%22Localiza%20Chile%22.%22Codreg%22%3D16"/>
        <s v="https://analytics.zoho.com/open-view/2395394000007756457"/>
        <s v="https://analytics.zoho.com/open-view/2395394000008643713?ZOHO_CRITERIA=%22Localiza%20CL%22.%22Codreg%22%3D1"/>
        <s v="https://analytics.zoho.com/open-view/2395394000008643713?ZOHO_CRITERIA=%22Localiza%20CL%22.%22Codreg%22%3D2"/>
        <s v="https://analytics.zoho.com/open-view/2395394000008643713?ZOHO_CRITERIA=%22Localiza%20CL%22.%22Codreg%22%3D3"/>
        <s v="https://analytics.zoho.com/open-view/2395394000008643713?ZOHO_CRITERIA=%22Localiza%20CL%22.%22Codreg%22%3D4"/>
        <s v="https://analytics.zoho.com/open-view/2395394000008643713?ZOHO_CRITERIA=%22Localiza%20CL%22.%22Codreg%22%3D5"/>
        <s v="https://analytics.zoho.com/open-view/2395394000008643713?ZOHO_CRITERIA=%22Localiza%20CL%22.%22Codreg%22%3D6"/>
        <s v="https://analytics.zoho.com/open-view/2395394000008643713?ZOHO_CRITERIA=%22Localiza%20CL%22.%22Codreg%22%3D7"/>
        <s v="https://analytics.zoho.com/open-view/2395394000008643713?ZOHO_CRITERIA=%22Localiza%20CL%22.%22Codreg%22%3D8"/>
        <s v="https://analytics.zoho.com/open-view/2395394000008643713?ZOHO_CRITERIA=%22Localiza%20CL%22.%22Codreg%22%3D9"/>
        <s v="https://analytics.zoho.com/open-view/2395394000008643713?ZOHO_CRITERIA=%22Localiza%20CL%22.%22Codreg%22%3D10"/>
        <s v="https://analytics.zoho.com/open-view/2395394000008643713?ZOHO_CRITERIA=%22Localiza%20CL%22.%22Codreg%22%3D11"/>
        <s v="https://analytics.zoho.com/open-view/2395394000008643713?ZOHO_CRITERIA=%22Localiza%20CL%22.%22Codreg%22%3D12"/>
        <s v="https://analytics.zoho.com/open-view/2395394000008643713?ZOHO_CRITERIA=%22Localiza%20CL%22.%22Codreg%22%3D13"/>
        <s v="https://analytics.zoho.com/open-view/2395394000008643713?ZOHO_CRITERIA=%22Localiza%20CL%22.%22Codreg%22%3D14"/>
        <s v="https://analytics.zoho.com/open-view/2395394000008643713?ZOHO_CRITERIA=%22Localiza%20CL%22.%22Codreg%22%3D15"/>
        <s v="https://analytics.zoho.com/open-view/2395394000008643713?ZOHO_CRITERIA=%22Localiza%20CL%22.%22Codreg%22%3D16"/>
        <s v="https://analytics.zoho.com/open-view/2395394000008643867"/>
        <s v="https://analytics.zoho.com/open-view/2395394000008645197?ZOHO_CRITERIA=%22Localiza_CL_Poblacion%22.%22Codreg%22%3D1"/>
        <s v="https://analytics.zoho.com/open-view/2395394000008645197?ZOHO_CRITERIA=%22Localiza_CL_Poblacion%22.%22Codreg%22%3D2"/>
        <s v="https://analytics.zoho.com/open-view/2395394000008645197?ZOHO_CRITERIA=%22Localiza_CL_Poblacion%22.%22Codreg%22%3D3"/>
        <s v="https://analytics.zoho.com/open-view/2395394000008645197?ZOHO_CRITERIA=%22Localiza_CL_Poblacion%22.%22Codreg%22%3D4"/>
        <s v="https://analytics.zoho.com/open-view/2395394000008645197?ZOHO_CRITERIA=%22Localiza_CL_Poblacion%22.%22Codreg%22%3D5"/>
        <s v="https://analytics.zoho.com/open-view/2395394000008645197?ZOHO_CRITERIA=%22Localiza_CL_Poblacion%22.%22Codreg%22%3D6"/>
        <s v="https://analytics.zoho.com/open-view/2395394000008645197?ZOHO_CRITERIA=%22Localiza_CL_Poblacion%22.%22Codreg%22%3D7"/>
        <s v="https://analytics.zoho.com/open-view/2395394000008645197?ZOHO_CRITERIA=%22Localiza_CL_Poblacion%22.%22Codreg%22%3D8"/>
        <s v="https://analytics.zoho.com/open-view/2395394000008645197?ZOHO_CRITERIA=%22Localiza_CL_Poblacion%22.%22Codreg%22%3D9"/>
        <s v="https://analytics.zoho.com/open-view/2395394000008645197?ZOHO_CRITERIA=%22Localiza_CL_Poblacion%22.%22Codreg%22%3D10"/>
        <s v="https://analytics.zoho.com/open-view/2395394000008645197?ZOHO_CRITERIA=%22Localiza_CL_Poblacion%22.%22Codreg%22%3D11"/>
        <s v="https://analytics.zoho.com/open-view/2395394000008645197?ZOHO_CRITERIA=%22Localiza_CL_Poblacion%22.%22Codreg%22%3D12"/>
        <s v="https://analytics.zoho.com/open-view/2395394000008645197?ZOHO_CRITERIA=%22Localiza_CL_Poblacion%22.%22Codreg%22%3D13"/>
        <s v="https://analytics.zoho.com/open-view/2395394000008645197?ZOHO_CRITERIA=%22Localiza_CL_Poblacion%22.%22Codreg%22%3D14"/>
        <s v="https://analytics.zoho.com/open-view/2395394000008645197?ZOHO_CRITERIA=%22Localiza_CL_Poblacion%22.%22Codreg%22%3D15"/>
        <s v="https://analytics.zoho.com/open-view/2395394000008645197?ZOHO_CRITERIA=%22Localiza_CL_Poblacion%22.%22Codreg%22%3D16"/>
        <s v="https://analytics.zoho.com/open-view/2395394000005950690"/>
        <s v="https://analytics.zoho.com/open-view/2395394000005948862"/>
        <s v="https://analytics.zoho.com/open-view/2395394000008645520"/>
        <s v="https://analytics.zoho.com/open-view/2395394000007166809?ZOHO_CRITERIA=%22Localiza%20CL%22.%22Codreg%22%3D1"/>
        <s v="https://analytics.zoho.com/open-view/2395394000007166809?ZOHO_CRITERIA=%22Localiza%20CL%22.%22Codreg%22%3D2"/>
        <s v="https://analytics.zoho.com/open-view/2395394000007166809?ZOHO_CRITERIA=%22Localiza%20CL%22.%22Codreg%22%3D3"/>
        <s v="https://analytics.zoho.com/open-view/2395394000007166809?ZOHO_CRITERIA=%22Localiza%20CL%22.%22Codreg%22%3D4"/>
        <s v="https://analytics.zoho.com/open-view/2395394000007166809?ZOHO_CRITERIA=%22Localiza%20CL%22.%22Codreg%22%3D5"/>
        <s v="https://analytics.zoho.com/open-view/2395394000007166809?ZOHO_CRITERIA=%22Localiza%20CL%22.%22Codreg%22%3D6"/>
        <s v="https://analytics.zoho.com/open-view/2395394000007166809?ZOHO_CRITERIA=%22Localiza%20CL%22.%22Codreg%22%3D7"/>
        <s v="https://analytics.zoho.com/open-view/2395394000007166809?ZOHO_CRITERIA=%22Localiza%20CL%22.%22Codreg%22%3D8"/>
        <s v="https://analytics.zoho.com/open-view/2395394000007166809?ZOHO_CRITERIA=%22Localiza%20CL%22.%22Codreg%22%3D9"/>
        <s v="https://analytics.zoho.com/open-view/2395394000007166809?ZOHO_CRITERIA=%22Localiza%20CL%22.%22Codreg%22%3D10"/>
        <s v="https://analytics.zoho.com/open-view/2395394000007166809?ZOHO_CRITERIA=%22Localiza%20CL%22.%22Codreg%22%3D11"/>
        <s v="https://analytics.zoho.com/open-view/2395394000007166809?ZOHO_CRITERIA=%22Localiza%20CL%22.%22Codreg%22%3D12"/>
        <s v="https://analytics.zoho.com/open-view/2395394000007166809?ZOHO_CRITERIA=%22Localiza%20CL%22.%22Codreg%22%3D13"/>
        <s v="https://analytics.zoho.com/open-view/2395394000007166809?ZOHO_CRITERIA=%22Localiza%20CL%22.%22Codreg%22%3D14"/>
        <s v="https://analytics.zoho.com/open-view/2395394000007166809?ZOHO_CRITERIA=%22Localiza%20CL%22.%22Codreg%22%3D15"/>
        <s v="https://analytics.zoho.com/open-view/2395394000007166809?ZOHO_CRITERIA=%22Localiza%20CL%22.%22Codreg%22%3D16"/>
        <s v="https://app.powerbi.com/view?r=eyJrIjoiZWUwODhjMWEtNGI0OC00NjAyLWE0YTAtYzlhYmUxY2M1MTUxIiwidCI6IjhmYmFhNWJmLTJlY2MtNGRjOC1iNTZiLThmOTJlMzA3ZjA3NiIsImMiOjR9&amp;pageName=ReportSectiona65e1fe79648cd445a4d"/>
        <s v="https://app.powerbi.com/view?r=eyJrIjoiMTBhYjVkMTQtNDA3MC00ZmI5LTljZDMtM2Q3MTgyNGM3ZWYxIiwidCI6IjhmYmFhNWJmLTJlY2MtNGRjOC1iNTZiLThmOTJlMzA3ZjA3NiIsImMiOjR9"/>
        <s v="https://public.flourish.studio/visualisation/6936641/"/>
        <s v="https://analytics.zoho.com/open-view/2395394000008645674"/>
        <s v="https://analytics.zoho.com/open-view/2395394000008646229?ZOHO_CRITERIA=%22Hortaliza%20Consolidado%22.%22Codreg%22%3D4"/>
        <s v="https://analytics.zoho.com/open-view/2395394000008646229?ZOHO_CRITERIA=%22Hortaliza%20Consolidado%22.%22Codreg%22%3D5"/>
        <s v="https://analytics.zoho.com/open-view/2395394000008646229?ZOHO_CRITERIA=%22Hortaliza%20Consolidado%22.%22Codreg%22%3D7"/>
        <s v="https://analytics.zoho.com/open-view/2395394000008646229?ZOHO_CRITERIA=%22Hortaliza%20Consolidado%22.%22Codreg%22%3D8"/>
        <s v="https://analytics.zoho.com/open-view/2395394000008646229?ZOHO_CRITERIA=%22Hortaliza%20Consolidado%22.%22Codreg%22%3D9"/>
        <s v="https://analytics.zoho.com/open-view/2395394000008646229?ZOHO_CRITERIA=%22Hortaliza%20Consolidado%22.%22Codreg%22%3D10"/>
        <s v="https://analytics.zoho.com/open-view/2395394000008646229?ZOHO_CRITERIA=%22Hortaliza%20Consolidado%22.%22Codreg%22%3D13"/>
        <s v="https://analytics.zoho.com/open-view/2395394000008646229?ZOHO_CRITERIA=%22Hortaliza%20Consolidado%22.%22Codreg%22%3D15"/>
        <s v="https://analytics.zoho.com/open-view/2395394000008646229?ZOHO_CRITERIA=%22Hortaliza%20Consolidado%22.%22Codreg%22%3D16"/>
        <s v="https://analytics.zoho.com/open-view/2395394000008646336"/>
        <s v="https://analytics.zoho.com/open-view/2395394000008646880?ZOHO_CRITERIA=%22Fruta%20Consolidado%22.%22Codreg%22%3D4"/>
        <s v="https://analytics.zoho.com/open-view/2395394000008646880?ZOHO_CRITERIA=%22Fruta%20Consolidado%22.%22Codreg%22%3D5"/>
        <s v="https://analytics.zoho.com/open-view/2395394000008646880?ZOHO_CRITERIA=%22Fruta%20Consolidado%22.%22Codreg%22%3D7"/>
        <s v="https://analytics.zoho.com/open-view/2395394000008646880?ZOHO_CRITERIA=%22Fruta%20Consolidado%22.%22Codreg%22%3D8"/>
        <s v="https://analytics.zoho.com/open-view/2395394000008646880?ZOHO_CRITERIA=%22Fruta%20Consolidado%22.%22Codreg%22%3D9"/>
        <s v="https://analytics.zoho.com/open-view/2395394000008646880?ZOHO_CRITERIA=%22Fruta%20Consolidado%22.%22Codreg%22%3D10"/>
        <s v="https://analytics.zoho.com/open-view/2395394000008646880?ZOHO_CRITERIA=%22Fruta%20Consolidado%22.%22Codreg%22%3D13"/>
        <s v="https://analytics.zoho.com/open-view/2395394000008646880?ZOHO_CRITERIA=%22Fruta%20Consolidado%22.%22Codreg%22%3D15"/>
        <s v="https://analytics.zoho.com/open-view/2395394000008646880?ZOHO_CRITERIA=%22Fruta%20Consolidado%22.%22Codreg%22%3D16"/>
        <s v="https://analytics.zoho.com/open-view/2395394000008056226"/>
        <s v="https://analytics.zoho.com/open-view/2395394000008378510?ZOHO_CRITERIA=%22Espacios_Culturales_Completo%201%22.%22C%C3%B3digo_Regi%C3%B3n%22%20%3D%201"/>
        <s v="https://analytics.zoho.com/open-view/2395394000008378510?ZOHO_CRITERIA=%22Espacios_Culturales_Completo%201%22.%22C%C3%B3digo_Regi%C3%B3n%22%20%3D%202"/>
        <s v="https://analytics.zoho.com/open-view/2395394000008378510?ZOHO_CRITERIA=%22Espacios_Culturales_Completo%201%22.%22C%C3%B3digo_Regi%C3%B3n%22%20%3D%203"/>
        <s v="https://analytics.zoho.com/open-view/2395394000008378510?ZOHO_CRITERIA=%22Espacios_Culturales_Completo%201%22.%22C%C3%B3digo_Regi%C3%B3n%22%20%3D%204"/>
        <s v="https://analytics.zoho.com/open-view/2395394000008378510?ZOHO_CRITERIA=%22Espacios_Culturales_Completo%201%22.%22C%C3%B3digo_Regi%C3%B3n%22%20%3D%205"/>
        <s v="https://analytics.zoho.com/open-view/2395394000008378510?ZOHO_CRITERIA=%22Espacios_Culturales_Completo%201%22.%22C%C3%B3digo_Regi%C3%B3n%22%20%3D%206"/>
        <s v="https://analytics.zoho.com/open-view/2395394000008378510?ZOHO_CRITERIA=%22Espacios_Culturales_Completo%201%22.%22C%C3%B3digo_Regi%C3%B3n%22%20%3D%207"/>
        <s v="https://analytics.zoho.com/open-view/2395394000008378510?ZOHO_CRITERIA=%22Espacios_Culturales_Completo%201%22.%22C%C3%B3digo_Regi%C3%B3n%22%20%3D%208"/>
        <s v="https://analytics.zoho.com/open-view/2395394000008378510?ZOHO_CRITERIA=%22Espacios_Culturales_Completo%201%22.%22C%C3%B3digo_Regi%C3%B3n%22%20%3D%209"/>
        <s v="https://analytics.zoho.com/open-view/2395394000008378510?ZOHO_CRITERIA=%22Espacios_Culturales_Completo%201%22.%22C%C3%B3digo_Regi%C3%B3n%22%20%3D%2010"/>
        <s v="https://analytics.zoho.com/open-view/2395394000008378510?ZOHO_CRITERIA=%22Espacios_Culturales_Completo%201%22.%22C%C3%B3digo_Regi%C3%B3n%22%20%3D%2011"/>
        <s v="https://analytics.zoho.com/open-view/2395394000008378510?ZOHO_CRITERIA=%22Espacios_Culturales_Completo%201%22.%22C%C3%B3digo_Regi%C3%B3n%22%20%3D%2012"/>
        <s v="https://analytics.zoho.com/open-view/2395394000008378510?ZOHO_CRITERIA=%22Espacios_Culturales_Completo%201%22.%22C%C3%B3digo_Regi%C3%B3n%22%20%3D%2013"/>
        <s v="https://analytics.zoho.com/open-view/2395394000008378510?ZOHO_CRITERIA=%22Espacios_Culturales_Completo%201%22.%22C%C3%B3digo_Regi%C3%B3n%22%20%3D%2014"/>
        <s v="https://analytics.zoho.com/open-view/2395394000008378510?ZOHO_CRITERIA=%22Espacios_Culturales_Completo%201%22.%22C%C3%B3digo_Regi%C3%B3n%22%20%3D%2015"/>
        <s v="https://analytics.zoho.com/open-view/2395394000008378510?ZOHO_CRITERIA=%22Espacios_Culturales_Completo%201%22.%22C%C3%B3digo_Regi%C3%B3n%22%20%3D%2016"/>
        <s v="https://app.powerbi.com/view?r=eyJrIjoiYzhiZDQ3N2YtMmRkOS00NzAyLThjNjItNzk0NWM1NWE1YjE0IiwidCI6IjhmYmFhNWJmLTJlY2MtNGRjOC1iNTZiLThmOTJlMzA3ZjA3NiIsImMiOjR9"/>
        <s v="https://app.powerbi.com/view?r=eyJrIjoiNDQzYmFiMjctODc3Ny00N2ZlLTgyNTctMzBmMmY3NTdhNmQ3IiwidCI6IjhmYmFhNWJmLTJlY2MtNGRjOC1iNTZiLThmOTJlMzA3ZjA3NiIsImMiOjR9"/>
        <s v="https://app.powerbi.com/view?r=eyJrIjoiNzYyYzA1MTQtYjU4ZC00YmIyLTgxMTMtODQ1MzE1OTdkZTU5IiwidCI6IjhmYmFhNWJmLTJlY2MtNGRjOC1iNTZiLThmOTJlMzA3ZjA3NiIsImMiOjR9"/>
        <s v="https://app.powerbi.com/view?r=eyJrIjoiYTRjMTJkZmEtNzNlMC00ODRlLWIxMzYtNzAzYWVlMGQ2YTU0IiwidCI6IjhmYmFhNWJmLTJlY2MtNGRjOC1iNTZiLThmOTJlMzA3ZjA3NiIsImMiOjR9"/>
        <s v="https://app.powerbi.com/view?r=eyJrIjoiZThkYzY0YTItNWE2NS00MjE5LTgzNTItOWFmNjE2NWE5NTIwIiwidCI6IjhmYmFhNWJmLTJlY2MtNGRjOC1iNTZiLThmOTJlMzA3ZjA3NiIsImMiOjR9"/>
        <s v="https://app.powerbi.com/view?r=eyJrIjoiNWIxNzRiOTctMWUyMi00YjkzLWJmMDUtN2UzODhlZWFlZjA1IiwidCI6IjhmYmFhNWJmLTJlY2MtNGRjOC1iNTZiLThmOTJlMzA3ZjA3NiIsImMiOjR9"/>
        <s v="https://app.powerbi.com/view?r=eyJrIjoiOWIxNDkwMzUtMGQyNi00ZGEzLWE1OGItYTI1OGM4Njk1NjlhIiwidCI6IjhmYmFhNWJmLTJlY2MtNGRjOC1iNTZiLThmOTJlMzA3ZjA3NiIsImMiOjR9"/>
        <s v="https://app.powerbi.com/view?r=eyJrIjoiYzgzMTI1M2UtNmViNS00YTA0LTk2NGYtMTFmYmExYTczNWRhIiwidCI6IjhmYmFhNWJmLTJlY2MtNGRjOC1iNTZiLThmOTJlMzA3ZjA3NiIsImMiOjR9"/>
        <s v="https://app.powerbi.com/view?r=eyJrIjoiZmVjZWI5N2YtMjVhMS00Zjc1LWFmN2YtZDM4NDA1ODMzMGNiIiwidCI6IjhmYmFhNWJmLTJlY2MtNGRjOC1iNTZiLThmOTJlMzA3ZjA3NiIsImMiOjR9"/>
        <s v="https://app.powerbi.com/view?r=eyJrIjoiNDExYTM1N2EtYTNiYi00OGNkLThhMjMtMDVjNGQ5NzNjZTU1IiwidCI6IjhmYmFhNWJmLTJlY2MtNGRjOC1iNTZiLThmOTJlMzA3ZjA3NiIsImMiOjR9"/>
        <s v="https://app.powerbi.com/view?r=eyJrIjoiMzk2YjAzMGUtYTE2Zi00ZGU3LTg1ZjAtN2IxNzExMjg3N2E1IiwidCI6IjhmYmFhNWJmLTJlY2MtNGRjOC1iNTZiLThmOTJlMzA3ZjA3NiIsImMiOjR9"/>
        <s v="https://app.powerbi.com/view?r=eyJrIjoiZWNmYzYxNjQtMTQ1OC00MTkwLWFkYTUtYzUwZmM0NWVjN2U2IiwidCI6IjhmYmFhNWJmLTJlY2MtNGRjOC1iNTZiLThmOTJlMzA3ZjA3NiIsImMiOjR9"/>
        <s v="https://app.powerbi.com/view?r=eyJrIjoiNWYxNzdhNGItMDA0OC00ZjY5LWI0YTUtMDUwYzk1M2JmZGVhIiwidCI6IjhmYmFhNWJmLTJlY2MtNGRjOC1iNTZiLThmOTJlMzA3ZjA3NiIsImMiOjR9"/>
        <s v="https://app.powerbi.com/view?r=eyJrIjoiMzlhNGFhN2QtNjRlZi00YjY1LTlmNzctMmRmZDZkNWUwNmIzIiwidCI6IjhmYmFhNWJmLTJlY2MtNGRjOC1iNTZiLThmOTJlMzA3ZjA3NiIsImMiOjR9"/>
        <s v="https://app.powerbi.com/view?r=eyJrIjoiODk3Zjc3ZTItZTdlNi00NGRlLTljYzktZTM5OTQ1YzI1MDYxIiwidCI6IjhmYmFhNWJmLTJlY2MtNGRjOC1iNTZiLThmOTJlMzA3ZjA3NiIsImMiOjR9"/>
        <s v="https://app.powerbi.com/view?r=eyJrIjoiZDZiYjg2ODAtOGYwZS00MGNlLTkwZWEtZTU3NDMwOTZjZGYxIiwidCI6IjhmYmFhNWJmLTJlY2MtNGRjOC1iNTZiLThmOTJlMzA3ZjA3NiIsImMiOjR9"/>
        <s v="https://analytics.zoho.com/open-view/2395394000007782028"/>
        <s v="https://analytics.zoho.com/open-view/2395394000008210549"/>
        <s v="https://analytics.zoho.com/open-view/2395394000007782059?ZOHO_CRITERIA=%22Trasposicion_27.4%22.%22Cod_Regi%C3%B3n%22%3D1"/>
        <s v="https://analytics.zoho.com/open-view/2395394000007782059?ZOHO_CRITERIA=%22Trasposicion_27.4%22.%22Cod_Regi%C3%B3n%22%3D2"/>
        <s v="https://analytics.zoho.com/open-view/2395394000007782059?ZOHO_CRITERIA=%22Trasposicion_27.4%22.%22Cod_Regi%C3%B3n%22%3D3"/>
        <s v="https://analytics.zoho.com/open-view/2395394000007782059?ZOHO_CRITERIA=%22Trasposicion_27.4%22.%22Cod_Regi%C3%B3n%22%3D4"/>
        <s v="https://analytics.zoho.com/open-view/2395394000007782059?ZOHO_CRITERIA=%22Trasposicion_27.4%22.%22Cod_Regi%C3%B3n%22%3D5"/>
        <s v="https://analytics.zoho.com/open-view/2395394000007782059?ZOHO_CRITERIA=%22Trasposicion_27.4%22.%22Cod_Regi%C3%B3n%22%3D6"/>
        <s v="https://analytics.zoho.com/open-view/2395394000007782059?ZOHO_CRITERIA=%22Trasposicion_27.4%22.%22Cod_Regi%C3%B3n%22%3D7"/>
        <s v="https://analytics.zoho.com/open-view/2395394000007782059?ZOHO_CRITERIA=%22Trasposicion_27.4%22.%22Cod_Regi%C3%B3n%22%3D8"/>
        <s v="https://analytics.zoho.com/open-view/2395394000007782059?ZOHO_CRITERIA=%22Trasposicion_27.4%22.%22Cod_Regi%C3%B3n%22%3D9"/>
        <s v="https://analytics.zoho.com/open-view/2395394000007782059?ZOHO_CRITERIA=%22Trasposicion_27.4%22.%22Cod_Regi%C3%B3n%22%3D10"/>
        <s v="https://analytics.zoho.com/open-view/2395394000007782059?ZOHO_CRITERIA=%22Trasposicion_27.4%22.%22Cod_Regi%C3%B3n%22%3D11"/>
        <s v="https://analytics.zoho.com/open-view/2395394000007782059?ZOHO_CRITERIA=%22Trasposicion_27.4%22.%22Cod_Regi%C3%B3n%22%3D12"/>
        <s v="https://analytics.zoho.com/open-view/2395394000007782059?ZOHO_CRITERIA=%22Trasposicion_27.4%22.%22Cod_Regi%C3%B3n%22%3D13"/>
        <s v="https://analytics.zoho.com/open-view/2395394000007782059?ZOHO_CRITERIA=%22Trasposicion_27.4%22.%22Cod_Regi%C3%B3n%22%3D14"/>
        <s v="https://analytics.zoho.com/open-view/2395394000007782059?ZOHO_CRITERIA=%22Trasposicion_27.4%22.%22Cod_Regi%C3%B3n%22%3D15"/>
        <s v="https://analytics.zoho.com/open-view/2395394000007782059?ZOHO_CRITERIA=%22Trasposicion_27.4%22.%22Cod_Regi%C3%B3n%22%3D16"/>
        <s v="https://analytics.zoho.com/open-view/2395394000008206985"/>
        <s v="https://analytics.zoho.com/open-view/2395394000007782100?ZOHO_CRITERIA=%22Localiza%20CL%22.%22Codreg%22%3D1"/>
        <s v="https://analytics.zoho.com/open-view/2395394000007782100?ZOHO_CRITERIA=%22Localiza%20CL%22.%22Codreg%22%3D2"/>
        <s v="https://analytics.zoho.com/open-view/2395394000007782100?ZOHO_CRITERIA=%22Localiza%20CL%22.%22Codreg%22%3D3"/>
        <s v="https://analytics.zoho.com/open-view/2395394000007782100?ZOHO_CRITERIA=%22Localiza%20CL%22.%22Codreg%22%3D4"/>
        <s v="https://analytics.zoho.com/open-view/2395394000007782100?ZOHO_CRITERIA=%22Localiza%20CL%22.%22Codreg%22%3D5"/>
        <s v="https://analytics.zoho.com/open-view/2395394000007782100?ZOHO_CRITERIA=%22Localiza%20CL%22.%22Codreg%22%3D6"/>
        <s v="https://analytics.zoho.com/open-view/2395394000007782100?ZOHO_CRITERIA=%22Localiza%20CL%22.%22Codreg%22%3D7"/>
        <s v="https://analytics.zoho.com/open-view/2395394000007782100?ZOHO_CRITERIA=%22Localiza%20CL%22.%22Codreg%22%3D8"/>
        <s v="https://analytics.zoho.com/open-view/2395394000007782100?ZOHO_CRITERIA=%22Localiza%20CL%22.%22Codreg%22%3D9"/>
        <s v="https://analytics.zoho.com/open-view/2395394000007782100?ZOHO_CRITERIA=%22Localiza%20CL%22.%22Codreg%22%3D10"/>
        <s v="https://analytics.zoho.com/open-view/2395394000007782100?ZOHO_CRITERIA=%22Localiza%20CL%22.%22Codreg%22%3D11"/>
        <s v="https://analytics.zoho.com/open-view/2395394000007782100?ZOHO_CRITERIA=%22Localiza%20CL%22.%22Codreg%22%3D12"/>
        <s v="https://analytics.zoho.com/open-view/2395394000007782100?ZOHO_CRITERIA=%22Localiza%20CL%22.%22Codreg%22%3D13"/>
        <s v="https://analytics.zoho.com/open-view/2395394000007782100?ZOHO_CRITERIA=%22Localiza%20CL%22.%22Codreg%22%3D14"/>
        <s v="https://analytics.zoho.com/open-view/2395394000007782100?ZOHO_CRITERIA=%22Localiza%20CL%22.%22Codreg%22%3D15"/>
        <s v="https://analytics.zoho.com/open-view/2395394000007782100?ZOHO_CRITERIA=%22Localiza%20CL%22.%22Codreg%22%3D16"/>
        <s v="https://analytics.zoho.com/open-view/2395394000007782157"/>
        <s v="https://analytics.zoho.com/open-view/2395394000008207372"/>
        <s v="https://analytics.zoho.com/open-view/2395394000008207486?ZOHO_CRITERIA=%224.6%22.%22C%C3%B3digo_Regi%C3%B3n%22%3D1"/>
        <s v="https://analytics.zoho.com/open-view/2395394000008207486?ZOHO_CRITERIA=%224.6%22.%22C%C3%B3digo_Regi%C3%B3n%22%3D2"/>
        <s v="https://analytics.zoho.com/open-view/2395394000008207486?ZOHO_CRITERIA=%224.6%22.%22C%C3%B3digo_Regi%C3%B3n%22%3D3"/>
        <s v="https://analytics.zoho.com/open-view/2395394000008207486?ZOHO_CRITERIA=%224.6%22.%22C%C3%B3digo_Regi%C3%B3n%22%3D4"/>
        <s v="https://analytics.zoho.com/open-view/2395394000008207486?ZOHO_CRITERIA=%224.6%22.%22C%C3%B3digo_Regi%C3%B3n%22%3D5"/>
        <s v="https://analytics.zoho.com/open-view/2395394000008207486?ZOHO_CRITERIA=%224.6%22.%22C%C3%B3digo_Regi%C3%B3n%22%3D6"/>
        <s v="https://analytics.zoho.com/open-view/2395394000008207486?ZOHO_CRITERIA=%224.6%22.%22C%C3%B3digo_Regi%C3%B3n%22%3D7"/>
        <s v="https://analytics.zoho.com/open-view/2395394000008207486?ZOHO_CRITERIA=%224.6%22.%22C%C3%B3digo_Regi%C3%B3n%22%3D8"/>
        <s v="https://analytics.zoho.com/open-view/2395394000008207486?ZOHO_CRITERIA=%224.6%22.%22C%C3%B3digo_Regi%C3%B3n%22%3D9"/>
        <s v="https://analytics.zoho.com/open-view/2395394000008207486?ZOHO_CRITERIA=%224.6%22.%22C%C3%B3digo_Regi%C3%B3n%22%3D10"/>
        <s v="https://analytics.zoho.com/open-view/2395394000008207486?ZOHO_CRITERIA=%224.6%22.%22C%C3%B3digo_Regi%C3%B3n%22%3D11"/>
        <s v="https://analytics.zoho.com/open-view/2395394000008207486?ZOHO_CRITERIA=%224.6%22.%22C%C3%B3digo_Regi%C3%B3n%22%3D12"/>
        <s v="https://analytics.zoho.com/open-view/2395394000008207486?ZOHO_CRITERIA=%224.6%22.%22C%C3%B3digo_Regi%C3%B3n%22%3D13"/>
        <s v="https://analytics.zoho.com/open-view/2395394000008207486?ZOHO_CRITERIA=%224.6%22.%22C%C3%B3digo_Regi%C3%B3n%22%3D14"/>
        <s v="https://analytics.zoho.com/open-view/2395394000008207486?ZOHO_CRITERIA=%224.6%22.%22C%C3%B3digo_Regi%C3%B3n%22%3D15"/>
        <s v="https://analytics.zoho.com/open-view/2395394000008207486?ZOHO_CRITERIA=%224.6%22.%22C%C3%B3digo_Regi%C3%B3n%22%3D16"/>
        <s v="https://analytics.zoho.com/open-view/2395394000007782340"/>
        <s v="https://analytics.zoho.com/open-view/2395394000008209595?ZOHO_CRITERIA=%22Trasposicion_4.7%22.%22C%C3%B3digo_Regi%C3%B3n%22%3D3"/>
        <s v="https://analytics.zoho.com/open-view/2395394000008209595?ZOHO_CRITERIA=%22Trasposicion_4.7%22.%22C%C3%B3digo_Regi%C3%B3n%22%3D4"/>
        <s v="https://analytics.zoho.com/open-view/2395394000008209595?ZOHO_CRITERIA=%22Trasposicion_4.7%22.%22C%C3%B3digo_Regi%C3%B3n%22%3D5"/>
        <s v="https://analytics.zoho.com/open-view/2395394000008209595?ZOHO_CRITERIA=%22Trasposicion_4.7%22.%22C%C3%B3digo_Regi%C3%B3n%22%3D6"/>
        <s v="https://analytics.zoho.com/open-view/2395394000008209595?ZOHO_CRITERIA=%22Trasposicion_4.7%22.%22C%C3%B3digo_Regi%C3%B3n%22%3D7"/>
        <s v="https://analytics.zoho.com/open-view/2395394000008209595?ZOHO_CRITERIA=%22Trasposicion_4.7%22.%22C%C3%B3digo_Regi%C3%B3n%22%3D8"/>
        <s v="https://analytics.zoho.com/open-view/2395394000008209595?ZOHO_CRITERIA=%22Trasposicion_4.7%22.%22C%C3%B3digo_Regi%C3%B3n%22%3D9"/>
        <s v="https://analytics.zoho.com/open-view/2395394000008209595?ZOHO_CRITERIA=%22Trasposicion_4.7%22.%22C%C3%B3digo_Regi%C3%B3n%22%3D13"/>
        <s v="https://analytics.zoho.com/open-view/2395394000008209595?ZOHO_CRITERIA=%22Trasposicion_4.7%22.%22C%C3%B3digo_Regi%C3%B3n%22%3D15"/>
        <s v="https://analytics.zoho.com/open-view/2395394000008209595?ZOHO_CRITERIA=%22Trasposicion_4.7%22.%22C%C3%B3digo_Regi%C3%B3n%22%3D16"/>
        <s v="https://app.powerbi.com/view?r=eyJrIjoiYjE4Yzc3NGQtYjM2NS00ZDMwLTg0NDYtOTRjYzQ4MzU0MWI1IiwidCI6IjhmYmFhNWJmLTJlY2MtNGRjOC1iNTZiLThmOTJlMzA3ZjA3NiIsImMiOjR9"/>
        <s v="https://analytics.zoho.com/open-view/2395394000008056138"/>
        <s v="https://analytics.zoho.com/open-view/2395394000008213039?ZOHO_CRITERIA=%22Espacios_Culturales_Completo%201%22.%22C%C3%B3digo_Regi%C3%B3n%22%20%3D%201"/>
        <s v="https://analytics.zoho.com/open-view/2395394000008213039?ZOHO_CRITERIA=%22Espacios_Culturales_Completo%201%22.%22C%C3%B3digo_Regi%C3%B3n%22%20%3D%202"/>
        <s v="https://analytics.zoho.com/open-view/2395394000008213039?ZOHO_CRITERIA=%22Espacios_Culturales_Completo%201%22.%22C%C3%B3digo_Regi%C3%B3n%22%20%3D%203"/>
        <s v="https://analytics.zoho.com/open-view/2395394000008213039?ZOHO_CRITERIA=%22Espacios_Culturales_Completo%201%22.%22C%C3%B3digo_Regi%C3%B3n%22%20%3D%204"/>
        <s v="https://analytics.zoho.com/open-view/2395394000008213039?ZOHO_CRITERIA=%22Espacios_Culturales_Completo%201%22.%22C%C3%B3digo_Regi%C3%B3n%22%20%3D%205"/>
        <s v="https://analytics.zoho.com/open-view/2395394000008213039?ZOHO_CRITERIA=%22Espacios_Culturales_Completo%201%22.%22C%C3%B3digo_Regi%C3%B3n%22%20%3D%206"/>
        <s v="https://analytics.zoho.com/open-view/2395394000008213039?ZOHO_CRITERIA=%22Espacios_Culturales_Completo%201%22.%22C%C3%B3digo_Regi%C3%B3n%22%20%3D%207"/>
        <s v="https://analytics.zoho.com/open-view/2395394000008213039?ZOHO_CRITERIA=%22Espacios_Culturales_Completo%201%22.%22C%C3%B3digo_Regi%C3%B3n%22%20%3D%208"/>
        <s v="https://analytics.zoho.com/open-view/2395394000008213039?ZOHO_CRITERIA=%22Espacios_Culturales_Completo%201%22.%22C%C3%B3digo_Regi%C3%B3n%22%20%3D%209"/>
        <s v="https://analytics.zoho.com/open-view/2395394000008213039?ZOHO_CRITERIA=%22Espacios_Culturales_Completo%201%22.%22C%C3%B3digo_Regi%C3%B3n%22%20%3D%2010"/>
        <s v="https://analytics.zoho.com/open-view/2395394000008213039?ZOHO_CRITERIA=%22Espacios_Culturales_Completo%201%22.%22C%C3%B3digo_Regi%C3%B3n%22%20%3D%2011"/>
        <s v="https://analytics.zoho.com/open-view/2395394000008213039?ZOHO_CRITERIA=%22Espacios_Culturales_Completo%201%22.%22C%C3%B3digo_Regi%C3%B3n%22%20%3D%2012"/>
        <s v="https://analytics.zoho.com/open-view/2395394000008213039?ZOHO_CRITERIA=%22Espacios_Culturales_Completo%201%22.%22C%C3%B3digo_Regi%C3%B3n%22%20%3D%2013"/>
        <s v="https://analytics.zoho.com/open-view/2395394000008213039?ZOHO_CRITERIA=%22Espacios_Culturales_Completo%201%22.%22C%C3%B3digo_Regi%C3%B3n%22%20%3D%2014"/>
        <s v="https://analytics.zoho.com/open-view/2395394000008213039?ZOHO_CRITERIA=%22Espacios_Culturales_Completo%201%22.%22C%C3%B3digo_Regi%C3%B3n%22%20%3D%2015"/>
        <s v="https://analytics.zoho.com/open-view/2395394000008213039?ZOHO_CRITERIA=%22Espacios_Culturales_Completo%201%22.%22C%C3%B3digo_Regi%C3%B3n%22%20%3D%2016"/>
        <s v="https://analytics.zoho.com/open-view/2395394000008181172"/>
        <s v="https://analytics.zoho.com/open-view/2395394000008025390?ZOHO_CRITERIA=%22Rubros_Todo%22.%22Id_Regi%C3%B3n%22%3D1"/>
        <s v="https://analytics.zoho.com/open-view/2395394000008025390?ZOHO_CRITERIA=%22Rubros_Todo%22.%22Id_Regi%C3%B3n%22%3D2"/>
        <s v="https://analytics.zoho.com/open-view/2395394000008025390?ZOHO_CRITERIA=%22Rubros_Todo%22.%22Id_Regi%C3%B3n%22%3D3"/>
        <s v="https://analytics.zoho.com/open-view/2395394000008025390?ZOHO_CRITERIA=%22Rubros_Todo%22.%22Id_Regi%C3%B3n%22%3D4"/>
        <s v="https://analytics.zoho.com/open-view/2395394000008025390?ZOHO_CRITERIA=%22Rubros_Todo%22.%22Id_Regi%C3%B3n%22%3D5"/>
        <s v="https://analytics.zoho.com/open-view/2395394000008025390?ZOHO_CRITERIA=%22Rubros_Todo%22.%22Id_Regi%C3%B3n%22%3D6"/>
        <s v="https://analytics.zoho.com/open-view/2395394000008025390?ZOHO_CRITERIA=%22Rubros_Todo%22.%22Id_Regi%C3%B3n%22%3D7"/>
        <s v="https://analytics.zoho.com/open-view/2395394000008025390?ZOHO_CRITERIA=%22Rubros_Todo%22.%22Id_Regi%C3%B3n%22%3D8"/>
        <s v="https://analytics.zoho.com/open-view/2395394000008025390?ZOHO_CRITERIA=%22Rubros_Todo%22.%22Id_Regi%C3%B3n%22%3D9"/>
        <s v="https://analytics.zoho.com/open-view/2395394000008025390?ZOHO_CRITERIA=%22Rubros_Todo%22.%22Id_Regi%C3%B3n%22%3D10"/>
        <s v="https://analytics.zoho.com/open-view/2395394000008025390?ZOHO_CRITERIA=%22Rubros_Todo%22.%22Id_Regi%C3%B3n%22%3D11"/>
        <s v="https://analytics.zoho.com/open-view/2395394000008025390?ZOHO_CRITERIA=%22Rubros_Todo%22.%22Id_Regi%C3%B3n%22%3D12"/>
        <s v="https://analytics.zoho.com/open-view/2395394000008025390?ZOHO_CRITERIA=%22Rubros_Todo%22.%22Id_Regi%C3%B3n%22%3D13"/>
        <s v="https://analytics.zoho.com/open-view/2395394000008025390?ZOHO_CRITERIA=%22Rubros_Todo%22.%22Id_Regi%C3%B3n%22%3D14"/>
        <s v="https://analytics.zoho.com/open-view/2395394000008025390?ZOHO_CRITERIA=%22Rubros_Todo%22.%22Id_Regi%C3%B3n%22%3D15"/>
        <s v="https://analytics.zoho.com/open-view/2395394000008025390?ZOHO_CRITERIA=%22Rubros_Todo%22.%22Id_Regi%C3%B3n%22%3D16"/>
        <s v="https://analytics.zoho.com/open-view/2395394000007777048"/>
        <s v="https://analytics.zoho.com/open-view/2395394000007777075"/>
        <s v="https://analytics.zoho.com/open-view/2395394000007777114"/>
        <s v="https://analytics.zoho.com/open-view/2395394000007777153"/>
        <s v="PENDIENTE"/>
        <s v="https://analytics.zoho.com/open-view/2395394000007782905?ZOHO_CRITERIA=%2227.10%22.%22Id_Regi%C3%B3n%22%20%3D%201"/>
        <s v="https://analytics.zoho.com/open-view/2395394000007782905?ZOHO_CRITERIA=%2227.10%22.%22Id_Regi%C3%B3n%22%20%3D%202"/>
        <s v="https://analytics.zoho.com/open-view/2395394000007782905?ZOHO_CRITERIA=%2227.10%22.%22Id_Regi%C3%B3n%22%20%3D%203"/>
        <s v="https://analytics.zoho.com/open-view/2395394000007782905?ZOHO_CRITERIA=%2227.10%22.%22Id_Regi%C3%B3n%22%20%3D%204"/>
        <s v="https://analytics.zoho.com/open-view/2395394000007782905?ZOHO_CRITERIA=%2227.10%22.%22Id_Regi%C3%B3n%22%20%3D%205"/>
        <s v="https://analytics.zoho.com/open-view/2395394000007782905?ZOHO_CRITERIA=%2227.10%22.%22Id_Regi%C3%B3n%22%20%3D%206"/>
        <s v="https://analytics.zoho.com/open-view/2395394000007782905?ZOHO_CRITERIA=%2227.10%22.%22Id_Regi%C3%B3n%22%20%3D%207"/>
        <s v="https://analytics.zoho.com/open-view/2395394000007782905?ZOHO_CRITERIA=%2227.10%22.%22Id_Regi%C3%B3n%22%20%3D%208"/>
        <s v="https://analytics.zoho.com/open-view/2395394000007782905?ZOHO_CRITERIA=%2227.10%22.%22Id_Regi%C3%B3n%22%20%3D%209"/>
        <s v="https://analytics.zoho.com/open-view/2395394000007782905?ZOHO_CRITERIA=%2227.10%22.%22Id_Regi%C3%B3n%22%20%3D%2010"/>
        <s v="https://analytics.zoho.com/open-view/2395394000007782905?ZOHO_CRITERIA=%2227.10%22.%22Id_Regi%C3%B3n%22%20%3D%2011"/>
        <s v="https://analytics.zoho.com/open-view/2395394000007782905?ZOHO_CRITERIA=%2227.10%22.%22Id_Regi%C3%B3n%22%20%3D%2012"/>
        <s v="https://analytics.zoho.com/open-view/2395394000007782905?ZOHO_CRITERIA=%2227.10%22.%22Id_Regi%C3%B3n%22%20%3D%2013"/>
        <s v="https://analytics.zoho.com/open-view/2395394000007782905?ZOHO_CRITERIA=%2227.10%22.%22Id_Regi%C3%B3n%22%20%3D%2014"/>
        <s v="https://analytics.zoho.com/open-view/2395394000007782905?ZOHO_CRITERIA=%2227.10%22.%22Id_Regi%C3%B3n%22%20%3D%2015"/>
        <s v="https://analytics.zoho.com/open-view/2395394000007782905?ZOHO_CRITERIA=%2227.10%22.%22Id_Regi%C3%B3n%22%20%3D%2016"/>
        <s v="https://analytics.zoho.com/open-view/2395394000008195941"/>
        <s v="https://analytics.zoho.com/open-view/2395394000007782936?ZOHO_CRITERIA=%22Trasposicion_4.2%22.%22C%C3%B3digo_Regi%C3%B3n%22%20%3D%201"/>
        <s v="https://analytics.zoho.com/open-view/2395394000007782936?ZOHO_CRITERIA=%22Trasposicion_4.2%22.%22C%C3%B3digo_Regi%C3%B3n%22%20%3D%202"/>
        <s v="https://analytics.zoho.com/open-view/2395394000007782936?ZOHO_CRITERIA=%22Trasposicion_4.2%22.%22C%C3%B3digo_Regi%C3%B3n%22%20%3D%203"/>
        <s v="https://analytics.zoho.com/open-view/2395394000007782936?ZOHO_CRITERIA=%22Trasposicion_4.2%22.%22C%C3%B3digo_Regi%C3%B3n%22%20%3D%204"/>
        <s v="https://analytics.zoho.com/open-view/2395394000007782936?ZOHO_CRITERIA=%22Trasposicion_4.2%22.%22C%C3%B3digo_Regi%C3%B3n%22%20%3D%205"/>
        <s v="https://analytics.zoho.com/open-view/2395394000007782936?ZOHO_CRITERIA=%22Trasposicion_4.2%22.%22C%C3%B3digo_Regi%C3%B3n%22%20%3D%206"/>
        <s v="https://analytics.zoho.com/open-view/2395394000007782936?ZOHO_CRITERIA=%22Trasposicion_4.2%22.%22C%C3%B3digo_Regi%C3%B3n%22%20%3D%207"/>
        <s v="https://analytics.zoho.com/open-view/2395394000007782936?ZOHO_CRITERIA=%22Trasposicion_4.2%22.%22C%C3%B3digo_Regi%C3%B3n%22%20%3D%208"/>
        <s v="https://analytics.zoho.com/open-view/2395394000007782936?ZOHO_CRITERIA=%22Trasposicion_4.2%22.%22C%C3%B3digo_Regi%C3%B3n%22%20%3D%209"/>
        <s v="https://analytics.zoho.com/open-view/2395394000007782936?ZOHO_CRITERIA=%22Trasposicion_4.2%22.%22C%C3%B3digo_Regi%C3%B3n%22%20%3D%2010"/>
        <s v="https://analytics.zoho.com/open-view/2395394000007782936?ZOHO_CRITERIA=%22Trasposicion_4.2%22.%22C%C3%B3digo_Regi%C3%B3n%22%20%3D%2011"/>
        <s v="https://analytics.zoho.com/open-view/2395394000007782936?ZOHO_CRITERIA=%22Trasposicion_4.2%22.%22C%C3%B3digo_Regi%C3%B3n%22%20%3D%2012"/>
        <s v="https://analytics.zoho.com/open-view/2395394000007782936?ZOHO_CRITERIA=%22Trasposicion_4.2%22.%22C%C3%B3digo_Regi%C3%B3n%22%20%3D%2013"/>
        <s v="https://analytics.zoho.com/open-view/2395394000007782936?ZOHO_CRITERIA=%22Trasposicion_4.2%22.%22C%C3%B3digo_Regi%C3%B3n%22%20%3D%2014"/>
        <s v="https://analytics.zoho.com/open-view/2395394000007782936?ZOHO_CRITERIA=%22Trasposicion_4.2%22.%22C%C3%B3digo_Regi%C3%B3n%22%20%3D%2015"/>
        <s v="https://analytics.zoho.com/open-view/2395394000007782936?ZOHO_CRITERIA=%22Trasposicion_4.2%22.%22C%C3%B3digo_Regi%C3%B3n%22%20%3D%2016"/>
        <s v="https://analytics.zoho.com/open-view/2395394000007801200"/>
        <s v="https://analytics.zoho.com/open-view/2395394000008378752?ZOHO_CRITERIA=%2216%20Energ%C3%ADas%20Renovables%20y%20No%20Renovables%22.%22Cod_Regi%C3%B3n%22%20%3D%200"/>
        <s v="https://analytics.zoho.com/open-view/2395394000008378752?ZOHO_CRITERIA=%2216%20Energ%C3%ADas%20Renovables%20y%20No%20Renovables%22.%22Cod_Regi%C3%B3n%22%20%3D%201"/>
        <s v="https://analytics.zoho.com/open-view/2395394000008378752?ZOHO_CRITERIA=%2216%20Energ%C3%ADas%20Renovables%20y%20No%20Renovables%22.%22Cod_Regi%C3%B3n%22%20%3D%202"/>
        <s v="https://analytics.zoho.com/open-view/2395394000008378752?ZOHO_CRITERIA=%2216%20Energ%C3%ADas%20Renovables%20y%20No%20Renovables%22.%22Cod_Regi%C3%B3n%22%20%3D%203"/>
        <s v="https://analytics.zoho.com/open-view/2395394000008378752?ZOHO_CRITERIA=%2216%20Energ%C3%ADas%20Renovables%20y%20No%20Renovables%22.%22Cod_Regi%C3%B3n%22%20%3D%204"/>
        <s v="https://analytics.zoho.com/open-view/2395394000008378752?ZOHO_CRITERIA=%2216%20Energ%C3%ADas%20Renovables%20y%20No%20Renovables%22.%22Cod_Regi%C3%B3n%22%20%3D%205"/>
        <s v="https://analytics.zoho.com/open-view/2395394000008378752?ZOHO_CRITERIA=%2216%20Energ%C3%ADas%20Renovables%20y%20No%20Renovables%22.%22Cod_Regi%C3%B3n%22%20%3D%206"/>
        <s v="https://analytics.zoho.com/open-view/2395394000008378752?ZOHO_CRITERIA=%2216%20Energ%C3%ADas%20Renovables%20y%20No%20Renovables%22.%22Cod_Regi%C3%B3n%22%20%3D%207"/>
        <s v="https://analytics.zoho.com/open-view/2395394000008378752?ZOHO_CRITERIA=%2216%20Energ%C3%ADas%20Renovables%20y%20No%20Renovables%22.%22Cod_Regi%C3%B3n%22%20%3D%208"/>
        <s v="https://analytics.zoho.com/open-view/2395394000008378752?ZOHO_CRITERIA=%2216%20Energ%C3%ADas%20Renovables%20y%20No%20Renovables%22.%22Cod_Regi%C3%B3n%22%20%3D%209"/>
        <s v="https://analytics.zoho.com/open-view/2395394000008378752?ZOHO_CRITERIA=%2216%20Energ%C3%ADas%20Renovables%20y%20No%20Renovables%22.%22Cod_Regi%C3%B3n%22%20%3D%2010"/>
        <s v="https://analytics.zoho.com/open-view/2395394000008378752?ZOHO_CRITERIA=%2216%20Energ%C3%ADas%20Renovables%20y%20No%20Renovables%22.%22Cod_Regi%C3%B3n%22%20%3D%2011"/>
        <s v="https://analytics.zoho.com/open-view/2395394000008378752?ZOHO_CRITERIA=%2216%20Energ%C3%ADas%20Renovables%20y%20No%20Renovables%22.%22Cod_Regi%C3%B3n%22%20%3D%2012"/>
        <s v="https://analytics.zoho.com/open-view/2395394000008378752?ZOHO_CRITERIA=%2216%20Energ%C3%ADas%20Renovables%20y%20No%20Renovables%22.%22Cod_Regi%C3%B3n%22%20%3D%2013"/>
        <s v="https://analytics.zoho.com/open-view/2395394000008378752?ZOHO_CRITERIA=%2216%20Energ%C3%ADas%20Renovables%20y%20No%20Renovables%22.%22Cod_Regi%C3%B3n%22%20%3D%2014"/>
        <s v="https://analytics.zoho.com/open-view/2395394000008378752?ZOHO_CRITERIA=%2216%20Energ%C3%ADas%20Renovables%20y%20No%20Renovables%22.%22Cod_Regi%C3%B3n%22%20%3D%2015"/>
        <s v="https://analytics.zoho.com/open-view/2395394000008378752?ZOHO_CRITERIA=%2216%20Energ%C3%ADas%20Renovables%20y%20No%20Renovables%22.%22Cod_Regi%C3%B3n%22%20%3D%2016"/>
        <s v="https://analytics.zoho.com/open-view/2395394000007777467"/>
        <s v="https://analytics.zoho.com/open-view/2395394000008257083?ZOHO_CRITERIA=%22Trasposicion_4.10%22.%22Cod_regi%C3%B3n%22%20%3D%201"/>
        <s v="https://analytics.zoho.com/open-view/2395394000008257083?ZOHO_CRITERIA=%22Trasposicion_4.10%22.%22Cod_regi%C3%B3n%22%20%3D%202"/>
        <s v="https://analytics.zoho.com/open-view/2395394000008257083?ZOHO_CRITERIA=%22Trasposicion_4.10%22.%22Cod_regi%C3%B3n%22%20%3D%203"/>
        <s v="https://analytics.zoho.com/open-view/2395394000008257083?ZOHO_CRITERIA=%22Trasposicion_4.10%22.%22Cod_regi%C3%B3n%22%20%3D%204"/>
        <s v="https://analytics.zoho.com/open-view/2395394000008257083?ZOHO_CRITERIA=%22Trasposicion_4.10%22.%22Cod_regi%C3%B3n%22%20%3D%205"/>
        <s v="https://analytics.zoho.com/open-view/2395394000008257083?ZOHO_CRITERIA=%22Trasposicion_4.10%22.%22Cod_regi%C3%B3n%22%20%3D%206"/>
        <s v="https://analytics.zoho.com/open-view/2395394000008257083?ZOHO_CRITERIA=%22Trasposicion_4.10%22.%22Cod_regi%C3%B3n%22%20%3D%207"/>
        <s v="https://analytics.zoho.com/open-view/2395394000008257083?ZOHO_CRITERIA=%22Trasposicion_4.10%22.%22Cod_regi%C3%B3n%22%20%3D%208"/>
        <s v="https://analytics.zoho.com/open-view/2395394000008257083?ZOHO_CRITERIA=%22Trasposicion_4.10%22.%22Cod_regi%C3%B3n%22%20%3D%209"/>
        <s v="https://analytics.zoho.com/open-view/2395394000008257083?ZOHO_CRITERIA=%22Trasposicion_4.10%22.%22Cod_regi%C3%B3n%22%20%3D%2010"/>
        <s v="https://analytics.zoho.com/open-view/2395394000008257083?ZOHO_CRITERIA=%22Trasposicion_4.10%22.%22Cod_regi%C3%B3n%22%20%3D%2011"/>
        <s v="https://analytics.zoho.com/open-view/2395394000008257083?ZOHO_CRITERIA=%22Trasposicion_4.10%22.%22Cod_regi%C3%B3n%22%20%3D%2012"/>
        <s v="https://analytics.zoho.com/open-view/2395394000008257083?ZOHO_CRITERIA=%22Trasposicion_4.10%22.%22Cod_regi%C3%B3n%22%20%3D%2013"/>
        <s v="https://analytics.zoho.com/open-view/2395394000008257083?ZOHO_CRITERIA=%22Trasposicion_4.10%22.%22Cod_regi%C3%B3n%22%20%3D%2014"/>
        <s v="https://analytics.zoho.com/open-view/2395394000008257083?ZOHO_CRITERIA=%22Trasposicion_4.10%22.%22Cod_regi%C3%B3n%22%20%3D%2015"/>
        <s v="https://analytics.zoho.com/open-view/2395394000008257083?ZOHO_CRITERIA=%22Trasposicion_4.10%22.%22Cod_regi%C3%B3n%22%20%3D%2016"/>
        <s v="https://analytics.zoho.com/open-view/2395394000007777591?ZOHO_CRITERIA=%22Trasposicion_4.3%22.%22Id_Producto%22%20%3D%20100108"/>
        <s v="https://analytics.zoho.com/open-view/2395394000007777311"/>
        <s v="https://analytics.zoho.com/open-view/2395394000008047165"/>
        <s v="https://analytics.zoho.com/open-view/2395394000007991542"/>
        <s v="https://analytics.zoho.com/open-view/2395394000007991542?ZOHO_CRITERIA=%22Localiza%20CL%22.%22Codreg%22%20%3D%201"/>
        <s v="https://analytics.zoho.com/open-view/2395394000007991542?ZOHO_CRITERIA=%22Localiza%20CL%22.%22Codreg%22%20%3D%202"/>
        <s v="https://analytics.zoho.com/open-view/2395394000007991542?ZOHO_CRITERIA=%22Localiza%20CL%22.%22Codreg%22%20%3D%203"/>
        <s v="https://analytics.zoho.com/open-view/2395394000007991542?ZOHO_CRITERIA=%22Localiza%20CL%22.%22Codreg%22%20%3D%204"/>
        <s v="https://analytics.zoho.com/open-view/2395394000007991542?ZOHO_CRITERIA=%22Localiza%20CL%22.%22Codreg%22%20%3D%205"/>
        <s v="https://analytics.zoho.com/open-view/2395394000007991542?ZOHO_CRITERIA=%22Localiza%20CL%22.%22Codreg%22%20%3D%206"/>
        <s v="https://analytics.zoho.com/open-view/2395394000007991542?ZOHO_CRITERIA=%22Localiza%20CL%22.%22Codreg%22%20%3D%207"/>
        <s v="https://analytics.zoho.com/open-view/2395394000007991542?ZOHO_CRITERIA=%22Localiza%20CL%22.%22Codreg%22%20%3D%208"/>
        <s v="https://analytics.zoho.com/open-view/2395394000007991542?ZOHO_CRITERIA=%22Localiza%20CL%22.%22Codreg%22%20%3D%209"/>
        <s v="https://analytics.zoho.com/open-view/2395394000007991542?ZOHO_CRITERIA=%22Localiza%20CL%22.%22Codreg%22%20%3D%2010"/>
        <s v="https://analytics.zoho.com/open-view/2395394000007991542?ZOHO_CRITERIA=%22Localiza%20CL%22.%22Codreg%22%20%3D%2011"/>
        <s v="https://analytics.zoho.com/open-view/2395394000007991542?ZOHO_CRITERIA=%22Localiza%20CL%22.%22Codreg%22%20%3D%2012"/>
        <s v="https://analytics.zoho.com/open-view/2395394000007991542?ZOHO_CRITERIA=%22Localiza%20CL%22.%22Codreg%22%20%3D%2013"/>
        <s v="https://analytics.zoho.com/open-view/2395394000007991542?ZOHO_CRITERIA=%22Localiza%20CL%22.%22Codreg%22%20%3D%2014"/>
        <s v="https://analytics.zoho.com/open-view/2395394000007991542?ZOHO_CRITERIA=%22Localiza%20CL%22.%22Codreg%22%20%3D%2015"/>
        <s v="https://analytics.zoho.com/open-view/2395394000007991542?ZOHO_CRITERIA=%22Localiza%20CL%22.%22Codreg%22%20%3D%2016"/>
        <s v="https://analytics.zoho.com/open-view/2395394000007806050"/>
        <s v="https://analytics.zoho.com/open-view/2395394000007806315"/>
        <s v="https://analytics.zoho.com/open-view/2395394000007806463"/>
        <s v="https://app.powerbi.com/view?r=eyJrIjoiZWFlZTlkOTMtZjVmMS00ZTNjLWIwYjctMWQ3YTI0ZDIwMjlmIiwidCI6IjhmYmFhNWJmLTJlY2MtNGRjOC1iNTZiLThmOTJlMzA3ZjA3NiIsImMiOjR9"/>
        <s v="https://analytics.zoho.com/open-view/2395394000008439156"/>
        <s v="https://app.powerbi.com/view?r=eyJrIjoiZjJhYWRiZjAtNTRkMC00ZmZhLWFmZmUtMjljYjc5MzRiMTZjIiwidCI6IjhmYmFhNWJmLTJlY2MtNGRjOC1iNTZiLThmOTJlMzA3ZjA3NiIsImMiOjR9"/>
        <s v="https://app.powerbi.com/view?r=eyJrIjoiODUwZTBkYWItOTg4OC00NTY4LThmOGYtNmY1Yjg4ZTBiYThlIiwidCI6IjhmYmFhNWJmLTJlY2MtNGRjOC1iNTZiLThmOTJlMzA3ZjA3NiIsImMiOjR9"/>
        <s v="https://app.powerbi.com/view?r=eyJrIjoiNDJiYjBiMTgtMDI3MC00MTYzLWIyNjctOWY3YWI3MzQ5OTZmIiwidCI6IjhmYmFhNWJmLTJlY2MtNGRjOC1iNTZiLThmOTJlMzA3ZjA3NiIsImMiOjR9"/>
        <s v="https://app.powerbi.com/view?r=eyJrIjoiYTkxMWQzMWItYjVkZC00MDM1LWI1N2YtODI3ZTcwMjZlMTJhIiwidCI6IjhmYmFhNWJmLTJlY2MtNGRjOC1iNTZiLThmOTJlMzA3ZjA3NiIsImMiOjR9"/>
        <s v="https://app.powerbi.com/view?r=eyJrIjoiMzM3MzQwMDMtMzNkNS00ZmJjLWI4NTgtNzQzNDViZjM2ZDdhIiwidCI6IjhmYmFhNWJmLTJlY2MtNGRjOC1iNTZiLThmOTJlMzA3ZjA3NiIsImMiOjR9"/>
        <s v="https://app.powerbi.com/view?r=eyJrIjoiYzQyZThjYTctOTk5OS00NTY4LWJmZWEtZDYzMjdhNDE5N2Y5IiwidCI6IjhmYmFhNWJmLTJlY2MtNGRjOC1iNTZiLThmOTJlMzA3ZjA3NiIsImMiOjR9"/>
        <s v="https://app.powerbi.com/view?r=eyJrIjoiNGEyYjQ5YjQtM2RlMy00NzZmLTg2YjUtOWE5YTg4NmZmYTJiIiwidCI6IjhmYmFhNWJmLTJlY2MtNGRjOC1iNTZiLThmOTJlMzA3ZjA3NiIsImMiOjR9"/>
        <s v="https://app.powerbi.com/view?r=eyJrIjoiZjFmZDM4OTItZTEwYi00Mjk2LWJiNWUtMGQ5ZTNlOTVkNjZlIiwidCI6IjhmYmFhNWJmLTJlY2MtNGRjOC1iNTZiLThmOTJlMzA3ZjA3NiIsImMiOjR9"/>
        <s v="https://app.powerbi.com/view?r=eyJrIjoiMDI1ZjhhZTctMDhlZi00ZmI1LWIzMjctMzMxM2ZhYzMxN2QzIiwidCI6IjhmYmFhNWJmLTJlY2MtNGRjOC1iNTZiLThmOTJlMzA3ZjA3NiIsImMiOjR9"/>
        <s v="https://app.powerbi.com/view?r=eyJrIjoiZDFmNjZkOGEtZmZjZS00NTVjLWFiYzgtN2M0NDQ0M2NiNmJjIiwidCI6IjhmYmFhNWJmLTJlY2MtNGRjOC1iNTZiLThmOTJlMzA3ZjA3NiIsImMiOjR9"/>
        <s v="https://app.powerbi.com/view?r=eyJrIjoiZjg1YTE4MDktYzFmNi00YjcyLWFlMWMtM2I5ZjhlOGZiNjM1IiwidCI6IjhmYmFhNWJmLTJlY2MtNGRjOC1iNTZiLThmOTJlMzA3ZjA3NiIsImMiOjR9"/>
        <s v="https://app.powerbi.com/view?r=eyJrIjoiYWFlYWExNTItZDc4YS00MmVlLThjYmQtZDE0Mjg4MDI4ZTZiIiwidCI6IjhmYmFhNWJmLTJlY2MtNGRjOC1iNTZiLThmOTJlMzA3ZjA3NiIsImMiOjR9"/>
        <s v="https://app.powerbi.com/view?r=eyJrIjoiNmQ4YjE5NzAtZjZhYy00NzMxLWI5MTAtNGM4YzQzZGIyNTgwIiwidCI6IjhmYmFhNWJmLTJlY2MtNGRjOC1iNTZiLThmOTJlMzA3ZjA3NiIsImMiOjR9&amp;pageName=ReportSection9386d36f00b3701c0c1d"/>
        <s v="https://app.powerbi.com/view?r=eyJrIjoiYjc2MjY2MjYtZDUyZS00MjUwLWI1MWItOTFkN2I5NzJhZWQzIiwidCI6IjhmYmFhNWJmLTJlY2MtNGRjOC1iNTZiLThmOTJlMzA3ZjA3NiIsImMiOjR9"/>
        <s v="https://app.powerbi.com/view?r=eyJrIjoiNjllOGM2MWUtZmRjNS00ZGRjLTk2NDEtYTQ4MDRiMWY3MTQ0IiwidCI6IjhmYmFhNWJmLTJlY2MtNGRjOC1iNTZiLThmOTJlMzA3ZjA3NiIsImMiOjR9"/>
        <s v="https://app.powerbi.com/view?r=eyJrIjoiYmM4NDNmZGQtNDEzMS00MzRkLWJiZWUtYjljYWE2MGU5NzgwIiwidCI6IjhmYmFhNWJmLTJlY2MtNGRjOC1iNTZiLThmOTJlMzA3ZjA3NiIsImMiOjR9"/>
        <s v="https://app.powerbi.com/view?r=eyJrIjoiOWVmOWU0YTYtZWY0NS00ZTZlLWJlMDMtYTMwNWVjOTU5YTNhIiwidCI6IjhmYmFhNWJmLTJlY2MtNGRjOC1iNTZiLThmOTJlMzA3ZjA3NiIsImMiOjR9"/>
        <s v="https://app.powerbi.com/view?r=eyJrIjoiZDhlM2ZjNDQtYjE2My00NmY3LWE5ZjktNjI2NGZkMDA0Njc3IiwidCI6IjhmYmFhNWJmLTJlY2MtNGRjOC1iNTZiLThmOTJlMzA3ZjA3NiIsImMiOjR9"/>
        <s v="https://analytics.zoho.com/open-view/2395394000007837327"/>
        <s v="https://analytics.zoho.com/open-view/2395394000007837543"/>
        <s v="https://analytics.zoho.com/open-view/2395394000007837090"/>
        <s v="https://analytics.zoho.com/open-view/2395394000007891846"/>
        <s v="https://analytics.zoho.com/open-view/2395394000008038511"/>
        <s v="https://analytics.zoho.com/open-view/2395394000008435674"/>
        <s v="https://analytics.zoho.com/open-view/2395394000008038797?ZOHO_CRITERIA=%225.1%20Empresas_Tama%C3%B1o%22.%22Cod_Regi%C3%B3n%22%3D1"/>
        <s v="https://analytics.zoho.com/open-view/2395394000008038797?ZOHO_CRITERIA=%225.1%20Empresas_Tama%C3%B1o%22.%22Cod_Regi%C3%B3n%22%3D2"/>
        <s v="https://analytics.zoho.com/open-view/2395394000008038797?ZOHO_CRITERIA=%225.1%20Empresas_Tama%C3%B1o%22.%22Cod_Regi%C3%B3n%22%3D3"/>
        <s v="https://analytics.zoho.com/open-view/2395394000008038797?ZOHO_CRITERIA=%225.1%20Empresas_Tama%C3%B1o%22.%22Cod_Regi%C3%B3n%22%3D4"/>
        <s v="https://analytics.zoho.com/open-view/2395394000008038797?ZOHO_CRITERIA=%225.1%20Empresas_Tama%C3%B1o%22.%22Cod_Regi%C3%B3n%22%3D5"/>
        <s v="https://analytics.zoho.com/open-view/2395394000008038797?ZOHO_CRITERIA=%225.1%20Empresas_Tama%C3%B1o%22.%22Cod_Regi%C3%B3n%22%3D6"/>
        <s v="https://analytics.zoho.com/open-view/2395394000008038797?ZOHO_CRITERIA=%225.1%20Empresas_Tama%C3%B1o%22.%22Cod_Regi%C3%B3n%22%3D7"/>
        <s v="https://analytics.zoho.com/open-view/2395394000008038797?ZOHO_CRITERIA=%225.1%20Empresas_Tama%C3%B1o%22.%22Cod_Regi%C3%B3n%22%3D8"/>
        <s v="https://analytics.zoho.com/open-view/2395394000008038797?ZOHO_CRITERIA=%225.1%20Empresas_Tama%C3%B1o%22.%22Cod_Regi%C3%B3n%22%3D9"/>
        <s v="https://analytics.zoho.com/open-view/2395394000008038797?ZOHO_CRITERIA=%225.1%20Empresas_Tama%C3%B1o%22.%22Cod_Regi%C3%B3n%22%3D10"/>
        <s v="https://analytics.zoho.com/open-view/2395394000008038797?ZOHO_CRITERIA=%225.1%20Empresas_Tama%C3%B1o%22.%22Cod_Regi%C3%B3n%22%3D11"/>
        <s v="https://analytics.zoho.com/open-view/2395394000008038797?ZOHO_CRITERIA=%225.1%20Empresas_Tama%C3%B1o%22.%22Cod_Regi%C3%B3n%22%3D12"/>
        <s v="https://analytics.zoho.com/open-view/2395394000008038797?ZOHO_CRITERIA=%225.1%20Empresas_Tama%C3%B1o%22.%22Cod_Regi%C3%B3n%22%3D13"/>
        <s v="https://analytics.zoho.com/open-view/2395394000008038797?ZOHO_CRITERIA=%225.1%20Empresas_Tama%C3%B1o%22.%22Cod_Regi%C3%B3n%22%3D14"/>
        <s v="https://analytics.zoho.com/open-view/2395394000008038797?ZOHO_CRITERIA=%225.1%20Empresas_Tama%C3%B1o%22.%22Cod_Regi%C3%B3n%22%3D15"/>
        <s v="https://analytics.zoho.com/open-view/2395394000008038797?ZOHO_CRITERIA=%225.1%20Empresas_Tama%C3%B1o%22.%22Cod_Regi%C3%B3n%22%3D16"/>
        <s v="https://analytics.zoho.com/open-view/2395394000007908466"/>
        <s v="https://analytics.zoho.com/open-view/2395394000007908947"/>
        <s v="https://analytics.zoho.com/open-view/2395394000007832763"/>
        <s v="https://analytics.zoho.com/open-view/2395394000007849686"/>
        <s v="https://analytics.zoho.com/open-view/2395394000007849604"/>
        <s v="https://analytics.zoho.com/open-view/2395394000007774595"/>
        <s v="https://analytics.zoho.com/open-view/2395394000006644987"/>
        <s v="https://public.flourish.studio/visualisation/6688416/"/>
        <s v="https://app.powerbi.com/view?r=eyJrIjoiOTYzMmNhMzUtZjhhZi00ZWU2LTgwMGQtZGJmMjk4MGE3YzE3IiwidCI6IjhmYmFhNWJmLTJlY2MtNGRjOC1iNTZiLThmOTJlMzA3ZjA3NiIsImMiOjR9"/>
        <s v="https://analytics.zoho.com/open-view/2395394000008117468"/>
        <s v="https://analytics.zoho.com/open-view/2395394000008117468?ZOHO_CRITERIA=%22Localiza_CL_Poblacion%22.%22Codreg%22%3D1"/>
        <s v="https://analytics.zoho.com/open-view/2395394000008117468?ZOHO_CRITERIA=%22Localiza_CL_Poblacion%22.%22Codreg%22%3D2"/>
        <s v="https://analytics.zoho.com/open-view/2395394000008117468?ZOHO_CRITERIA=%22Localiza_CL_Poblacion%22.%22Codreg%22%3D3"/>
        <s v="https://analytics.zoho.com/open-view/2395394000008117468?ZOHO_CRITERIA=%22Localiza_CL_Poblacion%22.%22Codreg%22%3D4"/>
        <s v="https://analytics.zoho.com/open-view/2395394000008117468?ZOHO_CRITERIA=%22Localiza_CL_Poblacion%22.%22Codreg%22%3D5"/>
        <s v="https://analytics.zoho.com/open-view/2395394000008117468?ZOHO_CRITERIA=%22Localiza_CL_Poblacion%22.%22Codreg%22%3D6"/>
        <s v="https://analytics.zoho.com/open-view/2395394000008117468?ZOHO_CRITERIA=%22Localiza_CL_Poblacion%22.%22Codreg%22%3D7"/>
        <s v="https://analytics.zoho.com/open-view/2395394000008117468?ZOHO_CRITERIA=%22Localiza_CL_Poblacion%22.%22Codreg%22%3D8"/>
        <s v="https://analytics.zoho.com/open-view/2395394000008117468?ZOHO_CRITERIA=%22Localiza_CL_Poblacion%22.%22Codreg%22%3D9"/>
        <s v="https://analytics.zoho.com/open-view/2395394000008117468?ZOHO_CRITERIA=%22Localiza_CL_Poblacion%22.%22Codreg%22%3D10"/>
        <s v="https://analytics.zoho.com/open-view/2395394000008117468?ZOHO_CRITERIA=%22Localiza_CL_Poblacion%22.%22Codreg%22%3D11"/>
        <s v="https://analytics.zoho.com/open-view/2395394000008117468?ZOHO_CRITERIA=%22Localiza_CL_Poblacion%22.%22Codreg%22%3D12"/>
        <s v="https://analytics.zoho.com/open-view/2395394000008117468?ZOHO_CRITERIA=%22Localiza_CL_Poblacion%22.%22Codreg%22%3D13"/>
        <s v="https://analytics.zoho.com/open-view/2395394000008117468?ZOHO_CRITERIA=%22Localiza_CL_Poblacion%22.%22Codreg%22%3D14"/>
        <s v="https://analytics.zoho.com/open-view/2395394000008117468?ZOHO_CRITERIA=%22Localiza_CL_Poblacion%22.%22Codreg%22%3D15"/>
        <s v="https://analytics.zoho.com/open-view/2395394000008117468?ZOHO_CRITERIA=%22Localiza_CL_Poblacion%22.%22Codreg%22%3D16"/>
        <s v="https://analytics.zoho.com/open-view/2395394000007908748"/>
        <s v="https://analytics.zoho.com/open-view/2395394000007946692"/>
        <s v="https://analytics.zoho.com/open-view/2395394000007990413?ZOHO_CRITERIA=%22Localiza%20CL%22.%22Codreg%22%3D1"/>
        <s v="https://analytics.zoho.com/open-view/2395394000007990413?ZOHO_CRITERIA=%22Localiza%20CL%22.%22Codreg%22%3D2"/>
        <s v="https://analytics.zoho.com/open-view/2395394000007990413?ZOHO_CRITERIA=%22Localiza%20CL%22.%22Codreg%22%3D3"/>
        <s v="https://analytics.zoho.com/open-view/2395394000007990413?ZOHO_CRITERIA=%22Localiza%20CL%22.%22Codreg%22%3D4"/>
        <s v="https://analytics.zoho.com/open-view/2395394000007990413?ZOHO_CRITERIA=%22Localiza%20CL%22.%22Codreg%22%3D5"/>
        <s v="https://analytics.zoho.com/open-view/2395394000007990413?ZOHO_CRITERIA=%22Localiza%20CL%22.%22Codreg%22%3D6"/>
        <s v="https://analytics.zoho.com/open-view/2395394000007990413?ZOHO_CRITERIA=%22Localiza%20CL%22.%22Codreg%22%3D7"/>
        <s v="https://analytics.zoho.com/open-view/2395394000007990413?ZOHO_CRITERIA=%22Localiza%20CL%22.%22Codreg%22%3D8"/>
        <s v="https://analytics.zoho.com/open-view/2395394000007990413?ZOHO_CRITERIA=%22Localiza%20CL%22.%22Codreg%22%3D9"/>
        <s v="https://analytics.zoho.com/open-view/2395394000007990413?ZOHO_CRITERIA=%22Localiza%20CL%22.%22Codreg%22%3D10"/>
        <s v="https://analytics.zoho.com/open-view/2395394000007990413?ZOHO_CRITERIA=%22Localiza%20CL%22.%22Codreg%22%3D11"/>
        <s v="https://analytics.zoho.com/open-view/2395394000007990413?ZOHO_CRITERIA=%22Localiza%20CL%22.%22Codreg%22%3D12"/>
        <s v="https://analytics.zoho.com/open-view/2395394000007990413?ZOHO_CRITERIA=%22Localiza%20CL%22.%22Codreg%22%3D13"/>
        <s v="https://analytics.zoho.com/open-view/2395394000007990413?ZOHO_CRITERIA=%22Localiza%20CL%22.%22Codreg%22%3D14"/>
        <s v="https://analytics.zoho.com/open-view/2395394000007990413?ZOHO_CRITERIA=%22Localiza%20CL%22.%22Codreg%22%3D15"/>
        <s v="https://analytics.zoho.com/open-view/2395394000007990413?ZOHO_CRITERIA=%22Localiza%20CL%22.%22Codreg%22%3D16"/>
        <s v="https://analytics.zoho.com/open-view/2395394000007959800"/>
        <s v="https://analytics.zoho.com/open-view/2395394000007946934"/>
        <s v="https://public.flourish.studio/visualisation/6691988/"/>
        <s v="https://analytics.zoho.com/open-view/2395394000008038558"/>
        <s v="https://analytics.zoho.com/open-view/2395394000008435819?ZOHO_CRITERIA=%225.1%20Empresas_Tama%C3%B1o%22.%22Cod_Regi%C3%B3n%22%3D1"/>
        <s v="https://analytics.zoho.com/open-view/2395394000008435819?ZOHO_CRITERIA=%225.1%20Empresas_Tama%C3%B1o%22.%22Cod_Regi%C3%B3n%22%3D2"/>
        <s v="https://analytics.zoho.com/open-view/2395394000008435819?ZOHO_CRITERIA=%225.1%20Empresas_Tama%C3%B1o%22.%22Cod_Regi%C3%B3n%22%3D3"/>
        <s v="https://analytics.zoho.com/open-view/2395394000008435819?ZOHO_CRITERIA=%225.1%20Empresas_Tama%C3%B1o%22.%22Cod_Regi%C3%B3n%22%3D4"/>
        <s v="https://analytics.zoho.com/open-view/2395394000008435819?ZOHO_CRITERIA=%225.1%20Empresas_Tama%C3%B1o%22.%22Cod_Regi%C3%B3n%22%3D5"/>
        <s v="https://analytics.zoho.com/open-view/2395394000008435819?ZOHO_CRITERIA=%225.1%20Empresas_Tama%C3%B1o%22.%22Cod_Regi%C3%B3n%22%3D6"/>
        <s v="https://analytics.zoho.com/open-view/2395394000008435819?ZOHO_CRITERIA=%225.1%20Empresas_Tama%C3%B1o%22.%22Cod_Regi%C3%B3n%22%3D7"/>
        <s v="https://analytics.zoho.com/open-view/2395394000008435819?ZOHO_CRITERIA=%225.1%20Empresas_Tama%C3%B1o%22.%22Cod_Regi%C3%B3n%22%3D8"/>
        <s v="https://analytics.zoho.com/open-view/2395394000008435819?ZOHO_CRITERIA=%225.1%20Empresas_Tama%C3%B1o%22.%22Cod_Regi%C3%B3n%22%3D9"/>
        <s v="https://analytics.zoho.com/open-view/2395394000008435819?ZOHO_CRITERIA=%225.1%20Empresas_Tama%C3%B1o%22.%22Cod_Regi%C3%B3n%22%3D10"/>
        <s v="https://analytics.zoho.com/open-view/2395394000008435819?ZOHO_CRITERIA=%225.1%20Empresas_Tama%C3%B1o%22.%22Cod_Regi%C3%B3n%22%3D11"/>
        <s v="https://analytics.zoho.com/open-view/2395394000008435819?ZOHO_CRITERIA=%225.1%20Empresas_Tama%C3%B1o%22.%22Cod_Regi%C3%B3n%22%3D12"/>
        <s v="https://analytics.zoho.com/open-view/2395394000008435819?ZOHO_CRITERIA=%225.1%20Empresas_Tama%C3%B1o%22.%22Cod_Regi%C3%B3n%22%3D13"/>
        <s v="https://analytics.zoho.com/open-view/2395394000008435819?ZOHO_CRITERIA=%225.1%20Empresas_Tama%C3%B1o%22.%22Cod_Regi%C3%B3n%22%3D14"/>
        <s v="https://analytics.zoho.com/open-view/2395394000008435819?ZOHO_CRITERIA=%225.1%20Empresas_Tama%C3%B1o%22.%22Cod_Regi%C3%B3n%22%3D15"/>
        <s v="https://analytics.zoho.com/open-view/2395394000008435819?ZOHO_CRITERIA=%225.1%20Empresas_Tama%C3%B1o%22.%22Cod_Regi%C3%B3n%22%3D16"/>
        <s v="https://analytics.zoho.com/open-view/2395394000008435942"/>
        <s v="https://analytics.zoho.com/open-view/2395394000008038636?ZOHO_CRITERIA=%225.1%20Empresas_Tama%C3%B1o%22.%22Cod_Regi%C3%B3n%22%3D1"/>
        <s v="https://analytics.zoho.com/open-view/2395394000008038636?ZOHO_CRITERIA=%225.1%20Empresas_Tama%C3%B1o%22.%22Cod_Regi%C3%B3n%22%3D2"/>
        <s v="https://analytics.zoho.com/open-view/2395394000008038636?ZOHO_CRITERIA=%225.1%20Empresas_Tama%C3%B1o%22.%22Cod_Regi%C3%B3n%22%3D3"/>
        <s v="https://analytics.zoho.com/open-view/2395394000008038636?ZOHO_CRITERIA=%225.1%20Empresas_Tama%C3%B1o%22.%22Cod_Regi%C3%B3n%22%3D4"/>
        <s v="https://analytics.zoho.com/open-view/2395394000008038636?ZOHO_CRITERIA=%225.1%20Empresas_Tama%C3%B1o%22.%22Cod_Regi%C3%B3n%22%3D5"/>
        <s v="https://analytics.zoho.com/open-view/2395394000008038636?ZOHO_CRITERIA=%225.1%20Empresas_Tama%C3%B1o%22.%22Cod_Regi%C3%B3n%22%3D6"/>
        <s v="https://analytics.zoho.com/open-view/2395394000008038636?ZOHO_CRITERIA=%225.1%20Empresas_Tama%C3%B1o%22.%22Cod_Regi%C3%B3n%22%3D7"/>
        <s v="https://analytics.zoho.com/open-view/2395394000008038636?ZOHO_CRITERIA=%225.1%20Empresas_Tama%C3%B1o%22.%22Cod_Regi%C3%B3n%22%3D8"/>
        <s v="https://analytics.zoho.com/open-view/2395394000008038636?ZOHO_CRITERIA=%225.1%20Empresas_Tama%C3%B1o%22.%22Cod_Regi%C3%B3n%22%3D9"/>
        <s v="https://analytics.zoho.com/open-view/2395394000008038636?ZOHO_CRITERIA=%225.1%20Empresas_Tama%C3%B1o%22.%22Cod_Regi%C3%B3n%22%3D10"/>
        <s v="https://analytics.zoho.com/open-view/2395394000008038636?ZOHO_CRITERIA=%225.1%20Empresas_Tama%C3%B1o%22.%22Cod_Regi%C3%B3n%22%3D11"/>
        <s v="https://analytics.zoho.com/open-view/2395394000008038636?ZOHO_CRITERIA=%225.1%20Empresas_Tama%C3%B1o%22.%22Cod_Regi%C3%B3n%22%3D12"/>
        <s v="https://analytics.zoho.com/open-view/2395394000008038636?ZOHO_CRITERIA=%225.1%20Empresas_Tama%C3%B1o%22.%22Cod_Regi%C3%B3n%22%3D13"/>
        <s v="https://analytics.zoho.com/open-view/2395394000008038636?ZOHO_CRITERIA=%225.1%20Empresas_Tama%C3%B1o%22.%22Cod_Regi%C3%B3n%22%3D14"/>
        <s v="https://analytics.zoho.com/open-view/2395394000008038636?ZOHO_CRITERIA=%225.1%20Empresas_Tama%C3%B1o%22.%22Cod_Regi%C3%B3n%22%3D15"/>
        <s v="https://analytics.zoho.com/open-view/2395394000008038636?ZOHO_CRITERIA=%225.1%20Empresas_Tama%C3%B1o%22.%22Cod_Regi%C3%B3n%22%3D16"/>
        <s v="https://analytics.zoho.com/open-view/2395394000008438077"/>
        <s v="https://analytics.zoho.com/open-view/2395394000008039000?ZOHO_CRITERIA=%225.1%20Empresas_Tama%C3%B1o%22.%22Cod_Regi%C3%B3n%22%3D1"/>
        <s v="https://analytics.zoho.com/open-view/2395394000008039000?ZOHO_CRITERIA=%225.1%20Empresas_Tama%C3%B1o%22.%22Cod_Regi%C3%B3n%22%3D2"/>
        <s v="https://analytics.zoho.com/open-view/2395394000008039000?ZOHO_CRITERIA=%225.1%20Empresas_Tama%C3%B1o%22.%22Cod_Regi%C3%B3n%22%3D3"/>
        <s v="https://analytics.zoho.com/open-view/2395394000008039000?ZOHO_CRITERIA=%225.1%20Empresas_Tama%C3%B1o%22.%22Cod_Regi%C3%B3n%22%3D4"/>
        <s v="https://analytics.zoho.com/open-view/2395394000008039000?ZOHO_CRITERIA=%225.1%20Empresas_Tama%C3%B1o%22.%22Cod_Regi%C3%B3n%22%3D5"/>
        <s v="https://analytics.zoho.com/open-view/2395394000008039000?ZOHO_CRITERIA=%225.1%20Empresas_Tama%C3%B1o%22.%22Cod_Regi%C3%B3n%22%3D6"/>
        <s v="https://analytics.zoho.com/open-view/2395394000008039000?ZOHO_CRITERIA=%225.1%20Empresas_Tama%C3%B1o%22.%22Cod_Regi%C3%B3n%22%3D7"/>
        <s v="https://analytics.zoho.com/open-view/2395394000008039000?ZOHO_CRITERIA=%225.1%20Empresas_Tama%C3%B1o%22.%22Cod_Regi%C3%B3n%22%3D8"/>
        <s v="https://analytics.zoho.com/open-view/2395394000008039000?ZOHO_CRITERIA=%225.1%20Empresas_Tama%C3%B1o%22.%22Cod_Regi%C3%B3n%22%3D9"/>
        <s v="https://analytics.zoho.com/open-view/2395394000008039000?ZOHO_CRITERIA=%225.1%20Empresas_Tama%C3%B1o%22.%22Cod_Regi%C3%B3n%22%3D10"/>
        <s v="https://analytics.zoho.com/open-view/2395394000008039000?ZOHO_CRITERIA=%225.1%20Empresas_Tama%C3%B1o%22.%22Cod_Regi%C3%B3n%22%3D11"/>
        <s v="https://analytics.zoho.com/open-view/2395394000008039000?ZOHO_CRITERIA=%225.1%20Empresas_Tama%C3%B1o%22.%22Cod_Regi%C3%B3n%22%3D12"/>
        <s v="https://analytics.zoho.com/open-view/2395394000008039000?ZOHO_CRITERIA=%225.1%20Empresas_Tama%C3%B1o%22.%22Cod_Regi%C3%B3n%22%3D13"/>
        <s v="https://analytics.zoho.com/open-view/2395394000008039000?ZOHO_CRITERIA=%225.1%20Empresas_Tama%C3%B1o%22.%22Cod_Regi%C3%B3n%22%3D14"/>
        <s v="https://analytics.zoho.com/open-view/2395394000008039000?ZOHO_CRITERIA=%225.1%20Empresas_Tama%C3%B1o%22.%22Cod_Regi%C3%B3n%22%3D15"/>
        <s v="https://analytics.zoho.com/open-view/2395394000008039000?ZOHO_CRITERIA=%225.1%20Empresas_Tama%C3%B1o%22.%22Cod_Regi%C3%B3n%22%3D16"/>
        <s v="https://analytics.zoho.com/open-view/2395394000008043046"/>
        <s v="https://analytics.zoho.com/open-view/2395394000007900622"/>
        <s v="https://analytics.zoho.com/open-view/2395394000007906094"/>
        <s v="https://analytics.zoho.com/open-view/2395394000007972705"/>
        <s v="https://analytics.zoho.com/open-view/2395394000008027347"/>
        <s v="https://analytics.zoho.com/open-view/2395394000008532437"/>
        <s v="https://analytics.zoho.com/open-view/2395394000008438205?ZOHO_CRITERIA=%22Rubros_Todo%22.%22Id_Regi%C3%B3n%22%3D1"/>
        <s v="https://analytics.zoho.com/open-view/2395394000008438205?ZOHO_CRITERIA=%22Rubros_Todo%22.%22Id_Regi%C3%B3n%22%3D2"/>
        <s v="https://analytics.zoho.com/open-view/2395394000008438205?ZOHO_CRITERIA=%22Rubros_Todo%22.%22Id_Regi%C3%B3n%22%3D3"/>
        <s v="https://analytics.zoho.com/open-view/2395394000008438205?ZOHO_CRITERIA=%22Rubros_Todo%22.%22Id_Regi%C3%B3n%22%3D4"/>
        <s v="https://analytics.zoho.com/open-view/2395394000008438205?ZOHO_CRITERIA=%22Rubros_Todo%22.%22Id_Regi%C3%B3n%22%3D5"/>
        <s v="https://analytics.zoho.com/open-view/2395394000008438205?ZOHO_CRITERIA=%22Rubros_Todo%22.%22Id_Regi%C3%B3n%22%3D6"/>
        <s v="https://analytics.zoho.com/open-view/2395394000008438205?ZOHO_CRITERIA=%22Rubros_Todo%22.%22Id_Regi%C3%B3n%22%3D7"/>
        <s v="https://analytics.zoho.com/open-view/2395394000008438205?ZOHO_CRITERIA=%22Rubros_Todo%22.%22Id_Regi%C3%B3n%22%3D8"/>
        <s v="https://analytics.zoho.com/open-view/2395394000008438205?ZOHO_CRITERIA=%22Rubros_Todo%22.%22Id_Regi%C3%B3n%22%3D9"/>
        <s v="https://analytics.zoho.com/open-view/2395394000008438205?ZOHO_CRITERIA=%22Rubros_Todo%22.%22Id_Regi%C3%B3n%22%3D10"/>
        <s v="https://analytics.zoho.com/open-view/2395394000008438205?ZOHO_CRITERIA=%22Rubros_Todo%22.%22Id_Regi%C3%B3n%22%3D11"/>
        <s v="https://analytics.zoho.com/open-view/2395394000008438205?ZOHO_CRITERIA=%22Rubros_Todo%22.%22Id_Regi%C3%B3n%22%3D12"/>
        <s v="https://analytics.zoho.com/open-view/2395394000008438205?ZOHO_CRITERIA=%22Rubros_Todo%22.%22Id_Regi%C3%B3n%22%3D13"/>
        <s v="https://analytics.zoho.com/open-view/2395394000008438205?ZOHO_CRITERIA=%22Rubros_Todo%22.%22Id_Regi%C3%B3n%22%3D14"/>
        <s v="https://analytics.zoho.com/open-view/2395394000008438205?ZOHO_CRITERIA=%22Rubros_Todo%22.%22Id_Regi%C3%B3n%22%3D15"/>
        <s v="https://analytics.zoho.com/open-view/2395394000008438205?ZOHO_CRITERIA=%22Rubros_Todo%22.%22Id_Regi%C3%B3n%22%3D16"/>
        <s v="https://analytics.zoho.com/open-view/2395394000008025748"/>
        <s v="https://analytics.zoho.com/open-view/2395394000008034444"/>
        <s v="https://analytics.zoho.com/open-view/2395394000008389657?ZOHO_CRITERIA=%22Localiza%20CL%22.%22Codreg%22%20%3D%201"/>
        <s v="https://analytics.zoho.com/open-view/2395394000008389657?ZOHO_CRITERIA=%22Localiza%20CL%22.%22Codreg%22%20%3D%202"/>
        <s v="https://analytics.zoho.com/open-view/2395394000008389657?ZOHO_CRITERIA=%22Localiza%20CL%22.%22Codreg%22%20%3D%203"/>
        <s v="https://analytics.zoho.com/open-view/2395394000008389657?ZOHO_CRITERIA=%22Localiza%20CL%22.%22Codreg%22%20%3D%204"/>
        <s v="https://analytics.zoho.com/open-view/2395394000008389657?ZOHO_CRITERIA=%22Localiza%20CL%22.%22Codreg%22%20%3D%205"/>
        <s v="https://analytics.zoho.com/open-view/2395394000008389657?ZOHO_CRITERIA=%22Localiza%20CL%22.%22Codreg%22%20%3D%206"/>
        <s v="https://analytics.zoho.com/open-view/2395394000008389657?ZOHO_CRITERIA=%22Localiza%20CL%22.%22Codreg%22%20%3D%207"/>
        <s v="https://analytics.zoho.com/open-view/2395394000008389657?ZOHO_CRITERIA=%22Localiza%20CL%22.%22Codreg%22%20%3D%208"/>
        <s v="https://analytics.zoho.com/open-view/2395394000008389657?ZOHO_CRITERIA=%22Localiza%20CL%22.%22Codreg%22%20%3D%209"/>
        <s v="https://analytics.zoho.com/open-view/2395394000008389657?ZOHO_CRITERIA=%22Localiza%20CL%22.%22Codreg%22%20%3D%2010"/>
        <s v="https://analytics.zoho.com/open-view/2395394000008389657?ZOHO_CRITERIA=%22Localiza%20CL%22.%22Codreg%22%20%3D%2011"/>
        <s v="https://analytics.zoho.com/open-view/2395394000008389657?ZOHO_CRITERIA=%22Localiza%20CL%22.%22Codreg%22%20%3D%2012"/>
        <s v="https://analytics.zoho.com/open-view/2395394000008389657?ZOHO_CRITERIA=%22Localiza%20CL%22.%22Codreg%22%20%3D%2013"/>
        <s v="https://analytics.zoho.com/open-view/2395394000008389657?ZOHO_CRITERIA=%22Localiza%20CL%22.%22Codreg%22%20%3D%2014"/>
        <s v="https://analytics.zoho.com/open-view/2395394000008389657?ZOHO_CRITERIA=%22Localiza%20CL%22.%22Codreg%22%20%3D%2015"/>
        <s v="https://analytics.zoho.com/open-view/2395394000008389657?ZOHO_CRITERIA=%22Localiza%20CL%22.%22Codreg%22%20%3D%2016"/>
        <s v="https://analytics.zoho.com/open-view/2395394000008034280"/>
        <s v="https://infogram.com/incendios-2010-2020-1h1749vvopnyq6z?live"/>
        <s v="https://app.powerbi.com/view?r=eyJrIjoiMzMzOTNiMzAtNWQzYy00YWRjLWFkZjEtODJlNGU0ODlkZmNmIiwidCI6IjhmYmFhNWJmLTJlY2MtNGRjOC1iNTZiLThmOTJlMzA3ZjA3NiIsImMiOjR9&amp;pageName=ReportSection08bca2e0063b013060ea"/>
        <s v="https://app.powerbi.com/view?r=eyJrIjoiNjMzYThjMGUtNjRjNy00OTM5LTgxOGEtNTk0YzE5MWU3M2YxIiwidCI6IjhmYmFhNWJmLTJlY2MtNGRjOC1iNTZiLThmOTJlMzA3ZjA3NiIsImMiOjR9"/>
        <s v="https://app.powerbi.com/view?r=eyJrIjoiYTI3ZjVjZDMtZGI1My00ZmI2LWIzNTQtZTEzYTg0OTBiOTJhIiwidCI6IjhmYmFhNWJmLTJlY2MtNGRjOC1iNTZiLThmOTJlMzA3ZjA3NiIsImMiOjR9&amp;pageName=ReportSectiond48f98dfacc7e0670cf6"/>
        <m/>
        <s v="https://app.powerbi.com/view?r=eyJrIjoiZmYzNzdjZDQtZGYyZS00MTVhLThmMDYtNjY2ZTA0YjIwOGM0IiwidCI6IjhmYmFhNWJmLTJlY2MtNGRjOC1iNTZiLThmOTJlMzA3ZjA3NiIsImMiOjR9"/>
        <s v="https://app.powerbi.com/view?r=eyJrIjoiNzk5ZjYxMTUtMTIwZi00NWEwLTk4NzUtZWZmYmFlOTk2ODljIiwidCI6IjhmYmFhNWJmLTJlY2MtNGRjOC1iNTZiLThmOTJlMzA3ZjA3NiIsImMiOjR9"/>
        <s v="https://analytics.zoho.com/open-view/2395394000008461061"/>
        <s v="https://analytics.zoho.com/open-view/2395394000008062255?ZOHO_CRITERIA=%22Directorio_Todo%22.%22Cod_Regi%C3%B3n%22%3D1"/>
        <s v="https://analytics.zoho.com/open-view/2395394000008062255?ZOHO_CRITERIA=%22Directorio_Todo%22.%22Cod_Regi%C3%B3n%22%3D2"/>
        <s v="https://analytics.zoho.com/open-view/2395394000008062255?ZOHO_CRITERIA=%22Directorio_Todo%22.%22Cod_Regi%C3%B3n%22%3D3"/>
        <s v="https://analytics.zoho.com/open-view/2395394000008062255?ZOHO_CRITERIA=%22Directorio_Todo%22.%22Cod_Regi%C3%B3n%22%3D4"/>
        <s v="https://analytics.zoho.com/open-view/2395394000008062255?ZOHO_CRITERIA=%22Directorio_Todo%22.%22Cod_Regi%C3%B3n%22%3D5"/>
        <s v="https://analytics.zoho.com/open-view/2395394000008062255?ZOHO_CRITERIA=%22Directorio_Todo%22.%22Cod_Regi%C3%B3n%22%3D6"/>
        <s v="https://analytics.zoho.com/open-view/2395394000008062255?ZOHO_CRITERIA=%22Directorio_Todo%22.%22Cod_Regi%C3%B3n%22%3D7"/>
        <s v="https://analytics.zoho.com/open-view/2395394000008062255?ZOHO_CRITERIA=%22Directorio_Todo%22.%22Cod_Regi%C3%B3n%22%3D8"/>
        <s v="https://analytics.zoho.com/open-view/2395394000008062255?ZOHO_CRITERIA=%22Directorio_Todo%22.%22Cod_Regi%C3%B3n%22%3D9"/>
        <s v="https://analytics.zoho.com/open-view/2395394000008062255?ZOHO_CRITERIA=%22Directorio_Todo%22.%22Cod_Regi%C3%B3n%22%3D10"/>
        <s v="https://analytics.zoho.com/open-view/2395394000008062255?ZOHO_CRITERIA=%22Directorio_Todo%22.%22Cod_Regi%C3%B3n%22%3D11"/>
        <s v="https://analytics.zoho.com/open-view/2395394000008062255?ZOHO_CRITERIA=%22Directorio_Todo%22.%22Cod_Regi%C3%B3n%22%3D12"/>
        <s v="https://analytics.zoho.com/open-view/2395394000008062255?ZOHO_CRITERIA=%22Directorio_Todo%22.%22Cod_Regi%C3%B3n%22%3D13"/>
        <s v="https://analytics.zoho.com/open-view/2395394000008062255?ZOHO_CRITERIA=%22Directorio_Todo%22.%22Cod_Regi%C3%B3n%22%3D14"/>
        <s v="https://analytics.zoho.com/open-view/2395394000008062255?ZOHO_CRITERIA=%22Directorio_Todo%22.%22Cod_Regi%C3%B3n%22%3D15"/>
        <s v="https://analytics.zoho.com/open-view/2395394000008062255?ZOHO_CRITERIA=%22Directorio_Todo%22.%22Cod_Regi%C3%B3n%22%3D16"/>
        <s v="https://analytics.zoho.com/open-view/2395394000008461297"/>
        <s v="https://analytics.zoho.com/open-view/2395394000008062434?ZOHO_CRITERIA=%22Directorio_Todo%22.%22Cod_Regi%C3%B3n%22%3D1"/>
        <s v="https://analytics.zoho.com/open-view/2395394000008062434?ZOHO_CRITERIA=%22Directorio_Todo%22.%22Cod_Regi%C3%B3n%22%3D2"/>
        <s v="https://analytics.zoho.com/open-view/2395394000008062434?ZOHO_CRITERIA=%22Directorio_Todo%22.%22Cod_Regi%C3%B3n%22%3D3"/>
        <s v="https://analytics.zoho.com/open-view/2395394000008062434?ZOHO_CRITERIA=%22Directorio_Todo%22.%22Cod_Regi%C3%B3n%22%3D4"/>
        <s v="https://analytics.zoho.com/open-view/2395394000008062434?ZOHO_CRITERIA=%22Directorio_Todo%22.%22Cod_Regi%C3%B3n%22%3D5"/>
        <s v="https://analytics.zoho.com/open-view/2395394000008062434?ZOHO_CRITERIA=%22Directorio_Todo%22.%22Cod_Regi%C3%B3n%22%3D6"/>
        <s v="https://analytics.zoho.com/open-view/2395394000008062434?ZOHO_CRITERIA=%22Directorio_Todo%22.%22Cod_Regi%C3%B3n%22%3D7"/>
        <s v="https://analytics.zoho.com/open-view/2395394000008062434?ZOHO_CRITERIA=%22Directorio_Todo%22.%22Cod_Regi%C3%B3n%22%3D8"/>
        <s v="https://analytics.zoho.com/open-view/2395394000008062434?ZOHO_CRITERIA=%22Directorio_Todo%22.%22Cod_Regi%C3%B3n%22%3D9"/>
        <s v="https://analytics.zoho.com/open-view/2395394000008062434?ZOHO_CRITERIA=%22Directorio_Todo%22.%22Cod_Regi%C3%B3n%22%3D10"/>
        <s v="https://analytics.zoho.com/open-view/2395394000008062434?ZOHO_CRITERIA=%22Directorio_Todo%22.%22Cod_Regi%C3%B3n%22%3D11"/>
        <s v="https://analytics.zoho.com/open-view/2395394000008062434?ZOHO_CRITERIA=%22Directorio_Todo%22.%22Cod_Regi%C3%B3n%22%3D12"/>
        <s v="https://analytics.zoho.com/open-view/2395394000008062434?ZOHO_CRITERIA=%22Directorio_Todo%22.%22Cod_Regi%C3%B3n%22%3D13"/>
        <s v="https://analytics.zoho.com/open-view/2395394000008062434?ZOHO_CRITERIA=%22Directorio_Todo%22.%22Cod_Regi%C3%B3n%22%3D14"/>
        <s v="https://analytics.zoho.com/open-view/2395394000008062434?ZOHO_CRITERIA=%22Directorio_Todo%22.%22Cod_Regi%C3%B3n%22%3D15"/>
        <s v="https://analytics.zoho.com/open-view/2395394000008062434?ZOHO_CRITERIA=%22Directorio_Todo%22.%22Cod_Regi%C3%B3n%22%3D16"/>
        <s v="https://analytics.zoho.com/open-view/2395394000008049492"/>
        <s v="https://analytics.zoho.com/open-view/2395394000008389806?ZOHO_CRITERIA=%22Localiza%20CL%22.%22Codreg%22%20%3D%201"/>
        <s v="https://analytics.zoho.com/open-view/2395394000008389806?ZOHO_CRITERIA=%22Localiza%20CL%22.%22Codreg%22%20%3D%202"/>
        <s v="https://analytics.zoho.com/open-view/2395394000008389806?ZOHO_CRITERIA=%22Localiza%20CL%22.%22Codreg%22%20%3D%203"/>
        <s v="https://analytics.zoho.com/open-view/2395394000008389806?ZOHO_CRITERIA=%22Localiza%20CL%22.%22Codreg%22%20%3D%204"/>
        <s v="https://analytics.zoho.com/open-view/2395394000008389806?ZOHO_CRITERIA=%22Localiza%20CL%22.%22Codreg%22%20%3D%205"/>
        <s v="https://analytics.zoho.com/open-view/2395394000008389806?ZOHO_CRITERIA=%22Localiza%20CL%22.%22Codreg%22%20%3D%206"/>
        <s v="https://analytics.zoho.com/open-view/2395394000008389806?ZOHO_CRITERIA=%22Localiza%20CL%22.%22Codreg%22%20%3D%207"/>
        <s v="https://analytics.zoho.com/open-view/2395394000008389806?ZOHO_CRITERIA=%22Localiza%20CL%22.%22Codreg%22%20%3D%208"/>
        <s v="https://analytics.zoho.com/open-view/2395394000008389806?ZOHO_CRITERIA=%22Localiza%20CL%22.%22Codreg%22%20%3D%209"/>
        <s v="https://analytics.zoho.com/open-view/2395394000008389806?ZOHO_CRITERIA=%22Localiza%20CL%22.%22Codreg%22%20%3D%2010"/>
        <s v="https://analytics.zoho.com/open-view/2395394000008389806?ZOHO_CRITERIA=%22Localiza%20CL%22.%22Codreg%22%20%3D%2011"/>
        <s v="https://analytics.zoho.com/open-view/2395394000008389806?ZOHO_CRITERIA=%22Localiza%20CL%22.%22Codreg%22%20%3D%2012"/>
        <s v="https://analytics.zoho.com/open-view/2395394000008389806?ZOHO_CRITERIA=%22Localiza%20CL%22.%22Codreg%22%20%3D%2013"/>
        <s v="https://analytics.zoho.com/open-view/2395394000008389806?ZOHO_CRITERIA=%22Localiza%20CL%22.%22Codreg%22%20%3D%2014"/>
        <s v="https://analytics.zoho.com/open-view/2395394000008389806?ZOHO_CRITERIA=%22Localiza%20CL%22.%22Codreg%22%20%3D%2015"/>
        <s v="https://analytics.zoho.com/open-view/2395394000008389806?ZOHO_CRITERIA=%22Localiza%20CL%22.%22Codreg%22%20%3D%2016"/>
        <s v="https://analytics.zoho.com/open-view/2395394000008049248"/>
        <s v="https://analytics.zoho.com/open-view/2395394000008049248?ZOHO_CRITERIA=%22Localiza%20CL%22.%22Codreg%22%20%3D%201"/>
        <s v="https://analytics.zoho.com/open-view/2395394000008049248?ZOHO_CRITERIA=%22Localiza%20CL%22.%22Codreg%22%20%3D%202"/>
        <s v="https://analytics.zoho.com/open-view/2395394000008049248?ZOHO_CRITERIA=%22Localiza%20CL%22.%22Codreg%22%20%3D%203"/>
        <s v="https://analytics.zoho.com/open-view/2395394000008049248?ZOHO_CRITERIA=%22Localiza%20CL%22.%22Codreg%22%20%3D%204"/>
        <s v="https://analytics.zoho.com/open-view/2395394000008049248?ZOHO_CRITERIA=%22Localiza%20CL%22.%22Codreg%22%20%3D%205"/>
        <s v="https://analytics.zoho.com/open-view/2395394000008049248?ZOHO_CRITERIA=%22Localiza%20CL%22.%22Codreg%22%20%3D%206"/>
        <s v="https://analytics.zoho.com/open-view/2395394000008049248?ZOHO_CRITERIA=%22Localiza%20CL%22.%22Codreg%22%20%3D%207"/>
        <s v="https://analytics.zoho.com/open-view/2395394000008049248?ZOHO_CRITERIA=%22Localiza%20CL%22.%22Codreg%22%20%3D%208"/>
        <s v="https://analytics.zoho.com/open-view/2395394000008049248?ZOHO_CRITERIA=%22Localiza%20CL%22.%22Codreg%22%20%3D%209"/>
        <s v="https://analytics.zoho.com/open-view/2395394000008049248?ZOHO_CRITERIA=%22Localiza%20CL%22.%22Codreg%22%20%3D%2010"/>
        <s v="https://analytics.zoho.com/open-view/2395394000008049248?ZOHO_CRITERIA=%22Localiza%20CL%22.%22Codreg%22%20%3D%2011"/>
        <s v="https://analytics.zoho.com/open-view/2395394000008049248?ZOHO_CRITERIA=%22Localiza%20CL%22.%22Codreg%22%20%3D%2012"/>
        <s v="https://analytics.zoho.com/open-view/2395394000008049248?ZOHO_CRITERIA=%22Localiza%20CL%22.%22Codreg%22%20%3D%2013"/>
        <s v="https://analytics.zoho.com/open-view/2395394000008049248?ZOHO_CRITERIA=%22Localiza%20CL%22.%22Codreg%22%20%3D%2014"/>
        <s v="https://analytics.zoho.com/open-view/2395394000008049248?ZOHO_CRITERIA=%22Localiza%20CL%22.%22Codreg%22%20%3D%2015"/>
        <s v="https://analytics.zoho.com/open-view/2395394000008049248?ZOHO_CRITERIA=%22Localiza%20CL%22.%22Codreg%22%20%3D%2016"/>
        <s v="https://analytics.zoho.com/open-view/2395394000008049343"/>
        <s v="https://analytics.zoho.com/open-view/2395394000008463151?ZOHO_CRITERIA=%22Localiza%20CL%22.%22Codreg%22%20%3D%201"/>
        <s v="https://analytics.zoho.com/open-view/2395394000008463151?ZOHO_CRITERIA=%22Localiza%20CL%22.%22Codreg%22%20%3D%202"/>
        <s v="https://analytics.zoho.com/open-view/2395394000008463151?ZOHO_CRITERIA=%22Localiza%20CL%22.%22Codreg%22%20%3D%203"/>
        <s v="https://analytics.zoho.com/open-view/2395394000008463151?ZOHO_CRITERIA=%22Localiza%20CL%22.%22Codreg%22%20%3D%204"/>
        <s v="https://analytics.zoho.com/open-view/2395394000008463151?ZOHO_CRITERIA=%22Localiza%20CL%22.%22Codreg%22%20%3D%205"/>
        <s v="https://analytics.zoho.com/open-view/2395394000008463151?ZOHO_CRITERIA=%22Localiza%20CL%22.%22Codreg%22%20%3D%206"/>
        <s v="https://analytics.zoho.com/open-view/2395394000008463151?ZOHO_CRITERIA=%22Localiza%20CL%22.%22Codreg%22%20%3D%207"/>
        <s v="https://analytics.zoho.com/open-view/2395394000008463151?ZOHO_CRITERIA=%22Localiza%20CL%22.%22Codreg%22%20%3D%208"/>
        <s v="https://analytics.zoho.com/open-view/2395394000008463151?ZOHO_CRITERIA=%22Localiza%20CL%22.%22Codreg%22%20%3D%209"/>
        <s v="https://analytics.zoho.com/open-view/2395394000008463151?ZOHO_CRITERIA=%22Localiza%20CL%22.%22Codreg%22%20%3D%2010"/>
        <s v="https://analytics.zoho.com/open-view/2395394000008463151?ZOHO_CRITERIA=%22Localiza%20CL%22.%22Codreg%22%20%3D%2011"/>
        <s v="https://analytics.zoho.com/open-view/2395394000008463151?ZOHO_CRITERIA=%22Localiza%20CL%22.%22Codreg%22%20%3D%2012"/>
        <s v="https://analytics.zoho.com/open-view/2395394000008463151?ZOHO_CRITERIA=%22Localiza%20CL%22.%22Codreg%22%20%3D%2013"/>
        <s v="https://analytics.zoho.com/open-view/2395394000008463151?ZOHO_CRITERIA=%22Localiza%20CL%22.%22Codreg%22%20%3D%2014"/>
        <s v="https://analytics.zoho.com/open-view/2395394000008463151?ZOHO_CRITERIA=%22Localiza%20CL%22.%22Codreg%22%20%3D%2015"/>
        <s v="https://analytics.zoho.com/open-view/2395394000008463151?ZOHO_CRITERIA=%22Localiza%20CL%22.%22Codreg%22%20%3D%2016"/>
        <s v="https://analytics.zoho.com/open-view/2395394000008046482"/>
        <s v="https://analytics.zoho.com/open-view/2395394000008464012?ZOHO_CRITERIA=%22Espacios_Culturales_Completo%201%22.%22C%C3%B3digo_Regi%C3%B3n%22%20%3D%201"/>
        <s v="https://analytics.zoho.com/open-view/2395394000008464012?ZOHO_CRITERIA=%22Espacios_Culturales_Completo%201%22.%22C%C3%B3digo_Regi%C3%B3n%22%20%3D%202"/>
        <s v="https://analytics.zoho.com/open-view/2395394000008464012?ZOHO_CRITERIA=%22Espacios_Culturales_Completo%201%22.%22C%C3%B3digo_Regi%C3%B3n%22%20%3D%203"/>
        <s v="https://analytics.zoho.com/open-view/2395394000008464012?ZOHO_CRITERIA=%22Espacios_Culturales_Completo%201%22.%22C%C3%B3digo_Regi%C3%B3n%22%20%3D%204"/>
        <s v="https://analytics.zoho.com/open-view/2395394000008464012?ZOHO_CRITERIA=%22Espacios_Culturales_Completo%201%22.%22C%C3%B3digo_Regi%C3%B3n%22%20%3D%205"/>
        <s v="https://analytics.zoho.com/open-view/2395394000008464012?ZOHO_CRITERIA=%22Espacios_Culturales_Completo%201%22.%22C%C3%B3digo_Regi%C3%B3n%22%20%3D%206"/>
        <s v="https://analytics.zoho.com/open-view/2395394000008464012?ZOHO_CRITERIA=%22Espacios_Culturales_Completo%201%22.%22C%C3%B3digo_Regi%C3%B3n%22%20%3D%207"/>
        <s v="https://analytics.zoho.com/open-view/2395394000008464012?ZOHO_CRITERIA=%22Espacios_Culturales_Completo%201%22.%22C%C3%B3digo_Regi%C3%B3n%22%20%3D%208"/>
        <s v="https://analytics.zoho.com/open-view/2395394000008464012?ZOHO_CRITERIA=%22Espacios_Culturales_Completo%201%22.%22C%C3%B3digo_Regi%C3%B3n%22%20%3D%209"/>
        <s v="https://analytics.zoho.com/open-view/2395394000008464012?ZOHO_CRITERIA=%22Espacios_Culturales_Completo%201%22.%22C%C3%B3digo_Regi%C3%B3n%22%20%3D%2010"/>
        <s v="https://analytics.zoho.com/open-view/2395394000008464012?ZOHO_CRITERIA=%22Espacios_Culturales_Completo%201%22.%22C%C3%B3digo_Regi%C3%B3n%22%20%3D%2011"/>
        <s v="https://analytics.zoho.com/open-view/2395394000008464012?ZOHO_CRITERIA=%22Espacios_Culturales_Completo%201%22.%22C%C3%B3digo_Regi%C3%B3n%22%20%3D%2012"/>
        <s v="https://analytics.zoho.com/open-view/2395394000008464012?ZOHO_CRITERIA=%22Espacios_Culturales_Completo%201%22.%22C%C3%B3digo_Regi%C3%B3n%22%20%3D%2013"/>
        <s v="https://analytics.zoho.com/open-view/2395394000008464012?ZOHO_CRITERIA=%22Espacios_Culturales_Completo%201%22.%22C%C3%B3digo_Regi%C3%B3n%22%20%3D%2014"/>
        <s v="https://analytics.zoho.com/open-view/2395394000008464012?ZOHO_CRITERIA=%22Espacios_Culturales_Completo%201%22.%22C%C3%B3digo_Regi%C3%B3n%22%20%3D%2015"/>
        <s v="https://analytics.zoho.com/open-view/2395394000008464012?ZOHO_CRITERIA=%22Espacios_Culturales_Completo%201%22.%22C%C3%B3digo_Regi%C3%B3n%22%20%3D%2016"/>
        <s v="https://analytics.zoho.com/open-view/2395394000008056809"/>
        <s v="https://analytics.zoho.com/open-view/2395394000008464140?ZOHO_CRITERIA=%22Espacios_Culturales_Completo%201%22.%22C%C3%B3digo_Regi%C3%B3n%22%20%3D%201"/>
        <s v="https://analytics.zoho.com/open-view/2395394000008464140?ZOHO_CRITERIA=%22Espacios_Culturales_Completo%201%22.%22C%C3%B3digo_Regi%C3%B3n%22%20%3D%202"/>
        <s v="https://analytics.zoho.com/open-view/2395394000008464140?ZOHO_CRITERIA=%22Espacios_Culturales_Completo%201%22.%22C%C3%B3digo_Regi%C3%B3n%22%20%3D%203"/>
        <s v="https://analytics.zoho.com/open-view/2395394000008464140?ZOHO_CRITERIA=%22Espacios_Culturales_Completo%201%22.%22C%C3%B3digo_Regi%C3%B3n%22%20%3D%204"/>
        <s v="https://analytics.zoho.com/open-view/2395394000008464140?ZOHO_CRITERIA=%22Espacios_Culturales_Completo%201%22.%22C%C3%B3digo_Regi%C3%B3n%22%20%3D%205"/>
        <s v="https://analytics.zoho.com/open-view/2395394000008464140?ZOHO_CRITERIA=%22Espacios_Culturales_Completo%201%22.%22C%C3%B3digo_Regi%C3%B3n%22%20%3D%206"/>
        <s v="https://analytics.zoho.com/open-view/2395394000008464140?ZOHO_CRITERIA=%22Espacios_Culturales_Completo%201%22.%22C%C3%B3digo_Regi%C3%B3n%22%20%3D%207"/>
        <s v="https://analytics.zoho.com/open-view/2395394000008464140?ZOHO_CRITERIA=%22Espacios_Culturales_Completo%201%22.%22C%C3%B3digo_Regi%C3%B3n%22%20%3D%208"/>
        <s v="https://analytics.zoho.com/open-view/2395394000008464140?ZOHO_CRITERIA=%22Espacios_Culturales_Completo%201%22.%22C%C3%B3digo_Regi%C3%B3n%22%20%3D%209"/>
        <s v="https://analytics.zoho.com/open-view/2395394000008464140?ZOHO_CRITERIA=%22Espacios_Culturales_Completo%201%22.%22C%C3%B3digo_Regi%C3%B3n%22%20%3D%2010"/>
        <s v="https://analytics.zoho.com/open-view/2395394000008464140?ZOHO_CRITERIA=%22Espacios_Culturales_Completo%201%22.%22C%C3%B3digo_Regi%C3%B3n%22%20%3D%2011"/>
        <s v="https://analytics.zoho.com/open-view/2395394000008464140?ZOHO_CRITERIA=%22Espacios_Culturales_Completo%201%22.%22C%C3%B3digo_Regi%C3%B3n%22%20%3D%2012"/>
        <s v="https://analytics.zoho.com/open-view/2395394000008464140?ZOHO_CRITERIA=%22Espacios_Culturales_Completo%201%22.%22C%C3%B3digo_Regi%C3%B3n%22%20%3D%2013"/>
        <s v="https://analytics.zoho.com/open-view/2395394000008464140?ZOHO_CRITERIA=%22Espacios_Culturales_Completo%201%22.%22C%C3%B3digo_Regi%C3%B3n%22%20%3D%2014"/>
        <s v="https://analytics.zoho.com/open-view/2395394000008464140?ZOHO_CRITERIA=%22Espacios_Culturales_Completo%201%22.%22C%C3%B3digo_Regi%C3%B3n%22%20%3D%2015"/>
        <s v="https://analytics.zoho.com/open-view/2395394000008464140?ZOHO_CRITERIA=%22Espacios_Culturales_Completo%201%22.%22C%C3%B3digo_Regi%C3%B3n%22%20%3D%2016"/>
        <s v="https://analytics.zoho.com/open-view/2395394000008056334"/>
        <s v="https://analytics.zoho.com/open-view/2395394000008464286?ZOHO_CRITERIA=%22Espacios_Culturales_Completo%201%22.%22C%C3%B3digo_Regi%C3%B3n%22%20%3D%201"/>
        <s v="https://analytics.zoho.com/open-view/2395394000008464286?ZOHO_CRITERIA=%22Espacios_Culturales_Completo%201%22.%22C%C3%B3digo_Regi%C3%B3n%22%20%3D%202"/>
        <s v="https://analytics.zoho.com/open-view/2395394000008464286?ZOHO_CRITERIA=%22Espacios_Culturales_Completo%201%22.%22C%C3%B3digo_Regi%C3%B3n%22%20%3D%203"/>
        <s v="https://analytics.zoho.com/open-view/2395394000008464286?ZOHO_CRITERIA=%22Espacios_Culturales_Completo%201%22.%22C%C3%B3digo_Regi%C3%B3n%22%20%3D%204"/>
        <s v="https://analytics.zoho.com/open-view/2395394000008464286?ZOHO_CRITERIA=%22Espacios_Culturales_Completo%201%22.%22C%C3%B3digo_Regi%C3%B3n%22%20%3D%205"/>
        <s v="https://analytics.zoho.com/open-view/2395394000008464286?ZOHO_CRITERIA=%22Espacios_Culturales_Completo%201%22.%22C%C3%B3digo_Regi%C3%B3n%22%20%3D%206"/>
        <s v="https://analytics.zoho.com/open-view/2395394000008464286?ZOHO_CRITERIA=%22Espacios_Culturales_Completo%201%22.%22C%C3%B3digo_Regi%C3%B3n%22%20%3D%207"/>
        <s v="https://analytics.zoho.com/open-view/2395394000008464286?ZOHO_CRITERIA=%22Espacios_Culturales_Completo%201%22.%22C%C3%B3digo_Regi%C3%B3n%22%20%3D%208"/>
        <s v="https://analytics.zoho.com/open-view/2395394000008464286?ZOHO_CRITERIA=%22Espacios_Culturales_Completo%201%22.%22C%C3%B3digo_Regi%C3%B3n%22%20%3D%209"/>
        <s v="https://analytics.zoho.com/open-view/2395394000008464286?ZOHO_CRITERIA=%22Espacios_Culturales_Completo%201%22.%22C%C3%B3digo_Regi%C3%B3n%22%20%3D%2010"/>
        <s v="https://analytics.zoho.com/open-view/2395394000008464286?ZOHO_CRITERIA=%22Espacios_Culturales_Completo%201%22.%22C%C3%B3digo_Regi%C3%B3n%22%20%3D%2011"/>
        <s v="https://analytics.zoho.com/open-view/2395394000008464286?ZOHO_CRITERIA=%22Espacios_Culturales_Completo%201%22.%22C%C3%B3digo_Regi%C3%B3n%22%20%3D%2012"/>
        <s v="https://analytics.zoho.com/open-view/2395394000008464286?ZOHO_CRITERIA=%22Espacios_Culturales_Completo%201%22.%22C%C3%B3digo_Regi%C3%B3n%22%20%3D%2013"/>
        <s v="https://analytics.zoho.com/open-view/2395394000008464286?ZOHO_CRITERIA=%22Espacios_Culturales_Completo%201%22.%22C%C3%B3digo_Regi%C3%B3n%22%20%3D%2014"/>
        <s v="https://analytics.zoho.com/open-view/2395394000008464286?ZOHO_CRITERIA=%22Espacios_Culturales_Completo%201%22.%22C%C3%B3digo_Regi%C3%B3n%22%20%3D%2015"/>
        <s v="https://analytics.zoho.com/open-view/2395394000008464286?ZOHO_CRITERIA=%22Espacios_Culturales_Completo%201%22.%22C%C3%B3digo_Regi%C3%B3n%22%20%3D%2016"/>
        <s v="https://analytics.zoho.com/open-view/2395394000008056877"/>
        <s v="https://analytics.zoho.com/open-view/2395394000008464353?ZOHO_CRITERIA=%22Espacios_Culturales_Completo%201%22.%22C%C3%B3digo_Regi%C3%B3n%22%20%3D%201"/>
        <s v="https://analytics.zoho.com/open-view/2395394000008464353?ZOHO_CRITERIA=%22Espacios_Culturales_Completo%201%22.%22C%C3%B3digo_Regi%C3%B3n%22%20%3D%202"/>
        <s v="https://analytics.zoho.com/open-view/2395394000008464353?ZOHO_CRITERIA=%22Espacios_Culturales_Completo%201%22.%22C%C3%B3digo_Regi%C3%B3n%22%20%3D%203"/>
        <s v="https://analytics.zoho.com/open-view/2395394000008464353?ZOHO_CRITERIA=%22Espacios_Culturales_Completo%201%22.%22C%C3%B3digo_Regi%C3%B3n%22%20%3D%204"/>
        <s v="https://analytics.zoho.com/open-view/2395394000008464353?ZOHO_CRITERIA=%22Espacios_Culturales_Completo%201%22.%22C%C3%B3digo_Regi%C3%B3n%22%20%3D%205"/>
        <s v="https://analytics.zoho.com/open-view/2395394000008464353?ZOHO_CRITERIA=%22Espacios_Culturales_Completo%201%22.%22C%C3%B3digo_Regi%C3%B3n%22%20%3D%206"/>
        <s v="https://analytics.zoho.com/open-view/2395394000008464353?ZOHO_CRITERIA=%22Espacios_Culturales_Completo%201%22.%22C%C3%B3digo_Regi%C3%B3n%22%20%3D%207"/>
        <s v="https://analytics.zoho.com/open-view/2395394000008464353?ZOHO_CRITERIA=%22Espacios_Culturales_Completo%201%22.%22C%C3%B3digo_Regi%C3%B3n%22%20%3D%208"/>
        <s v="https://analytics.zoho.com/open-view/2395394000008464353?ZOHO_CRITERIA=%22Espacios_Culturales_Completo%201%22.%22C%C3%B3digo_Regi%C3%B3n%22%20%3D%209"/>
        <s v="https://analytics.zoho.com/open-view/2395394000008464353?ZOHO_CRITERIA=%22Espacios_Culturales_Completo%201%22.%22C%C3%B3digo_Regi%C3%B3n%22%20%3D%2010"/>
        <s v="https://analytics.zoho.com/open-view/2395394000008464353?ZOHO_CRITERIA=%22Espacios_Culturales_Completo%201%22.%22C%C3%B3digo_Regi%C3%B3n%22%20%3D%2011"/>
        <s v="https://analytics.zoho.com/open-view/2395394000008464353?ZOHO_CRITERIA=%22Espacios_Culturales_Completo%201%22.%22C%C3%B3digo_Regi%C3%B3n%22%20%3D%2012"/>
        <s v="https://analytics.zoho.com/open-view/2395394000008464353?ZOHO_CRITERIA=%22Espacios_Culturales_Completo%201%22.%22C%C3%B3digo_Regi%C3%B3n%22%20%3D%2013"/>
        <s v="https://analytics.zoho.com/open-view/2395394000008464353?ZOHO_CRITERIA=%22Espacios_Culturales_Completo%201%22.%22C%C3%B3digo_Regi%C3%B3n%22%20%3D%2014"/>
        <s v="https://analytics.zoho.com/open-view/2395394000008464353?ZOHO_CRITERIA=%22Espacios_Culturales_Completo%201%22.%22C%C3%B3digo_Regi%C3%B3n%22%20%3D%2015"/>
        <s v="https://analytics.zoho.com/open-view/2395394000008464353?ZOHO_CRITERIA=%22Espacios_Culturales_Completo%201%22.%22C%C3%B3digo_Regi%C3%B3n%22%20%3D%2016"/>
        <s v="https://analytics.zoho.com/open-view/2395394000008099175"/>
        <s v="https://analytics.zoho.com/open-view/2395394000008463005?ZOHO_CRITERIA=%22Localiza%20CL%22.%22Codreg%22%20%3D%201"/>
        <s v="https://analytics.zoho.com/open-view/2395394000008463005?ZOHO_CRITERIA=%22Localiza%20CL%22.%22Codreg%22%20%3D%202"/>
        <s v="https://analytics.zoho.com/open-view/2395394000008463005?ZOHO_CRITERIA=%22Localiza%20CL%22.%22Codreg%22%20%3D%203"/>
        <s v="https://analytics.zoho.com/open-view/2395394000008463005?ZOHO_CRITERIA=%22Localiza%20CL%22.%22Codreg%22%20%3D%204"/>
        <s v="https://analytics.zoho.com/open-view/2395394000008463005?ZOHO_CRITERIA=%22Localiza%20CL%22.%22Codreg%22%20%3D%205"/>
        <s v="https://analytics.zoho.com/open-view/2395394000008463005?ZOHO_CRITERIA=%22Localiza%20CL%22.%22Codreg%22%20%3D%206"/>
        <s v="https://analytics.zoho.com/open-view/2395394000008463005?ZOHO_CRITERIA=%22Localiza%20CL%22.%22Codreg%22%20%3D%207"/>
        <s v="https://analytics.zoho.com/open-view/2395394000008463005?ZOHO_CRITERIA=%22Localiza%20CL%22.%22Codreg%22%20%3D%208"/>
        <s v="https://analytics.zoho.com/open-view/2395394000008463005?ZOHO_CRITERIA=%22Localiza%20CL%22.%22Codreg%22%20%3D%209"/>
        <s v="https://analytics.zoho.com/open-view/2395394000008463005?ZOHO_CRITERIA=%22Localiza%20CL%22.%22Codreg%22%20%3D%2010"/>
        <s v="https://analytics.zoho.com/open-view/2395394000008463005?ZOHO_CRITERIA=%22Localiza%20CL%22.%22Codreg%22%20%3D%2011"/>
        <s v="https://analytics.zoho.com/open-view/2395394000008463005?ZOHO_CRITERIA=%22Localiza%20CL%22.%22Codreg%22%20%3D%2012"/>
        <s v="https://analytics.zoho.com/open-view/2395394000008463005?ZOHO_CRITERIA=%22Localiza%20CL%22.%22Codreg%22%20%3D%2013"/>
        <s v="https://analytics.zoho.com/open-view/2395394000008463005?ZOHO_CRITERIA=%22Localiza%20CL%22.%22Codreg%22%20%3D%2014"/>
        <s v="https://analytics.zoho.com/open-view/2395394000008463005?ZOHO_CRITERIA=%22Localiza%20CL%22.%22Codreg%22%20%3D%2015"/>
        <s v="https://analytics.zoho.com/open-view/2395394000008463005?ZOHO_CRITERIA=%22Localiza%20CL%22.%22Codreg%22%20%3D%2016"/>
        <s v="https://analytics.zoho.com/open-view/2395394000008099329"/>
        <s v="https://analytics.zoho.com/open-view/2395394000008099329?ZOHO_CRITERIA=%22Localiza%20CL%22.%22Codreg%22%20%3D%201"/>
        <s v="https://analytics.zoho.com/open-view/2395394000008099329?ZOHO_CRITERIA=%22Localiza%20CL%22.%22Codreg%22%20%3D%202"/>
        <s v="https://analytics.zoho.com/open-view/2395394000008099329?ZOHO_CRITERIA=%22Localiza%20CL%22.%22Codreg%22%20%3D%203"/>
        <s v="https://analytics.zoho.com/open-view/2395394000008099329?ZOHO_CRITERIA=%22Localiza%20CL%22.%22Codreg%22%20%3D%204"/>
        <s v="https://analytics.zoho.com/open-view/2395394000008099329?ZOHO_CRITERIA=%22Localiza%20CL%22.%22Codreg%22%20%3D%205"/>
        <s v="https://analytics.zoho.com/open-view/2395394000008099329?ZOHO_CRITERIA=%22Localiza%20CL%22.%22Codreg%22%20%3D%206"/>
        <s v="https://analytics.zoho.com/open-view/2395394000008099329?ZOHO_CRITERIA=%22Localiza%20CL%22.%22Codreg%22%20%3D%207"/>
        <s v="https://analytics.zoho.com/open-view/2395394000008099329?ZOHO_CRITERIA=%22Localiza%20CL%22.%22Codreg%22%20%3D%208"/>
        <s v="https://analytics.zoho.com/open-view/2395394000008099329?ZOHO_CRITERIA=%22Localiza%20CL%22.%22Codreg%22%20%3D%209"/>
        <s v="https://analytics.zoho.com/open-view/2395394000008099329?ZOHO_CRITERIA=%22Localiza%20CL%22.%22Codreg%22%20%3D%2010"/>
        <s v="https://analytics.zoho.com/open-view/2395394000008099329?ZOHO_CRITERIA=%22Localiza%20CL%22.%22Codreg%22%20%3D%2011"/>
        <s v="https://analytics.zoho.com/open-view/2395394000008099329?ZOHO_CRITERIA=%22Localiza%20CL%22.%22Codreg%22%20%3D%2012"/>
        <s v="https://analytics.zoho.com/open-view/2395394000008099329?ZOHO_CRITERIA=%22Localiza%20CL%22.%22Codreg%22%20%3D%2013"/>
        <s v="https://analytics.zoho.com/open-view/2395394000008099329?ZOHO_CRITERIA=%22Localiza%20CL%22.%22Codreg%22%20%3D%2014"/>
        <s v="https://analytics.zoho.com/open-view/2395394000008099329?ZOHO_CRITERIA=%22Localiza%20CL%22.%22Codreg%22%20%3D%2015"/>
        <s v="https://analytics.zoho.com/open-view/2395394000008099329?ZOHO_CRITERIA=%22Localiza%20CL%22.%22Codreg%22%20%3D%2016"/>
        <s v="https://analytics.zoho.com/open-view/2395394000008099475"/>
        <s v="https://analytics.zoho.com/open-view/2395394000008069848"/>
        <s v="https://analytics.zoho.com/open-view/2395394000008464535?ZOHO_CRITERIA=%22Localiza%20CL%22.%22Codreg%22%20%3D%201"/>
        <s v="https://analytics.zoho.com/open-view/2395394000008464535?ZOHO_CRITERIA=%22Localiza%20CL%22.%22Codreg%22%20%3D%202"/>
        <s v="https://analytics.zoho.com/open-view/2395394000008464535?ZOHO_CRITERIA=%22Localiza%20CL%22.%22Codreg%22%20%3D%203"/>
        <s v="https://analytics.zoho.com/open-view/2395394000008464535?ZOHO_CRITERIA=%22Localiza%20CL%22.%22Codreg%22%20%3D%204"/>
        <s v="https://analytics.zoho.com/open-view/2395394000008464535?ZOHO_CRITERIA=%22Localiza%20CL%22.%22Codreg%22%20%3D%205"/>
        <s v="https://analytics.zoho.com/open-view/2395394000008464535?ZOHO_CRITERIA=%22Localiza%20CL%22.%22Codreg%22%20%3D%206"/>
        <s v="https://analytics.zoho.com/open-view/2395394000008464535?ZOHO_CRITERIA=%22Localiza%20CL%22.%22Codreg%22%20%3D%207"/>
        <s v="https://analytics.zoho.com/open-view/2395394000008464535?ZOHO_CRITERIA=%22Localiza%20CL%22.%22Codreg%22%20%3D%208"/>
        <s v="https://analytics.zoho.com/open-view/2395394000008464535?ZOHO_CRITERIA=%22Localiza%20CL%22.%22Codreg%22%20%3D%209"/>
        <s v="https://analytics.zoho.com/open-view/2395394000008464535?ZOHO_CRITERIA=%22Localiza%20CL%22.%22Codreg%22%20%3D%2010"/>
        <s v="https://analytics.zoho.com/open-view/2395394000008464535?ZOHO_CRITERIA=%22Localiza%20CL%22.%22Codreg%22%20%3D%2011"/>
        <s v="https://analytics.zoho.com/open-view/2395394000008464535?ZOHO_CRITERIA=%22Localiza%20CL%22.%22Codreg%22%20%3D%2012"/>
        <s v="https://analytics.zoho.com/open-view/2395394000008464535?ZOHO_CRITERIA=%22Localiza%20CL%22.%22Codreg%22%20%3D%2013"/>
        <s v="https://analytics.zoho.com/open-view/2395394000008464535?ZOHO_CRITERIA=%22Localiza%20CL%22.%22Codreg%22%20%3D%2014"/>
        <s v="https://analytics.zoho.com/open-view/2395394000008464535?ZOHO_CRITERIA=%22Localiza%20CL%22.%22Codreg%22%20%3D%2015"/>
        <s v="https://analytics.zoho.com/open-view/2395394000008464535?ZOHO_CRITERIA=%22Localiza%20CL%22.%22Codreg%22%20%3D%2016"/>
        <s v="https://analytics.zoho.com/open-view/2395394000008230301"/>
        <s v="https://analytics.zoho.com/open-view/2395394000008516451?ZOHO_CRITERIA=%222.1%22.%22C%C3%B3digo%20Regi%C3%B3n%22%20%3D%201"/>
        <s v="https://analytics.zoho.com/open-view/2395394000008516451?ZOHO_CRITERIA=%222.1%22.%22C%C3%B3digo%20Regi%C3%B3n%22%20%3D%202"/>
        <s v="https://analytics.zoho.com/open-view/2395394000008516451?ZOHO_CRITERIA=%222.1%22.%22C%C3%B3digo%20Regi%C3%B3n%22%20%3D%203"/>
        <s v="https://analytics.zoho.com/open-view/2395394000008516451?ZOHO_CRITERIA=%222.1%22.%22C%C3%B3digo%20Regi%C3%B3n%22%20%3D%204"/>
        <s v="https://analytics.zoho.com/open-view/2395394000008516451?ZOHO_CRITERIA=%222.1%22.%22C%C3%B3digo%20Regi%C3%B3n%22%20%3D%205"/>
        <s v="https://analytics.zoho.com/open-view/2395394000008516451?ZOHO_CRITERIA=%222.1%22.%22C%C3%B3digo%20Regi%C3%B3n%22%20%3D%206"/>
        <s v="https://analytics.zoho.com/open-view/2395394000008516451?ZOHO_CRITERIA=%222.1%22.%22C%C3%B3digo%20Regi%C3%B3n%22%20%3D%207"/>
        <s v="https://analytics.zoho.com/open-view/2395394000008516451?ZOHO_CRITERIA=%222.1%22.%22C%C3%B3digo%20Regi%C3%B3n%22%20%3D%208"/>
        <s v="https://analytics.zoho.com/open-view/2395394000008516451?ZOHO_CRITERIA=%222.1%22.%22C%C3%B3digo%20Regi%C3%B3n%22%20%3D%209"/>
        <s v="https://analytics.zoho.com/open-view/2395394000008516451?ZOHO_CRITERIA=%222.1%22.%22C%C3%B3digo%20Regi%C3%B3n%22%20%3D%2010"/>
        <s v="https://analytics.zoho.com/open-view/2395394000008516451?ZOHO_CRITERIA=%222.1%22.%22C%C3%B3digo%20Regi%C3%B3n%22%20%3D%2011"/>
        <s v="https://analytics.zoho.com/open-view/2395394000008516451?ZOHO_CRITERIA=%222.1%22.%22C%C3%B3digo%20Regi%C3%B3n%22%20%3D%2012"/>
        <s v="https://analytics.zoho.com/open-view/2395394000008516451?ZOHO_CRITERIA=%222.1%22.%22C%C3%B3digo%20Regi%C3%B3n%22%20%3D%2013"/>
        <s v="https://analytics.zoho.com/open-view/2395394000008516451?ZOHO_CRITERIA=%222.1%22.%22C%C3%B3digo%20Regi%C3%B3n%22%20%3D%2014"/>
        <s v="https://analytics.zoho.com/open-view/2395394000008516451?ZOHO_CRITERIA=%222.1%22.%22C%C3%B3digo%20Regi%C3%B3n%22%20%3D%2015"/>
        <s v="https://analytics.zoho.com/open-view/2395394000008516451?ZOHO_CRITERIA=%222.1%22.%22C%C3%B3digo%20Regi%C3%B3n%22%20%3D%2016"/>
        <s v="https://analytics.zoho.com/open-view/2395394000008214196"/>
        <s v="https://analytics.zoho.com/open-view/2395394000008516065?ZOHO_CRITERIA=%222.1%22.%22C%C3%B3digo%20Regi%C3%B3n%22%20%3D%201"/>
        <s v="https://analytics.zoho.com/open-view/2395394000008516065?ZOHO_CRITERIA=%222.1%22.%22C%C3%B3digo%20Regi%C3%B3n%22%20%3D%202"/>
        <s v="https://analytics.zoho.com/open-view/2395394000008516065?ZOHO_CRITERIA=%222.1%22.%22C%C3%B3digo%20Regi%C3%B3n%22%20%3D%203"/>
        <s v="https://analytics.zoho.com/open-view/2395394000008516065?ZOHO_CRITERIA=%222.1%22.%22C%C3%B3digo%20Regi%C3%B3n%22%20%3D%204"/>
        <s v="https://analytics.zoho.com/open-view/2395394000008516065?ZOHO_CRITERIA=%222.1%22.%22C%C3%B3digo%20Regi%C3%B3n%22%20%3D%205"/>
        <s v="https://analytics.zoho.com/open-view/2395394000008516065?ZOHO_CRITERIA=%222.1%22.%22C%C3%B3digo%20Regi%C3%B3n%22%20%3D%206"/>
        <s v="https://analytics.zoho.com/open-view/2395394000008516065?ZOHO_CRITERIA=%222.1%22.%22C%C3%B3digo%20Regi%C3%B3n%22%20%3D%207"/>
        <s v="https://analytics.zoho.com/open-view/2395394000008516065?ZOHO_CRITERIA=%222.1%22.%22C%C3%B3digo%20Regi%C3%B3n%22%20%3D%208"/>
        <s v="https://analytics.zoho.com/open-view/2395394000008516065?ZOHO_CRITERIA=%222.1%22.%22C%C3%B3digo%20Regi%C3%B3n%22%20%3D%209"/>
        <s v="https://analytics.zoho.com/open-view/2395394000008516065?ZOHO_CRITERIA=%222.1%22.%22C%C3%B3digo%20Regi%C3%B3n%22%20%3D%2010"/>
        <s v="https://analytics.zoho.com/open-view/2395394000008516065?ZOHO_CRITERIA=%222.1%22.%22C%C3%B3digo%20Regi%C3%B3n%22%20%3D%2011"/>
        <s v="https://analytics.zoho.com/open-view/2395394000008516065?ZOHO_CRITERIA=%222.1%22.%22C%C3%B3digo%20Regi%C3%B3n%22%20%3D%2012"/>
        <s v="https://analytics.zoho.com/open-view/2395394000008516065?ZOHO_CRITERIA=%222.1%22.%22C%C3%B3digo%20Regi%C3%B3n%22%20%3D%2013"/>
        <s v="https://analytics.zoho.com/open-view/2395394000008516065?ZOHO_CRITERIA=%222.1%22.%22C%C3%B3digo%20Regi%C3%B3n%22%20%3D%2014"/>
        <s v="https://analytics.zoho.com/open-view/2395394000008516065?ZOHO_CRITERIA=%222.1%22.%22C%C3%B3digo%20Regi%C3%B3n%22%20%3D%2015"/>
        <s v="https://analytics.zoho.com/open-view/2395394000008516065?ZOHO_CRITERIA=%222.1%22.%22C%C3%B3digo%20Regi%C3%B3n%22%20%3D%2016"/>
        <s v="https://analytics.zoho.com/open-view/2395394000008214357"/>
        <s v="https://analytics.zoho.com/open-view/2395394000008516593?ZOHO_CRITERIA=%222.1%22.%22C%C3%B3digo%20Regi%C3%B3n%22%20%3D%201"/>
        <s v="https://analytics.zoho.com/open-view/2395394000008516593?ZOHO_CRITERIA=%222.1%22.%22C%C3%B3digo%20Regi%C3%B3n%22%20%3D%202"/>
        <s v="https://analytics.zoho.com/open-view/2395394000008516593?ZOHO_CRITERIA=%222.1%22.%22C%C3%B3digo%20Regi%C3%B3n%22%20%3D%203"/>
        <s v="https://analytics.zoho.com/open-view/2395394000008516593?ZOHO_CRITERIA=%222.1%22.%22C%C3%B3digo%20Regi%C3%B3n%22%20%3D%204"/>
        <s v="https://analytics.zoho.com/open-view/2395394000008516593?ZOHO_CRITERIA=%222.1%22.%22C%C3%B3digo%20Regi%C3%B3n%22%20%3D%205"/>
        <s v="https://analytics.zoho.com/open-view/2395394000008516593?ZOHO_CRITERIA=%222.1%22.%22C%C3%B3digo%20Regi%C3%B3n%22%20%3D%206"/>
        <s v="https://analytics.zoho.com/open-view/2395394000008516593?ZOHO_CRITERIA=%222.1%22.%22C%C3%B3digo%20Regi%C3%B3n%22%20%3D%207"/>
        <s v="https://analytics.zoho.com/open-view/2395394000008516593?ZOHO_CRITERIA=%222.1%22.%22C%C3%B3digo%20Regi%C3%B3n%22%20%3D%208"/>
        <s v="https://analytics.zoho.com/open-view/2395394000008516593?ZOHO_CRITERIA=%222.1%22.%22C%C3%B3digo%20Regi%C3%B3n%22%20%3D%209"/>
        <s v="https://analytics.zoho.com/open-view/2395394000008516593?ZOHO_CRITERIA=%222.1%22.%22C%C3%B3digo%20Regi%C3%B3n%22%20%3D%2010"/>
        <s v="https://analytics.zoho.com/open-view/2395394000008516593?ZOHO_CRITERIA=%222.1%22.%22C%C3%B3digo%20Regi%C3%B3n%22%20%3D%2011"/>
        <s v="https://analytics.zoho.com/open-view/2395394000008516593?ZOHO_CRITERIA=%222.1%22.%22C%C3%B3digo%20Regi%C3%B3n%22%20%3D%2012"/>
        <s v="https://analytics.zoho.com/open-view/2395394000008516593?ZOHO_CRITERIA=%222.1%22.%22C%C3%B3digo%20Regi%C3%B3n%22%20%3D%2013"/>
        <s v="https://analytics.zoho.com/open-view/2395394000008516593?ZOHO_CRITERIA=%222.1%22.%22C%C3%B3digo%20Regi%C3%B3n%22%20%3D%2014"/>
        <s v="https://analytics.zoho.com/open-view/2395394000008516593?ZOHO_CRITERIA=%222.1%22.%22C%C3%B3digo%20Regi%C3%B3n%22%20%3D%2015"/>
        <s v="https://analytics.zoho.com/open-view/2395394000008516593?ZOHO_CRITERIA=%222.1%22.%22C%C3%B3digo%20Regi%C3%B3n%22%20%3D%2016"/>
        <s v="https://analytics.zoho.com/open-view/2395394000008195644"/>
        <s v="https://analytics.zoho.com/open-view/2395394000008516001?ZOHO_CRITERIA=%2227.10%22.%22Id_Regi%C3%B3n%22%20%3D%201"/>
        <s v="https://analytics.zoho.com/open-view/2395394000008516001?ZOHO_CRITERIA=%2227.10%22.%22Id_Regi%C3%B3n%22%20%3D%202"/>
        <s v="https://analytics.zoho.com/open-view/2395394000008516001?ZOHO_CRITERIA=%2227.10%22.%22Id_Regi%C3%B3n%22%20%3D%203"/>
        <s v="https://analytics.zoho.com/open-view/2395394000008516001?ZOHO_CRITERIA=%2227.10%22.%22Id_Regi%C3%B3n%22%20%3D%204"/>
        <s v="https://analytics.zoho.com/open-view/2395394000008516001?ZOHO_CRITERIA=%2227.10%22.%22Id_Regi%C3%B3n%22%20%3D%205"/>
        <s v="https://analytics.zoho.com/open-view/2395394000008516001?ZOHO_CRITERIA=%2227.10%22.%22Id_Regi%C3%B3n%22%20%3D%206"/>
        <s v="https://analytics.zoho.com/open-view/2395394000008516001?ZOHO_CRITERIA=%2227.10%22.%22Id_Regi%C3%B3n%22%20%3D%207"/>
        <s v="https://analytics.zoho.com/open-view/2395394000008516001?ZOHO_CRITERIA=%2227.10%22.%22Id_Regi%C3%B3n%22%20%3D%208"/>
        <s v="https://analytics.zoho.com/open-view/2395394000008516001?ZOHO_CRITERIA=%2227.10%22.%22Id_Regi%C3%B3n%22%20%3D%209"/>
        <s v="https://analytics.zoho.com/open-view/2395394000008516001?ZOHO_CRITERIA=%2227.10%22.%22Id_Regi%C3%B3n%22%20%3D%2010"/>
        <s v="https://analytics.zoho.com/open-view/2395394000008516001?ZOHO_CRITERIA=%2227.10%22.%22Id_Regi%C3%B3n%22%20%3D%2011"/>
        <s v="https://analytics.zoho.com/open-view/2395394000008516001?ZOHO_CRITERIA=%2227.10%22.%22Id_Regi%C3%B3n%22%20%3D%2012"/>
        <s v="https://analytics.zoho.com/open-view/2395394000008516001?ZOHO_CRITERIA=%2227.10%22.%22Id_Regi%C3%B3n%22%20%3D%2013"/>
        <s v="https://analytics.zoho.com/open-view/2395394000008516001?ZOHO_CRITERIA=%2227.10%22.%22Id_Regi%C3%B3n%22%20%3D%2014"/>
        <s v="https://analytics.zoho.com/open-view/2395394000008516001?ZOHO_CRITERIA=%2227.10%22.%22Id_Regi%C3%B3n%22%20%3D%2015"/>
        <s v="https://analytics.zoho.com/open-view/2395394000008516001?ZOHO_CRITERIA=%2227.10%22.%22Id_Regi%C3%B3n%22%20%3D%2016"/>
        <s v="https://analytics.zoho.com/open-view/2395394000008214286"/>
        <s v="https://analytics.zoho.com/open-view/2395394000008516645?ZOHO_CRITERIA=%222.1%22.%22C%C3%B3digo%20Regi%C3%B3n%22%20%3D%201"/>
        <s v="https://analytics.zoho.com/open-view/2395394000008516645?ZOHO_CRITERIA=%222.1%22.%22C%C3%B3digo%20Regi%C3%B3n%22%20%3D%202"/>
        <s v="https://analytics.zoho.com/open-view/2395394000008516645?ZOHO_CRITERIA=%222.1%22.%22C%C3%B3digo%20Regi%C3%B3n%22%20%3D%203"/>
        <s v="https://analytics.zoho.com/open-view/2395394000008516645?ZOHO_CRITERIA=%222.1%22.%22C%C3%B3digo%20Regi%C3%B3n%22%20%3D%204"/>
        <s v="https://analytics.zoho.com/open-view/2395394000008516645?ZOHO_CRITERIA=%222.1%22.%22C%C3%B3digo%20Regi%C3%B3n%22%20%3D%205"/>
        <s v="https://analytics.zoho.com/open-view/2395394000008516645?ZOHO_CRITERIA=%222.1%22.%22C%C3%B3digo%20Regi%C3%B3n%22%20%3D%206"/>
        <s v="https://analytics.zoho.com/open-view/2395394000008516645?ZOHO_CRITERIA=%222.1%22.%22C%C3%B3digo%20Regi%C3%B3n%22%20%3D%207"/>
        <s v="https://analytics.zoho.com/open-view/2395394000008516645?ZOHO_CRITERIA=%222.1%22.%22C%C3%B3digo%20Regi%C3%B3n%22%20%3D%208"/>
        <s v="https://analytics.zoho.com/open-view/2395394000008516645?ZOHO_CRITERIA=%222.1%22.%22C%C3%B3digo%20Regi%C3%B3n%22%20%3D%209"/>
        <s v="https://analytics.zoho.com/open-view/2395394000008516645?ZOHO_CRITERIA=%222.1%22.%22C%C3%B3digo%20Regi%C3%B3n%22%20%3D%2010"/>
        <s v="https://analytics.zoho.com/open-view/2395394000008516645?ZOHO_CRITERIA=%222.1%22.%22C%C3%B3digo%20Regi%C3%B3n%22%20%3D%2011"/>
        <s v="https://analytics.zoho.com/open-view/2395394000008516645?ZOHO_CRITERIA=%222.1%22.%22C%C3%B3digo%20Regi%C3%B3n%22%20%3D%2012"/>
        <s v="https://analytics.zoho.com/open-view/2395394000008516645?ZOHO_CRITERIA=%222.1%22.%22C%C3%B3digo%20Regi%C3%B3n%22%20%3D%2013"/>
        <s v="https://analytics.zoho.com/open-view/2395394000008516645?ZOHO_CRITERIA=%222.1%22.%22C%C3%B3digo%20Regi%C3%B3n%22%20%3D%2014"/>
        <s v="https://analytics.zoho.com/open-view/2395394000008516645?ZOHO_CRITERIA=%222.1%22.%22C%C3%B3digo%20Regi%C3%B3n%22%20%3D%2015"/>
        <s v="https://analytics.zoho.com/open-view/2395394000008516645?ZOHO_CRITERIA=%222.1%22.%22C%C3%B3digo%20Regi%C3%B3n%22%20%3D%2016"/>
        <s v="https://analytics.zoho.com/open-view/2395394000008278466"/>
        <s v="https://analytics.zoho.com/open-view/2395394000008413090?ZOHO_CRITERIA=%228.3%20Licencias_conducir%22.%22Codreg%22%3D1"/>
        <s v="https://analytics.zoho.com/open-view/2395394000008413090?ZOHO_CRITERIA=%228.3%20Licencias_conducir%22.%22Codreg%22%3D2"/>
        <s v="https://analytics.zoho.com/open-view/2395394000008413090?ZOHO_CRITERIA=%228.3%20Licencias_conducir%22.%22Codreg%22%3D3"/>
        <s v="https://analytics.zoho.com/open-view/2395394000008413090?ZOHO_CRITERIA=%228.3%20Licencias_conducir%22.%22Codreg%22%3D4"/>
        <s v="https://analytics.zoho.com/open-view/2395394000008413090?ZOHO_CRITERIA=%228.3%20Licencias_conducir%22.%22Codreg%22%3D5"/>
        <s v="https://analytics.zoho.com/open-view/2395394000008413090?ZOHO_CRITERIA=%228.3%20Licencias_conducir%22.%22Codreg%22%3D6"/>
        <s v="https://analytics.zoho.com/open-view/2395394000008413090?ZOHO_CRITERIA=%228.3%20Licencias_conducir%22.%22Codreg%22%3D7"/>
        <s v="https://analytics.zoho.com/open-view/2395394000008413090?ZOHO_CRITERIA=%228.3%20Licencias_conducir%22.%22Codreg%22%3D8"/>
        <s v="https://analytics.zoho.com/open-view/2395394000008413090?ZOHO_CRITERIA=%228.3%20Licencias_conducir%22.%22Codreg%22%3D9"/>
        <s v="https://analytics.zoho.com/open-view/2395394000008413090?ZOHO_CRITERIA=%228.3%20Licencias_conducir%22.%22Codreg%22%3D10"/>
        <s v="https://analytics.zoho.com/open-view/2395394000008413090?ZOHO_CRITERIA=%228.3%20Licencias_conducir%22.%22Codreg%22%3D11"/>
        <s v="https://analytics.zoho.com/open-view/2395394000008413090?ZOHO_CRITERIA=%228.3%20Licencias_conducir%22.%22Codreg%22%3D12"/>
        <s v="https://analytics.zoho.com/open-view/2395394000008413090?ZOHO_CRITERIA=%228.3%20Licencias_conducir%22.%22Codreg%22%3D13"/>
        <s v="https://analytics.zoho.com/open-view/2395394000008413090?ZOHO_CRITERIA=%228.3%20Licencias_conducir%22.%22Codreg%22%3D14"/>
        <s v="https://analytics.zoho.com/open-view/2395394000008413090?ZOHO_CRITERIA=%228.3%20Licencias_conducir%22.%22Codreg%22%3D15"/>
        <s v="https://analytics.zoho.com/open-view/2395394000008413090?ZOHO_CRITERIA=%228.3%20Licencias_conducir%22.%22Codreg%22%3D16"/>
        <s v="https://analytics.zoho.com/open-view/2395394000008277077"/>
        <s v="https://analytics.zoho.com/open-view/2395394000008413133?ZOHO_CRITERIA=%228.1%20Permiso_circulaci%C3%B3n%22.%22Codreg%22%3D1"/>
        <s v="https://analytics.zoho.com/open-view/2395394000008413133?ZOHO_CRITERIA=%228.1%20Permiso_circulaci%C3%B3n%22.%22Codreg%22%3D2"/>
        <s v="https://analytics.zoho.com/open-view/2395394000008413133?ZOHO_CRITERIA=%228.1%20Permiso_circulaci%C3%B3n%22.%22Codreg%22%3D3"/>
        <s v="https://analytics.zoho.com/open-view/2395394000008413133?ZOHO_CRITERIA=%228.1%20Permiso_circulaci%C3%B3n%22.%22Codreg%22%3D4"/>
        <s v="https://analytics.zoho.com/open-view/2395394000008413133?ZOHO_CRITERIA=%228.1%20Permiso_circulaci%C3%B3n%22.%22Codreg%22%3D5"/>
        <s v="https://analytics.zoho.com/open-view/2395394000008413133?ZOHO_CRITERIA=%228.1%20Permiso_circulaci%C3%B3n%22.%22Codreg%22%3D6"/>
        <s v="https://analytics.zoho.com/open-view/2395394000008413133?ZOHO_CRITERIA=%228.1%20Permiso_circulaci%C3%B3n%22.%22Codreg%22%3D7"/>
        <s v="https://analytics.zoho.com/open-view/2395394000008413133?ZOHO_CRITERIA=%228.1%20Permiso_circulaci%C3%B3n%22.%22Codreg%22%3D8"/>
        <s v="https://analytics.zoho.com/open-view/2395394000008413133?ZOHO_CRITERIA=%228.1%20Permiso_circulaci%C3%B3n%22.%22Codreg%22%3D9"/>
        <s v="https://analytics.zoho.com/open-view/2395394000008413133?ZOHO_CRITERIA=%228.1%20Permiso_circulaci%C3%B3n%22.%22Codreg%22%3D10"/>
        <s v="https://analytics.zoho.com/open-view/2395394000008413133?ZOHO_CRITERIA=%228.1%20Permiso_circulaci%C3%B3n%22.%22Codreg%22%3D11"/>
        <s v="https://analytics.zoho.com/open-view/2395394000008413133?ZOHO_CRITERIA=%228.1%20Permiso_circulaci%C3%B3n%22.%22Codreg%22%3D12"/>
        <s v="https://analytics.zoho.com/open-view/2395394000008413133?ZOHO_CRITERIA=%228.1%20Permiso_circulaci%C3%B3n%22.%22Codreg%22%3D13"/>
        <s v="https://analytics.zoho.com/open-view/2395394000008413133?ZOHO_CRITERIA=%228.1%20Permiso_circulaci%C3%B3n%22.%22Codreg%22%3D14"/>
        <s v="https://analytics.zoho.com/open-view/2395394000008413133?ZOHO_CRITERIA=%228.1%20Permiso_circulaci%C3%B3n%22.%22Codreg%22%3D15"/>
        <s v="https://analytics.zoho.com/open-view/2395394000008413133?ZOHO_CRITERIA=%228.1%20Permiso_circulaci%C3%B3n%22.%22Codreg%22%3D16"/>
        <s v="https://analytics.zoho.com/open-view/2395394000008277863"/>
        <s v="https://analytics.zoho.com/open-view/2395394000008475578?ZOHO_CRITERIA=%228.3%20Licencias_conducir%22.%22Codreg%22%3D1"/>
        <s v="https://analytics.zoho.com/open-view/2395394000008475578?ZOHO_CRITERIA=%228.3%20Licencias_conducir%22.%22Codreg%22%3D2"/>
        <s v="https://analytics.zoho.com/open-view/2395394000008475578?ZOHO_CRITERIA=%228.3%20Licencias_conducir%22.%22Codreg%22%3D3"/>
        <s v="https://analytics.zoho.com/open-view/2395394000008475578?ZOHO_CRITERIA=%228.3%20Licencias_conducir%22.%22Codreg%22%3D4"/>
        <s v="https://analytics.zoho.com/open-view/2395394000008475578?ZOHO_CRITERIA=%228.3%20Licencias_conducir%22.%22Codreg%22%3D5"/>
        <s v="https://analytics.zoho.com/open-view/2395394000008475578?ZOHO_CRITERIA=%228.3%20Licencias_conducir%22.%22Codreg%22%3D6"/>
        <s v="https://analytics.zoho.com/open-view/2395394000008475578?ZOHO_CRITERIA=%228.3%20Licencias_conducir%22.%22Codreg%22%3D7"/>
        <s v="https://analytics.zoho.com/open-view/2395394000008475578?ZOHO_CRITERIA=%228.3%20Licencias_conducir%22.%22Codreg%22%3D8"/>
        <s v="https://analytics.zoho.com/open-view/2395394000008475578?ZOHO_CRITERIA=%228.3%20Licencias_conducir%22.%22Codreg%22%3D9"/>
        <s v="https://analytics.zoho.com/open-view/2395394000008475578?ZOHO_CRITERIA=%228.3%20Licencias_conducir%22.%22Codreg%22%3D10"/>
        <s v="https://analytics.zoho.com/open-view/2395394000008475578?ZOHO_CRITERIA=%228.3%20Licencias_conducir%22.%22Codreg%22%3D11"/>
        <s v="https://analytics.zoho.com/open-view/2395394000008475578?ZOHO_CRITERIA=%228.3%20Licencias_conducir%22.%22Codreg%22%3D12"/>
        <s v="https://analytics.zoho.com/open-view/2395394000008475578?ZOHO_CRITERIA=%228.3%20Licencias_conducir%22.%22Codreg%22%3D13"/>
        <s v="https://analytics.zoho.com/open-view/2395394000008475578?ZOHO_CRITERIA=%228.3%20Licencias_conducir%22.%22Codreg%22%3D14"/>
        <s v="https://analytics.zoho.com/open-view/2395394000008475578?ZOHO_CRITERIA=%228.3%20Licencias_conducir%22.%22Codreg%22%3D15"/>
        <s v="https://analytics.zoho.com/open-view/2395394000008475578?ZOHO_CRITERIA=%228.3%20Licencias_conducir%22.%22Codreg%22%3D16"/>
        <s v="https://analytics.zoho.com/open-view/2395394000008255577"/>
        <s v="https://analytics.zoho.com/open-view/2395394000008475310?ZOHO_CRITERIA=%228.1%20Permiso_circulaci%C3%B3n%22.%22Codreg%22%3D1"/>
        <s v="https://analytics.zoho.com/open-view/2395394000008475310?ZOHO_CRITERIA=%228.1%20Permiso_circulaci%C3%B3n%22.%22Codreg%22%3D2"/>
        <s v="https://analytics.zoho.com/open-view/2395394000008475310?ZOHO_CRITERIA=%228.1%20Permiso_circulaci%C3%B3n%22.%22Codreg%22%3D3"/>
        <s v="https://analytics.zoho.com/open-view/2395394000008475310?ZOHO_CRITERIA=%228.1%20Permiso_circulaci%C3%B3n%22.%22Codreg%22%3D4"/>
        <s v="https://analytics.zoho.com/open-view/2395394000008475310?ZOHO_CRITERIA=%228.1%20Permiso_circulaci%C3%B3n%22.%22Codreg%22%3D5"/>
        <s v="https://analytics.zoho.com/open-view/2395394000008475310?ZOHO_CRITERIA=%228.1%20Permiso_circulaci%C3%B3n%22.%22Codreg%22%3D6"/>
        <s v="https://analytics.zoho.com/open-view/2395394000008475310?ZOHO_CRITERIA=%228.1%20Permiso_circulaci%C3%B3n%22.%22Codreg%22%3D7"/>
        <s v="https://analytics.zoho.com/open-view/2395394000008475310?ZOHO_CRITERIA=%228.1%20Permiso_circulaci%C3%B3n%22.%22Codreg%22%3D8"/>
        <s v="https://analytics.zoho.com/open-view/2395394000008475310?ZOHO_CRITERIA=%228.1%20Permiso_circulaci%C3%B3n%22.%22Codreg%22%3D9"/>
        <s v="https://analytics.zoho.com/open-view/2395394000008475310?ZOHO_CRITERIA=%228.1%20Permiso_circulaci%C3%B3n%22.%22Codreg%22%3D10"/>
        <s v="https://analytics.zoho.com/open-view/2395394000008475310?ZOHO_CRITERIA=%228.1%20Permiso_circulaci%C3%B3n%22.%22Codreg%22%3D11"/>
        <s v="https://analytics.zoho.com/open-view/2395394000008475310?ZOHO_CRITERIA=%228.1%20Permiso_circulaci%C3%B3n%22.%22Codreg%22%3D12"/>
        <s v="https://analytics.zoho.com/open-view/2395394000008475310?ZOHO_CRITERIA=%228.1%20Permiso_circulaci%C3%B3n%22.%22Codreg%22%3D13"/>
        <s v="https://analytics.zoho.com/open-view/2395394000008475310?ZOHO_CRITERIA=%228.1%20Permiso_circulaci%C3%B3n%22.%22Codreg%22%3D14"/>
        <s v="https://analytics.zoho.com/open-view/2395394000008475310?ZOHO_CRITERIA=%228.1%20Permiso_circulaci%C3%B3n%22.%22Codreg%22%3D15"/>
        <s v="https://analytics.zoho.com/open-view/2395394000008475310?ZOHO_CRITERIA=%228.1%20Permiso_circulaci%C3%B3n%22.%22Codreg%22%3D16"/>
        <s v="https://analytics.zoho.com/open-view/2395394000008475464"/>
        <s v="https://analytics.zoho.com/open-view/2395394000008413167?ZOHO_CRITERIA=%228.3%20Licencias_conducir%22.%22Codreg%22%3D1"/>
        <s v="https://analytics.zoho.com/open-view/2395394000008413167?ZOHO_CRITERIA=%228.3%20Licencias_conducir%22.%22Codreg%22%3D2"/>
        <s v="https://analytics.zoho.com/open-view/2395394000008413167?ZOHO_CRITERIA=%228.3%20Licencias_conducir%22.%22Codreg%22%3D3"/>
        <s v="https://analytics.zoho.com/open-view/2395394000008413167?ZOHO_CRITERIA=%228.3%20Licencias_conducir%22.%22Codreg%22%3D4"/>
        <s v="https://analytics.zoho.com/open-view/2395394000008413167?ZOHO_CRITERIA=%228.3%20Licencias_conducir%22.%22Codreg%22%3D5"/>
        <s v="https://analytics.zoho.com/open-view/2395394000008413167?ZOHO_CRITERIA=%228.3%20Licencias_conducir%22.%22Codreg%22%3D6"/>
        <s v="https://analytics.zoho.com/open-view/2395394000008413167?ZOHO_CRITERIA=%228.3%20Licencias_conducir%22.%22Codreg%22%3D7"/>
        <s v="https://analytics.zoho.com/open-view/2395394000008413167?ZOHO_CRITERIA=%228.3%20Licencias_conducir%22.%22Codreg%22%3D8"/>
        <s v="https://analytics.zoho.com/open-view/2395394000008413167?ZOHO_CRITERIA=%228.3%20Licencias_conducir%22.%22Codreg%22%3D9"/>
        <s v="https://analytics.zoho.com/open-view/2395394000008413167?ZOHO_CRITERIA=%228.3%20Licencias_conducir%22.%22Codreg%22%3D10"/>
        <s v="https://analytics.zoho.com/open-view/2395394000008413167?ZOHO_CRITERIA=%228.3%20Licencias_conducir%22.%22Codreg%22%3D11"/>
        <s v="https://analytics.zoho.com/open-view/2395394000008413167?ZOHO_CRITERIA=%228.3%20Licencias_conducir%22.%22Codreg%22%3D12"/>
        <s v="https://analytics.zoho.com/open-view/2395394000008413167?ZOHO_CRITERIA=%228.3%20Licencias_conducir%22.%22Codreg%22%3D13"/>
        <s v="https://analytics.zoho.com/open-view/2395394000008413167?ZOHO_CRITERIA=%228.3%20Licencias_conducir%22.%22Codreg%22%3D14"/>
        <s v="https://analytics.zoho.com/open-view/2395394000008413167?ZOHO_CRITERIA=%228.3%20Licencias_conducir%22.%22Codreg%22%3D15"/>
        <s v="https://analytics.zoho.com/open-view/2395394000008413167?ZOHO_CRITERIA=%228.3%20Licencias_conducir%22.%22Codreg%22%3D16"/>
        <s v="https://analytics.zoho.com/open-view/2395394000008257880"/>
        <s v="https://analytics.zoho.com/open-view/2395394000008478582?ZOHO_CRITERIA=%2216%20Energ%C3%ADas%20Renovables%20y%20No%20Renovables%22.%22Cod_Regi%C3%B3n%22%20%3D%201"/>
        <s v="https://analytics.zoho.com/open-view/2395394000008478582?ZOHO_CRITERIA=%2216%20Energ%C3%ADas%20Renovables%20y%20No%20Renovables%22.%22Cod_Regi%C3%B3n%22%20%3D%202"/>
        <s v="https://analytics.zoho.com/open-view/2395394000008478582?ZOHO_CRITERIA=%2216%20Energ%C3%ADas%20Renovables%20y%20No%20Renovables%22.%22Cod_Regi%C3%B3n%22%20%3D%203"/>
        <s v="https://analytics.zoho.com/open-view/2395394000008478582?ZOHO_CRITERIA=%2216%20Energ%C3%ADas%20Renovables%20y%20No%20Renovables%22.%22Cod_Regi%C3%B3n%22%20%3D%204"/>
        <s v="https://analytics.zoho.com/open-view/2395394000008478582?ZOHO_CRITERIA=%2216%20Energ%C3%ADas%20Renovables%20y%20No%20Renovables%22.%22Cod_Regi%C3%B3n%22%20%3D%205"/>
        <s v="https://analytics.zoho.com/open-view/2395394000008478582?ZOHO_CRITERIA=%2216%20Energ%C3%ADas%20Renovables%20y%20No%20Renovables%22.%22Cod_Regi%C3%B3n%22%20%3D%206"/>
        <s v="https://analytics.zoho.com/open-view/2395394000008478582?ZOHO_CRITERIA=%2216%20Energ%C3%ADas%20Renovables%20y%20No%20Renovables%22.%22Cod_Regi%C3%B3n%22%20%3D%207"/>
        <s v="https://analytics.zoho.com/open-view/2395394000008478582?ZOHO_CRITERIA=%2216%20Energ%C3%ADas%20Renovables%20y%20No%20Renovables%22.%22Cod_Regi%C3%B3n%22%20%3D%208"/>
        <s v="https://analytics.zoho.com/open-view/2395394000008478582?ZOHO_CRITERIA=%2216%20Energ%C3%ADas%20Renovables%20y%20No%20Renovables%22.%22Cod_Regi%C3%B3n%22%20%3D%209"/>
        <s v="https://analytics.zoho.com/open-view/2395394000008478582?ZOHO_CRITERIA=%2216%20Energ%C3%ADas%20Renovables%20y%20No%20Renovables%22.%22Cod_Regi%C3%B3n%22%20%3D%2010"/>
        <s v="https://analytics.zoho.com/open-view/2395394000008478582?ZOHO_CRITERIA=%2216%20Energ%C3%ADas%20Renovables%20y%20No%20Renovables%22.%22Cod_Regi%C3%B3n%22%20%3D%2011"/>
        <s v="https://analytics.zoho.com/open-view/2395394000008478582?ZOHO_CRITERIA=%2216%20Energ%C3%ADas%20Renovables%20y%20No%20Renovables%22.%22Cod_Regi%C3%B3n%22%20%3D%2012"/>
        <s v="https://analytics.zoho.com/open-view/2395394000008478582?ZOHO_CRITERIA=%2216%20Energ%C3%ADas%20Renovables%20y%20No%20Renovables%22.%22Cod_Regi%C3%B3n%22%20%3D%2013"/>
        <s v="https://analytics.zoho.com/open-view/2395394000008478582?ZOHO_CRITERIA=%2216%20Energ%C3%ADas%20Renovables%20y%20No%20Renovables%22.%22Cod_Regi%C3%B3n%22%20%3D%2014"/>
        <s v="https://analytics.zoho.com/open-view/2395394000008478582?ZOHO_CRITERIA=%2216%20Energ%C3%ADas%20Renovables%20y%20No%20Renovables%22.%22Cod_Regi%C3%B3n%22%20%3D%2015"/>
        <s v="https://analytics.zoho.com/open-view/2395394000008478582?ZOHO_CRITERIA=%2216%20Energ%C3%ADas%20Renovables%20y%20No%20Renovables%22.%22Cod_Regi%C3%B3n%22%20%3D%2016"/>
        <s v="https://analytics.zoho.com/open-view/2395394000008280544"/>
        <s v="https://analytics.zoho.com/open-view/2395394000008280397"/>
        <s v="https://analytics.zoho.com/open-view/2395394000008478954"/>
        <s v="https://analytics.zoho.com/open-view/2395394000008492075?ZOHO_CRITERIA=%2216%20Energ%C3%ADas%20Renovables%20y%20No%20Renovables%22.%22Cod_Regi%C3%B3n%22%20%3D%201"/>
        <s v="https://analytics.zoho.com/open-view/2395394000008492075?ZOHO_CRITERIA=%2216%20Energ%C3%ADas%20Renovables%20y%20No%20Renovables%22.%22Cod_Regi%C3%B3n%22%20%3D%202"/>
        <s v="https://analytics.zoho.com/open-view/2395394000008492075?ZOHO_CRITERIA=%2216%20Energ%C3%ADas%20Renovables%20y%20No%20Renovables%22.%22Cod_Regi%C3%B3n%22%20%3D%203"/>
        <s v="https://analytics.zoho.com/open-view/2395394000008492075?ZOHO_CRITERIA=%2216%20Energ%C3%ADas%20Renovables%20y%20No%20Renovables%22.%22Cod_Regi%C3%B3n%22%20%3D%204"/>
        <s v="https://analytics.zoho.com/open-view/2395394000008492075?ZOHO_CRITERIA=%2216%20Energ%C3%ADas%20Renovables%20y%20No%20Renovables%22.%22Cod_Regi%C3%B3n%22%20%3D%205"/>
        <s v="https://analytics.zoho.com/open-view/2395394000008492075?ZOHO_CRITERIA=%2216%20Energ%C3%ADas%20Renovables%20y%20No%20Renovables%22.%22Cod_Regi%C3%B3n%22%20%3D%206"/>
        <s v="https://analytics.zoho.com/open-view/2395394000008492075?ZOHO_CRITERIA=%2216%20Energ%C3%ADas%20Renovables%20y%20No%20Renovables%22.%22Cod_Regi%C3%B3n%22%20%3D%207"/>
        <s v="https://analytics.zoho.com/open-view/2395394000008492075?ZOHO_CRITERIA=%2216%20Energ%C3%ADas%20Renovables%20y%20No%20Renovables%22.%22Cod_Regi%C3%B3n%22%20%3D%208"/>
        <s v="https://analytics.zoho.com/open-view/2395394000008492075?ZOHO_CRITERIA=%2216%20Energ%C3%ADas%20Renovables%20y%20No%20Renovables%22.%22Cod_Regi%C3%B3n%22%20%3D%209"/>
        <s v="https://analytics.zoho.com/open-view/2395394000008492075?ZOHO_CRITERIA=%2216%20Energ%C3%ADas%20Renovables%20y%20No%20Renovables%22.%22Cod_Regi%C3%B3n%22%20%3D%2010"/>
        <s v="https://analytics.zoho.com/open-view/2395394000008492075?ZOHO_CRITERIA=%2216%20Energ%C3%ADas%20Renovables%20y%20No%20Renovables%22.%22Cod_Regi%C3%B3n%22%20%3D%2011"/>
        <s v="https://analytics.zoho.com/open-view/2395394000008492075?ZOHO_CRITERIA=%2216%20Energ%C3%ADas%20Renovables%20y%20No%20Renovables%22.%22Cod_Regi%C3%B3n%22%20%3D%2012"/>
        <s v="https://analytics.zoho.com/open-view/2395394000008492075?ZOHO_CRITERIA=%2216%20Energ%C3%ADas%20Renovables%20y%20No%20Renovables%22.%22Cod_Regi%C3%B3n%22%20%3D%2013"/>
        <s v="https://analytics.zoho.com/open-view/2395394000008492075?ZOHO_CRITERIA=%2216%20Energ%C3%ADas%20Renovables%20y%20No%20Renovables%22.%22Cod_Regi%C3%B3n%22%20%3D%2014"/>
        <s v="https://analytics.zoho.com/open-view/2395394000008492075?ZOHO_CRITERIA=%2216%20Energ%C3%ADas%20Renovables%20y%20No%20Renovables%22.%22Cod_Regi%C3%B3n%22%20%3D%2015"/>
        <s v="https://analytics.zoho.com/open-view/2395394000008492075?ZOHO_CRITERIA=%2216%20Energ%C3%ADas%20Renovables%20y%20No%20Renovables%22.%22Cod_Regi%C3%B3n%22%20%3D%2016"/>
        <s v="https://analytics.zoho.com/open-view/2395394000008280219"/>
        <s v="https://analytics.zoho.com/open-view/2395394000008421316"/>
        <s v="https://analytics.zoho.com/open-view/2395394000008421106"/>
        <s v="https://analytics.zoho.com/open-view/2395394000008421956 "/>
        <s v="https://analytics.zoho.com/open-view/2395394000008516725?ZOHO_CRITERIA=%22Localiza%20CL%22.%22Codreg%22%20%3D%201"/>
        <s v="https://analytics.zoho.com/open-view/2395394000008516725?ZOHO_CRITERIA=%22Localiza%20CL%22.%22Codreg%22%20%3D%202"/>
        <s v="https://analytics.zoho.com/open-view/2395394000008516725?ZOHO_CRITERIA=%22Localiza%20CL%22.%22Codreg%22%20%3D%203"/>
        <s v="https://analytics.zoho.com/open-view/2395394000008516725?ZOHO_CRITERIA=%22Localiza%20CL%22.%22Codreg%22%20%3D%204"/>
        <s v="https://analytics.zoho.com/open-view/2395394000008516725?ZOHO_CRITERIA=%22Localiza%20CL%22.%22Codreg%22%20%3D%205"/>
        <s v="https://analytics.zoho.com/open-view/2395394000008516725?ZOHO_CRITERIA=%22Localiza%20CL%22.%22Codreg%22%20%3D%206"/>
        <s v="https://analytics.zoho.com/open-view/2395394000008516725?ZOHO_CRITERIA=%22Localiza%20CL%22.%22Codreg%22%20%3D%207"/>
        <s v="https://analytics.zoho.com/open-view/2395394000008516725?ZOHO_CRITERIA=%22Localiza%20CL%22.%22Codreg%22%20%3D%208"/>
        <s v="https://analytics.zoho.com/open-view/2395394000008516725?ZOHO_CRITERIA=%22Localiza%20CL%22.%22Codreg%22%20%3D%209"/>
        <s v="https://analytics.zoho.com/open-view/2395394000008516725?ZOHO_CRITERIA=%22Localiza%20CL%22.%22Codreg%22%20%3D%2010"/>
        <s v="https://analytics.zoho.com/open-view/2395394000008516725?ZOHO_CRITERIA=%22Localiza%20CL%22.%22Codreg%22%20%3D%2011"/>
        <s v="https://analytics.zoho.com/open-view/2395394000008516725?ZOHO_CRITERIA=%22Localiza%20CL%22.%22Codreg%22%20%3D%2012"/>
        <s v="https://analytics.zoho.com/open-view/2395394000008516725?ZOHO_CRITERIA=%22Localiza%20CL%22.%22Codreg%22%20%3D%2013"/>
        <s v="https://analytics.zoho.com/open-view/2395394000008516725?ZOHO_CRITERIA=%22Localiza%20CL%22.%22Codreg%22%20%3D%2014"/>
        <s v="https://analytics.zoho.com/open-view/2395394000008516725?ZOHO_CRITERIA=%22Localiza%20CL%22.%22Codreg%22%20%3D%2015"/>
        <s v="https://analytics.zoho.com/open-view/2395394000008516725?ZOHO_CRITERIA=%22Localiza%20CL%22.%22Codreg%22%20%3D%2016"/>
        <s v="https://analytics.zoho.com/open-view/2395394000008421914"/>
        <s v="https://analytics.zoho.com/open-view/2395394000008410521?ZOHO_CRITERIA=%22Pa%C3%ADs_Todo%22.%22id_TipoProducto%22%3D7"/>
        <s v="https://analytics.zoho.com/open-view/2395394000008172059"/>
        <s v="https://analytics.zoho.com/open-view/2395394000008189310"/>
        <s v="https://analytics.zoho.com/open-view/2395394000008189214"/>
        <s v="https://analytics.zoho.com/open-view/2395394000008461682?ZOHO_CRITERIA=%221.1%20Lugar_Salida_Entrada%22.%22C%C3%B3digo%20Regi%C3%B3n%22%3D1"/>
        <s v="https://analytics.zoho.com/open-view/2395394000008461682?ZOHO_CRITERIA=%221.1%20Lugar_Salida_Entrada%22.%22C%C3%B3digo%20Regi%C3%B3n%22%3D2"/>
        <s v="https://analytics.zoho.com/open-view/2395394000008461682?ZOHO_CRITERIA=%221.1%20Lugar_Salida_Entrada%22.%22C%C3%B3digo%20Regi%C3%B3n%22%3D3"/>
        <s v="https://analytics.zoho.com/open-view/2395394000008461682?ZOHO_CRITERIA=%221.1%20Lugar_Salida_Entrada%22.%22C%C3%B3digo%20Regi%C3%B3n%22%3D4"/>
        <s v="https://analytics.zoho.com/open-view/2395394000008461682?ZOHO_CRITERIA=%221.1%20Lugar_Salida_Entrada%22.%22C%C3%B3digo%20Regi%C3%B3n%22%3D5"/>
        <s v="https://analytics.zoho.com/open-view/2395394000008461682?ZOHO_CRITERIA=%221.1%20Lugar_Salida_Entrada%22.%22C%C3%B3digo%20Regi%C3%B3n%22%3D6"/>
        <s v="https://analytics.zoho.com/open-view/2395394000008461682?ZOHO_CRITERIA=%221.1%20Lugar_Salida_Entrada%22.%22C%C3%B3digo%20Regi%C3%B3n%22%3D7"/>
        <s v="https://analytics.zoho.com/open-view/2395394000008461682?ZOHO_CRITERIA=%221.1%20Lugar_Salida_Entrada%22.%22C%C3%B3digo%20Regi%C3%B3n%22%3D8"/>
        <s v="https://analytics.zoho.com/open-view/2395394000008461682?ZOHO_CRITERIA=%221.1%20Lugar_Salida_Entrada%22.%22C%C3%B3digo%20Regi%C3%B3n%22%3D9"/>
        <s v="https://analytics.zoho.com/open-view/2395394000008461682?ZOHO_CRITERIA=%221.1%20Lugar_Salida_Entrada%22.%22C%C3%B3digo%20Regi%C3%B3n%22%3D10"/>
        <s v="https://analytics.zoho.com/open-view/2395394000008461682?ZOHO_CRITERIA=%221.1%20Lugar_Salida_Entrada%22.%22C%C3%B3digo%20Regi%C3%B3n%22%3D11"/>
        <s v="https://analytics.zoho.com/open-view/2395394000008461682?ZOHO_CRITERIA=%221.1%20Lugar_Salida_Entrada%22.%22C%C3%B3digo%20Regi%C3%B3n%22%3D12"/>
        <s v="https://analytics.zoho.com/open-view/2395394000008461682?ZOHO_CRITERIA=%221.1%20Lugar_Salida_Entrada%22.%22C%C3%B3digo%20Regi%C3%B3n%22%3D13"/>
        <s v="https://analytics.zoho.com/open-view/2395394000008461682?ZOHO_CRITERIA=%221.1%20Lugar_Salida_Entrada%22.%22C%C3%B3digo%20Regi%C3%B3n%22%3D14"/>
        <s v="https://analytics.zoho.com/open-view/2395394000008461682?ZOHO_CRITERIA=%221.1%20Lugar_Salida_Entrada%22.%22C%C3%B3digo%20Regi%C3%B3n%22%3D15"/>
        <s v="https://analytics.zoho.com/open-view/2395394000008461828"/>
        <s v="https://analytics.zoho.com/open-view/2395394000008189059?ZOHO_CRITERIA=%221.1%20Lugar_Salida_Entrada%22.%22C%C3%B3digo%20Regi%C3%B3n%22%3D1"/>
        <s v="https://analytics.zoho.com/open-view/2395394000008189059?ZOHO_CRITERIA=%221.1%20Lugar_Salida_Entrada%22.%22C%C3%B3digo%20Regi%C3%B3n%22%3D2"/>
        <s v="https://analytics.zoho.com/open-view/2395394000008189059?ZOHO_CRITERIA=%221.1%20Lugar_Salida_Entrada%22.%22C%C3%B3digo%20Regi%C3%B3n%22%3D3"/>
        <s v="https://analytics.zoho.com/open-view/2395394000008189059?ZOHO_CRITERIA=%221.1%20Lugar_Salida_Entrada%22.%22C%C3%B3digo%20Regi%C3%B3n%22%3D4"/>
        <s v="https://analytics.zoho.com/open-view/2395394000008189059?ZOHO_CRITERIA=%221.1%20Lugar_Salida_Entrada%22.%22C%C3%B3digo%20Regi%C3%B3n%22%3D5"/>
        <s v="https://analytics.zoho.com/open-view/2395394000008189059?ZOHO_CRITERIA=%221.1%20Lugar_Salida_Entrada%22.%22C%C3%B3digo%20Regi%C3%B3n%22%3D6"/>
        <s v="https://analytics.zoho.com/open-view/2395394000008189059?ZOHO_CRITERIA=%221.1%20Lugar_Salida_Entrada%22.%22C%C3%B3digo%20Regi%C3%B3n%22%3D7"/>
        <s v="https://analytics.zoho.com/open-view/2395394000008189059?ZOHO_CRITERIA=%221.1%20Lugar_Salida_Entrada%22.%22C%C3%B3digo%20Regi%C3%B3n%22%3D8"/>
        <s v="https://analytics.zoho.com/open-view/2395394000008189059?ZOHO_CRITERIA=%221.1%20Lugar_Salida_Entrada%22.%22C%C3%B3digo%20Regi%C3%B3n%22%3D9"/>
        <s v="https://analytics.zoho.com/open-view/2395394000008189059?ZOHO_CRITERIA=%221.1%20Lugar_Salida_Entrada%22.%22C%C3%B3digo%20Regi%C3%B3n%22%3D10"/>
        <s v="https://analytics.zoho.com/open-view/2395394000008189059?ZOHO_CRITERIA=%221.1%20Lugar_Salida_Entrada%22.%22C%C3%B3digo%20Regi%C3%B3n%22%3D11"/>
        <s v="https://analytics.zoho.com/open-view/2395394000008189059?ZOHO_CRITERIA=%221.1%20Lugar_Salida_Entrada%22.%22C%C3%B3digo%20Regi%C3%B3n%22%3D12"/>
        <s v="https://analytics.zoho.com/open-view/2395394000008189059?ZOHO_CRITERIA=%221.1%20Lugar_Salida_Entrada%22.%22C%C3%B3digo%20Regi%C3%B3n%22%3D13"/>
        <s v="https://analytics.zoho.com/open-view/2395394000008189059?ZOHO_CRITERIA=%221.1%20Lugar_Salida_Entrada%22.%22C%C3%B3digo%20Regi%C3%B3n%22%3D14"/>
        <s v="https://analytics.zoho.com/open-view/2395394000008189059?ZOHO_CRITERIA=%221.1%20Lugar_Salida_Entrada%22.%22C%C3%B3digo%20Regi%C3%B3n%22%3D15"/>
        <s v="https://analytics.zoho.com/open-view/2395394000008554040"/>
        <s v="https://analytics.zoho.com/open-view/2395394000008189846"/>
        <s v="https://analytics.zoho.com/open-view/2395394000008532260?ZOHO_CRITERIA=%221.1%20Lugar_Salida_Entrada%22.%22C%C3%B3digo%20Regi%C3%B3n%22%3D1"/>
        <s v="https://analytics.zoho.com/open-view/2395394000008532260?ZOHO_CRITERIA=%221.1%20Lugar_Salida_Entrada%22.%22C%C3%B3digo%20Regi%C3%B3n%22%3D2"/>
        <s v="https://analytics.zoho.com/open-view/2395394000008532260?ZOHO_CRITERIA=%221.1%20Lugar_Salida_Entrada%22.%22C%C3%B3digo%20Regi%C3%B3n%22%3D3"/>
        <s v="https://analytics.zoho.com/open-view/2395394000008532260?ZOHO_CRITERIA=%221.1%20Lugar_Salida_Entrada%22.%22C%C3%B3digo%20Regi%C3%B3n%22%3D4"/>
        <s v="https://analytics.zoho.com/open-view/2395394000008532260?ZOHO_CRITERIA=%221.1%20Lugar_Salida_Entrada%22.%22C%C3%B3digo%20Regi%C3%B3n%22%3D5"/>
        <s v="https://analytics.zoho.com/open-view/2395394000008532260?ZOHO_CRITERIA=%221.1%20Lugar_Salida_Entrada%22.%22C%C3%B3digo%20Regi%C3%B3n%22%3D6"/>
        <s v="https://analytics.zoho.com/open-view/2395394000008532260?ZOHO_CRITERIA=%221.1%20Lugar_Salida_Entrada%22.%22C%C3%B3digo%20Regi%C3%B3n%22%3D7"/>
        <s v="https://analytics.zoho.com/open-view/2395394000008532260?ZOHO_CRITERIA=%221.1%20Lugar_Salida_Entrada%22.%22C%C3%B3digo%20Regi%C3%B3n%22%3D8"/>
        <s v="https://analytics.zoho.com/open-view/2395394000008532260?ZOHO_CRITERIA=%221.1%20Lugar_Salida_Entrada%22.%22C%C3%B3digo%20Regi%C3%B3n%22%3D9"/>
        <s v="https://analytics.zoho.com/open-view/2395394000008532260?ZOHO_CRITERIA=%221.1%20Lugar_Salida_Entrada%22.%22C%C3%B3digo%20Regi%C3%B3n%22%3D10"/>
        <s v="https://analytics.zoho.com/open-view/2395394000008532260?ZOHO_CRITERIA=%221.1%20Lugar_Salida_Entrada%22.%22C%C3%B3digo%20Regi%C3%B3n%22%3D11"/>
        <s v="https://analytics.zoho.com/open-view/2395394000008532260?ZOHO_CRITERIA=%221.1%20Lugar_Salida_Entrada%22.%22C%C3%B3digo%20Regi%C3%B3n%22%3D12"/>
        <s v="https://analytics.zoho.com/open-view/2395394000008532260?ZOHO_CRITERIA=%221.1%20Lugar_Salida_Entrada%22.%22C%C3%B3digo%20Regi%C3%B3n%22%3D13"/>
        <s v="https://analytics.zoho.com/open-view/2395394000008532260?ZOHO_CRITERIA=%221.1%20Lugar_Salida_Entrada%22.%22C%C3%B3digo%20Regi%C3%B3n%22%3D14"/>
        <s v="https://analytics.zoho.com/open-view/2395394000008532260?ZOHO_CRITERIA=%221.1%20Lugar_Salida_Entrada%22.%22C%C3%B3digo%20Regi%C3%B3n%22%3D15"/>
        <s v="https://analytics.zoho.com/open-view/2395394000008083407"/>
        <s v="https://analytics.zoho.com/open-view/2395394000008464607?ZOHO_CRITERIA=%22Localiza%20CL%22.%22Codreg%22%20%3D%201"/>
        <s v="https://analytics.zoho.com/open-view/2395394000008464607?ZOHO_CRITERIA=%22Localiza%20CL%22.%22Codreg%22%20%3D%202"/>
        <s v="https://analytics.zoho.com/open-view/2395394000008464607?ZOHO_CRITERIA=%22Localiza%20CL%22.%22Codreg%22%20%3D%203"/>
        <s v="https://analytics.zoho.com/open-view/2395394000008464607?ZOHO_CRITERIA=%22Localiza%20CL%22.%22Codreg%22%20%3D%204"/>
        <s v="https://analytics.zoho.com/open-view/2395394000008464607?ZOHO_CRITERIA=%22Localiza%20CL%22.%22Codreg%22%20%3D%205"/>
        <s v="https://analytics.zoho.com/open-view/2395394000008464607?ZOHO_CRITERIA=%22Localiza%20CL%22.%22Codreg%22%20%3D%206"/>
        <s v="https://analytics.zoho.com/open-view/2395394000008464607?ZOHO_CRITERIA=%22Localiza%20CL%22.%22Codreg%22%20%3D%207"/>
        <s v="https://analytics.zoho.com/open-view/2395394000008464607?ZOHO_CRITERIA=%22Localiza%20CL%22.%22Codreg%22%20%3D%208"/>
        <s v="https://analytics.zoho.com/open-view/2395394000008464607?ZOHO_CRITERIA=%22Localiza%20CL%22.%22Codreg%22%20%3D%209"/>
        <s v="https://analytics.zoho.com/open-view/2395394000008464607?ZOHO_CRITERIA=%22Localiza%20CL%22.%22Codreg%22%20%3D%2010"/>
        <s v="https://analytics.zoho.com/open-view/2395394000008464607?ZOHO_CRITERIA=%22Localiza%20CL%22.%22Codreg%22%20%3D%2011"/>
        <s v="https://analytics.zoho.com/open-view/2395394000008464607?ZOHO_CRITERIA=%22Localiza%20CL%22.%22Codreg%22%20%3D%2012"/>
        <s v="https://analytics.zoho.com/open-view/2395394000008464607?ZOHO_CRITERIA=%22Localiza%20CL%22.%22Codreg%22%20%3D%2013"/>
        <s v="https://analytics.zoho.com/open-view/2395394000008464607?ZOHO_CRITERIA=%22Localiza%20CL%22.%22Codreg%22%20%3D%2014"/>
        <s v="https://analytics.zoho.com/open-view/2395394000008464607?ZOHO_CRITERIA=%22Localiza%20CL%22.%22Codreg%22%20%3D%2015"/>
        <s v="https://analytics.zoho.com/open-view/2395394000008464607?ZOHO_CRITERIA=%22Localiza%20CL%22.%22Codreg%22%20%3D%2016"/>
        <s v="https://analytics.zoho.com/open-view/2395394000008183410"/>
        <s v="https://analytics.zoho.com/open-view/2395394000008464727?ZOHO_CRITERIA=%22Localiza%20CL%22.%22Codreg%22%20%3D%201"/>
        <s v="https://analytics.zoho.com/open-view/2395394000008464727?ZOHO_CRITERIA=%22Localiza%20CL%22.%22Codreg%22%20%3D%202"/>
        <s v="https://analytics.zoho.com/open-view/2395394000008464727?ZOHO_CRITERIA=%22Localiza%20CL%22.%22Codreg%22%20%3D%203"/>
        <s v="https://analytics.zoho.com/open-view/2395394000008464727?ZOHO_CRITERIA=%22Localiza%20CL%22.%22Codreg%22%20%3D%204"/>
        <s v="https://analytics.zoho.com/open-view/2395394000008464727?ZOHO_CRITERIA=%22Localiza%20CL%22.%22Codreg%22%20%3D%205"/>
        <s v="https://analytics.zoho.com/open-view/2395394000008464727?ZOHO_CRITERIA=%22Localiza%20CL%22.%22Codreg%22%20%3D%206"/>
        <s v="https://analytics.zoho.com/open-view/2395394000008464727?ZOHO_CRITERIA=%22Localiza%20CL%22.%22Codreg%22%20%3D%207"/>
        <s v="https://analytics.zoho.com/open-view/2395394000008464727?ZOHO_CRITERIA=%22Localiza%20CL%22.%22Codreg%22%20%3D%208"/>
        <s v="https://analytics.zoho.com/open-view/2395394000008464727?ZOHO_CRITERIA=%22Localiza%20CL%22.%22Codreg%22%20%3D%209"/>
        <s v="https://analytics.zoho.com/open-view/2395394000008464727?ZOHO_CRITERIA=%22Localiza%20CL%22.%22Codreg%22%20%3D%2010"/>
        <s v="https://analytics.zoho.com/open-view/2395394000008464727?ZOHO_CRITERIA=%22Localiza%20CL%22.%22Codreg%22%20%3D%2011"/>
        <s v="https://analytics.zoho.com/open-view/2395394000008464727?ZOHO_CRITERIA=%22Localiza%20CL%22.%22Codreg%22%20%3D%2012"/>
        <s v="https://analytics.zoho.com/open-view/2395394000008464727?ZOHO_CRITERIA=%22Localiza%20CL%22.%22Codreg%22%20%3D%2013"/>
        <s v="https://analytics.zoho.com/open-view/2395394000008464727?ZOHO_CRITERIA=%22Localiza%20CL%22.%22Codreg%22%20%3D%2014"/>
        <s v="https://analytics.zoho.com/open-view/2395394000008464727?ZOHO_CRITERIA=%22Localiza%20CL%22.%22Codreg%22%20%3D%2015"/>
        <s v="https://analytics.zoho.com/open-view/2395394000008464727?ZOHO_CRITERIA=%22Localiza%20CL%22.%22Codreg%22%20%3D%2016"/>
        <s v="https://analytics.zoho.com/open-view/2395394000008069731"/>
        <s v="https://analytics.zoho.com/open-view/2395394000008478003?ZOHO_CRITERIA=%22Localiza%20CL%22.%22Codreg%22%20%3D%201"/>
        <s v="https://analytics.zoho.com/open-view/2395394000008478003?ZOHO_CRITERIA=%22Localiza%20CL%22.%22Codreg%22%20%3D%202"/>
        <s v="https://analytics.zoho.com/open-view/2395394000008478003?ZOHO_CRITERIA=%22Localiza%20CL%22.%22Codreg%22%20%3D%203"/>
        <s v="https://analytics.zoho.com/open-view/2395394000008478003?ZOHO_CRITERIA=%22Localiza%20CL%22.%22Codreg%22%20%3D%204"/>
        <s v="https://analytics.zoho.com/open-view/2395394000008478003?ZOHO_CRITERIA=%22Localiza%20CL%22.%22Codreg%22%20%3D%205"/>
        <s v="https://analytics.zoho.com/open-view/2395394000008478003?ZOHO_CRITERIA=%22Localiza%20CL%22.%22Codreg%22%20%3D%206"/>
        <s v="https://analytics.zoho.com/open-view/2395394000008478003?ZOHO_CRITERIA=%22Localiza%20CL%22.%22Codreg%22%20%3D%207"/>
        <s v="https://analytics.zoho.com/open-view/2395394000008478003?ZOHO_CRITERIA=%22Localiza%20CL%22.%22Codreg%22%20%3D%208"/>
        <s v="https://analytics.zoho.com/open-view/2395394000008478003?ZOHO_CRITERIA=%22Localiza%20CL%22.%22Codreg%22%20%3D%209"/>
        <s v="https://analytics.zoho.com/open-view/2395394000008478003?ZOHO_CRITERIA=%22Localiza%20CL%22.%22Codreg%22%20%3D%2010"/>
        <s v="https://analytics.zoho.com/open-view/2395394000008478003?ZOHO_CRITERIA=%22Localiza%20CL%22.%22Codreg%22%20%3D%2011"/>
        <s v="https://analytics.zoho.com/open-view/2395394000008478003?ZOHO_CRITERIA=%22Localiza%20CL%22.%22Codreg%22%20%3D%2012"/>
        <s v="https://analytics.zoho.com/open-view/2395394000008478003?ZOHO_CRITERIA=%22Localiza%20CL%22.%22Codreg%22%20%3D%2013"/>
        <s v="https://analytics.zoho.com/open-view/2395394000008478003?ZOHO_CRITERIA=%22Localiza%20CL%22.%22Codreg%22%20%3D%2014"/>
        <s v="https://analytics.zoho.com/open-view/2395394000008478003?ZOHO_CRITERIA=%22Localiza%20CL%22.%22Codreg%22%20%3D%2015"/>
        <s v="https://analytics.zoho.com/open-view/2395394000008478003?ZOHO_CRITERIA=%22Localiza%20CL%22.%22Codreg%22%20%3D%2016"/>
        <s v="https://analytics.zoho.com/open-view/2395394000007274123"/>
        <s v="https://analytics.zoho.com/open-view/2395394000007277131"/>
        <s v="https://analytics.zoho.com/open-view/2395394000008496666"/>
        <s v="https://analytics.zoho.com/open-view/2395394000008502284?ZOHO_CRITERIA=%22Localiza%20Chile%22.%22Codreg%22%3D1"/>
        <s v="https://analytics.zoho.com/open-view/2395394000008502284?ZOHO_CRITERIA=%22Localiza%20Chile%22.%22Codreg%22%3D2"/>
        <s v="https://analytics.zoho.com/open-view/2395394000008502284?ZOHO_CRITERIA=%22Localiza%20Chile%22.%22Codreg%22%3D3"/>
        <s v="https://analytics.zoho.com/open-view/2395394000008502284?ZOHO_CRITERIA=%22Localiza%20Chile%22.%22Codreg%22%3D4"/>
        <s v="https://analytics.zoho.com/open-view/2395394000008502284?ZOHO_CRITERIA=%22Localiza%20Chile%22.%22Codreg%22%3D5"/>
        <s v="https://analytics.zoho.com/open-view/2395394000008502284?ZOHO_CRITERIA=%22Localiza%20Chile%22.%22Codreg%22%3D6"/>
        <s v="https://analytics.zoho.com/open-view/2395394000008502284?ZOHO_CRITERIA=%22Localiza%20Chile%22.%22Codreg%22%3D7"/>
        <s v="https://analytics.zoho.com/open-view/2395394000008502284?ZOHO_CRITERIA=%22Localiza%20Chile%22.%22Codreg%22%3D8"/>
        <s v="https://analytics.zoho.com/open-view/2395394000008502284?ZOHO_CRITERIA=%22Localiza%20Chile%22.%22Codreg%22%3D9"/>
        <s v="https://analytics.zoho.com/open-view/2395394000008502284?ZOHO_CRITERIA=%22Localiza%20Chile%22.%22Codreg%22%3D10"/>
        <s v="https://analytics.zoho.com/open-view/2395394000008502284?ZOHO_CRITERIA=%22Localiza%20Chile%22.%22Codreg%22%3D11"/>
        <s v="https://analytics.zoho.com/open-view/2395394000008502284?ZOHO_CRITERIA=%22Localiza%20Chile%22.%22Codreg%22%3D12"/>
        <s v="https://analytics.zoho.com/open-view/2395394000008502284?ZOHO_CRITERIA=%22Localiza%20Chile%22.%22Codreg%22%3D13"/>
        <s v="https://analytics.zoho.com/open-view/2395394000008502284?ZOHO_CRITERIA=%22Localiza%20Chile%22.%22Codreg%22%3D14"/>
        <s v="https://analytics.zoho.com/open-view/2395394000008502284?ZOHO_CRITERIA=%22Localiza%20Chile%22.%22Codreg%22%3D15"/>
        <s v="https://analytics.zoho.com/open-view/2395394000008502284?ZOHO_CRITERIA=%22Localiza%20Chile%22.%22Codreg%22%3D16"/>
        <s v="https://analytics.zoho.com/open-view/2395394000008435350"/>
        <s v="https://analytics.zoho.com/open-view/2395394000008438417"/>
        <s v="https://analytics.zoho.com/open-view/2395394000008435500?ZOHO_CRITERIA=%22Conexi%C3%B3n_Internet_fija%22.%22Codreg%22%3D1"/>
        <s v="https://analytics.zoho.com/open-view/2395394000008435500?ZOHO_CRITERIA=%22Conexi%C3%B3n_Internet_fija%22.%22Codreg%22%3D2"/>
        <s v="https://analytics.zoho.com/open-view/2395394000008435500?ZOHO_CRITERIA=%22Conexi%C3%B3n_Internet_fija%22.%22Codreg%22%3D3"/>
        <s v="https://analytics.zoho.com/open-view/2395394000008435500?ZOHO_CRITERIA=%22Conexi%C3%B3n_Internet_fija%22.%22Codreg%22%3D4"/>
        <s v="https://analytics.zoho.com/open-view/2395394000008435500?ZOHO_CRITERIA=%22Conexi%C3%B3n_Internet_fija%22.%22Codreg%22%3D5"/>
        <s v="https://analytics.zoho.com/open-view/2395394000008435500?ZOHO_CRITERIA=%22Conexi%C3%B3n_Internet_fija%22.%22Codreg%22%3D6"/>
        <s v="https://analytics.zoho.com/open-view/2395394000008435500?ZOHO_CRITERIA=%22Conexi%C3%B3n_Internet_fija%22.%22Codreg%22%3D7"/>
        <s v="https://analytics.zoho.com/open-view/2395394000008435500?ZOHO_CRITERIA=%22Conexi%C3%B3n_Internet_fija%22.%22Codreg%22%3D8"/>
        <s v="https://analytics.zoho.com/open-view/2395394000008435500?ZOHO_CRITERIA=%22Conexi%C3%B3n_Internet_fija%22.%22Codreg%22%3D9"/>
        <s v="https://analytics.zoho.com/open-view/2395394000008435500?ZOHO_CRITERIA=%22Conexi%C3%B3n_Internet_fija%22.%22Codreg%22%3D10"/>
        <s v="https://analytics.zoho.com/open-view/2395394000008435500?ZOHO_CRITERIA=%22Conexi%C3%B3n_Internet_fija%22.%22Codreg%22%3D11"/>
        <s v="https://analytics.zoho.com/open-view/2395394000008435500?ZOHO_CRITERIA=%22Conexi%C3%B3n_Internet_fija%22.%22Codreg%22%3D12"/>
        <s v="https://analytics.zoho.com/open-view/2395394000008435500?ZOHO_CRITERIA=%22Conexi%C3%B3n_Internet_fija%22.%22Codreg%22%3D13"/>
        <s v="https://analytics.zoho.com/open-view/2395394000008435500?ZOHO_CRITERIA=%22Conexi%C3%B3n_Internet_fija%22.%22Codreg%22%3D14"/>
        <s v="https://analytics.zoho.com/open-view/2395394000008435500?ZOHO_CRITERIA=%22Conexi%C3%B3n_Internet_fija%22.%22Codreg%22%3D15"/>
        <s v="https://analytics.zoho.com/open-view/2395394000008435500?ZOHO_CRITERIA=%22Conexi%C3%B3n_Internet_fija%22.%22Codreg%22%3D16"/>
        <s v="https://analytics.zoho.com/open-view/2395394000008461424"/>
        <s v="https://analytics.zoho.com/open-view/2395394000008434853?ZOHO_CRITERIA=%22Televisi%C3%B3n_Pago%22.%22CodRegi%C3%B3n%22%3D1"/>
        <s v="https://analytics.zoho.com/open-view/2395394000008434853?ZOHO_CRITERIA=%22Televisi%C3%B3n_Pago%22.%22CodRegi%C3%B3n%22%3D2"/>
        <s v="https://analytics.zoho.com/open-view/2395394000008434853?ZOHO_CRITERIA=%22Televisi%C3%B3n_Pago%22.%22CodRegi%C3%B3n%22%3D3"/>
        <s v="https://analytics.zoho.com/open-view/2395394000008434853?ZOHO_CRITERIA=%22Televisi%C3%B3n_Pago%22.%22CodRegi%C3%B3n%22%3D4"/>
        <s v="https://analytics.zoho.com/open-view/2395394000008434853?ZOHO_CRITERIA=%22Televisi%C3%B3n_Pago%22.%22CodRegi%C3%B3n%22%3D5"/>
        <s v="https://analytics.zoho.com/open-view/2395394000008434853?ZOHO_CRITERIA=%22Televisi%C3%B3n_Pago%22.%22CodRegi%C3%B3n%22%3D6"/>
        <s v="https://analytics.zoho.com/open-view/2395394000008434853?ZOHO_CRITERIA=%22Televisi%C3%B3n_Pago%22.%22CodRegi%C3%B3n%22%3D7"/>
        <s v="https://analytics.zoho.com/open-view/2395394000008434853?ZOHO_CRITERIA=%22Televisi%C3%B3n_Pago%22.%22CodRegi%C3%B3n%22%3D8"/>
        <s v="https://analytics.zoho.com/open-view/2395394000008434853?ZOHO_CRITERIA=%22Televisi%C3%B3n_Pago%22.%22CodRegi%C3%B3n%22%3D9"/>
        <s v="https://analytics.zoho.com/open-view/2395394000008434853?ZOHO_CRITERIA=%22Televisi%C3%B3n_Pago%22.%22CodRegi%C3%B3n%22%3D10"/>
        <s v="https://analytics.zoho.com/open-view/2395394000008434853?ZOHO_CRITERIA=%22Televisi%C3%B3n_Pago%22.%22CodRegi%C3%B3n%22%3D11"/>
        <s v="https://analytics.zoho.com/open-view/2395394000008434853?ZOHO_CRITERIA=%22Televisi%C3%B3n_Pago%22.%22CodRegi%C3%B3n%22%3D12"/>
        <s v="https://analytics.zoho.com/open-view/2395394000008434853?ZOHO_CRITERIA=%22Televisi%C3%B3n_Pago%22.%22CodRegi%C3%B3n%22%3D13"/>
        <s v="https://analytics.zoho.com/open-view/2395394000008434853?ZOHO_CRITERIA=%22Televisi%C3%B3n_Pago%22.%22CodRegi%C3%B3n%22%3D14"/>
        <s v="https://analytics.zoho.com/open-view/2395394000008434853?ZOHO_CRITERIA=%22Televisi%C3%B3n_Pago%22.%22CodRegi%C3%B3n%22%3D15"/>
        <s v="https://analytics.zoho.com/open-view/2395394000008434853?ZOHO_CRITERIA=%22Televisi%C3%B3n_Pago%22.%22CodRegi%C3%B3n%22%3D16"/>
        <s v="https://analytics.zoho.com/open-view/2395394000008435117"/>
        <s v="https://analytics.zoho.com/open-view/2395394000008511008?ZOHO_CRITERIA=%22Televisi%C3%B3n_Pago%22.%22CodRegi%C3%B3n%22%3D1"/>
        <s v="https://analytics.zoho.com/open-view/2395394000008511008?ZOHO_CRITERIA=%22Televisi%C3%B3n_Pago%22.%22CodRegi%C3%B3n%22%3D2"/>
        <s v="https://analytics.zoho.com/open-view/2395394000008511008?ZOHO_CRITERIA=%22Televisi%C3%B3n_Pago%22.%22CodRegi%C3%B3n%22%3D3"/>
        <s v="https://analytics.zoho.com/open-view/2395394000008511008?ZOHO_CRITERIA=%22Televisi%C3%B3n_Pago%22.%22CodRegi%C3%B3n%22%3D4"/>
        <s v="https://analytics.zoho.com/open-view/2395394000008511008?ZOHO_CRITERIA=%22Televisi%C3%B3n_Pago%22.%22CodRegi%C3%B3n%22%3D5"/>
        <s v="https://analytics.zoho.com/open-view/2395394000008511008?ZOHO_CRITERIA=%22Televisi%C3%B3n_Pago%22.%22CodRegi%C3%B3n%22%3D6"/>
        <s v="https://analytics.zoho.com/open-view/2395394000008511008?ZOHO_CRITERIA=%22Televisi%C3%B3n_Pago%22.%22CodRegi%C3%B3n%22%3D7"/>
        <s v="https://analytics.zoho.com/open-view/2395394000008511008?ZOHO_CRITERIA=%22Televisi%C3%B3n_Pago%22.%22CodRegi%C3%B3n%22%3D8"/>
        <s v="https://analytics.zoho.com/open-view/2395394000008511008?ZOHO_CRITERIA=%22Televisi%C3%B3n_Pago%22.%22CodRegi%C3%B3n%22%3D9"/>
        <s v="https://analytics.zoho.com/open-view/2395394000008511008?ZOHO_CRITERIA=%22Televisi%C3%B3n_Pago%22.%22CodRegi%C3%B3n%22%3D10"/>
        <s v="https://analytics.zoho.com/open-view/2395394000008511008?ZOHO_CRITERIA=%22Televisi%C3%B3n_Pago%22.%22CodRegi%C3%B3n%22%3D11"/>
        <s v="https://analytics.zoho.com/open-view/2395394000008511008?ZOHO_CRITERIA=%22Televisi%C3%B3n_Pago%22.%22CodRegi%C3%B3n%22%3D12"/>
        <s v="https://analytics.zoho.com/open-view/2395394000008511008?ZOHO_CRITERIA=%22Televisi%C3%B3n_Pago%22.%22CodRegi%C3%B3n%22%3D13"/>
        <s v="https://analytics.zoho.com/open-view/2395394000008511008?ZOHO_CRITERIA=%22Televisi%C3%B3n_Pago%22.%22CodRegi%C3%B3n%22%3D14"/>
        <s v="https://analytics.zoho.com/open-view/2395394000008511008?ZOHO_CRITERIA=%22Televisi%C3%B3n_Pago%22.%22CodRegi%C3%B3n%22%3D15"/>
        <s v="https://analytics.zoho.com/open-view/2395394000008511008?ZOHO_CRITERIA=%22Televisi%C3%B3n_Pago%22.%22CodRegi%C3%B3n%22%3D16"/>
        <s v="https://analytics.zoho.com/open-view/2395394000008436309"/>
        <s v="https://analytics.zoho.com/open-view/2395394000008503085?ZOHO_CRITERIA=%22Pueblos%20Ind%C3%ADgenas%20Edad%22.%22id_Region%22%20%3D%201"/>
        <s v="https://analytics.zoho.com/open-view/2395394000008503085?ZOHO_CRITERIA=%22Pueblos%20Ind%C3%ADgenas%20Edad%22.%22id_Region%22%20%3D%202"/>
        <s v="https://analytics.zoho.com/open-view/2395394000008503085?ZOHO_CRITERIA=%22Pueblos%20Ind%C3%ADgenas%20Edad%22.%22id_Region%22%20%3D%203"/>
        <s v="https://analytics.zoho.com/open-view/2395394000008503085?ZOHO_CRITERIA=%22Pueblos%20Ind%C3%ADgenas%20Edad%22.%22id_Region%22%20%3D%204"/>
        <s v="https://analytics.zoho.com/open-view/2395394000008503085?ZOHO_CRITERIA=%22Pueblos%20Ind%C3%ADgenas%20Edad%22.%22id_Region%22%20%3D%205"/>
        <s v="https://analytics.zoho.com/open-view/2395394000008503085?ZOHO_CRITERIA=%22Pueblos%20Ind%C3%ADgenas%20Edad%22.%22id_Region%22%20%3D%206"/>
        <s v="https://analytics.zoho.com/open-view/2395394000008503085?ZOHO_CRITERIA=%22Pueblos%20Ind%C3%ADgenas%20Edad%22.%22id_Region%22%20%3D%207"/>
        <s v="https://analytics.zoho.com/open-view/2395394000008503085?ZOHO_CRITERIA=%22Pueblos%20Ind%C3%ADgenas%20Edad%22.%22id_Region%22%20%3D%208"/>
        <s v="https://analytics.zoho.com/open-view/2395394000008503085?ZOHO_CRITERIA=%22Pueblos%20Ind%C3%ADgenas%20Edad%22.%22id_Region%22%20%3D%209"/>
        <s v="https://analytics.zoho.com/open-view/2395394000008503085?ZOHO_CRITERIA=%22Pueblos%20Ind%C3%ADgenas%20Edad%22.%22id_Region%22%20%3D%2010"/>
        <s v="https://analytics.zoho.com/open-view/2395394000008503085?ZOHO_CRITERIA=%22Pueblos%20Ind%C3%ADgenas%20Edad%22.%22id_Region%22%20%3D%2011"/>
        <s v="https://analytics.zoho.com/open-view/2395394000008503085?ZOHO_CRITERIA=%22Pueblos%20Ind%C3%ADgenas%20Edad%22.%22id_Region%22%20%3D%2012"/>
        <s v="https://analytics.zoho.com/open-view/2395394000008503085?ZOHO_CRITERIA=%22Pueblos%20Ind%C3%ADgenas%20Edad%22.%22id_Region%22%20%3D%2013"/>
        <s v="https://analytics.zoho.com/open-view/2395394000008503085?ZOHO_CRITERIA=%22Pueblos%20Ind%C3%ADgenas%20Edad%22.%22id_Region%22%20%3D%2014"/>
        <s v="https://analytics.zoho.com/open-view/2395394000008503085?ZOHO_CRITERIA=%22Pueblos%20Ind%C3%ADgenas%20Edad%22.%22id_Region%22%20%3D%2015"/>
        <s v="https://analytics.zoho.com/open-view/2395394000008503085?ZOHO_CRITERIA=%22Pueblos%20Ind%C3%ADgenas%20Edad%22.%22id_Region%22%20%3D%2016"/>
        <s v="https://analytics.zoho.com/open-view/2395394000008436580"/>
        <s v="https://analytics.zoho.com/open-view/2395394000008503207?ZOHO_CRITERIA=%22Pueblos%20Ind%C3%ADgenas%20Edad%22.%22id_Region%22%20%3D%201"/>
        <s v="https://analytics.zoho.com/open-view/2395394000008503207?ZOHO_CRITERIA=%22Pueblos%20Ind%C3%ADgenas%20Edad%22.%22id_Region%22%20%3D%202"/>
        <s v="https://analytics.zoho.com/open-view/2395394000008503207?ZOHO_CRITERIA=%22Pueblos%20Ind%C3%ADgenas%20Edad%22.%22id_Region%22%20%3D%203"/>
        <s v="https://analytics.zoho.com/open-view/2395394000008503207?ZOHO_CRITERIA=%22Pueblos%20Ind%C3%ADgenas%20Edad%22.%22id_Region%22%20%3D%204"/>
        <s v="https://analytics.zoho.com/open-view/2395394000008503207?ZOHO_CRITERIA=%22Pueblos%20Ind%C3%ADgenas%20Edad%22.%22id_Region%22%20%3D%205"/>
        <s v="https://analytics.zoho.com/open-view/2395394000008503207?ZOHO_CRITERIA=%22Pueblos%20Ind%C3%ADgenas%20Edad%22.%22id_Region%22%20%3D%206"/>
        <s v="https://analytics.zoho.com/open-view/2395394000008503207?ZOHO_CRITERIA=%22Pueblos%20Ind%C3%ADgenas%20Edad%22.%22id_Region%22%20%3D%207"/>
        <s v="https://analytics.zoho.com/open-view/2395394000008503207?ZOHO_CRITERIA=%22Pueblos%20Ind%C3%ADgenas%20Edad%22.%22id_Region%22%20%3D%208"/>
        <s v="https://analytics.zoho.com/open-view/2395394000008503207?ZOHO_CRITERIA=%22Pueblos%20Ind%C3%ADgenas%20Edad%22.%22id_Region%22%20%3D%209"/>
        <s v="https://analytics.zoho.com/open-view/2395394000008503207?ZOHO_CRITERIA=%22Pueblos%20Ind%C3%ADgenas%20Edad%22.%22id_Region%22%20%3D%2010"/>
        <s v="https://analytics.zoho.com/open-view/2395394000008503207?ZOHO_CRITERIA=%22Pueblos%20Ind%C3%ADgenas%20Edad%22.%22id_Region%22%20%3D%2011"/>
        <s v="https://analytics.zoho.com/open-view/2395394000008503207?ZOHO_CRITERIA=%22Pueblos%20Ind%C3%ADgenas%20Edad%22.%22id_Region%22%20%3D%2012"/>
        <s v="https://analytics.zoho.com/open-view/2395394000008503207?ZOHO_CRITERIA=%22Pueblos%20Ind%C3%ADgenas%20Edad%22.%22id_Region%22%20%3D%2013"/>
        <s v="https://analytics.zoho.com/open-view/2395394000008503207?ZOHO_CRITERIA=%22Pueblos%20Ind%C3%ADgenas%20Edad%22.%22id_Region%22%20%3D%2014"/>
        <s v="https://analytics.zoho.com/open-view/2395394000008503207?ZOHO_CRITERIA=%22Pueblos%20Ind%C3%ADgenas%20Edad%22.%22id_Region%22%20%3D%2015"/>
        <s v="https://analytics.zoho.com/open-view/2395394000008503207?ZOHO_CRITERIA=%22Pueblos%20Ind%C3%ADgenas%20Edad%22.%22id_Region%22%20%3D%2016"/>
        <s v="https://analytics.zoho.com/open-view/2395394000008436794"/>
        <s v="https://analytics.zoho.com/open-view/2395394000008436989"/>
        <s v="https://analytics.zoho.com/open-view/2395394000008503341?ZOHO_CRITERIA=%22Pueblos%20Ind%C3%ADgenas%20Edad%22.%22id_Region%22%20%3D%201"/>
        <s v="https://analytics.zoho.com/open-view/2395394000008503341?ZOHO_CRITERIA=%22Pueblos%20Ind%C3%ADgenas%20Edad%22.%22id_Region%22%20%3D%202"/>
        <s v="https://analytics.zoho.com/open-view/2395394000008503341?ZOHO_CRITERIA=%22Pueblos%20Ind%C3%ADgenas%20Edad%22.%22id_Region%22%20%3D%203"/>
        <s v="https://analytics.zoho.com/open-view/2395394000008503341?ZOHO_CRITERIA=%22Pueblos%20Ind%C3%ADgenas%20Edad%22.%22id_Region%22%20%3D%204"/>
        <s v="https://analytics.zoho.com/open-view/2395394000008503341?ZOHO_CRITERIA=%22Pueblos%20Ind%C3%ADgenas%20Edad%22.%22id_Region%22%20%3D%205"/>
        <s v="https://analytics.zoho.com/open-view/2395394000008503341?ZOHO_CRITERIA=%22Pueblos%20Ind%C3%ADgenas%20Edad%22.%22id_Region%22%20%3D%206"/>
        <s v="https://analytics.zoho.com/open-view/2395394000008503341?ZOHO_CRITERIA=%22Pueblos%20Ind%C3%ADgenas%20Edad%22.%22id_Region%22%20%3D%207"/>
        <s v="https://analytics.zoho.com/open-view/2395394000008503341?ZOHO_CRITERIA=%22Pueblos%20Ind%C3%ADgenas%20Edad%22.%22id_Region%22%20%3D%208"/>
        <s v="https://analytics.zoho.com/open-view/2395394000008503341?ZOHO_CRITERIA=%22Pueblos%20Ind%C3%ADgenas%20Edad%22.%22id_Region%22%20%3D%209"/>
        <s v="https://analytics.zoho.com/open-view/2395394000008503341?ZOHO_CRITERIA=%22Pueblos%20Ind%C3%ADgenas%20Edad%22.%22id_Region%22%20%3D%2010"/>
        <s v="https://analytics.zoho.com/open-view/2395394000008503341?ZOHO_CRITERIA=%22Pueblos%20Ind%C3%ADgenas%20Edad%22.%22id_Region%22%20%3D%2011"/>
        <s v="https://analytics.zoho.com/open-view/2395394000008503341?ZOHO_CRITERIA=%22Pueblos%20Ind%C3%ADgenas%20Edad%22.%22id_Region%22%20%3D%2012"/>
        <s v="https://analytics.zoho.com/open-view/2395394000008503341?ZOHO_CRITERIA=%22Pueblos%20Ind%C3%ADgenas%20Edad%22.%22id_Region%22%20%3D%2013"/>
        <s v="https://analytics.zoho.com/open-view/2395394000008503341?ZOHO_CRITERIA=%22Pueblos%20Ind%C3%ADgenas%20Edad%22.%22id_Region%22%20%3D%2014"/>
        <s v="https://analytics.zoho.com/open-view/2395394000008503341?ZOHO_CRITERIA=%22Pueblos%20Ind%C3%ADgenas%20Edad%22.%22id_Region%22%20%3D%2015"/>
        <s v="https://analytics.zoho.com/open-view/2395394000008503341?ZOHO_CRITERIA=%22Pueblos%20Ind%C3%ADgenas%20Edad%22.%22id_Region%22%20%3D%2016"/>
        <s v="https://analytics.zoho.com/open-view/2395394000008439092"/>
        <s v="https://analytics.zoho.com/open-view/2395394000008503554?ZOHO_CRITERIA=%22Pueblos%20Ind%C3%ADgenas%20Sexo%22.%22id_Region%22%20%3D%201"/>
        <s v="https://analytics.zoho.com/open-view/2395394000008503554?ZOHO_CRITERIA=%22Pueblos%20Ind%C3%ADgenas%20Sexo%22.%22id_Region%22%20%3D%202"/>
        <s v="https://analytics.zoho.com/open-view/2395394000008503554?ZOHO_CRITERIA=%22Pueblos%20Ind%C3%ADgenas%20Sexo%22.%22id_Region%22%20%3D%203"/>
        <s v="https://analytics.zoho.com/open-view/2395394000008503554?ZOHO_CRITERIA=%22Pueblos%20Ind%C3%ADgenas%20Sexo%22.%22id_Region%22%20%3D%204"/>
        <s v="https://analytics.zoho.com/open-view/2395394000008503554?ZOHO_CRITERIA=%22Pueblos%20Ind%C3%ADgenas%20Sexo%22.%22id_Region%22%20%3D%205"/>
        <s v="https://analytics.zoho.com/open-view/2395394000008503554?ZOHO_CRITERIA=%22Pueblos%20Ind%C3%ADgenas%20Sexo%22.%22id_Region%22%20%3D%206"/>
        <s v="https://analytics.zoho.com/open-view/2395394000008503554?ZOHO_CRITERIA=%22Pueblos%20Ind%C3%ADgenas%20Sexo%22.%22id_Region%22%20%3D%207"/>
        <s v="https://analytics.zoho.com/open-view/2395394000008503554?ZOHO_CRITERIA=%22Pueblos%20Ind%C3%ADgenas%20Sexo%22.%22id_Region%22%20%3D%208"/>
        <s v="https://analytics.zoho.com/open-view/2395394000008503554?ZOHO_CRITERIA=%22Pueblos%20Ind%C3%ADgenas%20Sexo%22.%22id_Region%22%20%3D%209"/>
        <s v="https://analytics.zoho.com/open-view/2395394000008503554?ZOHO_CRITERIA=%22Pueblos%20Ind%C3%ADgenas%20Sexo%22.%22id_Region%22%20%3D%2010"/>
        <s v="https://analytics.zoho.com/open-view/2395394000008503554?ZOHO_CRITERIA=%22Pueblos%20Ind%C3%ADgenas%20Sexo%22.%22id_Region%22%20%3D%2011"/>
        <s v="https://analytics.zoho.com/open-view/2395394000008503554?ZOHO_CRITERIA=%22Pueblos%20Ind%C3%ADgenas%20Sexo%22.%22id_Region%22%20%3D%2012"/>
        <s v="https://analytics.zoho.com/open-view/2395394000008503554?ZOHO_CRITERIA=%22Pueblos%20Ind%C3%ADgenas%20Sexo%22.%22id_Region%22%20%3D%2013"/>
        <s v="https://analytics.zoho.com/open-view/2395394000008503554?ZOHO_CRITERIA=%22Pueblos%20Ind%C3%ADgenas%20Sexo%22.%22id_Region%22%20%3D%2014"/>
        <s v="https://analytics.zoho.com/open-view/2395394000008503554?ZOHO_CRITERIA=%22Pueblos%20Ind%C3%ADgenas%20Sexo%22.%22id_Region%22%20%3D%2015"/>
        <s v="https://analytics.zoho.com/open-view/2395394000008503554?ZOHO_CRITERIA=%22Pueblos%20Ind%C3%ADgenas%20Sexo%22.%22id_Region%22%20%3D%2016"/>
        <s v="https://analytics.zoho.com/open-view/2395394000008196724"/>
        <s v="https://analytics.zoho.com/open-view/2395394000008199603"/>
        <s v="https://analytics.zoho.com/open-view/2395394000008199783"/>
        <s v="https://analytics.zoho.com/open-view/2395394000008086091"/>
        <s v="https://analytics.zoho.com/open-view/2395394000008094339?ZOHO_CRITERIA=%22Consolidado_Estadisticas_Regionales_New%22.%22C%C3%B3digo%20regi%C3%B3n%22%20%3D%201"/>
        <s v="https://analytics.zoho.com/open-view/2395394000008094339?ZOHO_CRITERIA=%22Consolidado_Estadisticas_Regionales_New%22.%22C%C3%B3digo%20regi%C3%B3n%22%20%3D%202"/>
        <s v="https://analytics.zoho.com/open-view/2395394000008094339?ZOHO_CRITERIA=%22Consolidado_Estadisticas_Regionales_New%22.%22C%C3%B3digo%20regi%C3%B3n%22%20%3D%203"/>
        <s v="https://analytics.zoho.com/open-view/2395394000008094339?ZOHO_CRITERIA=%22Consolidado_Estadisticas_Regionales_New%22.%22C%C3%B3digo%20regi%C3%B3n%22%20%3D%204"/>
        <s v="https://analytics.zoho.com/open-view/2395394000008086867"/>
        <s v="https://analytics.zoho.com/open-view/2395394000008760041?ZOHO_CRITERIA=%22Consolidado_Estadisticas_Regionales_New%22.%22C%C3%B3digo%20regi%C3%B3n%22%20%3D%201"/>
        <s v="https://analytics.zoho.com/open-view/2395394000008760041?ZOHO_CRITERIA=%22Consolidado_Estadisticas_Regionales_New%22.%22C%C3%B3digo%20regi%C3%B3n%22%20%3D%202"/>
        <s v="https://analytics.zoho.com/open-view/2395394000008760041?ZOHO_CRITERIA=%22Consolidado_Estadisticas_Regionales_New%22.%22C%C3%B3digo%20regi%C3%B3n%22%20%3D%203"/>
        <s v="https://analytics.zoho.com/open-view/2395394000008760041?ZOHO_CRITERIA=%22Consolidado_Estadisticas_Regionales_New%22.%22C%C3%B3digo%20regi%C3%B3n%22%20%3D%204"/>
        <s v="https://analytics.zoho.com/open-view/2395394000008760041?ZOHO_CRITERIA=%22Consolidado_Estadisticas_Regionales_New%22.%22C%C3%B3digo%20regi%C3%B3n%22%20%3D%205"/>
        <s v="https://analytics.zoho.com/open-view/2395394000008087059"/>
        <s v="https://analytics.zoho.com/open-view/2395394000008087414"/>
        <s v="https://analytics.zoho.com/open-view/2395394000008295693"/>
        <s v="https://analytics.zoho.com/open-view/2395394000008296020?ZOHO_CRITERIA=%22Consolidado_Estadisticas_Regionales_New%22.%22C%C3%B3digo%20regi%C3%B3n%22%3D1"/>
        <s v="https://analytics.zoho.com/open-view/2395394000008296020?ZOHO_CRITERIA=%22Consolidado_Estadisticas_Regionales_New%22.%22C%C3%B3digo%20regi%C3%B3n%22%3D2"/>
        <s v="https://analytics.zoho.com/open-view/2395394000008296020?ZOHO_CRITERIA=%22Consolidado_Estadisticas_Regionales_New%22.%22C%C3%B3digo%20regi%C3%B3n%22%3D3"/>
        <s v="https://analytics.zoho.com/open-view/2395394000008296020?ZOHO_CRITERIA=%22Consolidado_Estadisticas_Regionales_New%22.%22C%C3%B3digo%20regi%C3%B3n%22%3D4"/>
        <s v="https://analytics.zoho.com/open-view/2395394000008296020?ZOHO_CRITERIA=%22Consolidado_Estadisticas_Regionales_New%22.%22C%C3%B3digo%20regi%C3%B3n%22%3D5"/>
        <s v="https://analytics.zoho.com/open-view/2395394000008296020?ZOHO_CRITERIA=%22Consolidado_Estadisticas_Regionales_New%22.%22C%C3%B3digo%20regi%C3%B3n%22%3D6"/>
        <s v="https://analytics.zoho.com/open-view/2395394000008296020?ZOHO_CRITERIA=%22Consolidado_Estadisticas_Regionales_New%22.%22C%C3%B3digo%20regi%C3%B3n%22%3D7"/>
        <s v="https://analytics.zoho.com/open-view/2395394000008296020?ZOHO_CRITERIA=%22Consolidado_Estadisticas_Regionales_New%22.%22C%C3%B3digo%20regi%C3%B3n%22%3D8"/>
        <s v="https://analytics.zoho.com/open-view/2395394000008296020?ZOHO_CRITERIA=%22Consolidado_Estadisticas_Regionales_New%22.%22C%C3%B3digo%20regi%C3%B3n%22%3D9"/>
        <s v="https://analytics.zoho.com/open-view/2395394000008296020?ZOHO_CRITERIA=%22Consolidado_Estadisticas_Regionales_New%22.%22C%C3%B3digo%20regi%C3%B3n%22%3D10"/>
        <s v="https://analytics.zoho.com/open-view/2395394000008296020?ZOHO_CRITERIA=%22Consolidado_Estadisticas_Regionales_New%22.%22C%C3%B3digo%20regi%C3%B3n%22%3D11"/>
        <s v="https://analytics.zoho.com/open-view/2395394000008296020?ZOHO_CRITERIA=%22Consolidado_Estadisticas_Regionales_New%22.%22C%C3%B3digo%20regi%C3%B3n%22%3D12"/>
        <s v="https://analytics.zoho.com/open-view/2395394000008296020?ZOHO_CRITERIA=%22Consolidado_Estadisticas_Regionales_New%22.%22C%C3%B3digo%20regi%C3%B3n%22%3D13"/>
        <s v="https://analytics.zoho.com/open-view/2395394000008296020?ZOHO_CRITERIA=%22Consolidado_Estadisticas_Regionales_New%22.%22C%C3%B3digo%20regi%C3%B3n%22%3D14"/>
        <s v="https://analytics.zoho.com/open-view/2395394000008296020?ZOHO_CRITERIA=%22Consolidado_Estadisticas_Regionales_New%22.%22C%C3%B3digo%20regi%C3%B3n%22%3D15"/>
        <s v="https://analytics.zoho.com/open-view/2395394000008296020?ZOHO_CRITERIA=%22Consolidado_Estadisticas_Regionales_New%22.%22C%C3%B3digo%20regi%C3%B3n%22%3D16"/>
        <s v="https://analytics.zoho.com/open-view/2395394000008299317"/>
        <s v="https://analytics.zoho.com/open-view/2395394000008299691?ZOHO_CRITERIA=%22Consolidado_Estadisticas_Regionales_New%22.%22C%C3%B3digo%20regi%C3%B3n%22%3D1"/>
        <s v="https://analytics.zoho.com/open-view/2395394000008299691?ZOHO_CRITERIA=%22Consolidado_Estadisticas_Regionales_New%22.%22C%C3%B3digo%20regi%C3%B3n%22%3D2"/>
        <s v="https://analytics.zoho.com/open-view/2395394000008299691?ZOHO_CRITERIA=%22Consolidado_Estadisticas_Regionales_New%22.%22C%C3%B3digo%20regi%C3%B3n%22%3D3"/>
        <s v="https://analytics.zoho.com/open-view/2395394000008299691?ZOHO_CRITERIA=%22Consolidado_Estadisticas_Regionales_New%22.%22C%C3%B3digo%20regi%C3%B3n%22%3D4"/>
        <s v="https://analytics.zoho.com/open-view/2395394000008299691?ZOHO_CRITERIA=%22Consolidado_Estadisticas_Regionales_New%22.%22C%C3%B3digo%20regi%C3%B3n%22%3D5"/>
        <s v="https://analytics.zoho.com/open-view/2395394000008299691?ZOHO_CRITERIA=%22Consolidado_Estadisticas_Regionales_New%22.%22C%C3%B3digo%20regi%C3%B3n%22%3D6"/>
        <s v="https://analytics.zoho.com/open-view/2395394000008299691?ZOHO_CRITERIA=%22Consolidado_Estadisticas_Regionales_New%22.%22C%C3%B3digo%20regi%C3%B3n%22%3D7"/>
        <s v="https://analytics.zoho.com/open-view/2395394000008299691?ZOHO_CRITERIA=%22Consolidado_Estadisticas_Regionales_New%22.%22C%C3%B3digo%20regi%C3%B3n%22%3D8"/>
        <s v="https://analytics.zoho.com/open-view/2395394000008299691?ZOHO_CRITERIA=%22Consolidado_Estadisticas_Regionales_New%22.%22C%C3%B3digo%20regi%C3%B3n%22%3D9"/>
        <s v="https://analytics.zoho.com/open-view/2395394000008299691?ZOHO_CRITERIA=%22Consolidado_Estadisticas_Regionales_New%22.%22C%C3%B3digo%20regi%C3%B3n%22%3D10"/>
        <s v="https://analytics.zoho.com/open-view/2395394000008299691?ZOHO_CRITERIA=%22Consolidado_Estadisticas_Regionales_New%22.%22C%C3%B3digo%20regi%C3%B3n%22%3D11"/>
        <s v="https://analytics.zoho.com/open-view/2395394000008299691?ZOHO_CRITERIA=%22Consolidado_Estadisticas_Regionales_New%22.%22C%C3%B3digo%20regi%C3%B3n%22%3D12"/>
        <s v="https://analytics.zoho.com/open-view/2395394000008299691?ZOHO_CRITERIA=%22Consolidado_Estadisticas_Regionales_New%22.%22C%C3%B3digo%20regi%C3%B3n%22%3D13"/>
        <s v="https://analytics.zoho.com/open-view/2395394000008299691?ZOHO_CRITERIA=%22Consolidado_Estadisticas_Regionales_New%22.%22C%C3%B3digo%20regi%C3%B3n%22%3D14"/>
        <s v="https://analytics.zoho.com/open-view/2395394000008299691?ZOHO_CRITERIA=%22Consolidado_Estadisticas_Regionales_New%22.%22C%C3%B3digo%20regi%C3%B3n%22%3D15"/>
        <s v="https://analytics.zoho.com/open-view/2395394000008299691?ZOHO_CRITERIA=%22Consolidado_Estadisticas_Regionales_New%22.%22C%C3%B3digo%20regi%C3%B3n%22%3D16"/>
        <s v="https://analytics.zoho.com/open-view/2395394000008335799"/>
        <s v="https://analytics.zoho.com/open-view/2395394000008388979"/>
        <s v="https://analytics.zoho.com/open-view/2395394000008383927"/>
        <s v="https://analytics.zoho.com/open-view/2395394000008183442"/>
        <s v="https://analytics.zoho.com/open-view/2395394000008478071?ZOHO_CRITERIA=%22Localiza%20CL%22.%22Codreg%22%20%3D%201"/>
        <s v="https://analytics.zoho.com/open-view/2395394000008478071?ZOHO_CRITERIA=%22Localiza%20CL%22.%22Codreg%22%20%3D%202"/>
        <s v="https://analytics.zoho.com/open-view/2395394000008478071?ZOHO_CRITERIA=%22Localiza%20CL%22.%22Codreg%22%20%3D%203"/>
        <s v="https://analytics.zoho.com/open-view/2395394000008478071?ZOHO_CRITERIA=%22Localiza%20CL%22.%22Codreg%22%20%3D%204"/>
        <s v="https://analytics.zoho.com/open-view/2395394000008478071?ZOHO_CRITERIA=%22Localiza%20CL%22.%22Codreg%22%20%3D%205"/>
        <s v="https://analytics.zoho.com/open-view/2395394000008478071?ZOHO_CRITERIA=%22Localiza%20CL%22.%22Codreg%22%20%3D%206"/>
        <s v="https://analytics.zoho.com/open-view/2395394000008478071?ZOHO_CRITERIA=%22Localiza%20CL%22.%22Codreg%22%20%3D%207"/>
        <s v="https://analytics.zoho.com/open-view/2395394000008478071?ZOHO_CRITERIA=%22Localiza%20CL%22.%22Codreg%22%20%3D%208"/>
        <s v="https://analytics.zoho.com/open-view/2395394000008478071?ZOHO_CRITERIA=%22Localiza%20CL%22.%22Codreg%22%20%3D%209"/>
        <s v="https://analytics.zoho.com/open-view/2395394000008478071?ZOHO_CRITERIA=%22Localiza%20CL%22.%22Codreg%22%20%3D%2010"/>
        <s v="https://analytics.zoho.com/open-view/2395394000008478071?ZOHO_CRITERIA=%22Localiza%20CL%22.%22Codreg%22%20%3D%2011"/>
        <s v="https://analytics.zoho.com/open-view/2395394000008478071?ZOHO_CRITERIA=%22Localiza%20CL%22.%22Codreg%22%20%3D%2012"/>
        <s v="https://analytics.zoho.com/open-view/2395394000008478071?ZOHO_CRITERIA=%22Localiza%20CL%22.%22Codreg%22%20%3D%2013"/>
        <s v="https://analytics.zoho.com/open-view/2395394000008478071?ZOHO_CRITERIA=%22Localiza%20CL%22.%22Codreg%22%20%3D%2014"/>
        <s v="https://analytics.zoho.com/open-view/2395394000008478071?ZOHO_CRITERIA=%22Localiza%20CL%22.%22Codreg%22%20%3D%2015"/>
        <s v="https://analytics.zoho.com/open-view/2395394000008478071?ZOHO_CRITERIA=%22Localiza%20CL%22.%22Codreg%22%20%3D%2016"/>
        <s v="https://analytics.zoho.com/open-view/2395394000008183474"/>
        <s v="https://analytics.zoho.com/open-view/2395394000008478183?ZOHO_CRITERIA=%22Localiza%20CL%22.%22Codreg%22%20%3D%201"/>
        <s v="https://analytics.zoho.com/open-view/2395394000008478183?ZOHO_CRITERIA=%22Localiza%20CL%22.%22Codreg%22%20%3D%202"/>
        <s v="https://analytics.zoho.com/open-view/2395394000008478183?ZOHO_CRITERIA=%22Localiza%20CL%22.%22Codreg%22%20%3D%203"/>
        <s v="https://analytics.zoho.com/open-view/2395394000008478183?ZOHO_CRITERIA=%22Localiza%20CL%22.%22Codreg%22%20%3D%204"/>
        <s v="https://analytics.zoho.com/open-view/2395394000008478183?ZOHO_CRITERIA=%22Localiza%20CL%22.%22Codreg%22%20%3D%205"/>
        <s v="https://analytics.zoho.com/open-view/2395394000008478183?ZOHO_CRITERIA=%22Localiza%20CL%22.%22Codreg%22%20%3D%206"/>
        <s v="https://analytics.zoho.com/open-view/2395394000008478183?ZOHO_CRITERIA=%22Localiza%20CL%22.%22Codreg%22%20%3D%207"/>
        <s v="https://analytics.zoho.com/open-view/2395394000008478183?ZOHO_CRITERIA=%22Localiza%20CL%22.%22Codreg%22%20%3D%208"/>
        <s v="https://analytics.zoho.com/open-view/2395394000008478183?ZOHO_CRITERIA=%22Localiza%20CL%22.%22Codreg%22%20%3D%209"/>
        <s v="https://analytics.zoho.com/open-view/2395394000008478183?ZOHO_CRITERIA=%22Localiza%20CL%22.%22Codreg%22%20%3D%2010"/>
        <s v="https://analytics.zoho.com/open-view/2395394000008478183?ZOHO_CRITERIA=%22Localiza%20CL%22.%22Codreg%22%20%3D%2011"/>
        <s v="https://analytics.zoho.com/open-view/2395394000008478183?ZOHO_CRITERIA=%22Localiza%20CL%22.%22Codreg%22%20%3D%2012"/>
        <s v="https://analytics.zoho.com/open-view/2395394000008478183?ZOHO_CRITERIA=%22Localiza%20CL%22.%22Codreg%22%20%3D%2013"/>
        <s v="https://analytics.zoho.com/open-view/2395394000008478183?ZOHO_CRITERIA=%22Localiza%20CL%22.%22Codreg%22%20%3D%2014"/>
        <s v="https://analytics.zoho.com/open-view/2395394000008478183?ZOHO_CRITERIA=%22Localiza%20CL%22.%22Codreg%22%20%3D%2015}"/>
        <s v="https://analytics.zoho.com/open-view/2395394000008478183?ZOHO_CRITERIA=%22Localiza%20CL%22.%22Codreg%22%20%3D%2016"/>
        <s v="https://analytics.zoho.com/open-view/2395394000008193854"/>
        <s v="https://analytics.zoho.com/open-view/2395394000008205248"/>
        <s v="https://analytics.zoho.com/open-view/2395394000008193221"/>
        <s v="https://analytics.zoho.com/open-view/2395394000008193416"/>
        <s v="https://analytics.zoho.com/open-view/2395394000008410521?ZOHO_CRITERIA=%22Pa%C3%ADs_Todo%22.%22id_TipoProducto%22%3D4"/>
        <s v="https://analytics.zoho.com/open-view/2395394000008742241"/>
        <s v="https://analytics.zoho.com/open-view/2395394000008742319?ZOHO_CRITERIA=%22Consolidado_Estadisticas_Regionales_New%22.%22C%C3%B3digo%20regi%C3%B3n%22%20%3D%205"/>
        <s v="https://analytics.zoho.com/open-view/2395394000008742319?ZOHO_CRITERIA=%22Consolidado_Estadisticas_Regionales_New%22.%22C%C3%B3digo%20regi%C3%B3n%22%20%3D%206"/>
        <s v="https://analytics.zoho.com/open-view/2395394000008742319?ZOHO_CRITERIA=%22Consolidado_Estadisticas_Regionales_New%22.%22C%C3%B3digo%20regi%C3%B3n%22%20%3D%208"/>
        <s v="https://analytics.zoho.com/open-view/2395394000008742319?ZOHO_CRITERIA=%22Consolidado_Estadisticas_Regionales_New%22.%22C%C3%B3digo%20regi%C3%B3n%22%20%3D%209"/>
        <s v="https://analytics.zoho.com/open-view/2395394000008742319?ZOHO_CRITERIA=%22Consolidado_Estadisticas_Regionales_New%22.%22C%C3%B3digo%20regi%C3%B3n%22%20%3D%2014"/>
        <s v="https://analytics.zoho.com/open-view/2395394000008715761"/>
        <s v="https://analytics.zoho.com/open-view/2395394000008715905?ZOHO_CRITERIA=%22Consolidado_Estadisticas_Regionales_New%22.%22C%C3%B3digo%20regi%C3%B3n%22%20%3D%201"/>
        <s v="https://analytics.zoho.com/open-view/2395394000008715905?ZOHO_CRITERIA=%22Consolidado_Estadisticas_Regionales_New%22.%22C%C3%B3digo%20regi%C3%B3n%22%20%3D%202"/>
        <s v="https://analytics.zoho.com/open-view/2395394000008715905?ZOHO_CRITERIA=%22Consolidado_Estadisticas_Regionales_New%22.%22C%C3%B3digo%20regi%C3%B3n%22%20%3D%203"/>
        <s v="https://analytics.zoho.com/open-view/2395394000008715905?ZOHO_CRITERIA=%22Consolidado_Estadisticas_Regionales_New%22.%22C%C3%B3digo%20regi%C3%B3n%22%20%3D%204"/>
        <s v="https://analytics.zoho.com/open-view/2395394000008715905?ZOHO_CRITERIA=%22Consolidado_Estadisticas_Regionales_New%22.%22C%C3%B3digo%20regi%C3%B3n%22%20%3D%205"/>
        <s v="https://analytics.zoho.com/open-view/2395394000008715905?ZOHO_CRITERIA=%22Consolidado_Estadisticas_Regionales_New%22.%22C%C3%B3digo%20regi%C3%B3n%22%20%3D%206"/>
        <s v="https://analytics.zoho.com/open-view/2395394000008715905?ZOHO_CRITERIA=%22Consolidado_Estadisticas_Regionales_New%22.%22C%C3%B3digo%20regi%C3%B3n%22%20%3D%207"/>
        <s v="https://analytics.zoho.com/open-view/2395394000008715905?ZOHO_CRITERIA=%22Consolidado_Estadisticas_Regionales_New%22.%22C%C3%B3digo%20regi%C3%B3n%22%20%3D%208"/>
        <s v="https://analytics.zoho.com/open-view/2395394000008715905?ZOHO_CRITERIA=%22Consolidado_Estadisticas_Regionales_New%22.%22C%C3%B3digo%20regi%C3%B3n%22%20%3D%209"/>
        <s v="https://analytics.zoho.com/open-view/2395394000008715905?ZOHO_CRITERIA=%22Consolidado_Estadisticas_Regionales_New%22.%22C%C3%B3digo%20regi%C3%B3n%22%20%3D%2010"/>
        <s v="https://analytics.zoho.com/open-view/2395394000008715905?ZOHO_CRITERIA=%22Consolidado_Estadisticas_Regionales_New%22.%22C%C3%B3digo%20regi%C3%B3n%22%20%3D%2011"/>
        <s v="https://analytics.zoho.com/open-view/2395394000008715905?ZOHO_CRITERIA=%22Consolidado_Estadisticas_Regionales_New%22.%22C%C3%B3digo%20regi%C3%B3n%22%20%3D%2012"/>
        <s v="https://analytics.zoho.com/open-view/2395394000008715905?ZOHO_CRITERIA=%22Consolidado_Estadisticas_Regionales_New%22.%22C%C3%B3digo%20regi%C3%B3n%22%20%3D%2013"/>
        <s v="https://analytics.zoho.com/open-view/2395394000008715905?ZOHO_CRITERIA=%22Consolidado_Estadisticas_Regionales_New%22.%22C%C3%B3digo%20regi%C3%B3n%22%20%3D%2014"/>
        <s v="https://analytics.zoho.com/open-view/2395394000008715905?ZOHO_CRITERIA=%22Consolidado_Estadisticas_Regionales_New%22.%22C%C3%B3digo%20regi%C3%B3n%22%20%3D%2015"/>
        <s v="https://analytics.zoho.com/open-view/2395394000008715905?ZOHO_CRITERIA=%22Consolidado_Estadisticas_Regionales_New%22.%22C%C3%B3digo%20regi%C3%B3n%22%20%3D%2016"/>
        <s v="https://analytics.zoho.com/open-view/2395394000008742076"/>
        <s v="https://analytics.zoho.com/open-view/2395394000008742160?ZOHO_CRITERIA=%22Consolidado_Estadisticas_Regionales_New%22.%22C%C3%B3digo%20regi%C3%B3n%22%20%3D%205"/>
        <s v="https://analytics.zoho.com/open-view/2395394000008742160?ZOHO_CRITERIA=%22Consolidado_Estadisticas_Regionales_New%22.%22C%C3%B3digo%20regi%C3%B3n%22%20%3D%206"/>
        <s v="https://analytics.zoho.com/open-view/2395394000008742160?ZOHO_CRITERIA=%22Consolidado_Estadisticas_Regionales_New%22.%22C%C3%B3digo%20regi%C3%B3n%22%20%3D%208"/>
        <s v="https://analytics.zoho.com/open-view/2395394000008742160?ZOHO_CRITERIA=%22Consolidado_Estadisticas_Regionales_New%22.%22C%C3%B3digo%20regi%C3%B3n%22%20%3D%2014"/>
        <s v="https://analytics.zoho.com/open-view/2395394000008741947"/>
        <s v="https://analytics.zoho.com/open-view/2395394000008741698"/>
        <s v="https://analytics.zoho.com/open-view/2395394000008741824?ZOHO_CRITERIA=%22Consolidado_Estadisticas_Regionales_New%22.%22C%C3%B3digo%20regi%C3%B3n%22%20%3D%205"/>
        <s v="https://analytics.zoho.com/open-view/2395394000008741824?ZOHO_CRITERIA=%22Consolidado_Estadisticas_Regionales_New%22.%22C%C3%B3digo%20regi%C3%B3n%22%20%3D%206"/>
        <s v="https://analytics.zoho.com/open-view/2395394000008741824?ZOHO_CRITERIA=%22Consolidado_Estadisticas_Regionales_New%22.%22C%C3%B3digo%20regi%C3%B3n%22%20%3D%208"/>
        <s v="https://analytics.zoho.com/open-view/2395394000008741354"/>
        <s v="https://analytics.zoho.com/open-view/2395394000008741527?ZOHO_CRITERIA=%22Consolidado_Estadisticas_Regionales_New%22.%22C%C3%B3digo%20regi%C3%B3n%22%20%3D%205"/>
        <s v="https://analytics.zoho.com/open-view/2395394000008741527?ZOHO_CRITERIA=%22Consolidado_Estadisticas_Regionales_New%22.%22C%C3%B3digo%20regi%C3%B3n%22%20%3D%208"/>
        <s v="https://analytics.zoho.com/open-view/2395394000008741527?ZOHO_CRITERIA=%22Consolidado_Estadisticas_Regionales_New%22.%22C%C3%B3digo%20regi%C3%B3n%22%20%3D%2013"/>
        <s v="https://analytics.zoho.com/open-view/2395394000008741527?ZOHO_CRITERIA=%22Consolidado_Estadisticas_Regionales_New%22.%22C%C3%B3digo%20regi%C3%B3n%22%20%3D%2016"/>
        <s v="https://analytics.zoho.com/open-view/2395394000008741045"/>
        <s v="https://analytics.zoho.com/open-view/2395394000008741200?ZOHO_CRITERIA=%22Consolidado_Estadisticas_Regionales_New%22.%22C%C3%B3digo%20regi%C3%B3n%22%20%3D%201"/>
        <s v="https://analytics.zoho.com/open-view/2395394000008741200?ZOHO_CRITERIA=%22Consolidado_Estadisticas_Regionales_New%22.%22C%C3%B3digo%20regi%C3%B3n%22%20%3D%202"/>
        <s v="https://analytics.zoho.com/open-view/2395394000008741200?ZOHO_CRITERIA=%22Consolidado_Estadisticas_Regionales_New%22.%22C%C3%B3digo%20regi%C3%B3n%22%20%3D%203"/>
        <s v="https://analytics.zoho.com/open-view/2395394000008741200?ZOHO_CRITERIA=%22Consolidado_Estadisticas_Regionales_New%22.%22C%C3%B3digo%20regi%C3%B3n%22%20%3D%204"/>
        <s v="https://analytics.zoho.com/open-view/2395394000008741200?ZOHO_CRITERIA=%22Consolidado_Estadisticas_Regionales_New%22.%22C%C3%B3digo%20regi%C3%B3n%22%20%3D%205"/>
        <s v="https://analytics.zoho.com/open-view/2395394000008741200?ZOHO_CRITERIA=%22Consolidado_Estadisticas_Regionales_New%22.%22C%C3%B3digo%20regi%C3%B3n%22%20%3D%206"/>
        <s v="https://analytics.zoho.com/open-view/2395394000008741200?ZOHO_CRITERIA=%22Consolidado_Estadisticas_Regionales_New%22.%22C%C3%B3digo%20regi%C3%B3n%22%20%3D%207"/>
        <s v="https://analytics.zoho.com/open-view/2395394000008741200?ZOHO_CRITERIA=%22Consolidado_Estadisticas_Regionales_New%22.%22C%C3%B3digo%20regi%C3%B3n%22%20%3D%208"/>
        <s v="https://analytics.zoho.com/open-view/2395394000008741200?ZOHO_CRITERIA=%22Consolidado_Estadisticas_Regionales_New%22.%22C%C3%B3digo%20regi%C3%B3n%22%20%3D%209"/>
        <s v="https://analytics.zoho.com/open-view/2395394000008741200?ZOHO_CRITERIA=%22Consolidado_Estadisticas_Regionales_New%22.%22C%C3%B3digo%20regi%C3%B3n%22%20%3D%2010"/>
        <s v="https://analytics.zoho.com/open-view/2395394000008741200?ZOHO_CRITERIA=%22Consolidado_Estadisticas_Regionales_New%22.%22C%C3%B3digo%20regi%C3%B3n%22%20%3D%2011"/>
        <s v="https://analytics.zoho.com/open-view/2395394000008741200?ZOHO_CRITERIA=%22Consolidado_Estadisticas_Regionales_New%22.%22C%C3%B3digo%20regi%C3%B3n%22%20%3D%2012"/>
        <s v="https://analytics.zoho.com/open-view/2395394000008741200?ZOHO_CRITERIA=%22Consolidado_Estadisticas_Regionales_New%22.%22C%C3%B3digo%20regi%C3%B3n%22%20%3D%2013"/>
        <s v="https://analytics.zoho.com/open-view/2395394000008741200?ZOHO_CRITERIA=%22Consolidado_Estadisticas_Regionales_New%22.%22C%C3%B3digo%20regi%C3%B3n%22%20%3D%2014"/>
        <s v="https://analytics.zoho.com/open-view/2395394000008741200?ZOHO_CRITERIA=%22Consolidado_Estadisticas_Regionales_New%22.%22C%C3%B3digo%20regi%C3%B3n%22%20%3D%2015"/>
        <s v="https://analytics.zoho.com/open-view/2395394000008741200?ZOHO_CRITERIA=%22Consolidado_Estadisticas_Regionales_New%22.%22C%C3%B3digo%20regi%C3%B3n%22%20%3D%2016"/>
        <s v="https://analytics.zoho.com/open-view/2395394000008744153"/>
        <s v="https://analytics.zoho.com/open-view/2395394000008744325?ZOHO_CRITERIA=%22Consolidado_Estadisticas_Regionales_New%22.%22C%C3%B3digo%20regi%C3%B3n%22%20%3D%201"/>
        <s v="https://analytics.zoho.com/open-view/2395394000008744325?ZOHO_CRITERIA=%22Consolidado_Estadisticas_Regionales_New%22.%22C%C3%B3digo%20regi%C3%B3n%22%20%3D%205"/>
        <s v="https://analytics.zoho.com/open-view/2395394000008744325?ZOHO_CRITERIA=%22Consolidado_Estadisticas_Regionales_New%22.%22C%C3%B3digo%20regi%C3%B3n%22%20%3D%208"/>
        <s v="https://analytics.zoho.com/open-view/2395394000008744684"/>
        <s v="https://analytics.zoho.com/open-view/2395394000008744885?ZOHO_CRITERIA=%22Consolidado_Estadisticas_Regionales_New%22.%22C%C3%B3digo%20regi%C3%B3n%22%20%3D%201"/>
        <s v="https://analytics.zoho.com/open-view/2395394000008744885?ZOHO_CRITERIA=%22Consolidado_Estadisticas_Regionales_New%22.%22C%C3%B3digo%20regi%C3%B3n%22%20%3D%202"/>
        <s v="https://analytics.zoho.com/open-view/2395394000008744885?ZOHO_CRITERIA=%22Consolidado_Estadisticas_Regionales_New%22.%22C%C3%B3digo%20regi%C3%B3n%22%20%3D%203"/>
        <s v="https://analytics.zoho.com/open-view/2395394000008744885?ZOHO_CRITERIA=%22Consolidado_Estadisticas_Regionales_New%22.%22C%C3%B3digo%20regi%C3%B3n%22%20%3D%204"/>
        <s v="https://analytics.zoho.com/open-view/2395394000008744885?ZOHO_CRITERIA=%22Consolidado_Estadisticas_Regionales_New%22.%22C%C3%B3digo%20regi%C3%B3n%22%20%3D%205"/>
        <s v="https://analytics.zoho.com/open-view/2395394000008744885?ZOHO_CRITERIA=%22Consolidado_Estadisticas_Regionales_New%22.%22C%C3%B3digo%20regi%C3%B3n%22%20%3D%206"/>
        <s v="https://analytics.zoho.com/open-view/2395394000008744885?ZOHO_CRITERIA=%22Consolidado_Estadisticas_Regionales_New%22.%22C%C3%B3digo%20regi%C3%B3n%22%20%3D%207"/>
        <s v="https://analytics.zoho.com/open-view/2395394000008744885?ZOHO_CRITERIA=%22Consolidado_Estadisticas_Regionales_New%22.%22C%C3%B3digo%20regi%C3%B3n%22%20%3D%208"/>
        <s v="https://analytics.zoho.com/open-view/2395394000008744885?ZOHO_CRITERIA=%22Consolidado_Estadisticas_Regionales_New%22.%22C%C3%B3digo%20regi%C3%B3n%22%20%3D%209"/>
        <s v="https://analytics.zoho.com/open-view/2395394000008744885?ZOHO_CRITERIA=%22Consolidado_Estadisticas_Regionales_New%22.%22C%C3%B3digo%20regi%C3%B3n%22%20%3D%2010"/>
        <s v="https://analytics.zoho.com/open-view/2395394000008744885?ZOHO_CRITERIA=%22Consolidado_Estadisticas_Regionales_New%22.%22C%C3%B3digo%20regi%C3%B3n%22%20%3D%2011"/>
        <s v="https://analytics.zoho.com/open-view/2395394000008744885?ZOHO_CRITERIA=%22Consolidado_Estadisticas_Regionales_New%22.%22C%C3%B3digo%20regi%C3%B3n%22%20%3D%2012"/>
        <s v="https://analytics.zoho.com/open-view/2395394000008744885?ZOHO_CRITERIA=%22Consolidado_Estadisticas_Regionales_New%22.%22C%C3%B3digo%20regi%C3%B3n%22%20%3D%2013"/>
        <s v="https://analytics.zoho.com/open-view/2395394000008744885?ZOHO_CRITERIA=%22Consolidado_Estadisticas_Regionales_New%22.%22C%C3%B3digo%20regi%C3%B3n%22%20%3D%2014"/>
        <s v="https://analytics.zoho.com/open-view/2395394000008744885?ZOHO_CRITERIA=%22Consolidado_Estadisticas_Regionales_New%22.%22C%C3%B3digo%20regi%C3%B3n%22%20%3D%2015"/>
        <s v="https://analytics.zoho.com/open-view/2395394000008744885?ZOHO_CRITERIA=%22Consolidado_Estadisticas_Regionales_New%22.%22C%C3%B3digo%20regi%C3%B3n%22%20%3D%2016"/>
        <s v="https://analytics.zoho.com/open-view/2395394000008745083"/>
        <s v="https://analytics.zoho.com/open-view/2395394000008745260?ZOHO_CRITERIA=%22Consolidado_Estadisticas_Regionales_New%22.%22C%C3%B3digo%20regi%C3%B3n%22%20%3D%201"/>
        <s v="https://analytics.zoho.com/open-view/2395394000008745260?ZOHO_CRITERIA=%22Consolidado_Estadisticas_Regionales_New%22.%22C%C3%B3digo%20regi%C3%B3n%22%20%3D%202"/>
        <s v="https://analytics.zoho.com/open-view/2395394000008745260?ZOHO_CRITERIA=%22Consolidado_Estadisticas_Regionales_New%22.%22C%C3%B3digo%20regi%C3%B3n%22%20%3D%203"/>
        <s v="https://analytics.zoho.com/open-view/2395394000008745260?ZOHO_CRITERIA=%22Consolidado_Estadisticas_Regionales_New%22.%22C%C3%B3digo%20regi%C3%B3n%22%20%3D%204"/>
        <s v="https://analytics.zoho.com/open-view/2395394000008745260?ZOHO_CRITERIA=%22Consolidado_Estadisticas_Regionales_New%22.%22C%C3%B3digo%20regi%C3%B3n%22%20%3D%205"/>
        <s v="https://analytics.zoho.com/open-view/2395394000008745260?ZOHO_CRITERIA=%22Consolidado_Estadisticas_Regionales_New%22.%22C%C3%B3digo%20regi%C3%B3n%22%20%3D%206"/>
        <s v="https://analytics.zoho.com/open-view/2395394000008745260?ZOHO_CRITERIA=%22Consolidado_Estadisticas_Regionales_New%22.%22C%C3%B3digo%20regi%C3%B3n%22%20%3D%207"/>
        <s v="https://analytics.zoho.com/open-view/2395394000008745260?ZOHO_CRITERIA=%22Consolidado_Estadisticas_Regionales_New%22.%22C%C3%B3digo%20regi%C3%B3n%22%20%3D%208"/>
        <s v="https://analytics.zoho.com/open-view/2395394000008745260?ZOHO_CRITERIA=%22Consolidado_Estadisticas_Regionales_New%22.%22C%C3%B3digo%20regi%C3%B3n%22%20%3D%209"/>
        <s v="https://analytics.zoho.com/open-view/2395394000008745260?ZOHO_CRITERIA=%22Consolidado_Estadisticas_Regionales_New%22.%22C%C3%B3digo%20regi%C3%B3n%22%20%3D%2010"/>
        <s v="https://analytics.zoho.com/open-view/2395394000008745260?ZOHO_CRITERIA=%22Consolidado_Estadisticas_Regionales_New%22.%22C%C3%B3digo%20regi%C3%B3n%22%20%3D%2011"/>
        <s v="https://analytics.zoho.com/open-view/2395394000008745260?ZOHO_CRITERIA=%22Consolidado_Estadisticas_Regionales_New%22.%22C%C3%B3digo%20regi%C3%B3n%22%20%3D%2012"/>
        <s v="https://analytics.zoho.com/open-view/2395394000008745260?ZOHO_CRITERIA=%22Consolidado_Estadisticas_Regionales_New%22.%22C%C3%B3digo%20regi%C3%B3n%22%20%3D%2013"/>
        <s v="https://analytics.zoho.com/open-view/2395394000008745260?ZOHO_CRITERIA=%22Consolidado_Estadisticas_Regionales_New%22.%22C%C3%B3digo%20regi%C3%B3n%22%20%3D%2014"/>
        <s v="https://analytics.zoho.com/open-view/2395394000008745260?ZOHO_CRITERIA=%22Consolidado_Estadisticas_Regionales_New%22.%22C%C3%B3digo%20regi%C3%B3n%22%20%3D%2015"/>
        <s v="https://analytics.zoho.com/open-view/2395394000008745260?ZOHO_CRITERIA=%22Consolidado_Estadisticas_Regionales_New%22.%22C%C3%B3digo%20regi%C3%B3n%22%20%3D%2016"/>
        <s v="https://analytics.zoho.com/open-view/2395394000008745431"/>
        <s v="https://analytics.zoho.com/open-view/2395394000008745666?ZOHO_CRITERIA=%22Consolidado_Estadisticas_Regionales_New%22.%22C%C3%B3digo%20regi%C3%B3n%22%20%3D%201"/>
        <s v="https://analytics.zoho.com/open-view/2395394000008745666?ZOHO_CRITERIA=%22Consolidado_Estadisticas_Regionales_New%22.%22C%C3%B3digo%20regi%C3%B3n%22%20%3D%202"/>
        <s v="https://analytics.zoho.com/open-view/2395394000008745666?ZOHO_CRITERIA=%22Consolidado_Estadisticas_Regionales_New%22.%22C%C3%B3digo%20regi%C3%B3n%22%20%3D%203"/>
        <s v="https://analytics.zoho.com/open-view/2395394000008745666?ZOHO_CRITERIA=%22Consolidado_Estadisticas_Regionales_New%22.%22C%C3%B3digo%20regi%C3%B3n%22%20%3D%204"/>
        <s v="https://analytics.zoho.com/open-view/2395394000008745666?ZOHO_CRITERIA=%22Consolidado_Estadisticas_Regionales_New%22.%22C%C3%B3digo%20regi%C3%B3n%22%20%3D%205"/>
        <s v="https://analytics.zoho.com/open-view/2395394000008745666?ZOHO_CRITERIA=%22Consolidado_Estadisticas_Regionales_New%22.%22C%C3%B3digo%20regi%C3%B3n%22%20%3D%206"/>
        <s v="https://analytics.zoho.com/open-view/2395394000008745666?ZOHO_CRITERIA=%22Consolidado_Estadisticas_Regionales_New%22.%22C%C3%B3digo%20regi%C3%B3n%22%20%3D%207"/>
        <s v="https://analytics.zoho.com/open-view/2395394000008745666?ZOHO_CRITERIA=%22Consolidado_Estadisticas_Regionales_New%22.%22C%C3%B3digo%20regi%C3%B3n%22%20%3D%208"/>
        <s v="https://analytics.zoho.com/open-view/2395394000008745666?ZOHO_CRITERIA=%22Consolidado_Estadisticas_Regionales_New%22.%22C%C3%B3digo%20regi%C3%B3n%22%20%3D%209"/>
        <s v="https://analytics.zoho.com/open-view/2395394000008745666?ZOHO_CRITERIA=%22Consolidado_Estadisticas_Regionales_New%22.%22C%C3%B3digo%20regi%C3%B3n%22%20%3D%2010"/>
        <s v="https://analytics.zoho.com/open-view/2395394000008745666?ZOHO_CRITERIA=%22Consolidado_Estadisticas_Regionales_New%22.%22C%C3%B3digo%20regi%C3%B3n%22%20%3D%2011"/>
        <s v="https://analytics.zoho.com/open-view/2395394000008745666?ZOHO_CRITERIA=%22Consolidado_Estadisticas_Regionales_New%22.%22C%C3%B3digo%20regi%C3%B3n%22%20%3D%2012"/>
        <s v="https://analytics.zoho.com/open-view/2395394000008745666?ZOHO_CRITERIA=%22Consolidado_Estadisticas_Regionales_New%22.%22C%C3%B3digo%20regi%C3%B3n%22%20%3D%2013"/>
        <s v="https://analytics.zoho.com/open-view/2395394000008745666?ZOHO_CRITERIA=%22Consolidado_Estadisticas_Regionales_New%22.%22C%C3%B3digo%20regi%C3%B3n%22%20%3D%2014"/>
        <s v="https://analytics.zoho.com/open-view/2395394000008745666?ZOHO_CRITERIA=%22Consolidado_Estadisticas_Regionales_New%22.%22C%C3%B3digo%20regi%C3%B3n%22%20%3D%2015"/>
        <s v="https://analytics.zoho.com/open-view/2395394000008745666?ZOHO_CRITERIA=%22Consolidado_Estadisticas_Regionales_New%22.%22C%C3%B3digo%20regi%C3%B3n%22%20%3D%2016"/>
        <s v="https://analytics.zoho.com/open-view/2395394000008449873"/>
        <s v="https://analytics.zoho.com/open-view/2395394000008456438?ZOHO_CRITERIA=%22Localiza%20Chile%22.%22Codreg%22%3D1"/>
        <s v="https://analytics.zoho.com/open-view/2395394000008456438?ZOHO_CRITERIA=%22Localiza%20Chile%22.%22Codreg%22%3D2"/>
        <s v="https://analytics.zoho.com/open-view/2395394000008456438?ZOHO_CRITERIA=%22Localiza%20Chile%22.%22Codreg%22%3D3"/>
        <s v="https://analytics.zoho.com/open-view/2395394000008456438?ZOHO_CRITERIA=%22Localiza%20Chile%22.%22Codreg%22%3D4"/>
        <s v="https://analytics.zoho.com/open-view/2395394000008456438?ZOHO_CRITERIA=%22Localiza%20Chile%22.%22Codreg%22%3D5"/>
        <s v="https://analytics.zoho.com/open-view/2395394000008456438?ZOHO_CRITERIA=%22Localiza%20Chile%22.%22Codreg%22%3D6"/>
        <s v="https://analytics.zoho.com/open-view/2395394000008456438?ZOHO_CRITERIA=%22Localiza%20Chile%22.%22Codreg%22%3D7"/>
        <s v="https://analytics.zoho.com/open-view/2395394000008456438?ZOHO_CRITERIA=%22Localiza%20Chile%22.%22Codreg%22%3D8"/>
        <s v="https://analytics.zoho.com/open-view/2395394000008456438?ZOHO_CRITERIA=%22Localiza%20Chile%22.%22Codreg%22%3D9"/>
        <s v="https://analytics.zoho.com/open-view/2395394000008456438?ZOHO_CRITERIA=%22Localiza%20Chile%22.%22Codreg%22%3D10"/>
        <s v="https://analytics.zoho.com/open-view/2395394000008456438?ZOHO_CRITERIA=%22Localiza%20Chile%22.%22Codreg%22%3D11"/>
        <s v="https://analytics.zoho.com/open-view/2395394000008456438?ZOHO_CRITERIA=%22Localiza%20Chile%22.%22Codreg%22%3D12"/>
        <s v="https://analytics.zoho.com/open-view/2395394000008456438?ZOHO_CRITERIA=%22Localiza%20Chile%22.%22Codreg%22%3D13"/>
        <s v="https://analytics.zoho.com/open-view/2395394000008456438?ZOHO_CRITERIA=%22Localiza%20Chile%22.%22Codreg%22%3D14"/>
        <s v="https://analytics.zoho.com/open-view/2395394000008456438?ZOHO_CRITERIA=%22Localiza%20Chile%22.%22Codreg%22%3D15"/>
        <s v="https://analytics.zoho.com/open-view/2395394000008456438?ZOHO_CRITERIA=%22Localiza%20Chile%22.%22Codreg%22%3D16"/>
        <s v="https://analytics.zoho.com/open-view/2395394000008456616"/>
        <s v="https://analytics.zoho.com/open-view/2395394000008457225?ZOHO_CRITERIA=%22Frecuencia%20Final%20Fecha%22.%22cod_region%22%3D1"/>
        <s v="https://analytics.zoho.com/open-view/2395394000008457225?ZOHO_CRITERIA=%22Frecuencia%20Final%20Fecha%22.%22cod_region%22%3D2"/>
        <s v="https://analytics.zoho.com/open-view/2395394000008457225?ZOHO_CRITERIA=%22Frecuencia%20Final%20Fecha%22.%22cod_region%22%3D3"/>
        <s v="https://analytics.zoho.com/open-view/2395394000008457225?ZOHO_CRITERIA=%22Frecuencia%20Final%20Fecha%22.%22cod_region%22%3D4"/>
        <s v="https://analytics.zoho.com/open-view/2395394000008457225?ZOHO_CRITERIA=%22Frecuencia%20Final%20Fecha%22.%22cod_region%22%3D5"/>
        <s v="https://analytics.zoho.com/open-view/2395394000008457225?ZOHO_CRITERIA=%22Frecuencia%20Final%20Fecha%22.%22cod_region%22%3D6"/>
        <s v="https://analytics.zoho.com/open-view/2395394000008457225?ZOHO_CRITERIA=%22Frecuencia%20Final%20Fecha%22.%22cod_region%22%3D7"/>
        <s v="https://analytics.zoho.com/open-view/2395394000008457225?ZOHO_CRITERIA=%22Frecuencia%20Final%20Fecha%22.%22cod_region%22%3D8"/>
        <s v="https://analytics.zoho.com/open-view/2395394000008457225?ZOHO_CRITERIA=%22Frecuencia%20Final%20Fecha%22.%22cod_region%22%3D9"/>
        <s v="https://analytics.zoho.com/open-view/2395394000008457225?ZOHO_CRITERIA=%22Frecuencia%20Final%20Fecha%22.%22cod_region%22%3D10"/>
        <s v="https://analytics.zoho.com/open-view/2395394000008457225?ZOHO_CRITERIA=%22Frecuencia%20Final%20Fecha%22.%22cod_region%22%3D11"/>
        <s v="https://analytics.zoho.com/open-view/2395394000008457225?ZOHO_CRITERIA=%22Frecuencia%20Final%20Fecha%22.%22cod_region%22%3D12"/>
        <s v="https://analytics.zoho.com/open-view/2395394000008457225?ZOHO_CRITERIA=%22Frecuencia%20Final%20Fecha%22.%22cod_region%22%3D13"/>
        <s v="https://analytics.zoho.com/open-view/2395394000008457225?ZOHO_CRITERIA=%22Frecuencia%20Final%20Fecha%22.%22cod_region%22%3D14"/>
        <s v="https://analytics.zoho.com/open-view/2395394000008457225?ZOHO_CRITERIA=%22Frecuencia%20Final%20Fecha%22.%22cod_region%22%3D15"/>
        <s v="https://analytics.zoho.com/open-view/2395394000008457225?ZOHO_CRITERIA=%22Frecuencia%20Final%20Fecha%22.%22cod_region%22%3D16"/>
        <s v="https://analytics.zoho.com/open-view/2395394000008443177"/>
        <s v="https://analytics.zoho.com/open-view/2395394000008467312?ZOHO_CRITERIA=%22Localiza%20Chile%22.%22Codreg%22%3D1"/>
        <s v="https://analytics.zoho.com/open-view/2395394000008467312?ZOHO_CRITERIA=%22Localiza%20Chile%22.%22Codreg%22%3D2"/>
        <s v="https://analytics.zoho.com/open-view/2395394000008467312?ZOHO_CRITERIA=%22Localiza%20Chile%22.%22Codreg%22%3D3"/>
        <s v="https://analytics.zoho.com/open-view/2395394000008467312?ZOHO_CRITERIA=%22Localiza%20Chile%22.%22Codreg%22%3D4"/>
        <s v="https://analytics.zoho.com/open-view/2395394000008467312?ZOHO_CRITERIA=%22Localiza%20Chile%22.%22Codreg%22%3D5"/>
        <s v="https://analytics.zoho.com/open-view/2395394000008467312?ZOHO_CRITERIA=%22Localiza%20Chile%22.%22Codreg%22%3D6"/>
        <s v="https://analytics.zoho.com/open-view/2395394000008467312?ZOHO_CRITERIA=%22Localiza%20Chile%22.%22Codreg%22%3D7"/>
        <s v="https://analytics.zoho.com/open-view/2395394000008467312?ZOHO_CRITERIA=%22Localiza%20Chile%22.%22Codreg%22%3D8"/>
        <s v="https://analytics.zoho.com/open-view/2395394000008467312?ZOHO_CRITERIA=%22Localiza%20Chile%22.%22Codreg%22%3D9"/>
        <s v="https://analytics.zoho.com/open-view/2395394000008467312?ZOHO_CRITERIA=%22Localiza%20Chile%22.%22Codreg%22%3D10"/>
        <s v="https://analytics.zoho.com/open-view/2395394000008467312?ZOHO_CRITERIA=%22Localiza%20Chile%22.%22Codreg%22%3D11"/>
        <s v="https://analytics.zoho.com/open-view/2395394000008467312?ZOHO_CRITERIA=%22Localiza%20Chile%22.%22Codreg%22%3D12"/>
        <s v="https://analytics.zoho.com/open-view/2395394000008467312?ZOHO_CRITERIA=%22Localiza%20Chile%22.%22Codreg%22%3D13"/>
        <s v="https://analytics.zoho.com/open-view/2395394000008467312?ZOHO_CRITERIA=%22Localiza%20Chile%22.%22Codreg%22%3D14"/>
        <s v="https://analytics.zoho.com/open-view/2395394000008467312?ZOHO_CRITERIA=%22Localiza%20Chile%22.%22Codreg%22%3D15"/>
        <s v="https://analytics.zoho.com/open-view/2395394000008467312?ZOHO_CRITERIA=%22Localiza%20Chile%22.%22Codreg%22%3D16"/>
        <s v="https://analytics.zoho.com/open-view/2395394000008493041"/>
        <s v="https://analytics.zoho.com/open-view/2395394000008493398?ZOHO_CRITERIA=%22Localiza%20CL%22.%22Codreg%22%3D1"/>
        <s v="https://analytics.zoho.com/open-view/2395394000008493398?ZOHO_CRITERIA=%22Localiza%20CL%22.%22Codreg%22%3D2"/>
        <s v="https://analytics.zoho.com/open-view/2395394000008493398?ZOHO_CRITERIA=%22Localiza%20CL%22.%22Codreg%22%3D3"/>
        <s v="https://analytics.zoho.com/open-view/2395394000008493398?ZOHO_CRITERIA=%22Localiza%20CL%22.%22Codreg%22%3D4"/>
        <s v="https://analytics.zoho.com/open-view/2395394000008493398?ZOHO_CRITERIA=%22Localiza%20CL%22.%22Codreg%22%3D5"/>
        <s v="https://analytics.zoho.com/open-view/2395394000008493398?ZOHO_CRITERIA=%22Localiza%20CL%22.%22Codreg%22%3D6"/>
        <s v="https://analytics.zoho.com/open-view/2395394000008493398?ZOHO_CRITERIA=%22Localiza%20CL%22.%22Codreg%22%3D7"/>
        <s v="https://analytics.zoho.com/open-view/2395394000008493398?ZOHO_CRITERIA=%22Localiza%20CL%22.%22Codreg%22%3D8"/>
        <s v="https://analytics.zoho.com/open-view/2395394000008493398?ZOHO_CRITERIA=%22Localiza%20CL%22.%22Codreg%22%3D9"/>
        <s v="https://analytics.zoho.com/open-view/2395394000008493398?ZOHO_CRITERIA=%22Localiza%20CL%22.%22Codreg%22%3D10"/>
        <s v="https://analytics.zoho.com/open-view/2395394000008493398?ZOHO_CRITERIA=%22Localiza%20CL%22.%22Codreg%22%3D11"/>
        <s v="https://analytics.zoho.com/open-view/2395394000008493398?ZOHO_CRITERIA=%22Localiza%20CL%22.%22Codreg%22%3D12"/>
        <s v="https://analytics.zoho.com/open-view/2395394000008493398?ZOHO_CRITERIA=%22Localiza%20CL%22.%22Codreg%22%3D13"/>
        <s v="https://analytics.zoho.com/open-view/2395394000008493398?ZOHO_CRITERIA=%22Localiza%20CL%22.%22Codreg%22%3D14"/>
        <s v="https://analytics.zoho.com/open-view/2395394000008493398?ZOHO_CRITERIA=%22Localiza%20CL%22.%22Codreg%22%3D15"/>
        <s v="https://analytics.zoho.com/open-view/2395394000008493398?ZOHO_CRITERIA=%22Localiza%20CL%22.%22Codreg%22%3D16"/>
        <s v="https://analytics.zoho.com/open-view/2395394000008486718"/>
        <s v="https://analytics.zoho.com/open-view/2395394000008493571?ZOHO_CRITERIA=%22Localiza%20CL%22.%22Codreg%22%3D1"/>
        <s v="https://analytics.zoho.com/open-view/2395394000008493571?ZOHO_CRITERIA=%22Localiza%20CL%22.%22Codreg%22%3D2"/>
        <s v="https://analytics.zoho.com/open-view/2395394000008493571?ZOHO_CRITERIA=%22Localiza%20CL%22.%22Codreg%22%3D3"/>
        <s v="https://analytics.zoho.com/open-view/2395394000008493571?ZOHO_CRITERIA=%22Localiza%20CL%22.%22Codreg%22%3D4"/>
        <s v="https://analytics.zoho.com/open-view/2395394000008493571?ZOHO_CRITERIA=%22Localiza%20CL%22.%22Codreg%22%3D5"/>
        <s v="https://analytics.zoho.com/open-view/2395394000008493571?ZOHO_CRITERIA=%22Localiza%20CL%22.%22Codreg%22%3D6"/>
        <s v="https://analytics.zoho.com/open-view/2395394000008493571?ZOHO_CRITERIA=%22Localiza%20CL%22.%22Codreg%22%3D7"/>
        <s v="https://analytics.zoho.com/open-view/2395394000008493571?ZOHO_CRITERIA=%22Localiza%20CL%22.%22Codreg%22%3D8"/>
        <s v="https://analytics.zoho.com/open-view/2395394000008493571?ZOHO_CRITERIA=%22Localiza%20CL%22.%22Codreg%22%3D9"/>
        <s v="https://analytics.zoho.com/open-view/2395394000008493571?ZOHO_CRITERIA=%22Localiza%20CL%22.%22Codreg%22%3D10"/>
        <s v="https://analytics.zoho.com/open-view/2395394000008493571?ZOHO_CRITERIA=%22Localiza%20CL%22.%22Codreg%22%3D11"/>
        <s v="https://analytics.zoho.com/open-view/2395394000008493571?ZOHO_CRITERIA=%22Localiza%20CL%22.%22Codreg%22%3D12"/>
        <s v="https://analytics.zoho.com/open-view/2395394000008493571?ZOHO_CRITERIA=%22Localiza%20CL%22.%22Codreg%22%3D13"/>
        <s v="https://analytics.zoho.com/open-view/2395394000008493571?ZOHO_CRITERIA=%22Localiza%20CL%22.%22Codreg%22%3D14"/>
        <s v="https://analytics.zoho.com/open-view/2395394000008493571?ZOHO_CRITERIA=%22Localiza%20CL%22.%22Codreg%22%3D15"/>
        <s v="https://analytics.zoho.com/open-view/2395394000008493571?ZOHO_CRITERIA=%22Localiza%20CL%22.%22Codreg%22%3D16"/>
        <s v="https://analytics.zoho.com/open-view/2395394000008483613"/>
        <s v="https://analytics.zoho.com/open-view/2395394000008496266?ZOHO_CRITERIA=%22Localiza%20CL%22.%22Codreg%22%3D1"/>
        <s v="https://analytics.zoho.com/open-view/2395394000008496266?ZOHO_CRITERIA=%22Localiza%20CL%22.%22Codreg%22%3D2"/>
        <s v="https://analytics.zoho.com/open-view/2395394000008496266?ZOHO_CRITERIA=%22Localiza%20CL%22.%22Codreg%22%3D3"/>
        <s v="https://analytics.zoho.com/open-view/2395394000008496266?ZOHO_CRITERIA=%22Localiza%20CL%22.%22Codreg%22%3D4"/>
        <s v="https://analytics.zoho.com/open-view/2395394000008496266?ZOHO_CRITERIA=%22Localiza%20CL%22.%22Codreg%22%3D5"/>
        <s v="https://analytics.zoho.com/open-view/2395394000008496266?ZOHO_CRITERIA=%22Localiza%20CL%22.%22Codreg%22%3D6"/>
        <s v="https://analytics.zoho.com/open-view/2395394000008496266?ZOHO_CRITERIA=%22Localiza%20CL%22.%22Codreg%22%3D7"/>
        <s v="https://analytics.zoho.com/open-view/2395394000008496266?ZOHO_CRITERIA=%22Localiza%20CL%22.%22Codreg%22%3D8"/>
        <s v="https://analytics.zoho.com/open-view/2395394000008496266?ZOHO_CRITERIA=%22Localiza%20CL%22.%22Codreg%22%3D9"/>
        <s v="https://analytics.zoho.com/open-view/2395394000008496266?ZOHO_CRITERIA=%22Localiza%20CL%22.%22Codreg%22%3D10"/>
        <s v="https://analytics.zoho.com/open-view/2395394000008496266?ZOHO_CRITERIA=%22Localiza%20CL%22.%22Codreg%22%3D11"/>
        <s v="https://analytics.zoho.com/open-view/2395394000008496266?ZOHO_CRITERIA=%22Localiza%20CL%22.%22Codreg%22%3D12"/>
        <s v="https://analytics.zoho.com/open-view/2395394000008496266?ZOHO_CRITERIA=%22Localiza%20CL%22.%22Codreg%22%3D13"/>
        <s v="https://analytics.zoho.com/open-view/2395394000008496266?ZOHO_CRITERIA=%22Localiza%20CL%22.%22Codreg%22%3D14"/>
        <s v="https://analytics.zoho.com/open-view/2395394000008496266?ZOHO_CRITERIA=%22Localiza%20CL%22.%22Codreg%22%3D15"/>
        <s v="https://analytics.zoho.com/open-view/2395394000008496266?ZOHO_CRITERIA=%22Localiza%20CL%22.%22Codreg%22%3D16"/>
        <s v="https://app.powerbi.com/view?r=eyJrIjoiMTZjZmZhZjQtN2I5ZS00ZWFmLWFkZWMtMDlkMGYzOGZmNzk2IiwidCI6IjhmYmFhNWJmLTJlY2MtNGRjOC1iNTZiLThmOTJlMzA3ZjA3NiIsImMiOjR9"/>
        <s v="https://app.powerbi.com/view?r=eyJrIjoiMTFiMTI5YmQtYTU1Ni00MzI4LTk1NDUtMDRlYTM0NDAwYmJlIiwidCI6IjhmYmFhNWJmLTJlY2MtNGRjOC1iNTZiLThmOTJlMzA3ZjA3NiIsImMiOjR9"/>
        <s v="https://app.powerbi.com/view?r=eyJrIjoiNjg0OGI5NjEtNGNmMy00OGE4LWFlYzEtY2FmYWMxMjRhZmU5IiwidCI6IjhmYmFhNWJmLTJlY2MtNGRjOC1iNTZiLThmOTJlMzA3ZjA3NiIsImMiOjR9"/>
        <s v="https://analytics.zoho.com/open-view/2395394000008083041"/>
        <s v="https://analytics.zoho.com/open-view/2395394000008464571?ZOHO_CRITERIA=%22Localiza%20CL%22.%22Codreg%22%20%3D%201"/>
        <s v="https://analytics.zoho.com/open-view/2395394000008464571?ZOHO_CRITERIA=%22Localiza%20CL%22.%22Codreg%22%20%3D%202"/>
        <s v="https://analytics.zoho.com/open-view/2395394000008464571?ZOHO_CRITERIA=%22Localiza%20CL%22.%22Codreg%22%20%3D%203"/>
        <s v="https://analytics.zoho.com/open-view/2395394000008464571?ZOHO_CRITERIA=%22Localiza%20CL%22.%22Codreg%22%20%3D%204"/>
        <s v="https://analytics.zoho.com/open-view/2395394000008464571?ZOHO_CRITERIA=%22Localiza%20CL%22.%22Codreg%22%20%3D%205"/>
        <s v="https://analytics.zoho.com/open-view/2395394000008464571?ZOHO_CRITERIA=%22Localiza%20CL%22.%22Codreg%22%20%3D%206"/>
        <s v="https://analytics.zoho.com/open-view/2395394000008464571?ZOHO_CRITERIA=%22Localiza%20CL%22.%22Codreg%22%20%3D%207"/>
        <s v="https://analytics.zoho.com/open-view/2395394000008464571?ZOHO_CRITERIA=%22Localiza%20CL%22.%22Codreg%22%20%3D%208"/>
        <s v="https://analytics.zoho.com/open-view/2395394000008464571?ZOHO_CRITERIA=%22Localiza%20CL%22.%22Codreg%22%20%3D%209"/>
        <s v="https://analytics.zoho.com/open-view/2395394000008464571?ZOHO_CRITERIA=%22Localiza%20CL%22.%22Codreg%22%20%3D%2010"/>
        <s v="https://analytics.zoho.com/open-view/2395394000008464571?ZOHO_CRITERIA=%22Localiza%20CL%22.%22Codreg%22%20%3D%2011"/>
        <s v="https://analytics.zoho.com/open-view/2395394000008464571?ZOHO_CRITERIA=%22Localiza%20CL%22.%22Codreg%22%20%3D%2012"/>
        <s v="https://analytics.zoho.com/open-view/2395394000008464571?ZOHO_CRITERIA=%22Localiza%20CL%22.%22Codreg%22%20%3D%2013"/>
        <s v="https://analytics.zoho.com/open-view/2395394000008464571?ZOHO_CRITERIA=%22Localiza%20CL%22.%22Codreg%22%20%3D%2014"/>
        <s v="https://analytics.zoho.com/open-view/2395394000008464571?ZOHO_CRITERIA=%22Localiza%20CL%22.%22Codreg%22%20%3D%2015"/>
        <s v="https://analytics.zoho.com/open-view/2395394000008464571?ZOHO_CRITERIA=%22Localiza%20CL%22.%22Codreg%22%20%3D%2016"/>
        <s v="https://analytics.zoho.com/open-view/2395394000008083242"/>
        <s v="https://analytics.zoho.com/open-view/2395394000008771662?ZOHO_CRITERIA=%22Localiza%20CL%22.%22Codreg%22%20%3D%201"/>
        <s v="https://analytics.zoho.com/open-view/2395394000008771662?ZOHO_CRITERIA=%22Localiza%20CL%22.%22Codreg%22%20%3D%202"/>
        <s v="https://analytics.zoho.com/open-view/2395394000008771662?ZOHO_CRITERIA=%22Localiza%20CL%22.%22Codreg%22%20%3D%203"/>
        <s v="https://analytics.zoho.com/open-view/2395394000008771662?ZOHO_CRITERIA=%22Localiza%20CL%22.%22Codreg%22%20%3D%204"/>
        <s v="https://analytics.zoho.com/open-view/2395394000008771662?ZOHO_CRITERIA=%22Localiza%20CL%22.%22Codreg%22%20%3D%205"/>
        <s v="https://analytics.zoho.com/open-view/2395394000008771662?ZOHO_CRITERIA=%22Localiza%20CL%22.%22Codreg%22%20%3D%206"/>
        <s v="https://analytics.zoho.com/open-view/2395394000008771662?ZOHO_CRITERIA=%22Localiza%20CL%22.%22Codreg%22%20%3D%207"/>
        <s v="https://analytics.zoho.com/open-view/2395394000008771662?ZOHO_CRITERIA=%22Localiza%20CL%22.%22Codreg%22%20%3D%208"/>
        <s v="https://analytics.zoho.com/open-view/2395394000008771662?ZOHO_CRITERIA=%22Localiza%20CL%22.%22Codreg%22%20%3D%209"/>
        <s v="https://analytics.zoho.com/open-view/2395394000008771662?ZOHO_CRITERIA=%22Localiza%20CL%22.%22Codreg%22%20%3D%2010"/>
        <s v="https://analytics.zoho.com/open-view/2395394000008771662?ZOHO_CRITERIA=%22Localiza%20CL%22.%22Codreg%22%20%3D%2011"/>
        <s v="https://analytics.zoho.com/open-view/2395394000008771662?ZOHO_CRITERIA=%22Localiza%20CL%22.%22Codreg%22%20%3D%2012"/>
        <s v="https://analytics.zoho.com/open-view/2395394000008771662?ZOHO_CRITERIA=%22Localiza%20CL%22.%22Codreg%22%20%3D%2013"/>
        <s v="https://analytics.zoho.com/open-view/2395394000008771662?ZOHO_CRITERIA=%22Localiza%20CL%22.%22Codreg%22%20%3D%2014"/>
        <s v="https://analytics.zoho.com/open-view/2395394000008771662?ZOHO_CRITERIA=%22Localiza%20CL%22.%22Codreg%22%20%3D%2015"/>
        <s v="https://analytics.zoho.com/open-view/2395394000008771662?ZOHO_CRITERIA=%22Localiza%20CL%22.%22Codreg%22%20%3D%2016"/>
        <s v="https://analytics.zoho.com/open-view/2395394000008188638"/>
        <s v="https://analytics.zoho.com/open-view/2395394000008188953"/>
        <s v="https://analytics.zoho.com/open-view/2395394000008539404?ZOHO_CRITERIA=%22Uni%C3%B3n%202.11-2.12%22.%22C%C3%B3digo%20Regi%C3%B3n%22%20%3D%201"/>
        <s v="https://analytics.zoho.com/open-view/2395394000008539404?ZOHO_CRITERIA=%22Uni%C3%B3n%202.11-2.12%22.%22C%C3%B3digo%20Regi%C3%B3n%22%20%3D%202"/>
        <s v="https://analytics.zoho.com/open-view/2395394000008539404?ZOHO_CRITERIA=%22Uni%C3%B3n%202.11-2.12%22.%22C%C3%B3digo%20Regi%C3%B3n%22%20%3D%203"/>
        <s v="https://analytics.zoho.com/open-view/2395394000008539404?ZOHO_CRITERIA=%22Uni%C3%B3n%202.11-2.12%22.%22C%C3%B3digo%20Regi%C3%B3n%22%20%3D%204"/>
        <s v="https://analytics.zoho.com/open-view/2395394000008539404?ZOHO_CRITERIA=%22Uni%C3%B3n%202.11-2.12%22.%22C%C3%B3digo%20Regi%C3%B3n%22%20%3D%205"/>
        <s v="https://analytics.zoho.com/open-view/2395394000008539404?ZOHO_CRITERIA=%22Uni%C3%B3n%202.11-2.12%22.%22C%C3%B3digo%20Regi%C3%B3n%22%20%3D%206"/>
        <s v="https://analytics.zoho.com/open-view/2395394000008539404?ZOHO_CRITERIA=%22Uni%C3%B3n%202.11-2.12%22.%22C%C3%B3digo%20Regi%C3%B3n%22%20%3D%207"/>
        <s v="https://analytics.zoho.com/open-view/2395394000008539404?ZOHO_CRITERIA=%22Uni%C3%B3n%202.11-2.12%22.%22C%C3%B3digo%20Regi%C3%B3n%22%20%3D%208"/>
        <s v="https://analytics.zoho.com/open-view/2395394000008539404?ZOHO_CRITERIA=%22Uni%C3%B3n%202.11-2.12%22.%22C%C3%B3digo%20Regi%C3%B3n%22%20%3D%209"/>
        <s v="https://analytics.zoho.com/open-view/2395394000008539404?ZOHO_CRITERIA=%22Uni%C3%B3n%202.11-2.12%22.%22C%C3%B3digo%20Regi%C3%B3n%22%20%3D%2010"/>
        <s v="https://analytics.zoho.com/open-view/2395394000008539404?ZOHO_CRITERIA=%22Uni%C3%B3n%202.11-2.12%22.%22C%C3%B3digo%20Regi%C3%B3n%22%20%3D%2011"/>
        <s v="https://analytics.zoho.com/open-view/2395394000008539404?ZOHO_CRITERIA=%22Uni%C3%B3n%202.11-2.12%22.%22C%C3%B3digo%20Regi%C3%B3n%22%20%3D%2012"/>
        <s v="https://analytics.zoho.com/open-view/2395394000008539404?ZOHO_CRITERIA=%22Uni%C3%B3n%202.11-2.12%22.%22C%C3%B3digo%20Regi%C3%B3n%22%20%3D%2013"/>
        <s v="https://analytics.zoho.com/open-view/2395394000008539404?ZOHO_CRITERIA=%22Uni%C3%B3n%202.11-2.12%22.%22C%C3%B3digo%20Regi%C3%B3n%22%20%3D%2014"/>
        <s v="https://analytics.zoho.com/open-view/2395394000008539404?ZOHO_CRITERIA=%22Uni%C3%B3n%202.11-2.12%22.%22C%C3%B3digo%20Regi%C3%B3n%22%20%3D%2015"/>
        <s v="https://analytics.zoho.com/open-view/2395394000008539404?ZOHO_CRITERIA=%22Uni%C3%B3n%202.11-2.12%22.%22C%C3%B3digo%20Regi%C3%B3n%22%20%3D%2016"/>
        <s v="https://analytics.zoho.com/open-view/2395394000008188130"/>
        <s v="https://analytics.zoho.com/open-view/2395394000008188130?ZOHO_CRITERIA=%22Uni%C3%B3n%202.11-2.12%22.%22C%C3%B3digo%20Regi%C3%B3n%22%20%3D%201"/>
        <s v="https://analytics.zoho.com/open-view/2395394000008188130?ZOHO_CRITERIA=%22Uni%C3%B3n%202.11-2.12%22.%22C%C3%B3digo%20Regi%C3%B3n%22%20%3D%202"/>
        <s v="https://analytics.zoho.com/open-view/2395394000008188130?ZOHO_CRITERIA=%22Uni%C3%B3n%202.11-2.12%22.%22C%C3%B3digo%20Regi%C3%B3n%22%20%3D%203"/>
        <s v="https://analytics.zoho.com/open-view/2395394000008188130?ZOHO_CRITERIA=%22Uni%C3%B3n%202.11-2.12%22.%22C%C3%B3digo%20Regi%C3%B3n%22%20%3D%204"/>
        <s v="https://analytics.zoho.com/open-view/2395394000008188130?ZOHO_CRITERIA=%22Uni%C3%B3n%202.11-2.12%22.%22C%C3%B3digo%20Regi%C3%B3n%22%20%3D%205"/>
        <s v="https://analytics.zoho.com/open-view/2395394000008188130?ZOHO_CRITERIA=%22Uni%C3%B3n%202.11-2.12%22.%22C%C3%B3digo%20Regi%C3%B3n%22%20%3D%206"/>
        <s v="https://analytics.zoho.com/open-view/2395394000008188130?ZOHO_CRITERIA=%22Uni%C3%B3n%202.11-2.12%22.%22C%C3%B3digo%20Regi%C3%B3n%22%20%3D%207"/>
        <s v="https://analytics.zoho.com/open-view/2395394000008188130?ZOHO_CRITERIA=%22Uni%C3%B3n%202.11-2.12%22.%22C%C3%B3digo%20Regi%C3%B3n%22%20%3D%208"/>
        <s v="https://analytics.zoho.com/open-view/2395394000008188130?ZOHO_CRITERIA=%22Uni%C3%B3n%202.11-2.12%22.%22C%C3%B3digo%20Regi%C3%B3n%22%20%3D%209"/>
        <s v="https://analytics.zoho.com/open-view/2395394000008188130?ZOHO_CRITERIA=%22Uni%C3%B3n%202.11-2.12%22.%22C%C3%B3digo%20Regi%C3%B3n%22%20%3D%2010"/>
        <s v="https://analytics.zoho.com/open-view/2395394000008188130?ZOHO_CRITERIA=%22Uni%C3%B3n%202.11-2.12%22.%22C%C3%B3digo%20Regi%C3%B3n%22%20%3D%2011"/>
        <s v="https://analytics.zoho.com/open-view/2395394000008188130?ZOHO_CRITERIA=%22Uni%C3%B3n%202.11-2.12%22.%22C%C3%B3digo%20Regi%C3%B3n%22%20%3D%2012"/>
        <s v="https://analytics.zoho.com/open-view/2395394000008188130?ZOHO_CRITERIA=%22Uni%C3%B3n%202.11-2.12%22.%22C%C3%B3digo%20Regi%C3%B3n%22%20%3D%2013"/>
        <s v="https://analytics.zoho.com/open-view/2395394000008188130?ZOHO_CRITERIA=%22Uni%C3%B3n%202.11-2.12%22.%22C%C3%B3digo%20Regi%C3%B3n%22%20%3D%2014"/>
        <s v="https://analytics.zoho.com/open-view/2395394000008188130?ZOHO_CRITERIA=%22Uni%C3%B3n%202.11-2.12%22.%22C%C3%B3digo%20Regi%C3%B3n%22%20%3D%2015"/>
        <s v="https://analytics.zoho.com/open-view/2395394000008188130?ZOHO_CRITERIA=%22Uni%C3%B3n%202.11-2.12%22.%22C%C3%B3digo%20Regi%C3%B3n%22%20%3D%2016"/>
        <s v="https://analytics.zoho.com/open-view/2395394000008188039"/>
        <s v="https://analytics.zoho.com/open-view/2395394000008463254?ZOHO_CRITERIA=%22Uni%C3%B3n%202.11-2.12%22.%22C%C3%B3digo%20Regi%C3%B3n%22%20%3D%201"/>
        <s v="https://analytics.zoho.com/open-view/2395394000008463254?ZOHO_CRITERIA=%22Uni%C3%B3n%202.11-2.12%22.%22C%C3%B3digo%20Regi%C3%B3n%22%20%3D%202"/>
        <s v="https://analytics.zoho.com/open-view/2395394000008463254?ZOHO_CRITERIA=%22Uni%C3%B3n%202.11-2.12%22.%22C%C3%B3digo%20Regi%C3%B3n%22%20%3D%203"/>
        <s v="https://analytics.zoho.com/open-view/2395394000008463254?ZOHO_CRITERIA=%22Uni%C3%B3n%202.11-2.12%22.%22C%C3%B3digo%20Regi%C3%B3n%22%20%3D%204"/>
        <s v="https://analytics.zoho.com/open-view/2395394000008463254?ZOHO_CRITERIA=%22Uni%C3%B3n%202.11-2.12%22.%22C%C3%B3digo%20Regi%C3%B3n%22%20%3D%205"/>
        <s v="https://analytics.zoho.com/open-view/2395394000008463254?ZOHO_CRITERIA=%22Uni%C3%B3n%202.11-2.12%22.%22C%C3%B3digo%20Regi%C3%B3n%22%20%3D%206"/>
        <s v="https://analytics.zoho.com/open-view/2395394000008463254?ZOHO_CRITERIA=%22Uni%C3%B3n%202.11-2.12%22.%22C%C3%B3digo%20Regi%C3%B3n%22%20%3D%207"/>
        <s v="https://analytics.zoho.com/open-view/2395394000008463254?ZOHO_CRITERIA=%22Uni%C3%B3n%202.11-2.12%22.%22C%C3%B3digo%20Regi%C3%B3n%22%20%3D%208"/>
        <s v="https://analytics.zoho.com/open-view/2395394000008463254?ZOHO_CRITERIA=%22Uni%C3%B3n%202.11-2.12%22.%22C%C3%B3digo%20Regi%C3%B3n%22%20%3D%209"/>
        <s v="https://analytics.zoho.com/open-view/2395394000008463254?ZOHO_CRITERIA=%22Uni%C3%B3n%202.11-2.12%22.%22C%C3%B3digo%20Regi%C3%B3n%22%20%3D%2010"/>
        <s v="https://analytics.zoho.com/open-view/2395394000008463254?ZOHO_CRITERIA=%22Uni%C3%B3n%202.11-2.12%22.%22C%C3%B3digo%20Regi%C3%B3n%22%20%3D%2011"/>
        <s v="https://analytics.zoho.com/open-view/2395394000008463254?ZOHO_CRITERIA=%22Uni%C3%B3n%202.11-2.12%22.%22C%C3%B3digo%20Regi%C3%B3n%22%20%3D%2012"/>
        <s v="https://analytics.zoho.com/open-view/2395394000008463254?ZOHO_CRITERIA=%22Uni%C3%B3n%202.11-2.12%22.%22C%C3%B3digo%20Regi%C3%B3n%22%20%3D%2013"/>
        <s v="https://analytics.zoho.com/open-view/2395394000008463254?ZOHO_CRITERIA=%22Uni%C3%B3n%202.11-2.12%22.%22C%C3%B3digo%20Regi%C3%B3n%22%20%3D%2014"/>
        <s v="https://analytics.zoho.com/open-view/2395394000008463254?ZOHO_CRITERIA=%22Uni%C3%B3n%202.11-2.12%22.%22C%C3%B3digo%20Regi%C3%B3n%22%20%3D%2015"/>
        <s v="https://analytics.zoho.com/open-view/2395394000008463254?ZOHO_CRITERIA=%22Uni%C3%B3n%202.11-2.12%22.%22C%C3%B3digo%20Regi%C3%B3n%22%20%3D%2016"/>
        <s v="https://analytics.zoho.com/open-view/2395394000008188229"/>
        <s v="https://analytics.zoho.com/open-view/2395394000008463332?ZOHO_CRITERIA=%22Uni%C3%B3n%202.11-2.12%22.%22C%C3%B3digo%20Regi%C3%B3n%22%20%3D%201"/>
        <s v="https://analytics.zoho.com/open-view/2395394000008463332?ZOHO_CRITERIA=%22Uni%C3%B3n%202.11-2.12%22.%22C%C3%B3digo%20Regi%C3%B3n%22%20%3D%202"/>
        <s v="https://analytics.zoho.com/open-view/2395394000008463332?ZOHO_CRITERIA=%22Uni%C3%B3n%202.11-2.12%22.%22C%C3%B3digo%20Regi%C3%B3n%22%20%3D%203"/>
        <s v="https://analytics.zoho.com/open-view/2395394000008463332?ZOHO_CRITERIA=%22Uni%C3%B3n%202.11-2.12%22.%22C%C3%B3digo%20Regi%C3%B3n%22%20%3D%204"/>
        <s v="https://analytics.zoho.com/open-view/2395394000008463332?ZOHO_CRITERIA=%22Uni%C3%B3n%202.11-2.12%22.%22C%C3%B3digo%20Regi%C3%B3n%22%20%3D%205"/>
        <s v="https://analytics.zoho.com/open-view/2395394000008463332?ZOHO_CRITERIA=%22Uni%C3%B3n%202.11-2.12%22.%22C%C3%B3digo%20Regi%C3%B3n%22%20%3D%206"/>
        <s v="https://analytics.zoho.com/open-view/2395394000008463332?ZOHO_CRITERIA=%22Uni%C3%B3n%202.11-2.12%22.%22C%C3%B3digo%20Regi%C3%B3n%22%20%3D%207"/>
        <s v="https://analytics.zoho.com/open-view/2395394000008463332?ZOHO_CRITERIA=%22Uni%C3%B3n%202.11-2.12%22.%22C%C3%B3digo%20Regi%C3%B3n%22%20%3D%208"/>
        <s v="https://analytics.zoho.com/open-view/2395394000008463332?ZOHO_CRITERIA=%22Uni%C3%B3n%202.11-2.12%22.%22C%C3%B3digo%20Regi%C3%B3n%22%20%3D%209"/>
        <s v="https://analytics.zoho.com/open-view/2395394000008463332?ZOHO_CRITERIA=%22Uni%C3%B3n%202.11-2.12%22.%22C%C3%B3digo%20Regi%C3%B3n%22%20%3D%2010"/>
        <s v="https://analytics.zoho.com/open-view/2395394000008463332?ZOHO_CRITERIA=%22Uni%C3%B3n%202.11-2.12%22.%22C%C3%B3digo%20Regi%C3%B3n%22%20%3D%2011"/>
        <s v="https://analytics.zoho.com/open-view/2395394000008463332?ZOHO_CRITERIA=%22Uni%C3%B3n%202.11-2.12%22.%22C%C3%B3digo%20Regi%C3%B3n%22%20%3D%2012"/>
        <s v="https://analytics.zoho.com/open-view/2395394000008463332?ZOHO_CRITERIA=%22Uni%C3%B3n%202.11-2.12%22.%22C%C3%B3digo%20Regi%C3%B3n%22%20%3D%2013"/>
        <s v="https://analytics.zoho.com/open-view/2395394000008463332?ZOHO_CRITERIA=%22Uni%C3%B3n%202.11-2.12%22.%22C%C3%B3digo%20Regi%C3%B3n%22%20%3D%2014"/>
        <s v="https://analytics.zoho.com/open-view/2395394000008463332?ZOHO_CRITERIA=%22Uni%C3%B3n%202.11-2.12%22.%22C%C3%B3digo%20Regi%C3%B3n%22%20%3D%2015"/>
        <s v="https://analytics.zoho.com/open-view/2395394000008463332?ZOHO_CRITERIA=%22Uni%C3%B3n%202.11-2.12%22.%22C%C3%B3digo%20Regi%C3%B3n%22%20%3D%2016"/>
        <s v="https://analytics.zoho.com/open-view/2395394000008188448"/>
        <s v="https://analytics.zoho.com/open-view/2395394000008463071?ZOHO_CRITERIA=%22Uni%C3%B3n%202.11-2.12%22.%22C%C3%B3digo%20Regi%C3%B3n%22%20%3D%201"/>
        <s v="https://analytics.zoho.com/open-view/2395394000008463071?ZOHO_CRITERIA=%22Uni%C3%B3n%202.11-2.12%22.%22C%C3%B3digo%20Regi%C3%B3n%22%20%3D%202"/>
        <s v="https://analytics.zoho.com/open-view/2395394000008463071?ZOHO_CRITERIA=%22Uni%C3%B3n%202.11-2.12%22.%22C%C3%B3digo%20Regi%C3%B3n%22%20%3D%203"/>
        <s v="https://analytics.zoho.com/open-view/2395394000008463071?ZOHO_CRITERIA=%22Uni%C3%B3n%202.11-2.12%22.%22C%C3%B3digo%20Regi%C3%B3n%22%20%3D%204"/>
        <s v="https://analytics.zoho.com/open-view/2395394000008463071?ZOHO_CRITERIA=%22Uni%C3%B3n%202.11-2.12%22.%22C%C3%B3digo%20Regi%C3%B3n%22%20%3D%205"/>
        <s v="https://analytics.zoho.com/open-view/2395394000008463071?ZOHO_CRITERIA=%22Uni%C3%B3n%202.11-2.12%22.%22C%C3%B3digo%20Regi%C3%B3n%22%20%3D%206"/>
        <s v="https://analytics.zoho.com/open-view/2395394000008463071?ZOHO_CRITERIA=%22Uni%C3%B3n%202.11-2.12%22.%22C%C3%B3digo%20Regi%C3%B3n%22%20%3D%207"/>
        <s v="https://analytics.zoho.com/open-view/2395394000008463071?ZOHO_CRITERIA=%22Uni%C3%B3n%202.11-2.12%22.%22C%C3%B3digo%20Regi%C3%B3n%22%20%3D%208"/>
        <s v="https://analytics.zoho.com/open-view/2395394000008463071?ZOHO_CRITERIA=%22Uni%C3%B3n%202.11-2.12%22.%22C%C3%B3digo%20Regi%C3%B3n%22%20%3D%209"/>
        <s v="https://analytics.zoho.com/open-view/2395394000008463071?ZOHO_CRITERIA=%22Uni%C3%B3n%202.11-2.12%22.%22C%C3%B3digo%20Regi%C3%B3n%22%20%3D%2010"/>
        <s v="https://analytics.zoho.com/open-view/2395394000008463071?ZOHO_CRITERIA=%22Uni%C3%B3n%202.11-2.12%22.%22C%C3%B3digo%20Regi%C3%B3n%22%20%3D%2011"/>
        <s v="https://analytics.zoho.com/open-view/2395394000008463071?ZOHO_CRITERIA=%22Uni%C3%B3n%202.11-2.12%22.%22C%C3%B3digo%20Regi%C3%B3n%22%20%3D%2012"/>
        <s v="https://analytics.zoho.com/open-view/2395394000008463071?ZOHO_CRITERIA=%22Uni%C3%B3n%202.11-2.12%22.%22C%C3%B3digo%20Regi%C3%B3n%22%20%3D%2013"/>
        <s v="https://analytics.zoho.com/open-view/2395394000008463071?ZOHO_CRITERIA=%22Uni%C3%B3n%202.11-2.12%22.%22C%C3%B3digo%20Regi%C3%B3n%22%20%3D%2014"/>
        <s v="https://analytics.zoho.com/open-view/2395394000008463071?ZOHO_CRITERIA=%22Uni%C3%B3n%202.11-2.12%22.%22C%C3%B3digo%20Regi%C3%B3n%22%20%3D%2015"/>
        <s v="https://analytics.zoho.com/open-view/2395394000008463071?ZOHO_CRITERIA=%22Uni%C3%B3n%202.11-2.12%22.%22C%C3%B3digo%20Regi%C3%B3n%22%20%3D%2016"/>
        <e v="#VALUE!" u="1"/>
        <s v="https://analytics.zoho.com/open-view/2395394000004348834?ZOHO_CRITERIA=%22Hortaliza%20Consolidado%22.%22Categor%C3%ADa%20ID%22%3D100114001" u="1"/>
        <s v="https://analytics.zoho.com/open-view/2395394000007777467?ZOHO_CRITERIA=%22Trasposicion_4.10%22.%22Cod_regi%C3%B3n%22%20%3D%2012" u="1"/>
        <s v="https://analytics.zoho.com/open-view/2395394000007166809" u="1"/>
        <s v="https://analytics.zoho.com/open-view/2395394000007777467?ZOHO_CRITERIA=%22Trasposicion_4.10%22.%22Cod_regi%C3%B3n%22%20%3D%205" u="1"/>
        <s v="https://analytics.zoho.com/open-view/2395394000008413133?ZOHO_CRITERIA=%228.1%20Permiso_circulaci%C3%B3n%22.%22Codreg%22%3D0" u="1"/>
        <s v="https://analytics.zoho.com/open-view/2395394000008475310?ZOHO_CRITERIA=%228.1%20Permiso_circulaci%C3%B3n%22.%22Codreg%22%3D0" u="1"/>
        <s v="https://analytics.zoho.com/open-view/2395394000008025390" u="1"/>
        <s v="https://analytics.zoho.com/open-view/2395394000007777467?ZOHO_CRITERIA=%22Trasposicion_4.10%22.%22Cod_regi%C3%B3n%22%20%3D%2013" u="1"/>
        <s v="https://analytics.zoho.com/open-view/2395394000000579068" u="1"/>
        <s v="https://analytics.zoho.com/open-view/2395394000007211567?ZOHO_CRITERIA=%22Localiza_CL_Poblacion%22.%22Codcom%22%3D1101" u="1"/>
        <s v="https://analytics.zoho.com/open-view/2395394000007211944?ZOHO_CRITERIA=%22Localiza_CL_Poblacion%22.%22Codcom%22%3D1101" u="1"/>
        <s v="https://analytics.zoho.com/open-view/2395394000007777467?ZOHO_CRITERIA=%22Trasposicion_4.10%22.%22Cod_regi%C3%B3n%22%20%3D%2014" u="1"/>
        <s v="https://analytics.zoho.com/open-view/2395394000007777467?ZOHO_CRITERIA=%22Trasposicion_4.10%22.%22Cod_regi%C3%B3n%22%20%3D%206" u="1"/>
        <s v="https://analytics.zoho.com/open-view/2395394000003199680?ZOHO_CRITERIA=%22Fruta%20Consolidado%22.%22Categor%C3%ADa%20ID%22%3D100112025" u="1"/>
        <s v="https://analytics.zoho.com/open-view/2395394000007777467?ZOHO_CRITERIA=%22Trasposicion_4.10%22.%22Cod_regi%C3%B3n%22%20%3D%2015" u="1"/>
        <s v="https://analytics.zoho.com/open-view/2395394000007777467?ZOHO_CRITERIA=%22Trasposicion_4.10%22.%22Cod_regi%C3%B3n%22%20%3D%2016" u="1"/>
        <s v="https://analytics.zoho.com/open-view/2395394000007777467?ZOHO_CRITERIA=%22Trasposicion_4.10%22.%22Cod_regi%C3%B3n%22%20%3D%207" u="1"/>
        <s v="https://analytics.zoho.com/open-view/2395394000006789748?ZOHO_CRITERIA=%22Localiza%20CL%22.%22Codreg%22%3D13" u="1"/>
        <s v="https://analytics.zoho.com/open-view/2395394000007777467?ZOHO_CRITERIA=%22Trasposicion_4.10%22.%22Cod_regi%C3%B3n%22%20%3D%208" u="1"/>
        <s v="https://analytics.zoho.com/open-view/2395394000007777467?ZOHO_CRITERIA=%22Trasposicion_4.10%22.%22Cod_regi%C3%B3n%22%20%3D%201" u="1"/>
        <s v="https://analytics.zoho.com/open-view/2395394000007777467?ZOHO_CRITERIA=%22Trasposicion_4.10%22.%22Cod_regi%C3%B3n%22%20%3D%209" u="1"/>
        <s v="https://analytics.zoho.com/open-view/2395394000008478582?ZOHO_CRITERIA=%2216%20Energ%C3%ADas%20Renovables%20y%20No%20Renovables%22.%22Cod_Regi%C3%B3n%22%20%3D%200" u="1"/>
        <s v="https://analytics.zoho.com/open-view/2395394000008492075?ZOHO_CRITERIA=%2216%20Energ%C3%ADas%20Renovables%20y%20No%20Renovables%22.%22Cod_Regi%C3%B3n%22%20%3D%200" u="1"/>
        <s v="https://analytics.zoho.com/open-view/2395394000008516065?ZOHO_CRITERIA=%222.1%22.%22C%C3%B3digo%20Regi%C3%B3n%22%20%3D%200" u="1"/>
        <s v="https://analytics.zoho.com/open-view/2395394000008516451?ZOHO_CRITERIA=%222.1%22.%22C%C3%B3digo%20Regi%C3%B3n%22%20%3D%200" u="1"/>
        <s v="https://analytics.zoho.com/open-view/2395394000008516593?ZOHO_CRITERIA=%222.1%22.%22C%C3%B3digo%20Regi%C3%B3n%22%20%3D%200" u="1"/>
        <s v="https://analytics.zoho.com/open-view/2395394000008516645?ZOHO_CRITERIA=%222.1%22.%22C%C3%B3digo%20Regi%C3%B3n%22%20%3D%200" u="1"/>
        <s v="https://analytics.zoho.com/open-view/2395394000007777467?ZOHO_CRITERIA=%22Trasposicion_4.10%22.%22Cod_regi%C3%B3n%22%20%3D%202" u="1"/>
        <s v="https://public.flourish.studio/visualisation/4642993/" u="1"/>
        <s v="https://analytics.zoho.com/open-view/2395394000008413090?ZOHO_CRITERIA=%228.3%20Licencias_conducir%22.%22Codreg%22%3D0" u="1"/>
        <s v="https://analytics.zoho.com/open-view/2395394000008413167?ZOHO_CRITERIA=%228.3%20Licencias_conducir%22.%22Codreg%22%3D0" u="1"/>
        <s v="https://analytics.zoho.com/open-view/2395394000008475578?ZOHO_CRITERIA=%228.3%20Licencias_conducir%22.%22Codreg%22%3D0" u="1"/>
        <s v="https://analytics.zoho.com/open-view/2395394000008464607?ZOHO_CRITERIA=%22Localiza%20CL%22.%22Codreg%22%20%3D%200" u="1"/>
        <s v="https://analytics.zoho.com/open-view/2395394000008464727?ZOHO_CRITERIA=%22Localiza%20CL%22.%22Codreg%22%20%3D%200" u="1"/>
        <s v="https://analytics.zoho.com/open-view/2395394000008478003?ZOHO_CRITERIA=%22Localiza%20CL%22.%22Codreg%22%20%3D%200" u="1"/>
        <s v="https://analytics.zoho.com/open-view/2395394000008516001?ZOHO_CRITERIA=%2227.10%22.%22Id_Regi%C3%B3n%22%20%3D%200" u="1"/>
        <s v="https://analytics.zoho.com/open-view/2395394000008516725?ZOHO_CRITERIA=%22Localiza%20CL%22.%22Codreg%22%20%3D%200" u="1"/>
        <s v="https://analytics.zoho.com/open-view/2395394000008189059?ZOHO_CRITERIA=%221.1%20Lugar_Salida_Entrada%22.%22C%C3%B3digo%20Regi%C3%B3n%22%3D0" u="1"/>
        <s v="https://analytics.zoho.com/open-view/2395394000007777467?ZOHO_CRITERIA=%22Trasposicion_4.10%22.%22Cod_regi%C3%B3n%22%20%3D%203" u="1"/>
        <s v="https://analytics.zoho.com/open-view/2395394000007777467?ZOHO_CRITERIA=%22Trasposicion_4.10%22.%22Cod_regi%C3%B3n%22%20%3D%2010" u="1"/>
        <s v="https://analytics.zoho.com/open-view/2395394000007777467?ZOHO_CRITERIA=%22Trasposicion_4.10%22.%22Cod_regi%C3%B3n%22%20%3D%204" u="1"/>
        <s v="https://analytics.zoho.com/open-view/2395394000008161153" u="1"/>
        <s v="https://analytics.zoho.com/open-view/2395394000007777467?ZOHO_CRITERIA=%22Trasposicion_4.10%22.%22Cod_regi%C3%B3n%22%20%3D%2011" u="1"/>
      </sharedItems>
    </cacheField>
    <cacheField name="Suscripcion" numFmtId="0">
      <sharedItems containsBlank="1" containsMixedTypes="1" containsNumber="1" containsInteger="1" minValue="0" maxValue="0"/>
    </cacheField>
    <cacheField name="Color" numFmtId="0">
      <sharedItems/>
    </cacheField>
    <cacheField name="id_grafico" numFmtId="0">
      <sharedItems/>
    </cacheField>
    <cacheField name="idterritorio" numFmtId="0">
      <sharedItems containsSemiMixedTypes="0" containsString="0" containsNumber="1" containsInteger="1" minValue="99100000" maxValue="99200016"/>
    </cacheField>
    <cacheField name="id_tema" numFmtId="0">
      <sharedItems/>
    </cacheField>
    <cacheField name="id_contenido" numFmtId="0">
      <sharedItems/>
    </cacheField>
    <cacheField name="idfiltro" numFmtId="0">
      <sharedItems/>
    </cacheField>
    <cacheField name="id_muestra" numFmtId="0">
      <sharedItems/>
    </cacheField>
  </cacheFields>
  <extLst>
    <ext xmlns:x14="http://schemas.microsoft.com/office/spreadsheetml/2009/9/main" uri="{725AE2AE-9491-48be-B2B4-4EB974FC3084}">
      <x14:pivotCacheDefinition pivotCacheId="5779027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21.753310185188" createdVersion="7" refreshedVersion="7" minRefreshableVersion="3" recordCount="2037" xr:uid="{8FBF8968-6F1D-4FB3-A103-E788B558106B}">
  <cacheSource type="worksheet">
    <worksheetSource ref="A11:U2048" sheet="Agencia"/>
  </cacheSource>
  <cacheFields count="21">
    <cacheField name="id" numFmtId="0">
      <sharedItems/>
    </cacheField>
    <cacheField name="idcoleccion" numFmtId="0">
      <sharedItems containsSemiMixedTypes="0" containsString="0" containsNumber="1" containsInteger="1" minValue="990" maxValue="990"/>
    </cacheField>
    <cacheField name="coleccion" numFmtId="0">
      <sharedItems/>
    </cacheField>
    <cacheField name="sector" numFmtId="0">
      <sharedItems/>
    </cacheField>
    <cacheField name="Filtro URL" numFmtId="0">
      <sharedItems containsSemiMixedTypes="0" containsString="0" containsNumber="1" containsInteger="1" minValue="0" maxValue="16"/>
    </cacheField>
    <cacheField name="tema" numFmtId="0">
      <sharedItems containsBlank="1" count="152">
        <s v="Ingreso Promedio Regional"/>
        <s v="PSU"/>
        <s v="Violaciones"/>
        <s v="Ingreso Promedio Nacional"/>
        <s v="Ingreso por etnia"/>
        <s v="Indicadores de Calidad de Educación Municipal"/>
        <s v="Evolución COVID-19"/>
        <s v="Exportaciones"/>
        <s v="Abuso sexual"/>
        <s v="Resultados de evaluaciones"/>
        <s v="Incendios Forestales"/>
        <s v="Precios"/>
        <s v="Titularidad de espacios culturales"/>
        <s v="Delitos de Mayor Connotación Social (DMCS)"/>
        <s v="Violencia Intrafamiliar"/>
        <s v="Producción"/>
        <s v="Plantaciones"/>
        <s v="Instrumentos de Planificación Territorial (IPT)"/>
        <s v="Acceso para Discapacitados en espacios culturales"/>
        <s v="Ventas"/>
        <s v="Establecimientos de Apoyo"/>
        <s v="Atenciones de Salud Violencia de Género"/>
        <s v="Capacidad Instalada "/>
        <s v="Importaciones"/>
        <s v="Programa de Cáncer de Cuello Uterino"/>
        <s v="Programa de VIH/SIDA"/>
        <s v="Índice de Vulnerabilidad"/>
        <s v="Monitoreo de Glaciares"/>
        <s v="Pesca Industrial y Artesanal"/>
        <s v="Población por sexo"/>
        <s v="Defunciones"/>
        <s v="Nacimientos"/>
        <s v="Permisos de circulación"/>
        <s v="Emisiones por quema de combustible"/>
        <s v="Trabajadores dependientes"/>
        <s v="Trabajadores dependientes o a honorarios"/>
        <s v="SIMCE"/>
        <s v="Indicadores de Participación y formación ciudadana"/>
        <s v="Femicidios"/>
        <s v="Parque vehicular escolar"/>
        <s v="Detalle Programas e Instituciones"/>
        <s v="Indicadores de Desarrollo Personal y Social"/>
        <s v="Superficie Autorizada "/>
        <s v="Trabajadores por sexo"/>
        <s v="Renta neta"/>
        <s v="Empresas por tamaño"/>
        <s v="Programa de Salud Cardiovascular"/>
        <s v="Absorciones de CO2"/>
        <s v="Emisiones netas de CO2"/>
        <s v="Emisiones de CO2 "/>
        <s v="Emisiones y absorciones de CO2"/>
        <s v="Ventas anuales"/>
        <s v="Candidatos electos"/>
        <s v="Cupos"/>
        <s v="Empresas vigentes"/>
        <s v="Trabajadores "/>
        <s v="Espacios culturales"/>
        <s v="Financiamiento"/>
        <s v="Estado mantención"/>
        <s v="Ubicación"/>
        <s v="Predios Agrícolas"/>
        <s v="Establecimientos de Salud"/>
        <s v="Licencias de Conducir Profesionales"/>
        <s v="Licencias de Conducir"/>
        <s v="Propietarios de Centrales"/>
        <s v="Cantidad de Centrales"/>
        <s v="Centrales ERNC"/>
        <s v="Farmacias"/>
        <s v="Balanza"/>
        <s v="Parques Urbanos"/>
        <s v="Plazas Públicas"/>
        <s v="Áreas Verdes  "/>
        <s v="Salud Mental"/>
        <s v="Conexiones de internet fija"/>
        <s v="Televisión de pago"/>
        <s v="Población de pueblos indígenas"/>
        <s v="Tasa de desocupación"/>
        <s v="Fuerza de trabajo"/>
        <s v="Desocupados"/>
        <s v="Producción minera"/>
        <s v="Pernoctaciones"/>
        <s v="Habitaciones ocupadas"/>
        <s v="Pesca industrial"/>
        <s v="Pesca artesanal"/>
        <s v="Acuicultura"/>
        <s v="Importaciones y exportaciones"/>
        <s v="Producción Manufacturera"/>
        <s v="Supermercados"/>
        <s v="Pórticos Autopistas Interurbanas"/>
        <s v="Parque Vehicular Taxis"/>
        <s v="Carga Portuaria"/>
        <s v="Superficie Autorizada Habitacional (Obras Nuevas)"/>
        <s v="Viviendas Autorizadas"/>
        <s v="Superficie Autorizada No Habitacional (Ampliaciones ICEF)"/>
        <s v="DMCS - Robo con Violencia o Intimidación"/>
        <s v="DMCS - Homicidio"/>
        <s v="DMCS - Homicidio y Violación"/>
        <s v="Pobreza Extrema y No Extrema"/>
        <s v="Pobreza Extrema"/>
        <s v="Ingresos y Egresos de NNA a SENAME"/>
        <s v="Predios No Agrícolas Habitacionales"/>
        <s v="Propiedades Municipales"/>
        <m u="1"/>
        <s v="SIMCE Lectura 8° Básico" u="1"/>
        <s v="Indicador de Participación y formación ciudadana" u="1"/>
        <s v="Denuncias" u="1"/>
        <s v="SIMCE Lectura 2° Medio" u="1"/>
        <s v="Atenciones" u="1"/>
        <s v="Autoestima, Convivencia, Hábitos Salud y Participación" u="1"/>
        <s v="Plan Regional de Desarrollo Urbano (PRDU)" u="1"/>
        <s v="Centros de la Mujer" u="1"/>
        <s v="Centrales" u="1"/>
        <s v="Propietarios" u="1"/>
        <s v="Casos de VIF" u="1"/>
        <s v="Fruta exportada" u="1"/>
        <s v="Relación con el femicida" u="1"/>
        <s v="SIMCE Matemáticas 2° Medio" u="1"/>
        <s v="Casos activos COVID-19" u="1"/>
        <s v="Clima de Convivencia Escolar" u="1"/>
        <s v="Producción Agrícola" u="1"/>
        <s v="Superficie de plantaciones afectadas por incendios" u="1"/>
        <s v="Envases" u="1"/>
        <s v="Edad" u="1"/>
        <s v="Autoestima Académica y Motivación Escolar" u="1"/>
        <s v="otro" u="1"/>
        <s v="Casas de Acogida" u="1"/>
        <s v="IPTs Locales (PRC, LU, PS)" u="1"/>
        <s v="Fallecidos" u="1"/>
        <s v="Ingresos por etnia" u="1"/>
        <s v="Frecuencia de delitos" u="1"/>
        <s v="Evolución de incendios" u="1"/>
        <s v="Potencia Neta" u="1"/>
        <s v="Sentencias por delitos de abuso sexual" u="1"/>
        <s v="Superficie plantada" u="1"/>
        <s v="Solicitudes autorizadas" u="1"/>
        <s v="Denuncias por VIF" u="1"/>
        <s v="Precios de frutas" u="1"/>
        <s v="Gestión Municipal Territorial" u="1"/>
        <s v="Áreas Verdes Mantenidas por Habitante" u="1"/>
        <s v="Evolución diaria" u="1"/>
        <s v="Activos" u="1"/>
        <s v="Precios de hortalizas" u="1"/>
        <s v="SIMCE Lectura 4° Básico" u="1"/>
        <s v="Valor de exportaciones" u="1"/>
        <s v="Consultas Salud Mental" u="1"/>
        <s v="Evolución mensual" u="1"/>
        <s v="SIMCE Lectura 6° Básico" u="1"/>
        <s v="Ingresos regionales" u="1"/>
        <s v="Ingresos promedio" u="1"/>
        <s v="Volumen de exportaciones" u="1"/>
        <s v="Volumen de importaciones" u="1"/>
        <s v="Delitos de Mayor Connotación Social" u="1"/>
      </sharedItems>
    </cacheField>
    <cacheField name="contenido" numFmtId="0">
      <sharedItems containsBlank="1" count="94">
        <s v="Ingresos Históricos"/>
        <s v="Métricas de la Educación"/>
        <s v="Violencia Contra la Mujer"/>
        <s v="Gestión Municipal de Educación"/>
        <s v="COVID-19"/>
        <s v="Agricultura"/>
        <s v="Evaluación de Programas"/>
        <s v="Forestal"/>
        <s v="Cultura"/>
        <s v="Delincuencia"/>
        <s v="Territorio"/>
        <s v="Empresas"/>
        <s v="Energía"/>
        <s v="Mujer Salud"/>
        <s v="Programas de Salud"/>
        <s v="Vulnerabilidad"/>
        <s v="Glaciares"/>
        <s v="Pesca y Acuicultura"/>
        <s v="Pueblos Indígenas"/>
        <s v="Demografía"/>
        <s v="Tránsito"/>
        <s v="Inventario de Gases de Efecto Invernadero (GEI)"/>
        <s v="Transporte"/>
        <s v="Vivienda y Construcción"/>
        <s v="Elecciones"/>
        <s v="Gestión Municipal Territorial"/>
        <s v="Establecimientos de Salud"/>
        <s v="Comercio Exterior"/>
        <s v="Estado de la Salud"/>
        <s v="Internet"/>
        <s v="Telecomunicaciones"/>
        <s v="Trabajo"/>
        <s v="Minería"/>
        <s v="Turismo"/>
        <s v="Manufacturas"/>
        <s v="Comercio"/>
        <s v="Pórticos y Peajes"/>
        <s v="Carga Marítima"/>
        <s v="Pobreza"/>
        <s v="Protección de Menores"/>
        <m u="1"/>
        <s v="Salud Mental" u="1"/>
        <s v="Exportaciones" u="1"/>
        <s v="Monitoreo" u="1"/>
        <s v="Gases de Efecto Invernadero (GEI)" u="1"/>
        <s v="Centrales" u="1"/>
        <s v="Incendios" u="1"/>
        <s v="Pesca" u="1"/>
        <s v="Gestión Educación" u="1"/>
        <s v="Ingreso por etnia" u="1"/>
        <s v="Violaciones" u="1"/>
        <s v="Capacidad Instalada " u="1"/>
        <s v="Precios" u="1"/>
        <s v="Femicidios" u="1"/>
        <s v="Incendios Forestales" u="1"/>
        <s v="Clima de Convivencia escolar" u="1"/>
        <s v="Cáncer Cuello Cervicouterino" u="1"/>
        <s v="Violencia Intrafamiliar" u="1"/>
        <s v="Métricas de Educación" u="1"/>
        <s v="Autoestima y Motivación" u="1"/>
        <s v="Otro" u="1"/>
        <s v="Calidad de la Educación" u="1"/>
        <s v="Desembarque" u="1"/>
        <s v="Permisos de circulación" u="1"/>
        <s v="Establecimientos de Apoyo" u="1"/>
        <s v="Participación y formación ciudadana" u="1"/>
        <s v="Trabajadores" u="1"/>
        <s v="Ingresos" u="1"/>
        <s v="Hábitos de vida saludable" u="1"/>
        <s v="Enfermedades de Transmisión Sexual" u="1"/>
        <s v="Atenciones de Salud Violencia de Género" u="1"/>
        <s v="Ventas" u="1"/>
        <s v="Plantaciones" u="1"/>
        <s v="Infraestructura Cultural" u="1"/>
        <s v="Parque vehicular escolar" u="1"/>
        <s v="Evaluación de Programas Gubernamentales" u="1"/>
        <s v="Enfermedades Mundiales" u="1"/>
        <s v="Estadísticas vitales" u="1"/>
        <s v="Importaciones" u="1"/>
        <s v="SIMCE" u="1"/>
        <s v="Población" u="1"/>
        <s v="Infraestructura" u="1"/>
        <s v="Licencias de Conducir" u="1"/>
        <s v="Evolución COVID-19" u="1"/>
        <s v="Enfermedades Cardiovasculares" u="1"/>
        <s v="Indicadores de Desarrollo Personal y Social" u="1"/>
        <s v="Abuso sexual" u="1"/>
        <s v="Instrumentos de Planificación Territorial (IPT)" u="1"/>
        <s v="Ingreso Promedio Mensual" u="1"/>
        <s v="GEI" u="1"/>
        <s v="Municipio" u="1"/>
        <s v="Solicitudes edificación" u="1"/>
        <s v="Producción" u="1"/>
        <s v="Delitos de Mayor Connotación Social" u="1"/>
      </sharedItems>
    </cacheField>
    <cacheField name="escala" numFmtId="0">
      <sharedItems containsBlank="1" count="5">
        <s v="País"/>
        <s v="Región"/>
        <m u="1"/>
        <s v="Comunal" u="1"/>
        <s v="Regional" u="1"/>
      </sharedItems>
    </cacheField>
    <cacheField name="territorio" numFmtId="0">
      <sharedItems containsBlank="1" count="363">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m u="1"/>
        <s v="Natales" u="1"/>
        <s v="Penco" u="1"/>
        <s v="Nancagua" u="1"/>
        <s v="Colina" u="1"/>
        <s v="Futaleufú" u="1"/>
        <s v="Macul" u="1"/>
        <s v="Río Ibáñez" u="1"/>
        <s v="Coelemu" u="1"/>
        <s v="Teodoro Schmidt" u="1"/>
        <s v="Concepción" u="1"/>
        <s v="Rancagua" u="1"/>
        <s v="Palena" u="1"/>
        <s v="El Tabo" u="1"/>
        <s v="Linares" u="1"/>
        <s v="Contulmo" u="1"/>
        <s v="Maipú" u="1"/>
        <s v="Huasco" u="1"/>
        <s v="Rauco" u="1"/>
        <s v="Longaví" u="1"/>
        <s v="Isla de Pascua" u="1"/>
        <s v="Río Negro" u="1"/>
        <s v="San Joaquín" u="1"/>
        <s v="Los Vilos" u="1"/>
        <s v="Pichilemu" u="1"/>
        <s v="Llanquihue" u="1"/>
        <s v="Panguipulli" u="1"/>
        <s v="Molina" u="1"/>
        <s v="Cochamó" u="1"/>
        <s v="Santa Cruz" u="1"/>
        <s v="Puchuncaví" u="1"/>
        <s v="Santa Bárbara" u="1"/>
        <s v="Pelarco" u="1"/>
        <s v="Ránquil" u="1"/>
        <s v="Máfil" u="1"/>
        <s v="Santiago" u="1"/>
        <s v="Hijuelas" u="1"/>
        <s v="Retiro" u="1"/>
        <s v="Lo Espejo" u="1"/>
        <s v="Curicó" u="1"/>
        <s v="Hualañé" u="1"/>
        <s v="Huara" u="1"/>
        <s v="Quemchi" u="1"/>
        <s v="Santa Juana" u="1"/>
        <s v="Hualqui" u="1"/>
        <s v="Monte Patria" u="1"/>
        <s v="Coltauco" u="1"/>
        <s v="Navidad" u="1"/>
        <s v="El Carmen" u="1"/>
        <s v="Rengo" u="1"/>
        <s v="Chanco" u="1"/>
        <s v="Panquehue" u="1"/>
        <s v="San Pedro" u="1"/>
        <s v="Cabildo" u="1"/>
        <s v="Ninhue" u="1"/>
        <s v="Calera de Tango" u="1"/>
        <s v="Lota" u="1"/>
        <s v="Quinchao" u="1"/>
        <s v="Victoria" u="1"/>
        <s v="Quinta Normal" u="1"/>
        <s v="Sierra Gorda" u="1"/>
        <s v="Chile Chico" u="1"/>
        <s v="Viña del Mar" u="1"/>
        <s v="Requínoa" u="1"/>
        <s v="Hualpén" u="1"/>
        <s v="Purén" u="1"/>
        <s v="San Juan de La Costa" u="1"/>
        <s v="Peñalolén" u="1"/>
        <s v="Calle Larga" u="1"/>
        <s v="Lampa" u="1"/>
        <s v="Algarrobo" u="1"/>
        <s v="Yungay" u="1"/>
        <s v="Coihueco" u="1"/>
        <s v="Carahue" u="1"/>
        <s v="Teno" u="1"/>
        <s v="Peralillo" u="1"/>
        <s v="Illapel" u="1"/>
        <s v="Paine" u="1"/>
        <s v="Machalí" u="1"/>
        <s v="Cabrero" u="1"/>
        <s v="Villarrica" u="1"/>
        <s v="San Bernardo" u="1"/>
        <s v="Putaendo" u="1"/>
        <s v="Lago Verde" u="1"/>
        <s v="Purranque" u="1"/>
        <s v="Pemuco" u="1"/>
        <s v="Curacaví" u="1"/>
        <s v="Pumanque" u="1"/>
        <s v="Concón" u="1"/>
        <s v="La Pintana" u="1"/>
        <s v="Osorno" u="1"/>
        <s v="San Vicente" u="1"/>
        <s v="Limache" u="1"/>
        <s v="Colchane" u="1"/>
        <s v="Ercilla" u="1"/>
        <s v="Tortel" u="1"/>
        <s v="Catemu" u="1"/>
        <s v="Alto Hospicio" u="1"/>
        <s v="Putre" u="1"/>
        <s v="Toltén" u="1"/>
        <s v="Temuco" u="1"/>
        <s v="San Carlos" u="1"/>
        <s v="Placilla" u="1"/>
        <s v="La Estrella" u="1"/>
        <s v="Papudo" u="1"/>
        <s v="San Antonio" u="1"/>
        <s v="Freire" u="1"/>
        <s v="Tierra Amarilla" u="1"/>
        <s v="Ñiquén" u="1"/>
        <s v="Calama" u="1"/>
        <s v="Puerto Varas" u="1"/>
        <s v="Cobquecura" u="1"/>
        <s v="Río Claro" u="1"/>
        <s v="Santa María" u="1"/>
        <s v="Perquenco" u="1"/>
        <s v="Mulchén" u="1"/>
        <s v="Lebu" u="1"/>
        <s v="Coronel" u="1"/>
        <s v="El Monte" u="1"/>
        <s v="Santo Domingo" u="1"/>
        <s v="Isla de Maipo" u="1"/>
        <s v="Peumo" u="1"/>
        <s v="Colbún" u="1"/>
        <s v="Cunco" u="1"/>
        <s v="Pelluhue" u="1"/>
        <s v="Camarones" u="1"/>
        <s v="San Felipe" u="1"/>
        <s v="La Ligua" u="1"/>
        <s v="Coquimbo" u="1"/>
        <s v="San Fernando" u="1"/>
        <s v="Arica" u="1"/>
        <s v="Ollagüe" u="1"/>
        <s v="Providencia" u="1"/>
        <s v="Guaitecas" u="1"/>
        <s v="Paillaco" u="1"/>
        <s v="Paiguano" u="1"/>
        <s v="El Quisco" u="1"/>
        <s v="Combarbalá" u="1"/>
        <s v="General Lagos" u="1"/>
        <s v="Coihaique" u="1"/>
        <s v="Alto Biobío" u="1"/>
        <s v="Pedro Aguirre Cerda" u="1"/>
        <s v="Pozo Almonte" u="1"/>
        <s v="San Ramón" u="1"/>
        <s v="Canela" u="1"/>
        <s v="Chaitén" u="1"/>
        <s v="Cisnes" u="1"/>
        <s v="Lo Barnechea" u="1"/>
        <s v="Nogales" u="1"/>
        <s v="Vichuquén" u="1"/>
        <s v="Nacimiento" u="1"/>
        <s v="Puerto Montt" u="1"/>
        <s v="Talagante" u="1"/>
        <s v="Traiguén" u="1"/>
        <s v="Pitrufquén" u="1"/>
        <s v="La Reina" u="1"/>
        <s v="Chillán" u="1"/>
        <s v="Chillán Viejo" u="1"/>
        <s v="Pirque" u="1"/>
        <s v="María Elena" u="1"/>
        <s v="Melipeuco" u="1"/>
        <s v="Río Bueno" u="1"/>
        <s v="San Rosendo" u="1"/>
        <s v="Pucón" u="1"/>
        <s v="San Pedro de Atacama" u="1"/>
        <s v="Mostazal" u="1"/>
        <s v="Empedrado" u="1"/>
        <s v="Calera" u="1"/>
        <s v="Fresia" u="1"/>
        <s v="Padre Hurtado" u="1"/>
        <s v="Nueva Imperial" u="1"/>
        <s v="Corral" u="1"/>
        <s v="Lumaco" u="1"/>
        <s v="Independencia" u="1"/>
        <s v="Constitución" u="1"/>
        <s v="Petorca" u="1"/>
        <s v="Antofagasta" u="1"/>
        <s v="Pudahuel" u="1"/>
        <s v="Doñihue" u="1"/>
        <s v="Pinto" u="1"/>
        <s v="Padre las Casas" u="1"/>
        <s v="Tomé" u="1"/>
        <s v="Licantén" u="1"/>
        <s v="Vilcún" u="1"/>
        <s v="Los Angeles" u="1"/>
        <s v="María Pinto" u="1"/>
        <s v="Freirina" u="1"/>
        <s v="Collipulli" u="1"/>
        <s v="Los Andes" u="1"/>
        <s v="Curanilahue" u="1"/>
        <s v="Los Sauces" u="1"/>
        <s v="Alhué" u="1"/>
        <s v="Yerbas Buenas" u="1"/>
        <s v="Hualaihué" u="1"/>
        <s v="Diego de Almagro" u="1"/>
        <s v="Treguaco" u="1"/>
        <s v="Cochrane" u="1"/>
        <s v="Vicuña" u="1"/>
        <s v="Melipilla" u="1"/>
        <s v="El Bosque" u="1"/>
        <s v="Graneros" u="1"/>
        <s v="Iquique" u="1"/>
        <s v="Recoleta" u="1"/>
        <s v="Valdivia" u="1"/>
        <s v="Camiña" u="1"/>
        <s v="Los Alamos" u="1"/>
        <s v="Calbuco" u="1"/>
        <s v="San Clemente" u="1"/>
        <s v="Curacautín" u="1"/>
        <s v="San Rafael" u="1"/>
        <s v="Queilén" u="1"/>
        <s v="Tirúa" u="1"/>
        <s v="Andacollo" u="1"/>
        <s v="Copiapó" u="1"/>
        <s v="Quinta de Tilcoco" u="1"/>
        <s v="Quellón" u="1"/>
        <s v="Florida" u="1"/>
        <s v="Quillón" u="1"/>
        <s v="Cerro Navia" u="1"/>
        <s v="Aisén" u="1"/>
        <s v="Casablanca" u="1"/>
        <s v="Quilaco" u="1"/>
        <s v="Mariquina" u="1"/>
        <s v="Cañete" u="1"/>
        <s v="Porvenir" u="1"/>
        <s v="Maule" u="1"/>
        <s v="Cholchol" u="1"/>
        <s v="San José de Maipo" u="1"/>
        <s v="Las Cabras" u="1"/>
        <s v="Talcahuano" u="1"/>
        <s v="Puerto Octay" u="1"/>
        <s v="Puqueldón" u="1"/>
        <s v="Olmué" u="1"/>
        <s v="Parral" u="1"/>
        <s v="Chépica" u="1"/>
        <s v="San Pedro de la Paz" u="1"/>
        <s v="Dalcahue" u="1"/>
        <s v="La Florida" u="1"/>
        <s v="Peñaflor" u="1"/>
        <s v="Gorbea" u="1"/>
        <s v="Pichidegua" u="1"/>
        <s v="San Fabián" u="1"/>
        <s v="San Gregorio" u="1"/>
        <s v="Galvarino" u="1"/>
        <s v="Pica" u="1"/>
        <s v="Yumbel" u="1"/>
        <s v="Chañaral" u="1"/>
        <s v="Zapallar" u="1"/>
        <s v="Romeral" u="1"/>
        <s v="Laja" u="1"/>
        <s v="Portezuelo" u="1"/>
        <s v="Saavedra" u="1"/>
        <s v="La Serena" u="1"/>
        <s v="San Miguel" u="1"/>
        <s v="San Ignacio" u="1"/>
        <s v="Maullín" u="1"/>
        <s v="La Cisterna" u="1"/>
        <s v="Ñuñoa" u="1"/>
        <s v="Codegua" u="1"/>
        <s v="Río Hurtado" u="1"/>
        <s v="O'Higgins" u="1"/>
        <s v="Pencahue" u="1"/>
        <s v="Malloa" u="1"/>
        <s v="Taltal" u="1"/>
        <s v="Negrete" u="1"/>
        <s v="Cartagena" u="1"/>
        <s v="Frutillar" u="1"/>
        <s v="Caldera" u="1"/>
        <s v="Tocopilla" u="1"/>
        <s v="Juan Fernández" u="1"/>
        <s v="Puente Alto" u="1"/>
        <s v="Quilleco" u="1"/>
        <s v="Lolol" u="1"/>
        <s v="La Unión" u="1"/>
        <s v="Quirihue" u="1"/>
        <s v="Las Condes" u="1"/>
        <s v="San Pablo" u="1"/>
        <s v="Renca" u="1"/>
        <s v="Lautaro" u="1"/>
        <s v="Rinconada" u="1"/>
        <s v="Villa Alemana" u="1"/>
        <s v="Arauco" u="1"/>
        <s v="Lago Ranco" u="1"/>
        <s v="Huechuraba" u="1"/>
        <s v="Salamanca" u="1"/>
        <s v="Quillota" u="1"/>
        <s v="Alto del Carmen" u="1"/>
        <s v="Talca" u="1"/>
        <s v="Villa Alegre" u="1"/>
        <s v="Ovalle" u="1"/>
        <s v="Tiltil" u="1"/>
        <s v="Laguna Blanca" u="1"/>
        <s v="Bulnes" u="1"/>
        <s v="Curarrehue" u="1"/>
        <s v="Puyehue" u="1"/>
        <s v="Los Muermos" u="1"/>
        <s v="Antuco" u="1"/>
        <s v="Litueche" u="1"/>
        <s v="Paredones" u="1"/>
        <s v="Futrono" u="1"/>
        <s v="Sagrada Familia" u="1"/>
        <s v="Chonchi" u="1"/>
        <s v="Castro" u="1"/>
        <s v="Mejillones" u="1"/>
        <s v="Coinco" u="1"/>
        <s v="Conchalí" u="1"/>
        <s v="Vitacura" u="1"/>
        <s v="Lonquimay" u="1"/>
        <s v="Cerrillos" u="1"/>
        <s v="Curepto" u="1"/>
        <s v="Vallenar" u="1"/>
        <s v="Timaukel" u="1"/>
        <s v="Estación Central" u="1"/>
        <s v="Palmilla" u="1"/>
        <s v="Loncoche" u="1"/>
        <s v="San Javier" u="1"/>
        <s v="Curaco de Vélez" u="1"/>
        <s v="San Esteban" u="1"/>
        <s v="Chiguayante" u="1"/>
        <s v="Angol" u="1"/>
        <s v="Olivar" u="1"/>
        <s v="Primavera" u="1"/>
        <s v="La Granja" u="1"/>
        <s v="La Higuera" u="1"/>
        <s v="Quilpué" u="1"/>
        <s v="Chimbarongo" u="1"/>
        <s v="Los Lagos" u="1"/>
        <s v="Marchihue" u="1"/>
        <s v="Quilicura" u="1"/>
        <s v="Buin" u="1"/>
        <s v="Lo Prado" u="1"/>
        <s v="Cabo de Hornos" u="1"/>
        <s v="Renaico" u="1"/>
        <s v="La Cruz" u="1"/>
        <s v="Punta Arenas" u="1"/>
        <s v="Punitaqui" u="1"/>
        <s v="San Nicolás" u="1"/>
        <s v="Torres del Paine" u="1"/>
        <s v="Quintero" u="1"/>
        <s v="Llaillay" u="1"/>
        <s v="Cauquenes" u="1"/>
        <s v="Lanco" u="1"/>
        <s v="Valparaíso" u="1"/>
        <s v="Ancud" u="1"/>
        <s v="Tucapel" u="1"/>
        <s v="Río Verde" u="1"/>
      </sharedItems>
    </cacheField>
    <cacheField name="Filtro Integrado" numFmtId="0">
      <sharedItems containsBlank="1" count="28">
        <s v="Región"/>
        <s v="Ninguno"/>
        <s v="Región-Comuna"/>
        <s v="Comuna"/>
        <s v="Ministerio"/>
        <s v="Hortaliza"/>
        <s v="Fruta"/>
        <s v="Por definir"/>
        <s v="Tamaño empresa"/>
        <s v="Fecha"/>
        <s v="Clasificación"/>
        <s v="Categoría"/>
        <s v="Región-Servicio de Salud"/>
        <s v="Servicio de Salud"/>
        <s v="Región-Categoría"/>
        <s v="Región-Año"/>
        <s v="Año"/>
        <s v="Detalle"/>
        <s v="Tipo de Producto"/>
        <s v="Región-Fecha"/>
        <s v="País"/>
        <m u="1"/>
        <s v="Ruralidad" u="1"/>
        <s v="Región - Servicio de Salud" u="1"/>
        <s v="Comuna-Dependencia-Curso-Año-Establecimiento" u="1"/>
        <s v="Región-Dependencia-Año" u="1"/>
        <s v="Dependencia-Curso-Año" u="1"/>
        <s v="Establecimiento" u="1"/>
      </sharedItems>
    </cacheField>
    <cacheField name="Muestra" numFmtId="0">
      <sharedItems containsBlank="1" count="186">
        <s v="Ingresos Promedio Mensual por región"/>
        <s v="Proporción alumnos sobre 450 pts PSU por comuna"/>
        <s v="Denuncias por violación por comuna"/>
        <s v="Ingreso Promedio Mensual en Chile"/>
        <s v="Número de alumnos por docente en aula por comuna"/>
        <s v="Casos Activos por 1 millón de habitantes por comuna"/>
        <s v="Volumen fruta exportada por región"/>
        <s v="Volumen fruta exportada en Chile"/>
        <s v="Sentencias dictadas por delito por región"/>
        <s v="Programas/Instituciones evaluadas en Chile"/>
        <s v="Superficie afectada por incendios en Chile"/>
        <s v="Precios diarios de hortalizas en Chile"/>
        <s v="Precios diarios de hortalizas por región"/>
        <s v="Precios diarios de frutas en Chile"/>
        <s v="Cantidad de espacios culturales por comuna"/>
        <s v="Variación anual de delitos por comuna"/>
        <s v="Casos de VIF"/>
        <s v="Casos de VIF por región"/>
        <s v="Casos de VIF por comuna"/>
        <s v="Fruta producida por tipo de envase utilizado en Chile"/>
        <s v="Destino de fruta producida por comuna"/>
        <s v="Superficie plantada por región"/>
        <s v="Estado de PRDU por región"/>
        <s v="Ventas anuales por rubro por región"/>
        <s v="Cantidad de Centros de la Mujer por región"/>
        <s v="Cantidad de ingresos efectivos de mujeres en Chile"/>
        <s v="Cantidad de salidas en Chile"/>
        <s v="Proporción de salidas en Chile"/>
        <s v="Cantidad de atenciones por región"/>
        <s v="Valor de exportaciones por región"/>
        <s v="Valor de exportaciones de Chile"/>
        <s v="Capacidad instalada de generación por región"/>
        <s v="Producción agrícola por región"/>
        <s v="Volumen de importaciones en Chile"/>
        <s v="Cantidad de casos en Chile"/>
        <s v="Población en control por sexo en Chile"/>
        <s v="Población en control por sexo por región"/>
        <s v="Cantidad de comunas según grado por región"/>
        <s v="Comunas con vulnerabilidad alta"/>
        <s v="Comunas con vulnerabilidad alta y moderada por región"/>
        <s v="Superficie de glaciares por región"/>
        <s v="Porcentaje de comunas con IPT local por región"/>
        <s v="Toneladas desembarcadas por tipo de pesca por región"/>
        <s v="Población de Pueblos Originarios por sexo por región"/>
        <s v="Defunciones anuales por comuna"/>
        <s v="Nacimientos anuales por comuna"/>
        <s v="Permisos de circulación anuales por región"/>
        <s v="Emisiones de CO2 por tipo de combustible en Chile"/>
        <s v="Variación anual de emisiones de CO2"/>
        <s v="Toneladas per cápita"/>
        <s v="Proporción emisiones con respecto al año anterior"/>
        <s v="Variación anual de trabajadores "/>
        <s v="Cantidad de Trabajadores informados por región"/>
        <s v="Puntaje promedio por tipo de establecimiento"/>
        <s v="Puntaje promedio por comuna"/>
        <s v="Puntaje promedio y máximo por comuna"/>
        <s v="Puntaje por dependencia de establecimientos por región"/>
        <s v="Cantidad de víctimas por edad"/>
        <s v="Cantidad de víctimas por relación con el femicida "/>
        <s v="Cantidad de víctimas de femicidios en Chile"/>
        <s v="Cantidad de vehículos escolares por región"/>
        <s v="Grado de desempeño por programa o institución evaluada"/>
        <s v="Cantidad de fallecidos por 1 MM de habitantes"/>
        <s v="Puntaje promedio por establecimiento"/>
        <s v="Autoestima, Convivencia, Hábitos Salud y Participación"/>
        <s v="Autoestima Académica y Motivación Escolar"/>
        <s v="Clima de Convivencia Escolar"/>
        <s v="Superficie de edificación autorizada en Chile"/>
        <s v="Cantidad de trabajadors dependientes informados"/>
        <s v="Renta neta informada"/>
        <s v="Cantidad de empresas por tamaño"/>
        <s v="Población controlada en Chile"/>
        <s v="Cantidad de CO2 absorbido por región"/>
        <s v="Promedio emisiones netas de CO2 en Chile"/>
        <s v="Emisiones de CO2 equivalente por gas en Chile"/>
        <s v="Emisiones y absorciones por subsector en Chile"/>
        <s v="Trabajadores dependientes informados por sexo por región"/>
        <s v="Ventas anuales por rubro en Chile"/>
        <s v="Casos de cáncer por comuna"/>
        <s v="Emisiones de CO2 equivalente en Chile"/>
        <s v="Superficie afectada por incendios forestales en Chile"/>
        <s v="Superficie quemada por incendios forestales por región"/>
        <s v="Número y Superficie de incendios por causa"/>
        <s v="Candidatos electos por comuna"/>
        <s v="Cupos de elección popular por comuna"/>
        <s v="Cantidad de empresas vigentes por comuna"/>
        <s v="Cantidad de trabajadores por comuna"/>
        <s v="Población en control por comuna"/>
        <s v="Población en control por región"/>
        <s v="Población en control por rango etario"/>
        <s v="Cantidad de espacios culturales por financiamiento por comuna"/>
        <s v="Ubicación de espacios culturales por comuna"/>
        <s v="Casos de cáncer por rango etáreo por región"/>
        <s v="Casos de cáncer por región"/>
        <s v="Población en control en Chile"/>
        <s v="Cantidad de Predios Agrícolas por Comuna"/>
        <s v="Proporción y Cantidad  de Establecimientos de Salud "/>
        <s v="Cantidad  de Establecimientos de Salud "/>
        <s v="Cantidad de atenciones por concepto de urgencia y región"/>
        <s v="Cantidad de atenciones por concepto de urgencia"/>
        <s v="Cantidad  de Licencias de Conducir profesionales por tipo"/>
        <s v="Permisos de circulación anuales por tipo de transporte"/>
        <s v="Cantidad  de Licencias de Conducir no profesionales"/>
        <s v="Permisos de circulación anuales de tipo de transporte colectivo"/>
        <s v="Cantidad de Licencias de Conducir por clase"/>
        <s v="Capacidad instalada de generación por Tipo de Energía"/>
        <s v="Top 10 Propietarios con mayor capacidad instalada"/>
        <s v="Cantidad de Centrales de Energía Renovable No Convencional por Comuna"/>
        <s v="Top 10 Comunas con más farmacias"/>
        <s v="Cantidad  de Farmacias por Región"/>
        <s v="Cantidad  de Farmacias de Turno por Comuna"/>
        <s v="Cantidad  de Farmacias de Turno por Región"/>
        <s v="Valor (USD) de Exportaciones de Productos del Mar"/>
        <s v="Valor (USD) de Exportaciones según Tipo de Producto"/>
        <s v="Valor (USD) de Importaciones por Región"/>
        <s v="Peso (kg) de Importaciones por Región"/>
        <s v="Valor (USD) de Exportaciones por Región"/>
        <s v="Peso (kg) de Exportaciones por Región"/>
        <s v="Peso (kg) de Exportaciones e Importaciones por Región"/>
        <s v="Cantidad de Parques Urbanos por Comuna"/>
        <s v="Cantidad de Plazas Públicas por Comuna"/>
        <s v="Superficie (m2)"/>
        <s v="Proproción (%) de la población que tuvo Consultas Mentales"/>
        <s v="Tasa Cada 100 mil habitantes"/>
        <s v="Cantidad de conexiones de internet fija por comuna"/>
        <s v="Cantidad suscriptores a televisión de pago por región y comuna"/>
        <s v="Cantidad suscriptores a televisión de pago por comuna"/>
        <s v="Cantidad de personas por región y comuna"/>
        <s v="Cantidad de personas por comuna"/>
        <s v="Cantidad de personas por región y comuna "/>
        <s v="Cantidad de personas por rango etario"/>
        <s v="Cantidad de personas por pueblo indígena"/>
        <s v="Cantidad de personas por pueblo indígena por región"/>
        <s v="Cantidad de personas por región por sexo"/>
        <s v="Tasa de desocupación nacional por fecha"/>
        <s v="Variación de la fuerza de trabajo por fecha"/>
        <s v="Variación de desocupados por fecha"/>
        <s v="Índice de producción minera por fecha"/>
        <s v="Producción de cobre por fecha"/>
        <s v="Producción de cloruro de sodio por fecha"/>
        <s v="Producción de hierro por fecha"/>
        <s v="Número de pernoctaciones por fecha"/>
        <s v="Precio promedio de habitación ocupada por fecha"/>
        <s v="Desembarque industrial por fecha"/>
        <s v="Desembarque artesanal por fecha"/>
        <s v="Cosecha acuícola por fecha"/>
        <s v="Superficie de parques urbanos por comuna"/>
        <s v="Superficie de plazas públicas por comuna"/>
        <s v="Valor de importaciones por fecha"/>
        <s v="Valor de importaciones y exportaciones por fecha"/>
        <s v="Valor de exportaciones acumuladas por país de destino"/>
        <s v="Valor de importaciones de alimentos por país de origen"/>
        <s v="Valor de exportaciones por producto minero"/>
        <s v="Índice de Producción Manufacturera"/>
        <s v="Cantidad de Supermercados con tres o más cajas instaladas"/>
        <s v="Índice de Elaboración de Productos Alimenticios"/>
        <s v="Índice de Fabricación de Productos Farmacéuticos"/>
        <s v="índice de Fabricación de Sustancias y Productos Químicos"/>
        <s v="Pasada de vehículos por plazas de peajes y pórticos de autopistas interurbanas"/>
        <s v="Parque vehicular de taxis"/>
        <s v="Movimiento de Carga Portuaria"/>
        <s v="Superficie Autorizada Habitacional de Obras Nuevas"/>
        <s v="Viviendas Autorizadas"/>
        <s v="Superficie Autorizada No Habitacional de Ampliaciones ICEF"/>
        <s v="Variación de Frecuencia de Casos Policiales de Robo con Violencia o Intimidación"/>
        <s v="Variación de Frecuencia de Casos Policiales de Homicidio"/>
        <s v="Relación entre Detenciones y Denuncias para Delitos de Homicidio y Violación"/>
        <s v="Pobreza de la Población Autodefinida como Indígena"/>
        <s v="Pobreza y Pobreza Extrema"/>
        <s v="Pobreza Extrema"/>
        <s v="Número y porcentaje de variación de ingresos/ egresos de NNA"/>
        <s v="Número de ingresos/egresos de NNA"/>
        <s v="Número de predios no agrícolas habitacionales"/>
        <s v="Número de propiedades municipales"/>
        <s v="Número de personas en el programa de salud cardiovascular"/>
        <m u="1"/>
        <s v="Ingresos Promedio Mensual (CLP/mes)" u="1"/>
        <s v="Puntaje promedio del indicador por comuna" u="1"/>
        <s v="Toneladas desembarcadas por tipo de pasca por región" u="1"/>
        <s v="Chile" u="1"/>
        <s v="Puntaje por indicador por comuna" u="1"/>
        <s v="Tasa" u="1"/>
        <s v="Cantidad  de Licencias de Conducir por clase" u="1"/>
        <s v="Región" u="1"/>
        <s v="Establecimiento" u="1"/>
        <s v="Comuna" u="1"/>
      </sharedItems>
    </cacheField>
    <cacheField name="temporalidad" numFmtId="0">
      <sharedItems containsBlank="1" containsMixedTypes="1" containsNumber="1" containsInteger="1" minValue="0" maxValue="0"/>
    </cacheField>
    <cacheField name="unidad_medida" numFmtId="0">
      <sharedItems/>
    </cacheField>
    <cacheField name="fuente" numFmtId="0">
      <sharedItems/>
    </cacheField>
    <cacheField name="titulo" numFmtId="0">
      <sharedItems containsBlank="1"/>
    </cacheField>
    <cacheField name="descripcion_larga" numFmtId="0">
      <sharedItems containsBlank="1" longText="1"/>
    </cacheField>
    <cacheField name="visualizacion" numFmtId="0">
      <sharedItems containsBlank="1"/>
    </cacheField>
    <cacheField name="tag" numFmtId="0">
      <sharedItems/>
    </cacheField>
    <cacheField name="url" numFmtId="0">
      <sharedItems containsBlank="1"/>
    </cacheField>
    <cacheField name="Suscripcion" numFmtId="0">
      <sharedItems containsMixedTypes="1" containsNumber="1" containsInteger="1" minValue="0" maxValue="100200300" count="53">
        <s v="300-R"/>
        <s v="100-R-1"/>
        <s v="100-R-2"/>
        <s v="100-R-3"/>
        <s v="100-R-4"/>
        <s v="100-R-5"/>
        <s v="100-R-6"/>
        <s v="100-R-7"/>
        <s v="100-R-8"/>
        <s v="100-R-9"/>
        <s v="100-R-10"/>
        <s v="100-R-11"/>
        <s v="100-R-12"/>
        <s v="200-R-13"/>
        <s v="100-R-14"/>
        <s v="100-R-15"/>
        <s v="100-R-16"/>
        <s v="300-C"/>
        <s v="100-C-1"/>
        <s v="100-C-2"/>
        <s v="100-C-3"/>
        <s v="100-C-4"/>
        <s v="100-C-5"/>
        <s v="100-C-6"/>
        <s v="100-C-7"/>
        <s v="100-C-8"/>
        <s v="100-C-9"/>
        <s v="100-C-10"/>
        <s v="100-C-11"/>
        <s v="100-C-12"/>
        <s v="200-C-13"/>
        <s v="100-C-14"/>
        <s v="100-C-15"/>
        <s v="100-C-16"/>
        <n v="0"/>
        <n v="109" u="1"/>
        <n v="108" u="1"/>
        <n v="107" u="1"/>
        <n v="106" u="1"/>
        <n v="105" u="1"/>
        <n v="200300" u="1"/>
        <n v="104" u="1"/>
        <n v="103" u="1"/>
        <n v="116" u="1"/>
        <n v="102" u="1"/>
        <n v="115" u="1"/>
        <n v="101" u="1"/>
        <n v="100200300" u="1"/>
        <n v="114" u="1"/>
        <n v="112" u="1"/>
        <n v="111" u="1"/>
        <n v="110" u="1"/>
        <n v="300" u="1"/>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1">
  <r>
    <x v="0"/>
    <n v="990"/>
    <x v="0"/>
    <x v="0"/>
    <n v="0"/>
    <x v="0"/>
    <x v="0"/>
    <x v="0"/>
    <x v="0"/>
    <s v="Región"/>
    <s v="Ingresos Promedio Mensual por región"/>
    <s v="Periodo 2006-2017"/>
    <s v="CLP/mes"/>
    <s v="Encuestas CASEN"/>
    <x v="0"/>
    <m/>
    <s v="Gráfico de Evolución"/>
    <s v="Chile ingresos CASEN mensual promedio"/>
    <x v="0"/>
    <s v="300-R"/>
    <s v="#1774B9"/>
    <s v="990-0001"/>
    <n v="99100000"/>
    <s v="T-993"/>
    <s v="C-995"/>
    <s v="FI-992"/>
    <s v="M-992"/>
  </r>
  <r>
    <x v="1"/>
    <n v="990"/>
    <x v="0"/>
    <x v="0"/>
    <n v="1"/>
    <x v="0"/>
    <x v="0"/>
    <x v="1"/>
    <x v="1"/>
    <s v="Ninguno"/>
    <s v="Ingresos Promedio Mensual por región"/>
    <s v="Periodo 2006-2017"/>
    <s v="CLP/mes"/>
    <s v="Encuestas CASEN"/>
    <x v="1"/>
    <m/>
    <s v="Gráfico de Evolución"/>
    <s v="Región de Tarapacá ingresos CASEN mensual promedio"/>
    <x v="1"/>
    <s v="100-R-1"/>
    <s v="#1774B9"/>
    <s v="990-0002"/>
    <n v="99200001"/>
    <s v="T-993"/>
    <s v="C-995"/>
    <s v="FI-993"/>
    <s v="M-992"/>
  </r>
  <r>
    <x v="2"/>
    <n v="990"/>
    <x v="0"/>
    <x v="0"/>
    <n v="2"/>
    <x v="0"/>
    <x v="0"/>
    <x v="1"/>
    <x v="2"/>
    <s v="Ninguno"/>
    <s v="Ingresos Promedio Mensual por región"/>
    <s v="Periodo 2006-2017"/>
    <s v="CLP/mes"/>
    <s v="Encuestas CASEN"/>
    <x v="2"/>
    <s v="La región de Antofagasta es la que posee el ingreso medios mensual en el año 2017 entre las 16 regiones del país, con una cifra de algo más de 380 mil CLP/mes. En relación a la estimación anterior, del año 2015, el ingreso aumenta en un 7,3%."/>
    <s v="Gráfico de Evolución"/>
    <s v="Región de Antofagasta ingresos CASEN mensual promedio"/>
    <x v="2"/>
    <s v="100-R-2"/>
    <s v="#1774B9"/>
    <s v="990-0003"/>
    <n v="99200002"/>
    <s v="T-993"/>
    <s v="C-995"/>
    <s v="FI-993"/>
    <s v="M-992"/>
  </r>
  <r>
    <x v="3"/>
    <n v="990"/>
    <x v="0"/>
    <x v="0"/>
    <n v="3"/>
    <x v="0"/>
    <x v="0"/>
    <x v="1"/>
    <x v="3"/>
    <s v="Ninguno"/>
    <s v="Ingresos Promedio Mensual por región"/>
    <s v="Periodo 2006-2017"/>
    <s v="CLP/mes"/>
    <s v="Encuestas CASEN"/>
    <x v="3"/>
    <m/>
    <s v="Gráfico de Evolución"/>
    <s v="Región de Atacama ingresos CASEN mensual promedio"/>
    <x v="3"/>
    <s v="100-R-3"/>
    <s v="#1774B9"/>
    <s v="990-0004"/>
    <n v="99200003"/>
    <s v="T-993"/>
    <s v="C-995"/>
    <s v="FI-993"/>
    <s v="M-992"/>
  </r>
  <r>
    <x v="4"/>
    <n v="990"/>
    <x v="0"/>
    <x v="0"/>
    <n v="4"/>
    <x v="0"/>
    <x v="0"/>
    <x v="1"/>
    <x v="4"/>
    <s v="Ninguno"/>
    <s v="Ingresos Promedio Mensual por región"/>
    <s v="Periodo 2006-2017"/>
    <s v="CLP/mes"/>
    <s v="Encuestas CASEN"/>
    <x v="4"/>
    <m/>
    <s v="Gráfico de Evolución"/>
    <s v="Región de Coquimbo ingresos CASEN mensual promedio"/>
    <x v="4"/>
    <s v="100-R-4"/>
    <s v="#1774B9"/>
    <s v="990-0005"/>
    <n v="99200004"/>
    <s v="T-993"/>
    <s v="C-995"/>
    <s v="FI-993"/>
    <s v="M-992"/>
  </r>
  <r>
    <x v="5"/>
    <n v="990"/>
    <x v="0"/>
    <x v="0"/>
    <n v="5"/>
    <x v="0"/>
    <x v="0"/>
    <x v="1"/>
    <x v="5"/>
    <s v="Ninguno"/>
    <s v="Ingresos Promedio Mensual por región"/>
    <s v="Periodo 2006-2017"/>
    <s v="CLP/mes"/>
    <s v="Encuestas CASEN"/>
    <x v="5"/>
    <m/>
    <s v="Gráfico de Evolución"/>
    <s v="Región de Valparaíso ingresos CASEN mensual promedio"/>
    <x v="5"/>
    <s v="100-R-5"/>
    <s v="#1774B9"/>
    <s v="990-0006"/>
    <n v="99200005"/>
    <s v="T-993"/>
    <s v="C-995"/>
    <s v="FI-993"/>
    <s v="M-992"/>
  </r>
  <r>
    <x v="6"/>
    <n v="990"/>
    <x v="0"/>
    <x v="0"/>
    <n v="6"/>
    <x v="0"/>
    <x v="0"/>
    <x v="1"/>
    <x v="6"/>
    <s v="Ninguno"/>
    <s v="Ingresos Promedio Mensual por región"/>
    <s v="Periodo 2006-2017"/>
    <s v="CLP/mes"/>
    <s v="Encuestas CASEN"/>
    <x v="6"/>
    <m/>
    <s v="Gráfico de Evolución"/>
    <s v="Región de O'Higgins ingresos CASEN mensual promedio"/>
    <x v="6"/>
    <s v="100-R-6"/>
    <s v="#1774B9"/>
    <s v="990-0007"/>
    <n v="99200006"/>
    <s v="T-993"/>
    <s v="C-995"/>
    <s v="FI-993"/>
    <s v="M-992"/>
  </r>
  <r>
    <x v="7"/>
    <n v="990"/>
    <x v="0"/>
    <x v="0"/>
    <n v="7"/>
    <x v="0"/>
    <x v="0"/>
    <x v="1"/>
    <x v="7"/>
    <s v="Ninguno"/>
    <s v="Ingresos Promedio Mensual por región"/>
    <s v="Periodo 2006-2017"/>
    <s v="CLP/mes"/>
    <s v="Encuestas CASEN"/>
    <x v="7"/>
    <m/>
    <s v="Gráfico de Evolución"/>
    <s v="Región de Maule ingresos CASEN mensual promedio"/>
    <x v="7"/>
    <s v="100-R-7"/>
    <s v="#1774B9"/>
    <s v="990-0008"/>
    <n v="99200007"/>
    <s v="T-993"/>
    <s v="C-995"/>
    <s v="FI-993"/>
    <s v="M-992"/>
  </r>
  <r>
    <x v="8"/>
    <n v="990"/>
    <x v="0"/>
    <x v="0"/>
    <n v="8"/>
    <x v="0"/>
    <x v="0"/>
    <x v="1"/>
    <x v="8"/>
    <s v="Ninguno"/>
    <s v="Ingresos Promedio Mensual por región"/>
    <s v="Periodo 2006-2017"/>
    <s v="CLP/mes"/>
    <s v="Encuestas CASEN"/>
    <x v="8"/>
    <m/>
    <s v="Gráfico de Evolución"/>
    <s v="Región del Biobío ingresos CASEN mensual promedio"/>
    <x v="8"/>
    <s v="100-R-8"/>
    <s v="#1774B9"/>
    <s v="990-0009"/>
    <n v="99200008"/>
    <s v="T-993"/>
    <s v="C-995"/>
    <s v="FI-993"/>
    <s v="M-992"/>
  </r>
  <r>
    <x v="9"/>
    <n v="990"/>
    <x v="0"/>
    <x v="0"/>
    <n v="9"/>
    <x v="0"/>
    <x v="0"/>
    <x v="1"/>
    <x v="9"/>
    <s v="Ninguno"/>
    <s v="Ingresos Promedio Mensual por región"/>
    <s v="Periodo 2006-2017"/>
    <s v="CLP/mes"/>
    <s v="Encuestas CASEN"/>
    <x v="9"/>
    <m/>
    <s v="Gráfico de Evolución"/>
    <s v="Región de La Araucanía ingresos CASEN mensual promedio"/>
    <x v="9"/>
    <s v="100-R-9"/>
    <s v="#1774B9"/>
    <s v="990-0010"/>
    <n v="99200009"/>
    <s v="T-993"/>
    <s v="C-995"/>
    <s v="FI-993"/>
    <s v="M-992"/>
  </r>
  <r>
    <x v="10"/>
    <n v="990"/>
    <x v="0"/>
    <x v="0"/>
    <n v="10"/>
    <x v="0"/>
    <x v="0"/>
    <x v="1"/>
    <x v="10"/>
    <s v="Ninguno"/>
    <s v="Ingresos Promedio Mensual por región"/>
    <s v="Periodo 2006-2017"/>
    <s v="CLP/mes"/>
    <s v="Encuestas CASEN"/>
    <x v="10"/>
    <m/>
    <s v="Gráfico de Evolución"/>
    <s v="Región de Los Lagos ingresos CASEN mensual promedio"/>
    <x v="10"/>
    <s v="100-R-10"/>
    <s v="#1774B9"/>
    <s v="990-0011"/>
    <n v="99200010"/>
    <s v="T-993"/>
    <s v="C-995"/>
    <s v="FI-993"/>
    <s v="M-992"/>
  </r>
  <r>
    <x v="11"/>
    <n v="990"/>
    <x v="0"/>
    <x v="0"/>
    <n v="11"/>
    <x v="0"/>
    <x v="0"/>
    <x v="1"/>
    <x v="11"/>
    <s v="Ninguno"/>
    <s v="Ingresos Promedio Mensual por región"/>
    <s v="Periodo 2006-2017"/>
    <s v="CLP/mes"/>
    <s v="Encuestas CASEN"/>
    <x v="11"/>
    <m/>
    <s v="Gráfico de Evolución"/>
    <s v="Región de Aysén ingresos CASEN mensual promedio"/>
    <x v="11"/>
    <s v="100-R-11"/>
    <s v="#1774B9"/>
    <s v="990-0012"/>
    <n v="99200011"/>
    <s v="T-993"/>
    <s v="C-995"/>
    <s v="FI-993"/>
    <s v="M-992"/>
  </r>
  <r>
    <x v="12"/>
    <n v="990"/>
    <x v="0"/>
    <x v="0"/>
    <n v="12"/>
    <x v="0"/>
    <x v="0"/>
    <x v="1"/>
    <x v="12"/>
    <s v="Ninguno"/>
    <s v="Ingresos Promedio Mensual por región"/>
    <s v="Periodo 2006-2017"/>
    <s v="CLP/mes"/>
    <s v="Encuestas CASEN"/>
    <x v="12"/>
    <m/>
    <s v="Gráfico de Evolución"/>
    <s v="Región de Magallanes ingresos CASEN mensual promedio"/>
    <x v="12"/>
    <s v="100-R-12"/>
    <s v="#1774B9"/>
    <s v="990-0013"/>
    <n v="99200012"/>
    <s v="T-993"/>
    <s v="C-995"/>
    <s v="FI-993"/>
    <s v="M-992"/>
  </r>
  <r>
    <x v="13"/>
    <n v="990"/>
    <x v="0"/>
    <x v="0"/>
    <n v="13"/>
    <x v="0"/>
    <x v="0"/>
    <x v="1"/>
    <x v="13"/>
    <s v="Ninguno"/>
    <s v="Ingresos Promedio Mensual por región"/>
    <s v="Periodo 2006-2017"/>
    <s v="CLP/mes"/>
    <s v="Encuestas CASEN"/>
    <x v="13"/>
    <m/>
    <s v="Gráfico de Evolución"/>
    <s v="Región Metropolitana ingresos CASEN mensual promedio"/>
    <x v="13"/>
    <s v="200-R-13"/>
    <s v="#1774B9"/>
    <s v="990-0014"/>
    <n v="99200013"/>
    <s v="T-993"/>
    <s v="C-995"/>
    <s v="FI-993"/>
    <s v="M-992"/>
  </r>
  <r>
    <x v="14"/>
    <n v="990"/>
    <x v="0"/>
    <x v="0"/>
    <n v="14"/>
    <x v="0"/>
    <x v="0"/>
    <x v="1"/>
    <x v="14"/>
    <s v="Ninguno"/>
    <s v="Ingresos Promedio Mensual por región"/>
    <s v="Periodo 2006-2017"/>
    <s v="CLP/mes"/>
    <s v="Encuestas CASEN"/>
    <x v="14"/>
    <m/>
    <s v="Gráfico de Evolución"/>
    <s v="Región de Los Ríos ingresos CASEN mensual promedio"/>
    <x v="14"/>
    <s v="100-R-14"/>
    <s v="#1774B9"/>
    <s v="990-0015"/>
    <n v="99200014"/>
    <s v="T-993"/>
    <s v="C-995"/>
    <s v="FI-993"/>
    <s v="M-992"/>
  </r>
  <r>
    <x v="15"/>
    <n v="990"/>
    <x v="0"/>
    <x v="0"/>
    <n v="15"/>
    <x v="0"/>
    <x v="0"/>
    <x v="1"/>
    <x v="15"/>
    <s v="Ninguno"/>
    <s v="Ingresos Promedio Mensual por región"/>
    <s v="Periodo 2006-2017"/>
    <s v="CLP/mes"/>
    <s v="Encuestas CASEN"/>
    <x v="15"/>
    <m/>
    <s v="Gráfico de Evolución"/>
    <s v="Región de Arica y Parinacota ingresos CASEN mensual promedio"/>
    <x v="15"/>
    <s v="100-R-15"/>
    <s v="#1774B9"/>
    <s v="990-0016"/>
    <n v="99200015"/>
    <s v="T-993"/>
    <s v="C-995"/>
    <s v="FI-993"/>
    <s v="M-992"/>
  </r>
  <r>
    <x v="16"/>
    <n v="990"/>
    <x v="0"/>
    <x v="0"/>
    <n v="16"/>
    <x v="0"/>
    <x v="0"/>
    <x v="1"/>
    <x v="16"/>
    <s v="Ninguno"/>
    <s v="Ingresos Promedio Mensual por región"/>
    <s v="Periodo 2006-2017"/>
    <s v="CLP/mes"/>
    <s v="Encuestas CASEN"/>
    <x v="16"/>
    <m/>
    <s v="Gráfico de Evolución"/>
    <s v="Región de Ñuble ingresos CASEN mensual promedio"/>
    <x v="16"/>
    <s v="100-R-16"/>
    <s v="#1774B9"/>
    <s v="990-0017"/>
    <n v="99200016"/>
    <s v="T-993"/>
    <s v="C-995"/>
    <s v="FI-993"/>
    <s v="M-992"/>
  </r>
  <r>
    <x v="17"/>
    <n v="990"/>
    <x v="0"/>
    <x v="1"/>
    <n v="0"/>
    <x v="1"/>
    <x v="1"/>
    <x v="0"/>
    <x v="0"/>
    <s v="Región-Comuna"/>
    <s v="Proporción alumnos sobre 450 pts PSU por comuna"/>
    <s v="Periodo 2001-2020"/>
    <s v="Porcentaje (%)"/>
    <s v="Sistema Nacional de Información Municipal"/>
    <x v="17"/>
    <s v="Más allá de la gestión alcaldicia, durante los últimos 20 años la proporción de alumnos con más de 450 puntos en la PSU se mantiene estable para colegios municipales en relación a los Subvencionados y Particulares Pagados."/>
    <s v="Gráfico de Evolución"/>
    <s v="Chile educación municipal PSU alumnos calidad colegios municipales"/>
    <x v="17"/>
    <s v="300-C"/>
    <s v="#1774B9"/>
    <s v="990-0018"/>
    <n v="99100000"/>
    <s v="T-1061"/>
    <s v="C-1019"/>
    <s v="FI-995"/>
    <s v="M-993"/>
  </r>
  <r>
    <x v="18"/>
    <n v="990"/>
    <x v="0"/>
    <x v="1"/>
    <n v="1"/>
    <x v="1"/>
    <x v="1"/>
    <x v="1"/>
    <x v="1"/>
    <s v="Comuna"/>
    <s v="Proporción alumnos sobre 450 pts PSU por comuna"/>
    <s v="Periodo 2001-2020"/>
    <s v="Porcentaje (%)"/>
    <s v="Sistema Nacional de Información Municipal"/>
    <x v="18"/>
    <m/>
    <s v="Gráfico de Evolución"/>
    <s v="Región de Tarapacá educación municipal PSU alumnos calidad colegios municipales"/>
    <x v="18"/>
    <s v="100-C-1"/>
    <s v="#1774B9"/>
    <s v="990-0019"/>
    <n v="99200001"/>
    <s v="T-1061"/>
    <s v="C-1019"/>
    <s v="FI-991"/>
    <s v="M-993"/>
  </r>
  <r>
    <x v="19"/>
    <n v="990"/>
    <x v="0"/>
    <x v="1"/>
    <n v="2"/>
    <x v="1"/>
    <x v="1"/>
    <x v="1"/>
    <x v="2"/>
    <s v="Comuna"/>
    <s v="Proporción alumnos sobre 450 pts PSU por comuna"/>
    <s v="Periodo 2001-2020"/>
    <s v="Porcentaje (%)"/>
    <s v="Sistema Nacional de Información Municipal"/>
    <x v="19"/>
    <m/>
    <s v="Gráfico de Evolución"/>
    <s v="Región de Antofagasta educación municipal PSU alumnos calidad colegios municipales"/>
    <x v="19"/>
    <s v="100-C-2"/>
    <s v="#1774B9"/>
    <s v="990-0020"/>
    <n v="99200002"/>
    <s v="T-1061"/>
    <s v="C-1019"/>
    <s v="FI-991"/>
    <s v="M-993"/>
  </r>
  <r>
    <x v="20"/>
    <n v="990"/>
    <x v="0"/>
    <x v="1"/>
    <n v="3"/>
    <x v="1"/>
    <x v="1"/>
    <x v="1"/>
    <x v="3"/>
    <s v="Comuna"/>
    <s v="Proporción alumnos sobre 450 pts PSU por comuna"/>
    <s v="Periodo 2001-2020"/>
    <s v="Porcentaje (%)"/>
    <s v="Sistema Nacional de Información Municipal"/>
    <x v="20"/>
    <m/>
    <s v="Gráfico de Evolución"/>
    <s v="Región de Atacama educación municipal PSU alumnos calidad colegios municipales"/>
    <x v="20"/>
    <s v="100-C-3"/>
    <s v="#1774B9"/>
    <s v="990-0021"/>
    <n v="99200003"/>
    <s v="T-1061"/>
    <s v="C-1019"/>
    <s v="FI-991"/>
    <s v="M-993"/>
  </r>
  <r>
    <x v="21"/>
    <n v="990"/>
    <x v="0"/>
    <x v="1"/>
    <n v="4"/>
    <x v="1"/>
    <x v="1"/>
    <x v="1"/>
    <x v="4"/>
    <s v="Comuna"/>
    <s v="Proporción alumnos sobre 450 pts PSU por comuna"/>
    <s v="Periodo 2001-2020"/>
    <s v="Porcentaje (%)"/>
    <s v="Sistema Nacional de Información Municipal"/>
    <x v="21"/>
    <m/>
    <s v="Gráfico de Evolución"/>
    <s v="Región de Coquimbo educación municipal PSU alumnos calidad colegios municipales"/>
    <x v="21"/>
    <s v="100-C-4"/>
    <s v="#1774B9"/>
    <s v="990-0022"/>
    <n v="99200004"/>
    <s v="T-1061"/>
    <s v="C-1019"/>
    <s v="FI-991"/>
    <s v="M-993"/>
  </r>
  <r>
    <x v="22"/>
    <n v="990"/>
    <x v="0"/>
    <x v="1"/>
    <n v="5"/>
    <x v="1"/>
    <x v="1"/>
    <x v="1"/>
    <x v="5"/>
    <s v="Comuna"/>
    <s v="Proporción alumnos sobre 450 pts PSU por comuna"/>
    <s v="Periodo 2001-2020"/>
    <s v="Porcentaje (%)"/>
    <s v="Sistema Nacional de Información Municipal"/>
    <x v="22"/>
    <m/>
    <s v="Gráfico de Evolución"/>
    <s v="Región de Valparaíso educación municipal PSU alumnos calidad colegios municipales"/>
    <x v="22"/>
    <s v="100-C-5"/>
    <s v="#1774B9"/>
    <s v="990-0023"/>
    <n v="99200005"/>
    <s v="T-1061"/>
    <s v="C-1019"/>
    <s v="FI-991"/>
    <s v="M-993"/>
  </r>
  <r>
    <x v="23"/>
    <n v="990"/>
    <x v="0"/>
    <x v="1"/>
    <n v="6"/>
    <x v="1"/>
    <x v="1"/>
    <x v="1"/>
    <x v="6"/>
    <s v="Comuna"/>
    <s v="Proporción alumnos sobre 450 pts PSU por comuna"/>
    <s v="Periodo 2001-2020"/>
    <s v="Porcentaje (%)"/>
    <s v="Sistema Nacional de Información Municipal"/>
    <x v="23"/>
    <m/>
    <s v="Gráfico de Evolución"/>
    <s v="Región de O'Higgins educación municipal PSU alumnos calidad colegios municipales"/>
    <x v="23"/>
    <s v="100-C-6"/>
    <s v="#1774B9"/>
    <s v="990-0024"/>
    <n v="99200006"/>
    <s v="T-1061"/>
    <s v="C-1019"/>
    <s v="FI-991"/>
    <s v="M-993"/>
  </r>
  <r>
    <x v="24"/>
    <n v="990"/>
    <x v="0"/>
    <x v="1"/>
    <n v="7"/>
    <x v="1"/>
    <x v="1"/>
    <x v="1"/>
    <x v="7"/>
    <s v="Comuna"/>
    <s v="Proporción alumnos sobre 450 pts PSU por comuna"/>
    <s v="Periodo 2001-2020"/>
    <s v="Porcentaje (%)"/>
    <s v="Sistema Nacional de Información Municipal"/>
    <x v="24"/>
    <m/>
    <s v="Gráfico de Evolución"/>
    <s v="Región de Maule educación municipal PSU alumnos calidad colegios municipales"/>
    <x v="24"/>
    <s v="100-C-7"/>
    <s v="#1774B9"/>
    <s v="990-0025"/>
    <n v="99200007"/>
    <s v="T-1061"/>
    <s v="C-1019"/>
    <s v="FI-991"/>
    <s v="M-993"/>
  </r>
  <r>
    <x v="25"/>
    <n v="990"/>
    <x v="0"/>
    <x v="1"/>
    <n v="8"/>
    <x v="1"/>
    <x v="1"/>
    <x v="1"/>
    <x v="8"/>
    <s v="Comuna"/>
    <s v="Proporción alumnos sobre 450 pts PSU por comuna"/>
    <s v="Periodo 2001-2020"/>
    <s v="Porcentaje (%)"/>
    <s v="Sistema Nacional de Información Municipal"/>
    <x v="25"/>
    <m/>
    <s v="Gráfico de Evolución"/>
    <s v="Región del Biobío educación municipal PSU alumnos calidad colegios municipales"/>
    <x v="25"/>
    <s v="100-C-8"/>
    <s v="#1774B9"/>
    <s v="990-0026"/>
    <n v="99200008"/>
    <s v="T-1061"/>
    <s v="C-1019"/>
    <s v="FI-991"/>
    <s v="M-993"/>
  </r>
  <r>
    <x v="26"/>
    <n v="990"/>
    <x v="0"/>
    <x v="1"/>
    <n v="9"/>
    <x v="1"/>
    <x v="1"/>
    <x v="1"/>
    <x v="9"/>
    <s v="Comuna"/>
    <s v="Proporción alumnos sobre 450 pts PSU por comuna"/>
    <s v="Periodo 2001-2020"/>
    <s v="Porcentaje (%)"/>
    <s v="Sistema Nacional de Información Municipal"/>
    <x v="26"/>
    <m/>
    <s v="Gráfico de Evolución"/>
    <s v="Región de La Araucanía educación municipal PSU alumnos calidad colegios municipales"/>
    <x v="26"/>
    <s v="100-C-9"/>
    <s v="#1774B9"/>
    <s v="990-0027"/>
    <n v="99200009"/>
    <s v="T-1061"/>
    <s v="C-1019"/>
    <s v="FI-991"/>
    <s v="M-993"/>
  </r>
  <r>
    <x v="27"/>
    <n v="990"/>
    <x v="0"/>
    <x v="1"/>
    <n v="10"/>
    <x v="1"/>
    <x v="1"/>
    <x v="1"/>
    <x v="10"/>
    <s v="Comuna"/>
    <s v="Proporción alumnos sobre 450 pts PSU por comuna"/>
    <s v="Periodo 2001-2020"/>
    <s v="Porcentaje (%)"/>
    <s v="Sistema Nacional de Información Municipal"/>
    <x v="27"/>
    <m/>
    <s v="Gráfico de Evolución"/>
    <s v="Región de Los Lagos educación municipal PSU alumnos calidad colegios municipales"/>
    <x v="27"/>
    <s v="100-C-10"/>
    <s v="#1774B9"/>
    <s v="990-0028"/>
    <n v="99200010"/>
    <s v="T-1061"/>
    <s v="C-1019"/>
    <s v="FI-991"/>
    <s v="M-993"/>
  </r>
  <r>
    <x v="28"/>
    <n v="990"/>
    <x v="0"/>
    <x v="1"/>
    <n v="11"/>
    <x v="1"/>
    <x v="1"/>
    <x v="1"/>
    <x v="11"/>
    <s v="Comuna"/>
    <s v="Proporción alumnos sobre 450 pts PSU por comuna"/>
    <s v="Periodo 2001-2020"/>
    <s v="Porcentaje (%)"/>
    <s v="Sistema Nacional de Información Municipal"/>
    <x v="28"/>
    <m/>
    <s v="Gráfico de Evolución"/>
    <s v="Región de Aysén educación municipal PSU alumnos calidad colegios municipales"/>
    <x v="28"/>
    <s v="100-C-11"/>
    <s v="#1774B9"/>
    <s v="990-0029"/>
    <n v="99200011"/>
    <s v="T-1061"/>
    <s v="C-1019"/>
    <s v="FI-991"/>
    <s v="M-993"/>
  </r>
  <r>
    <x v="29"/>
    <n v="990"/>
    <x v="0"/>
    <x v="1"/>
    <n v="12"/>
    <x v="1"/>
    <x v="1"/>
    <x v="1"/>
    <x v="12"/>
    <s v="Comuna"/>
    <s v="Proporción alumnos sobre 450 pts PSU por comuna"/>
    <s v="Periodo 2001-2020"/>
    <s v="Porcentaje (%)"/>
    <s v="Sistema Nacional de Información Municipal"/>
    <x v="29"/>
    <m/>
    <s v="Gráfico de Evolución"/>
    <s v="Región de Magallanes educación municipal PSU alumnos calidad colegios municipales"/>
    <x v="29"/>
    <s v="100-C-12"/>
    <s v="#1774B9"/>
    <s v="990-0030"/>
    <n v="99200012"/>
    <s v="T-1061"/>
    <s v="C-1019"/>
    <s v="FI-991"/>
    <s v="M-993"/>
  </r>
  <r>
    <x v="30"/>
    <n v="990"/>
    <x v="0"/>
    <x v="1"/>
    <n v="13"/>
    <x v="1"/>
    <x v="1"/>
    <x v="1"/>
    <x v="13"/>
    <s v="Comuna"/>
    <s v="Proporción alumnos sobre 450 pts PSU por comuna"/>
    <s v="Periodo 2001-2020"/>
    <s v="Porcentaje (%)"/>
    <s v="Sistema Nacional de Información Municipal"/>
    <x v="30"/>
    <m/>
    <s v="Gráfico de Evolución"/>
    <s v="Región Metropolitana educación municipal PSU alumnos calidad colegios municipales"/>
    <x v="30"/>
    <s v="200-C-13"/>
    <s v="#1774B9"/>
    <s v="990-0031"/>
    <n v="99200013"/>
    <s v="T-1061"/>
    <s v="C-1019"/>
    <s v="FI-991"/>
    <s v="M-993"/>
  </r>
  <r>
    <x v="31"/>
    <n v="990"/>
    <x v="0"/>
    <x v="1"/>
    <n v="14"/>
    <x v="1"/>
    <x v="1"/>
    <x v="1"/>
    <x v="14"/>
    <s v="Comuna"/>
    <s v="Proporción alumnos sobre 450 pts PSU por comuna"/>
    <s v="Periodo 2001-2020"/>
    <s v="Porcentaje (%)"/>
    <s v="Sistema Nacional de Información Municipal"/>
    <x v="31"/>
    <m/>
    <s v="Gráfico de Evolución"/>
    <s v="Región de Los Ríos educación municipal PSU alumnos calidad colegios municipales"/>
    <x v="31"/>
    <s v="100-C-14"/>
    <s v="#1774B9"/>
    <s v="990-0032"/>
    <n v="99200014"/>
    <s v="T-1061"/>
    <s v="C-1019"/>
    <s v="FI-991"/>
    <s v="M-993"/>
  </r>
  <r>
    <x v="32"/>
    <n v="990"/>
    <x v="0"/>
    <x v="1"/>
    <n v="15"/>
    <x v="1"/>
    <x v="1"/>
    <x v="1"/>
    <x v="15"/>
    <s v="Comuna"/>
    <s v="Proporción alumnos sobre 450 pts PSU por comuna"/>
    <s v="Periodo 2001-2020"/>
    <s v="Porcentaje (%)"/>
    <s v="Sistema Nacional de Información Municipal"/>
    <x v="32"/>
    <m/>
    <s v="Gráfico de Evolución"/>
    <s v="Región de Arica y Parinacota educación municipal PSU alumnos calidad colegios municipales"/>
    <x v="32"/>
    <s v="100-C-15"/>
    <s v="#1774B9"/>
    <s v="990-0033"/>
    <n v="99200015"/>
    <s v="T-1061"/>
    <s v="C-1019"/>
    <s v="FI-991"/>
    <s v="M-993"/>
  </r>
  <r>
    <x v="33"/>
    <n v="990"/>
    <x v="0"/>
    <x v="1"/>
    <n v="16"/>
    <x v="1"/>
    <x v="1"/>
    <x v="1"/>
    <x v="16"/>
    <s v="Comuna"/>
    <s v="Proporción alumnos sobre 450 pts PSU por comuna"/>
    <s v="Periodo 2001-2020"/>
    <s v="Porcentaje (%)"/>
    <s v="Sistema Nacional de Información Municipal"/>
    <x v="33"/>
    <m/>
    <s v="Gráfico de Evolución"/>
    <s v="Región de Ñuble educación municipal PSU alumnos calidad colegios municipales"/>
    <x v="33"/>
    <s v="100-C-16"/>
    <s v="#1774B9"/>
    <s v="990-0034"/>
    <n v="99200016"/>
    <s v="T-1061"/>
    <s v="C-1019"/>
    <s v="FI-991"/>
    <s v="M-993"/>
  </r>
  <r>
    <x v="34"/>
    <n v="990"/>
    <x v="0"/>
    <x v="2"/>
    <n v="0"/>
    <x v="2"/>
    <x v="2"/>
    <x v="0"/>
    <x v="0"/>
    <s v="Región-Comuna"/>
    <s v="Denuncias por violación por comuna"/>
    <s v="Periodo 2008-2020"/>
    <s v="Número de Denuncias"/>
    <s v="Centro de Estudios y Análisis del Delito (CEAD) de la Subsecretaría de Prevención del Delito"/>
    <x v="34"/>
    <m/>
    <s v="Gráfico de Evolución"/>
    <s v="Chile,comunas,violencia,mujer,violacion,denuncias"/>
    <x v="34"/>
    <s v="300-C"/>
    <s v="#1774B9"/>
    <s v="990-0035"/>
    <n v="99100000"/>
    <s v="T-1028"/>
    <s v="C-996"/>
    <s v="FI-995"/>
    <s v="M-994"/>
  </r>
  <r>
    <x v="35"/>
    <n v="990"/>
    <x v="0"/>
    <x v="2"/>
    <n v="1"/>
    <x v="2"/>
    <x v="2"/>
    <x v="1"/>
    <x v="1"/>
    <s v="Región-Comuna"/>
    <s v="Denuncias por violación por comuna"/>
    <s v="Periodo 2008-2020"/>
    <s v="Número de Denuncias"/>
    <s v="Centro de Estudios y Análisis del Delito (CEAD) de la Subsecretaría de Prevención del Delito"/>
    <x v="35"/>
    <m/>
    <s v="Gráfico de Evolución"/>
    <s v="Región de Tarapacá comunas violencia mujer violación denuncias"/>
    <x v="35"/>
    <s v="100-C-1"/>
    <s v="#1774B9"/>
    <s v="990-0036"/>
    <n v="99200001"/>
    <s v="T-1028"/>
    <s v="C-996"/>
    <s v="FI-995"/>
    <s v="M-994"/>
  </r>
  <r>
    <x v="36"/>
    <n v="990"/>
    <x v="0"/>
    <x v="2"/>
    <n v="2"/>
    <x v="2"/>
    <x v="2"/>
    <x v="1"/>
    <x v="2"/>
    <s v="Región-Comuna"/>
    <s v="Denuncias por violación por comuna"/>
    <s v="Periodo 2008-2020"/>
    <s v="Número de Denuncias"/>
    <s v="Centro de Estudios y Análisis del Delito (CEAD) de la Subsecretaría de Prevención del Delito"/>
    <x v="36"/>
    <m/>
    <s v="Gráfico de Evolución"/>
    <s v="Región de Antofagasta comunas violencia mujer violación denuncias"/>
    <x v="36"/>
    <s v="100-C-2"/>
    <s v="#1774B9"/>
    <s v="990-0037"/>
    <n v="99200002"/>
    <s v="T-1028"/>
    <s v="C-996"/>
    <s v="FI-995"/>
    <s v="M-994"/>
  </r>
  <r>
    <x v="37"/>
    <n v="990"/>
    <x v="0"/>
    <x v="2"/>
    <n v="3"/>
    <x v="2"/>
    <x v="2"/>
    <x v="1"/>
    <x v="3"/>
    <s v="Región-Comuna"/>
    <s v="Denuncias por violación por comuna"/>
    <s v="Periodo 2008-2020"/>
    <s v="Número de Denuncias"/>
    <s v="Centro de Estudios y Análisis del Delito (CEAD) de la Subsecretaría de Prevención del Delito"/>
    <x v="37"/>
    <m/>
    <s v="Gráfico de Evolución"/>
    <s v="Región de Atacama comunas violencia mujer violación denuncias"/>
    <x v="37"/>
    <s v="100-C-3"/>
    <s v="#1774B9"/>
    <s v="990-0038"/>
    <n v="99200003"/>
    <s v="T-1028"/>
    <s v="C-996"/>
    <s v="FI-995"/>
    <s v="M-994"/>
  </r>
  <r>
    <x v="38"/>
    <n v="990"/>
    <x v="0"/>
    <x v="2"/>
    <n v="4"/>
    <x v="2"/>
    <x v="2"/>
    <x v="1"/>
    <x v="4"/>
    <s v="Región-Comuna"/>
    <s v="Denuncias por violación por comuna"/>
    <s v="Periodo 2008-2020"/>
    <s v="Número de Denuncias"/>
    <s v="Centro de Estudios y Análisis del Delito (CEAD) de la Subsecretaría de Prevención del Delito"/>
    <x v="38"/>
    <m/>
    <s v="Gráfico de Evolución"/>
    <s v="Región de Coquimbo comunas violencia mujer violación denuncias"/>
    <x v="38"/>
    <s v="100-C-4"/>
    <s v="#1774B9"/>
    <s v="990-0039"/>
    <n v="99200004"/>
    <s v="T-1028"/>
    <s v="C-996"/>
    <s v="FI-995"/>
    <s v="M-994"/>
  </r>
  <r>
    <x v="39"/>
    <n v="990"/>
    <x v="0"/>
    <x v="2"/>
    <n v="5"/>
    <x v="2"/>
    <x v="2"/>
    <x v="1"/>
    <x v="5"/>
    <s v="Región-Comuna"/>
    <s v="Denuncias por violación por comuna"/>
    <s v="Periodo 2008-2020"/>
    <s v="Número de Denuncias"/>
    <s v="Centro de Estudios y Análisis del Delito (CEAD) de la Subsecretaría de Prevención del Delito"/>
    <x v="39"/>
    <m/>
    <s v="Gráfico de Evolución"/>
    <s v="Región de Valparaíso comunas violencia mujer violación denuncias"/>
    <x v="39"/>
    <s v="100-C-5"/>
    <s v="#1774B9"/>
    <s v="990-0040"/>
    <n v="99200005"/>
    <s v="T-1028"/>
    <s v="C-996"/>
    <s v="FI-995"/>
    <s v="M-994"/>
  </r>
  <r>
    <x v="40"/>
    <n v="990"/>
    <x v="0"/>
    <x v="2"/>
    <n v="6"/>
    <x v="2"/>
    <x v="2"/>
    <x v="1"/>
    <x v="6"/>
    <s v="Región-Comuna"/>
    <s v="Denuncias por violación por comuna"/>
    <s v="Periodo 2008-2020"/>
    <s v="Número de Denuncias"/>
    <s v="Centro de Estudios y Análisis del Delito (CEAD) de la Subsecretaría de Prevención del Delito"/>
    <x v="40"/>
    <m/>
    <s v="Gráfico de Evolución"/>
    <s v="Región de O'Higgins comunas violencia mujer violación denuncias"/>
    <x v="40"/>
    <s v="100-C-6"/>
    <s v="#1774B9"/>
    <s v="990-0041"/>
    <n v="99200006"/>
    <s v="T-1028"/>
    <s v="C-996"/>
    <s v="FI-995"/>
    <s v="M-994"/>
  </r>
  <r>
    <x v="41"/>
    <n v="990"/>
    <x v="0"/>
    <x v="2"/>
    <n v="7"/>
    <x v="2"/>
    <x v="2"/>
    <x v="1"/>
    <x v="7"/>
    <s v="Región-Comuna"/>
    <s v="Denuncias por violación por comuna"/>
    <s v="Periodo 2008-2020"/>
    <s v="Número de Denuncias"/>
    <s v="Centro de Estudios y Análisis del Delito (CEAD) de la Subsecretaría de Prevención del Delito"/>
    <x v="41"/>
    <m/>
    <s v="Gráfico de Evolución"/>
    <s v="Región de Maule comunas violencia mujer violación denuncias"/>
    <x v="41"/>
    <s v="100-C-7"/>
    <s v="#1774B9"/>
    <s v="990-0042"/>
    <n v="99200007"/>
    <s v="T-1028"/>
    <s v="C-996"/>
    <s v="FI-995"/>
    <s v="M-994"/>
  </r>
  <r>
    <x v="42"/>
    <n v="990"/>
    <x v="0"/>
    <x v="2"/>
    <n v="8"/>
    <x v="2"/>
    <x v="2"/>
    <x v="1"/>
    <x v="8"/>
    <s v="Región-Comuna"/>
    <s v="Denuncias por violación por comuna"/>
    <s v="Periodo 2008-2020"/>
    <s v="Número de Denuncias"/>
    <s v="Centro de Estudios y Análisis del Delito (CEAD) de la Subsecretaría de Prevención del Delito"/>
    <x v="42"/>
    <m/>
    <s v="Gráfico de Evolución"/>
    <s v="Región del Biobío comunas violencia mujer violación denuncias"/>
    <x v="42"/>
    <s v="100-C-8"/>
    <s v="#1774B9"/>
    <s v="990-0043"/>
    <n v="99200008"/>
    <s v="T-1028"/>
    <s v="C-996"/>
    <s v="FI-995"/>
    <s v="M-994"/>
  </r>
  <r>
    <x v="43"/>
    <n v="990"/>
    <x v="0"/>
    <x v="2"/>
    <n v="9"/>
    <x v="2"/>
    <x v="2"/>
    <x v="1"/>
    <x v="9"/>
    <s v="Región-Comuna"/>
    <s v="Denuncias por violación por comuna"/>
    <s v="Periodo 2008-2020"/>
    <s v="Número de Denuncias"/>
    <s v="Centro de Estudios y Análisis del Delito (CEAD) de la Subsecretaría de Prevención del Delito"/>
    <x v="43"/>
    <m/>
    <s v="Gráfico de Evolución"/>
    <s v="Región de La Araucanía comunas violencia mujer violación denuncias"/>
    <x v="43"/>
    <s v="100-C-9"/>
    <s v="#1774B9"/>
    <s v="990-0044"/>
    <n v="99200009"/>
    <s v="T-1028"/>
    <s v="C-996"/>
    <s v="FI-995"/>
    <s v="M-994"/>
  </r>
  <r>
    <x v="44"/>
    <n v="990"/>
    <x v="0"/>
    <x v="2"/>
    <n v="10"/>
    <x v="2"/>
    <x v="2"/>
    <x v="1"/>
    <x v="10"/>
    <s v="Región-Comuna"/>
    <s v="Denuncias por violación por comuna"/>
    <s v="Periodo 2008-2020"/>
    <s v="Número de Denuncias"/>
    <s v="Centro de Estudios y Análisis del Delito (CEAD) de la Subsecretaría de Prevención del Delito"/>
    <x v="44"/>
    <m/>
    <s v="Gráfico de Evolución"/>
    <s v="Región de Los Lagos comunas violencia mujer violación denuncias"/>
    <x v="44"/>
    <s v="100-C-10"/>
    <s v="#1774B9"/>
    <s v="990-0045"/>
    <n v="99200010"/>
    <s v="T-1028"/>
    <s v="C-996"/>
    <s v="FI-995"/>
    <s v="M-994"/>
  </r>
  <r>
    <x v="45"/>
    <n v="990"/>
    <x v="0"/>
    <x v="2"/>
    <n v="11"/>
    <x v="2"/>
    <x v="2"/>
    <x v="1"/>
    <x v="11"/>
    <s v="Región-Comuna"/>
    <s v="Denuncias por violación por comuna"/>
    <s v="Periodo 2008-2020"/>
    <s v="Número de Denuncias"/>
    <s v="Centro de Estudios y Análisis del Delito (CEAD) de la Subsecretaría de Prevención del Delito"/>
    <x v="45"/>
    <m/>
    <s v="Gráfico de Evolución"/>
    <s v="Región de Aysén comunas violencia mujer violación denuncias"/>
    <x v="45"/>
    <s v="100-C-11"/>
    <s v="#1774B9"/>
    <s v="990-0046"/>
    <n v="99200011"/>
    <s v="T-1028"/>
    <s v="C-996"/>
    <s v="FI-995"/>
    <s v="M-994"/>
  </r>
  <r>
    <x v="46"/>
    <n v="990"/>
    <x v="0"/>
    <x v="2"/>
    <n v="12"/>
    <x v="2"/>
    <x v="2"/>
    <x v="1"/>
    <x v="12"/>
    <s v="Región-Comuna"/>
    <s v="Denuncias por violación por comuna"/>
    <s v="Periodo 2008-2020"/>
    <s v="Número de Denuncias"/>
    <s v="Centro de Estudios y Análisis del Delito (CEAD) de la Subsecretaría de Prevención del Delito"/>
    <x v="46"/>
    <m/>
    <s v="Gráfico de Evolución"/>
    <s v="Región de Magallanes comunas violencia mujer violación denuncias"/>
    <x v="46"/>
    <s v="100-C-12"/>
    <s v="#1774B9"/>
    <s v="990-0047"/>
    <n v="99200012"/>
    <s v="T-1028"/>
    <s v="C-996"/>
    <s v="FI-995"/>
    <s v="M-994"/>
  </r>
  <r>
    <x v="47"/>
    <n v="990"/>
    <x v="0"/>
    <x v="2"/>
    <n v="13"/>
    <x v="2"/>
    <x v="2"/>
    <x v="1"/>
    <x v="13"/>
    <s v="Región-Comuna"/>
    <s v="Denuncias por violación por comuna"/>
    <s v="Periodo 2008-2020"/>
    <s v="Número de Denuncias"/>
    <s v="Centro de Estudios y Análisis del Delito (CEAD) de la Subsecretaría de Prevención del Delito"/>
    <x v="47"/>
    <s v="Las comunas más pobladas de la región Metropolitana son las que presentan mayores frecuencias de denuncias por violación el año 2020. Puente Alto, La Florida, San Bernardo, Maipú y Santiago muestran las mayores cifras de denuncias."/>
    <s v="Gráfico de Evolución"/>
    <s v="Región Metropolitana comunas violencia mujer violación denuncias"/>
    <x v="47"/>
    <s v="200-C-13"/>
    <s v="#1774B9"/>
    <s v="990-0048"/>
    <n v="99200013"/>
    <s v="T-1028"/>
    <s v="C-996"/>
    <s v="FI-995"/>
    <s v="M-994"/>
  </r>
  <r>
    <x v="48"/>
    <n v="990"/>
    <x v="0"/>
    <x v="2"/>
    <n v="14"/>
    <x v="2"/>
    <x v="2"/>
    <x v="1"/>
    <x v="14"/>
    <s v="Región-Comuna"/>
    <s v="Denuncias por violación por comuna"/>
    <s v="Periodo 2008-2020"/>
    <s v="Número de Denuncias"/>
    <s v="Centro de Estudios y Análisis del Delito (CEAD) de la Subsecretaría de Prevención del Delito"/>
    <x v="48"/>
    <m/>
    <s v="Gráfico de Evolución"/>
    <s v="Región de Los Ríos comunas violencia mujer violación denuncias"/>
    <x v="48"/>
    <s v="100-C-14"/>
    <s v="#1774B9"/>
    <s v="990-0049"/>
    <n v="99200014"/>
    <s v="T-1028"/>
    <s v="C-996"/>
    <s v="FI-995"/>
    <s v="M-994"/>
  </r>
  <r>
    <x v="49"/>
    <n v="990"/>
    <x v="0"/>
    <x v="2"/>
    <n v="15"/>
    <x v="2"/>
    <x v="2"/>
    <x v="1"/>
    <x v="15"/>
    <s v="Región-Comuna"/>
    <s v="Denuncias por violación por comuna"/>
    <s v="Periodo 2008-2020"/>
    <s v="Número de Denuncias"/>
    <s v="Centro de Estudios y Análisis del Delito (CEAD) de la Subsecretaría de Prevención del Delito"/>
    <x v="49"/>
    <m/>
    <s v="Gráfico de Evolución"/>
    <s v="Región de Arica y Parinacota comunas violencia mujer violación denuncias"/>
    <x v="49"/>
    <s v="100-C-15"/>
    <s v="#1774B9"/>
    <s v="990-0050"/>
    <n v="99200015"/>
    <s v="T-1028"/>
    <s v="C-996"/>
    <s v="FI-995"/>
    <s v="M-994"/>
  </r>
  <r>
    <x v="50"/>
    <n v="990"/>
    <x v="0"/>
    <x v="2"/>
    <n v="16"/>
    <x v="2"/>
    <x v="2"/>
    <x v="1"/>
    <x v="16"/>
    <s v="Región-Comuna"/>
    <s v="Denuncias por violación por comuna"/>
    <s v="Periodo 2008-2020"/>
    <s v="Número de Denuncias"/>
    <s v="Centro de Estudios y Análisis del Delito (CEAD) de la Subsecretaría de Prevención del Delito"/>
    <x v="50"/>
    <m/>
    <s v="Gráfico de Evolución"/>
    <s v="Región de Ñuble comunas violencia mujer violación denuncias"/>
    <x v="50"/>
    <s v="100-C-16"/>
    <s v="#1774B9"/>
    <s v="990-0051"/>
    <n v="99200016"/>
    <s v="T-1028"/>
    <s v="C-996"/>
    <s v="FI-995"/>
    <s v="M-994"/>
  </r>
  <r>
    <x v="51"/>
    <n v="990"/>
    <x v="0"/>
    <x v="0"/>
    <n v="0"/>
    <x v="3"/>
    <x v="0"/>
    <x v="0"/>
    <x v="0"/>
    <s v="Comuna"/>
    <s v="Ingreso Promedio Mensual en Chile"/>
    <s v="Periodo 2006-2017"/>
    <s v="CLP/mes"/>
    <s v="Encuestas CASEN"/>
    <x v="51"/>
    <m/>
    <s v="Gráfico de Evolución"/>
    <s v="Chile CASEN ingresos promedio mensual nacional"/>
    <x v="51"/>
    <n v="0"/>
    <s v="#1774B9"/>
    <s v="990-0052"/>
    <n v="99100000"/>
    <s v="T-994"/>
    <s v="C-995"/>
    <s v="FI-991"/>
    <s v="M-995"/>
  </r>
  <r>
    <x v="52"/>
    <n v="990"/>
    <x v="0"/>
    <x v="0"/>
    <n v="0"/>
    <x v="4"/>
    <x v="0"/>
    <x v="0"/>
    <x v="0"/>
    <s v="Región"/>
    <s v="Ingresos Promedio Mensual por región"/>
    <s v="Periodo 2006-2017"/>
    <s v="CLP/mes"/>
    <s v="Encuestas CASEN"/>
    <x v="52"/>
    <s v="La población de la etnia Mapuche se distribuye en las 16 regiones del país en distintas proporciones. Las regiones donde las personas de este grupo étnico logran mayores ingresos mensuales, en promedio, son la de Arica y Parinacota y Magallanes."/>
    <s v="Gráfico de Evolución"/>
    <s v="Chile CASEN ingresos promedio mensual etnia región mapuche alacalufe atacameño aymara coya diaguita pascuense quechua"/>
    <x v="52"/>
    <s v="300-C"/>
    <s v="#1774B9"/>
    <s v="990-0053"/>
    <n v="99100000"/>
    <s v="T-1029"/>
    <s v="C-995"/>
    <s v="FI-992"/>
    <s v="M-992"/>
  </r>
  <r>
    <x v="53"/>
    <n v="990"/>
    <x v="0"/>
    <x v="0"/>
    <n v="1"/>
    <x v="4"/>
    <x v="0"/>
    <x v="1"/>
    <x v="1"/>
    <s v="Región"/>
    <s v="Ingresos Promedio Mensual por región"/>
    <s v="Periodo 2006-2017"/>
    <s v="CLP/mes"/>
    <s v="Encuestas CASEN"/>
    <x v="53"/>
    <m/>
    <s v="Gráfico de Evolución"/>
    <s v="Región de Tarapacá CASEN ingresos promedio mensual etnia región mapuche alacalufe atacameño aymara coya diaguita pascuense quechua"/>
    <x v="53"/>
    <s v="100-C-1"/>
    <s v="#1774B9"/>
    <s v="990-0054"/>
    <n v="99200001"/>
    <s v="T-1029"/>
    <s v="C-995"/>
    <s v="FI-992"/>
    <s v="M-992"/>
  </r>
  <r>
    <x v="54"/>
    <n v="990"/>
    <x v="0"/>
    <x v="0"/>
    <n v="2"/>
    <x v="4"/>
    <x v="0"/>
    <x v="1"/>
    <x v="2"/>
    <s v="Región"/>
    <s v="Ingresos Promedio Mensual por región"/>
    <s v="Periodo 2006-2017"/>
    <s v="CLP/mes"/>
    <s v="Encuestas CASEN"/>
    <x v="54"/>
    <m/>
    <s v="Gráfico de Evolución"/>
    <s v="Región de Antofagasta CASEN ingresos promedio mensual etnia región mapuche alacalufe atacameño aymara coya diaguita pascuense quechua"/>
    <x v="54"/>
    <s v="100-C-2"/>
    <s v="#1774B9"/>
    <s v="990-0055"/>
    <n v="99200002"/>
    <s v="T-1029"/>
    <s v="C-995"/>
    <s v="FI-992"/>
    <s v="M-992"/>
  </r>
  <r>
    <x v="55"/>
    <n v="990"/>
    <x v="0"/>
    <x v="0"/>
    <n v="3"/>
    <x v="4"/>
    <x v="0"/>
    <x v="1"/>
    <x v="3"/>
    <s v="Región"/>
    <s v="Ingresos Promedio Mensual por región"/>
    <s v="Periodo 2006-2017"/>
    <s v="CLP/mes"/>
    <s v="Encuestas CASEN"/>
    <x v="55"/>
    <m/>
    <s v="Gráfico de Evolución"/>
    <s v="Región de Atacama CASEN ingresos promedio mensual etnia región mapuche alacalufe atacameño aymara coya diaguita pascuense quechua"/>
    <x v="55"/>
    <s v="100-C-3"/>
    <s v="#1774B9"/>
    <s v="990-0056"/>
    <n v="99200003"/>
    <s v="T-1029"/>
    <s v="C-995"/>
    <s v="FI-992"/>
    <s v="M-992"/>
  </r>
  <r>
    <x v="56"/>
    <n v="990"/>
    <x v="0"/>
    <x v="0"/>
    <n v="4"/>
    <x v="4"/>
    <x v="0"/>
    <x v="1"/>
    <x v="4"/>
    <s v="Región"/>
    <s v="Ingresos Promedio Mensual por región"/>
    <s v="Periodo 2006-2017"/>
    <s v="CLP/mes"/>
    <s v="Encuestas CASEN"/>
    <x v="56"/>
    <m/>
    <s v="Gráfico de Evolución"/>
    <s v="Región de Coquimbo CASEN ingresos promedio mensual etnia región mapuche alacalufe atacameño aymara coya diaguita pascuense quechua"/>
    <x v="56"/>
    <s v="100-C-4"/>
    <s v="#1774B9"/>
    <s v="990-0057"/>
    <n v="99200004"/>
    <s v="T-1029"/>
    <s v="C-995"/>
    <s v="FI-992"/>
    <s v="M-992"/>
  </r>
  <r>
    <x v="57"/>
    <n v="990"/>
    <x v="0"/>
    <x v="0"/>
    <n v="5"/>
    <x v="4"/>
    <x v="0"/>
    <x v="1"/>
    <x v="5"/>
    <s v="Región"/>
    <s v="Ingresos Promedio Mensual por región"/>
    <s v="Periodo 2006-2017"/>
    <s v="CLP/mes"/>
    <s v="Encuestas CASEN"/>
    <x v="57"/>
    <m/>
    <s v="Gráfico de Evolución"/>
    <s v="Región de Valparaíso CASEN ingresos promedio mensual etnia región mapuche alacalufe atacameño aymara coya diaguita pascuense quechua"/>
    <x v="57"/>
    <s v="100-C-5"/>
    <s v="#1774B9"/>
    <s v="990-0058"/>
    <n v="99200005"/>
    <s v="T-1029"/>
    <s v="C-995"/>
    <s v="FI-992"/>
    <s v="M-992"/>
  </r>
  <r>
    <x v="58"/>
    <n v="990"/>
    <x v="0"/>
    <x v="0"/>
    <n v="6"/>
    <x v="4"/>
    <x v="0"/>
    <x v="1"/>
    <x v="6"/>
    <s v="Región"/>
    <s v="Ingresos Promedio Mensual por región"/>
    <s v="Periodo 2006-2017"/>
    <s v="CLP/mes"/>
    <s v="Encuestas CASEN"/>
    <x v="58"/>
    <m/>
    <s v="Gráfico de Evolución"/>
    <s v="Región de O'Higgins CASEN ingresos promedio mensual etnia región mapuche alacalufe atacameño aymara coya diaguita pascuense quechua"/>
    <x v="58"/>
    <s v="100-C-6"/>
    <s v="#1774B9"/>
    <s v="990-0059"/>
    <n v="99200006"/>
    <s v="T-1029"/>
    <s v="C-995"/>
    <s v="FI-992"/>
    <s v="M-992"/>
  </r>
  <r>
    <x v="59"/>
    <n v="990"/>
    <x v="0"/>
    <x v="0"/>
    <n v="7"/>
    <x v="4"/>
    <x v="0"/>
    <x v="1"/>
    <x v="7"/>
    <s v="Región"/>
    <s v="Ingresos Promedio Mensual por región"/>
    <s v="Periodo 2006-2017"/>
    <s v="CLP/mes"/>
    <s v="Encuestas CASEN"/>
    <x v="59"/>
    <m/>
    <s v="Gráfico de Evolución"/>
    <s v="Región de Maule CASEN ingresos promedio mensual etnia región mapuche alacalufe atacameño aymara coya diaguita pascuense quechua"/>
    <x v="59"/>
    <s v="100-C-7"/>
    <s v="#1774B9"/>
    <s v="990-0060"/>
    <n v="99200007"/>
    <s v="T-1029"/>
    <s v="C-995"/>
    <s v="FI-992"/>
    <s v="M-992"/>
  </r>
  <r>
    <x v="60"/>
    <n v="990"/>
    <x v="0"/>
    <x v="0"/>
    <n v="8"/>
    <x v="4"/>
    <x v="0"/>
    <x v="1"/>
    <x v="8"/>
    <s v="Región"/>
    <s v="Ingresos Promedio Mensual por región"/>
    <s v="Periodo 2006-2017"/>
    <s v="CLP/mes"/>
    <s v="Encuestas CASEN"/>
    <x v="60"/>
    <m/>
    <s v="Gráfico de Evolución"/>
    <s v="Región del Biobío CASEN ingresos promedio mensual etnia región mapuche alacalufe atacameño aymara coya diaguita pascuense quechua"/>
    <x v="60"/>
    <s v="100-C-8"/>
    <s v="#1774B9"/>
    <s v="990-0061"/>
    <n v="99200008"/>
    <s v="T-1029"/>
    <s v="C-995"/>
    <s v="FI-992"/>
    <s v="M-992"/>
  </r>
  <r>
    <x v="61"/>
    <n v="990"/>
    <x v="0"/>
    <x v="0"/>
    <n v="9"/>
    <x v="4"/>
    <x v="0"/>
    <x v="1"/>
    <x v="9"/>
    <s v="Región"/>
    <s v="Ingresos Promedio Mensual por región"/>
    <s v="Periodo 2006-2017"/>
    <s v="CLP/mes"/>
    <s v="Encuestas CASEN"/>
    <x v="61"/>
    <m/>
    <s v="Gráfico de Evolución"/>
    <s v="Región de La Araucanía CASEN ingresos promedio mensual etnia región mapuche alacalufe atacameño aymara coya diaguita pascuense quechua"/>
    <x v="61"/>
    <s v="100-C-9"/>
    <s v="#1774B9"/>
    <s v="990-0062"/>
    <n v="99200009"/>
    <s v="T-1029"/>
    <s v="C-995"/>
    <s v="FI-992"/>
    <s v="M-992"/>
  </r>
  <r>
    <x v="62"/>
    <n v="990"/>
    <x v="0"/>
    <x v="0"/>
    <n v="10"/>
    <x v="4"/>
    <x v="0"/>
    <x v="1"/>
    <x v="10"/>
    <s v="Región"/>
    <s v="Ingresos Promedio Mensual por región"/>
    <s v="Periodo 2006-2017"/>
    <s v="CLP/mes"/>
    <s v="Encuestas CASEN"/>
    <x v="62"/>
    <m/>
    <s v="Gráfico de Evolución"/>
    <s v="Región de Los Lagos CASEN ingresos promedio mensual etnia región mapuche alacalufe atacameño aymara coya diaguita pascuense quechua"/>
    <x v="62"/>
    <s v="100-C-10"/>
    <s v="#1774B9"/>
    <s v="990-0063"/>
    <n v="99200010"/>
    <s v="T-1029"/>
    <s v="C-995"/>
    <s v="FI-992"/>
    <s v="M-992"/>
  </r>
  <r>
    <x v="63"/>
    <n v="990"/>
    <x v="0"/>
    <x v="0"/>
    <n v="11"/>
    <x v="4"/>
    <x v="0"/>
    <x v="1"/>
    <x v="11"/>
    <s v="Región"/>
    <s v="Ingresos Promedio Mensual por región"/>
    <s v="Periodo 2006-2017"/>
    <s v="CLP/mes"/>
    <s v="Encuestas CASEN"/>
    <x v="63"/>
    <m/>
    <s v="Gráfico de Evolución"/>
    <s v="Región de Aysén CASEN ingresos promedio mensual etnia región mapuche alacalufe atacameño aymara coya diaguita pascuense quechua"/>
    <x v="63"/>
    <s v="100-C-11"/>
    <s v="#1774B9"/>
    <s v="990-0064"/>
    <n v="99200011"/>
    <s v="T-1029"/>
    <s v="C-995"/>
    <s v="FI-992"/>
    <s v="M-992"/>
  </r>
  <r>
    <x v="64"/>
    <n v="990"/>
    <x v="0"/>
    <x v="0"/>
    <n v="12"/>
    <x v="4"/>
    <x v="0"/>
    <x v="1"/>
    <x v="12"/>
    <s v="Región"/>
    <s v="Ingresos Promedio Mensual por región"/>
    <s v="Periodo 2006-2017"/>
    <s v="CLP/mes"/>
    <s v="Encuestas CASEN"/>
    <x v="64"/>
    <m/>
    <s v="Gráfico de Evolución"/>
    <s v="Región de Magallanes CASEN ingresos promedio mensual etnia región mapuche alacalufe atacameño aymara coya diaguita pascuense quechua"/>
    <x v="64"/>
    <s v="100-C-12"/>
    <s v="#1774B9"/>
    <s v="990-0065"/>
    <n v="99200012"/>
    <s v="T-1029"/>
    <s v="C-995"/>
    <s v="FI-992"/>
    <s v="M-992"/>
  </r>
  <r>
    <x v="65"/>
    <n v="990"/>
    <x v="0"/>
    <x v="0"/>
    <n v="13"/>
    <x v="4"/>
    <x v="0"/>
    <x v="1"/>
    <x v="13"/>
    <s v="Región"/>
    <s v="Ingresos Promedio Mensual por región"/>
    <s v="Periodo 2006-2017"/>
    <s v="CLP/mes"/>
    <s v="Encuestas CASEN"/>
    <x v="65"/>
    <m/>
    <s v="Gráfico de Evolución"/>
    <s v="Región Metropolitana CASEN ingresos promedio mensual etnia región mapuche alacalufe atacameño aymara coya diaguita pascuense quechua"/>
    <x v="65"/>
    <s v="200-C-13"/>
    <s v="#1774B9"/>
    <s v="990-0066"/>
    <n v="99200013"/>
    <s v="T-1029"/>
    <s v="C-995"/>
    <s v="FI-992"/>
    <s v="M-992"/>
  </r>
  <r>
    <x v="66"/>
    <n v="990"/>
    <x v="0"/>
    <x v="0"/>
    <n v="14"/>
    <x v="4"/>
    <x v="0"/>
    <x v="1"/>
    <x v="14"/>
    <s v="Región"/>
    <s v="Ingresos Promedio Mensual por región"/>
    <s v="Periodo 2006-2017"/>
    <s v="CLP/mes"/>
    <s v="Encuestas CASEN"/>
    <x v="66"/>
    <m/>
    <s v="Gráfico de Evolución"/>
    <s v="Región de Los Ríos CASEN ingresos promedio mensual etnia región mapuche alacalufe atacameño aymara coya diaguita pascuense quechua"/>
    <x v="66"/>
    <s v="100-C-14"/>
    <s v="#1774B9"/>
    <s v="990-0067"/>
    <n v="99200014"/>
    <s v="T-1029"/>
    <s v="C-995"/>
    <s v="FI-992"/>
    <s v="M-992"/>
  </r>
  <r>
    <x v="67"/>
    <n v="990"/>
    <x v="0"/>
    <x v="0"/>
    <n v="15"/>
    <x v="4"/>
    <x v="0"/>
    <x v="1"/>
    <x v="15"/>
    <s v="Región"/>
    <s v="Ingresos Promedio Mensual por región"/>
    <s v="Periodo 2006-2017"/>
    <s v="CLP/mes"/>
    <s v="Encuestas CASEN"/>
    <x v="67"/>
    <m/>
    <s v="Gráfico de Evolución"/>
    <s v="Región de Arica y Parinacota CASEN ingresos promedio mensual etnia región mapuche alacalufe atacameño aymara coya diaguita pascuense quechua"/>
    <x v="67"/>
    <s v="100-C-15"/>
    <s v="#1774B9"/>
    <s v="990-0068"/>
    <n v="99200015"/>
    <s v="T-1029"/>
    <s v="C-995"/>
    <s v="FI-992"/>
    <s v="M-992"/>
  </r>
  <r>
    <x v="68"/>
    <n v="990"/>
    <x v="0"/>
    <x v="0"/>
    <n v="16"/>
    <x v="4"/>
    <x v="0"/>
    <x v="1"/>
    <x v="16"/>
    <s v="Región"/>
    <s v="Ingresos Promedio Mensual por región"/>
    <s v="Periodo 2006-2017"/>
    <s v="CLP/mes"/>
    <s v="Encuestas CASEN"/>
    <x v="68"/>
    <m/>
    <s v="Gráfico de Evolución"/>
    <s v="Región de Ñuble CASEN ingresos promedio mensual etnia región mapuche alacalufe atacameño aymara coya diaguita pascuense quechua"/>
    <x v="68"/>
    <s v="100-C-16"/>
    <s v="#1774B9"/>
    <s v="990-0069"/>
    <n v="99200016"/>
    <s v="T-1029"/>
    <s v="C-995"/>
    <s v="FI-992"/>
    <s v="M-992"/>
  </r>
  <r>
    <x v="69"/>
    <n v="990"/>
    <x v="0"/>
    <x v="3"/>
    <n v="0"/>
    <x v="5"/>
    <x v="3"/>
    <x v="0"/>
    <x v="0"/>
    <s v="Región"/>
    <s v="Número de alumnos por docente en aula por comuna"/>
    <s v="Periodo 2019-2020"/>
    <s v="Número de Alumnos"/>
    <s v="Sistema Nacional de Información Municipal"/>
    <x v="69"/>
    <s v="Ranking de Comunas: Número de Alumnos por Docente en Aula del año 2019 y 2020 y su variación porcentual para los Colegios Municipales"/>
    <s v="Ranking"/>
    <s v="Chile educación municipal alumnos calidad educación colegios municipales docentes aula"/>
    <x v="69"/>
    <s v="300-C"/>
    <s v="#1774B9"/>
    <s v="990-0070"/>
    <n v="99100000"/>
    <s v="T-992"/>
    <s v="C-1020"/>
    <s v="FI-992"/>
    <s v="M-996"/>
  </r>
  <r>
    <x v="70"/>
    <n v="990"/>
    <x v="0"/>
    <x v="3"/>
    <n v="1"/>
    <x v="5"/>
    <x v="3"/>
    <x v="1"/>
    <x v="1"/>
    <s v="Ninguno"/>
    <s v="Número de alumnos por docente en aula por comuna"/>
    <s v="Periodo 2019-2020"/>
    <s v="Número de Alumnos"/>
    <s v="Sistema Nacional de Información Municipal"/>
    <x v="70"/>
    <m/>
    <s v="Ranking"/>
    <s v="Región de Tarapacá educación municipal alumnos calidad educación colegios municipales docentes aula"/>
    <x v="70"/>
    <s v="100-C-1"/>
    <s v="#1774B9"/>
    <s v="990-0071"/>
    <n v="99200001"/>
    <s v="T-992"/>
    <s v="C-1020"/>
    <s v="FI-993"/>
    <s v="M-996"/>
  </r>
  <r>
    <x v="71"/>
    <n v="990"/>
    <x v="0"/>
    <x v="3"/>
    <n v="2"/>
    <x v="5"/>
    <x v="3"/>
    <x v="1"/>
    <x v="2"/>
    <s v="Ninguno"/>
    <s v="Número de alumnos por docente en aula por comuna"/>
    <s v="Periodo 2019-2020"/>
    <s v="Número de Alumnos"/>
    <s v="Sistema Nacional de Información Municipal"/>
    <x v="71"/>
    <m/>
    <s v="Ranking"/>
    <s v="Región de Antofagasta educación municipal alumnos calidad educación colegios municipales docentes aula"/>
    <x v="71"/>
    <s v="100-C-2"/>
    <s v="#1774B9"/>
    <s v="990-0072"/>
    <n v="99200002"/>
    <s v="T-992"/>
    <s v="C-1020"/>
    <s v="FI-993"/>
    <s v="M-996"/>
  </r>
  <r>
    <x v="72"/>
    <n v="990"/>
    <x v="0"/>
    <x v="3"/>
    <n v="3"/>
    <x v="5"/>
    <x v="3"/>
    <x v="1"/>
    <x v="3"/>
    <s v="Ninguno"/>
    <s v="Número de alumnos por docente en aula por comuna"/>
    <s v="Periodo 2019-2020"/>
    <s v="Número de Alumnos"/>
    <s v="Sistema Nacional de Información Municipal"/>
    <x v="72"/>
    <m/>
    <s v="Ranking"/>
    <s v="Región de Atacama educación municipal alumnos calidad educación colegios municipales docentes aula"/>
    <x v="72"/>
    <s v="100-C-3"/>
    <s v="#1774B9"/>
    <s v="990-0073"/>
    <n v="99200003"/>
    <s v="T-992"/>
    <s v="C-1020"/>
    <s v="FI-993"/>
    <s v="M-996"/>
  </r>
  <r>
    <x v="73"/>
    <n v="990"/>
    <x v="0"/>
    <x v="3"/>
    <n v="4"/>
    <x v="5"/>
    <x v="3"/>
    <x v="1"/>
    <x v="4"/>
    <s v="Ninguno"/>
    <s v="Número de alumnos por docente en aula por comuna"/>
    <s v="Periodo 2019-2020"/>
    <s v="Número de Alumnos"/>
    <s v="Sistema Nacional de Información Municipal"/>
    <x v="73"/>
    <m/>
    <s v="Ranking"/>
    <s v="Región de Coquimbo educación municipal alumnos calidad educación colegios municipales docentes aula"/>
    <x v="73"/>
    <s v="100-C-4"/>
    <s v="#1774B9"/>
    <s v="990-0074"/>
    <n v="99200004"/>
    <s v="T-992"/>
    <s v="C-1020"/>
    <s v="FI-993"/>
    <s v="M-996"/>
  </r>
  <r>
    <x v="74"/>
    <n v="990"/>
    <x v="0"/>
    <x v="3"/>
    <n v="5"/>
    <x v="5"/>
    <x v="3"/>
    <x v="1"/>
    <x v="5"/>
    <s v="Ninguno"/>
    <s v="Número de alumnos por docente en aula por comuna"/>
    <s v="Periodo 2019-2020"/>
    <s v="Número de Alumnos"/>
    <s v="Sistema Nacional de Información Municipal"/>
    <x v="74"/>
    <m/>
    <s v="Ranking"/>
    <s v="Región de Valparaíso educación municipal alumnos calidad educación colegios municipales docentes aula"/>
    <x v="74"/>
    <s v="100-C-5"/>
    <s v="#1774B9"/>
    <s v="990-0075"/>
    <n v="99200005"/>
    <s v="T-992"/>
    <s v="C-1020"/>
    <s v="FI-993"/>
    <s v="M-996"/>
  </r>
  <r>
    <x v="75"/>
    <n v="990"/>
    <x v="0"/>
    <x v="3"/>
    <n v="6"/>
    <x v="5"/>
    <x v="3"/>
    <x v="1"/>
    <x v="6"/>
    <s v="Ninguno"/>
    <s v="Número de alumnos por docente en aula por comuna"/>
    <s v="Periodo 2019-2020"/>
    <s v="Número de Alumnos"/>
    <s v="Sistema Nacional de Información Municipal"/>
    <x v="75"/>
    <m/>
    <s v="Ranking"/>
    <s v="Región de O'Higgins educación municipal alumnos calidad educación colegios municipales docentes aula"/>
    <x v="75"/>
    <s v="100-C-6"/>
    <s v="#1774B9"/>
    <s v="990-0076"/>
    <n v="99200006"/>
    <s v="T-992"/>
    <s v="C-1020"/>
    <s v="FI-993"/>
    <s v="M-996"/>
  </r>
  <r>
    <x v="76"/>
    <n v="990"/>
    <x v="0"/>
    <x v="3"/>
    <n v="7"/>
    <x v="5"/>
    <x v="3"/>
    <x v="1"/>
    <x v="7"/>
    <s v="Ninguno"/>
    <s v="Número de alumnos por docente en aula por comuna"/>
    <s v="Periodo 2019-2020"/>
    <s v="Número de Alumnos"/>
    <s v="Sistema Nacional de Información Municipal"/>
    <x v="76"/>
    <m/>
    <s v="Ranking"/>
    <s v="Región de Maule educación municipal alumnos calidad educación colegios municipales docentes aula"/>
    <x v="76"/>
    <s v="100-C-7"/>
    <s v="#1774B9"/>
    <s v="990-0077"/>
    <n v="99200007"/>
    <s v="T-992"/>
    <s v="C-1020"/>
    <s v="FI-993"/>
    <s v="M-996"/>
  </r>
  <r>
    <x v="77"/>
    <n v="990"/>
    <x v="0"/>
    <x v="3"/>
    <n v="8"/>
    <x v="5"/>
    <x v="3"/>
    <x v="1"/>
    <x v="8"/>
    <s v="Ninguno"/>
    <s v="Número de alumnos por docente en aula por comuna"/>
    <s v="Periodo 2019-2020"/>
    <s v="Número de Alumnos"/>
    <s v="Sistema Nacional de Información Municipal"/>
    <x v="77"/>
    <m/>
    <s v="Ranking"/>
    <s v="Región del Biobío educación municipal alumnos calidad educación colegios municipales docentes aula"/>
    <x v="77"/>
    <s v="100-C-8"/>
    <s v="#1774B9"/>
    <s v="990-0078"/>
    <n v="99200008"/>
    <s v="T-992"/>
    <s v="C-1020"/>
    <s v="FI-993"/>
    <s v="M-996"/>
  </r>
  <r>
    <x v="78"/>
    <n v="990"/>
    <x v="0"/>
    <x v="3"/>
    <n v="9"/>
    <x v="5"/>
    <x v="3"/>
    <x v="1"/>
    <x v="9"/>
    <s v="Ninguno"/>
    <s v="Número de alumnos por docente en aula por comuna"/>
    <s v="Periodo 2019-2020"/>
    <s v="Número de Alumnos"/>
    <s v="Sistema Nacional de Información Municipal"/>
    <x v="78"/>
    <m/>
    <s v="Ranking"/>
    <s v="Región de La Araucanía educación municipal alumnos calidad educación colegios municipales docentes aula"/>
    <x v="78"/>
    <s v="100-C-9"/>
    <s v="#1774B9"/>
    <s v="990-0079"/>
    <n v="99200009"/>
    <s v="T-992"/>
    <s v="C-1020"/>
    <s v="FI-993"/>
    <s v="M-996"/>
  </r>
  <r>
    <x v="79"/>
    <n v="990"/>
    <x v="0"/>
    <x v="3"/>
    <n v="10"/>
    <x v="5"/>
    <x v="3"/>
    <x v="1"/>
    <x v="10"/>
    <s v="Ninguno"/>
    <s v="Número de alumnos por docente en aula por comuna"/>
    <s v="Periodo 2019-2020"/>
    <s v="Número de Alumnos"/>
    <s v="Sistema Nacional de Información Municipal"/>
    <x v="79"/>
    <m/>
    <s v="Ranking"/>
    <s v="Región de Los Lagos educación municipal alumnos calidad educación colegios municipales docentes aula"/>
    <x v="79"/>
    <s v="100-C-10"/>
    <s v="#1774B9"/>
    <s v="990-0080"/>
    <n v="99200010"/>
    <s v="T-992"/>
    <s v="C-1020"/>
    <s v="FI-993"/>
    <s v="M-996"/>
  </r>
  <r>
    <x v="80"/>
    <n v="990"/>
    <x v="0"/>
    <x v="3"/>
    <n v="11"/>
    <x v="5"/>
    <x v="3"/>
    <x v="1"/>
    <x v="11"/>
    <s v="Ninguno"/>
    <s v="Número de alumnos por docente en aula por comuna"/>
    <s v="Periodo 2019-2020"/>
    <s v="Número de Alumnos"/>
    <s v="Sistema Nacional de Información Municipal"/>
    <x v="80"/>
    <m/>
    <s v="Ranking"/>
    <s v="Región de Aysén educación municipal alumnos calidad educación colegios municipales docentes aula"/>
    <x v="80"/>
    <s v="100-C-11"/>
    <s v="#1774B9"/>
    <s v="990-0081"/>
    <n v="99200011"/>
    <s v="T-992"/>
    <s v="C-1020"/>
    <s v="FI-993"/>
    <s v="M-996"/>
  </r>
  <r>
    <x v="81"/>
    <n v="990"/>
    <x v="0"/>
    <x v="3"/>
    <n v="12"/>
    <x v="5"/>
    <x v="3"/>
    <x v="1"/>
    <x v="12"/>
    <s v="Ninguno"/>
    <s v="Número de alumnos por docente en aula por comuna"/>
    <s v="Periodo 2019-2020"/>
    <s v="Número de Alumnos"/>
    <s v="Sistema Nacional de Información Municipal"/>
    <x v="81"/>
    <m/>
    <s v="Ranking"/>
    <s v="Región de Magallanes educación municipal alumnos calidad educación colegios municipales docentes aula"/>
    <x v="81"/>
    <s v="100-C-12"/>
    <s v="#1774B9"/>
    <s v="990-0082"/>
    <n v="99200012"/>
    <s v="T-992"/>
    <s v="C-1020"/>
    <s v="FI-993"/>
    <s v="M-996"/>
  </r>
  <r>
    <x v="82"/>
    <n v="990"/>
    <x v="0"/>
    <x v="3"/>
    <n v="13"/>
    <x v="5"/>
    <x v="3"/>
    <x v="1"/>
    <x v="13"/>
    <s v="Ninguno"/>
    <s v="Número de alumnos por docente en aula por comuna"/>
    <s v="Periodo 2019-2020"/>
    <s v="Número de Alumnos"/>
    <s v="Sistema Nacional de Información Municipal"/>
    <x v="82"/>
    <m/>
    <s v="Ranking"/>
    <s v="Región Metropolitana educación municipal alumnos calidad educación colegios municipales docentes aula"/>
    <x v="82"/>
    <s v="200-C-13"/>
    <s v="#1774B9"/>
    <s v="990-0083"/>
    <n v="99200013"/>
    <s v="T-992"/>
    <s v="C-1020"/>
    <s v="FI-993"/>
    <s v="M-996"/>
  </r>
  <r>
    <x v="83"/>
    <n v="990"/>
    <x v="0"/>
    <x v="3"/>
    <n v="14"/>
    <x v="5"/>
    <x v="3"/>
    <x v="1"/>
    <x v="14"/>
    <s v="Ninguno"/>
    <s v="Número de alumnos por docente en aula por comuna"/>
    <s v="Periodo 2019-2020"/>
    <s v="Número de Alumnos"/>
    <s v="Sistema Nacional de Información Municipal"/>
    <x v="83"/>
    <m/>
    <s v="Ranking"/>
    <s v="Región de Los Ríos educación municipal alumnos calidad educación colegios municipales docentes aula"/>
    <x v="83"/>
    <s v="100-C-14"/>
    <s v="#1774B9"/>
    <s v="990-0084"/>
    <n v="99200014"/>
    <s v="T-992"/>
    <s v="C-1020"/>
    <s v="FI-993"/>
    <s v="M-996"/>
  </r>
  <r>
    <x v="84"/>
    <n v="990"/>
    <x v="0"/>
    <x v="3"/>
    <n v="15"/>
    <x v="5"/>
    <x v="3"/>
    <x v="1"/>
    <x v="15"/>
    <s v="Ninguno"/>
    <s v="Número de alumnos por docente en aula por comuna"/>
    <s v="Periodo 2019-2020"/>
    <s v="Número de Alumnos"/>
    <s v="Sistema Nacional de Información Municipal"/>
    <x v="84"/>
    <m/>
    <s v="Ranking"/>
    <s v="Región de Arica y Parinacota educación municipal alumnos calidad educación colegios municipales docentes aula"/>
    <x v="84"/>
    <s v="100-C-15"/>
    <s v="#1774B9"/>
    <s v="990-0085"/>
    <n v="99200015"/>
    <s v="T-992"/>
    <s v="C-1020"/>
    <s v="FI-993"/>
    <s v="M-996"/>
  </r>
  <r>
    <x v="85"/>
    <n v="990"/>
    <x v="0"/>
    <x v="3"/>
    <n v="16"/>
    <x v="5"/>
    <x v="3"/>
    <x v="1"/>
    <x v="16"/>
    <s v="Ninguno"/>
    <s v="Número de alumnos por docente en aula por comuna"/>
    <s v="Periodo 2019-2020"/>
    <s v="Número de Alumnos"/>
    <s v="Sistema Nacional de Información Municipal"/>
    <x v="85"/>
    <m/>
    <s v="Ranking"/>
    <s v="Región de Ñuble educación municipal alumnos calidad educación colegios municipales docentes aula"/>
    <x v="85"/>
    <s v="100-C-16"/>
    <s v="#1774B9"/>
    <s v="990-0086"/>
    <n v="99200016"/>
    <s v="T-992"/>
    <s v="C-1020"/>
    <s v="FI-993"/>
    <s v="M-996"/>
  </r>
  <r>
    <x v="86"/>
    <n v="990"/>
    <x v="0"/>
    <x v="4"/>
    <n v="0"/>
    <x v="6"/>
    <x v="4"/>
    <x v="0"/>
    <x v="0"/>
    <s v="Comuna"/>
    <s v="Casos Activos por 1 millón de habitantes por comuna"/>
    <s v="Periodo 2020-2021"/>
    <s v="Número de Casos"/>
    <s v="Ministerio de Ciencia, Tecnología, Conocimiento e Innovación"/>
    <x v="86"/>
    <m/>
    <s v="Gráfico de Evolución"/>
    <s v="Chile COVID-19 regional comunal región comuna casos activos fallecidos recuperados"/>
    <x v="86"/>
    <s v="300-C"/>
    <s v="#1774B9"/>
    <s v="990-0087"/>
    <n v="99100000"/>
    <s v="T-1030"/>
    <s v="C-991"/>
    <s v="FI-991"/>
    <s v="M-997"/>
  </r>
  <r>
    <x v="87"/>
    <n v="990"/>
    <x v="0"/>
    <x v="4"/>
    <n v="1"/>
    <x v="6"/>
    <x v="4"/>
    <x v="1"/>
    <x v="1"/>
    <s v="Comuna"/>
    <s v="Casos Activos por 1 millón de habitantes por comuna"/>
    <s v="Periodo 2020-2021"/>
    <s v="Número de Casos"/>
    <s v="Ministerio de Ciencia, Tecnología, Conocimiento e Innovación"/>
    <x v="87"/>
    <s v="La comuna de Iquique presenta un mayor cantidad de casos activos por COVID-19 en los meses de enero y abril del año 2021, superando los 4.000 casos por millón de habitantes. En el mes de julio del mismo año, esta cifra disminuyó a menos de 1500 casos por millón de habitantes."/>
    <s v="Gráfico de Evolución"/>
    <s v="Región de Tarapacá COVID-19 regional comunal comuna casos activos fallecidos recuperados"/>
    <x v="87"/>
    <s v="100-C-1"/>
    <s v="#1774B9"/>
    <s v="990-0088"/>
    <n v="99200001"/>
    <s v="T-1030"/>
    <s v="C-991"/>
    <s v="FI-991"/>
    <s v="M-997"/>
  </r>
  <r>
    <x v="88"/>
    <n v="990"/>
    <x v="0"/>
    <x v="4"/>
    <n v="2"/>
    <x v="6"/>
    <x v="4"/>
    <x v="1"/>
    <x v="2"/>
    <s v="Comuna"/>
    <s v="Casos Activos por 1 millón de habitantes por comuna"/>
    <s v="Periodo 2020-2021"/>
    <s v="Número de Casos"/>
    <s v="Ministerio de Ciencia, Tecnología, Conocimiento e Innovación"/>
    <x v="88"/>
    <m/>
    <s v="Gráfico de Evolución"/>
    <s v="Región de Antofagasta COVID-19 regional comunal comuna casos activos fallecidos recuperados"/>
    <x v="88"/>
    <s v="100-C-2"/>
    <s v="#1774B9"/>
    <s v="990-0089"/>
    <n v="99200002"/>
    <s v="T-1030"/>
    <s v="C-991"/>
    <s v="FI-991"/>
    <s v="M-997"/>
  </r>
  <r>
    <x v="89"/>
    <n v="990"/>
    <x v="0"/>
    <x v="4"/>
    <n v="3"/>
    <x v="6"/>
    <x v="4"/>
    <x v="1"/>
    <x v="3"/>
    <s v="Comuna"/>
    <s v="Casos Activos por 1 millón de habitantes por comuna"/>
    <s v="Periodo 2020-2021"/>
    <s v="Número de Casos"/>
    <s v="Ministerio de Ciencia, Tecnología, Conocimiento e Innovación"/>
    <x v="89"/>
    <m/>
    <s v="Gráfico de Evolución"/>
    <s v="Región de Atacama COVID-19 regional comunal comuna casos activos fallecidos recuperados"/>
    <x v="89"/>
    <s v="100-C-3"/>
    <s v="#1774B9"/>
    <s v="990-0090"/>
    <n v="99200003"/>
    <s v="T-1030"/>
    <s v="C-991"/>
    <s v="FI-991"/>
    <s v="M-997"/>
  </r>
  <r>
    <x v="90"/>
    <n v="990"/>
    <x v="0"/>
    <x v="4"/>
    <n v="4"/>
    <x v="6"/>
    <x v="4"/>
    <x v="1"/>
    <x v="4"/>
    <s v="Comuna"/>
    <s v="Casos Activos por 1 millón de habitantes por comuna"/>
    <s v="Periodo 2020-2021"/>
    <s v="Número de Casos"/>
    <s v="Ministerio de Ciencia, Tecnología, Conocimiento e Innovación"/>
    <x v="90"/>
    <m/>
    <s v="Gráfico de Evolución"/>
    <s v="Región de Coquimbo COVID-19 regional comunal comuna casos activos fallecidos recuperados"/>
    <x v="90"/>
    <s v="100-C-4"/>
    <s v="#1774B9"/>
    <s v="990-0091"/>
    <n v="99200004"/>
    <s v="T-1030"/>
    <s v="C-991"/>
    <s v="FI-991"/>
    <s v="M-997"/>
  </r>
  <r>
    <x v="91"/>
    <n v="990"/>
    <x v="0"/>
    <x v="4"/>
    <n v="5"/>
    <x v="6"/>
    <x v="4"/>
    <x v="1"/>
    <x v="5"/>
    <s v="Comuna"/>
    <s v="Casos Activos por 1 millón de habitantes por comuna"/>
    <s v="Periodo 2020-2021"/>
    <s v="Número de Casos"/>
    <s v="Ministerio de Ciencia, Tecnología, Conocimiento e Innovación"/>
    <x v="91"/>
    <m/>
    <s v="Gráfico de Evolución"/>
    <s v="Región de Valparaíso COVID-19 regional comunal comuna casos activos fallecidos recuperados"/>
    <x v="91"/>
    <s v="100-C-5"/>
    <s v="#1774B9"/>
    <s v="990-0092"/>
    <n v="99200005"/>
    <s v="T-1030"/>
    <s v="C-991"/>
    <s v="FI-991"/>
    <s v="M-997"/>
  </r>
  <r>
    <x v="92"/>
    <n v="990"/>
    <x v="0"/>
    <x v="4"/>
    <n v="6"/>
    <x v="6"/>
    <x v="4"/>
    <x v="1"/>
    <x v="6"/>
    <s v="Comuna"/>
    <s v="Casos Activos por 1 millón de habitantes por comuna"/>
    <s v="Periodo 2020-2021"/>
    <s v="Número de Casos"/>
    <s v="Ministerio de Ciencia, Tecnología, Conocimiento e Innovación"/>
    <x v="92"/>
    <m/>
    <s v="Gráfico de Evolución"/>
    <s v="Región de O'Higgins COVID-19 regional comunal comuna casos activos fallecidos recuperados"/>
    <x v="92"/>
    <s v="100-C-6"/>
    <s v="#1774B9"/>
    <s v="990-0093"/>
    <n v="99200006"/>
    <s v="T-1030"/>
    <s v="C-991"/>
    <s v="FI-991"/>
    <s v="M-997"/>
  </r>
  <r>
    <x v="93"/>
    <n v="990"/>
    <x v="0"/>
    <x v="4"/>
    <n v="7"/>
    <x v="6"/>
    <x v="4"/>
    <x v="1"/>
    <x v="7"/>
    <s v="Comuna"/>
    <s v="Casos Activos por 1 millón de habitantes por comuna"/>
    <s v="Periodo 2020-2021"/>
    <s v="Número de Casos"/>
    <s v="Ministerio de Ciencia, Tecnología, Conocimiento e Innovación"/>
    <x v="93"/>
    <m/>
    <s v="Gráfico de Evolución"/>
    <s v="Región de Maule COVID-19 regional comunal comuna casos activos fallecidos recuperados"/>
    <x v="93"/>
    <s v="100-C-7"/>
    <s v="#1774B9"/>
    <s v="990-0094"/>
    <n v="99200007"/>
    <s v="T-1030"/>
    <s v="C-991"/>
    <s v="FI-991"/>
    <s v="M-997"/>
  </r>
  <r>
    <x v="94"/>
    <n v="990"/>
    <x v="0"/>
    <x v="4"/>
    <n v="8"/>
    <x v="6"/>
    <x v="4"/>
    <x v="1"/>
    <x v="8"/>
    <s v="Comuna"/>
    <s v="Casos Activos por 1 millón de habitantes por comuna"/>
    <s v="Periodo 2020-2021"/>
    <s v="Número de Casos"/>
    <s v="Ministerio de Ciencia, Tecnología, Conocimiento e Innovación"/>
    <x v="94"/>
    <m/>
    <s v="Gráfico de Evolución"/>
    <s v="Región del Biobío COVID-19 regional comunal comuna casos activos fallecidos recuperados"/>
    <x v="94"/>
    <s v="100-C-8"/>
    <s v="#1774B9"/>
    <s v="990-0095"/>
    <n v="99200008"/>
    <s v="T-1030"/>
    <s v="C-991"/>
    <s v="FI-991"/>
    <s v="M-997"/>
  </r>
  <r>
    <x v="95"/>
    <n v="990"/>
    <x v="0"/>
    <x v="4"/>
    <n v="9"/>
    <x v="6"/>
    <x v="4"/>
    <x v="1"/>
    <x v="9"/>
    <s v="Comuna"/>
    <s v="Casos Activos por 1 millón de habitantes por comuna"/>
    <s v="Periodo 2020-2021"/>
    <s v="Número de Casos"/>
    <s v="Ministerio de Ciencia, Tecnología, Conocimiento e Innovación"/>
    <x v="95"/>
    <m/>
    <s v="Gráfico de Evolución"/>
    <s v="Región de La Araucanía COVID-19 regional comunal comuna casos activos fallecidos recuperados"/>
    <x v="95"/>
    <s v="100-C-9"/>
    <s v="#1774B9"/>
    <s v="990-0096"/>
    <n v="99200009"/>
    <s v="T-1030"/>
    <s v="C-991"/>
    <s v="FI-991"/>
    <s v="M-997"/>
  </r>
  <r>
    <x v="96"/>
    <n v="990"/>
    <x v="0"/>
    <x v="4"/>
    <n v="10"/>
    <x v="6"/>
    <x v="4"/>
    <x v="1"/>
    <x v="10"/>
    <s v="Comuna"/>
    <s v="Casos Activos por 1 millón de habitantes por comuna"/>
    <s v="Periodo 2020-2021"/>
    <s v="Número de Casos"/>
    <s v="Ministerio de Ciencia, Tecnología, Conocimiento e Innovación"/>
    <x v="96"/>
    <m/>
    <s v="Gráfico de Evolución"/>
    <s v="Región de Los Lagos COVID-19 regional comunal comuna casos activos fallecidos recuperados"/>
    <x v="96"/>
    <s v="100-C-10"/>
    <s v="#1774B9"/>
    <s v="990-0097"/>
    <n v="99200010"/>
    <s v="T-1030"/>
    <s v="C-991"/>
    <s v="FI-991"/>
    <s v="M-997"/>
  </r>
  <r>
    <x v="97"/>
    <n v="990"/>
    <x v="0"/>
    <x v="4"/>
    <n v="11"/>
    <x v="6"/>
    <x v="4"/>
    <x v="1"/>
    <x v="11"/>
    <s v="Comuna"/>
    <s v="Casos Activos por 1 millón de habitantes por comuna"/>
    <s v="Periodo 2020-2021"/>
    <s v="Número de Casos"/>
    <s v="Ministerio de Ciencia, Tecnología, Conocimiento e Innovación"/>
    <x v="97"/>
    <m/>
    <s v="Gráfico de Evolución"/>
    <s v="Región de Aysén COVID-19 regional comunal comuna casos activos fallecidos recuperados"/>
    <x v="97"/>
    <s v="100-C-11"/>
    <s v="#1774B9"/>
    <s v="990-0098"/>
    <n v="99200011"/>
    <s v="T-1030"/>
    <s v="C-991"/>
    <s v="FI-991"/>
    <s v="M-997"/>
  </r>
  <r>
    <x v="98"/>
    <n v="990"/>
    <x v="0"/>
    <x v="4"/>
    <n v="12"/>
    <x v="6"/>
    <x v="4"/>
    <x v="1"/>
    <x v="12"/>
    <s v="Comuna"/>
    <s v="Casos Activos por 1 millón de habitantes por comuna"/>
    <s v="Periodo 2020-2021"/>
    <s v="Número de Casos"/>
    <s v="Ministerio de Ciencia, Tecnología, Conocimiento e Innovación"/>
    <x v="98"/>
    <m/>
    <s v="Gráfico de Evolución"/>
    <s v="Región de Magallanes COVID-19 regional comunal comuna casos activos fallecidos recuperados"/>
    <x v="98"/>
    <s v="100-C-12"/>
    <s v="#1774B9"/>
    <s v="990-0099"/>
    <n v="99200012"/>
    <s v="T-1030"/>
    <s v="C-991"/>
    <s v="FI-991"/>
    <s v="M-997"/>
  </r>
  <r>
    <x v="99"/>
    <n v="990"/>
    <x v="0"/>
    <x v="4"/>
    <n v="13"/>
    <x v="6"/>
    <x v="4"/>
    <x v="1"/>
    <x v="13"/>
    <s v="Comuna"/>
    <s v="Casos Activos por 1 millón de habitantes por comuna"/>
    <s v="Periodo 2020-2021"/>
    <s v="Número de Casos"/>
    <s v="Ministerio de Ciencia, Tecnología, Conocimiento e Innovación"/>
    <x v="99"/>
    <m/>
    <s v="Gráfico de Evolución"/>
    <s v="Región Metropolitana COVID-19 regional comunal comuna casos activos fallecidos recuperados"/>
    <x v="99"/>
    <s v="200-C-13"/>
    <s v="#1774B9"/>
    <s v="990-0100"/>
    <n v="99200013"/>
    <s v="T-1030"/>
    <s v="C-991"/>
    <s v="FI-991"/>
    <s v="M-997"/>
  </r>
  <r>
    <x v="100"/>
    <n v="990"/>
    <x v="0"/>
    <x v="4"/>
    <n v="14"/>
    <x v="6"/>
    <x v="4"/>
    <x v="1"/>
    <x v="14"/>
    <s v="Comuna"/>
    <s v="Casos Activos por 1 millón de habitantes por comuna"/>
    <s v="Periodo 2020-2021"/>
    <s v="Número de Casos"/>
    <s v="Ministerio de Ciencia, Tecnología, Conocimiento e Innovación"/>
    <x v="100"/>
    <m/>
    <s v="Gráfico de Evolución"/>
    <s v="Región de Los Ríos COVID-19 regional comunal comuna casos activos fallecidos recuperados"/>
    <x v="100"/>
    <s v="100-C-14"/>
    <s v="#1774B9"/>
    <s v="990-0101"/>
    <n v="99200014"/>
    <s v="T-1030"/>
    <s v="C-991"/>
    <s v="FI-991"/>
    <s v="M-997"/>
  </r>
  <r>
    <x v="101"/>
    <n v="990"/>
    <x v="0"/>
    <x v="4"/>
    <n v="15"/>
    <x v="6"/>
    <x v="4"/>
    <x v="1"/>
    <x v="15"/>
    <s v="Comuna"/>
    <s v="Casos Activos por 1 millón de habitantes por comuna"/>
    <s v="Periodo 2020-2021"/>
    <s v="Número de Casos"/>
    <s v="Ministerio de Ciencia, Tecnología, Conocimiento e Innovación"/>
    <x v="101"/>
    <m/>
    <s v="Gráfico de Evolución"/>
    <s v="Región de Arica y Parinacota COVID-19 regional comunal comuna casos activos fallecidos recuperados"/>
    <x v="101"/>
    <s v="100-C-15"/>
    <s v="#1774B9"/>
    <s v="990-0102"/>
    <n v="99200015"/>
    <s v="T-1030"/>
    <s v="C-991"/>
    <s v="FI-991"/>
    <s v="M-997"/>
  </r>
  <r>
    <x v="102"/>
    <n v="990"/>
    <x v="0"/>
    <x v="4"/>
    <n v="16"/>
    <x v="6"/>
    <x v="4"/>
    <x v="1"/>
    <x v="16"/>
    <s v="Comuna"/>
    <s v="Casos Activos por 1 millón de habitantes por comuna"/>
    <s v="Periodo 2020-2021"/>
    <s v="Número de Casos"/>
    <s v="Ministerio de Ciencia, Tecnología, Conocimiento e Innovación"/>
    <x v="102"/>
    <m/>
    <s v="Gráfico de Evolución"/>
    <s v="Región de Ñuble COVID-19 regional comunal comuna casos activos fallecidos recuperados"/>
    <x v="102"/>
    <s v="100-C-16"/>
    <s v="#1774B9"/>
    <s v="990-0103"/>
    <n v="99200016"/>
    <s v="T-1030"/>
    <s v="C-991"/>
    <s v="FI-991"/>
    <s v="M-997"/>
  </r>
  <r>
    <x v="103"/>
    <n v="990"/>
    <x v="0"/>
    <x v="5"/>
    <n v="0"/>
    <x v="7"/>
    <x v="5"/>
    <x v="0"/>
    <x v="0"/>
    <s v="Región"/>
    <s v="Volumen fruta exportada por región"/>
    <s v="Periodo 2012-2020"/>
    <s v="Toneladas"/>
    <s v="Servicio Nacional de Aduanas"/>
    <x v="103"/>
    <s v="La manzana es la fruta que más exporta Chile, con un volumen de 7.943.153 ton durante el periodo 2012 – 2020. En segundo lugar está la uva con un volumen de 7.410.265 ton."/>
    <s v="Nube de palabras"/>
    <s v="Chile fruta toneladas volumen exportaciones"/>
    <x v="103"/>
    <n v="0"/>
    <s v="#1774B9"/>
    <s v="990-0104"/>
    <n v="99100000"/>
    <s v="T-1031"/>
    <s v="C-997"/>
    <s v="FI-992"/>
    <s v="M-998"/>
  </r>
  <r>
    <x v="104"/>
    <n v="990"/>
    <x v="0"/>
    <x v="5"/>
    <n v="0"/>
    <x v="7"/>
    <x v="5"/>
    <x v="0"/>
    <x v="0"/>
    <s v="Ninguno"/>
    <s v="Volumen fruta exportada en Chile"/>
    <s v="Periodo 2012-2020"/>
    <s v="Toneladas"/>
    <s v="Servicio Nacional de Aduanas"/>
    <x v="104"/>
    <s v="Chile exporta fruta a más de 80 países de todo el mundo. EEUU es el país que recibe más toneladas de fruta desde Chile, en segundo lugar está China. De Sudamérica Colombia es el país que más toneladas de fruta recibe."/>
    <s v="Mapa de calor"/>
    <s v="Chile fruta toneladas volumen acumulado exportaciones país destino"/>
    <x v="104"/>
    <n v="0"/>
    <s v="#1774B9"/>
    <s v="990-0105"/>
    <n v="99100000"/>
    <s v="T-1031"/>
    <s v="C-997"/>
    <s v="FI-993"/>
    <s v="M-999"/>
  </r>
  <r>
    <x v="105"/>
    <n v="990"/>
    <x v="0"/>
    <x v="2"/>
    <n v="0"/>
    <x v="8"/>
    <x v="2"/>
    <x v="0"/>
    <x v="0"/>
    <s v="Región"/>
    <s v="Sentencias dictadas por delito por región"/>
    <s v="Periodo 2013-2019"/>
    <s v="Número de Sentencias"/>
    <s v="Poder Judicial"/>
    <x v="105"/>
    <m/>
    <s v="Gráfico"/>
    <s v="Chile violencia mujer abuso sexual sentencia menor juzgado"/>
    <x v="105"/>
    <s v="300-R"/>
    <s v="#1774B9"/>
    <s v="990-0106"/>
    <n v="99100000"/>
    <s v="T-1032"/>
    <s v="C-996"/>
    <s v="FI-992"/>
    <s v="M-1000"/>
  </r>
  <r>
    <x v="106"/>
    <n v="990"/>
    <x v="0"/>
    <x v="2"/>
    <n v="1"/>
    <x v="8"/>
    <x v="2"/>
    <x v="1"/>
    <x v="1"/>
    <s v="Ninguno"/>
    <s v="Sentencias dictadas por delito por región"/>
    <s v="Periodo 2013-2019"/>
    <s v="Número de Sentencias"/>
    <s v="Poder Judicial"/>
    <x v="106"/>
    <m/>
    <s v="Gráfico"/>
    <s v="Región de Tarapacá violencia mujer abuso sexual sentencia menor juzgado"/>
    <x v="106"/>
    <s v="100-R-1"/>
    <s v="#1774B9"/>
    <s v="990-0107"/>
    <n v="99200001"/>
    <s v="T-1032"/>
    <s v="C-996"/>
    <s v="FI-993"/>
    <s v="M-1000"/>
  </r>
  <r>
    <x v="107"/>
    <n v="990"/>
    <x v="0"/>
    <x v="2"/>
    <n v="2"/>
    <x v="8"/>
    <x v="2"/>
    <x v="1"/>
    <x v="2"/>
    <s v="Ninguno"/>
    <s v="Sentencias dictadas por delito por región"/>
    <s v="Periodo 2013-2019"/>
    <s v="Número de Sentencias"/>
    <s v="Poder Judicial"/>
    <x v="107"/>
    <m/>
    <s v="Gráfico"/>
    <s v="Región de Antofagasta violencia mujer abuso sexual sentencia menor juzgado"/>
    <x v="107"/>
    <s v="100-R-2"/>
    <s v="#1774B9"/>
    <s v="990-0108"/>
    <n v="99200002"/>
    <s v="T-1032"/>
    <s v="C-996"/>
    <s v="FI-993"/>
    <s v="M-1000"/>
  </r>
  <r>
    <x v="108"/>
    <n v="990"/>
    <x v="0"/>
    <x v="2"/>
    <n v="3"/>
    <x v="8"/>
    <x v="2"/>
    <x v="1"/>
    <x v="3"/>
    <s v="Ninguno"/>
    <s v="Sentencias dictadas por delito por región"/>
    <s v="Periodo 2013-2019"/>
    <s v="Número de Sentencias"/>
    <s v="Poder Judicial"/>
    <x v="108"/>
    <m/>
    <s v="Gráfico"/>
    <s v="Región de Atacama violencia mujer abuso sexual sentencia menor juzgado"/>
    <x v="108"/>
    <s v="100-R-3"/>
    <s v="#1774B9"/>
    <s v="990-0109"/>
    <n v="99200003"/>
    <s v="T-1032"/>
    <s v="C-996"/>
    <s v="FI-993"/>
    <s v="M-1000"/>
  </r>
  <r>
    <x v="109"/>
    <n v="990"/>
    <x v="0"/>
    <x v="2"/>
    <n v="4"/>
    <x v="8"/>
    <x v="2"/>
    <x v="1"/>
    <x v="4"/>
    <s v="Ninguno"/>
    <s v="Sentencias dictadas por delito por región"/>
    <s v="Periodo 2013-2019"/>
    <s v="Número de Sentencias"/>
    <s v="Poder Judicial"/>
    <x v="109"/>
    <m/>
    <s v="Gráfico"/>
    <s v="Región de Coquimbo violencia mujer abuso sexual sentencia menor juzgado"/>
    <x v="109"/>
    <s v="100-R-4"/>
    <s v="#1774B9"/>
    <s v="990-0110"/>
    <n v="99200004"/>
    <s v="T-1032"/>
    <s v="C-996"/>
    <s v="FI-993"/>
    <s v="M-1000"/>
  </r>
  <r>
    <x v="110"/>
    <n v="990"/>
    <x v="0"/>
    <x v="2"/>
    <n v="5"/>
    <x v="8"/>
    <x v="2"/>
    <x v="1"/>
    <x v="5"/>
    <s v="Ninguno"/>
    <s v="Sentencias dictadas por delito por región"/>
    <s v="Periodo 2013-2019"/>
    <s v="Número de Sentencias"/>
    <s v="Poder Judicial"/>
    <x v="110"/>
    <m/>
    <s v="Gráfico"/>
    <s v="Región de Valparaíso violencia mujer abuso sexual sentencia menor juzgado"/>
    <x v="110"/>
    <s v="100-R-5"/>
    <s v="#1774B9"/>
    <s v="990-0111"/>
    <n v="99200005"/>
    <s v="T-1032"/>
    <s v="C-996"/>
    <s v="FI-993"/>
    <s v="M-1000"/>
  </r>
  <r>
    <x v="111"/>
    <n v="990"/>
    <x v="0"/>
    <x v="2"/>
    <n v="6"/>
    <x v="8"/>
    <x v="2"/>
    <x v="1"/>
    <x v="6"/>
    <s v="Ninguno"/>
    <s v="Sentencias dictadas por delito por región"/>
    <s v="Periodo 2013-2019"/>
    <s v="Número de Sentencias"/>
    <s v="Poder Judicial"/>
    <x v="111"/>
    <m/>
    <s v="Gráfico"/>
    <s v="Región de O'Higgins violencia mujer abuso sexual sentencia menor juzgado"/>
    <x v="111"/>
    <s v="100-R-6"/>
    <s v="#1774B9"/>
    <s v="990-0112"/>
    <n v="99200006"/>
    <s v="T-1032"/>
    <s v="C-996"/>
    <s v="FI-993"/>
    <s v="M-1000"/>
  </r>
  <r>
    <x v="112"/>
    <n v="990"/>
    <x v="0"/>
    <x v="2"/>
    <n v="7"/>
    <x v="8"/>
    <x v="2"/>
    <x v="1"/>
    <x v="7"/>
    <s v="Ninguno"/>
    <s v="Sentencias dictadas por delito por región"/>
    <s v="Periodo 2013-2019"/>
    <s v="Número de Sentencias"/>
    <s v="Poder Judicial"/>
    <x v="112"/>
    <m/>
    <s v="Gráfico"/>
    <s v="Región de Maule violencia mujer abuso sexual sentencia menor juzgado"/>
    <x v="112"/>
    <s v="100-R-7"/>
    <s v="#1774B9"/>
    <s v="990-0113"/>
    <n v="99200007"/>
    <s v="T-1032"/>
    <s v="C-996"/>
    <s v="FI-993"/>
    <s v="M-1000"/>
  </r>
  <r>
    <x v="113"/>
    <n v="990"/>
    <x v="0"/>
    <x v="2"/>
    <n v="8"/>
    <x v="8"/>
    <x v="2"/>
    <x v="1"/>
    <x v="8"/>
    <s v="Ninguno"/>
    <s v="Sentencias dictadas por delito por región"/>
    <s v="Periodo 2013-2019"/>
    <s v="Número de Sentencias"/>
    <s v="Poder Judicial"/>
    <x v="113"/>
    <m/>
    <s v="Gráfico"/>
    <s v="Región del Biobío violencia mujer abuso sexual sentencia menor juzgado"/>
    <x v="113"/>
    <s v="100-R-8"/>
    <s v="#1774B9"/>
    <s v="990-0114"/>
    <n v="99200008"/>
    <s v="T-1032"/>
    <s v="C-996"/>
    <s v="FI-993"/>
    <s v="M-1000"/>
  </r>
  <r>
    <x v="114"/>
    <n v="990"/>
    <x v="0"/>
    <x v="2"/>
    <n v="9"/>
    <x v="8"/>
    <x v="2"/>
    <x v="1"/>
    <x v="9"/>
    <s v="Ninguno"/>
    <s v="Sentencias dictadas por delito por región"/>
    <s v="Periodo 2013-2019"/>
    <s v="Número de Sentencias"/>
    <s v="Poder Judicial"/>
    <x v="114"/>
    <m/>
    <s v="Gráfico"/>
    <s v="Región de La Araucanía violencia mujer abuso sexual sentencia menor juzgado"/>
    <x v="114"/>
    <s v="100-R-9"/>
    <s v="#1774B9"/>
    <s v="990-0115"/>
    <n v="99200009"/>
    <s v="T-1032"/>
    <s v="C-996"/>
    <s v="FI-993"/>
    <s v="M-1000"/>
  </r>
  <r>
    <x v="115"/>
    <n v="990"/>
    <x v="0"/>
    <x v="2"/>
    <n v="10"/>
    <x v="8"/>
    <x v="2"/>
    <x v="1"/>
    <x v="10"/>
    <s v="Ninguno"/>
    <s v="Sentencias dictadas por delito por región"/>
    <s v="Periodo 2013-2019"/>
    <s v="Número de Sentencias"/>
    <s v="Poder Judicial"/>
    <x v="115"/>
    <m/>
    <s v="Gráfico"/>
    <s v="Región de Los Lagos violencia mujer abuso sexual sentencia menor juzgado"/>
    <x v="115"/>
    <s v="100-R-10"/>
    <s v="#1774B9"/>
    <s v="990-0116"/>
    <n v="99200010"/>
    <s v="T-1032"/>
    <s v="C-996"/>
    <s v="FI-993"/>
    <s v="M-1000"/>
  </r>
  <r>
    <x v="116"/>
    <n v="990"/>
    <x v="0"/>
    <x v="2"/>
    <n v="11"/>
    <x v="8"/>
    <x v="2"/>
    <x v="1"/>
    <x v="11"/>
    <s v="Ninguno"/>
    <s v="Sentencias dictadas por delito por región"/>
    <s v="Periodo 2013-2019"/>
    <s v="Número de Sentencias"/>
    <s v="Poder Judicial"/>
    <x v="116"/>
    <m/>
    <s v="Gráfico"/>
    <s v="Región de Aysén violencia mujer abuso sexual sentencia menor juzgado"/>
    <x v="116"/>
    <s v="100-R-11"/>
    <s v="#1774B9"/>
    <s v="990-0117"/>
    <n v="99200011"/>
    <s v="T-1032"/>
    <s v="C-996"/>
    <s v="FI-993"/>
    <s v="M-1000"/>
  </r>
  <r>
    <x v="117"/>
    <n v="990"/>
    <x v="0"/>
    <x v="2"/>
    <n v="12"/>
    <x v="8"/>
    <x v="2"/>
    <x v="1"/>
    <x v="12"/>
    <s v="Ninguno"/>
    <s v="Sentencias dictadas por delito por región"/>
    <s v="Periodo 2013-2019"/>
    <s v="Número de Sentencias"/>
    <s v="Poder Judicial"/>
    <x v="117"/>
    <m/>
    <s v="Gráfico"/>
    <s v="Región de Magallanes violencia mujer abuso sexual sentencia menor juzgado"/>
    <x v="117"/>
    <s v="100-R-12"/>
    <s v="#1774B9"/>
    <s v="990-0118"/>
    <n v="99200012"/>
    <s v="T-1032"/>
    <s v="C-996"/>
    <s v="FI-993"/>
    <s v="M-1000"/>
  </r>
  <r>
    <x v="118"/>
    <n v="990"/>
    <x v="0"/>
    <x v="2"/>
    <n v="13"/>
    <x v="8"/>
    <x v="2"/>
    <x v="1"/>
    <x v="13"/>
    <s v="Ninguno"/>
    <s v="Sentencias dictadas por delito por región"/>
    <s v="Periodo 2013-2019"/>
    <s v="Número de Sentencias"/>
    <s v="Poder Judicial"/>
    <x v="118"/>
    <s v="El delito de Abuso Sexual que más sentencias acumula para el periodo comprendido entre los años 2013 – 2019, en la región Metropolitana, es el calificado como Abuso sexual con contacto de menor de 14 de años, el que supera las 34.000 sentencia cada año."/>
    <s v="Gráfico"/>
    <s v="Región Metropolitana violencia mujer abuso sexual sentencia menor juzgado"/>
    <x v="118"/>
    <s v="200-R-13"/>
    <s v="#1774B9"/>
    <s v="990-0119"/>
    <n v="99200013"/>
    <s v="T-1032"/>
    <s v="C-996"/>
    <s v="FI-993"/>
    <s v="M-1000"/>
  </r>
  <r>
    <x v="119"/>
    <n v="990"/>
    <x v="0"/>
    <x v="2"/>
    <n v="14"/>
    <x v="8"/>
    <x v="2"/>
    <x v="1"/>
    <x v="14"/>
    <s v="Ninguno"/>
    <s v="Sentencias dictadas por delito por región"/>
    <s v="Periodo 2013-2019"/>
    <s v="Número de Sentencias"/>
    <s v="Poder Judicial"/>
    <x v="119"/>
    <m/>
    <s v="Gráfico"/>
    <s v="Región de Los Ríos violencia mujer abuso sexual sentencia menor juzgado"/>
    <x v="119"/>
    <s v="100-R-14"/>
    <s v="#1774B9"/>
    <s v="990-0120"/>
    <n v="99200014"/>
    <s v="T-1032"/>
    <s v="C-996"/>
    <s v="FI-993"/>
    <s v="M-1000"/>
  </r>
  <r>
    <x v="120"/>
    <n v="990"/>
    <x v="0"/>
    <x v="2"/>
    <n v="15"/>
    <x v="8"/>
    <x v="2"/>
    <x v="1"/>
    <x v="15"/>
    <s v="Ninguno"/>
    <s v="Sentencias dictadas por delito por región"/>
    <s v="Periodo 2013-2019"/>
    <s v="Número de Sentencias"/>
    <s v="Poder Judicial"/>
    <x v="120"/>
    <m/>
    <s v="Gráfico"/>
    <s v="Región de Arica y Parinacota violencia mujer abuso sexual sentencia menor juzgado"/>
    <x v="120"/>
    <s v="100-R-15"/>
    <s v="#1774B9"/>
    <s v="990-0121"/>
    <n v="99200015"/>
    <s v="T-1032"/>
    <s v="C-996"/>
    <s v="FI-993"/>
    <s v="M-1000"/>
  </r>
  <r>
    <x v="121"/>
    <n v="990"/>
    <x v="0"/>
    <x v="2"/>
    <n v="16"/>
    <x v="8"/>
    <x v="2"/>
    <x v="1"/>
    <x v="16"/>
    <s v="Ninguno"/>
    <s v="Sentencias dictadas por delito por región"/>
    <s v="Periodo 2013-2019"/>
    <s v="Número de Sentencias"/>
    <s v="Poder Judicial"/>
    <x v="121"/>
    <m/>
    <s v="Gráfico"/>
    <s v="Región de Ñuble violencia mujer abuso sexual sentencia menor juzgado"/>
    <x v="121"/>
    <s v="100-R-16"/>
    <s v="#1774B9"/>
    <s v="990-0122"/>
    <n v="99200016"/>
    <s v="T-1032"/>
    <s v="C-996"/>
    <s v="FI-993"/>
    <s v="M-1000"/>
  </r>
  <r>
    <x v="122"/>
    <n v="990"/>
    <x v="0"/>
    <x v="6"/>
    <n v="0"/>
    <x v="9"/>
    <x v="6"/>
    <x v="0"/>
    <x v="0"/>
    <s v="Ninguno"/>
    <s v="Programas/Instituciones evaluadas en Chile"/>
    <s v="Periodo 1997-2019"/>
    <s v="Número de Programas/Instituciones "/>
    <s v="Dirección de Presupuestos (DIPRES)"/>
    <x v="122"/>
    <s v="Dentro de la evaluación de programas/instituciones que realiza DIPRES, la evaluación de Programas realizada al Ministerio de Educación, arroja un desempeño Insuficiente para los programas de Hogares de JUNAEB, para el año 2014, declarando que no hay información sobre la vigencia de éste."/>
    <s v="Dashboard"/>
    <s v="Chile programas desempeño gobierno servicio evaluación instituciones público ministerio"/>
    <x v="122"/>
    <n v="0"/>
    <s v="#1774B9"/>
    <s v="990-0123"/>
    <n v="99100000"/>
    <s v="T-995"/>
    <s v="C-1006"/>
    <s v="FI-993"/>
    <s v="M-1001"/>
  </r>
  <r>
    <x v="123"/>
    <n v="990"/>
    <x v="0"/>
    <x v="6"/>
    <n v="0"/>
    <x v="9"/>
    <x v="6"/>
    <x v="0"/>
    <x v="0"/>
    <s v="Ministerio"/>
    <s v="Programas/Instituciones evaluadas en Chile"/>
    <s v="Periodo 1997-2019"/>
    <s v="Número de Programas/Instituciones "/>
    <s v="Dirección de Presupuestos (DIPRES)"/>
    <x v="123"/>
    <s v="Durante los años 1997 y 2020 se evaluaron 621 programas/instituciones del Servicio Público, bajo diferentes modalidades. De esta cifra, 101 programas fueron evaluados con Desempeño Insuficiente, 16 con Mal Desempeño, 17 con Reemplazo Integro o Finalización y 11 fueron evaluados con Buen Desempeño."/>
    <s v="Dashboard"/>
    <s v="Chile programas desempeño gobierno servicio evaluación instituciones público ministerio"/>
    <x v="123"/>
    <n v="0"/>
    <s v="#1774B9"/>
    <s v="990-0124"/>
    <n v="99100000"/>
    <s v="T-995"/>
    <s v="C-1006"/>
    <s v="FI-996"/>
    <s v="M-1001"/>
  </r>
  <r>
    <x v="124"/>
    <n v="990"/>
    <x v="0"/>
    <x v="5"/>
    <n v="0"/>
    <x v="10"/>
    <x v="7"/>
    <x v="0"/>
    <x v="0"/>
    <s v="Ninguno"/>
    <s v="Superficie afectada por incendios en Chile"/>
    <s v="Periodo 2010-2020"/>
    <s v="Hectáreas"/>
    <s v="Corporación Nacional Forestal (CONAF)"/>
    <x v="124"/>
    <s v="En la estación de verano del año 2017 la superficie de plantaciones afectadas por incendios aumentó considerablemente, superando las 100.000 ha, en la comuna de Cauquenes . A fines de junio del año 2020, las superficie de plantaciones afectadas por incendios supera las 466.655 ha, a lo largo de todo Chile."/>
    <s v="Gráfico animado"/>
    <s v="Chileincendios plantaciones forestales superficie hectáreas comuna"/>
    <x v="124"/>
    <n v="0"/>
    <s v="#1774B9"/>
    <s v="990-0125"/>
    <n v="99100000"/>
    <s v="T-1046"/>
    <s v="C-1007"/>
    <s v="FI-993"/>
    <s v="M-1002"/>
  </r>
  <r>
    <x v="125"/>
    <n v="990"/>
    <x v="0"/>
    <x v="5"/>
    <n v="0"/>
    <x v="11"/>
    <x v="5"/>
    <x v="0"/>
    <x v="0"/>
    <s v="Hortaliza"/>
    <s v="Precios diarios de hortalizas en Chile"/>
    <s v="Año 2021"/>
    <s v="CLP/Kg"/>
    <s v="Oficina de Estudios y Políticas Agrarias (ODEPA)"/>
    <x v="125"/>
    <s v="El precio de las papas tuvo una fuerte baja a finales del verano y se ha mantenido relativamente estable desde esa fecha. En general, los precios más altos se encuentran en el mercado Agrícola del Norte de Arica, mientras que los más bajos en la Macroferia Regional de Talca."/>
    <s v="Gráfico"/>
    <s v="Chile hortaliza precio diario pesos kilo mercado mayorista terminal"/>
    <x v="125"/>
    <s v="300-R"/>
    <s v="#1774B9"/>
    <s v="990-0126"/>
    <n v="99100000"/>
    <s v="T-1033"/>
    <s v="C-997"/>
    <s v="FI-997"/>
    <s v="M-1003"/>
  </r>
  <r>
    <x v="126"/>
    <n v="990"/>
    <x v="0"/>
    <x v="5"/>
    <n v="4"/>
    <x v="11"/>
    <x v="5"/>
    <x v="1"/>
    <x v="4"/>
    <s v="Hortaliza"/>
    <s v="Precios diarios de hortalizas por región"/>
    <s v="Año 2021"/>
    <s v="CLP/Kg"/>
    <s v="Oficina de Estudios y Políticas Agrarias (ODEPA)"/>
    <x v="126"/>
    <m/>
    <s v="Gráfico"/>
    <s v="Región de Coquimbo hortaliza precio diario pesos kilo mercado mayorista terminal"/>
    <x v="126"/>
    <s v="100-R-4"/>
    <s v="#1774B9"/>
    <s v="990-0127"/>
    <n v="99200004"/>
    <s v="T-1033"/>
    <s v="C-997"/>
    <s v="FI-997"/>
    <s v="M-1004"/>
  </r>
  <r>
    <x v="127"/>
    <n v="990"/>
    <x v="0"/>
    <x v="5"/>
    <n v="5"/>
    <x v="11"/>
    <x v="5"/>
    <x v="1"/>
    <x v="5"/>
    <s v="Hortaliza"/>
    <s v="Precios diarios de hortalizas por región"/>
    <s v="Año 2021"/>
    <s v="CLP/Kg"/>
    <s v="Oficina de Estudios y Políticas Agrarias (ODEPA)"/>
    <x v="127"/>
    <m/>
    <s v="Gráfico"/>
    <s v="Región de Valparaíso hortaliza precio diario pesos kilo mercado mayorista terminal"/>
    <x v="127"/>
    <s v="100-R-5"/>
    <s v="#1774B9"/>
    <s v="990-0128"/>
    <n v="99200005"/>
    <s v="T-1033"/>
    <s v="C-997"/>
    <s v="FI-997"/>
    <s v="M-1004"/>
  </r>
  <r>
    <x v="128"/>
    <n v="990"/>
    <x v="0"/>
    <x v="5"/>
    <n v="7"/>
    <x v="11"/>
    <x v="5"/>
    <x v="1"/>
    <x v="7"/>
    <s v="Hortaliza"/>
    <s v="Precios diarios de hortalizas por región"/>
    <s v="Año 2021"/>
    <s v="CLP/Kg"/>
    <s v="Oficina de Estudios y Políticas Agrarias (ODEPA)"/>
    <x v="128"/>
    <m/>
    <s v="Gráfico"/>
    <s v="Región de Maule hortaliza precio diario pesos kilo mercado mayorista terminal"/>
    <x v="128"/>
    <s v="100-R-7"/>
    <s v="#1774B9"/>
    <s v="990-0129"/>
    <n v="99200007"/>
    <s v="T-1033"/>
    <s v="C-997"/>
    <s v="FI-997"/>
    <s v="M-1004"/>
  </r>
  <r>
    <x v="129"/>
    <n v="990"/>
    <x v="0"/>
    <x v="5"/>
    <n v="8"/>
    <x v="11"/>
    <x v="5"/>
    <x v="1"/>
    <x v="8"/>
    <s v="Hortaliza"/>
    <s v="Precios diarios de hortalizas por región"/>
    <s v="Año 2021"/>
    <s v="CLP/Kg"/>
    <s v="Oficina de Estudios y Políticas Agrarias (ODEPA)"/>
    <x v="129"/>
    <m/>
    <s v="Gráfico"/>
    <s v="Región del Biobío hortaliza precio diario pesos kilo mercado mayorista terminal"/>
    <x v="129"/>
    <s v="100-R-8"/>
    <s v="#1774B9"/>
    <s v="990-0130"/>
    <n v="99200008"/>
    <s v="T-1033"/>
    <s v="C-997"/>
    <s v="FI-997"/>
    <s v="M-1004"/>
  </r>
  <r>
    <x v="130"/>
    <n v="990"/>
    <x v="0"/>
    <x v="5"/>
    <n v="9"/>
    <x v="11"/>
    <x v="5"/>
    <x v="1"/>
    <x v="9"/>
    <s v="Hortaliza"/>
    <s v="Precios diarios de hortalizas por región"/>
    <s v="Año 2021"/>
    <s v="CLP/Kg"/>
    <s v="Oficina de Estudios y Políticas Agrarias (ODEPA)"/>
    <x v="130"/>
    <m/>
    <s v="Gráfico"/>
    <s v="Región de La Araucanía hortaliza precio diario pesos kilo mercado mayorista terminal"/>
    <x v="130"/>
    <s v="100-R-9"/>
    <s v="#1774B9"/>
    <s v="990-0131"/>
    <n v="99200009"/>
    <s v="T-1033"/>
    <s v="C-997"/>
    <s v="FI-997"/>
    <s v="M-1004"/>
  </r>
  <r>
    <x v="131"/>
    <n v="990"/>
    <x v="0"/>
    <x v="5"/>
    <n v="10"/>
    <x v="11"/>
    <x v="5"/>
    <x v="1"/>
    <x v="10"/>
    <s v="Hortaliza"/>
    <s v="Precios diarios de hortalizas por región"/>
    <s v="Año 2021"/>
    <s v="CLP/Kg"/>
    <s v="Oficina de Estudios y Políticas Agrarias (ODEPA)"/>
    <x v="131"/>
    <m/>
    <s v="Gráfico"/>
    <s v="Región de Los Lagos hortaliza precio diario pesos kilo mercado mayorista terminal"/>
    <x v="131"/>
    <s v="100-R-10"/>
    <s v="#1774B9"/>
    <s v="990-0132"/>
    <n v="99200010"/>
    <s v="T-1033"/>
    <s v="C-997"/>
    <s v="FI-997"/>
    <s v="M-1004"/>
  </r>
  <r>
    <x v="132"/>
    <n v="990"/>
    <x v="0"/>
    <x v="5"/>
    <n v="13"/>
    <x v="11"/>
    <x v="5"/>
    <x v="1"/>
    <x v="13"/>
    <s v="Hortaliza"/>
    <s v="Precios diarios de hortalizas por región"/>
    <s v="Año 2021"/>
    <s v="CLP/Kg"/>
    <s v="Oficina de Estudios y Políticas Agrarias (ODEPA)"/>
    <x v="132"/>
    <m/>
    <s v="Gráfico"/>
    <s v="Región Metropolitana hortaliza precio diario pesos kilo mercado mayorista terminal"/>
    <x v="132"/>
    <s v="200-R-13"/>
    <s v="#1774B9"/>
    <s v="990-0133"/>
    <n v="99200013"/>
    <s v="T-1033"/>
    <s v="C-997"/>
    <s v="FI-997"/>
    <s v="M-1004"/>
  </r>
  <r>
    <x v="133"/>
    <n v="990"/>
    <x v="0"/>
    <x v="5"/>
    <n v="15"/>
    <x v="11"/>
    <x v="5"/>
    <x v="1"/>
    <x v="15"/>
    <s v="Hortaliza"/>
    <s v="Precios diarios de hortalizas por región"/>
    <s v="Año 2021"/>
    <s v="CLP/Kg"/>
    <s v="Oficina de Estudios y Políticas Agrarias (ODEPA)"/>
    <x v="133"/>
    <m/>
    <s v="Gráfico"/>
    <s v="Región de Arica y Parinacota hortaliza precio diario pesos kilo mercado mayorista terminal"/>
    <x v="133"/>
    <s v="100-R-15"/>
    <s v="#1774B9"/>
    <s v="990-0134"/>
    <n v="99200015"/>
    <s v="T-1033"/>
    <s v="C-997"/>
    <s v="FI-997"/>
    <s v="M-1004"/>
  </r>
  <r>
    <x v="134"/>
    <n v="990"/>
    <x v="0"/>
    <x v="5"/>
    <n v="16"/>
    <x v="11"/>
    <x v="5"/>
    <x v="1"/>
    <x v="16"/>
    <s v="Hortaliza"/>
    <s v="Precios diarios de hortalizas por región"/>
    <s v="Año 2021"/>
    <s v="CLP/Kg"/>
    <s v="Oficina de Estudios y Políticas Agrarias (ODEPA)"/>
    <x v="134"/>
    <m/>
    <s v="Gráfico"/>
    <s v="Región de Ñuble hortaliza precio diario pesos kilo mercado mayorista terminal"/>
    <x v="134"/>
    <s v="100-R-16"/>
    <s v="#1774B9"/>
    <s v="990-0135"/>
    <n v="99200016"/>
    <s v="T-1033"/>
    <s v="C-997"/>
    <s v="FI-997"/>
    <s v="M-1004"/>
  </r>
  <r>
    <x v="135"/>
    <n v="990"/>
    <x v="0"/>
    <x v="5"/>
    <n v="0"/>
    <x v="11"/>
    <x v="5"/>
    <x v="0"/>
    <x v="0"/>
    <s v="Fruta"/>
    <s v="Precios diarios de frutas en Chile"/>
    <s v="Año 2021"/>
    <s v="CLP/Kg"/>
    <s v="Oficina de Estudios y Políticas Agrarias (ODEPA)"/>
    <x v="135"/>
    <s v="Los precios de las frutillas en general se duplican en los meses de invierno con respecto a los meses de verano. Se observa que los mercados Terminal La Palmera de La Serena y Comercializadora del Agro de Limarí tienen los precios más altos, mientras los mercados Macroferia Regional de Talca, Lo Valledor de Santiago y Vega Central Mapocho de Santiago poseen los más bajos."/>
    <s v="Gráfico"/>
    <s v="Chile fruta precio diario pesos kilo mercado mayorista terminal"/>
    <x v="135"/>
    <s v="300-R"/>
    <s v="#1774B9"/>
    <s v="990-0136"/>
    <n v="99100000"/>
    <s v="T-1033"/>
    <s v="C-997"/>
    <s v="FI-998"/>
    <s v="M-1005"/>
  </r>
  <r>
    <x v="136"/>
    <n v="990"/>
    <x v="0"/>
    <x v="5"/>
    <n v="4"/>
    <x v="11"/>
    <x v="5"/>
    <x v="1"/>
    <x v="4"/>
    <s v="Fruta"/>
    <s v="Precios diarios de frutas en Chile"/>
    <s v="Año 2021"/>
    <s v="CLP/Kg"/>
    <s v="Oficina de Estudios y Políticas Agrarias (ODEPA)"/>
    <x v="136"/>
    <m/>
    <s v="Gráfico"/>
    <s v="Región de Coquimbo fruta precio diario pesos kilo mercado mayorista terminal"/>
    <x v="136"/>
    <s v="100-R-4"/>
    <s v="#1774B9"/>
    <s v="990-0137"/>
    <n v="99200004"/>
    <s v="T-1033"/>
    <s v="C-997"/>
    <s v="FI-998"/>
    <s v="M-1005"/>
  </r>
  <r>
    <x v="137"/>
    <n v="990"/>
    <x v="0"/>
    <x v="5"/>
    <n v="5"/>
    <x v="11"/>
    <x v="5"/>
    <x v="1"/>
    <x v="5"/>
    <s v="Fruta"/>
    <s v="Precios diarios de frutas en Chile"/>
    <s v="Año 2021"/>
    <s v="CLP/Kg"/>
    <s v="Oficina de Estudios y Políticas Agrarias (ODEPA)"/>
    <x v="137"/>
    <m/>
    <s v="Gráfico"/>
    <s v="Región de Valparaíso fruta precio diario pesos kilo mercado mayorista terminal"/>
    <x v="137"/>
    <s v="100-R-5"/>
    <s v="#1774B9"/>
    <s v="990-0138"/>
    <n v="99200005"/>
    <s v="T-1033"/>
    <s v="C-997"/>
    <s v="FI-998"/>
    <s v="M-1005"/>
  </r>
  <r>
    <x v="138"/>
    <n v="990"/>
    <x v="0"/>
    <x v="5"/>
    <n v="7"/>
    <x v="11"/>
    <x v="5"/>
    <x v="1"/>
    <x v="7"/>
    <s v="Fruta"/>
    <s v="Precios diarios de frutas en Chile"/>
    <s v="Año 2021"/>
    <s v="CLP/Kg"/>
    <s v="Oficina de Estudios y Políticas Agrarias (ODEPA)"/>
    <x v="138"/>
    <m/>
    <s v="Gráfico"/>
    <s v="Región de Maule fruta precio diario pesos kilo mercado mayorista terminal"/>
    <x v="138"/>
    <s v="100-R-7"/>
    <s v="#1774B9"/>
    <s v="990-0139"/>
    <n v="99200007"/>
    <s v="T-1033"/>
    <s v="C-997"/>
    <s v="FI-998"/>
    <s v="M-1005"/>
  </r>
  <r>
    <x v="139"/>
    <n v="990"/>
    <x v="0"/>
    <x v="5"/>
    <n v="8"/>
    <x v="11"/>
    <x v="5"/>
    <x v="1"/>
    <x v="8"/>
    <s v="Fruta"/>
    <s v="Precios diarios de frutas en Chile"/>
    <s v="Año 2021"/>
    <s v="CLP/Kg"/>
    <s v="Oficina de Estudios y Políticas Agrarias (ODEPA)"/>
    <x v="139"/>
    <m/>
    <s v="Gráfico"/>
    <s v="Región del Biobío fruta precio diario pesos kilo mercado mayorista terminal"/>
    <x v="139"/>
    <s v="100-R-8"/>
    <s v="#1774B9"/>
    <s v="990-0140"/>
    <n v="99200008"/>
    <s v="T-1033"/>
    <s v="C-997"/>
    <s v="FI-998"/>
    <s v="M-1005"/>
  </r>
  <r>
    <x v="140"/>
    <n v="990"/>
    <x v="0"/>
    <x v="5"/>
    <n v="9"/>
    <x v="11"/>
    <x v="5"/>
    <x v="1"/>
    <x v="9"/>
    <s v="Fruta"/>
    <s v="Precios diarios de frutas en Chile"/>
    <s v="Año 2021"/>
    <s v="CLP/Kg"/>
    <s v="Oficina de Estudios y Políticas Agrarias (ODEPA)"/>
    <x v="140"/>
    <m/>
    <s v="Gráfico"/>
    <s v="Región de La Araucanía fruta precio diario pesos kilo mercado mayorista terminal"/>
    <x v="140"/>
    <s v="100-R-9"/>
    <s v="#1774B9"/>
    <s v="990-0141"/>
    <n v="99200009"/>
    <s v="T-1033"/>
    <s v="C-997"/>
    <s v="FI-998"/>
    <s v="M-1005"/>
  </r>
  <r>
    <x v="141"/>
    <n v="990"/>
    <x v="0"/>
    <x v="5"/>
    <n v="10"/>
    <x v="11"/>
    <x v="5"/>
    <x v="1"/>
    <x v="10"/>
    <s v="Fruta"/>
    <s v="Precios diarios de frutas en Chile"/>
    <s v="Año 2021"/>
    <s v="CLP/Kg"/>
    <s v="Oficina de Estudios y Políticas Agrarias (ODEPA)"/>
    <x v="141"/>
    <m/>
    <s v="Gráfico"/>
    <s v="Región de Los Lagos fruta precio diario pesos kilo mercado mayorista terminal"/>
    <x v="141"/>
    <s v="100-R-10"/>
    <s v="#1774B9"/>
    <s v="990-0142"/>
    <n v="99200010"/>
    <s v="T-1033"/>
    <s v="C-997"/>
    <s v="FI-998"/>
    <s v="M-1005"/>
  </r>
  <r>
    <x v="142"/>
    <n v="990"/>
    <x v="0"/>
    <x v="5"/>
    <n v="13"/>
    <x v="11"/>
    <x v="5"/>
    <x v="1"/>
    <x v="13"/>
    <s v="Fruta"/>
    <s v="Precios diarios de frutas en Chile"/>
    <s v="Año 2021"/>
    <s v="CLP/Kg"/>
    <s v="Oficina de Estudios y Políticas Agrarias (ODEPA)"/>
    <x v="142"/>
    <m/>
    <s v="Gráfico"/>
    <s v="Región Metropolitana fruta precio diario pesos kilo mercado mayorista terminal"/>
    <x v="142"/>
    <s v="200-R-13"/>
    <s v="#1774B9"/>
    <s v="990-0143"/>
    <n v="99200013"/>
    <s v="T-1033"/>
    <s v="C-997"/>
    <s v="FI-998"/>
    <s v="M-1005"/>
  </r>
  <r>
    <x v="143"/>
    <n v="990"/>
    <x v="0"/>
    <x v="5"/>
    <n v="15"/>
    <x v="11"/>
    <x v="5"/>
    <x v="1"/>
    <x v="15"/>
    <s v="Fruta"/>
    <s v="Precios diarios de frutas en Chile"/>
    <s v="Año 2021"/>
    <s v="CLP/Kg"/>
    <s v="Oficina de Estudios y Políticas Agrarias (ODEPA)"/>
    <x v="143"/>
    <m/>
    <s v="Gráfico"/>
    <s v="Región de Arica y Parinacota fruta precio diario pesos kilo mercado mayorista terminal"/>
    <x v="143"/>
    <s v="100-R-15"/>
    <s v="#1774B9"/>
    <s v="990-0144"/>
    <n v="99200015"/>
    <s v="T-1033"/>
    <s v="C-997"/>
    <s v="FI-998"/>
    <s v="M-1005"/>
  </r>
  <r>
    <x v="144"/>
    <n v="990"/>
    <x v="0"/>
    <x v="5"/>
    <n v="16"/>
    <x v="11"/>
    <x v="5"/>
    <x v="1"/>
    <x v="16"/>
    <s v="Fruta"/>
    <s v="Precios diarios de frutas en Chile"/>
    <s v="Año 2021"/>
    <s v="CLP/Kg"/>
    <s v="Oficina de Estudios y Políticas Agrarias (ODEPA)"/>
    <x v="144"/>
    <m/>
    <s v="Gráfico"/>
    <s v="Región de Ñuble fruta precio diario pesos kilo mercado mayorista terminal"/>
    <x v="144"/>
    <s v="100-R-16"/>
    <s v="#1774B9"/>
    <s v="990-0145"/>
    <n v="99200016"/>
    <s v="T-1033"/>
    <s v="C-997"/>
    <s v="FI-998"/>
    <s v="M-1005"/>
  </r>
  <r>
    <x v="145"/>
    <n v="990"/>
    <x v="0"/>
    <x v="7"/>
    <n v="0"/>
    <x v="12"/>
    <x v="8"/>
    <x v="0"/>
    <x v="0"/>
    <s v="Región"/>
    <s v="Cantidad de espacios culturales por comuna"/>
    <s v="Año 2021"/>
    <s v="Número de espacios culturales"/>
    <s v="Observatorio Cultural"/>
    <x v="145"/>
    <s v="Existen 332 comunas que tienen algún tipo de espacio cultural en el país. La comuna que cuenta con la mayor cantidad de espacios culturales es Santiago, con 54 espacios públicos y 40 privados."/>
    <s v="Gráfico"/>
    <s v="Chile espacio cultural titularidad privada publica cultura"/>
    <x v="145"/>
    <s v="300-C"/>
    <s v="#1774B9"/>
    <s v="990-0146"/>
    <n v="99100000"/>
    <s v="T-996"/>
    <s v="C-1008"/>
    <s v="FI-992"/>
    <s v="M-1006"/>
  </r>
  <r>
    <x v="146"/>
    <n v="990"/>
    <x v="0"/>
    <x v="7"/>
    <n v="1"/>
    <x v="12"/>
    <x v="8"/>
    <x v="1"/>
    <x v="1"/>
    <s v="Comuna"/>
    <s v="Cantidad de espacios culturales por comuna"/>
    <s v="Año 2021"/>
    <s v="Número de espacios culturales"/>
    <s v="Observatorio Cultural"/>
    <x v="146"/>
    <m/>
    <s v="Gráfico"/>
    <s v="Región de Tarapacá espacio cultural titularidad privada publica cultura"/>
    <x v="146"/>
    <s v="100-C-1"/>
    <s v="#1774B9"/>
    <s v="990-0147"/>
    <n v="99200001"/>
    <s v="T-996"/>
    <s v="C-1008"/>
    <s v="FI-991"/>
    <s v="M-1006"/>
  </r>
  <r>
    <x v="147"/>
    <n v="990"/>
    <x v="0"/>
    <x v="7"/>
    <n v="2"/>
    <x v="12"/>
    <x v="8"/>
    <x v="1"/>
    <x v="2"/>
    <s v="Comuna"/>
    <s v="Cantidad de espacios culturales por comuna"/>
    <s v="Año 2021"/>
    <s v="Número de espacios culturales"/>
    <s v="Observatorio Cultural"/>
    <x v="147"/>
    <m/>
    <s v="Gráfico"/>
    <s v="Región de Antofagasta espacio cultural titularidad privada publica cultura"/>
    <x v="147"/>
    <s v="100-C-2"/>
    <s v="#1774B9"/>
    <s v="990-0148"/>
    <n v="99200002"/>
    <s v="T-996"/>
    <s v="C-1008"/>
    <s v="FI-991"/>
    <s v="M-1006"/>
  </r>
  <r>
    <x v="148"/>
    <n v="990"/>
    <x v="0"/>
    <x v="7"/>
    <n v="3"/>
    <x v="12"/>
    <x v="8"/>
    <x v="1"/>
    <x v="3"/>
    <s v="Comuna"/>
    <s v="Cantidad de espacios culturales por comuna"/>
    <s v="Año 2021"/>
    <s v="Número de espacios culturales"/>
    <s v="Observatorio Cultural"/>
    <x v="148"/>
    <m/>
    <s v="Gráfico"/>
    <s v="Región de Atacama espacio cultural titularidad privada publica cultura"/>
    <x v="148"/>
    <s v="100-C-3"/>
    <s v="#1774B9"/>
    <s v="990-0149"/>
    <n v="99200003"/>
    <s v="T-996"/>
    <s v="C-1008"/>
    <s v="FI-991"/>
    <s v="M-1006"/>
  </r>
  <r>
    <x v="149"/>
    <n v="990"/>
    <x v="0"/>
    <x v="7"/>
    <n v="4"/>
    <x v="12"/>
    <x v="8"/>
    <x v="1"/>
    <x v="4"/>
    <s v="Comuna"/>
    <s v="Cantidad de espacios culturales por comuna"/>
    <s v="Año 2021"/>
    <s v="Número de espacios culturales"/>
    <s v="Observatorio Cultural"/>
    <x v="149"/>
    <m/>
    <s v="Gráfico"/>
    <s v="Región de Coquimbo espacio cultural titularidad privada publica cultura"/>
    <x v="149"/>
    <s v="100-C-4"/>
    <s v="#1774B9"/>
    <s v="990-0150"/>
    <n v="99200004"/>
    <s v="T-996"/>
    <s v="C-1008"/>
    <s v="FI-991"/>
    <s v="M-1006"/>
  </r>
  <r>
    <x v="150"/>
    <n v="990"/>
    <x v="0"/>
    <x v="7"/>
    <n v="5"/>
    <x v="12"/>
    <x v="8"/>
    <x v="1"/>
    <x v="5"/>
    <s v="Comuna"/>
    <s v="Cantidad de espacios culturales por comuna"/>
    <s v="Año 2021"/>
    <s v="Número de espacios culturales"/>
    <s v="Observatorio Cultural"/>
    <x v="150"/>
    <m/>
    <s v="Gráfico"/>
    <s v="Región de Valparaíso espacio cultural titularidad privada publica cultura"/>
    <x v="150"/>
    <s v="100-C-5"/>
    <s v="#1774B9"/>
    <s v="990-0151"/>
    <n v="99200005"/>
    <s v="T-996"/>
    <s v="C-1008"/>
    <s v="FI-991"/>
    <s v="M-1006"/>
  </r>
  <r>
    <x v="151"/>
    <n v="990"/>
    <x v="0"/>
    <x v="7"/>
    <n v="6"/>
    <x v="12"/>
    <x v="8"/>
    <x v="1"/>
    <x v="6"/>
    <s v="Comuna"/>
    <s v="Cantidad de espacios culturales por comuna"/>
    <s v="Año 2021"/>
    <s v="Número de espacios culturales"/>
    <s v="Observatorio Cultural"/>
    <x v="151"/>
    <m/>
    <s v="Gráfico"/>
    <s v="Región de O'Higgins espacio cultural titularidad privada publica cultura"/>
    <x v="151"/>
    <s v="100-C-6"/>
    <s v="#1774B9"/>
    <s v="990-0152"/>
    <n v="99200006"/>
    <s v="T-996"/>
    <s v="C-1008"/>
    <s v="FI-991"/>
    <s v="M-1006"/>
  </r>
  <r>
    <x v="152"/>
    <n v="990"/>
    <x v="0"/>
    <x v="7"/>
    <n v="7"/>
    <x v="12"/>
    <x v="8"/>
    <x v="1"/>
    <x v="7"/>
    <s v="Comuna"/>
    <s v="Cantidad de espacios culturales por comuna"/>
    <s v="Año 2021"/>
    <s v="Número de espacios culturales"/>
    <s v="Observatorio Cultural"/>
    <x v="152"/>
    <m/>
    <s v="Gráfico"/>
    <s v="Región de Maule espacio cultural titularidad privada publica cultura"/>
    <x v="152"/>
    <s v="100-C-7"/>
    <s v="#1774B9"/>
    <s v="990-0153"/>
    <n v="99200007"/>
    <s v="T-996"/>
    <s v="C-1008"/>
    <s v="FI-991"/>
    <s v="M-1006"/>
  </r>
  <r>
    <x v="153"/>
    <n v="990"/>
    <x v="0"/>
    <x v="7"/>
    <n v="8"/>
    <x v="12"/>
    <x v="8"/>
    <x v="1"/>
    <x v="8"/>
    <s v="Comuna"/>
    <s v="Cantidad de espacios culturales por comuna"/>
    <s v="Año 2021"/>
    <s v="Número de espacios culturales"/>
    <s v="Observatorio Cultural"/>
    <x v="153"/>
    <m/>
    <s v="Gráfico"/>
    <s v="Región del Biobío espacio cultural titularidad privada publica cultura"/>
    <x v="153"/>
    <s v="100-C-8"/>
    <s v="#1774B9"/>
    <s v="990-0154"/>
    <n v="99200008"/>
    <s v="T-996"/>
    <s v="C-1008"/>
    <s v="FI-991"/>
    <s v="M-1006"/>
  </r>
  <r>
    <x v="154"/>
    <n v="990"/>
    <x v="0"/>
    <x v="7"/>
    <n v="9"/>
    <x v="12"/>
    <x v="8"/>
    <x v="1"/>
    <x v="9"/>
    <s v="Comuna"/>
    <s v="Cantidad de espacios culturales por comuna"/>
    <s v="Año 2021"/>
    <s v="Número de espacios culturales"/>
    <s v="Observatorio Cultural"/>
    <x v="154"/>
    <m/>
    <s v="Gráfico"/>
    <s v="Región de La Araucanía espacio cultural titularidad privada publica cultura"/>
    <x v="154"/>
    <s v="100-C-9"/>
    <s v="#1774B9"/>
    <s v="990-0155"/>
    <n v="99200009"/>
    <s v="T-996"/>
    <s v="C-1008"/>
    <s v="FI-991"/>
    <s v="M-1006"/>
  </r>
  <r>
    <x v="155"/>
    <n v="990"/>
    <x v="0"/>
    <x v="7"/>
    <n v="10"/>
    <x v="12"/>
    <x v="8"/>
    <x v="1"/>
    <x v="10"/>
    <s v="Comuna"/>
    <s v="Cantidad de espacios culturales por comuna"/>
    <s v="Año 2021"/>
    <s v="Número de espacios culturales"/>
    <s v="Observatorio Cultural"/>
    <x v="155"/>
    <m/>
    <s v="Gráfico"/>
    <s v="Región de Los Lagos espacio cultural titularidad privada publica cultura"/>
    <x v="155"/>
    <s v="100-C-10"/>
    <s v="#1774B9"/>
    <s v="990-0156"/>
    <n v="99200010"/>
    <s v="T-996"/>
    <s v="C-1008"/>
    <s v="FI-991"/>
    <s v="M-1006"/>
  </r>
  <r>
    <x v="156"/>
    <n v="990"/>
    <x v="0"/>
    <x v="7"/>
    <n v="11"/>
    <x v="12"/>
    <x v="8"/>
    <x v="1"/>
    <x v="11"/>
    <s v="Comuna"/>
    <s v="Cantidad de espacios culturales por comuna"/>
    <s v="Año 2021"/>
    <s v="Número de espacios culturales"/>
    <s v="Observatorio Cultural"/>
    <x v="156"/>
    <m/>
    <s v="Gráfico"/>
    <s v="Región de Aysén espacio cultural titularidad privada publica cultura"/>
    <x v="156"/>
    <s v="100-C-11"/>
    <s v="#1774B9"/>
    <s v="990-0157"/>
    <n v="99200011"/>
    <s v="T-996"/>
    <s v="C-1008"/>
    <s v="FI-991"/>
    <s v="M-1006"/>
  </r>
  <r>
    <x v="157"/>
    <n v="990"/>
    <x v="0"/>
    <x v="7"/>
    <n v="12"/>
    <x v="12"/>
    <x v="8"/>
    <x v="1"/>
    <x v="12"/>
    <s v="Comuna"/>
    <s v="Cantidad de espacios culturales por comuna"/>
    <s v="Año 2021"/>
    <s v="Número de espacios culturales"/>
    <s v="Observatorio Cultural"/>
    <x v="157"/>
    <m/>
    <s v="Gráfico"/>
    <s v="Región de Magallanes espacio cultural titularidad privada publica cultura"/>
    <x v="157"/>
    <s v="100-C-12"/>
    <s v="#1774B9"/>
    <s v="990-0158"/>
    <n v="99200012"/>
    <s v="T-996"/>
    <s v="C-1008"/>
    <s v="FI-991"/>
    <s v="M-1006"/>
  </r>
  <r>
    <x v="158"/>
    <n v="990"/>
    <x v="0"/>
    <x v="7"/>
    <n v="13"/>
    <x v="12"/>
    <x v="8"/>
    <x v="1"/>
    <x v="13"/>
    <s v="Comuna"/>
    <s v="Cantidad de espacios culturales por comuna"/>
    <s v="Año 2021"/>
    <s v="Número de espacios culturales"/>
    <s v="Observatorio Cultural"/>
    <x v="158"/>
    <m/>
    <s v="Gráfico"/>
    <s v="Región Metropolitana espacio cultural titularidad privada publica cultura"/>
    <x v="158"/>
    <s v="200-C-13"/>
    <s v="#1774B9"/>
    <s v="990-0159"/>
    <n v="99200013"/>
    <s v="T-996"/>
    <s v="C-1008"/>
    <s v="FI-991"/>
    <s v="M-1006"/>
  </r>
  <r>
    <x v="159"/>
    <n v="990"/>
    <x v="0"/>
    <x v="7"/>
    <n v="14"/>
    <x v="12"/>
    <x v="8"/>
    <x v="1"/>
    <x v="14"/>
    <s v="Comuna"/>
    <s v="Cantidad de espacios culturales por comuna"/>
    <s v="Año 2021"/>
    <s v="Número de espacios culturales"/>
    <s v="Observatorio Cultural"/>
    <x v="159"/>
    <m/>
    <s v="Gráfico"/>
    <s v="Región de Los Ríos espacio cultural titularidad privada publica cultura"/>
    <x v="159"/>
    <s v="100-C-14"/>
    <s v="#1774B9"/>
    <s v="990-0160"/>
    <n v="99200014"/>
    <s v="T-996"/>
    <s v="C-1008"/>
    <s v="FI-991"/>
    <s v="M-1006"/>
  </r>
  <r>
    <x v="160"/>
    <n v="990"/>
    <x v="0"/>
    <x v="7"/>
    <n v="15"/>
    <x v="12"/>
    <x v="8"/>
    <x v="1"/>
    <x v="15"/>
    <s v="Comuna"/>
    <s v="Cantidad de espacios culturales por comuna"/>
    <s v="Año 2021"/>
    <s v="Número de espacios culturales"/>
    <s v="Observatorio Cultural"/>
    <x v="160"/>
    <m/>
    <s v="Gráfico"/>
    <s v="Región de Arica y Parinacota espacio cultural titularidad privada publica cultura"/>
    <x v="160"/>
    <s v="100-C-15"/>
    <s v="#1774B9"/>
    <s v="990-0161"/>
    <n v="99200015"/>
    <s v="T-996"/>
    <s v="C-1008"/>
    <s v="FI-991"/>
    <s v="M-1006"/>
  </r>
  <r>
    <x v="161"/>
    <n v="990"/>
    <x v="0"/>
    <x v="7"/>
    <n v="16"/>
    <x v="12"/>
    <x v="8"/>
    <x v="1"/>
    <x v="16"/>
    <s v="Comuna"/>
    <s v="Cantidad de espacios culturales por comuna"/>
    <s v="Año 2021"/>
    <s v="Número de espacios culturales"/>
    <s v="Observatorio Cultural"/>
    <x v="161"/>
    <m/>
    <s v="Gráfico"/>
    <s v="Región de Ñuble espacio cultural titularidad privada publica cultura"/>
    <x v="161"/>
    <s v="100-C-16"/>
    <s v="#1774B9"/>
    <s v="990-0162"/>
    <n v="99200016"/>
    <s v="T-996"/>
    <s v="C-1008"/>
    <s v="FI-991"/>
    <s v="M-1006"/>
  </r>
  <r>
    <x v="162"/>
    <n v="990"/>
    <x v="0"/>
    <x v="8"/>
    <n v="0"/>
    <x v="13"/>
    <x v="9"/>
    <x v="0"/>
    <x v="0"/>
    <s v="Región"/>
    <s v="Variación anual de delitos por comuna"/>
    <s v="Periodo 2008-2021"/>
    <s v="Porcentaje (%)"/>
    <s v="Centro de Estudios y Análisis del Delito (CEAD) de la Subsecretaría de Prevención del Delito"/>
    <x v="162"/>
    <s v="A nivel nacional, se observa que los años 2009 y 2011 fueron los que tuvieron un mayor incremento anual en la frecuencia de delitos, con un 8,3% y 9,8% respectivamente. En los últimos 6 años, se aprecia una tendencia a la baja, la cual se exacerba considerablemente el año 2020. Al analizar el periodo completo, la frecuencia del último año es un 24,1% menor que la del año 2009, lo cual se explica en gran medida por la baja ocurrida en el año 2020."/>
    <s v="Dashboard"/>
    <s v="Chile delitos mayor connotación social variación anual frecuencia"/>
    <x v="162"/>
    <s v="300-C"/>
    <s v="#1774B9"/>
    <s v="990-0163"/>
    <n v="99100000"/>
    <s v="T-1062"/>
    <s v="C-998"/>
    <s v="FI-992"/>
    <s v="M-1007"/>
  </r>
  <r>
    <x v="163"/>
    <n v="990"/>
    <x v="0"/>
    <x v="8"/>
    <n v="1"/>
    <x v="13"/>
    <x v="9"/>
    <x v="1"/>
    <x v="1"/>
    <s v="Comuna"/>
    <s v="Variación anual de delitos por comuna"/>
    <s v="Periodo 2008-2021"/>
    <s v="Porcentaje (%)"/>
    <s v="Centro de Estudios y Análisis del Delito (CEAD) de la Subsecretaría de Prevención del Delito"/>
    <x v="163"/>
    <m/>
    <s v="Dashboard"/>
    <s v="Región de Tarapacá delitos mayor connotación social variación anual frecuencia"/>
    <x v="163"/>
    <s v="100-C-1"/>
    <s v="#1774B9"/>
    <s v="990-0164"/>
    <n v="99200001"/>
    <s v="T-1062"/>
    <s v="C-998"/>
    <s v="FI-991"/>
    <s v="M-1007"/>
  </r>
  <r>
    <x v="164"/>
    <n v="990"/>
    <x v="0"/>
    <x v="8"/>
    <n v="2"/>
    <x v="13"/>
    <x v="9"/>
    <x v="1"/>
    <x v="2"/>
    <s v="Comuna"/>
    <s v="Variación anual de delitos por comuna"/>
    <s v="Periodo 2008-2021"/>
    <s v="Porcentaje (%)"/>
    <s v="Centro de Estudios y Análisis del Delito (CEAD) de la Subsecretaría de Prevención del Delito"/>
    <x v="164"/>
    <m/>
    <s v="Dashboard"/>
    <s v="Región de Antofagasta delitos mayor connotación social variación anual frecuencia"/>
    <x v="164"/>
    <s v="100-C-2"/>
    <s v="#1774B9"/>
    <s v="990-0165"/>
    <n v="99200002"/>
    <s v="T-1062"/>
    <s v="C-998"/>
    <s v="FI-991"/>
    <s v="M-1007"/>
  </r>
  <r>
    <x v="165"/>
    <n v="990"/>
    <x v="0"/>
    <x v="8"/>
    <n v="3"/>
    <x v="13"/>
    <x v="9"/>
    <x v="1"/>
    <x v="3"/>
    <s v="Comuna"/>
    <s v="Variación anual de delitos por comuna"/>
    <s v="Periodo 2008-2021"/>
    <s v="Porcentaje (%)"/>
    <s v="Centro de Estudios y Análisis del Delito (CEAD) de la Subsecretaría de Prevención del Delito"/>
    <x v="165"/>
    <m/>
    <s v="Dashboard"/>
    <s v="Región de Atacama delitos mayor connotación social variación anual frecuencia"/>
    <x v="164"/>
    <s v="100-C-3"/>
    <s v="#1774B9"/>
    <s v="990-0166"/>
    <n v="99200003"/>
    <s v="T-1062"/>
    <s v="C-998"/>
    <s v="FI-991"/>
    <s v="M-1007"/>
  </r>
  <r>
    <x v="166"/>
    <n v="990"/>
    <x v="0"/>
    <x v="8"/>
    <n v="4"/>
    <x v="13"/>
    <x v="9"/>
    <x v="1"/>
    <x v="4"/>
    <s v="Comuna"/>
    <s v="Variación anual de delitos por comuna"/>
    <s v="Periodo 2008-2021"/>
    <s v="Porcentaje (%)"/>
    <s v="Centro de Estudios y Análisis del Delito (CEAD) de la Subsecretaría de Prevención del Delito"/>
    <x v="166"/>
    <m/>
    <s v="Dashboard"/>
    <s v="Región de Coquimbo delitos mayor connotación social variación anual frecuencia"/>
    <x v="165"/>
    <s v="100-C-4"/>
    <s v="#1774B9"/>
    <s v="990-0167"/>
    <n v="99200004"/>
    <s v="T-1062"/>
    <s v="C-998"/>
    <s v="FI-991"/>
    <s v="M-1007"/>
  </r>
  <r>
    <x v="167"/>
    <n v="990"/>
    <x v="0"/>
    <x v="8"/>
    <n v="5"/>
    <x v="13"/>
    <x v="9"/>
    <x v="1"/>
    <x v="5"/>
    <s v="Comuna"/>
    <s v="Variación anual de delitos por comuna"/>
    <s v="Periodo 2008-2021"/>
    <s v="Porcentaje (%)"/>
    <s v="Centro de Estudios y Análisis del Delito (CEAD) de la Subsecretaría de Prevención del Delito"/>
    <x v="167"/>
    <m/>
    <s v="Dashboard"/>
    <s v="Región de Valparaíso delitos mayor connotación social variación anual frecuencia"/>
    <x v="166"/>
    <s v="100-C-5"/>
    <s v="#1774B9"/>
    <s v="990-0168"/>
    <n v="99200005"/>
    <s v="T-1062"/>
    <s v="C-998"/>
    <s v="FI-991"/>
    <s v="M-1007"/>
  </r>
  <r>
    <x v="168"/>
    <n v="990"/>
    <x v="0"/>
    <x v="8"/>
    <n v="6"/>
    <x v="13"/>
    <x v="9"/>
    <x v="1"/>
    <x v="6"/>
    <s v="Comuna"/>
    <s v="Variación anual de delitos por comuna"/>
    <s v="Periodo 2008-2021"/>
    <s v="Porcentaje (%)"/>
    <s v="Centro de Estudios y Análisis del Delito (CEAD) de la Subsecretaría de Prevención del Delito"/>
    <x v="168"/>
    <m/>
    <s v="Dashboard"/>
    <s v="Región de O'Higgins delitos mayor connotación social variación anual frecuencia"/>
    <x v="167"/>
    <s v="100-C-6"/>
    <s v="#1774B9"/>
    <s v="990-0169"/>
    <n v="99200006"/>
    <s v="T-1062"/>
    <s v="C-998"/>
    <s v="FI-991"/>
    <s v="M-1007"/>
  </r>
  <r>
    <x v="169"/>
    <n v="990"/>
    <x v="0"/>
    <x v="8"/>
    <n v="7"/>
    <x v="13"/>
    <x v="9"/>
    <x v="1"/>
    <x v="7"/>
    <s v="Comuna"/>
    <s v="Variación anual de delitos por comuna"/>
    <s v="Periodo 2008-2021"/>
    <s v="Porcentaje (%)"/>
    <s v="Centro de Estudios y Análisis del Delito (CEAD) de la Subsecretaría de Prevención del Delito"/>
    <x v="169"/>
    <m/>
    <s v="Dashboard"/>
    <s v="Región de Maule delitos mayor connotación social variación anual frecuencia"/>
    <x v="168"/>
    <s v="100-C-7"/>
    <s v="#1774B9"/>
    <s v="990-0170"/>
    <n v="99200007"/>
    <s v="T-1062"/>
    <s v="C-998"/>
    <s v="FI-991"/>
    <s v="M-1007"/>
  </r>
  <r>
    <x v="170"/>
    <n v="990"/>
    <x v="0"/>
    <x v="8"/>
    <n v="8"/>
    <x v="13"/>
    <x v="9"/>
    <x v="1"/>
    <x v="8"/>
    <s v="Comuna"/>
    <s v="Variación anual de delitos por comuna"/>
    <s v="Periodo 2008-2021"/>
    <s v="Porcentaje (%)"/>
    <s v="Centro de Estudios y Análisis del Delito (CEAD) de la Subsecretaría de Prevención del Delito"/>
    <x v="170"/>
    <m/>
    <s v="Dashboard"/>
    <s v="Región del Biobío delitos mayor connotación social variación anual frecuencia"/>
    <x v="169"/>
    <s v="100-C-8"/>
    <s v="#1774B9"/>
    <s v="990-0171"/>
    <n v="99200008"/>
    <s v="T-1062"/>
    <s v="C-998"/>
    <s v="FI-991"/>
    <s v="M-1007"/>
  </r>
  <r>
    <x v="171"/>
    <n v="990"/>
    <x v="0"/>
    <x v="8"/>
    <n v="9"/>
    <x v="13"/>
    <x v="9"/>
    <x v="1"/>
    <x v="9"/>
    <s v="Comuna"/>
    <s v="Variación anual de delitos por comuna"/>
    <s v="Periodo 2008-2021"/>
    <s v="Porcentaje (%)"/>
    <s v="Centro de Estudios y Análisis del Delito (CEAD) de la Subsecretaría de Prevención del Delito"/>
    <x v="171"/>
    <m/>
    <s v="Dashboard"/>
    <s v="Región de La Araucanía delitos mayor connotación social variación anual frecuencia"/>
    <x v="170"/>
    <s v="100-C-9"/>
    <s v="#1774B9"/>
    <s v="990-0172"/>
    <n v="99200009"/>
    <s v="T-1062"/>
    <s v="C-998"/>
    <s v="FI-991"/>
    <s v="M-1007"/>
  </r>
  <r>
    <x v="172"/>
    <n v="990"/>
    <x v="0"/>
    <x v="8"/>
    <n v="10"/>
    <x v="13"/>
    <x v="9"/>
    <x v="1"/>
    <x v="10"/>
    <s v="Comuna"/>
    <s v="Variación anual de delitos por comuna"/>
    <s v="Periodo 2008-2021"/>
    <s v="Porcentaje (%)"/>
    <s v="Centro de Estudios y Análisis del Delito (CEAD) de la Subsecretaría de Prevención del Delito"/>
    <x v="172"/>
    <m/>
    <s v="Dashboard"/>
    <s v="Región de Los Lagos delitos mayor connotación social variación anual frecuencia"/>
    <x v="171"/>
    <s v="100-C-10"/>
    <s v="#1774B9"/>
    <s v="990-0173"/>
    <n v="99200010"/>
    <s v="T-1062"/>
    <s v="C-998"/>
    <s v="FI-991"/>
    <s v="M-1007"/>
  </r>
  <r>
    <x v="173"/>
    <n v="990"/>
    <x v="0"/>
    <x v="8"/>
    <n v="11"/>
    <x v="13"/>
    <x v="9"/>
    <x v="1"/>
    <x v="11"/>
    <s v="Comuna"/>
    <s v="Variación anual de delitos por comuna"/>
    <s v="Periodo 2008-2021"/>
    <s v="Porcentaje (%)"/>
    <s v="Centro de Estudios y Análisis del Delito (CEAD) de la Subsecretaría de Prevención del Delito"/>
    <x v="173"/>
    <m/>
    <s v="Dashboard"/>
    <s v="Región de Aysén delitos mayor connotación social variación anual frecuencia"/>
    <x v="172"/>
    <s v="100-C-11"/>
    <s v="#1774B9"/>
    <s v="990-0174"/>
    <n v="99200011"/>
    <s v="T-1062"/>
    <s v="C-998"/>
    <s v="FI-991"/>
    <s v="M-1007"/>
  </r>
  <r>
    <x v="174"/>
    <n v="990"/>
    <x v="0"/>
    <x v="8"/>
    <n v="12"/>
    <x v="13"/>
    <x v="9"/>
    <x v="1"/>
    <x v="12"/>
    <s v="Comuna"/>
    <s v="Variación anual de delitos por comuna"/>
    <s v="Periodo 2008-2021"/>
    <s v="Porcentaje (%)"/>
    <s v="Centro de Estudios y Análisis del Delito (CEAD) de la Subsecretaría de Prevención del Delito"/>
    <x v="174"/>
    <m/>
    <s v="Dashboard"/>
    <s v="Región de Magallanes delitos mayor connotación social variación anual frecuencia"/>
    <x v="173"/>
    <s v="100-C-12"/>
    <s v="#1774B9"/>
    <s v="990-0175"/>
    <n v="99200012"/>
    <s v="T-1062"/>
    <s v="C-998"/>
    <s v="FI-991"/>
    <s v="M-1007"/>
  </r>
  <r>
    <x v="175"/>
    <n v="990"/>
    <x v="0"/>
    <x v="8"/>
    <n v="13"/>
    <x v="13"/>
    <x v="9"/>
    <x v="1"/>
    <x v="13"/>
    <s v="Comuna"/>
    <s v="Variación anual de delitos por comuna"/>
    <s v="Periodo 2008-2021"/>
    <s v="Porcentaje (%)"/>
    <s v="Centro de Estudios y Análisis del Delito (CEAD) de la Subsecretaría de Prevención del Delito"/>
    <x v="175"/>
    <m/>
    <s v="Dashboard"/>
    <s v="Región Metropolitana delitos mayor connotación social variación anual frecuencia"/>
    <x v="174"/>
    <s v="200-C-13"/>
    <s v="#1774B9"/>
    <s v="990-0176"/>
    <n v="99200013"/>
    <s v="T-1062"/>
    <s v="C-998"/>
    <s v="FI-991"/>
    <s v="M-1007"/>
  </r>
  <r>
    <x v="176"/>
    <n v="990"/>
    <x v="0"/>
    <x v="8"/>
    <n v="14"/>
    <x v="13"/>
    <x v="9"/>
    <x v="1"/>
    <x v="14"/>
    <s v="Comuna"/>
    <s v="Variación anual de delitos por comuna"/>
    <s v="Periodo 2008-2021"/>
    <s v="Porcentaje (%)"/>
    <s v="Centro de Estudios y Análisis del Delito (CEAD) de la Subsecretaría de Prevención del Delito"/>
    <x v="176"/>
    <m/>
    <s v="Dashboard"/>
    <s v="Región de Los Ríos delitos mayor connotación social variación anual frecuencia"/>
    <x v="175"/>
    <s v="100-C-14"/>
    <s v="#1774B9"/>
    <s v="990-0177"/>
    <n v="99200014"/>
    <s v="T-1062"/>
    <s v="C-998"/>
    <s v="FI-991"/>
    <s v="M-1007"/>
  </r>
  <r>
    <x v="177"/>
    <n v="990"/>
    <x v="0"/>
    <x v="8"/>
    <n v="15"/>
    <x v="13"/>
    <x v="9"/>
    <x v="1"/>
    <x v="15"/>
    <s v="Comuna"/>
    <s v="Variación anual de delitos por comuna"/>
    <s v="Periodo 2008-2021"/>
    <s v="Porcentaje (%)"/>
    <s v="Centro de Estudios y Análisis del Delito (CEAD) de la Subsecretaría de Prevención del Delito"/>
    <x v="177"/>
    <m/>
    <s v="Dashboard"/>
    <s v="Región de Arica y Parinacota delitos mayor connotación social variación anual frecuencia"/>
    <x v="176"/>
    <s v="100-C-15"/>
    <s v="#1774B9"/>
    <s v="990-0178"/>
    <n v="99200015"/>
    <s v="T-1062"/>
    <s v="C-998"/>
    <s v="FI-991"/>
    <s v="M-1007"/>
  </r>
  <r>
    <x v="178"/>
    <n v="990"/>
    <x v="0"/>
    <x v="8"/>
    <n v="16"/>
    <x v="13"/>
    <x v="9"/>
    <x v="1"/>
    <x v="16"/>
    <s v="Comuna"/>
    <s v="Variación anual de delitos por comuna"/>
    <s v="Periodo 2008-2021"/>
    <s v="Porcentaje (%)"/>
    <s v="Centro de Estudios y Análisis del Delito (CEAD) de la Subsecretaría de Prevención del Delito"/>
    <x v="178"/>
    <m/>
    <s v="Dashboard"/>
    <s v="Región de Ñuble delitos mayor connotación social variación anual frecuencia"/>
    <x v="177"/>
    <s v="100-C-16"/>
    <s v="#1774B9"/>
    <s v="990-0179"/>
    <n v="99200016"/>
    <s v="T-1062"/>
    <s v="C-998"/>
    <s v="FI-991"/>
    <s v="M-1007"/>
  </r>
  <r>
    <x v="179"/>
    <n v="990"/>
    <x v="0"/>
    <x v="2"/>
    <n v="0"/>
    <x v="14"/>
    <x v="2"/>
    <x v="0"/>
    <x v="0"/>
    <s v="Ninguno"/>
    <s v="Casos de VIF"/>
    <s v="Periodo 2019-2021"/>
    <s v="Número de Casos"/>
    <s v="Fiscalía Nacional"/>
    <x v="179"/>
    <s v="El segundo trimestre del año 2020 registra la menor cantidad de casos de Violencia Intrafamiliar (VIF) presentados a la Fiscalía Nacional, con 7.496 casos de víctimas hombres y 22.517 casos de víctimas mujeres."/>
    <s v="Gráfico de Evolución"/>
    <s v="Chile violencia intrafamiliar VIF casos fiscalía mujeres hombres año nacional"/>
    <x v="178"/>
    <n v="0"/>
    <s v="#1774B9"/>
    <s v="990-0180"/>
    <n v="99100000"/>
    <s v="T-1034"/>
    <s v="C-996"/>
    <s v="FI-993"/>
    <s v="M-1008"/>
  </r>
  <r>
    <x v="180"/>
    <n v="990"/>
    <x v="0"/>
    <x v="2"/>
    <n v="0"/>
    <x v="14"/>
    <x v="2"/>
    <x v="0"/>
    <x v="0"/>
    <s v="Región"/>
    <s v="Casos de VIF por región"/>
    <s v="Periodo 2019-2021"/>
    <s v="Número de Casos"/>
    <s v="Fiscalía Nacional"/>
    <x v="180"/>
    <m/>
    <s v="Gráfico de Evolución"/>
    <s v="Chile,violencia intrafamiliar VIF casos fiscalía mujeres hombres año regional"/>
    <x v="179"/>
    <s v="300-R"/>
    <s v="#1774B9"/>
    <s v="990-0181"/>
    <n v="99100000"/>
    <s v="T-1034"/>
    <s v="C-996"/>
    <s v="FI-992"/>
    <s v="M-1009"/>
  </r>
  <r>
    <x v="181"/>
    <n v="990"/>
    <x v="0"/>
    <x v="2"/>
    <n v="1"/>
    <x v="14"/>
    <x v="2"/>
    <x v="1"/>
    <x v="1"/>
    <s v="Ninguno"/>
    <s v="Casos de VIF por región"/>
    <s v="Periodo 2019-2021"/>
    <s v="Número de Casos"/>
    <s v="Fiscalía Nacional"/>
    <x v="181"/>
    <m/>
    <s v="Gráfico de Evolución"/>
    <s v="Región de Tarapacá,violencia intrafamiliar VIF casos fiscalía mujeres hombres año regional"/>
    <x v="180"/>
    <s v="100-R-1"/>
    <s v="#1774B9"/>
    <s v="990-0182"/>
    <n v="99200001"/>
    <s v="T-1034"/>
    <s v="C-996"/>
    <s v="FI-993"/>
    <s v="M-1009"/>
  </r>
  <r>
    <x v="182"/>
    <n v="990"/>
    <x v="0"/>
    <x v="2"/>
    <n v="2"/>
    <x v="14"/>
    <x v="2"/>
    <x v="1"/>
    <x v="2"/>
    <s v="Ninguno"/>
    <s v="Casos de VIF por región"/>
    <s v="Periodo 2019-2021"/>
    <s v="Número de Casos"/>
    <s v="Fiscalía Nacional"/>
    <x v="182"/>
    <m/>
    <s v="Gráfico de Evolución"/>
    <s v="Región de Antofagasta,violencia intrafamiliar VIF casos fiscalía mujeres hombres año regional"/>
    <x v="181"/>
    <s v="100-R-2"/>
    <s v="#1774B9"/>
    <s v="990-0183"/>
    <n v="99200002"/>
    <s v="T-1034"/>
    <s v="C-996"/>
    <s v="FI-993"/>
    <s v="M-1009"/>
  </r>
  <r>
    <x v="183"/>
    <n v="990"/>
    <x v="0"/>
    <x v="2"/>
    <n v="3"/>
    <x v="14"/>
    <x v="2"/>
    <x v="1"/>
    <x v="3"/>
    <s v="Ninguno"/>
    <s v="Casos de VIF por región"/>
    <s v="Periodo 2019-2021"/>
    <s v="Número de Casos"/>
    <s v="Fiscalía Nacional"/>
    <x v="183"/>
    <m/>
    <s v="Gráfico de Evolución"/>
    <s v="Región de Atacama,violencia intrafamiliar VIF casos fiscalía mujeres hombres año regional"/>
    <x v="182"/>
    <s v="100-R-3"/>
    <s v="#1774B9"/>
    <s v="990-0184"/>
    <n v="99200003"/>
    <s v="T-1034"/>
    <s v="C-996"/>
    <s v="FI-993"/>
    <s v="M-1009"/>
  </r>
  <r>
    <x v="184"/>
    <n v="990"/>
    <x v="0"/>
    <x v="2"/>
    <n v="4"/>
    <x v="14"/>
    <x v="2"/>
    <x v="1"/>
    <x v="4"/>
    <s v="Ninguno"/>
    <s v="Casos de VIF por región"/>
    <s v="Periodo 2019-2021"/>
    <s v="Número de Casos"/>
    <s v="Fiscalía Nacional"/>
    <x v="184"/>
    <m/>
    <s v="Gráfico de Evolución"/>
    <s v="Región de Coquimbo,violencia intrafamiliar VIF casos fiscalía mujeres hombres año regional"/>
    <x v="183"/>
    <s v="100-R-4"/>
    <s v="#1774B9"/>
    <s v="990-0185"/>
    <n v="99200004"/>
    <s v="T-1034"/>
    <s v="C-996"/>
    <s v="FI-993"/>
    <s v="M-1009"/>
  </r>
  <r>
    <x v="185"/>
    <n v="990"/>
    <x v="0"/>
    <x v="2"/>
    <n v="5"/>
    <x v="14"/>
    <x v="2"/>
    <x v="1"/>
    <x v="5"/>
    <s v="Ninguno"/>
    <s v="Casos de VIF por región"/>
    <s v="Periodo 2019-2021"/>
    <s v="Número de Casos"/>
    <s v="Fiscalía Nacional"/>
    <x v="185"/>
    <m/>
    <s v="Gráfico de Evolución"/>
    <s v="Región de Valparaíso,violencia intrafamiliar VIF casos fiscalía mujeres hombres año regional"/>
    <x v="184"/>
    <s v="100-R-5"/>
    <s v="#1774B9"/>
    <s v="990-0186"/>
    <n v="99200005"/>
    <s v="T-1034"/>
    <s v="C-996"/>
    <s v="FI-993"/>
    <s v="M-1009"/>
  </r>
  <r>
    <x v="186"/>
    <n v="990"/>
    <x v="0"/>
    <x v="2"/>
    <n v="6"/>
    <x v="14"/>
    <x v="2"/>
    <x v="1"/>
    <x v="6"/>
    <s v="Ninguno"/>
    <s v="Casos de VIF por región"/>
    <s v="Periodo 2019-2021"/>
    <s v="Número de Casos"/>
    <s v="Fiscalía Nacional"/>
    <x v="186"/>
    <m/>
    <s v="Gráfico de Evolución"/>
    <s v="Región de O'Higgins,violencia intrafamiliar VIF casos fiscalía mujeres hombres año regional"/>
    <x v="185"/>
    <s v="100-R-6"/>
    <s v="#1774B9"/>
    <s v="990-0187"/>
    <n v="99200006"/>
    <s v="T-1034"/>
    <s v="C-996"/>
    <s v="FI-993"/>
    <s v="M-1009"/>
  </r>
  <r>
    <x v="187"/>
    <n v="990"/>
    <x v="0"/>
    <x v="2"/>
    <n v="7"/>
    <x v="14"/>
    <x v="2"/>
    <x v="1"/>
    <x v="7"/>
    <s v="Ninguno"/>
    <s v="Casos de VIF por región"/>
    <s v="Periodo 2019-2021"/>
    <s v="Número de Casos"/>
    <s v="Fiscalía Nacional"/>
    <x v="187"/>
    <m/>
    <s v="Gráfico de Evolución"/>
    <s v="Región de Maule,violencia intrafamiliar VIF casos fiscalía mujeres hombres año regional"/>
    <x v="186"/>
    <s v="100-R-7"/>
    <s v="#1774B9"/>
    <s v="990-0188"/>
    <n v="99200007"/>
    <s v="T-1034"/>
    <s v="C-996"/>
    <s v="FI-993"/>
    <s v="M-1009"/>
  </r>
  <r>
    <x v="188"/>
    <n v="990"/>
    <x v="0"/>
    <x v="2"/>
    <n v="8"/>
    <x v="14"/>
    <x v="2"/>
    <x v="1"/>
    <x v="8"/>
    <s v="Ninguno"/>
    <s v="Casos de VIF por región"/>
    <s v="Periodo 2019-2021"/>
    <s v="Número de Casos"/>
    <s v="Fiscalía Nacional"/>
    <x v="188"/>
    <m/>
    <s v="Gráfico de Evolución"/>
    <s v="Región del Biobío,violencia intrafamiliar VIF casos fiscalía mujeres hombres año regional"/>
    <x v="187"/>
    <s v="100-R-8"/>
    <s v="#1774B9"/>
    <s v="990-0189"/>
    <n v="99200008"/>
    <s v="T-1034"/>
    <s v="C-996"/>
    <s v="FI-993"/>
    <s v="M-1009"/>
  </r>
  <r>
    <x v="189"/>
    <n v="990"/>
    <x v="0"/>
    <x v="2"/>
    <n v="9"/>
    <x v="14"/>
    <x v="2"/>
    <x v="1"/>
    <x v="9"/>
    <s v="Ninguno"/>
    <s v="Casos de VIF por región"/>
    <s v="Periodo 2019-2021"/>
    <s v="Número de Casos"/>
    <s v="Fiscalía Nacional"/>
    <x v="189"/>
    <m/>
    <s v="Gráfico de Evolución"/>
    <s v="Región de La Araucanía,violencia intrafamiliar VIF casos fiscalía mujeres hombres año regional"/>
    <x v="188"/>
    <s v="100-R-9"/>
    <s v="#1774B9"/>
    <s v="990-0190"/>
    <n v="99200009"/>
    <s v="T-1034"/>
    <s v="C-996"/>
    <s v="FI-993"/>
    <s v="M-1009"/>
  </r>
  <r>
    <x v="190"/>
    <n v="990"/>
    <x v="0"/>
    <x v="2"/>
    <n v="10"/>
    <x v="14"/>
    <x v="2"/>
    <x v="1"/>
    <x v="10"/>
    <s v="Ninguno"/>
    <s v="Casos de VIF por región"/>
    <s v="Periodo 2019-2021"/>
    <s v="Número de Casos"/>
    <s v="Fiscalía Nacional"/>
    <x v="190"/>
    <m/>
    <s v="Gráfico de Evolución"/>
    <s v="Región de Los Lagos,violencia intrafamiliar VIF casos fiscalía mujeres hombres año regional"/>
    <x v="189"/>
    <s v="100-R-10"/>
    <s v="#1774B9"/>
    <s v="990-0191"/>
    <n v="99200010"/>
    <s v="T-1034"/>
    <s v="C-996"/>
    <s v="FI-993"/>
    <s v="M-1009"/>
  </r>
  <r>
    <x v="191"/>
    <n v="990"/>
    <x v="0"/>
    <x v="2"/>
    <n v="11"/>
    <x v="14"/>
    <x v="2"/>
    <x v="1"/>
    <x v="11"/>
    <s v="Ninguno"/>
    <s v="Casos de VIF por región"/>
    <s v="Periodo 2019-2021"/>
    <s v="Número de Casos"/>
    <s v="Fiscalía Nacional"/>
    <x v="191"/>
    <m/>
    <s v="Gráfico de Evolución"/>
    <s v="Región de Aysén,violencia intrafamiliar VIF casos fiscalía mujeres hombres año regional"/>
    <x v="190"/>
    <s v="100-R-11"/>
    <s v="#1774B9"/>
    <s v="990-0192"/>
    <n v="99200011"/>
    <s v="T-1034"/>
    <s v="C-996"/>
    <s v="FI-993"/>
    <s v="M-1009"/>
  </r>
  <r>
    <x v="192"/>
    <n v="990"/>
    <x v="0"/>
    <x v="2"/>
    <n v="12"/>
    <x v="14"/>
    <x v="2"/>
    <x v="1"/>
    <x v="12"/>
    <s v="Ninguno"/>
    <s v="Casos de VIF por región"/>
    <s v="Periodo 2019-2021"/>
    <s v="Número de Casos"/>
    <s v="Fiscalía Nacional"/>
    <x v="192"/>
    <m/>
    <s v="Gráfico de Evolución"/>
    <s v="Región de Magallanes,violencia intrafamiliar VIF casos fiscalía mujeres hombres año regional"/>
    <x v="191"/>
    <s v="100-R-12"/>
    <s v="#1774B9"/>
    <s v="990-0193"/>
    <n v="99200012"/>
    <s v="T-1034"/>
    <s v="C-996"/>
    <s v="FI-993"/>
    <s v="M-1009"/>
  </r>
  <r>
    <x v="193"/>
    <n v="990"/>
    <x v="0"/>
    <x v="2"/>
    <n v="13"/>
    <x v="14"/>
    <x v="2"/>
    <x v="1"/>
    <x v="13"/>
    <s v="Ninguno"/>
    <s v="Casos de VIF por región"/>
    <s v="Periodo 2019-2021"/>
    <s v="Número de Casos"/>
    <s v="Fiscalía Nacional"/>
    <x v="193"/>
    <s v="En la región metropolitana, el tercer trimestre del año 2019, fue el trimestre con mayor cantidad de casos de Violencia Intrafamiliar (VIF) presentados ante la fiscalía nacional, con 30.487 casos, siendo 22.883 casos en que las víctimas son mujeres y 7.604 casos en que las víctimas son hombres."/>
    <s v="Gráfico de Evolución"/>
    <s v="Región Metropolitana,violencia intrafamiliar VIF casos fiscalía mujeres hombres año regional"/>
    <x v="192"/>
    <s v="200-R-13"/>
    <s v="#1774B9"/>
    <s v="990-0194"/>
    <n v="99200013"/>
    <s v="T-1034"/>
    <s v="C-996"/>
    <s v="FI-993"/>
    <s v="M-1009"/>
  </r>
  <r>
    <x v="194"/>
    <n v="990"/>
    <x v="0"/>
    <x v="2"/>
    <n v="14"/>
    <x v="14"/>
    <x v="2"/>
    <x v="1"/>
    <x v="14"/>
    <s v="Ninguno"/>
    <s v="Casos de VIF por región"/>
    <s v="Periodo 2019-2021"/>
    <s v="Número de Casos"/>
    <s v="Fiscalía Nacional"/>
    <x v="194"/>
    <m/>
    <s v="Gráfico de Evolución"/>
    <s v="Región de Los Ríos,violencia intrafamiliar VIF casos fiscalía mujeres hombres año regional"/>
    <x v="193"/>
    <s v="100-R-14"/>
    <s v="#1774B9"/>
    <s v="990-0195"/>
    <n v="99200014"/>
    <s v="T-1034"/>
    <s v="C-996"/>
    <s v="FI-993"/>
    <s v="M-1009"/>
  </r>
  <r>
    <x v="195"/>
    <n v="990"/>
    <x v="0"/>
    <x v="2"/>
    <n v="15"/>
    <x v="14"/>
    <x v="2"/>
    <x v="1"/>
    <x v="15"/>
    <s v="Ninguno"/>
    <s v="Casos de VIF por región"/>
    <s v="Periodo 2019-2021"/>
    <s v="Número de Casos"/>
    <s v="Fiscalía Nacional"/>
    <x v="195"/>
    <m/>
    <s v="Gráfico de Evolución"/>
    <s v="Región de Arica y Parinacota,violencia intrafamiliar VIF casos fiscalía mujeres hombres año regional"/>
    <x v="194"/>
    <s v="100-R-15"/>
    <s v="#1774B9"/>
    <s v="990-0196"/>
    <n v="99200015"/>
    <s v="T-1034"/>
    <s v="C-996"/>
    <s v="FI-993"/>
    <s v="M-1009"/>
  </r>
  <r>
    <x v="196"/>
    <n v="990"/>
    <x v="0"/>
    <x v="2"/>
    <n v="16"/>
    <x v="14"/>
    <x v="2"/>
    <x v="1"/>
    <x v="16"/>
    <s v="Ninguno"/>
    <s v="Casos de VIF por región"/>
    <s v="Periodo 2019-2021"/>
    <s v="Número de Casos"/>
    <s v="Fiscalía Nacional"/>
    <x v="196"/>
    <m/>
    <s v="Gráfico de Evolución"/>
    <s v="Región de Ñuble,violencia intrafamiliar VIF casos fiscalía mujeres hombres año regional"/>
    <x v="195"/>
    <s v="100-R-16"/>
    <s v="#1774B9"/>
    <s v="990-0197"/>
    <n v="99200016"/>
    <s v="T-1034"/>
    <s v="C-996"/>
    <s v="FI-993"/>
    <s v="M-1009"/>
  </r>
  <r>
    <x v="197"/>
    <n v="990"/>
    <x v="0"/>
    <x v="2"/>
    <n v="0"/>
    <x v="14"/>
    <x v="2"/>
    <x v="0"/>
    <x v="0"/>
    <s v="Región"/>
    <s v="Casos de VIF por comuna"/>
    <s v="Periodo 2020-2021"/>
    <s v="Número de Denuncias"/>
    <s v="Centro de Estudios y Análisis del Delito (CEAD) de la Subsecretaría de Prevención del Delito"/>
    <x v="197"/>
    <s v="La comuna de Puente Alto, es la comuna del país que posee mayor cantidad de denuncias por Violencia Intrafamiliar hacia la mujer, para el periodo comprendido entre el mes de enero del año 2020 y el mes de marzo del año 2021, con 3.199 denuncias. En segundo lugar se encuentra Puerto Montt con 2.091 denuncias. Las comunas de Timaukel y Primavera, entre otras, poseen 0 denuncias durante este período."/>
    <s v="Mapa de calor"/>
    <s v="Chile comunal VIF violencia intrafamiliar denuncias CEAD mujer"/>
    <x v="196"/>
    <s v="300-C"/>
    <s v="#1774B9"/>
    <s v="990-0198"/>
    <n v="99100000"/>
    <s v="T-1034"/>
    <s v="C-996"/>
    <s v="FI-992"/>
    <s v="M-1010"/>
  </r>
  <r>
    <x v="198"/>
    <n v="990"/>
    <x v="0"/>
    <x v="2"/>
    <n v="1"/>
    <x v="14"/>
    <x v="2"/>
    <x v="1"/>
    <x v="1"/>
    <s v="Ninguno"/>
    <s v="Casos de VIF por comuna"/>
    <s v="Periodo 2020-2021"/>
    <s v="Número de Denuncias"/>
    <s v="Centro de Estudios y Análisis del Delito (CEAD) de la Subsecretaría de Prevención del Delito"/>
    <x v="198"/>
    <m/>
    <s v="Mapa de calor"/>
    <s v="Región de Tarapacá comunal VIF violencia intrafamiliar denuncias CEAD mujer"/>
    <x v="197"/>
    <s v="100-C-1"/>
    <s v="#1774B9"/>
    <s v="990-0199"/>
    <n v="99200001"/>
    <s v="T-1034"/>
    <s v="C-996"/>
    <s v="FI-993"/>
    <s v="M-1010"/>
  </r>
  <r>
    <x v="199"/>
    <n v="990"/>
    <x v="0"/>
    <x v="2"/>
    <n v="2"/>
    <x v="14"/>
    <x v="2"/>
    <x v="1"/>
    <x v="2"/>
    <s v="Ninguno"/>
    <s v="Casos de VIF por comuna"/>
    <s v="Periodo 2020-2021"/>
    <s v="Número de Denuncias"/>
    <s v="Centro de Estudios y Análisis del Delito (CEAD) de la Subsecretaría de Prevención del Delito"/>
    <x v="199"/>
    <m/>
    <s v="Mapa de calor"/>
    <s v="Región de Antofagasta comunal VIF violencia intrafamiliar denuncias CEAD mujer"/>
    <x v="198"/>
    <s v="100-C-2"/>
    <s v="#1774B9"/>
    <s v="990-0200"/>
    <n v="99200002"/>
    <s v="T-1034"/>
    <s v="C-996"/>
    <s v="FI-993"/>
    <s v="M-1010"/>
  </r>
  <r>
    <x v="200"/>
    <n v="990"/>
    <x v="0"/>
    <x v="2"/>
    <n v="3"/>
    <x v="14"/>
    <x v="2"/>
    <x v="1"/>
    <x v="3"/>
    <s v="Ninguno"/>
    <s v="Casos de VIF por comuna"/>
    <s v="Periodo 2020-2021"/>
    <s v="Número de Denuncias"/>
    <s v="Centro de Estudios y Análisis del Delito (CEAD) de la Subsecretaría de Prevención del Delito"/>
    <x v="200"/>
    <m/>
    <s v="Mapa de calor"/>
    <s v="Región de Atacama comunal VIF violencia intrafamiliar denuncias CEAD mujer"/>
    <x v="199"/>
    <s v="100-C-3"/>
    <s v="#1774B9"/>
    <s v="990-0201"/>
    <n v="99200003"/>
    <s v="T-1034"/>
    <s v="C-996"/>
    <s v="FI-993"/>
    <s v="M-1010"/>
  </r>
  <r>
    <x v="201"/>
    <n v="990"/>
    <x v="0"/>
    <x v="2"/>
    <n v="4"/>
    <x v="14"/>
    <x v="2"/>
    <x v="1"/>
    <x v="4"/>
    <s v="Ninguno"/>
    <s v="Casos de VIF por comuna"/>
    <s v="Periodo 2020-2021"/>
    <s v="Número de Denuncias"/>
    <s v="Centro de Estudios y Análisis del Delito (CEAD) de la Subsecretaría de Prevención del Delito"/>
    <x v="201"/>
    <m/>
    <s v="Mapa de calor"/>
    <s v="Región de Coquimbo comunal VIF violencia intrafamiliar denuncias CEAD mujer"/>
    <x v="200"/>
    <s v="100-C-4"/>
    <s v="#1774B9"/>
    <s v="990-0202"/>
    <n v="99200004"/>
    <s v="T-1034"/>
    <s v="C-996"/>
    <s v="FI-993"/>
    <s v="M-1010"/>
  </r>
  <r>
    <x v="202"/>
    <n v="990"/>
    <x v="0"/>
    <x v="2"/>
    <n v="5"/>
    <x v="14"/>
    <x v="2"/>
    <x v="1"/>
    <x v="5"/>
    <s v="Ninguno"/>
    <s v="Casos de VIF por comuna"/>
    <s v="Periodo 2020-2021"/>
    <s v="Número de Denuncias"/>
    <s v="Centro de Estudios y Análisis del Delito (CEAD) de la Subsecretaría de Prevención del Delito"/>
    <x v="202"/>
    <m/>
    <s v="Mapa de calor"/>
    <s v="Región de Valparaíso comunal VIF violencia intrafamiliar denuncias CEAD mujer"/>
    <x v="201"/>
    <s v="100-C-5"/>
    <s v="#1774B9"/>
    <s v="990-0203"/>
    <n v="99200005"/>
    <s v="T-1034"/>
    <s v="C-996"/>
    <s v="FI-993"/>
    <s v="M-1010"/>
  </r>
  <r>
    <x v="203"/>
    <n v="990"/>
    <x v="0"/>
    <x v="2"/>
    <n v="6"/>
    <x v="14"/>
    <x v="2"/>
    <x v="1"/>
    <x v="6"/>
    <s v="Ninguno"/>
    <s v="Casos de VIF por comuna"/>
    <s v="Periodo 2020-2021"/>
    <s v="Número de Denuncias"/>
    <s v="Centro de Estudios y Análisis del Delito (CEAD) de la Subsecretaría de Prevención del Delito"/>
    <x v="203"/>
    <m/>
    <s v="Mapa de calor"/>
    <s v="Región de O'Higgins comunal VIF violencia intrafamiliar denuncias CEAD mujer"/>
    <x v="202"/>
    <s v="100-C-6"/>
    <s v="#1774B9"/>
    <s v="990-0204"/>
    <n v="99200006"/>
    <s v="T-1034"/>
    <s v="C-996"/>
    <s v="FI-993"/>
    <s v="M-1010"/>
  </r>
  <r>
    <x v="204"/>
    <n v="990"/>
    <x v="0"/>
    <x v="2"/>
    <n v="7"/>
    <x v="14"/>
    <x v="2"/>
    <x v="1"/>
    <x v="7"/>
    <s v="Ninguno"/>
    <s v="Casos de VIF por comuna"/>
    <s v="Periodo 2020-2021"/>
    <s v="Número de Denuncias"/>
    <s v="Centro de Estudios y Análisis del Delito (CEAD) de la Subsecretaría de Prevención del Delito"/>
    <x v="204"/>
    <m/>
    <s v="Mapa de calor"/>
    <s v="Región de Maule comunal VIF violencia intrafamiliar denuncias CEAD mujer"/>
    <x v="203"/>
    <s v="100-C-7"/>
    <s v="#1774B9"/>
    <s v="990-0205"/>
    <n v="99200007"/>
    <s v="T-1034"/>
    <s v="C-996"/>
    <s v="FI-993"/>
    <s v="M-1010"/>
  </r>
  <r>
    <x v="205"/>
    <n v="990"/>
    <x v="0"/>
    <x v="2"/>
    <n v="8"/>
    <x v="14"/>
    <x v="2"/>
    <x v="1"/>
    <x v="8"/>
    <s v="Ninguno"/>
    <s v="Casos de VIF por comuna"/>
    <s v="Periodo 2020-2021"/>
    <s v="Número de Denuncias"/>
    <s v="Centro de Estudios y Análisis del Delito (CEAD) de la Subsecretaría de Prevención del Delito"/>
    <x v="205"/>
    <m/>
    <s v="Mapa de calor"/>
    <s v="Región del Biobío comunal VIF violencia intrafamiliar denuncias CEAD mujer"/>
    <x v="204"/>
    <s v="100-C-8"/>
    <s v="#1774B9"/>
    <s v="990-0206"/>
    <n v="99200008"/>
    <s v="T-1034"/>
    <s v="C-996"/>
    <s v="FI-993"/>
    <s v="M-1010"/>
  </r>
  <r>
    <x v="206"/>
    <n v="990"/>
    <x v="0"/>
    <x v="2"/>
    <n v="9"/>
    <x v="14"/>
    <x v="2"/>
    <x v="1"/>
    <x v="9"/>
    <s v="Ninguno"/>
    <s v="Casos de VIF por comuna"/>
    <s v="Periodo 2020-2021"/>
    <s v="Número de Denuncias"/>
    <s v="Centro de Estudios y Análisis del Delito (CEAD) de la Subsecretaría de Prevención del Delito"/>
    <x v="206"/>
    <m/>
    <s v="Mapa de calor"/>
    <s v="Región de La Araucanía comunal VIF violencia intrafamiliar denuncias CEAD mujer"/>
    <x v="205"/>
    <s v="100-C-9"/>
    <s v="#1774B9"/>
    <s v="990-0207"/>
    <n v="99200009"/>
    <s v="T-1034"/>
    <s v="C-996"/>
    <s v="FI-993"/>
    <s v="M-1010"/>
  </r>
  <r>
    <x v="207"/>
    <n v="990"/>
    <x v="0"/>
    <x v="2"/>
    <n v="10"/>
    <x v="14"/>
    <x v="2"/>
    <x v="1"/>
    <x v="10"/>
    <s v="Ninguno"/>
    <s v="Casos de VIF por comuna"/>
    <s v="Periodo 2020-2021"/>
    <s v="Número de Denuncias"/>
    <s v="Centro de Estudios y Análisis del Delito (CEAD) de la Subsecretaría de Prevención del Delito"/>
    <x v="207"/>
    <m/>
    <s v="Mapa de calor"/>
    <s v="Región de Los Lagos comunal VIF violencia intrafamiliar denuncias CEAD mujer"/>
    <x v="206"/>
    <s v="100-C-10"/>
    <s v="#1774B9"/>
    <s v="990-0208"/>
    <n v="99200010"/>
    <s v="T-1034"/>
    <s v="C-996"/>
    <s v="FI-993"/>
    <s v="M-1010"/>
  </r>
  <r>
    <x v="208"/>
    <n v="990"/>
    <x v="0"/>
    <x v="2"/>
    <n v="11"/>
    <x v="14"/>
    <x v="2"/>
    <x v="1"/>
    <x v="11"/>
    <s v="Ninguno"/>
    <s v="Casos de VIF por comuna"/>
    <s v="Periodo 2020-2021"/>
    <s v="Número de Denuncias"/>
    <s v="Centro de Estudios y Análisis del Delito (CEAD) de la Subsecretaría de Prevención del Delito"/>
    <x v="208"/>
    <m/>
    <s v="Mapa de calor"/>
    <s v="Región de Aysén comunal VIF violencia intrafamiliar denuncias CEAD mujer"/>
    <x v="207"/>
    <s v="100-C-11"/>
    <s v="#1774B9"/>
    <s v="990-0209"/>
    <n v="99200011"/>
    <s v="T-1034"/>
    <s v="C-996"/>
    <s v="FI-993"/>
    <s v="M-1010"/>
  </r>
  <r>
    <x v="209"/>
    <n v="990"/>
    <x v="0"/>
    <x v="2"/>
    <n v="12"/>
    <x v="14"/>
    <x v="2"/>
    <x v="1"/>
    <x v="12"/>
    <s v="Ninguno"/>
    <s v="Casos de VIF por comuna"/>
    <s v="Periodo 2020-2021"/>
    <s v="Número de Denuncias"/>
    <s v="Centro de Estudios y Análisis del Delito (CEAD) de la Subsecretaría de Prevención del Delito"/>
    <x v="209"/>
    <m/>
    <s v="Mapa de calor"/>
    <s v="Región de Magallanes comunal VIF violencia intrafamiliar denuncias CEAD mujer"/>
    <x v="208"/>
    <s v="100-C-12"/>
    <s v="#1774B9"/>
    <s v="990-0210"/>
    <n v="99200012"/>
    <s v="T-1034"/>
    <s v="C-996"/>
    <s v="FI-993"/>
    <s v="M-1010"/>
  </r>
  <r>
    <x v="210"/>
    <n v="990"/>
    <x v="0"/>
    <x v="2"/>
    <n v="13"/>
    <x v="14"/>
    <x v="2"/>
    <x v="1"/>
    <x v="13"/>
    <s v="Ninguno"/>
    <s v="Casos de VIF por comuna"/>
    <s v="Periodo 2020-2021"/>
    <s v="Número de Denuncias"/>
    <s v="Centro de Estudios y Análisis del Delito (CEAD) de la Subsecretaría de Prevención del Delito"/>
    <x v="210"/>
    <m/>
    <s v="Mapa de calor"/>
    <s v="Región Metropolitana comunal VIF violencia intrafamiliar denuncias CEAD mujer"/>
    <x v="209"/>
    <s v="200-C-13"/>
    <s v="#1774B9"/>
    <s v="990-0211"/>
    <n v="99200013"/>
    <s v="T-1034"/>
    <s v="C-996"/>
    <s v="FI-993"/>
    <s v="M-1010"/>
  </r>
  <r>
    <x v="211"/>
    <n v="990"/>
    <x v="0"/>
    <x v="2"/>
    <n v="14"/>
    <x v="14"/>
    <x v="2"/>
    <x v="1"/>
    <x v="14"/>
    <s v="Ninguno"/>
    <s v="Casos de VIF por comuna"/>
    <s v="Periodo 2020-2021"/>
    <s v="Número de Denuncias"/>
    <s v="Centro de Estudios y Análisis del Delito (CEAD) de la Subsecretaría de Prevención del Delito"/>
    <x v="211"/>
    <m/>
    <s v="Mapa de calor"/>
    <s v="Región de Los Ríos comunal VIF violencia intrafamiliar denuncias CEAD mujer"/>
    <x v="210"/>
    <s v="100-C-14"/>
    <s v="#1774B9"/>
    <s v="990-0212"/>
    <n v="99200014"/>
    <s v="T-1034"/>
    <s v="C-996"/>
    <s v="FI-993"/>
    <s v="M-1010"/>
  </r>
  <r>
    <x v="212"/>
    <n v="990"/>
    <x v="0"/>
    <x v="2"/>
    <n v="15"/>
    <x v="14"/>
    <x v="2"/>
    <x v="1"/>
    <x v="15"/>
    <s v="Ninguno"/>
    <s v="Casos de VIF por comuna"/>
    <s v="Periodo 2020-2021"/>
    <s v="Número de Denuncias"/>
    <s v="Centro de Estudios y Análisis del Delito (CEAD) de la Subsecretaría de Prevención del Delito"/>
    <x v="212"/>
    <m/>
    <s v="Mapa de calor"/>
    <s v="Región de Arica y Parinacota comunal VIF violencia intrafamiliar denuncias CEAD mujer"/>
    <x v="211"/>
    <s v="100-C-15"/>
    <s v="#1774B9"/>
    <s v="990-0213"/>
    <n v="99200015"/>
    <s v="T-1034"/>
    <s v="C-996"/>
    <s v="FI-993"/>
    <s v="M-1010"/>
  </r>
  <r>
    <x v="213"/>
    <n v="990"/>
    <x v="0"/>
    <x v="2"/>
    <n v="16"/>
    <x v="14"/>
    <x v="2"/>
    <x v="1"/>
    <x v="16"/>
    <s v="Ninguno"/>
    <s v="Casos de VIF por comuna"/>
    <s v="Periodo 2020-2021"/>
    <s v="Número de Denuncias"/>
    <s v="Centro de Estudios y Análisis del Delito (CEAD) de la Subsecretaría de Prevención del Delito"/>
    <x v="213"/>
    <m/>
    <s v="Mapa de calor"/>
    <s v="Región de Ñuble comunal VIF violencia intrafamiliar denuncias CEAD mujer"/>
    <x v="212"/>
    <s v="100-C-16"/>
    <s v="#1774B9"/>
    <s v="990-0214"/>
    <n v="99200016"/>
    <s v="T-1034"/>
    <s v="C-996"/>
    <s v="FI-993"/>
    <s v="M-1010"/>
  </r>
  <r>
    <x v="214"/>
    <n v="990"/>
    <x v="0"/>
    <x v="5"/>
    <n v="0"/>
    <x v="15"/>
    <x v="5"/>
    <x v="0"/>
    <x v="0"/>
    <s v="Ninguno"/>
    <s v="Fruta producida por tipo de envase utilizado en Chile"/>
    <s v="Periodo 2018-2020"/>
    <s v="Toneladas"/>
    <s v="Oficina de Estudios y Políticas Agrarias (ODEPA)"/>
    <x v="214"/>
    <s v="El 40,1% de la fruta producida a nivel nacional es envasada en plástico, siendo el tipo de envase más utilizado. En segundo lugar está el papel y cartón con un 28,9%. Los materiales reutilizables como madera y vidrio suman entre ambos un 12,7%, siendo el Tetra-Brix el tipo de envase menos utilizado con un 0,3%."/>
    <s v="Gráfico "/>
    <s v="Chile fruta producida producción envases envasada plástico vidrio madera papel cartón metal"/>
    <x v="213"/>
    <n v="0"/>
    <s v="#1774B9"/>
    <s v="990-0215"/>
    <n v="99100000"/>
    <s v="T-1035"/>
    <s v="C-997"/>
    <s v="FI-993"/>
    <s v="M-1011"/>
  </r>
  <r>
    <x v="215"/>
    <n v="990"/>
    <x v="0"/>
    <x v="5"/>
    <n v="0"/>
    <x v="7"/>
    <x v="5"/>
    <x v="0"/>
    <x v="0"/>
    <s v="Comuna"/>
    <s v="Destino de fruta producida por comuna"/>
    <s v="Periodo 2018-2020"/>
    <s v="Toneladas"/>
    <s v="Oficina de Estudios y Políticas Agrarias (ODEPA)"/>
    <x v="215"/>
    <m/>
    <s v="Gráfico "/>
    <s v="Chile fruta producción tonelada europa américa asia continente destino interno externo"/>
    <x v="214"/>
    <s v="300-C"/>
    <s v="#1774B9"/>
    <s v="990-0216"/>
    <n v="99100000"/>
    <s v="T-1031"/>
    <s v="C-997"/>
    <s v="FI-991"/>
    <s v="M-1012"/>
  </r>
  <r>
    <x v="216"/>
    <n v="990"/>
    <x v="0"/>
    <x v="5"/>
    <n v="1"/>
    <x v="7"/>
    <x v="5"/>
    <x v="1"/>
    <x v="1"/>
    <s v="Comuna"/>
    <s v="Destino de fruta producida por comuna"/>
    <s v="Periodo 2018-2020"/>
    <s v="Toneladas"/>
    <s v="Oficina de Estudios y Políticas Agrarias (ODEPA)"/>
    <x v="216"/>
    <m/>
    <s v="Gráfico "/>
    <s v="Región de Tarapacá fruta producción tonelada europa américa asia continente destino interno externo"/>
    <x v="215"/>
    <s v="100-C-1"/>
    <s v="#1774B9"/>
    <s v="990-0217"/>
    <n v="99200001"/>
    <s v="T-1031"/>
    <s v="C-997"/>
    <s v="FI-991"/>
    <s v="M-1012"/>
  </r>
  <r>
    <x v="217"/>
    <n v="990"/>
    <x v="0"/>
    <x v="5"/>
    <n v="2"/>
    <x v="7"/>
    <x v="5"/>
    <x v="1"/>
    <x v="2"/>
    <s v="Comuna"/>
    <s v="Destino de fruta producida por comuna"/>
    <s v="Periodo 2018-2020"/>
    <s v="Toneladas"/>
    <s v="Oficina de Estudios y Políticas Agrarias (ODEPA)"/>
    <x v="217"/>
    <m/>
    <s v="Gráfico "/>
    <s v="Región de Antofagasta fruta producción tonelada europa américa asia continente destino interno externo"/>
    <x v="216"/>
    <s v="100-C-2"/>
    <s v="#1774B9"/>
    <s v="990-0218"/>
    <n v="99200002"/>
    <s v="T-1031"/>
    <s v="C-997"/>
    <s v="FI-991"/>
    <s v="M-1012"/>
  </r>
  <r>
    <x v="218"/>
    <n v="990"/>
    <x v="0"/>
    <x v="5"/>
    <n v="3"/>
    <x v="7"/>
    <x v="5"/>
    <x v="1"/>
    <x v="3"/>
    <s v="Comuna"/>
    <s v="Destino de fruta producida por comuna"/>
    <s v="Periodo 2018-2020"/>
    <s v="Toneladas"/>
    <s v="Oficina de Estudios y Políticas Agrarias (ODEPA)"/>
    <x v="218"/>
    <m/>
    <s v="Gráfico "/>
    <s v="Región de Atacama fruta producción tonelada europa américa asia continente destino interno externo"/>
    <x v="217"/>
    <s v="100-C-3"/>
    <s v="#1774B9"/>
    <s v="990-0219"/>
    <n v="99200003"/>
    <s v="T-1031"/>
    <s v="C-997"/>
    <s v="FI-991"/>
    <s v="M-1012"/>
  </r>
  <r>
    <x v="219"/>
    <n v="990"/>
    <x v="0"/>
    <x v="5"/>
    <n v="4"/>
    <x v="7"/>
    <x v="5"/>
    <x v="1"/>
    <x v="4"/>
    <s v="Comuna"/>
    <s v="Destino de fruta producida por comuna"/>
    <s v="Periodo 2018-2020"/>
    <s v="Toneladas"/>
    <s v="Oficina de Estudios y Políticas Agrarias (ODEPA)"/>
    <x v="219"/>
    <s v="El 46,3% de las 13.874 toneladas de fruta producidas en la comuna de Ovalle son clasificadas como &quot;sin destino externo&quot; lo que se traduce en que son para consumo nacional, ya sea dentro de la misma comuna o para el consumo de otros mercados a nivel nacional. En segundo lugar, el mayor destino es Europa, con un 31,8% de la producción, que corresponde a 4.412 toneladas."/>
    <s v="Gráfico "/>
    <s v="Región de Coquimbo fruta producción tonelada europa américa asia continente destino interno externo"/>
    <x v="218"/>
    <s v="100-C-4"/>
    <s v="#1774B9"/>
    <s v="990-0220"/>
    <n v="99200004"/>
    <s v="T-1031"/>
    <s v="C-997"/>
    <s v="FI-991"/>
    <s v="M-1012"/>
  </r>
  <r>
    <x v="220"/>
    <n v="990"/>
    <x v="0"/>
    <x v="5"/>
    <n v="5"/>
    <x v="7"/>
    <x v="5"/>
    <x v="1"/>
    <x v="5"/>
    <s v="Comuna"/>
    <s v="Destino de fruta producida por comuna"/>
    <s v="Periodo 2018-2020"/>
    <s v="Toneladas"/>
    <s v="Oficina de Estudios y Políticas Agrarias (ODEPA)"/>
    <x v="220"/>
    <m/>
    <s v="Gráfico "/>
    <s v="Región de Valparaíso fruta producción tonelada europa américa asia continente destino interno externo"/>
    <x v="219"/>
    <s v="100-C-5"/>
    <s v="#1774B9"/>
    <s v="990-0221"/>
    <n v="99200005"/>
    <s v="T-1031"/>
    <s v="C-997"/>
    <s v="FI-991"/>
    <s v="M-1012"/>
  </r>
  <r>
    <x v="221"/>
    <n v="990"/>
    <x v="0"/>
    <x v="5"/>
    <n v="6"/>
    <x v="7"/>
    <x v="5"/>
    <x v="1"/>
    <x v="6"/>
    <s v="Comuna"/>
    <s v="Destino de fruta producida por comuna"/>
    <s v="Periodo 2018-2020"/>
    <s v="Toneladas"/>
    <s v="Oficina de Estudios y Políticas Agrarias (ODEPA)"/>
    <x v="221"/>
    <m/>
    <s v="Gráfico "/>
    <s v="Región de O'Higgins fruta producción tonelada europa américa asia continente destino interno externo"/>
    <x v="220"/>
    <s v="100-C-6"/>
    <s v="#1774B9"/>
    <s v="990-0222"/>
    <n v="99200006"/>
    <s v="T-1031"/>
    <s v="C-997"/>
    <s v="FI-991"/>
    <s v="M-1012"/>
  </r>
  <r>
    <x v="222"/>
    <n v="990"/>
    <x v="0"/>
    <x v="5"/>
    <n v="7"/>
    <x v="7"/>
    <x v="5"/>
    <x v="1"/>
    <x v="7"/>
    <s v="Comuna"/>
    <s v="Destino de fruta producida por comuna"/>
    <s v="Periodo 2018-2020"/>
    <s v="Toneladas"/>
    <s v="Oficina de Estudios y Políticas Agrarias (ODEPA)"/>
    <x v="222"/>
    <m/>
    <s v="Gráfico "/>
    <s v="Región de Maule fruta producción tonelada europa américa asia continente destino interno externo"/>
    <x v="221"/>
    <s v="100-C-7"/>
    <s v="#1774B9"/>
    <s v="990-0223"/>
    <n v="99200007"/>
    <s v="T-1031"/>
    <s v="C-997"/>
    <s v="FI-991"/>
    <s v="M-1012"/>
  </r>
  <r>
    <x v="223"/>
    <n v="990"/>
    <x v="0"/>
    <x v="5"/>
    <n v="8"/>
    <x v="7"/>
    <x v="5"/>
    <x v="1"/>
    <x v="8"/>
    <s v="Comuna"/>
    <s v="Destino de fruta producida por comuna"/>
    <s v="Periodo 2018-2020"/>
    <s v="Toneladas"/>
    <s v="Oficina de Estudios y Políticas Agrarias (ODEPA)"/>
    <x v="223"/>
    <m/>
    <s v="Gráfico "/>
    <s v="Región del Biobío fruta producción tonelada europa américa asia continente destino interno externo"/>
    <x v="222"/>
    <s v="100-C-8"/>
    <s v="#1774B9"/>
    <s v="990-0224"/>
    <n v="99200008"/>
    <s v="T-1031"/>
    <s v="C-997"/>
    <s v="FI-991"/>
    <s v="M-1012"/>
  </r>
  <r>
    <x v="224"/>
    <n v="990"/>
    <x v="0"/>
    <x v="5"/>
    <n v="9"/>
    <x v="7"/>
    <x v="5"/>
    <x v="1"/>
    <x v="9"/>
    <s v="Comuna"/>
    <s v="Destino de fruta producida por comuna"/>
    <s v="Periodo 2018-2020"/>
    <s v="Toneladas"/>
    <s v="Oficina de Estudios y Políticas Agrarias (ODEPA)"/>
    <x v="224"/>
    <m/>
    <s v="Gráfico "/>
    <s v="Región de La Araucanía fruta producción tonelada europa américa asia continente destino interno externo"/>
    <x v="223"/>
    <s v="100-C-9"/>
    <s v="#1774B9"/>
    <s v="990-0225"/>
    <n v="99200009"/>
    <s v="T-1031"/>
    <s v="C-997"/>
    <s v="FI-991"/>
    <s v="M-1012"/>
  </r>
  <r>
    <x v="225"/>
    <n v="990"/>
    <x v="0"/>
    <x v="5"/>
    <n v="10"/>
    <x v="7"/>
    <x v="5"/>
    <x v="1"/>
    <x v="10"/>
    <s v="Comuna"/>
    <s v="Destino de fruta producida por comuna"/>
    <s v="Periodo 2018-2020"/>
    <s v="Toneladas"/>
    <s v="Oficina de Estudios y Políticas Agrarias (ODEPA)"/>
    <x v="225"/>
    <m/>
    <s v="Gráfico "/>
    <s v="Región de Los Lagos fruta producción tonelada europa américa asia continente destino interno externo"/>
    <x v="224"/>
    <s v="100-C-10"/>
    <s v="#1774B9"/>
    <s v="990-0226"/>
    <n v="99200010"/>
    <s v="T-1031"/>
    <s v="C-997"/>
    <s v="FI-991"/>
    <s v="M-1012"/>
  </r>
  <r>
    <x v="226"/>
    <n v="990"/>
    <x v="0"/>
    <x v="5"/>
    <n v="11"/>
    <x v="7"/>
    <x v="5"/>
    <x v="1"/>
    <x v="11"/>
    <s v="Comuna"/>
    <s v="Destino de fruta producida por comuna"/>
    <s v="Periodo 2018-2020"/>
    <s v="Toneladas"/>
    <s v="Oficina de Estudios y Políticas Agrarias (ODEPA)"/>
    <x v="226"/>
    <m/>
    <s v="Gráfico "/>
    <s v="Región de Aysén fruta producción tonelada europa américa asia continente destino interno externo"/>
    <x v="225"/>
    <s v="100-C-11"/>
    <s v="#1774B9"/>
    <s v="990-0227"/>
    <n v="99200011"/>
    <s v="T-1031"/>
    <s v="C-997"/>
    <s v="FI-991"/>
    <s v="M-1012"/>
  </r>
  <r>
    <x v="227"/>
    <n v="990"/>
    <x v="0"/>
    <x v="5"/>
    <n v="12"/>
    <x v="7"/>
    <x v="5"/>
    <x v="1"/>
    <x v="12"/>
    <s v="Comuna"/>
    <s v="Destino de fruta producida por comuna"/>
    <s v="Periodo 2018-2020"/>
    <s v="Toneladas"/>
    <s v="Oficina de Estudios y Políticas Agrarias (ODEPA)"/>
    <x v="227"/>
    <m/>
    <s v="Gráfico "/>
    <s v="Región de Magallanes fruta producción tonelada europa américa asia continente destino interno externo"/>
    <x v="226"/>
    <s v="100-C-12"/>
    <s v="#1774B9"/>
    <s v="990-0228"/>
    <n v="99200012"/>
    <s v="T-1031"/>
    <s v="C-997"/>
    <s v="FI-991"/>
    <s v="M-1012"/>
  </r>
  <r>
    <x v="228"/>
    <n v="990"/>
    <x v="0"/>
    <x v="5"/>
    <n v="13"/>
    <x v="7"/>
    <x v="5"/>
    <x v="1"/>
    <x v="13"/>
    <s v="Comuna"/>
    <s v="Destino de fruta producida por comuna"/>
    <s v="Periodo 2018-2020"/>
    <s v="Toneladas"/>
    <s v="Oficina de Estudios y Políticas Agrarias (ODEPA)"/>
    <x v="228"/>
    <m/>
    <s v="Gráfico "/>
    <s v="Región Metropolitana fruta producción tonelada europa américa asia continente destino interno externo"/>
    <x v="227"/>
    <s v="200-C-13"/>
    <s v="#1774B9"/>
    <s v="990-0229"/>
    <n v="99200013"/>
    <s v="T-1031"/>
    <s v="C-997"/>
    <s v="FI-991"/>
    <s v="M-1012"/>
  </r>
  <r>
    <x v="229"/>
    <n v="990"/>
    <x v="0"/>
    <x v="5"/>
    <n v="14"/>
    <x v="7"/>
    <x v="5"/>
    <x v="1"/>
    <x v="14"/>
    <s v="Comuna"/>
    <s v="Destino de fruta producida por comuna"/>
    <s v="Periodo 2018-2020"/>
    <s v="Toneladas"/>
    <s v="Oficina de Estudios y Políticas Agrarias (ODEPA)"/>
    <x v="229"/>
    <m/>
    <s v="Gráfico "/>
    <s v="Región de Los Ríos fruta producción tonelada europa américa asia continente destino interno externo"/>
    <x v="228"/>
    <s v="100-C-14"/>
    <s v="#1774B9"/>
    <s v="990-0230"/>
    <n v="99200014"/>
    <s v="T-1031"/>
    <s v="C-997"/>
    <s v="FI-991"/>
    <s v="M-1012"/>
  </r>
  <r>
    <x v="230"/>
    <n v="990"/>
    <x v="0"/>
    <x v="5"/>
    <n v="15"/>
    <x v="7"/>
    <x v="5"/>
    <x v="1"/>
    <x v="15"/>
    <s v="Comuna"/>
    <s v="Destino de fruta producida por comuna"/>
    <s v="Periodo 2018-2020"/>
    <s v="Toneladas"/>
    <s v="Oficina de Estudios y Políticas Agrarias (ODEPA)"/>
    <x v="230"/>
    <m/>
    <s v="Gráfico "/>
    <s v="Región de Arica y Parinacota fruta producción tonelada europa américa asia continente destino interno externo"/>
    <x v="229"/>
    <s v="100-C-15"/>
    <s v="#1774B9"/>
    <s v="990-0231"/>
    <n v="99200015"/>
    <s v="T-1031"/>
    <s v="C-997"/>
    <s v="FI-991"/>
    <s v="M-1012"/>
  </r>
  <r>
    <x v="231"/>
    <n v="990"/>
    <x v="0"/>
    <x v="5"/>
    <n v="16"/>
    <x v="7"/>
    <x v="5"/>
    <x v="1"/>
    <x v="16"/>
    <s v="Comuna"/>
    <s v="Destino de fruta producida por comuna"/>
    <s v="Periodo 2018-2020"/>
    <s v="Toneladas"/>
    <s v="Oficina de Estudios y Políticas Agrarias (ODEPA)"/>
    <x v="231"/>
    <m/>
    <s v="Gráfico "/>
    <s v="Región de Ñuble fruta producción tonelada europa américa asia continente destino interno externo"/>
    <x v="230"/>
    <s v="100-C-16"/>
    <s v="#1774B9"/>
    <s v="990-0232"/>
    <n v="99200016"/>
    <s v="T-1031"/>
    <s v="C-997"/>
    <s v="FI-991"/>
    <s v="M-1012"/>
  </r>
  <r>
    <x v="232"/>
    <n v="990"/>
    <x v="0"/>
    <x v="5"/>
    <n v="0"/>
    <x v="16"/>
    <x v="5"/>
    <x v="0"/>
    <x v="0"/>
    <s v="Ninguno"/>
    <s v="Superficie plantada por región"/>
    <s v="Periodo 2010-2019"/>
    <s v="Hectáreas"/>
    <s v="Oficina de Estudios y Políticas Agrarias (ODEPA)"/>
    <x v="232"/>
    <s v="En el periodo comprendido entre los años 2010 - 2019, las regiones que lideran la superficie plantada con lechuga son la Metropolitana y la región de Coquimbo, siendo el el año con mayor superficie de lechuga plantada el 2015, en que la superficie total fue cercana a las 7.500 ha, de las cuales 5.368 ha fueron cubiertas por ambas regiones."/>
    <s v="Gráfico de Evolución"/>
    <s v="Chile plantación lechuga hortalizas superficie hectáreas"/>
    <x v="231"/>
    <s v="300-R"/>
    <s v="#1774B9"/>
    <s v="990-0233"/>
    <n v="99100000"/>
    <s v="T-1036"/>
    <s v="C-997"/>
    <s v="FI-993"/>
    <s v="M-1013"/>
  </r>
  <r>
    <x v="233"/>
    <n v="990"/>
    <x v="0"/>
    <x v="5"/>
    <n v="3"/>
    <x v="16"/>
    <x v="5"/>
    <x v="1"/>
    <x v="3"/>
    <s v="Ninguno"/>
    <s v="Superficie plantada por región"/>
    <s v="Periodo 2010-2019"/>
    <s v="Hectáreas"/>
    <s v="Oficina de Estudios y Políticas Agrarias (ODEPA)"/>
    <x v="233"/>
    <m/>
    <s v="Gráfico de Evolución"/>
    <s v="Región de Atacama plantación lechuga hortalizas superficie hectáreas"/>
    <x v="232"/>
    <s v="100-R-3"/>
    <s v="#1774B9"/>
    <s v="990-0234"/>
    <n v="99200003"/>
    <s v="T-1036"/>
    <s v="C-997"/>
    <s v="FI-993"/>
    <s v="M-1013"/>
  </r>
  <r>
    <x v="234"/>
    <n v="990"/>
    <x v="0"/>
    <x v="5"/>
    <n v="4"/>
    <x v="16"/>
    <x v="5"/>
    <x v="1"/>
    <x v="4"/>
    <s v="Ninguno"/>
    <s v="Superficie plantada por región"/>
    <s v="Periodo 2010-2019"/>
    <s v="Hectáreas"/>
    <s v="Oficina de Estudios y Políticas Agrarias (ODEPA)"/>
    <x v="234"/>
    <m/>
    <s v="Gráfico de Evolución"/>
    <s v="Región de Coquimbo plantación lechuga hortalizas superficie hectáreas"/>
    <x v="233"/>
    <s v="100-R-4"/>
    <s v="#1774B9"/>
    <s v="990-0235"/>
    <n v="99200004"/>
    <s v="T-1036"/>
    <s v="C-997"/>
    <s v="FI-993"/>
    <s v="M-1013"/>
  </r>
  <r>
    <x v="235"/>
    <n v="990"/>
    <x v="0"/>
    <x v="5"/>
    <n v="5"/>
    <x v="16"/>
    <x v="5"/>
    <x v="1"/>
    <x v="5"/>
    <s v="Ninguno"/>
    <s v="Superficie plantada por región"/>
    <s v="Periodo 2010-2019"/>
    <s v="Hectáreas"/>
    <s v="Oficina de Estudios y Políticas Agrarias (ODEPA)"/>
    <x v="235"/>
    <m/>
    <s v="Gráfico de Evolución"/>
    <s v="Región de Valparaíso plantación lechuga hortalizas superficie hectáreas"/>
    <x v="234"/>
    <s v="100-R-5"/>
    <s v="#1774B9"/>
    <s v="990-0236"/>
    <n v="99200005"/>
    <s v="T-1036"/>
    <s v="C-997"/>
    <s v="FI-993"/>
    <s v="M-1013"/>
  </r>
  <r>
    <x v="236"/>
    <n v="990"/>
    <x v="0"/>
    <x v="5"/>
    <n v="6"/>
    <x v="16"/>
    <x v="5"/>
    <x v="1"/>
    <x v="6"/>
    <s v="Ninguno"/>
    <s v="Superficie plantada por región"/>
    <s v="Periodo 2010-2019"/>
    <s v="Hectáreas"/>
    <s v="Oficina de Estudios y Políticas Agrarias (ODEPA)"/>
    <x v="236"/>
    <m/>
    <s v="Gráfico de Evolución"/>
    <s v="Región de O'Higgins plantación lechuga hortalizas superficie hectáreas"/>
    <x v="235"/>
    <s v="100-R-6"/>
    <s v="#1774B9"/>
    <s v="990-0237"/>
    <n v="99200006"/>
    <s v="T-1036"/>
    <s v="C-997"/>
    <s v="FI-993"/>
    <s v="M-1013"/>
  </r>
  <r>
    <x v="237"/>
    <n v="990"/>
    <x v="0"/>
    <x v="5"/>
    <n v="7"/>
    <x v="16"/>
    <x v="5"/>
    <x v="1"/>
    <x v="7"/>
    <s v="Ninguno"/>
    <s v="Superficie plantada por región"/>
    <s v="Periodo 2010-2019"/>
    <s v="Hectáreas"/>
    <s v="Oficina de Estudios y Políticas Agrarias (ODEPA)"/>
    <x v="237"/>
    <m/>
    <s v="Gráfico de Evolución"/>
    <s v="Región de Maule plantación lechuga hortalizas superficie hectáreas"/>
    <x v="236"/>
    <s v="100-R-7"/>
    <s v="#1774B9"/>
    <s v="990-0238"/>
    <n v="99200007"/>
    <s v="T-1036"/>
    <s v="C-997"/>
    <s v="FI-993"/>
    <s v="M-1013"/>
  </r>
  <r>
    <x v="238"/>
    <n v="990"/>
    <x v="0"/>
    <x v="5"/>
    <n v="8"/>
    <x v="16"/>
    <x v="5"/>
    <x v="1"/>
    <x v="8"/>
    <s v="Ninguno"/>
    <s v="Superficie plantada por región"/>
    <s v="Periodo 2010-2019"/>
    <s v="Hectáreas"/>
    <s v="Oficina de Estudios y Políticas Agrarias (ODEPA)"/>
    <x v="238"/>
    <m/>
    <s v="Gráfico de Evolución"/>
    <s v="Región del Biobío plantación lechuga hortalizas superficie hectáreas"/>
    <x v="237"/>
    <s v="100-R-8"/>
    <s v="#1774B9"/>
    <s v="990-0239"/>
    <n v="99200008"/>
    <s v="T-1036"/>
    <s v="C-997"/>
    <s v="FI-993"/>
    <s v="M-1013"/>
  </r>
  <r>
    <x v="239"/>
    <n v="990"/>
    <x v="0"/>
    <x v="5"/>
    <n v="9"/>
    <x v="16"/>
    <x v="5"/>
    <x v="1"/>
    <x v="9"/>
    <s v="Ninguno"/>
    <s v="Superficie plantada por región"/>
    <s v="Periodo 2010-2019"/>
    <s v="Hectáreas"/>
    <s v="Oficina de Estudios y Políticas Agrarias (ODEPA)"/>
    <x v="239"/>
    <m/>
    <s v="Gráfico de Evolución"/>
    <s v="Región de La Araucanía plantación lechuga hortalizas superficie hectáreas"/>
    <x v="238"/>
    <s v="100-R-9"/>
    <s v="#1774B9"/>
    <s v="990-0240"/>
    <n v="99200009"/>
    <s v="T-1036"/>
    <s v="C-997"/>
    <s v="FI-993"/>
    <s v="M-1013"/>
  </r>
  <r>
    <x v="240"/>
    <n v="990"/>
    <x v="0"/>
    <x v="5"/>
    <n v="13"/>
    <x v="16"/>
    <x v="5"/>
    <x v="1"/>
    <x v="13"/>
    <s v="Ninguno"/>
    <s v="Superficie plantada por región"/>
    <s v="Periodo 2010-2019"/>
    <s v="Hectáreas"/>
    <s v="Oficina de Estudios y Políticas Agrarias (ODEPA)"/>
    <x v="240"/>
    <m/>
    <s v="Gráfico de Evolución"/>
    <s v="Región Metropolitana plantación lechuga hortalizas superficie hectáreas"/>
    <x v="239"/>
    <s v="200-R-13"/>
    <s v="#1774B9"/>
    <s v="990-0241"/>
    <n v="99200013"/>
    <s v="T-1036"/>
    <s v="C-997"/>
    <s v="FI-993"/>
    <s v="M-1013"/>
  </r>
  <r>
    <x v="241"/>
    <n v="990"/>
    <x v="0"/>
    <x v="5"/>
    <n v="15"/>
    <x v="16"/>
    <x v="5"/>
    <x v="1"/>
    <x v="15"/>
    <s v="Ninguno"/>
    <s v="Superficie plantada por región"/>
    <s v="Periodo 2010-2019"/>
    <s v="Hectáreas"/>
    <s v="Oficina de Estudios y Políticas Agrarias (ODEPA)"/>
    <x v="241"/>
    <m/>
    <s v="Gráfico de Evolución"/>
    <s v="Región de Arica y Parinacota plantación lechuga hortalizas superficie hectáreas"/>
    <x v="240"/>
    <s v="100-R-15"/>
    <s v="#1774B9"/>
    <s v="990-0242"/>
    <n v="99200015"/>
    <s v="T-1036"/>
    <s v="C-997"/>
    <s v="FI-993"/>
    <s v="M-1013"/>
  </r>
  <r>
    <x v="242"/>
    <n v="990"/>
    <x v="0"/>
    <x v="5"/>
    <n v="16"/>
    <x v="16"/>
    <x v="5"/>
    <x v="1"/>
    <x v="16"/>
    <s v="Ninguno"/>
    <s v="Superficie plantada por región"/>
    <s v="Periodo 2010-2019"/>
    <s v="Hectáreas"/>
    <s v="Oficina de Estudios y Políticas Agrarias (ODEPA)"/>
    <x v="242"/>
    <m/>
    <s v="Gráfico de Evolución"/>
    <s v="Región de Ñuble plantación lechuga hortalizas superficie hectáreas"/>
    <x v="241"/>
    <s v="100-R-16"/>
    <s v="#1774B9"/>
    <s v="990-0243"/>
    <n v="99200016"/>
    <s v="T-1036"/>
    <s v="C-997"/>
    <s v="FI-993"/>
    <s v="M-1013"/>
  </r>
  <r>
    <x v="243"/>
    <n v="990"/>
    <x v="0"/>
    <x v="9"/>
    <n v="0"/>
    <x v="17"/>
    <x v="10"/>
    <x v="0"/>
    <x v="0"/>
    <s v="Región"/>
    <s v="Estado de PRDU por región"/>
    <s v="Año 2020"/>
    <s v="Estado"/>
    <s v="Observatorio Urbano - Ministerio de Vivienda y Urbanismo (MINVU)"/>
    <x v="243"/>
    <s v="Según los datos recopilados, sólo 4 de las 16 regiones de Chile poseen un PRDU vigente, las cuales sería Arica y Parinacota, Coquimbo, Antofagasta y O'Higgins, siendo Arica y Parinacota la que posee el PRDU más nuevo que data del año 2014"/>
    <s v="Mapa de calor"/>
    <s v="Chile plan regional desarrollo urbano PRDU MINVU estado vigente inactivo formulación conflicto"/>
    <x v="242"/>
    <n v="0"/>
    <s v="#1774B9"/>
    <s v="990-0244"/>
    <n v="99100000"/>
    <s v="T-1037"/>
    <s v="C-999"/>
    <s v="FI-992"/>
    <s v="M-1014"/>
  </r>
  <r>
    <x v="244"/>
    <n v="990"/>
    <x v="0"/>
    <x v="7"/>
    <n v="0"/>
    <x v="18"/>
    <x v="8"/>
    <x v="0"/>
    <x v="0"/>
    <s v="Comuna"/>
    <s v="Cantidad de espacios culturales por comuna"/>
    <s v="Año 2021"/>
    <s v="Número de espacios culturales"/>
    <s v="Observatorio Cultural"/>
    <x v="244"/>
    <s v="La región Metropolitana es la que posee más espacios culturales con acceso para discapacitados, con 250 espacios de 397 que tiene en total la región. Por otro lado, Valparaíso, es la región que tiene la mayor cantidad de espacios Sin acceso para discapacitados con 133 de un total de 324 espacios."/>
    <s v="Gráfico"/>
    <s v="Chile espacio cultural acceso discapacitados discapacidad cultura"/>
    <x v="243"/>
    <s v="300-C"/>
    <s v="#1774B9"/>
    <s v="990-0245"/>
    <n v="99100000"/>
    <s v="T-997"/>
    <s v="C-1008"/>
    <s v="FI-991"/>
    <s v="M-1006"/>
  </r>
  <r>
    <x v="245"/>
    <n v="990"/>
    <x v="0"/>
    <x v="7"/>
    <n v="1"/>
    <x v="18"/>
    <x v="8"/>
    <x v="1"/>
    <x v="1"/>
    <s v="Comuna"/>
    <s v="Cantidad de espacios culturales por comuna"/>
    <s v="Año 2021"/>
    <s v="Número de espacios culturales"/>
    <s v="Observatorio Cultural"/>
    <x v="245"/>
    <m/>
    <s v="Gráfico"/>
    <s v="Región de Tarapacá espacio cultural acceso discapacitados discapacidad cultura"/>
    <x v="244"/>
    <s v="100-C-1"/>
    <s v="#1774B9"/>
    <s v="990-0246"/>
    <n v="99200001"/>
    <s v="T-997"/>
    <s v="C-1008"/>
    <s v="FI-991"/>
    <s v="M-1006"/>
  </r>
  <r>
    <x v="246"/>
    <n v="990"/>
    <x v="0"/>
    <x v="7"/>
    <n v="2"/>
    <x v="18"/>
    <x v="8"/>
    <x v="1"/>
    <x v="2"/>
    <s v="Comuna"/>
    <s v="Cantidad de espacios culturales por comuna"/>
    <s v="Año 2021"/>
    <s v="Número de espacios culturales"/>
    <s v="Observatorio Cultural"/>
    <x v="246"/>
    <m/>
    <s v="Gráfico"/>
    <s v="Región de Antofagasta espacio cultural acceso discapacitados discapacidad cultura"/>
    <x v="245"/>
    <s v="100-C-2"/>
    <s v="#1774B9"/>
    <s v="990-0247"/>
    <n v="99200002"/>
    <s v="T-997"/>
    <s v="C-1008"/>
    <s v="FI-991"/>
    <s v="M-1006"/>
  </r>
  <r>
    <x v="247"/>
    <n v="990"/>
    <x v="0"/>
    <x v="7"/>
    <n v="3"/>
    <x v="18"/>
    <x v="8"/>
    <x v="1"/>
    <x v="3"/>
    <s v="Comuna"/>
    <s v="Cantidad de espacios culturales por comuna"/>
    <s v="Año 2021"/>
    <s v="Número de espacios culturales"/>
    <s v="Observatorio Cultural"/>
    <x v="247"/>
    <m/>
    <s v="Gráfico"/>
    <s v="Región de Atacama espacio cultural acceso discapacitados discapacidad cultura"/>
    <x v="246"/>
    <s v="100-C-3"/>
    <s v="#1774B9"/>
    <s v="990-0248"/>
    <n v="99200003"/>
    <s v="T-997"/>
    <s v="C-1008"/>
    <s v="FI-991"/>
    <s v="M-1006"/>
  </r>
  <r>
    <x v="248"/>
    <n v="990"/>
    <x v="0"/>
    <x v="7"/>
    <n v="4"/>
    <x v="18"/>
    <x v="8"/>
    <x v="1"/>
    <x v="4"/>
    <s v="Comuna"/>
    <s v="Cantidad de espacios culturales por comuna"/>
    <s v="Año 2021"/>
    <s v="Número de espacios culturales"/>
    <s v="Observatorio Cultural"/>
    <x v="248"/>
    <m/>
    <s v="Gráfico"/>
    <s v="Región de Coquimbo espacio cultural acceso discapacitados discapacidad cultura"/>
    <x v="247"/>
    <s v="100-C-4"/>
    <s v="#1774B9"/>
    <s v="990-0249"/>
    <n v="99200004"/>
    <s v="T-997"/>
    <s v="C-1008"/>
    <s v="FI-991"/>
    <s v="M-1006"/>
  </r>
  <r>
    <x v="249"/>
    <n v="990"/>
    <x v="0"/>
    <x v="7"/>
    <n v="5"/>
    <x v="18"/>
    <x v="8"/>
    <x v="1"/>
    <x v="5"/>
    <s v="Comuna"/>
    <s v="Cantidad de espacios culturales por comuna"/>
    <s v="Año 2021"/>
    <s v="Número de espacios culturales"/>
    <s v="Observatorio Cultural"/>
    <x v="249"/>
    <m/>
    <s v="Gráfico"/>
    <s v="Región de Valparaíso espacio cultural acceso discapacitados discapacidad cultura"/>
    <x v="248"/>
    <s v="100-C-5"/>
    <s v="#1774B9"/>
    <s v="990-0250"/>
    <n v="99200005"/>
    <s v="T-997"/>
    <s v="C-1008"/>
    <s v="FI-991"/>
    <s v="M-1006"/>
  </r>
  <r>
    <x v="250"/>
    <n v="990"/>
    <x v="0"/>
    <x v="7"/>
    <n v="6"/>
    <x v="18"/>
    <x v="8"/>
    <x v="1"/>
    <x v="6"/>
    <s v="Comuna"/>
    <s v="Cantidad de espacios culturales por comuna"/>
    <s v="Año 2021"/>
    <s v="Número de espacios culturales"/>
    <s v="Observatorio Cultural"/>
    <x v="250"/>
    <m/>
    <s v="Gráfico"/>
    <s v="Región de O'Higgins espacio cultural acceso discapacitados discapacidad cultura"/>
    <x v="249"/>
    <s v="100-C-6"/>
    <s v="#1774B9"/>
    <s v="990-0251"/>
    <n v="99200006"/>
    <s v="T-997"/>
    <s v="C-1008"/>
    <s v="FI-991"/>
    <s v="M-1006"/>
  </r>
  <r>
    <x v="251"/>
    <n v="990"/>
    <x v="0"/>
    <x v="7"/>
    <n v="7"/>
    <x v="18"/>
    <x v="8"/>
    <x v="1"/>
    <x v="7"/>
    <s v="Comuna"/>
    <s v="Cantidad de espacios culturales por comuna"/>
    <s v="Año 2021"/>
    <s v="Número de espacios culturales"/>
    <s v="Observatorio Cultural"/>
    <x v="251"/>
    <m/>
    <s v="Gráfico"/>
    <s v="Región de Maule espacio cultural acceso discapacitados discapacidad cultura"/>
    <x v="250"/>
    <s v="100-C-7"/>
    <s v="#1774B9"/>
    <s v="990-0252"/>
    <n v="99200007"/>
    <s v="T-997"/>
    <s v="C-1008"/>
    <s v="FI-991"/>
    <s v="M-1006"/>
  </r>
  <r>
    <x v="252"/>
    <n v="990"/>
    <x v="0"/>
    <x v="7"/>
    <n v="8"/>
    <x v="18"/>
    <x v="8"/>
    <x v="1"/>
    <x v="8"/>
    <s v="Comuna"/>
    <s v="Cantidad de espacios culturales por comuna"/>
    <s v="Año 2021"/>
    <s v="Número de espacios culturales"/>
    <s v="Observatorio Cultural"/>
    <x v="252"/>
    <m/>
    <s v="Gráfico"/>
    <s v="Región del Biobío espacio cultural acceso discapacitados discapacidad cultura"/>
    <x v="251"/>
    <s v="100-C-8"/>
    <s v="#1774B9"/>
    <s v="990-0253"/>
    <n v="99200008"/>
    <s v="T-997"/>
    <s v="C-1008"/>
    <s v="FI-991"/>
    <s v="M-1006"/>
  </r>
  <r>
    <x v="253"/>
    <n v="990"/>
    <x v="0"/>
    <x v="7"/>
    <n v="9"/>
    <x v="18"/>
    <x v="8"/>
    <x v="1"/>
    <x v="9"/>
    <s v="Comuna"/>
    <s v="Cantidad de espacios culturales por comuna"/>
    <s v="Año 2021"/>
    <s v="Número de espacios culturales"/>
    <s v="Observatorio Cultural"/>
    <x v="253"/>
    <m/>
    <s v="Gráfico"/>
    <s v="Región de La Araucanía espacio cultural acceso discapacitados discapacidad cultura"/>
    <x v="252"/>
    <s v="100-C-9"/>
    <s v="#1774B9"/>
    <s v="990-0254"/>
    <n v="99200009"/>
    <s v="T-997"/>
    <s v="C-1008"/>
    <s v="FI-991"/>
    <s v="M-1006"/>
  </r>
  <r>
    <x v="254"/>
    <n v="990"/>
    <x v="0"/>
    <x v="7"/>
    <n v="10"/>
    <x v="18"/>
    <x v="8"/>
    <x v="1"/>
    <x v="10"/>
    <s v="Comuna"/>
    <s v="Cantidad de espacios culturales por comuna"/>
    <s v="Año 2021"/>
    <s v="Número de espacios culturales"/>
    <s v="Observatorio Cultural"/>
    <x v="254"/>
    <m/>
    <s v="Gráfico"/>
    <s v="Región de Los Lagos espacio cultural acceso discapacitados discapacidad cultura"/>
    <x v="253"/>
    <s v="100-C-10"/>
    <s v="#1774B9"/>
    <s v="990-0255"/>
    <n v="99200010"/>
    <s v="T-997"/>
    <s v="C-1008"/>
    <s v="FI-991"/>
    <s v="M-1006"/>
  </r>
  <r>
    <x v="255"/>
    <n v="990"/>
    <x v="0"/>
    <x v="7"/>
    <n v="11"/>
    <x v="18"/>
    <x v="8"/>
    <x v="1"/>
    <x v="11"/>
    <s v="Comuna"/>
    <s v="Cantidad de espacios culturales por comuna"/>
    <s v="Año 2021"/>
    <s v="Número de espacios culturales"/>
    <s v="Observatorio Cultural"/>
    <x v="255"/>
    <m/>
    <s v="Gráfico"/>
    <s v="Región de Aysén espacio cultural acceso discapacitados discapacidad cultura"/>
    <x v="254"/>
    <s v="100-C-11"/>
    <s v="#1774B9"/>
    <s v="990-0256"/>
    <n v="99200011"/>
    <s v="T-997"/>
    <s v="C-1008"/>
    <s v="FI-991"/>
    <s v="M-1006"/>
  </r>
  <r>
    <x v="256"/>
    <n v="990"/>
    <x v="0"/>
    <x v="7"/>
    <n v="12"/>
    <x v="18"/>
    <x v="8"/>
    <x v="1"/>
    <x v="12"/>
    <s v="Comuna"/>
    <s v="Cantidad de espacios culturales por comuna"/>
    <s v="Año 2021"/>
    <s v="Número de espacios culturales"/>
    <s v="Observatorio Cultural"/>
    <x v="256"/>
    <m/>
    <s v="Gráfico"/>
    <s v="Región de Magallanes espacio cultural acceso discapacitados discapacidad cultura"/>
    <x v="255"/>
    <s v="100-C-12"/>
    <s v="#1774B9"/>
    <s v="990-0257"/>
    <n v="99200012"/>
    <s v="T-997"/>
    <s v="C-1008"/>
    <s v="FI-991"/>
    <s v="M-1006"/>
  </r>
  <r>
    <x v="257"/>
    <n v="990"/>
    <x v="0"/>
    <x v="7"/>
    <n v="13"/>
    <x v="18"/>
    <x v="8"/>
    <x v="1"/>
    <x v="13"/>
    <s v="Comuna"/>
    <s v="Cantidad de espacios culturales por comuna"/>
    <s v="Año 2021"/>
    <s v="Número de espacios culturales"/>
    <s v="Observatorio Cultural"/>
    <x v="257"/>
    <m/>
    <s v="Gráfico"/>
    <s v="Región Metropolitana espacio cultural acceso discapacitados discapacidad cultura"/>
    <x v="256"/>
    <s v="200-C-13"/>
    <s v="#1774B9"/>
    <s v="990-0258"/>
    <n v="99200013"/>
    <s v="T-997"/>
    <s v="C-1008"/>
    <s v="FI-991"/>
    <s v="M-1006"/>
  </r>
  <r>
    <x v="258"/>
    <n v="990"/>
    <x v="0"/>
    <x v="7"/>
    <n v="14"/>
    <x v="18"/>
    <x v="8"/>
    <x v="1"/>
    <x v="14"/>
    <s v="Comuna"/>
    <s v="Cantidad de espacios culturales por comuna"/>
    <s v="Año 2021"/>
    <s v="Número de espacios culturales"/>
    <s v="Observatorio Cultural"/>
    <x v="258"/>
    <m/>
    <s v="Gráfico"/>
    <s v="Región de Los Ríos espacio cultural acceso discapacitados discapacidad cultura"/>
    <x v="257"/>
    <s v="100-C-14"/>
    <s v="#1774B9"/>
    <s v="990-0259"/>
    <n v="99200014"/>
    <s v="T-997"/>
    <s v="C-1008"/>
    <s v="FI-991"/>
    <s v="M-1006"/>
  </r>
  <r>
    <x v="259"/>
    <n v="990"/>
    <x v="0"/>
    <x v="7"/>
    <n v="15"/>
    <x v="18"/>
    <x v="8"/>
    <x v="1"/>
    <x v="15"/>
    <s v="Comuna"/>
    <s v="Cantidad de espacios culturales por comuna"/>
    <s v="Año 2021"/>
    <s v="Número de espacios culturales"/>
    <s v="Observatorio Cultural"/>
    <x v="259"/>
    <m/>
    <s v="Gráfico"/>
    <s v="Región de Arica y Parinacota espacio cultural acceso discapacitados discapacidad cultura"/>
    <x v="258"/>
    <s v="100-C-15"/>
    <s v="#1774B9"/>
    <s v="990-0260"/>
    <n v="99200015"/>
    <s v="T-997"/>
    <s v="C-1008"/>
    <s v="FI-991"/>
    <s v="M-1006"/>
  </r>
  <r>
    <x v="260"/>
    <n v="990"/>
    <x v="0"/>
    <x v="7"/>
    <n v="16"/>
    <x v="18"/>
    <x v="8"/>
    <x v="1"/>
    <x v="16"/>
    <s v="Comuna"/>
    <s v="Cantidad de espacios culturales por comuna"/>
    <s v="Año 2021"/>
    <s v="Número de espacios culturales"/>
    <s v="Observatorio Cultural"/>
    <x v="260"/>
    <m/>
    <s v="Gráfico"/>
    <s v="Región de Ñuble espacio cultural acceso discapacitados discapacidad cultura"/>
    <x v="259"/>
    <s v="100-C-16"/>
    <s v="#1774B9"/>
    <s v="990-0261"/>
    <n v="99200016"/>
    <s v="T-997"/>
    <s v="C-1008"/>
    <s v="FI-991"/>
    <s v="M-1006"/>
  </r>
  <r>
    <x v="261"/>
    <n v="990"/>
    <x v="0"/>
    <x v="10"/>
    <n v="0"/>
    <x v="19"/>
    <x v="11"/>
    <x v="0"/>
    <x v="0"/>
    <s v="Región"/>
    <s v="Ventas anuales por rubro por región"/>
    <s v="Año 2019"/>
    <s v="UF"/>
    <s v="Servicio de Impuestos Internos (SII)"/>
    <x v="261"/>
    <m/>
    <s v="Gráfico"/>
    <s v="Chile empresas ventas estimadas rubro sector economía"/>
    <x v="260"/>
    <s v="300-R"/>
    <s v="#1774B9"/>
    <s v="990-0262"/>
    <n v="99100000"/>
    <s v="T-1038"/>
    <s v="C-993"/>
    <s v="FI-992"/>
    <s v="M-1015"/>
  </r>
  <r>
    <x v="262"/>
    <n v="990"/>
    <x v="0"/>
    <x v="10"/>
    <n v="1"/>
    <x v="19"/>
    <x v="11"/>
    <x v="1"/>
    <x v="1"/>
    <s v="Ninguno"/>
    <s v="Ventas anuales por rubro por región"/>
    <s v="Año 2019"/>
    <s v="UF"/>
    <s v="Servicio de Impuestos Internos (SII)"/>
    <x v="262"/>
    <m/>
    <s v="Gráfico"/>
    <s v="Región de Tarapacá empresas ventas estimadas rubro sector economía"/>
    <x v="261"/>
    <s v="100-R-1"/>
    <s v="#1774B9"/>
    <s v="990-0263"/>
    <n v="99200001"/>
    <s v="T-1038"/>
    <s v="C-993"/>
    <s v="FI-993"/>
    <s v="M-1015"/>
  </r>
  <r>
    <x v="263"/>
    <n v="990"/>
    <x v="0"/>
    <x v="10"/>
    <n v="2"/>
    <x v="19"/>
    <x v="11"/>
    <x v="1"/>
    <x v="2"/>
    <s v="Ninguno"/>
    <s v="Ventas anuales por rubro por región"/>
    <s v="Año 2019"/>
    <s v="UF"/>
    <s v="Servicio de Impuestos Internos (SII)"/>
    <x v="263"/>
    <m/>
    <s v="Gráfico"/>
    <s v="Región de Antofagasta empresas ventas estimadas rubro sector economía"/>
    <x v="262"/>
    <s v="100-R-2"/>
    <s v="#1774B9"/>
    <s v="990-0264"/>
    <n v="99200002"/>
    <s v="T-1038"/>
    <s v="C-993"/>
    <s v="FI-993"/>
    <s v="M-1015"/>
  </r>
  <r>
    <x v="264"/>
    <n v="990"/>
    <x v="0"/>
    <x v="10"/>
    <n v="3"/>
    <x v="19"/>
    <x v="11"/>
    <x v="1"/>
    <x v="3"/>
    <s v="Ninguno"/>
    <s v="Ventas anuales por rubro por región"/>
    <s v="Año 2019"/>
    <s v="UF"/>
    <s v="Servicio de Impuestos Internos (SII)"/>
    <x v="264"/>
    <m/>
    <s v="Gráfico"/>
    <s v="Región de Atacama empresas ventas estimadas rubro sector economía"/>
    <x v="263"/>
    <s v="100-R-3"/>
    <s v="#1774B9"/>
    <s v="990-0265"/>
    <n v="99200003"/>
    <s v="T-1038"/>
    <s v="C-993"/>
    <s v="FI-993"/>
    <s v="M-1015"/>
  </r>
  <r>
    <x v="265"/>
    <n v="990"/>
    <x v="0"/>
    <x v="10"/>
    <n v="4"/>
    <x v="19"/>
    <x v="11"/>
    <x v="1"/>
    <x v="4"/>
    <s v="Ninguno"/>
    <s v="Ventas anuales por rubro por región"/>
    <s v="Año 2019"/>
    <s v="UF"/>
    <s v="Servicio de Impuestos Internos (SII)"/>
    <x v="265"/>
    <m/>
    <s v="Gráfico"/>
    <s v="Región de Coquimbo empresas ventas estimadas rubro sector economía"/>
    <x v="264"/>
    <s v="100-R-4"/>
    <s v="#1774B9"/>
    <s v="990-0266"/>
    <n v="99200004"/>
    <s v="T-1038"/>
    <s v="C-993"/>
    <s v="FI-993"/>
    <s v="M-1015"/>
  </r>
  <r>
    <x v="266"/>
    <n v="990"/>
    <x v="0"/>
    <x v="10"/>
    <n v="5"/>
    <x v="19"/>
    <x v="11"/>
    <x v="1"/>
    <x v="5"/>
    <s v="Ninguno"/>
    <s v="Ventas anuales por rubro por región"/>
    <s v="Año 2019"/>
    <s v="UF"/>
    <s v="Servicio de Impuestos Internos (SII)"/>
    <x v="266"/>
    <s v="El rubro económico que cuenta con el mayor porcentaje de ventas anuales en UF es el G - Comercio al por mayor y al menor; reparación de vehículos automotores y motocicletas, con un 25% de las ventas totales en la Región de Valparaíso."/>
    <s v="Gráfico"/>
    <s v="Región de Valparaíso empresas ventas estimadas rubro sector economía"/>
    <x v="265"/>
    <s v="100-R-5"/>
    <s v="#1774B9"/>
    <s v="990-0267"/>
    <n v="99200005"/>
    <s v="T-1038"/>
    <s v="C-993"/>
    <s v="FI-993"/>
    <s v="M-1015"/>
  </r>
  <r>
    <x v="267"/>
    <n v="990"/>
    <x v="0"/>
    <x v="10"/>
    <n v="6"/>
    <x v="19"/>
    <x v="11"/>
    <x v="1"/>
    <x v="6"/>
    <s v="Ninguno"/>
    <s v="Ventas anuales por rubro por región"/>
    <s v="Año 2019"/>
    <s v="UF"/>
    <s v="Servicio de Impuestos Internos (SII)"/>
    <x v="267"/>
    <m/>
    <s v="Gráfico"/>
    <s v="Región de O'Higgins empresas ventas estimadas rubro sector economía"/>
    <x v="266"/>
    <s v="100-R-6"/>
    <s v="#1774B9"/>
    <s v="990-0268"/>
    <n v="99200006"/>
    <s v="T-1038"/>
    <s v="C-993"/>
    <s v="FI-993"/>
    <s v="M-1015"/>
  </r>
  <r>
    <x v="268"/>
    <n v="990"/>
    <x v="0"/>
    <x v="10"/>
    <n v="7"/>
    <x v="19"/>
    <x v="11"/>
    <x v="1"/>
    <x v="7"/>
    <s v="Ninguno"/>
    <s v="Ventas anuales por rubro por región"/>
    <s v="Año 2019"/>
    <s v="UF"/>
    <s v="Servicio de Impuestos Internos (SII)"/>
    <x v="268"/>
    <m/>
    <s v="Gráfico"/>
    <s v="Región de Maule empresas ventas estimadas rubro sector economía"/>
    <x v="267"/>
    <s v="100-R-7"/>
    <s v="#1774B9"/>
    <s v="990-0269"/>
    <n v="99200007"/>
    <s v="T-1038"/>
    <s v="C-993"/>
    <s v="FI-993"/>
    <s v="M-1015"/>
  </r>
  <r>
    <x v="269"/>
    <n v="990"/>
    <x v="0"/>
    <x v="10"/>
    <n v="8"/>
    <x v="19"/>
    <x v="11"/>
    <x v="1"/>
    <x v="8"/>
    <s v="Ninguno"/>
    <s v="Ventas anuales por rubro por región"/>
    <s v="Año 2019"/>
    <s v="UF"/>
    <s v="Servicio de Impuestos Internos (SII)"/>
    <x v="269"/>
    <m/>
    <s v="Gráfico"/>
    <s v="Región del Biobío empresas ventas estimadas rubro sector economía"/>
    <x v="268"/>
    <s v="100-R-8"/>
    <s v="#1774B9"/>
    <s v="990-0270"/>
    <n v="99200008"/>
    <s v="T-1038"/>
    <s v="C-993"/>
    <s v="FI-993"/>
    <s v="M-1015"/>
  </r>
  <r>
    <x v="270"/>
    <n v="990"/>
    <x v="0"/>
    <x v="10"/>
    <n v="9"/>
    <x v="19"/>
    <x v="11"/>
    <x v="1"/>
    <x v="9"/>
    <s v="Ninguno"/>
    <s v="Ventas anuales por rubro por región"/>
    <s v="Año 2019"/>
    <s v="UF"/>
    <s v="Servicio de Impuestos Internos (SII)"/>
    <x v="270"/>
    <m/>
    <s v="Gráfico"/>
    <s v="Región de La Araucanía empresas ventas estimadas rubro sector economía"/>
    <x v="269"/>
    <s v="100-R-9"/>
    <s v="#1774B9"/>
    <s v="990-0271"/>
    <n v="99200009"/>
    <s v="T-1038"/>
    <s v="C-993"/>
    <s v="FI-993"/>
    <s v="M-1015"/>
  </r>
  <r>
    <x v="271"/>
    <n v="990"/>
    <x v="0"/>
    <x v="10"/>
    <n v="10"/>
    <x v="19"/>
    <x v="11"/>
    <x v="1"/>
    <x v="10"/>
    <s v="Ninguno"/>
    <s v="Ventas anuales por rubro por región"/>
    <s v="Año 2019"/>
    <s v="UF"/>
    <s v="Servicio de Impuestos Internos (SII)"/>
    <x v="271"/>
    <m/>
    <s v="Gráfico"/>
    <s v="Región de Los Lagos empresas ventas estimadas rubro sector economía"/>
    <x v="270"/>
    <s v="100-R-10"/>
    <s v="#1774B9"/>
    <s v="990-0272"/>
    <n v="99200010"/>
    <s v="T-1038"/>
    <s v="C-993"/>
    <s v="FI-993"/>
    <s v="M-1015"/>
  </r>
  <r>
    <x v="272"/>
    <n v="990"/>
    <x v="0"/>
    <x v="10"/>
    <n v="11"/>
    <x v="19"/>
    <x v="11"/>
    <x v="1"/>
    <x v="11"/>
    <s v="Ninguno"/>
    <s v="Ventas anuales por rubro por región"/>
    <s v="Año 2019"/>
    <s v="UF"/>
    <s v="Servicio de Impuestos Internos (SII)"/>
    <x v="272"/>
    <m/>
    <s v="Gráfico"/>
    <s v="Región de Aysén empresas ventas estimadas rubro sector economía"/>
    <x v="271"/>
    <s v="100-R-11"/>
    <s v="#1774B9"/>
    <s v="990-0273"/>
    <n v="99200011"/>
    <s v="T-1038"/>
    <s v="C-993"/>
    <s v="FI-993"/>
    <s v="M-1015"/>
  </r>
  <r>
    <x v="273"/>
    <n v="990"/>
    <x v="0"/>
    <x v="10"/>
    <n v="12"/>
    <x v="19"/>
    <x v="11"/>
    <x v="1"/>
    <x v="12"/>
    <s v="Ninguno"/>
    <s v="Ventas anuales por rubro por región"/>
    <s v="Año 2019"/>
    <s v="UF"/>
    <s v="Servicio de Impuestos Internos (SII)"/>
    <x v="273"/>
    <m/>
    <s v="Gráfico"/>
    <s v="Región de Magallanes empresas ventas estimadas rubro sector economía"/>
    <x v="272"/>
    <s v="100-R-12"/>
    <s v="#1774B9"/>
    <s v="990-0274"/>
    <n v="99200012"/>
    <s v="T-1038"/>
    <s v="C-993"/>
    <s v="FI-993"/>
    <s v="M-1015"/>
  </r>
  <r>
    <x v="274"/>
    <n v="990"/>
    <x v="0"/>
    <x v="10"/>
    <n v="13"/>
    <x v="19"/>
    <x v="11"/>
    <x v="1"/>
    <x v="13"/>
    <s v="Ninguno"/>
    <s v="Ventas anuales por rubro por región"/>
    <s v="Año 2019"/>
    <s v="UF"/>
    <s v="Servicio de Impuestos Internos (SII)"/>
    <x v="274"/>
    <m/>
    <s v="Gráfico"/>
    <s v="Región Metropolitana empresas ventas estimadas rubro sector economía"/>
    <x v="273"/>
    <s v="200-R-13"/>
    <s v="#1774B9"/>
    <s v="990-0275"/>
    <n v="99200013"/>
    <s v="T-1038"/>
    <s v="C-993"/>
    <s v="FI-993"/>
    <s v="M-1015"/>
  </r>
  <r>
    <x v="275"/>
    <n v="990"/>
    <x v="0"/>
    <x v="10"/>
    <n v="14"/>
    <x v="19"/>
    <x v="11"/>
    <x v="1"/>
    <x v="14"/>
    <s v="Ninguno"/>
    <s v="Ventas anuales por rubro por región"/>
    <s v="Año 2019"/>
    <s v="UF"/>
    <s v="Servicio de Impuestos Internos (SII)"/>
    <x v="275"/>
    <m/>
    <s v="Gráfico"/>
    <s v="Región de Los Ríos empresas ventas estimadas rubro sector economía"/>
    <x v="274"/>
    <s v="100-R-14"/>
    <s v="#1774B9"/>
    <s v="990-0276"/>
    <n v="99200014"/>
    <s v="T-1038"/>
    <s v="C-993"/>
    <s v="FI-993"/>
    <s v="M-1015"/>
  </r>
  <r>
    <x v="276"/>
    <n v="990"/>
    <x v="0"/>
    <x v="10"/>
    <n v="15"/>
    <x v="19"/>
    <x v="11"/>
    <x v="1"/>
    <x v="15"/>
    <s v="Ninguno"/>
    <s v="Ventas anuales por rubro por región"/>
    <s v="Año 2019"/>
    <s v="UF"/>
    <s v="Servicio de Impuestos Internos (SII)"/>
    <x v="276"/>
    <m/>
    <s v="Gráfico"/>
    <s v="Región de Arica y Parinacota empresas ventas estimadas rubro sector economía"/>
    <x v="275"/>
    <s v="100-R-15"/>
    <s v="#1774B9"/>
    <s v="990-0277"/>
    <n v="99200015"/>
    <s v="T-1038"/>
    <s v="C-993"/>
    <s v="FI-993"/>
    <s v="M-1015"/>
  </r>
  <r>
    <x v="277"/>
    <n v="990"/>
    <x v="0"/>
    <x v="10"/>
    <n v="16"/>
    <x v="19"/>
    <x v="11"/>
    <x v="1"/>
    <x v="16"/>
    <s v="Ninguno"/>
    <s v="Ventas anuales por rubro por región"/>
    <s v="Año 2019"/>
    <s v="UF"/>
    <s v="Servicio de Impuestos Internos (SII)"/>
    <x v="277"/>
    <m/>
    <s v="Gráfico"/>
    <s v="Región de Ñuble empresas ventas estimadas rubro sector economía"/>
    <x v="276"/>
    <s v="100-R-16"/>
    <s v="#1774B9"/>
    <s v="990-0278"/>
    <n v="99200016"/>
    <s v="T-1038"/>
    <s v="C-993"/>
    <s v="FI-993"/>
    <s v="M-1015"/>
  </r>
  <r>
    <x v="278"/>
    <n v="990"/>
    <x v="0"/>
    <x v="2"/>
    <n v="0"/>
    <x v="20"/>
    <x v="2"/>
    <x v="0"/>
    <x v="0"/>
    <s v="Ninguno"/>
    <s v="Cantidad de Centros de la Mujer por región"/>
    <s v="Año 2021"/>
    <s v="Número de Centros de la Mujer"/>
    <s v="Servicio Nacional de la Mujer y Equidad de Género (SERNAMEG)"/>
    <x v="278"/>
    <s v="La región Metropolitana es la que cuenta con más Centros de la Mujer, llegando a 31 establecimientos. Le siguen las regiones de Biobío y Valparaíso, con 14 y 12 centros respectivamente. La región que actualmente tiene menos centros es Arica y Parinacota, con solo 1."/>
    <s v="Gráfico"/>
    <s v="Chile centros mujer violencia género mujeres establecimientos"/>
    <x v="277"/>
    <n v="0"/>
    <s v="#1774B9"/>
    <s v="990-0279"/>
    <n v="99100000"/>
    <s v="T-1039"/>
    <s v="C-996"/>
    <s v="FI-993"/>
    <s v="M-1016"/>
  </r>
  <r>
    <x v="279"/>
    <n v="990"/>
    <x v="0"/>
    <x v="2"/>
    <n v="0"/>
    <x v="20"/>
    <x v="2"/>
    <x v="0"/>
    <x v="0"/>
    <s v="Ninguno"/>
    <s v="Cantidad de ingresos efectivos de mujeres en Chile"/>
    <s v="Periodo 2014-2019"/>
    <s v="Número de Mujeres"/>
    <s v="Servicio Nacional de la Mujer y Equidad de Género (SERNAMEG)"/>
    <x v="279"/>
    <s v="La cantidad de mujeres ingresadas a Centros de la Mujer ha ido disminuyendo con el paso de los años, exceptuando el año 2017. Para el año 2019, los ingresos cayeron en un 19,8%, ingresando 16.899 mujeres, en comparación al año 2014 en que ingresaron 21.092 mujeres."/>
    <s v="Gráfico de Evolución"/>
    <s v="Chilecentros mujer violencia género mujeres ingresos cantidad"/>
    <x v="278"/>
    <n v="0"/>
    <s v="#1774B9"/>
    <s v="990-0280"/>
    <n v="99100000"/>
    <s v="T-1039"/>
    <s v="C-996"/>
    <s v="FI-993"/>
    <s v="M-1017"/>
  </r>
  <r>
    <x v="280"/>
    <n v="990"/>
    <x v="0"/>
    <x v="2"/>
    <n v="0"/>
    <x v="20"/>
    <x v="2"/>
    <x v="0"/>
    <x v="0"/>
    <s v="Ninguno"/>
    <s v="Cantidad de salidas en Chile"/>
    <s v="Periodo 2014-2019"/>
    <s v="Número de salidas"/>
    <s v="Servicio Nacional de la Mujer y Equidad de Género (SERNAMEG)"/>
    <x v="280"/>
    <s v="La cantidad de salidas desde Casas de Acogida ha ido disminuyendo con el paso de los años, exceptuando el año 2016. Para el año 2019, las salidas cayeron en un 6,6% en comparación al año 2018."/>
    <s v="Gráfico de Evolución"/>
    <s v="Chilecasas acogida violencia género mujeres salidas establecimientos"/>
    <x v="279"/>
    <n v="0"/>
    <s v="#1774B9"/>
    <s v="990-0281"/>
    <n v="99100000"/>
    <s v="T-1039"/>
    <s v="C-996"/>
    <s v="FI-993"/>
    <s v="M-1018"/>
  </r>
  <r>
    <x v="281"/>
    <n v="990"/>
    <x v="0"/>
    <x v="2"/>
    <n v="0"/>
    <x v="20"/>
    <x v="2"/>
    <x v="0"/>
    <x v="0"/>
    <s v="Ninguno"/>
    <s v="Proporción de salidas en Chile"/>
    <s v="Periodo 2014-2019"/>
    <s v="Número de salidas"/>
    <s v="Servicio Nacional de la Mujer y Equidad de Género (SERNAMEG)"/>
    <x v="281"/>
    <s v="En el periodo 2014-2019, el tipo de salida más común desde las Casas de Acogida es el Egreso Efectivo de las mujeres, representando un 57,4% del total."/>
    <s v="Gráfico de Evolución"/>
    <s v="Chile casas acogida violencia género mujeres salidas egresos establecimiento tipo derivación deserción interrupción"/>
    <x v="280"/>
    <n v="0"/>
    <s v="#1774B9"/>
    <s v="990-0282"/>
    <n v="99100000"/>
    <s v="T-1039"/>
    <s v="C-996"/>
    <s v="FI-993"/>
    <s v="M-1019"/>
  </r>
  <r>
    <x v="282"/>
    <n v="990"/>
    <x v="0"/>
    <x v="2"/>
    <n v="0"/>
    <x v="21"/>
    <x v="2"/>
    <x v="0"/>
    <x v="0"/>
    <s v="Región"/>
    <s v="Cantidad de atenciones por región"/>
    <s v="Periodo 2010-2016"/>
    <s v="Número de atenciones médicas"/>
    <s v="Departamento de Estadísticas e Información de la Salud (DEIS) - Ministerio de Salud"/>
    <x v="282"/>
    <m/>
    <s v="Gráfico de Evolución"/>
    <s v="Chile salud violencia género mujer urgencia atenciones médicas"/>
    <x v="281"/>
    <s v="300-R"/>
    <s v="#1774B9"/>
    <s v="990-0283"/>
    <n v="99100000"/>
    <s v="T-1040"/>
    <s v="C-996"/>
    <s v="FI-992"/>
    <s v="M-1020"/>
  </r>
  <r>
    <x v="283"/>
    <n v="990"/>
    <x v="0"/>
    <x v="2"/>
    <n v="1"/>
    <x v="21"/>
    <x v="2"/>
    <x v="1"/>
    <x v="1"/>
    <s v="Ninguno"/>
    <s v="Cantidad de atenciones por región"/>
    <s v="Periodo 2010-2016"/>
    <s v="Número de atenciones médicas"/>
    <s v="Departamento de Estadísticas e Información de la Salud (DEIS) - Ministerio de Salud"/>
    <x v="283"/>
    <m/>
    <s v="Gráfico de Evolución"/>
    <s v="Región de Tarapacá salud violencia género mujer urgencia atenciones médicas"/>
    <x v="282"/>
    <s v="100-R-1"/>
    <s v="#1774B9"/>
    <s v="990-0284"/>
    <n v="99200001"/>
    <s v="T-1040"/>
    <s v="C-996"/>
    <s v="FI-993"/>
    <s v="M-1020"/>
  </r>
  <r>
    <x v="284"/>
    <n v="990"/>
    <x v="0"/>
    <x v="2"/>
    <n v="2"/>
    <x v="21"/>
    <x v="2"/>
    <x v="1"/>
    <x v="2"/>
    <s v="Ninguno"/>
    <s v="Cantidad de atenciones por región"/>
    <s v="Periodo 2010-2016"/>
    <s v="Número de atenciones médicas"/>
    <s v="Departamento de Estadísticas e Información de la Salud (DEIS) - Ministerio de Salud"/>
    <x v="284"/>
    <m/>
    <s v="Gráfico de Evolución"/>
    <s v="Región de Antofagasta salud violencia género mujer urgencia atenciones médicas"/>
    <x v="283"/>
    <s v="100-R-2"/>
    <s v="#1774B9"/>
    <s v="990-0285"/>
    <n v="99200002"/>
    <s v="T-1040"/>
    <s v="C-996"/>
    <s v="FI-993"/>
    <s v="M-1020"/>
  </r>
  <r>
    <x v="285"/>
    <n v="990"/>
    <x v="0"/>
    <x v="2"/>
    <n v="3"/>
    <x v="21"/>
    <x v="2"/>
    <x v="1"/>
    <x v="3"/>
    <s v="Ninguno"/>
    <s v="Cantidad de atenciones por región"/>
    <s v="Periodo 2010-2016"/>
    <s v="Número de atenciones médicas"/>
    <s v="Departamento de Estadísticas e Información de la Salud (DEIS) - Ministerio de Salud"/>
    <x v="285"/>
    <m/>
    <s v="Gráfico de Evolución"/>
    <s v="Región de Atacama salud violencia género mujer urgencia atenciones médicas"/>
    <x v="284"/>
    <s v="100-R-3"/>
    <s v="#1774B9"/>
    <s v="990-0286"/>
    <n v="99200003"/>
    <s v="T-1040"/>
    <s v="C-996"/>
    <s v="FI-993"/>
    <s v="M-1020"/>
  </r>
  <r>
    <x v="286"/>
    <n v="990"/>
    <x v="0"/>
    <x v="2"/>
    <n v="4"/>
    <x v="21"/>
    <x v="2"/>
    <x v="1"/>
    <x v="4"/>
    <s v="Ninguno"/>
    <s v="Cantidad de atenciones por región"/>
    <s v="Periodo 2010-2016"/>
    <s v="Número de atenciones médicas"/>
    <s v="Departamento de Estadísticas e Información de la Salud (DEIS) - Ministerio de Salud"/>
    <x v="286"/>
    <m/>
    <s v="Gráfico de Evolución"/>
    <s v="Región de Coquimbo salud violencia género mujer urgencia atenciones médicas"/>
    <x v="285"/>
    <s v="100-R-4"/>
    <s v="#1774B9"/>
    <s v="990-0287"/>
    <n v="99200004"/>
    <s v="T-1040"/>
    <s v="C-996"/>
    <s v="FI-993"/>
    <s v="M-1020"/>
  </r>
  <r>
    <x v="287"/>
    <n v="990"/>
    <x v="0"/>
    <x v="2"/>
    <n v="5"/>
    <x v="21"/>
    <x v="2"/>
    <x v="1"/>
    <x v="5"/>
    <s v="Ninguno"/>
    <s v="Cantidad de atenciones por región"/>
    <s v="Periodo 2010-2016"/>
    <s v="Número de atenciones médicas"/>
    <s v="Departamento de Estadísticas e Información de la Salud (DEIS) - Ministerio de Salud"/>
    <x v="287"/>
    <m/>
    <s v="Gráfico de Evolución"/>
    <s v="Región de Valparaíso salud violencia género mujer urgencia atenciones médicas"/>
    <x v="286"/>
    <s v="100-R-5"/>
    <s v="#1774B9"/>
    <s v="990-0288"/>
    <n v="99200005"/>
    <s v="T-1040"/>
    <s v="C-996"/>
    <s v="FI-993"/>
    <s v="M-1020"/>
  </r>
  <r>
    <x v="288"/>
    <n v="990"/>
    <x v="0"/>
    <x v="2"/>
    <n v="6"/>
    <x v="21"/>
    <x v="2"/>
    <x v="1"/>
    <x v="6"/>
    <s v="Ninguno"/>
    <s v="Cantidad de atenciones por región"/>
    <s v="Periodo 2010-2016"/>
    <s v="Número de atenciones médicas"/>
    <s v="Departamento de Estadísticas e Información de la Salud (DEIS) - Ministerio de Salud"/>
    <x v="288"/>
    <m/>
    <s v="Gráfico de Evolución"/>
    <s v="Región de O'Higgins salud violencia género mujer urgencia atenciones médicas"/>
    <x v="287"/>
    <s v="100-R-6"/>
    <s v="#1774B9"/>
    <s v="990-0289"/>
    <n v="99200006"/>
    <s v="T-1040"/>
    <s v="C-996"/>
    <s v="FI-993"/>
    <s v="M-1020"/>
  </r>
  <r>
    <x v="289"/>
    <n v="990"/>
    <x v="0"/>
    <x v="2"/>
    <n v="7"/>
    <x v="21"/>
    <x v="2"/>
    <x v="1"/>
    <x v="7"/>
    <s v="Ninguno"/>
    <s v="Cantidad de atenciones por región"/>
    <s v="Periodo 2010-2016"/>
    <s v="Número de atenciones médicas"/>
    <s v="Departamento de Estadísticas e Información de la Salud (DEIS) - Ministerio de Salud"/>
    <x v="289"/>
    <m/>
    <s v="Gráfico de Evolución"/>
    <s v="Región de Maule salud violencia género mujer urgencia atenciones médicas"/>
    <x v="288"/>
    <s v="100-R-7"/>
    <s v="#1774B9"/>
    <s v="990-0290"/>
    <n v="99200007"/>
    <s v="T-1040"/>
    <s v="C-996"/>
    <s v="FI-993"/>
    <s v="M-1020"/>
  </r>
  <r>
    <x v="290"/>
    <n v="990"/>
    <x v="0"/>
    <x v="2"/>
    <n v="8"/>
    <x v="21"/>
    <x v="2"/>
    <x v="1"/>
    <x v="8"/>
    <s v="Ninguno"/>
    <s v="Cantidad de atenciones por región"/>
    <s v="Periodo 2010-2016"/>
    <s v="Número de atenciones médicas"/>
    <s v="Departamento de Estadísticas e Información de la Salud (DEIS) - Ministerio de Salud"/>
    <x v="290"/>
    <m/>
    <s v="Gráfico de Evolución"/>
    <s v="Región del Biobío salud violencia género mujer urgencia atenciones médicas"/>
    <x v="289"/>
    <s v="100-R-8"/>
    <s v="#1774B9"/>
    <s v="990-0291"/>
    <n v="99200008"/>
    <s v="T-1040"/>
    <s v="C-996"/>
    <s v="FI-993"/>
    <s v="M-1020"/>
  </r>
  <r>
    <x v="291"/>
    <n v="990"/>
    <x v="0"/>
    <x v="2"/>
    <n v="9"/>
    <x v="21"/>
    <x v="2"/>
    <x v="1"/>
    <x v="9"/>
    <s v="Ninguno"/>
    <s v="Cantidad de atenciones por región"/>
    <s v="Periodo 2010-2016"/>
    <s v="Número de atenciones médicas"/>
    <s v="Departamento de Estadísticas e Información de la Salud (DEIS) - Ministerio de Salud"/>
    <x v="291"/>
    <m/>
    <s v="Gráfico de Evolución"/>
    <s v="Región de La Araucanía salud violencia género mujer urgencia atenciones médicas"/>
    <x v="290"/>
    <s v="100-R-9"/>
    <s v="#1774B9"/>
    <s v="990-0292"/>
    <n v="99200009"/>
    <s v="T-1040"/>
    <s v="C-996"/>
    <s v="FI-993"/>
    <s v="M-1020"/>
  </r>
  <r>
    <x v="292"/>
    <n v="990"/>
    <x v="0"/>
    <x v="2"/>
    <n v="10"/>
    <x v="21"/>
    <x v="2"/>
    <x v="1"/>
    <x v="10"/>
    <s v="Ninguno"/>
    <s v="Cantidad de atenciones por región"/>
    <s v="Periodo 2010-2016"/>
    <s v="Número de atenciones médicas"/>
    <s v="Departamento de Estadísticas e Información de la Salud (DEIS) - Ministerio de Salud"/>
    <x v="292"/>
    <m/>
    <s v="Gráfico de Evolución"/>
    <s v="Región de Los Lagos salud violencia género mujer urgencia atenciones médicas"/>
    <x v="291"/>
    <s v="100-R-10"/>
    <s v="#1774B9"/>
    <s v="990-0293"/>
    <n v="99200010"/>
    <s v="T-1040"/>
    <s v="C-996"/>
    <s v="FI-993"/>
    <s v="M-1020"/>
  </r>
  <r>
    <x v="293"/>
    <n v="990"/>
    <x v="0"/>
    <x v="2"/>
    <n v="11"/>
    <x v="21"/>
    <x v="2"/>
    <x v="1"/>
    <x v="11"/>
    <s v="Ninguno"/>
    <s v="Cantidad de atenciones por región"/>
    <s v="Periodo 2010-2016"/>
    <s v="Número de atenciones médicas"/>
    <s v="Departamento de Estadísticas e Información de la Salud (DEIS) - Ministerio de Salud"/>
    <x v="293"/>
    <m/>
    <s v="Gráfico de Evolución"/>
    <s v="Región de Aysén salud violencia género mujer urgencia atenciones médicas"/>
    <x v="292"/>
    <s v="100-R-11"/>
    <s v="#1774B9"/>
    <s v="990-0294"/>
    <n v="99200011"/>
    <s v="T-1040"/>
    <s v="C-996"/>
    <s v="FI-993"/>
    <s v="M-1020"/>
  </r>
  <r>
    <x v="294"/>
    <n v="990"/>
    <x v="0"/>
    <x v="2"/>
    <n v="12"/>
    <x v="21"/>
    <x v="2"/>
    <x v="1"/>
    <x v="12"/>
    <s v="Ninguno"/>
    <s v="Cantidad de atenciones por región"/>
    <s v="Periodo 2010-2016"/>
    <s v="Número de atenciones médicas"/>
    <s v="Departamento de Estadísticas e Información de la Salud (DEIS) - Ministerio de Salud"/>
    <x v="294"/>
    <m/>
    <s v="Gráfico de Evolución"/>
    <s v="Región de Magallanes salud violencia género mujer urgencia atenciones médicas"/>
    <x v="293"/>
    <s v="100-R-12"/>
    <s v="#1774B9"/>
    <s v="990-0295"/>
    <n v="99200012"/>
    <s v="T-1040"/>
    <s v="C-996"/>
    <s v="FI-993"/>
    <s v="M-1020"/>
  </r>
  <r>
    <x v="295"/>
    <n v="990"/>
    <x v="0"/>
    <x v="2"/>
    <n v="13"/>
    <x v="21"/>
    <x v="2"/>
    <x v="1"/>
    <x v="13"/>
    <s v="Ninguno"/>
    <s v="Cantidad de atenciones por región"/>
    <s v="Periodo 2010-2016"/>
    <s v="Número de atenciones médicas"/>
    <s v="Departamento de Estadísticas e Información de la Salud (DEIS) - Ministerio de Salud"/>
    <x v="295"/>
    <s v="Las Atenciones en Salud por Violencia de Género se califican de acuerdo al concepto bajo el cual fue ingresada la urgencia. El concepto &quot;Otra Violencia&quot; ha sido el más común durante el periodo 2010-2016, seguido por &quot;Violencia Intrafamiliar&quot; para el año 2016."/>
    <s v="Gráfico de Evolución"/>
    <s v="Región Metropolitana salud violencia género mujer urgencia atenciones médicas"/>
    <x v="294"/>
    <s v="200-R-13"/>
    <s v="#1774B9"/>
    <s v="990-0296"/>
    <n v="99200013"/>
    <s v="T-1040"/>
    <s v="C-996"/>
    <s v="FI-993"/>
    <s v="M-1020"/>
  </r>
  <r>
    <x v="296"/>
    <n v="990"/>
    <x v="0"/>
    <x v="2"/>
    <n v="14"/>
    <x v="21"/>
    <x v="2"/>
    <x v="1"/>
    <x v="14"/>
    <s v="Ninguno"/>
    <s v="Cantidad de atenciones por región"/>
    <s v="Periodo 2010-2016"/>
    <s v="Número de atenciones médicas"/>
    <s v="Departamento de Estadísticas e Información de la Salud (DEIS) - Ministerio de Salud"/>
    <x v="296"/>
    <m/>
    <s v="Gráfico de Evolución"/>
    <s v="Región de Los Ríos salud violencia género mujer urgencia atenciones médicas"/>
    <x v="295"/>
    <s v="100-R-14"/>
    <s v="#1774B9"/>
    <s v="990-0297"/>
    <n v="99200014"/>
    <s v="T-1040"/>
    <s v="C-996"/>
    <s v="FI-993"/>
    <s v="M-1020"/>
  </r>
  <r>
    <x v="297"/>
    <n v="990"/>
    <x v="0"/>
    <x v="2"/>
    <n v="15"/>
    <x v="21"/>
    <x v="2"/>
    <x v="1"/>
    <x v="15"/>
    <s v="Ninguno"/>
    <s v="Cantidad de atenciones por región"/>
    <s v="Periodo 2010-2016"/>
    <s v="Número de atenciones médicas"/>
    <s v="Departamento de Estadísticas e Información de la Salud (DEIS) - Ministerio de Salud"/>
    <x v="297"/>
    <m/>
    <s v="Gráfico de Evolución"/>
    <s v="Región de Arica y Parinacota salud violencia género mujer urgencia atenciones médicas"/>
    <x v="296"/>
    <s v="100-R-15"/>
    <s v="#1774B9"/>
    <s v="990-0298"/>
    <n v="99200015"/>
    <s v="T-1040"/>
    <s v="C-996"/>
    <s v="FI-993"/>
    <s v="M-1020"/>
  </r>
  <r>
    <x v="298"/>
    <n v="990"/>
    <x v="0"/>
    <x v="2"/>
    <n v="16"/>
    <x v="21"/>
    <x v="2"/>
    <x v="1"/>
    <x v="16"/>
    <s v="Ninguno"/>
    <s v="Cantidad de atenciones por región"/>
    <s v="Periodo 2010-2016"/>
    <s v="Número de atenciones médicas"/>
    <s v="Departamento de Estadísticas e Información de la Salud (DEIS) - Ministerio de Salud"/>
    <x v="298"/>
    <m/>
    <s v="Gráfico de Evolución"/>
    <s v="Región de Ñuble salud violencia género mujer urgencia atenciones médicas"/>
    <x v="297"/>
    <s v="100-R-16"/>
    <s v="#1774B9"/>
    <s v="990-0299"/>
    <n v="99200016"/>
    <s v="T-1040"/>
    <s v="C-996"/>
    <s v="FI-993"/>
    <s v="M-1020"/>
  </r>
  <r>
    <x v="299"/>
    <n v="990"/>
    <x v="0"/>
    <x v="5"/>
    <n v="0"/>
    <x v="7"/>
    <x v="5"/>
    <x v="0"/>
    <x v="0"/>
    <s v="Región"/>
    <s v="Valor de exportaciones por región"/>
    <s v="Periodo 2012-2020"/>
    <s v="USD"/>
    <s v="Servicio Nacional de Aduanas"/>
    <x v="299"/>
    <m/>
    <s v="Gráfico de Evolución"/>
    <s v="Chile,valor,exportaciones,dolar,frutas,region,origen"/>
    <x v="298"/>
    <s v="300-R"/>
    <s v="#1774B9"/>
    <s v="990-0300"/>
    <n v="99100000"/>
    <s v="T-1031"/>
    <s v="C-997"/>
    <s v="FI-992"/>
    <s v="M-1021"/>
  </r>
  <r>
    <x v="300"/>
    <n v="990"/>
    <x v="0"/>
    <x v="5"/>
    <n v="1"/>
    <x v="7"/>
    <x v="5"/>
    <x v="1"/>
    <x v="1"/>
    <s v="Ninguno"/>
    <s v="Valor de exportaciones por región"/>
    <s v="Periodo 2012-2020"/>
    <s v="USD"/>
    <s v="Servicio Nacional de Aduanas"/>
    <x v="300"/>
    <m/>
    <s v="Gráfico de Evolución"/>
    <s v="Región de Tarapacá,valor,exportaciones,dolar,frutas,region,origen"/>
    <x v="299"/>
    <s v="100-R-1"/>
    <s v="#1774B9"/>
    <s v="990-0301"/>
    <n v="99200001"/>
    <s v="T-1031"/>
    <s v="C-997"/>
    <s v="FI-993"/>
    <s v="M-1021"/>
  </r>
  <r>
    <x v="301"/>
    <n v="990"/>
    <x v="0"/>
    <x v="5"/>
    <n v="2"/>
    <x v="7"/>
    <x v="5"/>
    <x v="1"/>
    <x v="2"/>
    <s v="Ninguno"/>
    <s v="Valor de exportaciones por región"/>
    <s v="Periodo 2012-2020"/>
    <s v="USD"/>
    <s v="Servicio Nacional de Aduanas"/>
    <x v="301"/>
    <m/>
    <s v="Gráfico de Evolución"/>
    <s v="Región de Antofagasta,valor,exportaciones,dolar,frutas,region,origen"/>
    <x v="300"/>
    <s v="100-R-2"/>
    <s v="#1774B9"/>
    <s v="990-0302"/>
    <n v="99200002"/>
    <s v="T-1031"/>
    <s v="C-997"/>
    <s v="FI-993"/>
    <s v="M-1021"/>
  </r>
  <r>
    <x v="302"/>
    <n v="990"/>
    <x v="0"/>
    <x v="5"/>
    <n v="3"/>
    <x v="7"/>
    <x v="5"/>
    <x v="1"/>
    <x v="3"/>
    <s v="Ninguno"/>
    <s v="Valor de exportaciones por región"/>
    <s v="Periodo 2012-2020"/>
    <s v="USD"/>
    <s v="Servicio Nacional de Aduanas"/>
    <x v="302"/>
    <m/>
    <s v="Gráfico de Evolución"/>
    <s v="Región de Atacama,valor,exportaciones,dolar,frutas,region,origen"/>
    <x v="301"/>
    <s v="100-R-3"/>
    <s v="#1774B9"/>
    <s v="990-0303"/>
    <n v="99200003"/>
    <s v="T-1031"/>
    <s v="C-997"/>
    <s v="FI-993"/>
    <s v="M-1021"/>
  </r>
  <r>
    <x v="303"/>
    <n v="990"/>
    <x v="0"/>
    <x v="5"/>
    <n v="4"/>
    <x v="7"/>
    <x v="5"/>
    <x v="1"/>
    <x v="4"/>
    <s v="Ninguno"/>
    <s v="Valor de exportaciones por región"/>
    <s v="Periodo 2012-2020"/>
    <s v="USD"/>
    <s v="Servicio Nacional de Aduanas"/>
    <x v="303"/>
    <m/>
    <s v="Gráfico de Evolución"/>
    <s v="Región de Coquimbo,valor,exportaciones,dolar,frutas,region,origen"/>
    <x v="302"/>
    <s v="100-R-4"/>
    <s v="#1774B9"/>
    <s v="990-0304"/>
    <n v="99200004"/>
    <s v="T-1031"/>
    <s v="C-997"/>
    <s v="FI-993"/>
    <s v="M-1021"/>
  </r>
  <r>
    <x v="304"/>
    <n v="990"/>
    <x v="0"/>
    <x v="5"/>
    <n v="5"/>
    <x v="7"/>
    <x v="5"/>
    <x v="1"/>
    <x v="5"/>
    <s v="Ninguno"/>
    <s v="Valor de exportaciones por región"/>
    <s v="Periodo 2012-2020"/>
    <s v="USD"/>
    <s v="Servicio Nacional de Aduanas"/>
    <x v="304"/>
    <m/>
    <s v="Gráfico de Evolución"/>
    <s v="Región de Valparaíso,valor,exportaciones,dolar,frutas,region,origen"/>
    <x v="303"/>
    <s v="100-R-5"/>
    <s v="#1774B9"/>
    <s v="990-0305"/>
    <n v="99200005"/>
    <s v="T-1031"/>
    <s v="C-997"/>
    <s v="FI-993"/>
    <s v="M-1021"/>
  </r>
  <r>
    <x v="305"/>
    <n v="990"/>
    <x v="0"/>
    <x v="5"/>
    <n v="6"/>
    <x v="7"/>
    <x v="5"/>
    <x v="1"/>
    <x v="6"/>
    <s v="Ninguno"/>
    <s v="Valor de exportaciones por región"/>
    <s v="Periodo 2012-2020"/>
    <s v="USD"/>
    <s v="Servicio Nacional de Aduanas"/>
    <x v="305"/>
    <m/>
    <s v="Gráfico de Evolución"/>
    <s v="Región de O'Higgins,valor,exportaciones,dolar,frutas,region,origen"/>
    <x v="304"/>
    <s v="100-R-6"/>
    <s v="#1774B9"/>
    <s v="990-0306"/>
    <n v="99200006"/>
    <s v="T-1031"/>
    <s v="C-997"/>
    <s v="FI-993"/>
    <s v="M-1021"/>
  </r>
  <r>
    <x v="306"/>
    <n v="990"/>
    <x v="0"/>
    <x v="5"/>
    <n v="7"/>
    <x v="7"/>
    <x v="5"/>
    <x v="1"/>
    <x v="7"/>
    <s v="Ninguno"/>
    <s v="Valor de exportaciones por región"/>
    <s v="Periodo 2012-2020"/>
    <s v="USD"/>
    <s v="Servicio Nacional de Aduanas"/>
    <x v="306"/>
    <m/>
    <s v="Gráfico de Evolución"/>
    <s v="Región de Maule,valor,exportaciones,dolar,frutas,region,origen"/>
    <x v="305"/>
    <s v="100-R-7"/>
    <s v="#1774B9"/>
    <s v="990-0307"/>
    <n v="99200007"/>
    <s v="T-1031"/>
    <s v="C-997"/>
    <s v="FI-993"/>
    <s v="M-1021"/>
  </r>
  <r>
    <x v="307"/>
    <n v="990"/>
    <x v="0"/>
    <x v="5"/>
    <n v="8"/>
    <x v="7"/>
    <x v="5"/>
    <x v="1"/>
    <x v="8"/>
    <s v="Ninguno"/>
    <s v="Valor de exportaciones por región"/>
    <s v="Periodo 2012-2020"/>
    <s v="USD"/>
    <s v="Servicio Nacional de Aduanas"/>
    <x v="307"/>
    <m/>
    <s v="Gráfico de Evolución"/>
    <s v="Región del Biobío,valor,exportaciones,dolar,frutas,region,origen"/>
    <x v="306"/>
    <s v="100-R-8"/>
    <s v="#1774B9"/>
    <s v="990-0308"/>
    <n v="99200008"/>
    <s v="T-1031"/>
    <s v="C-997"/>
    <s v="FI-993"/>
    <s v="M-1021"/>
  </r>
  <r>
    <x v="308"/>
    <n v="990"/>
    <x v="0"/>
    <x v="5"/>
    <n v="9"/>
    <x v="7"/>
    <x v="5"/>
    <x v="1"/>
    <x v="9"/>
    <s v="Ninguno"/>
    <s v="Valor de exportaciones por región"/>
    <s v="Periodo 2012-2020"/>
    <s v="USD"/>
    <s v="Servicio Nacional de Aduanas"/>
    <x v="308"/>
    <m/>
    <s v="Gráfico de Evolución"/>
    <s v="Región de La Araucanía,valor,exportaciones,dolar,frutas,region,origen"/>
    <x v="307"/>
    <s v="100-R-9"/>
    <s v="#1774B9"/>
    <s v="990-0309"/>
    <n v="99200009"/>
    <s v="T-1031"/>
    <s v="C-997"/>
    <s v="FI-993"/>
    <s v="M-1021"/>
  </r>
  <r>
    <x v="309"/>
    <n v="990"/>
    <x v="0"/>
    <x v="5"/>
    <n v="10"/>
    <x v="7"/>
    <x v="5"/>
    <x v="1"/>
    <x v="10"/>
    <s v="Ninguno"/>
    <s v="Valor de exportaciones por región"/>
    <s v="Periodo 2012-2020"/>
    <s v="USD"/>
    <s v="Servicio Nacional de Aduanas"/>
    <x v="309"/>
    <m/>
    <s v="Gráfico de Evolución"/>
    <s v="Región de Los Lagos,valor,exportaciones,dolar,frutas,region,origen"/>
    <x v="308"/>
    <s v="100-R-10"/>
    <s v="#1774B9"/>
    <s v="990-0310"/>
    <n v="99200010"/>
    <s v="T-1031"/>
    <s v="C-997"/>
    <s v="FI-993"/>
    <s v="M-1021"/>
  </r>
  <r>
    <x v="310"/>
    <n v="990"/>
    <x v="0"/>
    <x v="5"/>
    <n v="11"/>
    <x v="7"/>
    <x v="5"/>
    <x v="1"/>
    <x v="11"/>
    <s v="Ninguno"/>
    <s v="Valor de exportaciones por región"/>
    <s v="Periodo 2012-2020"/>
    <s v="USD"/>
    <s v="Servicio Nacional de Aduanas"/>
    <x v="310"/>
    <m/>
    <s v="Gráfico de Evolución"/>
    <s v="Región de Aysén,valor,exportaciones,dolar,frutas,region,origen"/>
    <x v="309"/>
    <s v="100-R-11"/>
    <s v="#1774B9"/>
    <s v="990-0311"/>
    <n v="99200011"/>
    <s v="T-1031"/>
    <s v="C-997"/>
    <s v="FI-993"/>
    <s v="M-1021"/>
  </r>
  <r>
    <x v="311"/>
    <n v="990"/>
    <x v="0"/>
    <x v="5"/>
    <n v="12"/>
    <x v="7"/>
    <x v="5"/>
    <x v="1"/>
    <x v="12"/>
    <s v="Ninguno"/>
    <s v="Valor de exportaciones por región"/>
    <s v="Periodo 2012-2020"/>
    <s v="USD"/>
    <s v="Servicio Nacional de Aduanas"/>
    <x v="311"/>
    <m/>
    <s v="Gráfico de Evolución"/>
    <s v="Región de Magallanes,valor,exportaciones,dolar,frutas,region,origen"/>
    <x v="310"/>
    <s v="100-R-12"/>
    <s v="#1774B9"/>
    <s v="990-0312"/>
    <n v="99200012"/>
    <s v="T-1031"/>
    <s v="C-997"/>
    <s v="FI-993"/>
    <s v="M-1021"/>
  </r>
  <r>
    <x v="312"/>
    <n v="990"/>
    <x v="0"/>
    <x v="5"/>
    <n v="13"/>
    <x v="7"/>
    <x v="5"/>
    <x v="1"/>
    <x v="13"/>
    <s v="Ninguno"/>
    <s v="Valor de exportaciones por región"/>
    <s v="Periodo 2012-2020"/>
    <s v="USD"/>
    <s v="Servicio Nacional de Aduanas"/>
    <x v="312"/>
    <s v="Para la Región Metropolitana, las frutas exportadas que generan mayores ingresos, durante el periodo comprendido entre los años 2012 y 2020, son la uva, la nuez y la ciruela. Sólo el año 2020 la uva significó un total de 247.355.802 dólares y la Nuez 188.356.606 dólares."/>
    <s v="Gráfico de Evolución"/>
    <s v="Región Metropolitana,valor,exportaciones,dolar,frutas,region,origen"/>
    <x v="311"/>
    <s v="200-R-13"/>
    <s v="#1774B9"/>
    <s v="990-0313"/>
    <n v="99200013"/>
    <s v="T-1031"/>
    <s v="C-997"/>
    <s v="FI-993"/>
    <s v="M-1021"/>
  </r>
  <r>
    <x v="313"/>
    <n v="990"/>
    <x v="0"/>
    <x v="5"/>
    <n v="14"/>
    <x v="7"/>
    <x v="5"/>
    <x v="1"/>
    <x v="14"/>
    <s v="Ninguno"/>
    <s v="Valor de exportaciones por región"/>
    <s v="Periodo 2012-2020"/>
    <s v="USD"/>
    <s v="Servicio Nacional de Aduanas"/>
    <x v="313"/>
    <m/>
    <s v="Gráfico de Evolución"/>
    <s v="Región de Los Ríos,valor,exportaciones,dolar,frutas,region,origen"/>
    <x v="312"/>
    <s v="100-R-14"/>
    <s v="#1774B9"/>
    <s v="990-0314"/>
    <n v="99200014"/>
    <s v="T-1031"/>
    <s v="C-997"/>
    <s v="FI-993"/>
    <s v="M-1021"/>
  </r>
  <r>
    <x v="314"/>
    <n v="990"/>
    <x v="0"/>
    <x v="5"/>
    <n v="15"/>
    <x v="7"/>
    <x v="5"/>
    <x v="1"/>
    <x v="15"/>
    <s v="Ninguno"/>
    <s v="Valor de exportaciones por región"/>
    <s v="Periodo 2012-2020"/>
    <s v="USD"/>
    <s v="Servicio Nacional de Aduanas"/>
    <x v="314"/>
    <m/>
    <s v="Gráfico de Evolución"/>
    <s v="Región de Arica y Parinacota,valor,exportaciones,dolar,frutas,region,origen"/>
    <x v="313"/>
    <s v="100-R-15"/>
    <s v="#1774B9"/>
    <s v="990-0315"/>
    <n v="99200015"/>
    <s v="T-1031"/>
    <s v="C-997"/>
    <s v="FI-993"/>
    <s v="M-1021"/>
  </r>
  <r>
    <x v="315"/>
    <n v="990"/>
    <x v="0"/>
    <x v="5"/>
    <n v="16"/>
    <x v="7"/>
    <x v="5"/>
    <x v="1"/>
    <x v="16"/>
    <s v="Ninguno"/>
    <s v="Valor de exportaciones por región"/>
    <s v="Periodo 2012-2020"/>
    <s v="USD"/>
    <s v="Servicio Nacional de Aduanas"/>
    <x v="315"/>
    <m/>
    <s v="Gráfico de Evolución"/>
    <s v="Región de Ñuble,valor,exportaciones,dolar,frutas,region,origen"/>
    <x v="314"/>
    <s v="100-R-16"/>
    <s v="#1774B9"/>
    <s v="990-0316"/>
    <n v="99200016"/>
    <s v="T-1031"/>
    <s v="C-997"/>
    <s v="FI-993"/>
    <s v="M-1021"/>
  </r>
  <r>
    <x v="316"/>
    <n v="990"/>
    <x v="0"/>
    <x v="5"/>
    <n v="0"/>
    <x v="7"/>
    <x v="5"/>
    <x v="0"/>
    <x v="0"/>
    <s v="Ninguno"/>
    <s v="Valor de exportaciones de Chile"/>
    <s v="Periodo 2012-2020"/>
    <s v="USD"/>
    <s v="Servicio Nacional de Aduanas"/>
    <x v="316"/>
    <s v="Estados Unidos es el país que más ingresos genera a Chile producto de las exportaciones de fruta, con un monto de alrededor de 16,7 billones de dólares en el periodo 2012-2020, seguido por China, con 9,7 billones de dólares y luego Países Bajos, con valores en torno a los 4 billones."/>
    <s v="Mapa de calor"/>
    <s v="Chile,exportaciones,valor,dolar,frutas,nacional"/>
    <x v="315"/>
    <n v="0"/>
    <s v="#1774B9"/>
    <s v="990-0317"/>
    <n v="99100000"/>
    <s v="T-1031"/>
    <s v="C-997"/>
    <s v="FI-993"/>
    <s v="M-1022"/>
  </r>
  <r>
    <x v="317"/>
    <n v="990"/>
    <x v="0"/>
    <x v="11"/>
    <n v="0"/>
    <x v="22"/>
    <x v="12"/>
    <x v="0"/>
    <x v="0"/>
    <s v="Región"/>
    <s v="Capacidad instalada de generación por región"/>
    <s v="Año 2021"/>
    <s v="MW"/>
    <s v="Comisión Nacional de Energía (CNE)"/>
    <x v="317"/>
    <m/>
    <s v="Gráfico"/>
    <s v="Chile,energia,capacidad,instalada,MW,ERNC,renovable,regional,potencia,neta"/>
    <x v="316"/>
    <s v="300-R"/>
    <s v="#1774B9"/>
    <s v="990-0318"/>
    <n v="99100000"/>
    <s v="T-1041"/>
    <s v="C-1000"/>
    <s v="FI-992"/>
    <s v="M-1023"/>
  </r>
  <r>
    <x v="318"/>
    <n v="990"/>
    <x v="0"/>
    <x v="11"/>
    <n v="1"/>
    <x v="22"/>
    <x v="12"/>
    <x v="1"/>
    <x v="1"/>
    <s v="Ninguno"/>
    <s v="Capacidad instalada de generación por región"/>
    <s v="Año 2021"/>
    <s v="MW"/>
    <s v="Comisión Nacional de Energía (CNE)"/>
    <x v="318"/>
    <m/>
    <s v="Gráfico"/>
    <s v="Región de Tarapacá,energia,capacidad,instalada,MW,ERNC,renovable,regional,potencia,neta"/>
    <x v="317"/>
    <s v="100-R-1"/>
    <s v="#1774B9"/>
    <s v="990-0319"/>
    <n v="99200001"/>
    <s v="T-1041"/>
    <s v="C-1000"/>
    <s v="FI-993"/>
    <s v="M-1023"/>
  </r>
  <r>
    <x v="319"/>
    <n v="990"/>
    <x v="0"/>
    <x v="11"/>
    <n v="2"/>
    <x v="22"/>
    <x v="12"/>
    <x v="1"/>
    <x v="2"/>
    <s v="Ninguno"/>
    <s v="Capacidad instalada de generación por región"/>
    <s v="Año 2021"/>
    <s v="MW"/>
    <s v="Comisión Nacional de Energía (CNE)"/>
    <x v="319"/>
    <m/>
    <s v="Gráfico"/>
    <s v="Región de Antofagasta,energia,capacidad,instalada,MW,ERNC,renovable,regional,potencia,neta"/>
    <x v="318"/>
    <s v="100-R-2"/>
    <s v="#1774B9"/>
    <s v="990-0320"/>
    <n v="99200002"/>
    <s v="T-1041"/>
    <s v="C-1000"/>
    <s v="FI-993"/>
    <s v="M-1023"/>
  </r>
  <r>
    <x v="320"/>
    <n v="990"/>
    <x v="0"/>
    <x v="11"/>
    <n v="3"/>
    <x v="22"/>
    <x v="12"/>
    <x v="1"/>
    <x v="3"/>
    <s v="Ninguno"/>
    <s v="Capacidad instalada de generación por región"/>
    <s v="Año 2021"/>
    <s v="MW"/>
    <s v="Comisión Nacional de Energía (CNE)"/>
    <x v="320"/>
    <m/>
    <s v="Gráfico"/>
    <s v="Región de Atacama,energia,capacidad,instalada,MW,ERNC,renovable,regional,potencia,neta"/>
    <x v="319"/>
    <s v="100-R-3"/>
    <s v="#1774B9"/>
    <s v="990-0321"/>
    <n v="99200003"/>
    <s v="T-1041"/>
    <s v="C-1000"/>
    <s v="FI-993"/>
    <s v="M-1023"/>
  </r>
  <r>
    <x v="321"/>
    <n v="990"/>
    <x v="0"/>
    <x v="11"/>
    <n v="4"/>
    <x v="22"/>
    <x v="12"/>
    <x v="1"/>
    <x v="4"/>
    <s v="Ninguno"/>
    <s v="Capacidad instalada de generación por región"/>
    <s v="Año 2021"/>
    <s v="MW"/>
    <s v="Comisión Nacional de Energía (CNE)"/>
    <x v="321"/>
    <m/>
    <s v="Gráfico"/>
    <s v="Región de Coquimbo,energia,capacidad,instalada,MW,ERNC,renovable,regional,potencia,neta"/>
    <x v="320"/>
    <s v="100-R-4"/>
    <s v="#1774B9"/>
    <s v="990-0322"/>
    <n v="99200004"/>
    <s v="T-1041"/>
    <s v="C-1000"/>
    <s v="FI-993"/>
    <s v="M-1023"/>
  </r>
  <r>
    <x v="322"/>
    <n v="990"/>
    <x v="0"/>
    <x v="11"/>
    <n v="5"/>
    <x v="22"/>
    <x v="12"/>
    <x v="1"/>
    <x v="5"/>
    <s v="Ninguno"/>
    <s v="Capacidad instalada de generación por región"/>
    <s v="Año 2021"/>
    <s v="MW"/>
    <s v="Comisión Nacional de Energía (CNE)"/>
    <x v="322"/>
    <m/>
    <s v="Gráfico"/>
    <s v="Región de Valparaíso,energia,capacidad,instalada,MW,ERNC,renovable,regional,potencia,neta"/>
    <x v="321"/>
    <s v="100-R-5"/>
    <s v="#1774B9"/>
    <s v="990-0323"/>
    <n v="99200005"/>
    <s v="T-1041"/>
    <s v="C-1000"/>
    <s v="FI-993"/>
    <s v="M-1023"/>
  </r>
  <r>
    <x v="323"/>
    <n v="990"/>
    <x v="0"/>
    <x v="11"/>
    <n v="6"/>
    <x v="22"/>
    <x v="12"/>
    <x v="1"/>
    <x v="6"/>
    <s v="Ninguno"/>
    <s v="Capacidad instalada de generación por región"/>
    <s v="Año 2021"/>
    <s v="MW"/>
    <s v="Comisión Nacional de Energía (CNE)"/>
    <x v="323"/>
    <m/>
    <s v="Gráfico"/>
    <s v="Región de O'Higgins,energia,capacidad,instalada,MW,ERNC,renovable,regional,potencia,neta"/>
    <x v="322"/>
    <s v="100-R-6"/>
    <s v="#1774B9"/>
    <s v="990-0324"/>
    <n v="99200006"/>
    <s v="T-1041"/>
    <s v="C-1000"/>
    <s v="FI-993"/>
    <s v="M-1023"/>
  </r>
  <r>
    <x v="324"/>
    <n v="990"/>
    <x v="0"/>
    <x v="11"/>
    <n v="7"/>
    <x v="22"/>
    <x v="12"/>
    <x v="1"/>
    <x v="7"/>
    <s v="Ninguno"/>
    <s v="Capacidad instalada de generación por región"/>
    <s v="Año 2021"/>
    <s v="MW"/>
    <s v="Comisión Nacional de Energía (CNE)"/>
    <x v="324"/>
    <m/>
    <s v="Gráfico"/>
    <s v="Región de Maule,energia,capacidad,instalada,MW,ERNC,renovable,regional,potencia,neta"/>
    <x v="323"/>
    <s v="100-R-7"/>
    <s v="#1774B9"/>
    <s v="990-0325"/>
    <n v="99200007"/>
    <s v="T-1041"/>
    <s v="C-1000"/>
    <s v="FI-993"/>
    <s v="M-1023"/>
  </r>
  <r>
    <x v="325"/>
    <n v="990"/>
    <x v="0"/>
    <x v="11"/>
    <n v="8"/>
    <x v="22"/>
    <x v="12"/>
    <x v="1"/>
    <x v="8"/>
    <s v="Ninguno"/>
    <s v="Capacidad instalada de generación por región"/>
    <s v="Año 2021"/>
    <s v="MW"/>
    <s v="Comisión Nacional de Energía (CNE)"/>
    <x v="325"/>
    <m/>
    <s v="Gráfico"/>
    <s v="Región del Biobío,energia,capacidad,instalada,MW,ERNC,renovable,regional,potencia,neta"/>
    <x v="324"/>
    <s v="100-R-8"/>
    <s v="#1774B9"/>
    <s v="990-0326"/>
    <n v="99200008"/>
    <s v="T-1041"/>
    <s v="C-1000"/>
    <s v="FI-993"/>
    <s v="M-1023"/>
  </r>
  <r>
    <x v="326"/>
    <n v="990"/>
    <x v="0"/>
    <x v="11"/>
    <n v="9"/>
    <x v="22"/>
    <x v="12"/>
    <x v="1"/>
    <x v="9"/>
    <s v="Ninguno"/>
    <s v="Capacidad instalada de generación por región"/>
    <s v="Año 2021"/>
    <s v="MW"/>
    <s v="Comisión Nacional de Energía (CNE)"/>
    <x v="326"/>
    <m/>
    <s v="Gráfico"/>
    <s v="Región de La Araucanía,energia,capacidad,instalada,MW,ERNC,renovable,regional,potencia,neta"/>
    <x v="325"/>
    <s v="100-R-9"/>
    <s v="#1774B9"/>
    <s v="990-0327"/>
    <n v="99200009"/>
    <s v="T-1041"/>
    <s v="C-1000"/>
    <s v="FI-993"/>
    <s v="M-1023"/>
  </r>
  <r>
    <x v="327"/>
    <n v="990"/>
    <x v="0"/>
    <x v="11"/>
    <n v="10"/>
    <x v="22"/>
    <x v="12"/>
    <x v="1"/>
    <x v="10"/>
    <s v="Ninguno"/>
    <s v="Capacidad instalada de generación por región"/>
    <s v="Año 2021"/>
    <s v="MW"/>
    <s v="Comisión Nacional de Energía (CNE)"/>
    <x v="327"/>
    <m/>
    <s v="Gráfico"/>
    <s v="Región de Los Lagos,energia,capacidad,instalada,MW,ERNC,renovable,regional,potencia,neta"/>
    <x v="326"/>
    <s v="100-R-10"/>
    <s v="#1774B9"/>
    <s v="990-0328"/>
    <n v="99200010"/>
    <s v="T-1041"/>
    <s v="C-1000"/>
    <s v="FI-993"/>
    <s v="M-1023"/>
  </r>
  <r>
    <x v="328"/>
    <n v="990"/>
    <x v="0"/>
    <x v="11"/>
    <n v="11"/>
    <x v="22"/>
    <x v="12"/>
    <x v="1"/>
    <x v="11"/>
    <s v="Ninguno"/>
    <s v="Capacidad instalada de generación por región"/>
    <s v="Año 2021"/>
    <s v="MW"/>
    <s v="Comisión Nacional de Energía (CNE)"/>
    <x v="328"/>
    <m/>
    <s v="Gráfico"/>
    <s v="Región de Aysén,energia,capacidad,instalada,MW,ERNC,renovable,regional,potencia,neta"/>
    <x v="327"/>
    <s v="100-R-11"/>
    <s v="#1774B9"/>
    <s v="990-0329"/>
    <n v="99200011"/>
    <s v="T-1041"/>
    <s v="C-1000"/>
    <s v="FI-993"/>
    <s v="M-1023"/>
  </r>
  <r>
    <x v="329"/>
    <n v="990"/>
    <x v="0"/>
    <x v="11"/>
    <n v="12"/>
    <x v="22"/>
    <x v="12"/>
    <x v="1"/>
    <x v="12"/>
    <s v="Ninguno"/>
    <s v="Capacidad instalada de generación por región"/>
    <s v="Año 2021"/>
    <s v="MW"/>
    <s v="Comisión Nacional de Energía (CNE)"/>
    <x v="329"/>
    <m/>
    <s v="Gráfico"/>
    <s v="Región de Magallanes,energia,capacidad,instalada,MW,ERNC,renovable,regional,potencia,neta"/>
    <x v="328"/>
    <s v="100-R-12"/>
    <s v="#1774B9"/>
    <s v="990-0330"/>
    <n v="99200012"/>
    <s v="T-1041"/>
    <s v="C-1000"/>
    <s v="FI-993"/>
    <s v="M-1023"/>
  </r>
  <r>
    <x v="330"/>
    <n v="990"/>
    <x v="0"/>
    <x v="11"/>
    <n v="13"/>
    <x v="22"/>
    <x v="12"/>
    <x v="1"/>
    <x v="13"/>
    <s v="Ninguno"/>
    <s v="Capacidad instalada de generación por región"/>
    <s v="Año 2021"/>
    <s v="MW"/>
    <s v="Comisión Nacional de Energía (CNE)"/>
    <x v="330"/>
    <m/>
    <s v="Gráfico"/>
    <s v="Región Metropolitana,energia,capacidad,instalada,MW,ERNC,renovable,regional,potencia,neta"/>
    <x v="329"/>
    <s v="200-R-13"/>
    <s v="#1774B9"/>
    <s v="990-0331"/>
    <n v="99200013"/>
    <s v="T-1041"/>
    <s v="C-1000"/>
    <s v="FI-993"/>
    <s v="M-1023"/>
  </r>
  <r>
    <x v="331"/>
    <n v="990"/>
    <x v="0"/>
    <x v="11"/>
    <n v="14"/>
    <x v="22"/>
    <x v="12"/>
    <x v="1"/>
    <x v="14"/>
    <s v="Ninguno"/>
    <s v="Capacidad instalada de generación por región"/>
    <s v="Año 2021"/>
    <s v="MW"/>
    <s v="Comisión Nacional de Energía (CNE)"/>
    <x v="331"/>
    <m/>
    <s v="Gráfico"/>
    <s v="Región de Los Ríos,energia,capacidad,instalada,MW,ERNC,renovable,regional,potencia,neta"/>
    <x v="330"/>
    <s v="100-R-14"/>
    <s v="#1774B9"/>
    <s v="990-0332"/>
    <n v="99200014"/>
    <s v="T-1041"/>
    <s v="C-1000"/>
    <s v="FI-993"/>
    <s v="M-1023"/>
  </r>
  <r>
    <x v="332"/>
    <n v="990"/>
    <x v="0"/>
    <x v="11"/>
    <n v="15"/>
    <x v="22"/>
    <x v="12"/>
    <x v="1"/>
    <x v="15"/>
    <s v="Ninguno"/>
    <s v="Capacidad instalada de generación por región"/>
    <s v="Año 2021"/>
    <s v="MW"/>
    <s v="Comisión Nacional de Energía (CNE)"/>
    <x v="332"/>
    <m/>
    <s v="Gráfico"/>
    <s v="Región de Arica y Parinacota,energia,capacidad,instalada,MW,ERNC,renovable,regional,potencia,neta"/>
    <x v="331"/>
    <s v="100-R-15"/>
    <s v="#1774B9"/>
    <s v="990-0333"/>
    <n v="99200015"/>
    <s v="T-1041"/>
    <s v="C-1000"/>
    <s v="FI-993"/>
    <s v="M-1023"/>
  </r>
  <r>
    <x v="333"/>
    <n v="990"/>
    <x v="0"/>
    <x v="11"/>
    <n v="16"/>
    <x v="22"/>
    <x v="12"/>
    <x v="1"/>
    <x v="16"/>
    <s v="Ninguno"/>
    <s v="Capacidad instalada de generación por región"/>
    <s v="Año 2021"/>
    <s v="MW"/>
    <s v="Comisión Nacional de Energía (CNE)"/>
    <x v="333"/>
    <m/>
    <s v="Gráfico"/>
    <s v="Región de Ñuble,energia,capacidad,instalada,MW,ERNC,renovable,regional,potencia,neta"/>
    <x v="332"/>
    <s v="100-R-16"/>
    <s v="#1774B9"/>
    <s v="990-0334"/>
    <n v="99200016"/>
    <s v="T-1041"/>
    <s v="C-1000"/>
    <s v="FI-993"/>
    <s v="M-1023"/>
  </r>
  <r>
    <x v="334"/>
    <n v="990"/>
    <x v="0"/>
    <x v="5"/>
    <n v="0"/>
    <x v="15"/>
    <x v="5"/>
    <x v="0"/>
    <x v="0"/>
    <s v="Región"/>
    <s v="Producción agrícola por región"/>
    <s v="Periodo 1979-2020"/>
    <s v="Toneladas"/>
    <s v="Oficina de Estudios y Políticas Agrarias (ODEPA)"/>
    <x v="334"/>
    <m/>
    <s v="Gráfico de Evolución"/>
    <s v="Chile,cultivos,producción,agricola,agricultura,regional"/>
    <x v="333"/>
    <s v="300-R"/>
    <s v="#1774B9"/>
    <s v="990-0335"/>
    <n v="99100000"/>
    <s v="T-1035"/>
    <s v="C-997"/>
    <s v="FI-992"/>
    <s v="M-1024"/>
  </r>
  <r>
    <x v="335"/>
    <n v="990"/>
    <x v="0"/>
    <x v="5"/>
    <n v="1"/>
    <x v="15"/>
    <x v="5"/>
    <x v="1"/>
    <x v="1"/>
    <s v="Ninguno"/>
    <s v="Producción agrícola por región"/>
    <s v="Periodo 1979-2020"/>
    <s v="Toneladas"/>
    <s v="Oficina de Estudios y Políticas Agrarias (ODEPA)"/>
    <x v="335"/>
    <m/>
    <s v="Gráfico de Evolución"/>
    <s v="Región de Tarapacá,cultivos,producción,agricola,agricultura,regional"/>
    <x v="334"/>
    <s v="100-R-1"/>
    <s v="#1774B9"/>
    <s v="990-0336"/>
    <n v="99200001"/>
    <s v="T-1035"/>
    <s v="C-997"/>
    <s v="FI-993"/>
    <s v="M-1024"/>
  </r>
  <r>
    <x v="336"/>
    <n v="990"/>
    <x v="0"/>
    <x v="5"/>
    <n v="2"/>
    <x v="15"/>
    <x v="5"/>
    <x v="1"/>
    <x v="2"/>
    <s v="Ninguno"/>
    <s v="Producción agrícola por región"/>
    <s v="Periodo 1979-2020"/>
    <s v="Toneladas"/>
    <s v="Oficina de Estudios y Políticas Agrarias (ODEPA)"/>
    <x v="336"/>
    <m/>
    <s v="Gráfico de Evolución"/>
    <s v="Región de Antofagasta,cultivos,producción,agricola,agricultura,regional"/>
    <x v="335"/>
    <s v="100-R-2"/>
    <s v="#1774B9"/>
    <s v="990-0337"/>
    <n v="99200002"/>
    <s v="T-1035"/>
    <s v="C-997"/>
    <s v="FI-993"/>
    <s v="M-1024"/>
  </r>
  <r>
    <x v="337"/>
    <n v="990"/>
    <x v="0"/>
    <x v="5"/>
    <n v="3"/>
    <x v="15"/>
    <x v="5"/>
    <x v="1"/>
    <x v="3"/>
    <s v="Ninguno"/>
    <s v="Producción agrícola por región"/>
    <s v="Periodo 1979-2020"/>
    <s v="Toneladas"/>
    <s v="Oficina de Estudios y Políticas Agrarias (ODEPA)"/>
    <x v="337"/>
    <m/>
    <s v="Gráfico de Evolución"/>
    <s v="Región de Atacama,cultivos,producción,agricola,agricultura,regional"/>
    <x v="336"/>
    <s v="100-R-3"/>
    <s v="#1774B9"/>
    <s v="990-0338"/>
    <n v="99200003"/>
    <s v="T-1035"/>
    <s v="C-997"/>
    <s v="FI-993"/>
    <s v="M-1024"/>
  </r>
  <r>
    <x v="338"/>
    <n v="990"/>
    <x v="0"/>
    <x v="5"/>
    <n v="4"/>
    <x v="15"/>
    <x v="5"/>
    <x v="1"/>
    <x v="4"/>
    <s v="Ninguno"/>
    <s v="Producción agrícola por región"/>
    <s v="Periodo 1979-2020"/>
    <s v="Toneladas"/>
    <s v="Oficina de Estudios y Políticas Agrarias (ODEPA)"/>
    <x v="338"/>
    <m/>
    <s v="Gráfico de Evolución"/>
    <s v="Región de Coquimbo,cultivos,producción,agricola,agricultura,regional"/>
    <x v="337"/>
    <s v="100-R-4"/>
    <s v="#1774B9"/>
    <s v="990-0339"/>
    <n v="99200004"/>
    <s v="T-1035"/>
    <s v="C-997"/>
    <s v="FI-993"/>
    <s v="M-1024"/>
  </r>
  <r>
    <x v="339"/>
    <n v="990"/>
    <x v="0"/>
    <x v="5"/>
    <n v="5"/>
    <x v="15"/>
    <x v="5"/>
    <x v="1"/>
    <x v="5"/>
    <s v="Ninguno"/>
    <s v="Producción agrícola por región"/>
    <s v="Periodo 1979-2020"/>
    <s v="Toneladas"/>
    <s v="Oficina de Estudios y Políticas Agrarias (ODEPA)"/>
    <x v="339"/>
    <m/>
    <s v="Gráfico de Evolución"/>
    <s v="Región de Valparaíso,cultivos,producción,agricola,agricultura,regional"/>
    <x v="338"/>
    <s v="100-R-5"/>
    <s v="#1774B9"/>
    <s v="990-0340"/>
    <n v="99200005"/>
    <s v="T-1035"/>
    <s v="C-997"/>
    <s v="FI-993"/>
    <s v="M-1024"/>
  </r>
  <r>
    <x v="340"/>
    <n v="990"/>
    <x v="0"/>
    <x v="5"/>
    <n v="6"/>
    <x v="15"/>
    <x v="5"/>
    <x v="1"/>
    <x v="6"/>
    <s v="Ninguno"/>
    <s v="Producción agrícola por región"/>
    <s v="Periodo 1979-2020"/>
    <s v="Toneladas"/>
    <s v="Oficina de Estudios y Políticas Agrarias (ODEPA)"/>
    <x v="340"/>
    <s v="La producción agrícola en la región de O'Higgins se mantuvo relativamente constante durante 35 temporadas, para luego repuntar entre los años 2012 y 2015, variando la producción de valores en torno a las 205.000 ton promedio por temporada, para alcanzar las 1.311.032 ton en la temporada 2014/15, lo que significa una variación cercana al 489%. En el año 2020 se observó una caída significativa alcanzando las 457.230 ton."/>
    <s v="Gráfico de Evolución"/>
    <s v="Región de O'Higgins,cultivos,producción,agricola,agricultura,regional"/>
    <x v="339"/>
    <s v="100-R-6"/>
    <s v="#1774B9"/>
    <s v="990-0341"/>
    <n v="99200006"/>
    <s v="T-1035"/>
    <s v="C-997"/>
    <s v="FI-993"/>
    <s v="M-1024"/>
  </r>
  <r>
    <x v="341"/>
    <n v="990"/>
    <x v="0"/>
    <x v="5"/>
    <n v="7"/>
    <x v="15"/>
    <x v="5"/>
    <x v="1"/>
    <x v="7"/>
    <s v="Ninguno"/>
    <s v="Producción agrícola por región"/>
    <s v="Periodo 1979-2020"/>
    <s v="Toneladas"/>
    <s v="Oficina de Estudios y Políticas Agrarias (ODEPA)"/>
    <x v="341"/>
    <m/>
    <s v="Gráfico de Evolución"/>
    <s v="Región de Maule,cultivos,producción,agricola,agricultura,regional"/>
    <x v="340"/>
    <s v="100-R-7"/>
    <s v="#1774B9"/>
    <s v="990-0342"/>
    <n v="99200007"/>
    <s v="T-1035"/>
    <s v="C-997"/>
    <s v="FI-993"/>
    <s v="M-1024"/>
  </r>
  <r>
    <x v="342"/>
    <n v="990"/>
    <x v="0"/>
    <x v="5"/>
    <n v="8"/>
    <x v="15"/>
    <x v="5"/>
    <x v="1"/>
    <x v="8"/>
    <s v="Ninguno"/>
    <s v="Producción agrícola por región"/>
    <s v="Periodo 1979-2020"/>
    <s v="Toneladas"/>
    <s v="Oficina de Estudios y Políticas Agrarias (ODEPA)"/>
    <x v="342"/>
    <m/>
    <s v="Gráfico de Evolución"/>
    <s v="Región del Biobío,cultivos,producción,agricola,agricultura,regional"/>
    <x v="341"/>
    <s v="100-R-8"/>
    <s v="#1774B9"/>
    <s v="990-0343"/>
    <n v="99200008"/>
    <s v="T-1035"/>
    <s v="C-997"/>
    <s v="FI-993"/>
    <s v="M-1024"/>
  </r>
  <r>
    <x v="343"/>
    <n v="990"/>
    <x v="0"/>
    <x v="5"/>
    <n v="9"/>
    <x v="15"/>
    <x v="5"/>
    <x v="1"/>
    <x v="9"/>
    <s v="Ninguno"/>
    <s v="Producción agrícola por región"/>
    <s v="Periodo 1979-2020"/>
    <s v="Toneladas"/>
    <s v="Oficina de Estudios y Políticas Agrarias (ODEPA)"/>
    <x v="343"/>
    <m/>
    <s v="Gráfico de Evolución"/>
    <s v="Región de La Araucanía,cultivos,producción,agricola,agricultura,regional"/>
    <x v="342"/>
    <s v="100-R-9"/>
    <s v="#1774B9"/>
    <s v="990-0344"/>
    <n v="99200009"/>
    <s v="T-1035"/>
    <s v="C-997"/>
    <s v="FI-993"/>
    <s v="M-1024"/>
  </r>
  <r>
    <x v="344"/>
    <n v="990"/>
    <x v="0"/>
    <x v="5"/>
    <n v="10"/>
    <x v="15"/>
    <x v="5"/>
    <x v="1"/>
    <x v="10"/>
    <s v="Ninguno"/>
    <s v="Producción agrícola por región"/>
    <s v="Periodo 1979-2020"/>
    <s v="Toneladas"/>
    <s v="Oficina de Estudios y Políticas Agrarias (ODEPA)"/>
    <x v="344"/>
    <m/>
    <s v="Gráfico de Evolución"/>
    <s v="Región de Los Lagos,cultivos,producción,agricola,agricultura,regional"/>
    <x v="343"/>
    <s v="100-R-10"/>
    <s v="#1774B9"/>
    <s v="990-0345"/>
    <n v="99200010"/>
    <s v="T-1035"/>
    <s v="C-997"/>
    <s v="FI-993"/>
    <s v="M-1024"/>
  </r>
  <r>
    <x v="345"/>
    <n v="990"/>
    <x v="0"/>
    <x v="5"/>
    <n v="11"/>
    <x v="15"/>
    <x v="5"/>
    <x v="1"/>
    <x v="11"/>
    <s v="Ninguno"/>
    <s v="Producción agrícola por región"/>
    <s v="Periodo 1979-2020"/>
    <s v="Toneladas"/>
    <s v="Oficina de Estudios y Políticas Agrarias (ODEPA)"/>
    <x v="345"/>
    <m/>
    <s v="Gráfico de Evolución"/>
    <s v="Región de Aysén,cultivos,producción,agricola,agricultura,regional"/>
    <x v="344"/>
    <s v="100-R-11"/>
    <s v="#1774B9"/>
    <s v="990-0346"/>
    <n v="99200011"/>
    <s v="T-1035"/>
    <s v="C-997"/>
    <s v="FI-993"/>
    <s v="M-1024"/>
  </r>
  <r>
    <x v="346"/>
    <n v="990"/>
    <x v="0"/>
    <x v="5"/>
    <n v="12"/>
    <x v="15"/>
    <x v="5"/>
    <x v="1"/>
    <x v="12"/>
    <s v="Ninguno"/>
    <s v="Producción agrícola por región"/>
    <s v="Periodo 1979-2020"/>
    <s v="Toneladas"/>
    <s v="Oficina de Estudios y Políticas Agrarias (ODEPA)"/>
    <x v="346"/>
    <m/>
    <s v="Gráfico de Evolución"/>
    <s v="Región de Magallanes,cultivos,producción,agricola,agricultura,regional"/>
    <x v="345"/>
    <s v="100-R-12"/>
    <s v="#1774B9"/>
    <s v="990-0347"/>
    <n v="99200012"/>
    <s v="T-1035"/>
    <s v="C-997"/>
    <s v="FI-993"/>
    <s v="M-1024"/>
  </r>
  <r>
    <x v="347"/>
    <n v="990"/>
    <x v="0"/>
    <x v="5"/>
    <n v="13"/>
    <x v="15"/>
    <x v="5"/>
    <x v="1"/>
    <x v="13"/>
    <s v="Ninguno"/>
    <s v="Producción agrícola por región"/>
    <s v="Periodo 1979-2020"/>
    <s v="Toneladas"/>
    <s v="Oficina de Estudios y Políticas Agrarias (ODEPA)"/>
    <x v="347"/>
    <m/>
    <s v="Gráfico de Evolución"/>
    <s v="Región Metropolitana,cultivos,producción,agricola,agricultura,regional"/>
    <x v="346"/>
    <s v="200-R-13"/>
    <s v="#1774B9"/>
    <s v="990-0348"/>
    <n v="99200013"/>
    <s v="T-1035"/>
    <s v="C-997"/>
    <s v="FI-993"/>
    <s v="M-1024"/>
  </r>
  <r>
    <x v="348"/>
    <n v="990"/>
    <x v="0"/>
    <x v="5"/>
    <n v="14"/>
    <x v="15"/>
    <x v="5"/>
    <x v="1"/>
    <x v="14"/>
    <s v="Ninguno"/>
    <s v="Producción agrícola por región"/>
    <s v="Periodo 1979-2020"/>
    <s v="Toneladas"/>
    <s v="Oficina de Estudios y Políticas Agrarias (ODEPA)"/>
    <x v="348"/>
    <m/>
    <s v="Gráfico de Evolución"/>
    <s v="Región de Los Ríos,cultivos,producción,agricola,agricultura,regional"/>
    <x v="347"/>
    <s v="100-R-14"/>
    <s v="#1774B9"/>
    <s v="990-0349"/>
    <n v="99200014"/>
    <s v="T-1035"/>
    <s v="C-997"/>
    <s v="FI-993"/>
    <s v="M-1024"/>
  </r>
  <r>
    <x v="349"/>
    <n v="990"/>
    <x v="0"/>
    <x v="5"/>
    <n v="15"/>
    <x v="15"/>
    <x v="5"/>
    <x v="1"/>
    <x v="15"/>
    <s v="Ninguno"/>
    <s v="Producción agrícola por región"/>
    <s v="Periodo 1979-2020"/>
    <s v="Toneladas"/>
    <s v="Oficina de Estudios y Políticas Agrarias (ODEPA)"/>
    <x v="349"/>
    <m/>
    <s v="Gráfico de Evolución"/>
    <s v="Región de Arica y Parinacota,cultivos,producción,agricola,agricultura,regional"/>
    <x v="348"/>
    <s v="100-R-15"/>
    <s v="#1774B9"/>
    <s v="990-0350"/>
    <n v="99200015"/>
    <s v="T-1035"/>
    <s v="C-997"/>
    <s v="FI-993"/>
    <s v="M-1024"/>
  </r>
  <r>
    <x v="350"/>
    <n v="990"/>
    <x v="0"/>
    <x v="5"/>
    <n v="16"/>
    <x v="15"/>
    <x v="5"/>
    <x v="1"/>
    <x v="16"/>
    <s v="Ninguno"/>
    <s v="Producción agrícola por región"/>
    <s v="Periodo 1979-2020"/>
    <s v="Toneladas"/>
    <s v="Oficina de Estudios y Políticas Agrarias (ODEPA)"/>
    <x v="350"/>
    <m/>
    <s v="Gráfico de Evolución"/>
    <s v="Región de Ñuble,cultivos,producción,agricola,agricultura,regional"/>
    <x v="349"/>
    <s v="100-R-16"/>
    <s v="#1774B9"/>
    <s v="990-0351"/>
    <n v="99200016"/>
    <s v="T-1035"/>
    <s v="C-997"/>
    <s v="FI-993"/>
    <s v="M-1024"/>
  </r>
  <r>
    <x v="351"/>
    <n v="990"/>
    <x v="0"/>
    <x v="5"/>
    <n v="0"/>
    <x v="23"/>
    <x v="5"/>
    <x v="0"/>
    <x v="0"/>
    <s v="Ninguno"/>
    <s v="Volumen de importaciones en Chile"/>
    <s v="Periodo 2012-2020"/>
    <s v="Toneladas"/>
    <s v="Servicio Nacional de Aduanas"/>
    <x v="351"/>
    <s v="Dentro del grupo de frutas Tropicales y Subtropicales, el plátano es la fruta con mayor importación en Chile. En el año 2020 se importaron 264.242 toneladas de esta fruta, superando en 1,4 veces la cantidad importada en el año 2012."/>
    <s v="Gráfico de Evolución"/>
    <s v="Chile,importaciones,fruta, comercio,tropical,subtropical,mango,piña,papaya,coco,platano"/>
    <x v="350"/>
    <n v="0"/>
    <s v="#1774B9"/>
    <s v="990-0352"/>
    <n v="99100000"/>
    <s v="T-1042"/>
    <s v="C-997"/>
    <s v="FI-993"/>
    <s v="M-1025"/>
  </r>
  <r>
    <x v="352"/>
    <n v="990"/>
    <x v="0"/>
    <x v="5"/>
    <n v="0"/>
    <x v="23"/>
    <x v="5"/>
    <x v="0"/>
    <x v="0"/>
    <s v="Ninguno"/>
    <s v="Volumen de importaciones en Chile"/>
    <s v="Periodo 2012-2020"/>
    <s v="Toneladas"/>
    <s v="Servicio Nacional de Aduanas"/>
    <x v="352"/>
    <s v="Durante el periodo 2012 - 2020, la mayor cantidad de fruta importada por Chile corresponde a fruta fresca, alcanzando un total de 356.049 ton en el año 2020. Por el contrario, la menor cantidad de fruta importada por Chile, corresponde a la procesada como frutos secos, en que el año 2020 alcanzó las 7.006 ton."/>
    <s v="Gráfico de Evolución"/>
    <s v="Chile,importaciones,fruta,procesamiento,comercio,fresca,jugo,congelado,conservas"/>
    <x v="351"/>
    <n v="0"/>
    <s v="#1774B9"/>
    <s v="990-0353"/>
    <n v="99100000"/>
    <s v="T-1042"/>
    <s v="C-997"/>
    <s v="FI-993"/>
    <s v="M-1025"/>
  </r>
  <r>
    <x v="353"/>
    <n v="990"/>
    <x v="0"/>
    <x v="2"/>
    <n v="0"/>
    <x v="24"/>
    <x v="13"/>
    <x v="0"/>
    <x v="0"/>
    <s v="Ninguno"/>
    <s v="Cantidad de casos en Chile"/>
    <s v="Periodo 2011-2018"/>
    <s v="Número de Casos"/>
    <s v="Departamento de Estadísticas e Información de la Salud (DEIS) - Ministerio de Salud"/>
    <x v="353"/>
    <s v="Considerando la población en Control del Programa de Cáncer de Cuello Uterino, la que considera a las mujeres con PAP vigente entre los años 2012-2018, se observa que la cantidad máxima de casos positivos para Cáncer de Cuello Uterino se alcanzó en el año 2014. Desde esa fecha, la población en control ha ido a la baja, salvo por el año 2018 que subió un 3,3% en comparación al año anterior, lo que se traduce en un aumento de solo 8 casos."/>
    <s v="Gráfico de Evolución"/>
    <s v="Chile,casos,cáncer,cuello,uterino,utero,salud,PAP,examen,papanicolaou"/>
    <x v="352"/>
    <n v="0"/>
    <s v="#1774B9"/>
    <s v="990-0354"/>
    <n v="99100000"/>
    <s v="T-999"/>
    <s v="C-1009"/>
    <s v="FI-993"/>
    <s v="M-1026"/>
  </r>
  <r>
    <x v="354"/>
    <n v="990"/>
    <x v="0"/>
    <x v="4"/>
    <n v="0"/>
    <x v="25"/>
    <x v="14"/>
    <x v="0"/>
    <x v="0"/>
    <s v="Región"/>
    <s v="Población en control por sexo en Chile"/>
    <s v="Periodo 2011-2018"/>
    <s v="Número de Casos"/>
    <s v="Departamento de Estadísticas e Información de la Salud (DEIS) - Ministerio de Salud"/>
    <x v="354"/>
    <s v="A nivel nacional, los casos confirmados de VIH/SIDA de acuerdo al Programa de VIH/SIDA, fueron en aumento durante el periodo 2012-2018, marcándose una clara diferencia en la cantidad de casos de acuerdo al sexo, siendo los hombres los que presentaron más de la mitad de los casos en cada año."/>
    <s v="Gráfico de Evolución"/>
    <s v="Chile VIH SIDA enfermedad transmision sexual casos población control programa sexo hombre mujer"/>
    <x v="353"/>
    <s v="300-R"/>
    <s v="#1774B9"/>
    <s v="990-0355"/>
    <n v="99100000"/>
    <s v="T-1000"/>
    <s v="C-1010"/>
    <s v="FI-992"/>
    <s v="M-1027"/>
  </r>
  <r>
    <x v="355"/>
    <n v="990"/>
    <x v="0"/>
    <x v="4"/>
    <n v="1"/>
    <x v="25"/>
    <x v="14"/>
    <x v="1"/>
    <x v="1"/>
    <s v="Ninguno"/>
    <s v="Población en control por sexo por región"/>
    <s v="Periodo 2011-2018"/>
    <s v="Número de Casos"/>
    <s v="Departamento de Estadísticas e Información de la Salud (DEIS) - Ministerio de Salud"/>
    <x v="355"/>
    <m/>
    <s v="Gráfico de Evolución"/>
    <s v="Región de Tarapacá VIH SIDA enfermedad transmision sexual casos población control programa sexo hombre mujer"/>
    <x v="354"/>
    <s v="100-R-1"/>
    <s v="#1774B9"/>
    <s v="990-0356"/>
    <n v="99200001"/>
    <s v="T-1000"/>
    <s v="C-1010"/>
    <s v="FI-993"/>
    <s v="M-1028"/>
  </r>
  <r>
    <x v="356"/>
    <n v="990"/>
    <x v="0"/>
    <x v="4"/>
    <n v="2"/>
    <x v="25"/>
    <x v="14"/>
    <x v="1"/>
    <x v="2"/>
    <s v="Ninguno"/>
    <s v="Población en control por sexo por región"/>
    <s v="Periodo 2011-2018"/>
    <s v="Número de Casos"/>
    <s v="Departamento de Estadísticas e Información de la Salud (DEIS) - Ministerio de Salud"/>
    <x v="356"/>
    <m/>
    <s v="Gráfico de Evolución"/>
    <s v="Región de Antofagasta VIH SIDA enfermedad transmision sexual casos población control programa sexo hombre mujer"/>
    <x v="355"/>
    <s v="100-R-2"/>
    <s v="#1774B9"/>
    <s v="990-0357"/>
    <n v="99200002"/>
    <s v="T-1000"/>
    <s v="C-1010"/>
    <s v="FI-993"/>
    <s v="M-1028"/>
  </r>
  <r>
    <x v="357"/>
    <n v="990"/>
    <x v="0"/>
    <x v="4"/>
    <n v="3"/>
    <x v="25"/>
    <x v="14"/>
    <x v="1"/>
    <x v="3"/>
    <s v="Ninguno"/>
    <s v="Población en control por sexo por región"/>
    <s v="Periodo 2011-2018"/>
    <s v="Número de Casos"/>
    <s v="Departamento de Estadísticas e Información de la Salud (DEIS) - Ministerio de Salud"/>
    <x v="357"/>
    <m/>
    <s v="Gráfico de Evolución"/>
    <s v="Región de Atacama VIH SIDA enfermedad transmision sexual casos población control programa sexo hombre mujer"/>
    <x v="356"/>
    <s v="100-R-3"/>
    <s v="#1774B9"/>
    <s v="990-0358"/>
    <n v="99200003"/>
    <s v="T-1000"/>
    <s v="C-1010"/>
    <s v="FI-993"/>
    <s v="M-1028"/>
  </r>
  <r>
    <x v="358"/>
    <n v="990"/>
    <x v="0"/>
    <x v="4"/>
    <n v="4"/>
    <x v="25"/>
    <x v="14"/>
    <x v="1"/>
    <x v="4"/>
    <s v="Ninguno"/>
    <s v="Población en control por sexo por región"/>
    <s v="Periodo 2011-2018"/>
    <s v="Número de Casos"/>
    <s v="Departamento de Estadísticas e Información de la Salud (DEIS) - Ministerio de Salud"/>
    <x v="358"/>
    <m/>
    <s v="Gráfico de Evolución"/>
    <s v="Región de Coquimbo VIH SIDA enfermedad transmision sexual casos población control programa sexo hombre mujer"/>
    <x v="357"/>
    <s v="100-R-4"/>
    <s v="#1774B9"/>
    <s v="990-0359"/>
    <n v="99200004"/>
    <s v="T-1000"/>
    <s v="C-1010"/>
    <s v="FI-993"/>
    <s v="M-1028"/>
  </r>
  <r>
    <x v="359"/>
    <n v="990"/>
    <x v="0"/>
    <x v="4"/>
    <n v="5"/>
    <x v="25"/>
    <x v="14"/>
    <x v="1"/>
    <x v="5"/>
    <s v="Ninguno"/>
    <s v="Población en control por sexo por región"/>
    <s v="Periodo 2011-2018"/>
    <s v="Número de Casos"/>
    <s v="Departamento de Estadísticas e Información de la Salud (DEIS) - Ministerio de Salud"/>
    <x v="359"/>
    <m/>
    <s v="Gráfico de Evolución"/>
    <s v="Región de Valparaíso VIH SIDA enfermedad transmision sexual casos población control programa sexo hombre mujer"/>
    <x v="358"/>
    <s v="100-R-5"/>
    <s v="#1774B9"/>
    <s v="990-0360"/>
    <n v="99200005"/>
    <s v="T-1000"/>
    <s v="C-1010"/>
    <s v="FI-993"/>
    <s v="M-1028"/>
  </r>
  <r>
    <x v="360"/>
    <n v="990"/>
    <x v="0"/>
    <x v="4"/>
    <n v="6"/>
    <x v="25"/>
    <x v="14"/>
    <x v="1"/>
    <x v="6"/>
    <s v="Ninguno"/>
    <s v="Población en control por sexo por región"/>
    <s v="Periodo 2011-2018"/>
    <s v="Número de Casos"/>
    <s v="Departamento de Estadísticas e Información de la Salud (DEIS) - Ministerio de Salud"/>
    <x v="360"/>
    <m/>
    <s v="Gráfico de Evolución"/>
    <s v="Región de O'Higgins VIH SIDA enfermedad transmision sexual casos población control programa sexo hombre mujer"/>
    <x v="359"/>
    <s v="100-R-6"/>
    <s v="#1774B9"/>
    <s v="990-0361"/>
    <n v="99200006"/>
    <s v="T-1000"/>
    <s v="C-1010"/>
    <s v="FI-993"/>
    <s v="M-1028"/>
  </r>
  <r>
    <x v="361"/>
    <n v="990"/>
    <x v="0"/>
    <x v="4"/>
    <n v="7"/>
    <x v="25"/>
    <x v="14"/>
    <x v="1"/>
    <x v="7"/>
    <s v="Ninguno"/>
    <s v="Población en control por sexo por región"/>
    <s v="Periodo 2011-2018"/>
    <s v="Número de Casos"/>
    <s v="Departamento de Estadísticas e Información de la Salud (DEIS) - Ministerio de Salud"/>
    <x v="361"/>
    <m/>
    <s v="Gráfico de Evolución"/>
    <s v="Región de Maule VIH SIDA enfermedad transmision sexual casos población control programa sexo hombre mujer"/>
    <x v="360"/>
    <s v="100-R-7"/>
    <s v="#1774B9"/>
    <s v="990-0362"/>
    <n v="99200007"/>
    <s v="T-1000"/>
    <s v="C-1010"/>
    <s v="FI-993"/>
    <s v="M-1028"/>
  </r>
  <r>
    <x v="362"/>
    <n v="990"/>
    <x v="0"/>
    <x v="4"/>
    <n v="8"/>
    <x v="25"/>
    <x v="14"/>
    <x v="1"/>
    <x v="8"/>
    <s v="Ninguno"/>
    <s v="Población en control por sexo por región"/>
    <s v="Periodo 2011-2018"/>
    <s v="Número de Casos"/>
    <s v="Departamento de Estadísticas e Información de la Salud (DEIS) - Ministerio de Salud"/>
    <x v="362"/>
    <m/>
    <s v="Gráfico de Evolución"/>
    <s v="Región del Biobío VIH SIDA enfermedad transmision sexual casos población control programa sexo hombre mujer"/>
    <x v="361"/>
    <s v="100-R-8"/>
    <s v="#1774B9"/>
    <s v="990-0363"/>
    <n v="99200008"/>
    <s v="T-1000"/>
    <s v="C-1010"/>
    <s v="FI-993"/>
    <s v="M-1028"/>
  </r>
  <r>
    <x v="363"/>
    <n v="990"/>
    <x v="0"/>
    <x v="4"/>
    <n v="9"/>
    <x v="25"/>
    <x v="14"/>
    <x v="1"/>
    <x v="9"/>
    <s v="Ninguno"/>
    <s v="Población en control por sexo por región"/>
    <s v="Periodo 2011-2018"/>
    <s v="Número de Casos"/>
    <s v="Departamento de Estadísticas e Información de la Salud (DEIS) - Ministerio de Salud"/>
    <x v="363"/>
    <m/>
    <s v="Gráfico de Evolución"/>
    <s v="Región de La Araucanía VIH SIDA enfermedad transmision sexual casos población control programa sexo hombre mujer"/>
    <x v="362"/>
    <s v="100-R-9"/>
    <s v="#1774B9"/>
    <s v="990-0364"/>
    <n v="99200009"/>
    <s v="T-1000"/>
    <s v="C-1010"/>
    <s v="FI-993"/>
    <s v="M-1028"/>
  </r>
  <r>
    <x v="364"/>
    <n v="990"/>
    <x v="0"/>
    <x v="4"/>
    <n v="10"/>
    <x v="25"/>
    <x v="14"/>
    <x v="1"/>
    <x v="10"/>
    <s v="Ninguno"/>
    <s v="Población en control por sexo por región"/>
    <s v="Periodo 2011-2018"/>
    <s v="Número de Casos"/>
    <s v="Departamento de Estadísticas e Información de la Salud (DEIS) - Ministerio de Salud"/>
    <x v="364"/>
    <m/>
    <s v="Gráfico de Evolución"/>
    <s v="Región de Los Lagos VIH SIDA enfermedad transmision sexual casos población control programa sexo hombre mujer"/>
    <x v="363"/>
    <s v="100-R-10"/>
    <s v="#1774B9"/>
    <s v="990-0365"/>
    <n v="99200010"/>
    <s v="T-1000"/>
    <s v="C-1010"/>
    <s v="FI-993"/>
    <s v="M-1028"/>
  </r>
  <r>
    <x v="365"/>
    <n v="990"/>
    <x v="0"/>
    <x v="4"/>
    <n v="11"/>
    <x v="25"/>
    <x v="14"/>
    <x v="1"/>
    <x v="11"/>
    <s v="Ninguno"/>
    <s v="Población en control por sexo por región"/>
    <s v="Periodo 2011-2018"/>
    <s v="Número de Casos"/>
    <s v="Departamento de Estadísticas e Información de la Salud (DEIS) - Ministerio de Salud"/>
    <x v="365"/>
    <m/>
    <s v="Gráfico de Evolución"/>
    <s v="Región de Aysén VIH SIDA enfermedad transmision sexual casos población control programa sexo hombre mujer"/>
    <x v="364"/>
    <s v="100-R-11"/>
    <s v="#1774B9"/>
    <s v="990-0366"/>
    <n v="99200011"/>
    <s v="T-1000"/>
    <s v="C-1010"/>
    <s v="FI-993"/>
    <s v="M-1028"/>
  </r>
  <r>
    <x v="366"/>
    <n v="990"/>
    <x v="0"/>
    <x v="4"/>
    <n v="12"/>
    <x v="25"/>
    <x v="14"/>
    <x v="1"/>
    <x v="12"/>
    <s v="Ninguno"/>
    <s v="Población en control por sexo por región"/>
    <s v="Periodo 2011-2018"/>
    <s v="Número de Casos"/>
    <s v="Departamento de Estadísticas e Información de la Salud (DEIS) - Ministerio de Salud"/>
    <x v="366"/>
    <m/>
    <s v="Gráfico de Evolución"/>
    <s v="Región de Magallanes VIH SIDA enfermedad transmision sexual casos población control programa sexo hombre mujer"/>
    <x v="365"/>
    <s v="100-R-12"/>
    <s v="#1774B9"/>
    <s v="990-0367"/>
    <n v="99200012"/>
    <s v="T-1000"/>
    <s v="C-1010"/>
    <s v="FI-993"/>
    <s v="M-1028"/>
  </r>
  <r>
    <x v="367"/>
    <n v="990"/>
    <x v="0"/>
    <x v="4"/>
    <n v="13"/>
    <x v="25"/>
    <x v="14"/>
    <x v="1"/>
    <x v="13"/>
    <s v="Ninguno"/>
    <s v="Población en control por sexo por región"/>
    <s v="Periodo 2011-2018"/>
    <s v="Número de Casos"/>
    <s v="Departamento de Estadísticas e Información de la Salud (DEIS) - Ministerio de Salud"/>
    <x v="367"/>
    <m/>
    <s v="Gráfico de Evolución"/>
    <s v="Región Metropolitana VIH SIDA enfermedad transmision sexual casos población control programa sexo hombre mujer"/>
    <x v="366"/>
    <s v="200-R-13"/>
    <s v="#1774B9"/>
    <s v="990-0368"/>
    <n v="99200013"/>
    <s v="T-1000"/>
    <s v="C-1010"/>
    <s v="FI-993"/>
    <s v="M-1028"/>
  </r>
  <r>
    <x v="368"/>
    <n v="990"/>
    <x v="0"/>
    <x v="4"/>
    <n v="14"/>
    <x v="25"/>
    <x v="14"/>
    <x v="1"/>
    <x v="14"/>
    <s v="Ninguno"/>
    <s v="Población en control por sexo por región"/>
    <s v="Periodo 2011-2018"/>
    <s v="Número de Casos"/>
    <s v="Departamento de Estadísticas e Información de la Salud (DEIS) - Ministerio de Salud"/>
    <x v="368"/>
    <m/>
    <s v="Gráfico de Evolución"/>
    <s v="Región de Los Ríos VIH SIDA enfermedad transmision sexual casos población control programa sexo hombre mujer"/>
    <x v="367"/>
    <s v="100-R-14"/>
    <s v="#1774B9"/>
    <s v="990-0369"/>
    <n v="99200014"/>
    <s v="T-1000"/>
    <s v="C-1010"/>
    <s v="FI-993"/>
    <s v="M-1028"/>
  </r>
  <r>
    <x v="369"/>
    <n v="990"/>
    <x v="0"/>
    <x v="4"/>
    <n v="15"/>
    <x v="25"/>
    <x v="14"/>
    <x v="1"/>
    <x v="15"/>
    <s v="Ninguno"/>
    <s v="Población en control por sexo por región"/>
    <s v="Periodo 2011-2018"/>
    <s v="Número de Casos"/>
    <s v="Departamento de Estadísticas e Información de la Salud (DEIS) - Ministerio de Salud"/>
    <x v="369"/>
    <m/>
    <s v="Gráfico de Evolución"/>
    <s v="Región de Arica y Parinacota VIH SIDA enfermedad transmision sexual casos población control programa sexo hombre mujer"/>
    <x v="368"/>
    <s v="100-R-15"/>
    <s v="#1774B9"/>
    <s v="990-0370"/>
    <n v="99200015"/>
    <s v="T-1000"/>
    <s v="C-1010"/>
    <s v="FI-993"/>
    <s v="M-1028"/>
  </r>
  <r>
    <x v="370"/>
    <n v="990"/>
    <x v="0"/>
    <x v="4"/>
    <n v="16"/>
    <x v="25"/>
    <x v="14"/>
    <x v="1"/>
    <x v="16"/>
    <s v="Ninguno"/>
    <s v="Población en control por sexo por región"/>
    <s v="Periodo 2011-2018"/>
    <s v="Número de Casos"/>
    <s v="Departamento de Estadísticas e Información de la Salud (DEIS) - Ministerio de Salud"/>
    <x v="370"/>
    <m/>
    <s v="Gráfico de Evolución"/>
    <s v="Región de Ñuble VIH SIDA enfermedad transmision sexual casos población control programa sexo hombre mujer"/>
    <x v="369"/>
    <s v="100-R-16"/>
    <s v="#1774B9"/>
    <s v="990-0371"/>
    <n v="99200016"/>
    <s v="T-1000"/>
    <s v="C-1010"/>
    <s v="FI-993"/>
    <s v="M-1028"/>
  </r>
  <r>
    <x v="371"/>
    <n v="990"/>
    <x v="0"/>
    <x v="12"/>
    <n v="0"/>
    <x v="26"/>
    <x v="15"/>
    <x v="0"/>
    <x v="0"/>
    <s v="Ninguno"/>
    <s v="Cantidad de comunas según grado por región"/>
    <s v="POR DEFINIR"/>
    <s v="Número de comunas"/>
    <s v="Elaboración propia con datos de CONAF/SUD-Austral, CASEN, CENSO 2017."/>
    <x v="371"/>
    <s v="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La Región de O'Higgins es la que posee mayor cantidad de comunas (26) con un índice alto de vulnerabilidad al cambio climático, seguida de las regiones de Valparaíso (25) y Coquimbo (13). Esta última es la que posee mayor proporción de comunas (86,6%) con vulnerabilidad alta con respecto al total de comunas de la región."/>
    <s v="Gráfico"/>
    <s v="Chile,cambio,climatico,vulnerabilidad,indice,cantidad,comunas"/>
    <x v="370"/>
    <s v="300-R"/>
    <s v="#1774B9"/>
    <s v="990-0372"/>
    <n v="99100000"/>
    <s v="T-1001"/>
    <s v="C-992"/>
    <s v="FI-993"/>
    <s v="M-1029"/>
  </r>
  <r>
    <x v="372"/>
    <n v="990"/>
    <x v="0"/>
    <x v="12"/>
    <n v="1"/>
    <x v="26"/>
    <x v="15"/>
    <x v="1"/>
    <x v="1"/>
    <s v="Ninguno"/>
    <s v="Cantidad de comunas según grado por región"/>
    <s v="POR DEFINIR"/>
    <s v="Número de comunas"/>
    <s v="Elaboración propia con datos de CONAF/SUD-Austral, CASEN, CENSO 2017."/>
    <x v="372"/>
    <m/>
    <s v="Gráfico"/>
    <s v="Región de Tarapacá,cambio,climatico,vulnerabilidad,indice,cantidad,comunas"/>
    <x v="281"/>
    <s v="100-R-1"/>
    <s v="#1774B9"/>
    <s v="990-0373"/>
    <n v="99200001"/>
    <s v="T-1001"/>
    <s v="C-992"/>
    <s v="FI-993"/>
    <s v="M-1029"/>
  </r>
  <r>
    <x v="373"/>
    <n v="990"/>
    <x v="0"/>
    <x v="12"/>
    <n v="2"/>
    <x v="26"/>
    <x v="15"/>
    <x v="1"/>
    <x v="2"/>
    <s v="Ninguno"/>
    <s v="Cantidad de comunas según grado por región"/>
    <s v="POR DEFINIR"/>
    <s v="Número de comunas"/>
    <s v="Elaboración propia con datos de CONAF/SUD-Austral, CASEN, CENSO 2017."/>
    <x v="373"/>
    <m/>
    <s v="Gráfico"/>
    <s v="Región de Antofagasta,cambio,climatico,vulnerabilidad,indice,cantidad,comunas"/>
    <x v="281"/>
    <s v="100-R-2"/>
    <s v="#1774B9"/>
    <s v="990-0374"/>
    <n v="99200002"/>
    <s v="T-1001"/>
    <s v="C-992"/>
    <s v="FI-993"/>
    <s v="M-1029"/>
  </r>
  <r>
    <x v="374"/>
    <n v="990"/>
    <x v="0"/>
    <x v="12"/>
    <n v="3"/>
    <x v="26"/>
    <x v="15"/>
    <x v="1"/>
    <x v="3"/>
    <s v="Ninguno"/>
    <s v="Cantidad de comunas según grado por región"/>
    <s v="POR DEFINIR"/>
    <s v="Número de comunas"/>
    <s v="Elaboración propia con datos de CONAF/SUD-Austral, CASEN, CENSO 2017."/>
    <x v="374"/>
    <m/>
    <s v="Gráfico"/>
    <s v="Región de Atacama,cambio,climatico,vulnerabilidad,indice,cantidad,comunas"/>
    <x v="281"/>
    <s v="100-R-3"/>
    <s v="#1774B9"/>
    <s v="990-0375"/>
    <n v="99200003"/>
    <s v="T-1001"/>
    <s v="C-992"/>
    <s v="FI-993"/>
    <s v="M-1029"/>
  </r>
  <r>
    <x v="375"/>
    <n v="990"/>
    <x v="0"/>
    <x v="12"/>
    <n v="4"/>
    <x v="26"/>
    <x v="15"/>
    <x v="1"/>
    <x v="4"/>
    <s v="Ninguno"/>
    <s v="Cantidad de comunas según grado por región"/>
    <s v="POR DEFINIR"/>
    <s v="Número de comunas"/>
    <s v="Elaboración propia con datos de CONAF/SUD-Austral, CASEN, CENSO 2017."/>
    <x v="375"/>
    <m/>
    <s v="Gráfico"/>
    <s v="Región de Coquimbo,cambio,climatico,vulnerabilidad,indice,cantidad,comunas"/>
    <x v="281"/>
    <s v="100-R-4"/>
    <s v="#1774B9"/>
    <s v="990-0376"/>
    <n v="99200004"/>
    <s v="T-1001"/>
    <s v="C-992"/>
    <s v="FI-993"/>
    <s v="M-1029"/>
  </r>
  <r>
    <x v="376"/>
    <n v="990"/>
    <x v="0"/>
    <x v="12"/>
    <n v="5"/>
    <x v="26"/>
    <x v="15"/>
    <x v="1"/>
    <x v="5"/>
    <s v="Ninguno"/>
    <s v="Cantidad de comunas según grado por región"/>
    <s v="POR DEFINIR"/>
    <s v="Número de comunas"/>
    <s v="Elaboración propia con datos de CONAF/SUD-Austral, CASEN, CENSO 2017."/>
    <x v="376"/>
    <m/>
    <s v="Gráfico"/>
    <s v="Región de Valparaíso,cambio,climatico,vulnerabilidad,indice,cantidad,comunas"/>
    <x v="281"/>
    <s v="100-R-5"/>
    <s v="#1774B9"/>
    <s v="990-0377"/>
    <n v="99200005"/>
    <s v="T-1001"/>
    <s v="C-992"/>
    <s v="FI-993"/>
    <s v="M-1029"/>
  </r>
  <r>
    <x v="377"/>
    <n v="990"/>
    <x v="0"/>
    <x v="12"/>
    <n v="6"/>
    <x v="26"/>
    <x v="15"/>
    <x v="1"/>
    <x v="6"/>
    <s v="Ninguno"/>
    <s v="Cantidad de comunas según grado por región"/>
    <s v="POR DEFINIR"/>
    <s v="Número de comunas"/>
    <s v="Elaboración propia con datos de CONAF/SUD-Austral, CASEN, CENSO 2017."/>
    <x v="377"/>
    <m/>
    <s v="Gráfico"/>
    <s v="Región de O'Higgins,cambio,climatico,vulnerabilidad,indice,cantidad,comunas"/>
    <x v="281"/>
    <s v="100-R-6"/>
    <s v="#1774B9"/>
    <s v="990-0378"/>
    <n v="99200006"/>
    <s v="T-1001"/>
    <s v="C-992"/>
    <s v="FI-993"/>
    <s v="M-1029"/>
  </r>
  <r>
    <x v="378"/>
    <n v="990"/>
    <x v="0"/>
    <x v="12"/>
    <n v="7"/>
    <x v="26"/>
    <x v="15"/>
    <x v="1"/>
    <x v="7"/>
    <s v="Ninguno"/>
    <s v="Cantidad de comunas según grado por región"/>
    <s v="POR DEFINIR"/>
    <s v="Número de comunas"/>
    <s v="Elaboración propia con datos de CONAF/SUD-Austral, CASEN, CENSO 2017."/>
    <x v="378"/>
    <m/>
    <s v="Gráfico"/>
    <s v="Región de Maule,cambio,climatico,vulnerabilidad,indice,cantidad,comunas"/>
    <x v="281"/>
    <s v="100-R-7"/>
    <s v="#1774B9"/>
    <s v="990-0379"/>
    <n v="99200007"/>
    <s v="T-1001"/>
    <s v="C-992"/>
    <s v="FI-993"/>
    <s v="M-1029"/>
  </r>
  <r>
    <x v="379"/>
    <n v="990"/>
    <x v="0"/>
    <x v="12"/>
    <n v="8"/>
    <x v="26"/>
    <x v="15"/>
    <x v="1"/>
    <x v="8"/>
    <s v="Ninguno"/>
    <s v="Cantidad de comunas según grado por región"/>
    <s v="POR DEFINIR"/>
    <s v="Número de comunas"/>
    <s v="Elaboración propia con datos de CONAF/SUD-Austral, CASEN, CENSO 2017."/>
    <x v="379"/>
    <m/>
    <s v="Gráfico"/>
    <s v="Región del Biobío,cambio,climatico,vulnerabilidad,indice,cantidad,comunas"/>
    <x v="281"/>
    <s v="100-R-8"/>
    <s v="#1774B9"/>
    <s v="990-0380"/>
    <n v="99200008"/>
    <s v="T-1001"/>
    <s v="C-992"/>
    <s v="FI-993"/>
    <s v="M-1029"/>
  </r>
  <r>
    <x v="380"/>
    <n v="990"/>
    <x v="0"/>
    <x v="12"/>
    <n v="9"/>
    <x v="26"/>
    <x v="15"/>
    <x v="1"/>
    <x v="9"/>
    <s v="Ninguno"/>
    <s v="Cantidad de comunas según grado por región"/>
    <s v="POR DEFINIR"/>
    <s v="Número de comunas"/>
    <s v="Elaboración propia con datos de CONAF/SUD-Austral, CASEN, CENSO 2017."/>
    <x v="380"/>
    <m/>
    <s v="Gráfico"/>
    <s v="Región de La Araucanía,cambio,climatico,vulnerabilidad,indice,cantidad,comunas"/>
    <x v="281"/>
    <s v="100-R-9"/>
    <s v="#1774B9"/>
    <s v="990-0381"/>
    <n v="99200009"/>
    <s v="T-1001"/>
    <s v="C-992"/>
    <s v="FI-993"/>
    <s v="M-1029"/>
  </r>
  <r>
    <x v="381"/>
    <n v="990"/>
    <x v="0"/>
    <x v="12"/>
    <n v="10"/>
    <x v="26"/>
    <x v="15"/>
    <x v="1"/>
    <x v="10"/>
    <s v="Ninguno"/>
    <s v="Cantidad de comunas según grado por región"/>
    <s v="POR DEFINIR"/>
    <s v="Número de comunas"/>
    <s v="Elaboración propia con datos de CONAF/SUD-Austral, CASEN, CENSO 2017."/>
    <x v="381"/>
    <m/>
    <s v="Gráfico"/>
    <s v="Región de Los Lagos,cambio,climatico,vulnerabilidad,indice,cantidad,comunas"/>
    <x v="281"/>
    <s v="100-R-10"/>
    <s v="#1774B9"/>
    <s v="990-0382"/>
    <n v="99200010"/>
    <s v="T-1001"/>
    <s v="C-992"/>
    <s v="FI-993"/>
    <s v="M-1029"/>
  </r>
  <r>
    <x v="382"/>
    <n v="990"/>
    <x v="0"/>
    <x v="12"/>
    <n v="11"/>
    <x v="26"/>
    <x v="15"/>
    <x v="1"/>
    <x v="11"/>
    <s v="Ninguno"/>
    <s v="Cantidad de comunas según grado por región"/>
    <s v="POR DEFINIR"/>
    <s v="Número de comunas"/>
    <s v="Elaboración propia con datos de CONAF/SUD-Austral, CASEN, CENSO 2017."/>
    <x v="382"/>
    <m/>
    <s v="Gráfico"/>
    <s v="Región de Aysén,cambio,climatico,vulnerabilidad,indice,cantidad,comunas"/>
    <x v="281"/>
    <s v="100-R-11"/>
    <s v="#1774B9"/>
    <s v="990-0383"/>
    <n v="99200011"/>
    <s v="T-1001"/>
    <s v="C-992"/>
    <s v="FI-993"/>
    <s v="M-1029"/>
  </r>
  <r>
    <x v="383"/>
    <n v="990"/>
    <x v="0"/>
    <x v="12"/>
    <n v="12"/>
    <x v="26"/>
    <x v="15"/>
    <x v="1"/>
    <x v="12"/>
    <s v="Ninguno"/>
    <s v="Cantidad de comunas según grado por región"/>
    <s v="POR DEFINIR"/>
    <s v="Número de comunas"/>
    <s v="Elaboración propia con datos de CONAF/SUD-Austral, CASEN, CENSO 2017."/>
    <x v="383"/>
    <m/>
    <s v="Gráfico"/>
    <s v="Región de Magallanes,cambio,climatico,vulnerabilidad,indice,cantidad,comunas"/>
    <x v="281"/>
    <s v="100-R-12"/>
    <s v="#1774B9"/>
    <s v="990-0384"/>
    <n v="99200012"/>
    <s v="T-1001"/>
    <s v="C-992"/>
    <s v="FI-993"/>
    <s v="M-1029"/>
  </r>
  <r>
    <x v="384"/>
    <n v="990"/>
    <x v="0"/>
    <x v="12"/>
    <n v="13"/>
    <x v="26"/>
    <x v="15"/>
    <x v="1"/>
    <x v="13"/>
    <s v="Ninguno"/>
    <s v="Cantidad de comunas según grado por región"/>
    <s v="POR DEFINIR"/>
    <s v="Número de comunas"/>
    <s v="Elaboración propia con datos de CONAF/SUD-Austral, CASEN, CENSO 2017."/>
    <x v="384"/>
    <m/>
    <s v="Gráfico"/>
    <s v="Región Metropolitana,cambio,climatico,vulnerabilidad,indice,cantidad,comunas"/>
    <x v="281"/>
    <s v="200-R-13"/>
    <s v="#1774B9"/>
    <s v="990-0385"/>
    <n v="99200013"/>
    <s v="T-1001"/>
    <s v="C-992"/>
    <s v="FI-993"/>
    <s v="M-1029"/>
  </r>
  <r>
    <x v="385"/>
    <n v="990"/>
    <x v="0"/>
    <x v="12"/>
    <n v="14"/>
    <x v="26"/>
    <x v="15"/>
    <x v="1"/>
    <x v="14"/>
    <s v="Ninguno"/>
    <s v="Cantidad de comunas según grado por región"/>
    <s v="POR DEFINIR"/>
    <s v="Número de comunas"/>
    <s v="Elaboración propia con datos de CONAF/SUD-Austral, CASEN, CENSO 2017."/>
    <x v="385"/>
    <m/>
    <s v="Gráfico"/>
    <s v="Región de Los Ríos,cambio,climatico,vulnerabilidad,indice,cantidad,comunas"/>
    <x v="281"/>
    <s v="100-R-14"/>
    <s v="#1774B9"/>
    <s v="990-0386"/>
    <n v="99200014"/>
    <s v="T-1001"/>
    <s v="C-992"/>
    <s v="FI-993"/>
    <s v="M-1029"/>
  </r>
  <r>
    <x v="386"/>
    <n v="990"/>
    <x v="0"/>
    <x v="12"/>
    <n v="15"/>
    <x v="26"/>
    <x v="15"/>
    <x v="1"/>
    <x v="15"/>
    <s v="Ninguno"/>
    <s v="Cantidad de comunas según grado por región"/>
    <s v="POR DEFINIR"/>
    <s v="Número de comunas"/>
    <s v="Elaboración propia con datos de CONAF/SUD-Austral, CASEN, CENSO 2017."/>
    <x v="386"/>
    <m/>
    <s v="Gráfico"/>
    <s v="Región de Arica y Parinacota,cambio,climatico,vulnerabilidad,indice,cantidad,comunas"/>
    <x v="281"/>
    <s v="100-R-15"/>
    <s v="#1774B9"/>
    <s v="990-0387"/>
    <n v="99200015"/>
    <s v="T-1001"/>
    <s v="C-992"/>
    <s v="FI-993"/>
    <s v="M-1029"/>
  </r>
  <r>
    <x v="387"/>
    <n v="990"/>
    <x v="0"/>
    <x v="12"/>
    <n v="16"/>
    <x v="26"/>
    <x v="15"/>
    <x v="1"/>
    <x v="16"/>
    <s v="Ninguno"/>
    <s v="Cantidad de comunas según grado por región"/>
    <s v="POR DEFINIR"/>
    <s v="Número de comunas"/>
    <s v="Elaboración propia con datos de CONAF/SUD-Austral, CASEN, CENSO 2017."/>
    <x v="387"/>
    <m/>
    <s v="Gráfico"/>
    <s v="Región de Ñuble,cambio,climatico,vulnerabilidad,indice,cantidad,comunas"/>
    <x v="281"/>
    <s v="100-R-16"/>
    <s v="#1774B9"/>
    <s v="990-0388"/>
    <n v="99200016"/>
    <s v="T-1001"/>
    <s v="C-992"/>
    <s v="FI-993"/>
    <s v="M-1029"/>
  </r>
  <r>
    <x v="388"/>
    <n v="990"/>
    <x v="0"/>
    <x v="12"/>
    <n v="0"/>
    <x v="26"/>
    <x v="15"/>
    <x v="0"/>
    <x v="0"/>
    <s v="Ninguno"/>
    <s v="Comunas con vulnerabilidad alta"/>
    <s v="POR DEFINIR"/>
    <s v="Número de comunas"/>
    <s v="Elaboración propia con datos de CONAF/SUD-Austral, CASEN, CENSO 2017."/>
    <x v="388"/>
    <s v="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En Chile, las comunas con alta vulnerabilidad al cambio climático se concentran en la zona central del país, desde La Serena en la Región de Coquimbo, hasta Chimbarongo en la Región de O'Higgins. Además de ellas, existen algunas comunas en las regiones de Ñuble, Arica y Parinacota y Tarapacá."/>
    <s v="Mapa de calor"/>
    <s v="Chile,cambio,climatico,vulnerabilidad,indice,comunas,alta"/>
    <x v="371"/>
    <n v="0"/>
    <s v="#1774B9"/>
    <s v="990-0389"/>
    <n v="99100000"/>
    <s v="T-1001"/>
    <s v="C-992"/>
    <s v="FI-993"/>
    <s v="M-1030"/>
  </r>
  <r>
    <x v="389"/>
    <n v="990"/>
    <x v="0"/>
    <x v="12"/>
    <n v="0"/>
    <x v="26"/>
    <x v="15"/>
    <x v="0"/>
    <x v="0"/>
    <s v="Ninguno"/>
    <s v="Comunas con vulnerabilidad alta y moderada por región"/>
    <s v="POR DEFINIR"/>
    <s v="Número de comunas"/>
    <s v="Elaboración propia con datos de CONAF/SUD-Austral, CASEN, CENSO 2017."/>
    <x v="389"/>
    <s v="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Las regiones de O'Higgins, Valparaíso y Coquimbo encabezan la lista de las que poseen mayor número de comunas con alta vulnerabilidad al cambio climático. En cuanto a las que poseen una vulnerabilidad moderada destacan las regiones de Biobío, Metropolitana y Maule, todas ellas con más de 30 comunas en esta condición."/>
    <s v="Ranking"/>
    <s v="Chile,cambio,climatico,vulnerabilidad,indice,comunas,alta,moderada"/>
    <x v="372"/>
    <n v="0"/>
    <s v="#1774B9"/>
    <s v="990-0390"/>
    <n v="99100000"/>
    <s v="T-1001"/>
    <s v="C-992"/>
    <s v="FI-993"/>
    <s v="M-1031"/>
  </r>
  <r>
    <x v="390"/>
    <n v="990"/>
    <x v="0"/>
    <x v="12"/>
    <n v="0"/>
    <x v="27"/>
    <x v="16"/>
    <x v="0"/>
    <x v="0"/>
    <s v="Por definir"/>
    <s v="Superficie de glaciares por región"/>
    <s v="Periodo 2016-2021"/>
    <s v="Hectáreas"/>
    <s v="Elaboración propia con datos Dirección General de Aguas (DGA) e imágenes satelitales SENTINEL"/>
    <x v="390"/>
    <s v="PENDIENTE"/>
    <s v="Gráfico"/>
    <s v="Chile,glaciares,cambio,climatico,monitoreo,hectareas,superficie"/>
    <x v="281"/>
    <s v="300-R"/>
    <s v="#1774B9"/>
    <s v="990-0391"/>
    <n v="99100000"/>
    <s v="T-1002"/>
    <s v="C-1001"/>
    <s v="FI-999"/>
    <s v="M-1032"/>
  </r>
  <r>
    <x v="391"/>
    <n v="990"/>
    <x v="0"/>
    <x v="12"/>
    <n v="1"/>
    <x v="27"/>
    <x v="16"/>
    <x v="1"/>
    <x v="1"/>
    <s v="Por definir"/>
    <s v="Superficie de glaciares por región"/>
    <s v="Periodo 2016-2021"/>
    <s v="Hectáreas"/>
    <s v="Elaboración propia con datos Dirección General de Aguas (DGA) e imágenes satelitales SENTINEL"/>
    <x v="391"/>
    <m/>
    <s v="Gráfico"/>
    <s v="Región de Tarapacá,glaciares,cambio,climatico,monitoreo,hectareas,superficie"/>
    <x v="281"/>
    <s v="100-R-1"/>
    <s v="#1774B9"/>
    <s v="990-0392"/>
    <n v="99200001"/>
    <s v="T-1002"/>
    <s v="C-1001"/>
    <s v="FI-999"/>
    <s v="M-1032"/>
  </r>
  <r>
    <x v="392"/>
    <n v="990"/>
    <x v="0"/>
    <x v="12"/>
    <n v="2"/>
    <x v="27"/>
    <x v="16"/>
    <x v="1"/>
    <x v="2"/>
    <s v="Por definir"/>
    <s v="Superficie de glaciares por región"/>
    <s v="Periodo 2016-2021"/>
    <s v="Hectáreas"/>
    <s v="Elaboración propia con datos Dirección General de Aguas (DGA) e imágenes satelitales SENTINEL"/>
    <x v="392"/>
    <m/>
    <s v="Gráfico"/>
    <s v="Región de Antofagasta,glaciares,cambio,climatico,monitoreo,hectareas,superficie"/>
    <x v="281"/>
    <s v="100-R-2"/>
    <s v="#1774B9"/>
    <s v="990-0393"/>
    <n v="99200002"/>
    <s v="T-1002"/>
    <s v="C-1001"/>
    <s v="FI-999"/>
    <s v="M-1032"/>
  </r>
  <r>
    <x v="393"/>
    <n v="990"/>
    <x v="0"/>
    <x v="12"/>
    <n v="3"/>
    <x v="27"/>
    <x v="16"/>
    <x v="1"/>
    <x v="3"/>
    <s v="Por definir"/>
    <s v="Superficie de glaciares por región"/>
    <s v="Periodo 2016-2021"/>
    <s v="Hectáreas"/>
    <s v="Elaboración propia con datos Dirección General de Aguas (DGA) e imágenes satelitales SENTINEL"/>
    <x v="393"/>
    <m/>
    <s v="Gráfico"/>
    <s v="Región de Atacama,glaciares,cambio,climatico,monitoreo,hectareas,superficie"/>
    <x v="281"/>
    <s v="100-R-3"/>
    <s v="#1774B9"/>
    <s v="990-0394"/>
    <n v="99200003"/>
    <s v="T-1002"/>
    <s v="C-1001"/>
    <s v="FI-999"/>
    <s v="M-1032"/>
  </r>
  <r>
    <x v="394"/>
    <n v="990"/>
    <x v="0"/>
    <x v="12"/>
    <n v="4"/>
    <x v="27"/>
    <x v="16"/>
    <x v="1"/>
    <x v="4"/>
    <s v="Por definir"/>
    <s v="Superficie de glaciares por región"/>
    <s v="Periodo 2016-2021"/>
    <s v="Hectáreas"/>
    <s v="Elaboración propia con datos Dirección General de Aguas (DGA) e imágenes satelitales SENTINEL"/>
    <x v="394"/>
    <m/>
    <s v="Gráfico"/>
    <s v="Región de Coquimbo,glaciares,cambio,climatico,monitoreo,hectareas,superficie"/>
    <x v="281"/>
    <s v="100-R-4"/>
    <s v="#1774B9"/>
    <s v="990-0395"/>
    <n v="99200004"/>
    <s v="T-1002"/>
    <s v="C-1001"/>
    <s v="FI-999"/>
    <s v="M-1032"/>
  </r>
  <r>
    <x v="395"/>
    <n v="990"/>
    <x v="0"/>
    <x v="12"/>
    <n v="5"/>
    <x v="27"/>
    <x v="16"/>
    <x v="1"/>
    <x v="5"/>
    <s v="Por definir"/>
    <s v="Superficie de glaciares por región"/>
    <s v="Periodo 2016-2021"/>
    <s v="Hectáreas"/>
    <s v="Elaboración propia con datos Dirección General de Aguas (DGA) e imágenes satelitales SENTINEL"/>
    <x v="395"/>
    <m/>
    <s v="Gráfico"/>
    <s v="Región de Valparaíso,glaciares,cambio,climatico,monitoreo,hectareas,superficie"/>
    <x v="281"/>
    <s v="100-R-5"/>
    <s v="#1774B9"/>
    <s v="990-0396"/>
    <n v="99200005"/>
    <s v="T-1002"/>
    <s v="C-1001"/>
    <s v="FI-999"/>
    <s v="M-1032"/>
  </r>
  <r>
    <x v="396"/>
    <n v="990"/>
    <x v="0"/>
    <x v="12"/>
    <n v="6"/>
    <x v="27"/>
    <x v="16"/>
    <x v="1"/>
    <x v="6"/>
    <s v="Por definir"/>
    <s v="Superficie de glaciares por región"/>
    <s v="Periodo 2016-2021"/>
    <s v="Hectáreas"/>
    <s v="Elaboración propia con datos Dirección General de Aguas (DGA) e imágenes satelitales SENTINEL"/>
    <x v="396"/>
    <m/>
    <s v="Gráfico"/>
    <s v="Región de O'Higgins,glaciares,cambio,climatico,monitoreo,hectareas,superficie"/>
    <x v="281"/>
    <s v="100-R-6"/>
    <s v="#1774B9"/>
    <s v="990-0397"/>
    <n v="99200006"/>
    <s v="T-1002"/>
    <s v="C-1001"/>
    <s v="FI-999"/>
    <s v="M-1032"/>
  </r>
  <r>
    <x v="397"/>
    <n v="990"/>
    <x v="0"/>
    <x v="12"/>
    <n v="7"/>
    <x v="27"/>
    <x v="16"/>
    <x v="1"/>
    <x v="7"/>
    <s v="Por definir"/>
    <s v="Superficie de glaciares por región"/>
    <s v="Periodo 2016-2021"/>
    <s v="Hectáreas"/>
    <s v="Elaboración propia con datos Dirección General de Aguas (DGA) e imágenes satelitales SENTINEL"/>
    <x v="397"/>
    <m/>
    <s v="Gráfico"/>
    <s v="Región de Maule,glaciares,cambio,climatico,monitoreo,hectareas,superficie"/>
    <x v="281"/>
    <s v="100-R-7"/>
    <s v="#1774B9"/>
    <s v="990-0398"/>
    <n v="99200007"/>
    <s v="T-1002"/>
    <s v="C-1001"/>
    <s v="FI-999"/>
    <s v="M-1032"/>
  </r>
  <r>
    <x v="398"/>
    <n v="990"/>
    <x v="0"/>
    <x v="12"/>
    <n v="8"/>
    <x v="27"/>
    <x v="16"/>
    <x v="1"/>
    <x v="8"/>
    <s v="Por definir"/>
    <s v="Superficie de glaciares por región"/>
    <s v="Periodo 2016-2021"/>
    <s v="Hectáreas"/>
    <s v="Elaboración propia con datos Dirección General de Aguas (DGA) e imágenes satelitales SENTINEL"/>
    <x v="398"/>
    <m/>
    <s v="Gráfico"/>
    <s v="Región del Biobío,glaciares,cambio,climatico,monitoreo,hectareas,superficie"/>
    <x v="281"/>
    <s v="100-R-8"/>
    <s v="#1774B9"/>
    <s v="990-0399"/>
    <n v="99200008"/>
    <s v="T-1002"/>
    <s v="C-1001"/>
    <s v="FI-999"/>
    <s v="M-1032"/>
  </r>
  <r>
    <x v="399"/>
    <n v="990"/>
    <x v="0"/>
    <x v="12"/>
    <n v="9"/>
    <x v="27"/>
    <x v="16"/>
    <x v="1"/>
    <x v="9"/>
    <s v="Por definir"/>
    <s v="Superficie de glaciares por región"/>
    <s v="Periodo 2016-2021"/>
    <s v="Hectáreas"/>
    <s v="Elaboración propia con datos Dirección General de Aguas (DGA) e imágenes satelitales SENTINEL"/>
    <x v="399"/>
    <m/>
    <s v="Gráfico"/>
    <s v="Región de La Araucanía,glaciares,cambio,climatico,monitoreo,hectareas,superficie"/>
    <x v="281"/>
    <s v="100-R-9"/>
    <s v="#1774B9"/>
    <s v="990-0400"/>
    <n v="99200009"/>
    <s v="T-1002"/>
    <s v="C-1001"/>
    <s v="FI-999"/>
    <s v="M-1032"/>
  </r>
  <r>
    <x v="400"/>
    <n v="990"/>
    <x v="0"/>
    <x v="12"/>
    <n v="10"/>
    <x v="27"/>
    <x v="16"/>
    <x v="1"/>
    <x v="10"/>
    <s v="Por definir"/>
    <s v="Superficie de glaciares por región"/>
    <s v="Periodo 2016-2021"/>
    <s v="Hectáreas"/>
    <s v="Elaboración propia con datos Dirección General de Aguas (DGA) e imágenes satelitales SENTINEL"/>
    <x v="400"/>
    <m/>
    <s v="Gráfico"/>
    <s v="Región de Los Lagos,glaciares,cambio,climatico,monitoreo,hectareas,superficie"/>
    <x v="281"/>
    <s v="100-R-10"/>
    <s v="#1774B9"/>
    <s v="990-0401"/>
    <n v="99200010"/>
    <s v="T-1002"/>
    <s v="C-1001"/>
    <s v="FI-999"/>
    <s v="M-1032"/>
  </r>
  <r>
    <x v="401"/>
    <n v="990"/>
    <x v="0"/>
    <x v="12"/>
    <n v="11"/>
    <x v="27"/>
    <x v="16"/>
    <x v="1"/>
    <x v="11"/>
    <s v="Por definir"/>
    <s v="Superficie de glaciares por región"/>
    <s v="Periodo 2016-2021"/>
    <s v="Hectáreas"/>
    <s v="Elaboración propia con datos Dirección General de Aguas (DGA) e imágenes satelitales SENTINEL"/>
    <x v="401"/>
    <m/>
    <s v="Gráfico"/>
    <s v="Región de Aysén,glaciares,cambio,climatico,monitoreo,hectareas,superficie"/>
    <x v="281"/>
    <s v="100-R-11"/>
    <s v="#1774B9"/>
    <s v="990-0402"/>
    <n v="99200011"/>
    <s v="T-1002"/>
    <s v="C-1001"/>
    <s v="FI-999"/>
    <s v="M-1032"/>
  </r>
  <r>
    <x v="402"/>
    <n v="990"/>
    <x v="0"/>
    <x v="12"/>
    <n v="12"/>
    <x v="27"/>
    <x v="16"/>
    <x v="1"/>
    <x v="12"/>
    <s v="Por definir"/>
    <s v="Superficie de glaciares por región"/>
    <s v="Periodo 2016-2021"/>
    <s v="Hectáreas"/>
    <s v="Elaboración propia con datos Dirección General de Aguas (DGA) e imágenes satelitales SENTINEL"/>
    <x v="402"/>
    <m/>
    <s v="Gráfico"/>
    <s v="Región de Magallanes,glaciares,cambio,climatico,monitoreo,hectareas,superficie"/>
    <x v="281"/>
    <s v="100-R-12"/>
    <s v="#1774B9"/>
    <s v="990-0403"/>
    <n v="99200012"/>
    <s v="T-1002"/>
    <s v="C-1001"/>
    <s v="FI-999"/>
    <s v="M-1032"/>
  </r>
  <r>
    <x v="403"/>
    <n v="990"/>
    <x v="0"/>
    <x v="12"/>
    <n v="13"/>
    <x v="27"/>
    <x v="16"/>
    <x v="1"/>
    <x v="13"/>
    <s v="Por definir"/>
    <s v="Superficie de glaciares por región"/>
    <s v="Periodo 2016-2021"/>
    <s v="Hectáreas"/>
    <s v="Elaboración propia con datos Dirección General de Aguas (DGA) e imágenes satelitales SENTINEL"/>
    <x v="403"/>
    <m/>
    <s v="Gráfico"/>
    <s v="Región Metropolitana,glaciares,cambio,climatico,monitoreo,hectareas,superficie"/>
    <x v="281"/>
    <s v="200-R-13"/>
    <s v="#1774B9"/>
    <s v="990-0404"/>
    <n v="99200013"/>
    <s v="T-1002"/>
    <s v="C-1001"/>
    <s v="FI-999"/>
    <s v="M-1032"/>
  </r>
  <r>
    <x v="404"/>
    <n v="990"/>
    <x v="0"/>
    <x v="12"/>
    <n v="14"/>
    <x v="27"/>
    <x v="16"/>
    <x v="1"/>
    <x v="14"/>
    <s v="Por definir"/>
    <s v="Superficie de glaciares por región"/>
    <s v="Periodo 2016-2021"/>
    <s v="Hectáreas"/>
    <s v="Elaboración propia con datos Dirección General de Aguas (DGA) e imágenes satelitales SENTINEL"/>
    <x v="404"/>
    <m/>
    <s v="Gráfico"/>
    <s v="Región de Los Ríos,glaciares,cambio,climatico,monitoreo,hectareas,superficie"/>
    <x v="281"/>
    <s v="100-R-14"/>
    <s v="#1774B9"/>
    <s v="990-0405"/>
    <n v="99200014"/>
    <s v="T-1002"/>
    <s v="C-1001"/>
    <s v="FI-999"/>
    <s v="M-1032"/>
  </r>
  <r>
    <x v="405"/>
    <n v="990"/>
    <x v="0"/>
    <x v="12"/>
    <n v="15"/>
    <x v="27"/>
    <x v="16"/>
    <x v="1"/>
    <x v="15"/>
    <s v="Por definir"/>
    <s v="Superficie de glaciares por región"/>
    <s v="Periodo 2016-2021"/>
    <s v="Hectáreas"/>
    <s v="Elaboración propia con datos Dirección General de Aguas (DGA) e imágenes satelitales SENTINEL"/>
    <x v="405"/>
    <m/>
    <s v="Gráfico"/>
    <s v="Región de Arica y Parinacota,glaciares,cambio,climatico,monitoreo,hectareas,superficie"/>
    <x v="281"/>
    <s v="100-R-15"/>
    <s v="#1774B9"/>
    <s v="990-0406"/>
    <n v="99200015"/>
    <s v="T-1002"/>
    <s v="C-1001"/>
    <s v="FI-999"/>
    <s v="M-1032"/>
  </r>
  <r>
    <x v="406"/>
    <n v="990"/>
    <x v="0"/>
    <x v="12"/>
    <n v="16"/>
    <x v="27"/>
    <x v="16"/>
    <x v="1"/>
    <x v="16"/>
    <s v="Por definir"/>
    <s v="Superficie de glaciares por región"/>
    <s v="Periodo 2016-2021"/>
    <s v="Hectáreas"/>
    <s v="Elaboración propia con datos Dirección General de Aguas (DGA) e imágenes satelitales SENTINEL"/>
    <x v="406"/>
    <m/>
    <s v="Gráfico"/>
    <s v="Región de Ñuble,glaciares,cambio,climatico,monitoreo,hectareas,superficie"/>
    <x v="281"/>
    <s v="100-R-16"/>
    <s v="#1774B9"/>
    <s v="990-0407"/>
    <n v="99200016"/>
    <s v="T-1002"/>
    <s v="C-1001"/>
    <s v="FI-999"/>
    <s v="M-1032"/>
  </r>
  <r>
    <x v="407"/>
    <n v="990"/>
    <x v="0"/>
    <x v="9"/>
    <n v="0"/>
    <x v="17"/>
    <x v="10"/>
    <x v="0"/>
    <x v="0"/>
    <s v="Región"/>
    <s v="Porcentaje de comunas con IPT local por región"/>
    <s v="Año 2020"/>
    <s v="Porcentaje (%)"/>
    <s v="Observatorio Urbano - Ministerio de Vivienda y Urbanismo (MINVU)"/>
    <x v="407"/>
    <s v="Las regiones de Coquimbo, Aysén y Los Ríos poseen menos de un 25% de comunas con Instrumentos de Planificación Territorial (IPT) vigentes, ya sea Plan Regulador Comunal, Límite Urbano o Plan Seccional. En el otro extremo se encuentran las regiones de Valparaíso, Metropolitana, O'Higgins, Ñuble y Biobío, con más del 75% de sus comunas con un IPT vigente."/>
    <s v="Dashboard"/>
    <s v="Chile,plan,regulador,comunal,instrumento,planificacion,territorial,local,proporcion,comunas,limite,urbano,plan,seccional"/>
    <x v="373"/>
    <n v="0"/>
    <s v="#1774B9"/>
    <s v="990-0408"/>
    <n v="99100000"/>
    <s v="T-1037"/>
    <s v="C-999"/>
    <s v="FI-992"/>
    <s v="M-1033"/>
  </r>
  <r>
    <x v="408"/>
    <n v="990"/>
    <x v="0"/>
    <x v="5"/>
    <n v="0"/>
    <x v="28"/>
    <x v="17"/>
    <x v="0"/>
    <x v="0"/>
    <s v="Región"/>
    <s v="Toneladas desembarcadas por tipo de pesca por región"/>
    <s v="Año 2019"/>
    <s v="Toneladas"/>
    <s v="Servicio Nacional de Pesca y Acuicultura (SERNAPESCA)"/>
    <x v="408"/>
    <s v="PENDIENTE"/>
    <s v="Gráfico"/>
    <s v="Chile,pesca,artesanal,industrial,desembarque,toneladas"/>
    <x v="281"/>
    <s v="300-C"/>
    <s v="#1774B9"/>
    <s v="990-0409"/>
    <n v="99100000"/>
    <s v="T-1003"/>
    <s v="C-1021"/>
    <s v="FI-992"/>
    <s v="M-1086"/>
  </r>
  <r>
    <x v="409"/>
    <n v="990"/>
    <x v="0"/>
    <x v="5"/>
    <n v="1"/>
    <x v="28"/>
    <x v="17"/>
    <x v="1"/>
    <x v="1"/>
    <s v="Ninguno"/>
    <s v="Toneladas desembarcadas por tipo de pesca por región"/>
    <s v="Año 2019"/>
    <s v="Toneladas"/>
    <s v="Servicio Nacional de Pesca y Acuicultura (SERNAPESCA)"/>
    <x v="409"/>
    <m/>
    <s v="Gráfico"/>
    <s v="Región de Tarapacá,pesca,artesanal,industrial,desembarque,toneladas"/>
    <x v="281"/>
    <s v="100-C-1"/>
    <s v="#1774B9"/>
    <s v="990-0410"/>
    <n v="99200001"/>
    <s v="T-1003"/>
    <s v="C-1021"/>
    <s v="FI-993"/>
    <s v="M-1086"/>
  </r>
  <r>
    <x v="410"/>
    <n v="990"/>
    <x v="0"/>
    <x v="5"/>
    <n v="2"/>
    <x v="28"/>
    <x v="17"/>
    <x v="1"/>
    <x v="2"/>
    <s v="Ninguno"/>
    <s v="Toneladas desembarcadas por tipo de pesca por región"/>
    <s v="Año 2019"/>
    <s v="Toneladas"/>
    <s v="Servicio Nacional de Pesca y Acuicultura (SERNAPESCA)"/>
    <x v="410"/>
    <m/>
    <s v="Gráfico"/>
    <s v="Región de Antofagasta,pesca,artesanal,industrial,desembarque,toneladas"/>
    <x v="281"/>
    <s v="100-C-2"/>
    <s v="#1774B9"/>
    <s v="990-0411"/>
    <n v="99200002"/>
    <s v="T-1003"/>
    <s v="C-1021"/>
    <s v="FI-993"/>
    <s v="M-1086"/>
  </r>
  <r>
    <x v="411"/>
    <n v="990"/>
    <x v="0"/>
    <x v="5"/>
    <n v="3"/>
    <x v="28"/>
    <x v="17"/>
    <x v="1"/>
    <x v="3"/>
    <s v="Ninguno"/>
    <s v="Toneladas desembarcadas por tipo de pesca por región"/>
    <s v="Año 2019"/>
    <s v="Toneladas"/>
    <s v="Servicio Nacional de Pesca y Acuicultura (SERNAPESCA)"/>
    <x v="411"/>
    <m/>
    <s v="Gráfico"/>
    <s v="Región de Atacama,pesca,artesanal,industrial,desembarque,toneladas"/>
    <x v="281"/>
    <s v="100-C-3"/>
    <s v="#1774B9"/>
    <s v="990-0412"/>
    <n v="99200003"/>
    <s v="T-1003"/>
    <s v="C-1021"/>
    <s v="FI-993"/>
    <s v="M-1086"/>
  </r>
  <r>
    <x v="412"/>
    <n v="990"/>
    <x v="0"/>
    <x v="5"/>
    <n v="4"/>
    <x v="28"/>
    <x v="17"/>
    <x v="1"/>
    <x v="4"/>
    <s v="Ninguno"/>
    <s v="Toneladas desembarcadas por tipo de pesca por región"/>
    <s v="Año 2019"/>
    <s v="Toneladas"/>
    <s v="Servicio Nacional de Pesca y Acuicultura (SERNAPESCA)"/>
    <x v="412"/>
    <m/>
    <s v="Gráfico"/>
    <s v="Región de Coquimbo,pesca,artesanal,industrial,desembarque,toneladas"/>
    <x v="281"/>
    <s v="100-C-4"/>
    <s v="#1774B9"/>
    <s v="990-0413"/>
    <n v="99200004"/>
    <s v="T-1003"/>
    <s v="C-1021"/>
    <s v="FI-993"/>
    <s v="M-1086"/>
  </r>
  <r>
    <x v="413"/>
    <n v="990"/>
    <x v="0"/>
    <x v="5"/>
    <n v="5"/>
    <x v="28"/>
    <x v="17"/>
    <x v="1"/>
    <x v="5"/>
    <s v="Ninguno"/>
    <s v="Toneladas desembarcadas por tipo de pesca por región"/>
    <s v="Año 2019"/>
    <s v="Toneladas"/>
    <s v="Servicio Nacional de Pesca y Acuicultura (SERNAPESCA)"/>
    <x v="413"/>
    <m/>
    <s v="Gráfico"/>
    <s v="Región de Valparaíso,pesca,artesanal,industrial,desembarque,toneladas"/>
    <x v="281"/>
    <s v="100-C-5"/>
    <s v="#1774B9"/>
    <s v="990-0414"/>
    <n v="99200005"/>
    <s v="T-1003"/>
    <s v="C-1021"/>
    <s v="FI-993"/>
    <s v="M-1086"/>
  </r>
  <r>
    <x v="414"/>
    <n v="990"/>
    <x v="0"/>
    <x v="5"/>
    <n v="6"/>
    <x v="28"/>
    <x v="17"/>
    <x v="1"/>
    <x v="6"/>
    <s v="Ninguno"/>
    <s v="Toneladas desembarcadas por tipo de pesca por región"/>
    <s v="Año 2019"/>
    <s v="Toneladas"/>
    <s v="Servicio Nacional de Pesca y Acuicultura (SERNAPESCA)"/>
    <x v="414"/>
    <m/>
    <s v="Gráfico"/>
    <s v="Región de O'Higgins,pesca,artesanal,industrial,desembarque,toneladas"/>
    <x v="281"/>
    <s v="100-C-6"/>
    <s v="#1774B9"/>
    <s v="990-0415"/>
    <n v="99200006"/>
    <s v="T-1003"/>
    <s v="C-1021"/>
    <s v="FI-993"/>
    <s v="M-1086"/>
  </r>
  <r>
    <x v="415"/>
    <n v="990"/>
    <x v="0"/>
    <x v="5"/>
    <n v="7"/>
    <x v="28"/>
    <x v="17"/>
    <x v="1"/>
    <x v="7"/>
    <s v="Ninguno"/>
    <s v="Toneladas desembarcadas por tipo de pesca por región"/>
    <s v="Año 2019"/>
    <s v="Toneladas"/>
    <s v="Servicio Nacional de Pesca y Acuicultura (SERNAPESCA)"/>
    <x v="415"/>
    <m/>
    <s v="Gráfico"/>
    <s v="Región de Maule,pesca,artesanal,industrial,desembarque,toneladas"/>
    <x v="281"/>
    <s v="100-C-7"/>
    <s v="#1774B9"/>
    <s v="990-0416"/>
    <n v="99200007"/>
    <s v="T-1003"/>
    <s v="C-1021"/>
    <s v="FI-993"/>
    <s v="M-1086"/>
  </r>
  <r>
    <x v="416"/>
    <n v="990"/>
    <x v="0"/>
    <x v="5"/>
    <n v="8"/>
    <x v="28"/>
    <x v="17"/>
    <x v="1"/>
    <x v="8"/>
    <s v="Ninguno"/>
    <s v="Toneladas desembarcadas por tipo de pesca por región"/>
    <s v="Año 2019"/>
    <s v="Toneladas"/>
    <s v="Servicio Nacional de Pesca y Acuicultura (SERNAPESCA)"/>
    <x v="416"/>
    <m/>
    <s v="Gráfico"/>
    <s v="Región del Biobío,pesca,artesanal,industrial,desembarque,toneladas"/>
    <x v="281"/>
    <s v="100-C-8"/>
    <s v="#1774B9"/>
    <s v="990-0417"/>
    <n v="99200008"/>
    <s v="T-1003"/>
    <s v="C-1021"/>
    <s v="FI-993"/>
    <s v="M-1086"/>
  </r>
  <r>
    <x v="417"/>
    <n v="990"/>
    <x v="0"/>
    <x v="5"/>
    <n v="9"/>
    <x v="28"/>
    <x v="17"/>
    <x v="1"/>
    <x v="9"/>
    <s v="Ninguno"/>
    <s v="Toneladas desembarcadas por tipo de pesca por región"/>
    <s v="Año 2019"/>
    <s v="Toneladas"/>
    <s v="Servicio Nacional de Pesca y Acuicultura (SERNAPESCA)"/>
    <x v="417"/>
    <m/>
    <s v="Gráfico"/>
    <s v="Región de La Araucanía,pesca,artesanal,industrial,desembarque,toneladas"/>
    <x v="281"/>
    <s v="100-C-9"/>
    <s v="#1774B9"/>
    <s v="990-0418"/>
    <n v="99200009"/>
    <s v="T-1003"/>
    <s v="C-1021"/>
    <s v="FI-993"/>
    <s v="M-1086"/>
  </r>
  <r>
    <x v="418"/>
    <n v="990"/>
    <x v="0"/>
    <x v="5"/>
    <n v="10"/>
    <x v="28"/>
    <x v="17"/>
    <x v="1"/>
    <x v="10"/>
    <s v="Ninguno"/>
    <s v="Toneladas desembarcadas por tipo de pesca por región"/>
    <s v="Año 2019"/>
    <s v="Toneladas"/>
    <s v="Servicio Nacional de Pesca y Acuicultura (SERNAPESCA)"/>
    <x v="418"/>
    <m/>
    <s v="Gráfico"/>
    <s v="Región de Los Lagos,pesca,artesanal,industrial,desembarque,toneladas"/>
    <x v="281"/>
    <s v="100-C-10"/>
    <s v="#1774B9"/>
    <s v="990-0419"/>
    <n v="99200010"/>
    <s v="T-1003"/>
    <s v="C-1021"/>
    <s v="FI-993"/>
    <s v="M-1086"/>
  </r>
  <r>
    <x v="419"/>
    <n v="990"/>
    <x v="0"/>
    <x v="5"/>
    <n v="11"/>
    <x v="28"/>
    <x v="17"/>
    <x v="1"/>
    <x v="11"/>
    <s v="Ninguno"/>
    <s v="Toneladas desembarcadas por tipo de pesca por región"/>
    <s v="Año 2019"/>
    <s v="Toneladas"/>
    <s v="Servicio Nacional de Pesca y Acuicultura (SERNAPESCA)"/>
    <x v="419"/>
    <m/>
    <s v="Gráfico"/>
    <s v="Región de Aysén,pesca,artesanal,industrial,desembarque,toneladas"/>
    <x v="281"/>
    <s v="100-C-11"/>
    <s v="#1774B9"/>
    <s v="990-0420"/>
    <n v="99200011"/>
    <s v="T-1003"/>
    <s v="C-1021"/>
    <s v="FI-993"/>
    <s v="M-1086"/>
  </r>
  <r>
    <x v="420"/>
    <n v="990"/>
    <x v="0"/>
    <x v="5"/>
    <n v="12"/>
    <x v="28"/>
    <x v="17"/>
    <x v="1"/>
    <x v="12"/>
    <s v="Ninguno"/>
    <s v="Toneladas desembarcadas por tipo de pesca por región"/>
    <s v="Año 2019"/>
    <s v="Toneladas"/>
    <s v="Servicio Nacional de Pesca y Acuicultura (SERNAPESCA)"/>
    <x v="420"/>
    <m/>
    <s v="Gráfico"/>
    <s v="Región de Magallanes,pesca,artesanal,industrial,desembarque,toneladas"/>
    <x v="281"/>
    <s v="100-C-12"/>
    <s v="#1774B9"/>
    <s v="990-0421"/>
    <n v="99200012"/>
    <s v="T-1003"/>
    <s v="C-1021"/>
    <s v="FI-993"/>
    <s v="M-1086"/>
  </r>
  <r>
    <x v="421"/>
    <n v="990"/>
    <x v="0"/>
    <x v="5"/>
    <n v="13"/>
    <x v="28"/>
    <x v="17"/>
    <x v="1"/>
    <x v="13"/>
    <s v="Ninguno"/>
    <s v="Toneladas desembarcadas por tipo de pesca por región"/>
    <s v="Año 2019"/>
    <s v="Toneladas"/>
    <s v="Servicio Nacional de Pesca y Acuicultura (SERNAPESCA)"/>
    <x v="421"/>
    <m/>
    <s v="Gráfico"/>
    <s v="Región Metropolitana,pesca,artesanal,industrial,desembarque,toneladas"/>
    <x v="281"/>
    <s v="200-C-13"/>
    <s v="#1774B9"/>
    <s v="990-0422"/>
    <n v="99200013"/>
    <s v="T-1003"/>
    <s v="C-1021"/>
    <s v="FI-993"/>
    <s v="M-1086"/>
  </r>
  <r>
    <x v="422"/>
    <n v="990"/>
    <x v="0"/>
    <x v="5"/>
    <n v="14"/>
    <x v="28"/>
    <x v="17"/>
    <x v="1"/>
    <x v="14"/>
    <s v="Ninguno"/>
    <s v="Toneladas desembarcadas por tipo de pesca por región"/>
    <s v="Año 2019"/>
    <s v="Toneladas"/>
    <s v="Servicio Nacional de Pesca y Acuicultura (SERNAPESCA)"/>
    <x v="422"/>
    <m/>
    <s v="Gráfico"/>
    <s v="Región de Los Ríos,pesca,artesanal,industrial,desembarque,toneladas"/>
    <x v="281"/>
    <s v="100-C-14"/>
    <s v="#1774B9"/>
    <s v="990-0423"/>
    <n v="99200014"/>
    <s v="T-1003"/>
    <s v="C-1021"/>
    <s v="FI-993"/>
    <s v="M-1086"/>
  </r>
  <r>
    <x v="423"/>
    <n v="990"/>
    <x v="0"/>
    <x v="5"/>
    <n v="15"/>
    <x v="28"/>
    <x v="17"/>
    <x v="1"/>
    <x v="15"/>
    <s v="Ninguno"/>
    <s v="Toneladas desembarcadas por tipo de pesca por región"/>
    <s v="Año 2019"/>
    <s v="Toneladas"/>
    <s v="Servicio Nacional de Pesca y Acuicultura (SERNAPESCA)"/>
    <x v="423"/>
    <m/>
    <s v="Gráfico"/>
    <s v="Región de Arica y Parinacota,pesca,artesanal,industrial,desembarque,toneladas"/>
    <x v="281"/>
    <s v="100-C-15"/>
    <s v="#1774B9"/>
    <s v="990-0424"/>
    <n v="99200015"/>
    <s v="T-1003"/>
    <s v="C-1021"/>
    <s v="FI-993"/>
    <s v="M-1086"/>
  </r>
  <r>
    <x v="424"/>
    <n v="990"/>
    <x v="0"/>
    <x v="5"/>
    <n v="16"/>
    <x v="28"/>
    <x v="17"/>
    <x v="1"/>
    <x v="16"/>
    <s v="Ninguno"/>
    <s v="Toneladas desembarcadas por tipo de pesca por región"/>
    <s v="Año 2019"/>
    <s v="Toneladas"/>
    <s v="Servicio Nacional de Pesca y Acuicultura (SERNAPESCA)"/>
    <x v="424"/>
    <m/>
    <s v="Gráfico"/>
    <s v="Región de Ñuble,pesca,artesanal,industrial,desembarque,toneladas"/>
    <x v="281"/>
    <s v="100-C-16"/>
    <s v="#1774B9"/>
    <s v="990-0425"/>
    <n v="99200016"/>
    <s v="T-1003"/>
    <s v="C-1021"/>
    <s v="FI-993"/>
    <s v="M-1086"/>
  </r>
  <r>
    <x v="425"/>
    <n v="990"/>
    <x v="0"/>
    <x v="8"/>
    <n v="0"/>
    <x v="29"/>
    <x v="18"/>
    <x v="0"/>
    <x v="0"/>
    <s v="Región"/>
    <s v="Población de Pueblos Originarios por sexo por región"/>
    <s v="POR DEFINIR"/>
    <s v="Número de personas"/>
    <s v="Instituto Nacional de Estadísticas (INE)"/>
    <x v="425"/>
    <m/>
    <s v="Gráfico"/>
    <s v="Chile,poblacion,pueblos,originarios,indigenas,etnia,sexo,mujer,hombre"/>
    <x v="374"/>
    <n v="0"/>
    <s v="#1774B9"/>
    <s v="990-0426"/>
    <n v="99100000"/>
    <s v="T-1004"/>
    <s v="C-1012"/>
    <s v="FI-992"/>
    <s v="M-1034"/>
  </r>
  <r>
    <x v="426"/>
    <n v="990"/>
    <x v="0"/>
    <x v="8"/>
    <n v="0"/>
    <x v="30"/>
    <x v="19"/>
    <x v="0"/>
    <x v="0"/>
    <s v="Comuna"/>
    <s v="Defunciones anuales por comuna"/>
    <s v="Periodo 2010-2021"/>
    <s v="Número de personas"/>
    <s v="Ministerio de Ciencia, Tecnología, Conocimiento e Innovación"/>
    <x v="426"/>
    <s v="A nivel nacional, las defunciones presentan un incremento constante desde el año 2012 en adelante, sin embargo, el año 2020 aumentan significativamente más que los años anteriores, lo cual es atribuible a la pandemia producida por el SARS-CoV-2."/>
    <s v="Dashboard"/>
    <s v="Chile,defunciones,poblacion,cantidad,numero"/>
    <x v="375"/>
    <s v="300-C"/>
    <s v="#1774B9"/>
    <s v="990-0427"/>
    <n v="99100000"/>
    <s v="T-1005"/>
    <s v="C-1002"/>
    <s v="FI-991"/>
    <s v="M-1035"/>
  </r>
  <r>
    <x v="427"/>
    <n v="990"/>
    <x v="0"/>
    <x v="8"/>
    <n v="1"/>
    <x v="30"/>
    <x v="19"/>
    <x v="1"/>
    <x v="1"/>
    <s v="Comuna"/>
    <s v="Defunciones anuales por comuna"/>
    <s v="Periodo 2010-2021"/>
    <s v="Número de personas"/>
    <s v="Ministerio de Ciencia, Tecnología, Conocimiento e Innovación"/>
    <x v="427"/>
    <m/>
    <s v="Dashboard"/>
    <s v="Región de Tarapacá,defunciones,poblacion,cantidad,numero"/>
    <x v="376"/>
    <s v="100-C-1"/>
    <s v="#1774B9"/>
    <s v="990-0428"/>
    <n v="99200001"/>
    <s v="T-1005"/>
    <s v="C-1002"/>
    <s v="FI-991"/>
    <s v="M-1035"/>
  </r>
  <r>
    <x v="428"/>
    <n v="990"/>
    <x v="0"/>
    <x v="8"/>
    <n v="2"/>
    <x v="30"/>
    <x v="19"/>
    <x v="1"/>
    <x v="2"/>
    <s v="Comuna"/>
    <s v="Defunciones anuales por comuna"/>
    <s v="Periodo 2010-2021"/>
    <s v="Número de personas"/>
    <s v="Ministerio de Ciencia, Tecnología, Conocimiento e Innovación"/>
    <x v="428"/>
    <m/>
    <s v="Dashboard"/>
    <s v="Región de Antofagasta,defunciones,poblacion,cantidad,numero"/>
    <x v="377"/>
    <s v="100-C-2"/>
    <s v="#1774B9"/>
    <s v="990-0429"/>
    <n v="99200002"/>
    <s v="T-1005"/>
    <s v="C-1002"/>
    <s v="FI-991"/>
    <s v="M-1035"/>
  </r>
  <r>
    <x v="429"/>
    <n v="990"/>
    <x v="0"/>
    <x v="8"/>
    <n v="3"/>
    <x v="30"/>
    <x v="19"/>
    <x v="1"/>
    <x v="3"/>
    <s v="Comuna"/>
    <s v="Defunciones anuales por comuna"/>
    <s v="Periodo 2010-2021"/>
    <s v="Número de personas"/>
    <s v="Ministerio de Ciencia, Tecnología, Conocimiento e Innovación"/>
    <x v="429"/>
    <m/>
    <s v="Dashboard"/>
    <s v="Región de Atacama,defunciones,poblacion,cantidad,numero"/>
    <x v="378"/>
    <s v="100-C-3"/>
    <s v="#1774B9"/>
    <s v="990-0430"/>
    <n v="99200003"/>
    <s v="T-1005"/>
    <s v="C-1002"/>
    <s v="FI-991"/>
    <s v="M-1035"/>
  </r>
  <r>
    <x v="430"/>
    <n v="990"/>
    <x v="0"/>
    <x v="8"/>
    <n v="4"/>
    <x v="30"/>
    <x v="19"/>
    <x v="1"/>
    <x v="4"/>
    <s v="Comuna"/>
    <s v="Defunciones anuales por comuna"/>
    <s v="Periodo 2010-2021"/>
    <s v="Número de personas"/>
    <s v="Ministerio de Ciencia, Tecnología, Conocimiento e Innovación"/>
    <x v="430"/>
    <m/>
    <s v="Dashboard"/>
    <s v="Región de Coquimbo,defunciones,poblacion,cantidad,numero"/>
    <x v="379"/>
    <s v="100-C-4"/>
    <s v="#1774B9"/>
    <s v="990-0431"/>
    <n v="99200004"/>
    <s v="T-1005"/>
    <s v="C-1002"/>
    <s v="FI-991"/>
    <s v="M-1035"/>
  </r>
  <r>
    <x v="431"/>
    <n v="990"/>
    <x v="0"/>
    <x v="8"/>
    <n v="5"/>
    <x v="30"/>
    <x v="19"/>
    <x v="1"/>
    <x v="5"/>
    <s v="Comuna"/>
    <s v="Defunciones anuales por comuna"/>
    <s v="Periodo 2010-2021"/>
    <s v="Número de personas"/>
    <s v="Ministerio de Ciencia, Tecnología, Conocimiento e Innovación"/>
    <x v="431"/>
    <m/>
    <s v="Dashboard"/>
    <s v="Región de Valparaíso,defunciones,poblacion,cantidad,numero"/>
    <x v="380"/>
    <s v="100-C-5"/>
    <s v="#1774B9"/>
    <s v="990-0432"/>
    <n v="99200005"/>
    <s v="T-1005"/>
    <s v="C-1002"/>
    <s v="FI-991"/>
    <s v="M-1035"/>
  </r>
  <r>
    <x v="432"/>
    <n v="990"/>
    <x v="0"/>
    <x v="8"/>
    <n v="6"/>
    <x v="30"/>
    <x v="19"/>
    <x v="1"/>
    <x v="6"/>
    <s v="Comuna"/>
    <s v="Defunciones anuales por comuna"/>
    <s v="Periodo 2010-2021"/>
    <s v="Número de personas"/>
    <s v="Ministerio de Ciencia, Tecnología, Conocimiento e Innovación"/>
    <x v="432"/>
    <m/>
    <s v="Dashboard"/>
    <s v="Región de O'Higgins,defunciones,poblacion,cantidad,numero"/>
    <x v="381"/>
    <s v="100-C-6"/>
    <s v="#1774B9"/>
    <s v="990-0433"/>
    <n v="99200006"/>
    <s v="T-1005"/>
    <s v="C-1002"/>
    <s v="FI-991"/>
    <s v="M-1035"/>
  </r>
  <r>
    <x v="433"/>
    <n v="990"/>
    <x v="0"/>
    <x v="8"/>
    <n v="7"/>
    <x v="30"/>
    <x v="19"/>
    <x v="1"/>
    <x v="7"/>
    <s v="Comuna"/>
    <s v="Defunciones anuales por comuna"/>
    <s v="Periodo 2010-2021"/>
    <s v="Número de personas"/>
    <s v="Ministerio de Ciencia, Tecnología, Conocimiento e Innovación"/>
    <x v="433"/>
    <m/>
    <s v="Dashboard"/>
    <s v="Región de Maule,defunciones,poblacion,cantidad,numero"/>
    <x v="382"/>
    <s v="100-C-7"/>
    <s v="#1774B9"/>
    <s v="990-0434"/>
    <n v="99200007"/>
    <s v="T-1005"/>
    <s v="C-1002"/>
    <s v="FI-991"/>
    <s v="M-1035"/>
  </r>
  <r>
    <x v="434"/>
    <n v="990"/>
    <x v="0"/>
    <x v="8"/>
    <n v="8"/>
    <x v="30"/>
    <x v="19"/>
    <x v="1"/>
    <x v="8"/>
    <s v="Comuna"/>
    <s v="Defunciones anuales por comuna"/>
    <s v="Periodo 2010-2021"/>
    <s v="Número de personas"/>
    <s v="Ministerio de Ciencia, Tecnología, Conocimiento e Innovación"/>
    <x v="434"/>
    <m/>
    <s v="Dashboard"/>
    <s v="Región del Biobío,defunciones,poblacion,cantidad,numero"/>
    <x v="383"/>
    <s v="100-C-8"/>
    <s v="#1774B9"/>
    <s v="990-0435"/>
    <n v="99200008"/>
    <s v="T-1005"/>
    <s v="C-1002"/>
    <s v="FI-991"/>
    <s v="M-1035"/>
  </r>
  <r>
    <x v="435"/>
    <n v="990"/>
    <x v="0"/>
    <x v="8"/>
    <n v="9"/>
    <x v="30"/>
    <x v="19"/>
    <x v="1"/>
    <x v="9"/>
    <s v="Comuna"/>
    <s v="Defunciones anuales por comuna"/>
    <s v="Periodo 2010-2021"/>
    <s v="Número de personas"/>
    <s v="Ministerio de Ciencia, Tecnología, Conocimiento e Innovación"/>
    <x v="435"/>
    <m/>
    <s v="Dashboard"/>
    <s v="Región de La Araucanía,defunciones,poblacion,cantidad,numero"/>
    <x v="384"/>
    <s v="100-C-9"/>
    <s v="#1774B9"/>
    <s v="990-0436"/>
    <n v="99200009"/>
    <s v="T-1005"/>
    <s v="C-1002"/>
    <s v="FI-991"/>
    <s v="M-1035"/>
  </r>
  <r>
    <x v="436"/>
    <n v="990"/>
    <x v="0"/>
    <x v="8"/>
    <n v="10"/>
    <x v="30"/>
    <x v="19"/>
    <x v="1"/>
    <x v="10"/>
    <s v="Comuna"/>
    <s v="Defunciones anuales por comuna"/>
    <s v="Periodo 2010-2021"/>
    <s v="Número de personas"/>
    <s v="Ministerio de Ciencia, Tecnología, Conocimiento e Innovación"/>
    <x v="436"/>
    <m/>
    <s v="Dashboard"/>
    <s v="Región de Los Lagos,defunciones,poblacion,cantidad,numero"/>
    <x v="385"/>
    <s v="100-C-10"/>
    <s v="#1774B9"/>
    <s v="990-0437"/>
    <n v="99200010"/>
    <s v="T-1005"/>
    <s v="C-1002"/>
    <s v="FI-991"/>
    <s v="M-1035"/>
  </r>
  <r>
    <x v="437"/>
    <n v="990"/>
    <x v="0"/>
    <x v="8"/>
    <n v="11"/>
    <x v="30"/>
    <x v="19"/>
    <x v="1"/>
    <x v="11"/>
    <s v="Comuna"/>
    <s v="Defunciones anuales por comuna"/>
    <s v="Periodo 2010-2021"/>
    <s v="Número de personas"/>
    <s v="Ministerio de Ciencia, Tecnología, Conocimiento e Innovación"/>
    <x v="437"/>
    <m/>
    <s v="Dashboard"/>
    <s v="Región de Aysén,defunciones,poblacion,cantidad,numero"/>
    <x v="386"/>
    <s v="100-C-11"/>
    <s v="#1774B9"/>
    <s v="990-0438"/>
    <n v="99200011"/>
    <s v="T-1005"/>
    <s v="C-1002"/>
    <s v="FI-991"/>
    <s v="M-1035"/>
  </r>
  <r>
    <x v="438"/>
    <n v="990"/>
    <x v="0"/>
    <x v="8"/>
    <n v="12"/>
    <x v="30"/>
    <x v="19"/>
    <x v="1"/>
    <x v="12"/>
    <s v="Comuna"/>
    <s v="Defunciones anuales por comuna"/>
    <s v="Periodo 2010-2021"/>
    <s v="Número de personas"/>
    <s v="Ministerio de Ciencia, Tecnología, Conocimiento e Innovación"/>
    <x v="438"/>
    <m/>
    <s v="Dashboard"/>
    <s v="Región de Magallanes,defunciones,poblacion,cantidad,numero"/>
    <x v="387"/>
    <s v="100-C-12"/>
    <s v="#1774B9"/>
    <s v="990-0439"/>
    <n v="99200012"/>
    <s v="T-1005"/>
    <s v="C-1002"/>
    <s v="FI-991"/>
    <s v="M-1035"/>
  </r>
  <r>
    <x v="439"/>
    <n v="990"/>
    <x v="0"/>
    <x v="8"/>
    <n v="13"/>
    <x v="30"/>
    <x v="19"/>
    <x v="1"/>
    <x v="13"/>
    <s v="Comuna"/>
    <s v="Defunciones anuales por comuna"/>
    <s v="Periodo 2010-2021"/>
    <s v="Número de personas"/>
    <s v="Ministerio de Ciencia, Tecnología, Conocimiento e Innovación"/>
    <x v="439"/>
    <m/>
    <s v="Dashboard"/>
    <s v="Región Metropolitana,defunciones,poblacion,cantidad,numero"/>
    <x v="388"/>
    <s v="200-C-13"/>
    <s v="#1774B9"/>
    <s v="990-0440"/>
    <n v="99200013"/>
    <s v="T-1005"/>
    <s v="C-1002"/>
    <s v="FI-991"/>
    <s v="M-1035"/>
  </r>
  <r>
    <x v="440"/>
    <n v="990"/>
    <x v="0"/>
    <x v="8"/>
    <n v="14"/>
    <x v="30"/>
    <x v="19"/>
    <x v="1"/>
    <x v="14"/>
    <s v="Comuna"/>
    <s v="Defunciones anuales por comuna"/>
    <s v="Periodo 2010-2021"/>
    <s v="Número de personas"/>
    <s v="Ministerio de Ciencia, Tecnología, Conocimiento e Innovación"/>
    <x v="440"/>
    <m/>
    <s v="Dashboard"/>
    <s v="Región de Los Ríos,defunciones,poblacion,cantidad,numero"/>
    <x v="389"/>
    <s v="100-C-14"/>
    <s v="#1774B9"/>
    <s v="990-0441"/>
    <n v="99200014"/>
    <s v="T-1005"/>
    <s v="C-1002"/>
    <s v="FI-991"/>
    <s v="M-1035"/>
  </r>
  <r>
    <x v="441"/>
    <n v="990"/>
    <x v="0"/>
    <x v="8"/>
    <n v="15"/>
    <x v="30"/>
    <x v="19"/>
    <x v="1"/>
    <x v="15"/>
    <s v="Comuna"/>
    <s v="Defunciones anuales por comuna"/>
    <s v="Periodo 2010-2021"/>
    <s v="Número de personas"/>
    <s v="Ministerio de Ciencia, Tecnología, Conocimiento e Innovación"/>
    <x v="441"/>
    <m/>
    <s v="Dashboard"/>
    <s v="Región de Arica y Parinacota,defunciones,poblacion,cantidad,numero"/>
    <x v="390"/>
    <s v="100-C-15"/>
    <s v="#1774B9"/>
    <s v="990-0442"/>
    <n v="99200015"/>
    <s v="T-1005"/>
    <s v="C-1002"/>
    <s v="FI-991"/>
    <s v="M-1035"/>
  </r>
  <r>
    <x v="442"/>
    <n v="990"/>
    <x v="0"/>
    <x v="8"/>
    <n v="16"/>
    <x v="30"/>
    <x v="19"/>
    <x v="1"/>
    <x v="16"/>
    <s v="Comuna"/>
    <s v="Defunciones anuales por comuna"/>
    <s v="Periodo 2010-2021"/>
    <s v="Número de personas"/>
    <s v="Ministerio de Ciencia, Tecnología, Conocimiento e Innovación"/>
    <x v="442"/>
    <m/>
    <s v="Dashboard"/>
    <s v="Región de Ñuble,defunciones,poblacion,cantidad,numero"/>
    <x v="391"/>
    <s v="100-C-16"/>
    <s v="#1774B9"/>
    <s v="990-0443"/>
    <n v="99200016"/>
    <s v="T-1005"/>
    <s v="C-1002"/>
    <s v="FI-991"/>
    <s v="M-1035"/>
  </r>
  <r>
    <x v="443"/>
    <n v="990"/>
    <x v="0"/>
    <x v="8"/>
    <n v="0"/>
    <x v="31"/>
    <x v="19"/>
    <x v="0"/>
    <x v="0"/>
    <s v="Comuna"/>
    <s v="Nacimientos anuales por comuna"/>
    <s v="Periodo 2010-2021"/>
    <s v="Número de personas"/>
    <s v="Ministerio de Ciencia, Tecnología, Conocimiento e Innovación"/>
    <x v="443"/>
    <m/>
    <s v="Dashboard"/>
    <s v="Chile,nacimientos,poblacion,cantidad,numero"/>
    <x v="392"/>
    <s v="300-C"/>
    <s v="#1774B9"/>
    <s v="990-0444"/>
    <n v="99100000"/>
    <s v="T-1006"/>
    <s v="C-1002"/>
    <s v="FI-991"/>
    <s v="M-1036"/>
  </r>
  <r>
    <x v="444"/>
    <n v="990"/>
    <x v="0"/>
    <x v="8"/>
    <n v="1"/>
    <x v="31"/>
    <x v="19"/>
    <x v="1"/>
    <x v="1"/>
    <s v="Comuna"/>
    <s v="Nacimientos anuales por comuna"/>
    <s v="Periodo 2010-2021"/>
    <s v="Número de personas"/>
    <s v="Ministerio de Ciencia, Tecnología, Conocimiento e Innovación"/>
    <x v="444"/>
    <m/>
    <s v="Dashboard"/>
    <s v="Región de Tarapacá,nacimientos,poblacion,cantidad,numero"/>
    <x v="281"/>
    <s v="100-C-1"/>
    <s v="#1774B9"/>
    <s v="990-0445"/>
    <n v="99200001"/>
    <s v="T-1006"/>
    <s v="C-1002"/>
    <s v="FI-991"/>
    <s v="M-1036"/>
  </r>
  <r>
    <x v="445"/>
    <n v="990"/>
    <x v="0"/>
    <x v="8"/>
    <n v="2"/>
    <x v="31"/>
    <x v="19"/>
    <x v="1"/>
    <x v="2"/>
    <s v="Comuna"/>
    <s v="Nacimientos anuales por comuna"/>
    <s v="Periodo 2010-2021"/>
    <s v="Número de personas"/>
    <s v="Ministerio de Ciencia, Tecnología, Conocimiento e Innovación"/>
    <x v="445"/>
    <m/>
    <s v="Dashboard"/>
    <s v="Región de Antofagasta,nacimientos,poblacion,cantidad,numero"/>
    <x v="281"/>
    <s v="100-C-2"/>
    <s v="#1774B9"/>
    <s v="990-0446"/>
    <n v="99200002"/>
    <s v="T-1006"/>
    <s v="C-1002"/>
    <s v="FI-991"/>
    <s v="M-1036"/>
  </r>
  <r>
    <x v="446"/>
    <n v="990"/>
    <x v="0"/>
    <x v="8"/>
    <n v="3"/>
    <x v="31"/>
    <x v="19"/>
    <x v="1"/>
    <x v="3"/>
    <s v="Comuna"/>
    <s v="Nacimientos anuales por comuna"/>
    <s v="Periodo 2010-2021"/>
    <s v="Número de personas"/>
    <s v="Ministerio de Ciencia, Tecnología, Conocimiento e Innovación"/>
    <x v="446"/>
    <m/>
    <s v="Dashboard"/>
    <s v="Región de Atacama,nacimientos,poblacion,cantidad,numero"/>
    <x v="281"/>
    <s v="100-C-3"/>
    <s v="#1774B9"/>
    <s v="990-0447"/>
    <n v="99200003"/>
    <s v="T-1006"/>
    <s v="C-1002"/>
    <s v="FI-991"/>
    <s v="M-1036"/>
  </r>
  <r>
    <x v="447"/>
    <n v="990"/>
    <x v="0"/>
    <x v="8"/>
    <n v="4"/>
    <x v="31"/>
    <x v="19"/>
    <x v="1"/>
    <x v="4"/>
    <s v="Comuna"/>
    <s v="Nacimientos anuales por comuna"/>
    <s v="Periodo 2010-2021"/>
    <s v="Número de personas"/>
    <s v="Ministerio de Ciencia, Tecnología, Conocimiento e Innovación"/>
    <x v="447"/>
    <m/>
    <s v="Dashboard"/>
    <s v="Región de Coquimbo,nacimientos,poblacion,cantidad,numero"/>
    <x v="281"/>
    <s v="100-C-4"/>
    <s v="#1774B9"/>
    <s v="990-0448"/>
    <n v="99200004"/>
    <s v="T-1006"/>
    <s v="C-1002"/>
    <s v="FI-991"/>
    <s v="M-1036"/>
  </r>
  <r>
    <x v="448"/>
    <n v="990"/>
    <x v="0"/>
    <x v="8"/>
    <n v="5"/>
    <x v="31"/>
    <x v="19"/>
    <x v="1"/>
    <x v="5"/>
    <s v="Comuna"/>
    <s v="Nacimientos anuales por comuna"/>
    <s v="Periodo 2010-2021"/>
    <s v="Número de personas"/>
    <s v="Ministerio de Ciencia, Tecnología, Conocimiento e Innovación"/>
    <x v="448"/>
    <m/>
    <s v="Dashboard"/>
    <s v="Región de Valparaíso,nacimientos,poblacion,cantidad,numero"/>
    <x v="281"/>
    <s v="100-C-5"/>
    <s v="#1774B9"/>
    <s v="990-0449"/>
    <n v="99200005"/>
    <s v="T-1006"/>
    <s v="C-1002"/>
    <s v="FI-991"/>
    <s v="M-1036"/>
  </r>
  <r>
    <x v="449"/>
    <n v="990"/>
    <x v="0"/>
    <x v="8"/>
    <n v="6"/>
    <x v="31"/>
    <x v="19"/>
    <x v="1"/>
    <x v="6"/>
    <s v="Comuna"/>
    <s v="Nacimientos anuales por comuna"/>
    <s v="Periodo 2010-2021"/>
    <s v="Número de personas"/>
    <s v="Ministerio de Ciencia, Tecnología, Conocimiento e Innovación"/>
    <x v="449"/>
    <m/>
    <s v="Dashboard"/>
    <s v="Región de O'Higgins,nacimientos,poblacion,cantidad,numero"/>
    <x v="281"/>
    <s v="100-C-6"/>
    <s v="#1774B9"/>
    <s v="990-0450"/>
    <n v="99200006"/>
    <s v="T-1006"/>
    <s v="C-1002"/>
    <s v="FI-991"/>
    <s v="M-1036"/>
  </r>
  <r>
    <x v="450"/>
    <n v="990"/>
    <x v="0"/>
    <x v="8"/>
    <n v="7"/>
    <x v="31"/>
    <x v="19"/>
    <x v="1"/>
    <x v="7"/>
    <s v="Comuna"/>
    <s v="Nacimientos anuales por comuna"/>
    <s v="Periodo 2010-2021"/>
    <s v="Número de personas"/>
    <s v="Ministerio de Ciencia, Tecnología, Conocimiento e Innovación"/>
    <x v="450"/>
    <m/>
    <s v="Dashboard"/>
    <s v="Región de Maule,nacimientos,poblacion,cantidad,numero"/>
    <x v="281"/>
    <s v="100-C-7"/>
    <s v="#1774B9"/>
    <s v="990-0451"/>
    <n v="99200007"/>
    <s v="T-1006"/>
    <s v="C-1002"/>
    <s v="FI-991"/>
    <s v="M-1036"/>
  </r>
  <r>
    <x v="451"/>
    <n v="990"/>
    <x v="0"/>
    <x v="8"/>
    <n v="8"/>
    <x v="31"/>
    <x v="19"/>
    <x v="1"/>
    <x v="8"/>
    <s v="Comuna"/>
    <s v="Nacimientos anuales por comuna"/>
    <s v="Periodo 2010-2021"/>
    <s v="Número de personas"/>
    <s v="Ministerio de Ciencia, Tecnología, Conocimiento e Innovación"/>
    <x v="451"/>
    <m/>
    <s v="Dashboard"/>
    <s v="Región del Biobío,nacimientos,poblacion,cantidad,numero"/>
    <x v="281"/>
    <s v="100-C-8"/>
    <s v="#1774B9"/>
    <s v="990-0452"/>
    <n v="99200008"/>
    <s v="T-1006"/>
    <s v="C-1002"/>
    <s v="FI-991"/>
    <s v="M-1036"/>
  </r>
  <r>
    <x v="452"/>
    <n v="990"/>
    <x v="0"/>
    <x v="8"/>
    <n v="9"/>
    <x v="31"/>
    <x v="19"/>
    <x v="1"/>
    <x v="9"/>
    <s v="Comuna"/>
    <s v="Nacimientos anuales por comuna"/>
    <s v="Periodo 2010-2021"/>
    <s v="Número de personas"/>
    <s v="Ministerio de Ciencia, Tecnología, Conocimiento e Innovación"/>
    <x v="452"/>
    <m/>
    <s v="Dashboard"/>
    <s v="Región de La Araucanía,nacimientos,poblacion,cantidad,numero"/>
    <x v="281"/>
    <s v="100-C-9"/>
    <s v="#1774B9"/>
    <s v="990-0453"/>
    <n v="99200009"/>
    <s v="T-1006"/>
    <s v="C-1002"/>
    <s v="FI-991"/>
    <s v="M-1036"/>
  </r>
  <r>
    <x v="453"/>
    <n v="990"/>
    <x v="0"/>
    <x v="8"/>
    <n v="10"/>
    <x v="31"/>
    <x v="19"/>
    <x v="1"/>
    <x v="10"/>
    <s v="Comuna"/>
    <s v="Nacimientos anuales por comuna"/>
    <s v="Periodo 2010-2021"/>
    <s v="Número de personas"/>
    <s v="Ministerio de Ciencia, Tecnología, Conocimiento e Innovación"/>
    <x v="453"/>
    <m/>
    <s v="Dashboard"/>
    <s v="Región de Los Lagos,nacimientos,poblacion,cantidad,numero"/>
    <x v="281"/>
    <s v="100-C-10"/>
    <s v="#1774B9"/>
    <s v="990-0454"/>
    <n v="99200010"/>
    <s v="T-1006"/>
    <s v="C-1002"/>
    <s v="FI-991"/>
    <s v="M-1036"/>
  </r>
  <r>
    <x v="454"/>
    <n v="990"/>
    <x v="0"/>
    <x v="8"/>
    <n v="11"/>
    <x v="31"/>
    <x v="19"/>
    <x v="1"/>
    <x v="11"/>
    <s v="Comuna"/>
    <s v="Nacimientos anuales por comuna"/>
    <s v="Periodo 2010-2021"/>
    <s v="Número de personas"/>
    <s v="Ministerio de Ciencia, Tecnología, Conocimiento e Innovación"/>
    <x v="454"/>
    <m/>
    <s v="Dashboard"/>
    <s v="Región de Aysén,nacimientos,poblacion,cantidad,numero"/>
    <x v="281"/>
    <s v="100-C-11"/>
    <s v="#1774B9"/>
    <s v="990-0455"/>
    <n v="99200011"/>
    <s v="T-1006"/>
    <s v="C-1002"/>
    <s v="FI-991"/>
    <s v="M-1036"/>
  </r>
  <r>
    <x v="455"/>
    <n v="990"/>
    <x v="0"/>
    <x v="8"/>
    <n v="12"/>
    <x v="31"/>
    <x v="19"/>
    <x v="1"/>
    <x v="12"/>
    <s v="Comuna"/>
    <s v="Nacimientos anuales por comuna"/>
    <s v="Periodo 2010-2021"/>
    <s v="Número de personas"/>
    <s v="Ministerio de Ciencia, Tecnología, Conocimiento e Innovación"/>
    <x v="455"/>
    <m/>
    <s v="Dashboard"/>
    <s v="Región de Magallanes,nacimientos,poblacion,cantidad,numero"/>
    <x v="281"/>
    <s v="100-C-12"/>
    <s v="#1774B9"/>
    <s v="990-0456"/>
    <n v="99200012"/>
    <s v="T-1006"/>
    <s v="C-1002"/>
    <s v="FI-991"/>
    <s v="M-1036"/>
  </r>
  <r>
    <x v="456"/>
    <n v="990"/>
    <x v="0"/>
    <x v="8"/>
    <n v="13"/>
    <x v="31"/>
    <x v="19"/>
    <x v="1"/>
    <x v="13"/>
    <s v="Comuna"/>
    <s v="Nacimientos anuales por comuna"/>
    <s v="Periodo 2010-2021"/>
    <s v="Número de personas"/>
    <s v="Ministerio de Ciencia, Tecnología, Conocimiento e Innovación"/>
    <x v="456"/>
    <m/>
    <s v="Dashboard"/>
    <s v="Región Metropolitana,nacimientos,poblacion,cantidad,numero"/>
    <x v="281"/>
    <s v="200-C-13"/>
    <s v="#1774B9"/>
    <s v="990-0457"/>
    <n v="99200013"/>
    <s v="T-1006"/>
    <s v="C-1002"/>
    <s v="FI-991"/>
    <s v="M-1036"/>
  </r>
  <r>
    <x v="457"/>
    <n v="990"/>
    <x v="0"/>
    <x v="8"/>
    <n v="14"/>
    <x v="31"/>
    <x v="19"/>
    <x v="1"/>
    <x v="14"/>
    <s v="Comuna"/>
    <s v="Nacimientos anuales por comuna"/>
    <s v="Periodo 2010-2021"/>
    <s v="Número de personas"/>
    <s v="Ministerio de Ciencia, Tecnología, Conocimiento e Innovación"/>
    <x v="457"/>
    <m/>
    <s v="Dashboard"/>
    <s v="Región de Los Ríos,nacimientos,poblacion,cantidad,numero"/>
    <x v="281"/>
    <s v="100-C-14"/>
    <s v="#1774B9"/>
    <s v="990-0458"/>
    <n v="99200014"/>
    <s v="T-1006"/>
    <s v="C-1002"/>
    <s v="FI-991"/>
    <s v="M-1036"/>
  </r>
  <r>
    <x v="458"/>
    <n v="990"/>
    <x v="0"/>
    <x v="8"/>
    <n v="15"/>
    <x v="31"/>
    <x v="19"/>
    <x v="1"/>
    <x v="15"/>
    <s v="Comuna"/>
    <s v="Nacimientos anuales por comuna"/>
    <s v="Periodo 2010-2021"/>
    <s v="Número de personas"/>
    <s v="Ministerio de Ciencia, Tecnología, Conocimiento e Innovación"/>
    <x v="458"/>
    <m/>
    <s v="Dashboard"/>
    <s v="Región de Arica y Parinacota,nacimientos,poblacion,cantidad,numero"/>
    <x v="281"/>
    <s v="100-C-15"/>
    <s v="#1774B9"/>
    <s v="990-0459"/>
    <n v="99200015"/>
    <s v="T-1006"/>
    <s v="C-1002"/>
    <s v="FI-991"/>
    <s v="M-1036"/>
  </r>
  <r>
    <x v="459"/>
    <n v="990"/>
    <x v="0"/>
    <x v="8"/>
    <n v="16"/>
    <x v="31"/>
    <x v="19"/>
    <x v="1"/>
    <x v="16"/>
    <s v="Comuna"/>
    <s v="Nacimientos anuales por comuna"/>
    <s v="Periodo 2010-2021"/>
    <s v="Número de personas"/>
    <s v="Ministerio de Ciencia, Tecnología, Conocimiento e Innovación"/>
    <x v="459"/>
    <m/>
    <s v="Dashboard"/>
    <s v="Región de Ñuble,nacimientos,poblacion,cantidad,numero"/>
    <x v="281"/>
    <s v="100-C-16"/>
    <s v="#1774B9"/>
    <s v="990-0460"/>
    <n v="99200016"/>
    <s v="T-1006"/>
    <s v="C-1002"/>
    <s v="FI-991"/>
    <s v="M-1036"/>
  </r>
  <r>
    <x v="460"/>
    <n v="990"/>
    <x v="0"/>
    <x v="13"/>
    <n v="0"/>
    <x v="32"/>
    <x v="20"/>
    <x v="0"/>
    <x v="0"/>
    <s v="Región"/>
    <s v="Permisos de circulación anuales por región"/>
    <s v="Periodo 2008-2019"/>
    <s v="Número de permisos de circulación"/>
    <s v="Instituto Nacional de Estadísticas (INE)"/>
    <x v="460"/>
    <s v="Durante todo el periodo los vehículos de la categoría Automóvil y Station wagon fueron los que tuvieron mayor cantidad de permisos de circulación a nivel nacional siendo 790.146 para el año 2018 y de 819.684 para el año 2019.   "/>
    <s v="Gráfico de Evolución"/>
    <s v="Chile,permiso,circulacion,cantidad,numero,regional,tipo,vehiculo"/>
    <x v="281"/>
    <s v="300-R"/>
    <s v="#1774B9"/>
    <s v="990-0461"/>
    <n v="99100000"/>
    <s v="T-1007"/>
    <s v="C-1017"/>
    <s v="FI-992"/>
    <s v="M-1037"/>
  </r>
  <r>
    <x v="461"/>
    <n v="990"/>
    <x v="0"/>
    <x v="13"/>
    <n v="1"/>
    <x v="32"/>
    <x v="20"/>
    <x v="1"/>
    <x v="1"/>
    <s v="Ninguno"/>
    <s v="Permisos de circulación anuales por región"/>
    <s v="Periodo 2008-2019"/>
    <s v="Número de permisos de circulación"/>
    <s v="Instituto Nacional de Estadísticas (INE)"/>
    <x v="461"/>
    <m/>
    <s v="Gráfico de Evolución"/>
    <s v="Región de Tarapacá,permiso,circulacion,cantidad,numero,regional,tipo,vehiculo"/>
    <x v="281"/>
    <s v="100-R-1"/>
    <s v="#1774B9"/>
    <s v="990-0462"/>
    <n v="99200001"/>
    <s v="T-1007"/>
    <s v="C-1017"/>
    <s v="FI-993"/>
    <s v="M-1037"/>
  </r>
  <r>
    <x v="462"/>
    <n v="990"/>
    <x v="0"/>
    <x v="13"/>
    <n v="2"/>
    <x v="32"/>
    <x v="20"/>
    <x v="1"/>
    <x v="2"/>
    <s v="Ninguno"/>
    <s v="Permisos de circulación anuales por región"/>
    <s v="Periodo 2008-2019"/>
    <s v="Número de permisos de circulación"/>
    <s v="Instituto Nacional de Estadísticas (INE)"/>
    <x v="462"/>
    <m/>
    <s v="Gráfico de Evolución"/>
    <s v="Región de Antofagasta,permiso,circulacion,cantidad,numero,regional,tipo,vehiculo"/>
    <x v="281"/>
    <s v="100-R-2"/>
    <s v="#1774B9"/>
    <s v="990-0463"/>
    <n v="99200002"/>
    <s v="T-1007"/>
    <s v="C-1017"/>
    <s v="FI-993"/>
    <s v="M-1037"/>
  </r>
  <r>
    <x v="463"/>
    <n v="990"/>
    <x v="0"/>
    <x v="13"/>
    <n v="3"/>
    <x v="32"/>
    <x v="20"/>
    <x v="1"/>
    <x v="3"/>
    <s v="Ninguno"/>
    <s v="Permisos de circulación anuales por región"/>
    <s v="Periodo 2008-2019"/>
    <s v="Número de permisos de circulación"/>
    <s v="Instituto Nacional de Estadísticas (INE)"/>
    <x v="463"/>
    <m/>
    <s v="Gráfico de Evolución"/>
    <s v="Región de Atacama,permiso,circulacion,cantidad,numero,regional,tipo,vehiculo"/>
    <x v="281"/>
    <s v="100-R-3"/>
    <s v="#1774B9"/>
    <s v="990-0464"/>
    <n v="99200003"/>
    <s v="T-1007"/>
    <s v="C-1017"/>
    <s v="FI-993"/>
    <s v="M-1037"/>
  </r>
  <r>
    <x v="464"/>
    <n v="990"/>
    <x v="0"/>
    <x v="13"/>
    <n v="4"/>
    <x v="32"/>
    <x v="20"/>
    <x v="1"/>
    <x v="4"/>
    <s v="Ninguno"/>
    <s v="Permisos de circulación anuales por región"/>
    <s v="Periodo 2008-2019"/>
    <s v="Número de permisos de circulación"/>
    <s v="Instituto Nacional de Estadísticas (INE)"/>
    <x v="464"/>
    <m/>
    <s v="Gráfico de Evolución"/>
    <s v="Región de Coquimbo,permiso,circulacion,cantidad,numero,regional,tipo,vehiculo"/>
    <x v="281"/>
    <s v="100-R-4"/>
    <s v="#1774B9"/>
    <s v="990-0465"/>
    <n v="99200004"/>
    <s v="T-1007"/>
    <s v="C-1017"/>
    <s v="FI-993"/>
    <s v="M-1037"/>
  </r>
  <r>
    <x v="465"/>
    <n v="990"/>
    <x v="0"/>
    <x v="13"/>
    <n v="5"/>
    <x v="32"/>
    <x v="20"/>
    <x v="1"/>
    <x v="5"/>
    <s v="Ninguno"/>
    <s v="Permisos de circulación anuales por región"/>
    <s v="Periodo 2008-2019"/>
    <s v="Número de permisos de circulación"/>
    <s v="Instituto Nacional de Estadísticas (INE)"/>
    <x v="465"/>
    <m/>
    <s v="Gráfico de Evolución"/>
    <s v="Región de Valparaíso,permiso,circulacion,cantidad,numero,regional,tipo,vehiculo"/>
    <x v="281"/>
    <s v="100-R-5"/>
    <s v="#1774B9"/>
    <s v="990-0466"/>
    <n v="99200005"/>
    <s v="T-1007"/>
    <s v="C-1017"/>
    <s v="FI-993"/>
    <s v="M-1037"/>
  </r>
  <r>
    <x v="466"/>
    <n v="990"/>
    <x v="0"/>
    <x v="13"/>
    <n v="6"/>
    <x v="32"/>
    <x v="20"/>
    <x v="1"/>
    <x v="6"/>
    <s v="Ninguno"/>
    <s v="Permisos de circulación anuales por región"/>
    <s v="Periodo 2008-2019"/>
    <s v="Número de permisos de circulación"/>
    <s v="Instituto Nacional de Estadísticas (INE)"/>
    <x v="466"/>
    <m/>
    <s v="Gráfico de Evolución"/>
    <s v="Región de O'Higgins,permiso,circulacion,cantidad,numero,regional,tipo,vehiculo"/>
    <x v="281"/>
    <s v="100-R-6"/>
    <s v="#1774B9"/>
    <s v="990-0467"/>
    <n v="99200006"/>
    <s v="T-1007"/>
    <s v="C-1017"/>
    <s v="FI-993"/>
    <s v="M-1037"/>
  </r>
  <r>
    <x v="467"/>
    <n v="990"/>
    <x v="0"/>
    <x v="13"/>
    <n v="7"/>
    <x v="32"/>
    <x v="20"/>
    <x v="1"/>
    <x v="7"/>
    <s v="Ninguno"/>
    <s v="Permisos de circulación anuales por región"/>
    <s v="Periodo 2008-2019"/>
    <s v="Número de permisos de circulación"/>
    <s v="Instituto Nacional de Estadísticas (INE)"/>
    <x v="467"/>
    <m/>
    <s v="Gráfico de Evolución"/>
    <s v="Región de Maule,permiso,circulacion,cantidad,numero,regional,tipo,vehiculo"/>
    <x v="281"/>
    <s v="100-R-7"/>
    <s v="#1774B9"/>
    <s v="990-0468"/>
    <n v="99200007"/>
    <s v="T-1007"/>
    <s v="C-1017"/>
    <s v="FI-993"/>
    <s v="M-1037"/>
  </r>
  <r>
    <x v="468"/>
    <n v="990"/>
    <x v="0"/>
    <x v="13"/>
    <n v="8"/>
    <x v="32"/>
    <x v="20"/>
    <x v="1"/>
    <x v="8"/>
    <s v="Ninguno"/>
    <s v="Permisos de circulación anuales por región"/>
    <s v="Periodo 2008-2019"/>
    <s v="Número de permisos de circulación"/>
    <s v="Instituto Nacional de Estadísticas (INE)"/>
    <x v="468"/>
    <m/>
    <s v="Gráfico de Evolución"/>
    <s v="Región del Biobío,permiso,circulacion,cantidad,numero,regional,tipo,vehiculo"/>
    <x v="281"/>
    <s v="100-R-8"/>
    <s v="#1774B9"/>
    <s v="990-0469"/>
    <n v="99200008"/>
    <s v="T-1007"/>
    <s v="C-1017"/>
    <s v="FI-993"/>
    <s v="M-1037"/>
  </r>
  <r>
    <x v="469"/>
    <n v="990"/>
    <x v="0"/>
    <x v="13"/>
    <n v="9"/>
    <x v="32"/>
    <x v="20"/>
    <x v="1"/>
    <x v="9"/>
    <s v="Ninguno"/>
    <s v="Permisos de circulación anuales por región"/>
    <s v="Periodo 2008-2019"/>
    <s v="Número de permisos de circulación"/>
    <s v="Instituto Nacional de Estadísticas (INE)"/>
    <x v="469"/>
    <m/>
    <s v="Gráfico de Evolución"/>
    <s v="Región de La Araucanía,permiso,circulacion,cantidad,numero,regional,tipo,vehiculo"/>
    <x v="281"/>
    <s v="100-R-9"/>
    <s v="#1774B9"/>
    <s v="990-0470"/>
    <n v="99200009"/>
    <s v="T-1007"/>
    <s v="C-1017"/>
    <s v="FI-993"/>
    <s v="M-1037"/>
  </r>
  <r>
    <x v="470"/>
    <n v="990"/>
    <x v="0"/>
    <x v="13"/>
    <n v="10"/>
    <x v="32"/>
    <x v="20"/>
    <x v="1"/>
    <x v="10"/>
    <s v="Ninguno"/>
    <s v="Permisos de circulación anuales por región"/>
    <s v="Periodo 2008-2019"/>
    <s v="Número de permisos de circulación"/>
    <s v="Instituto Nacional de Estadísticas (INE)"/>
    <x v="470"/>
    <m/>
    <s v="Gráfico de Evolución"/>
    <s v="Región de Los Lagos,permiso,circulacion,cantidad,numero,regional,tipo,vehiculo"/>
    <x v="281"/>
    <s v="100-R-10"/>
    <s v="#1774B9"/>
    <s v="990-0471"/>
    <n v="99200010"/>
    <s v="T-1007"/>
    <s v="C-1017"/>
    <s v="FI-993"/>
    <s v="M-1037"/>
  </r>
  <r>
    <x v="471"/>
    <n v="990"/>
    <x v="0"/>
    <x v="13"/>
    <n v="11"/>
    <x v="32"/>
    <x v="20"/>
    <x v="1"/>
    <x v="11"/>
    <s v="Ninguno"/>
    <s v="Permisos de circulación anuales por región"/>
    <s v="Periodo 2008-2019"/>
    <s v="Número de permisos de circulación"/>
    <s v="Instituto Nacional de Estadísticas (INE)"/>
    <x v="471"/>
    <m/>
    <s v="Gráfico de Evolución"/>
    <s v="Región de Aysén,permiso,circulacion,cantidad,numero,regional,tipo,vehiculo"/>
    <x v="281"/>
    <s v="100-R-11"/>
    <s v="#1774B9"/>
    <s v="990-0472"/>
    <n v="99200011"/>
    <s v="T-1007"/>
    <s v="C-1017"/>
    <s v="FI-993"/>
    <s v="M-1037"/>
  </r>
  <r>
    <x v="472"/>
    <n v="990"/>
    <x v="0"/>
    <x v="13"/>
    <n v="12"/>
    <x v="32"/>
    <x v="20"/>
    <x v="1"/>
    <x v="12"/>
    <s v="Ninguno"/>
    <s v="Permisos de circulación anuales por región"/>
    <s v="Periodo 2008-2019"/>
    <s v="Número de permisos de circulación"/>
    <s v="Instituto Nacional de Estadísticas (INE)"/>
    <x v="472"/>
    <m/>
    <s v="Gráfico de Evolución"/>
    <s v="Región de Magallanes,permiso,circulacion,cantidad,numero,regional,tipo,vehiculo"/>
    <x v="281"/>
    <s v="100-R-12"/>
    <s v="#1774B9"/>
    <s v="990-0473"/>
    <n v="99200012"/>
    <s v="T-1007"/>
    <s v="C-1017"/>
    <s v="FI-993"/>
    <s v="M-1037"/>
  </r>
  <r>
    <x v="473"/>
    <n v="990"/>
    <x v="0"/>
    <x v="13"/>
    <n v="13"/>
    <x v="32"/>
    <x v="20"/>
    <x v="1"/>
    <x v="13"/>
    <s v="Ninguno"/>
    <s v="Permisos de circulación anuales por región"/>
    <s v="Periodo 2008-2019"/>
    <s v="Número de permisos de circulación"/>
    <s v="Instituto Nacional de Estadísticas (INE)"/>
    <x v="473"/>
    <m/>
    <s v="Gráfico de Evolución"/>
    <s v="Región Metropolitana,permiso,circulacion,cantidad,numero,regional,tipo,vehiculo"/>
    <x v="281"/>
    <s v="200-R-13"/>
    <s v="#1774B9"/>
    <s v="990-0474"/>
    <n v="99200013"/>
    <s v="T-1007"/>
    <s v="C-1017"/>
    <s v="FI-993"/>
    <s v="M-1037"/>
  </r>
  <r>
    <x v="474"/>
    <n v="990"/>
    <x v="0"/>
    <x v="13"/>
    <n v="14"/>
    <x v="32"/>
    <x v="20"/>
    <x v="1"/>
    <x v="14"/>
    <s v="Ninguno"/>
    <s v="Permisos de circulación anuales por región"/>
    <s v="Periodo 2008-2019"/>
    <s v="Número de permisos de circulación"/>
    <s v="Instituto Nacional de Estadísticas (INE)"/>
    <x v="474"/>
    <m/>
    <s v="Gráfico de Evolución"/>
    <s v="Región de Los Ríos,permiso,circulacion,cantidad,numero,regional,tipo,vehiculo"/>
    <x v="281"/>
    <s v="100-R-14"/>
    <s v="#1774B9"/>
    <s v="990-0475"/>
    <n v="99200014"/>
    <s v="T-1007"/>
    <s v="C-1017"/>
    <s v="FI-993"/>
    <s v="M-1037"/>
  </r>
  <r>
    <x v="475"/>
    <n v="990"/>
    <x v="0"/>
    <x v="13"/>
    <n v="15"/>
    <x v="32"/>
    <x v="20"/>
    <x v="1"/>
    <x v="15"/>
    <s v="Ninguno"/>
    <s v="Permisos de circulación anuales por región"/>
    <s v="Periodo 2008-2019"/>
    <s v="Número de permisos de circulación"/>
    <s v="Instituto Nacional de Estadísticas (INE)"/>
    <x v="475"/>
    <m/>
    <s v="Gráfico de Evolución"/>
    <s v="Región de Arica y Parinacota,permiso,circulacion,cantidad,numero,regional,tipo,vehiculo"/>
    <x v="281"/>
    <s v="100-R-15"/>
    <s v="#1774B9"/>
    <s v="990-0476"/>
    <n v="99200015"/>
    <s v="T-1007"/>
    <s v="C-1017"/>
    <s v="FI-993"/>
    <s v="M-1037"/>
  </r>
  <r>
    <x v="476"/>
    <n v="990"/>
    <x v="0"/>
    <x v="13"/>
    <n v="16"/>
    <x v="32"/>
    <x v="20"/>
    <x v="1"/>
    <x v="16"/>
    <s v="Ninguno"/>
    <s v="Permisos de circulación anuales por región"/>
    <s v="Periodo 2008-2019"/>
    <s v="Número de permisos de circulación"/>
    <s v="Instituto Nacional de Estadísticas (INE)"/>
    <x v="476"/>
    <m/>
    <s v="Gráfico de Evolución"/>
    <s v="Región de Ñuble,permiso,circulacion,cantidad,numero,regional,tipo,vehiculo"/>
    <x v="281"/>
    <s v="100-R-16"/>
    <s v="#1774B9"/>
    <s v="990-0477"/>
    <n v="99200016"/>
    <s v="T-1007"/>
    <s v="C-1017"/>
    <s v="FI-993"/>
    <s v="M-1037"/>
  </r>
  <r>
    <x v="477"/>
    <n v="990"/>
    <x v="0"/>
    <x v="12"/>
    <n v="0"/>
    <x v="33"/>
    <x v="21"/>
    <x v="0"/>
    <x v="0"/>
    <s v="Ninguno"/>
    <s v="Emisiones de CO2 por tipo de combustible en Chile"/>
    <s v="Periodo 1990-2019"/>
    <s v="Toneladas"/>
    <s v="Our World In Data"/>
    <x v="477"/>
    <s v="En Chile, durante el periodo 1990-2019, el uso de fuentes de energía convencionales ha ido en aumento y con esto las emisiones de CO2 hacia la atmósfera. El petróleo es la fuente que más emisiones de este gas realiza, registrando para el año 1990 18.527.236 toneladas y, para el año 2019, 47.431.109 toneladas, un valor 2,6 veces más grande."/>
    <s v="Gráfico de Evolución"/>
    <s v="Chile,GEI,emisiones,CO2,combustibles,petroleo,carbon,gas"/>
    <x v="393"/>
    <n v="0"/>
    <s v="#1774B9"/>
    <s v="990-0478"/>
    <n v="99100000"/>
    <s v="T-1008"/>
    <s v="C-1004"/>
    <s v="FI-993"/>
    <s v="M-1038"/>
  </r>
  <r>
    <x v="478"/>
    <n v="990"/>
    <x v="0"/>
    <x v="12"/>
    <n v="0"/>
    <x v="33"/>
    <x v="21"/>
    <x v="0"/>
    <x v="0"/>
    <s v="Ninguno"/>
    <s v="Variación anual de emisiones de CO2"/>
    <s v="Periodo 1990-2019"/>
    <s v="Porcentaje (%)"/>
    <s v="Our World In Data"/>
    <x v="478"/>
    <s v="Las emisiones de CO2 que han sufrido las más amplias variaciones entre los años 1990 y 2019 son las del gas. La variación porcentual anual más alta fue en el año 1997 y la más negativa fue en 2008."/>
    <s v="Gráfico de Evolución"/>
    <s v="Chile,GEI,emisiones,CO2,variacion,anual,combustibles,petroleo,gas,carbon"/>
    <x v="394"/>
    <n v="0"/>
    <s v="#1774B9"/>
    <s v="990-0479"/>
    <n v="99100000"/>
    <s v="T-1008"/>
    <s v="C-1004"/>
    <s v="FI-993"/>
    <s v="M-1039"/>
  </r>
  <r>
    <x v="479"/>
    <n v="990"/>
    <x v="0"/>
    <x v="12"/>
    <n v="0"/>
    <x v="33"/>
    <x v="21"/>
    <x v="0"/>
    <x v="0"/>
    <s v="Ninguno"/>
    <s v="Toneladas per cápita"/>
    <s v="Periodo 1990-2019"/>
    <s v="Toneladas"/>
    <s v="Elaboración propia basada en Our World In Data"/>
    <x v="479"/>
    <s v="Dada la predicción para el año 2025, las emisiones per cápita de CO2 por quema de petróleo serán de 4,1 (t), mientras que para el gas serán de 0,6 (t) y para el carbón de 1 (t)."/>
    <s v="Gráfico de Evolución"/>
    <s v="Chile,GEI,emisiones,CO2, per,capita,combustibles,petroleo,gas,carbon"/>
    <x v="395"/>
    <n v="0"/>
    <s v="#1774B9"/>
    <s v="990-0480"/>
    <n v="99100000"/>
    <s v="T-1008"/>
    <s v="C-1004"/>
    <s v="FI-993"/>
    <s v="M-1040"/>
  </r>
  <r>
    <x v="480"/>
    <n v="990"/>
    <x v="0"/>
    <x v="12"/>
    <n v="0"/>
    <x v="33"/>
    <x v="21"/>
    <x v="0"/>
    <x v="0"/>
    <s v="Ninguno"/>
    <s v="Proporción emisiones con respecto al año anterior"/>
    <s v="Periodo 1990-2019"/>
    <s v="Porcentaje (%)"/>
    <s v="Our World In Data"/>
    <x v="480"/>
    <s v="La tendencia de las emisiones de CO2 por quema de combustible, que considera petróleo, gas y carbón, va al alza desde el año 2017, alcanzando en 2019 las 83.355.309 toneladas. En el año 1997 se registró la proporción mas alta con respecto al año anterior, alcanzando un porcentaje de 116,9%. La más baja ocurrió en el año 2001, con una proporción respecto al año 2000 de 90,2%."/>
    <s v="Gráfico de Evolución"/>
    <s v="Chile,GEI,emisiones,CO2,petroleo,gas,carbon,tendencia,proporcion"/>
    <x v="396"/>
    <n v="0"/>
    <s v="#1774B9"/>
    <s v="990-0481"/>
    <n v="99100000"/>
    <s v="T-1008"/>
    <s v="C-1004"/>
    <s v="FI-993"/>
    <s v="M-1041"/>
  </r>
  <r>
    <x v="481"/>
    <n v="990"/>
    <x v="0"/>
    <x v="10"/>
    <n v="0"/>
    <x v="34"/>
    <x v="11"/>
    <x v="0"/>
    <x v="0"/>
    <s v="Tamaño empresa"/>
    <s v="Variación anual de trabajadores "/>
    <s v="Periodo 2005-2019"/>
    <s v="Personas"/>
    <s v="Servicio de Impuestos Internos (SII)"/>
    <x v="481"/>
    <s v="A nivel nacional, en el año 2009 se observa la mayor disminución del número de trabajadores dependientes informados tanto para hombres como para mujeres, reduciéndose respecto al año anterior en un 4,7% y un 2,7% respectivamente. Por el contrario, las mayores alzas se registraron el año 2007 para mujeres, con un 12,3%, y el año 2011 para hombres, con un 8,2%, respecto del año anterior. Estos porcentajes varían de acuerdo al Tramo según Ventas que caracteriza a los tipos de empresas y por sus respectivos tramos específicos."/>
    <s v="Gráfico de Evolución"/>
    <s v="Chile,trabajadores,dependientes,informados,anual,sii,hombres,mujeres,sexo,género,nacional"/>
    <x v="397"/>
    <n v="0"/>
    <s v="#1774B9"/>
    <s v="990-0482"/>
    <n v="99100000"/>
    <s v="T-1009"/>
    <s v="C-993"/>
    <s v="FI-1000"/>
    <s v="M-1042"/>
  </r>
  <r>
    <x v="482"/>
    <n v="990"/>
    <x v="0"/>
    <x v="10"/>
    <n v="0"/>
    <x v="35"/>
    <x v="11"/>
    <x v="0"/>
    <x v="0"/>
    <s v="Región"/>
    <s v="Cantidad de Trabajadores informados por región"/>
    <s v="Periodo 2005-2019"/>
    <s v="Personas"/>
    <s v="Servicio de Impuestos Internos (SII)"/>
    <x v="482"/>
    <m/>
    <s v="Gráfico de Evolución"/>
    <s v="Chile,regional,trabajadores,dependientes,informados,honorarios,anual,sii"/>
    <x v="398"/>
    <s v="300-R"/>
    <s v="#1774B9"/>
    <s v="990-0483"/>
    <n v="99100000"/>
    <s v="T-1010"/>
    <s v="C-993"/>
    <s v="FI-992"/>
    <s v="M-1043"/>
  </r>
  <r>
    <x v="483"/>
    <n v="990"/>
    <x v="0"/>
    <x v="10"/>
    <n v="1"/>
    <x v="35"/>
    <x v="11"/>
    <x v="1"/>
    <x v="1"/>
    <s v="Ninguno"/>
    <s v="Cantidad de Trabajadores informados por región"/>
    <s v="Periodo 2005-2019"/>
    <s v="Personas"/>
    <s v="Servicio de Impuestos Internos (SII)"/>
    <x v="483"/>
    <m/>
    <s v="Gráfico de Evolución"/>
    <s v="Región de Tarapacá,"/>
    <x v="399"/>
    <s v="100-R-1"/>
    <s v="#1774B9"/>
    <s v="990-0484"/>
    <n v="99200001"/>
    <s v="T-1010"/>
    <s v="C-993"/>
    <s v="FI-993"/>
    <s v="M-1043"/>
  </r>
  <r>
    <x v="484"/>
    <n v="990"/>
    <x v="0"/>
    <x v="10"/>
    <n v="2"/>
    <x v="35"/>
    <x v="11"/>
    <x v="1"/>
    <x v="2"/>
    <s v="Ninguno"/>
    <s v="Cantidad de Trabajadores informados por región"/>
    <s v="Periodo 2005-2019"/>
    <s v="Personas"/>
    <s v="Servicio de Impuestos Internos (SII)"/>
    <x v="484"/>
    <m/>
    <s v="Gráfico de Evolución"/>
    <s v="Región de Antofagasta,"/>
    <x v="400"/>
    <s v="100-R-2"/>
    <s v="#1774B9"/>
    <s v="990-0485"/>
    <n v="99200002"/>
    <s v="T-1010"/>
    <s v="C-993"/>
    <s v="FI-993"/>
    <s v="M-1043"/>
  </r>
  <r>
    <x v="485"/>
    <n v="990"/>
    <x v="0"/>
    <x v="10"/>
    <n v="3"/>
    <x v="35"/>
    <x v="11"/>
    <x v="1"/>
    <x v="3"/>
    <s v="Ninguno"/>
    <s v="Cantidad de Trabajadores informados por región"/>
    <s v="Periodo 2005-2019"/>
    <s v="Personas"/>
    <s v="Servicio de Impuestos Internos (SII)"/>
    <x v="485"/>
    <m/>
    <s v="Gráfico de Evolución"/>
    <s v="Región de Atacama,"/>
    <x v="401"/>
    <s v="100-R-3"/>
    <s v="#1774B9"/>
    <s v="990-0486"/>
    <n v="99200003"/>
    <s v="T-1010"/>
    <s v="C-993"/>
    <s v="FI-993"/>
    <s v="M-1043"/>
  </r>
  <r>
    <x v="486"/>
    <n v="990"/>
    <x v="0"/>
    <x v="10"/>
    <n v="4"/>
    <x v="35"/>
    <x v="11"/>
    <x v="1"/>
    <x v="4"/>
    <s v="Ninguno"/>
    <s v="Cantidad de Trabajadores informados por región"/>
    <s v="Periodo 2005-2019"/>
    <s v="Personas"/>
    <s v="Servicio de Impuestos Internos (SII)"/>
    <x v="486"/>
    <m/>
    <s v="Gráfico de Evolución"/>
    <s v="Región de Coquimbo,"/>
    <x v="402"/>
    <s v="100-R-4"/>
    <s v="#1774B9"/>
    <s v="990-0487"/>
    <n v="99200004"/>
    <s v="T-1010"/>
    <s v="C-993"/>
    <s v="FI-993"/>
    <s v="M-1043"/>
  </r>
  <r>
    <x v="487"/>
    <n v="990"/>
    <x v="0"/>
    <x v="10"/>
    <n v="5"/>
    <x v="35"/>
    <x v="11"/>
    <x v="1"/>
    <x v="5"/>
    <s v="Ninguno"/>
    <s v="Cantidad de Trabajadores informados por región"/>
    <s v="Periodo 2005-2019"/>
    <s v="Personas"/>
    <s v="Servicio de Impuestos Internos (SII)"/>
    <x v="487"/>
    <m/>
    <s v="Gráfico de Evolución"/>
    <s v="Región de Valparaíso,"/>
    <x v="403"/>
    <s v="100-R-5"/>
    <s v="#1774B9"/>
    <s v="990-0488"/>
    <n v="99200005"/>
    <s v="T-1010"/>
    <s v="C-993"/>
    <s v="FI-993"/>
    <s v="M-1043"/>
  </r>
  <r>
    <x v="488"/>
    <n v="990"/>
    <x v="0"/>
    <x v="10"/>
    <n v="6"/>
    <x v="35"/>
    <x v="11"/>
    <x v="1"/>
    <x v="6"/>
    <s v="Ninguno"/>
    <s v="Cantidad de Trabajadores informados por región"/>
    <s v="Periodo 2005-2019"/>
    <s v="Personas"/>
    <s v="Servicio de Impuestos Internos (SII)"/>
    <x v="488"/>
    <m/>
    <s v="Gráfico de Evolución"/>
    <s v="Región de O'Higgins,"/>
    <x v="404"/>
    <s v="100-R-6"/>
    <s v="#1774B9"/>
    <s v="990-0489"/>
    <n v="99200006"/>
    <s v="T-1010"/>
    <s v="C-993"/>
    <s v="FI-993"/>
    <s v="M-1043"/>
  </r>
  <r>
    <x v="489"/>
    <n v="990"/>
    <x v="0"/>
    <x v="10"/>
    <n v="7"/>
    <x v="35"/>
    <x v="11"/>
    <x v="1"/>
    <x v="7"/>
    <s v="Ninguno"/>
    <s v="Cantidad de Trabajadores informados por región"/>
    <s v="Periodo 2005-2019"/>
    <s v="Personas"/>
    <s v="Servicio de Impuestos Internos (SII)"/>
    <x v="489"/>
    <m/>
    <s v="Gráfico de Evolución"/>
    <s v="Región de Maule,"/>
    <x v="405"/>
    <s v="100-R-7"/>
    <s v="#1774B9"/>
    <s v="990-0490"/>
    <n v="99200007"/>
    <s v="T-1010"/>
    <s v="C-993"/>
    <s v="FI-993"/>
    <s v="M-1043"/>
  </r>
  <r>
    <x v="490"/>
    <n v="990"/>
    <x v="0"/>
    <x v="10"/>
    <n v="8"/>
    <x v="35"/>
    <x v="11"/>
    <x v="1"/>
    <x v="8"/>
    <s v="Ninguno"/>
    <s v="Cantidad de Trabajadores informados por región"/>
    <s v="Periodo 2005-2019"/>
    <s v="Personas"/>
    <s v="Servicio de Impuestos Internos (SII)"/>
    <x v="490"/>
    <s v="En la región del Biobío, los trabajadores dependientes informados superaron en más de 450.000 a los trabajadores a honorarios informados en el año 2005. Se observa que esta brecha tiende a aumentar cada año, alcanzando en el año 2019 una diferencia de mas de 670.00 trabajadores."/>
    <s v="Gráfico de Evolución"/>
    <s v="Región del Biobío,"/>
    <x v="406"/>
    <s v="100-R-8"/>
    <s v="#1774B9"/>
    <s v="990-0491"/>
    <n v="99200008"/>
    <s v="T-1010"/>
    <s v="C-993"/>
    <s v="FI-993"/>
    <s v="M-1043"/>
  </r>
  <r>
    <x v="491"/>
    <n v="990"/>
    <x v="0"/>
    <x v="10"/>
    <n v="9"/>
    <x v="35"/>
    <x v="11"/>
    <x v="1"/>
    <x v="9"/>
    <s v="Ninguno"/>
    <s v="Cantidad de Trabajadores informados por región"/>
    <s v="Periodo 2005-2019"/>
    <s v="Personas"/>
    <s v="Servicio de Impuestos Internos (SII)"/>
    <x v="491"/>
    <m/>
    <s v="Gráfico de Evolución"/>
    <s v="Región de La Araucanía,"/>
    <x v="407"/>
    <s v="100-R-9"/>
    <s v="#1774B9"/>
    <s v="990-0492"/>
    <n v="99200009"/>
    <s v="T-1010"/>
    <s v="C-993"/>
    <s v="FI-993"/>
    <s v="M-1043"/>
  </r>
  <r>
    <x v="492"/>
    <n v="990"/>
    <x v="0"/>
    <x v="10"/>
    <n v="10"/>
    <x v="35"/>
    <x v="11"/>
    <x v="1"/>
    <x v="10"/>
    <s v="Ninguno"/>
    <s v="Cantidad de Trabajadores informados por región"/>
    <s v="Periodo 2005-2019"/>
    <s v="Personas"/>
    <s v="Servicio de Impuestos Internos (SII)"/>
    <x v="492"/>
    <m/>
    <s v="Gráfico de Evolución"/>
    <s v="Región de Los Lagos,"/>
    <x v="408"/>
    <s v="100-R-10"/>
    <s v="#1774B9"/>
    <s v="990-0493"/>
    <n v="99200010"/>
    <s v="T-1010"/>
    <s v="C-993"/>
    <s v="FI-993"/>
    <s v="M-1043"/>
  </r>
  <r>
    <x v="493"/>
    <n v="990"/>
    <x v="0"/>
    <x v="10"/>
    <n v="11"/>
    <x v="35"/>
    <x v="11"/>
    <x v="1"/>
    <x v="11"/>
    <s v="Ninguno"/>
    <s v="Cantidad de Trabajadores informados por región"/>
    <s v="Periodo 2005-2019"/>
    <s v="Personas"/>
    <s v="Servicio de Impuestos Internos (SII)"/>
    <x v="493"/>
    <m/>
    <s v="Gráfico de Evolución"/>
    <s v="Región de Aysén,"/>
    <x v="409"/>
    <s v="100-R-11"/>
    <s v="#1774B9"/>
    <s v="990-0494"/>
    <n v="99200011"/>
    <s v="T-1010"/>
    <s v="C-993"/>
    <s v="FI-993"/>
    <s v="M-1043"/>
  </r>
  <r>
    <x v="494"/>
    <n v="990"/>
    <x v="0"/>
    <x v="10"/>
    <n v="12"/>
    <x v="35"/>
    <x v="11"/>
    <x v="1"/>
    <x v="12"/>
    <s v="Ninguno"/>
    <s v="Cantidad de Trabajadores informados por región"/>
    <s v="Periodo 2005-2019"/>
    <s v="Personas"/>
    <s v="Servicio de Impuestos Internos (SII)"/>
    <x v="494"/>
    <m/>
    <s v="Gráfico de Evolución"/>
    <s v="Región de Magallanes,"/>
    <x v="410"/>
    <s v="100-R-12"/>
    <s v="#1774B9"/>
    <s v="990-0495"/>
    <n v="99200012"/>
    <s v="T-1010"/>
    <s v="C-993"/>
    <s v="FI-993"/>
    <s v="M-1043"/>
  </r>
  <r>
    <x v="495"/>
    <n v="990"/>
    <x v="0"/>
    <x v="10"/>
    <n v="13"/>
    <x v="35"/>
    <x v="11"/>
    <x v="1"/>
    <x v="13"/>
    <s v="Ninguno"/>
    <s v="Cantidad de Trabajadores informados por región"/>
    <s v="Periodo 2005-2019"/>
    <s v="Personas"/>
    <s v="Servicio de Impuestos Internos (SII)"/>
    <x v="495"/>
    <m/>
    <s v="Gráfico de Evolución"/>
    <s v="Región Metropolitana,"/>
    <x v="411"/>
    <s v="200-R-13"/>
    <s v="#1774B9"/>
    <s v="990-0496"/>
    <n v="99200013"/>
    <s v="T-1010"/>
    <s v="C-993"/>
    <s v="FI-993"/>
    <s v="M-1043"/>
  </r>
  <r>
    <x v="496"/>
    <n v="990"/>
    <x v="0"/>
    <x v="10"/>
    <n v="14"/>
    <x v="35"/>
    <x v="11"/>
    <x v="1"/>
    <x v="14"/>
    <s v="Ninguno"/>
    <s v="Cantidad de Trabajadores informados por región"/>
    <s v="Periodo 2005-2019"/>
    <s v="Personas"/>
    <s v="Servicio de Impuestos Internos (SII)"/>
    <x v="496"/>
    <m/>
    <s v="Gráfico de Evolución"/>
    <s v="Región de Los Ríos,"/>
    <x v="412"/>
    <s v="100-R-14"/>
    <s v="#1774B9"/>
    <s v="990-0497"/>
    <n v="99200014"/>
    <s v="T-1010"/>
    <s v="C-993"/>
    <s v="FI-993"/>
    <s v="M-1043"/>
  </r>
  <r>
    <x v="497"/>
    <n v="990"/>
    <x v="0"/>
    <x v="10"/>
    <n v="15"/>
    <x v="35"/>
    <x v="11"/>
    <x v="1"/>
    <x v="15"/>
    <s v="Ninguno"/>
    <s v="Cantidad de Trabajadores informados por región"/>
    <s v="Periodo 2005-2019"/>
    <s v="Personas"/>
    <s v="Servicio de Impuestos Internos (SII)"/>
    <x v="497"/>
    <m/>
    <s v="Gráfico de Evolución"/>
    <s v="Región de Arica y Parinacota,"/>
    <x v="413"/>
    <s v="100-R-15"/>
    <s v="#1774B9"/>
    <s v="990-0498"/>
    <n v="99200015"/>
    <s v="T-1010"/>
    <s v="C-993"/>
    <s v="FI-993"/>
    <s v="M-1043"/>
  </r>
  <r>
    <x v="498"/>
    <n v="990"/>
    <x v="0"/>
    <x v="10"/>
    <n v="16"/>
    <x v="35"/>
    <x v="11"/>
    <x v="1"/>
    <x v="16"/>
    <s v="Ninguno"/>
    <s v="Cantidad de Trabajadores informados por región"/>
    <s v="Periodo 2005-2019"/>
    <s v="Personas"/>
    <s v="Servicio de Impuestos Internos (SII)"/>
    <x v="498"/>
    <m/>
    <s v="Gráfico de Evolución"/>
    <s v="Región de Ñuble,"/>
    <x v="414"/>
    <s v="100-R-16"/>
    <s v="#1774B9"/>
    <s v="990-0499"/>
    <n v="99200016"/>
    <s v="T-1010"/>
    <s v="C-993"/>
    <s v="FI-993"/>
    <s v="M-1043"/>
  </r>
  <r>
    <x v="499"/>
    <n v="990"/>
    <x v="0"/>
    <x v="1"/>
    <n v="0"/>
    <x v="36"/>
    <x v="1"/>
    <x v="0"/>
    <x v="0"/>
    <s v="Región-Comuna"/>
    <s v="Puntaje promedio por tipo de establecimiento"/>
    <s v="Periodo 2015 - 2018"/>
    <s v="Puntaje"/>
    <s v="Agencia de Calidad de la Educación"/>
    <x v="499"/>
    <s v="Los colegios particulares, han obtenido un puntaje promedio sobre los 130 puntos, en la prueba SIMCE de lectura tomada a los alumnos de 4° Básico, superando por más de 30 puntos a los colegios de otras dependencias del país, en los años 2015, 2016, 2017 y 2018."/>
    <s v="Gráfico de Evolución"/>
    <s v="Chile,SIMCE,basica,cuarto,educacion,puntaje,lectura,municipal,subvencionado,corporacion,lenguaje,particular"/>
    <x v="415"/>
    <s v="300-C"/>
    <s v="#1774B9"/>
    <s v="990-0500"/>
    <n v="99100000"/>
    <s v="T-1043"/>
    <s v="C-1019"/>
    <s v="FI-995"/>
    <s v="M-1044"/>
  </r>
  <r>
    <x v="500"/>
    <n v="990"/>
    <x v="0"/>
    <x v="1"/>
    <n v="1"/>
    <x v="36"/>
    <x v="1"/>
    <x v="1"/>
    <x v="1"/>
    <s v="Comuna"/>
    <s v="Puntaje promedio por tipo de establecimiento"/>
    <s v="Periodo 2015 - 2018"/>
    <s v="Puntaje"/>
    <s v="Agencia de Calidad de la Educación"/>
    <x v="500"/>
    <m/>
    <s v="Gráfico de Evolución"/>
    <s v="Región de Tarapacá,SIMCE,basica,cuarto,educacion,puntaje,lectura,municipal,subvencionado,corporacion,lenguaje,particular"/>
    <x v="281"/>
    <s v="100-C-1"/>
    <s v="#1774B9"/>
    <s v="990-0501"/>
    <n v="99200001"/>
    <s v="T-1043"/>
    <s v="C-1019"/>
    <s v="FI-991"/>
    <s v="M-1044"/>
  </r>
  <r>
    <x v="501"/>
    <n v="990"/>
    <x v="0"/>
    <x v="1"/>
    <n v="2"/>
    <x v="36"/>
    <x v="1"/>
    <x v="1"/>
    <x v="2"/>
    <s v="Comuna"/>
    <s v="Puntaje promedio por tipo de establecimiento"/>
    <s v="Periodo 2015 - 2018"/>
    <s v="Puntaje"/>
    <s v="Agencia de Calidad de la Educación"/>
    <x v="501"/>
    <m/>
    <s v="Gráfico de Evolución"/>
    <s v="Región de Antofagasta,SIMCE,basica,cuarto,educacion,puntaje,lectura,municipal,subvencionado,corporacion,lenguaje,particular"/>
    <x v="281"/>
    <s v="100-C-2"/>
    <s v="#1774B9"/>
    <s v="990-0502"/>
    <n v="99200002"/>
    <s v="T-1043"/>
    <s v="C-1019"/>
    <s v="FI-991"/>
    <s v="M-1044"/>
  </r>
  <r>
    <x v="502"/>
    <n v="990"/>
    <x v="0"/>
    <x v="1"/>
    <n v="3"/>
    <x v="36"/>
    <x v="1"/>
    <x v="1"/>
    <x v="3"/>
    <s v="Comuna"/>
    <s v="Puntaje promedio por tipo de establecimiento"/>
    <s v="Periodo 2015 - 2018"/>
    <s v="Puntaje"/>
    <s v="Agencia de Calidad de la Educación"/>
    <x v="502"/>
    <m/>
    <s v="Gráfico de Evolución"/>
    <s v="Región de Atacama,SIMCE,basica,cuarto,educacion,puntaje,lectura,municipal,subvencionado,corporacion,lenguaje,particular"/>
    <x v="281"/>
    <s v="100-C-3"/>
    <s v="#1774B9"/>
    <s v="990-0503"/>
    <n v="99200003"/>
    <s v="T-1043"/>
    <s v="C-1019"/>
    <s v="FI-991"/>
    <s v="M-1044"/>
  </r>
  <r>
    <x v="503"/>
    <n v="990"/>
    <x v="0"/>
    <x v="1"/>
    <n v="4"/>
    <x v="36"/>
    <x v="1"/>
    <x v="1"/>
    <x v="4"/>
    <s v="Comuna"/>
    <s v="Puntaje promedio por tipo de establecimiento"/>
    <s v="Periodo 2015 - 2018"/>
    <s v="Puntaje"/>
    <s v="Agencia de Calidad de la Educación"/>
    <x v="503"/>
    <m/>
    <s v="Gráfico de Evolución"/>
    <s v="Región de Coquimbo,SIMCE,basica,cuarto,educacion,puntaje,lectura,municipal,subvencionado,corporacion,lenguaje,particular"/>
    <x v="281"/>
    <s v="100-C-4"/>
    <s v="#1774B9"/>
    <s v="990-0504"/>
    <n v="99200004"/>
    <s v="T-1043"/>
    <s v="C-1019"/>
    <s v="FI-991"/>
    <s v="M-1044"/>
  </r>
  <r>
    <x v="504"/>
    <n v="990"/>
    <x v="0"/>
    <x v="1"/>
    <n v="5"/>
    <x v="36"/>
    <x v="1"/>
    <x v="1"/>
    <x v="5"/>
    <s v="Comuna"/>
    <s v="Puntaje promedio por tipo de establecimiento"/>
    <s v="Periodo 2015 - 2018"/>
    <s v="Puntaje"/>
    <s v="Agencia de Calidad de la Educación"/>
    <x v="504"/>
    <m/>
    <s v="Gráfico de Evolución"/>
    <s v="Región de Valparaíso,SIMCE,basica,cuarto,educacion,puntaje,lectura,municipal,subvencionado,corporacion,lenguaje,particular"/>
    <x v="281"/>
    <s v="100-C-5"/>
    <s v="#1774B9"/>
    <s v="990-0505"/>
    <n v="99200005"/>
    <s v="T-1043"/>
    <s v="C-1019"/>
    <s v="FI-991"/>
    <s v="M-1044"/>
  </r>
  <r>
    <x v="505"/>
    <n v="990"/>
    <x v="0"/>
    <x v="1"/>
    <n v="6"/>
    <x v="36"/>
    <x v="1"/>
    <x v="1"/>
    <x v="6"/>
    <s v="Comuna"/>
    <s v="Puntaje promedio por tipo de establecimiento"/>
    <s v="Periodo 2015 - 2018"/>
    <s v="Puntaje"/>
    <s v="Agencia de Calidad de la Educación"/>
    <x v="505"/>
    <m/>
    <s v="Gráfico de Evolución"/>
    <s v="Región de O'Higgins,SIMCE,basica,cuarto,educacion,puntaje,lectura,municipal,subvencionado,corporacion,lenguaje,particular"/>
    <x v="281"/>
    <s v="100-C-6"/>
    <s v="#1774B9"/>
    <s v="990-0506"/>
    <n v="99200006"/>
    <s v="T-1043"/>
    <s v="C-1019"/>
    <s v="FI-991"/>
    <s v="M-1044"/>
  </r>
  <r>
    <x v="506"/>
    <n v="990"/>
    <x v="0"/>
    <x v="1"/>
    <n v="7"/>
    <x v="36"/>
    <x v="1"/>
    <x v="1"/>
    <x v="7"/>
    <s v="Comuna"/>
    <s v="Puntaje promedio por tipo de establecimiento"/>
    <s v="Periodo 2015 - 2018"/>
    <s v="Puntaje"/>
    <s v="Agencia de Calidad de la Educación"/>
    <x v="506"/>
    <m/>
    <s v="Gráfico de Evolución"/>
    <s v="Región de Maule,SIMCE,basica,cuarto,educacion,puntaje,lectura,municipal,subvencionado,corporacion,lenguaje,particular"/>
    <x v="281"/>
    <s v="100-C-7"/>
    <s v="#1774B9"/>
    <s v="990-0507"/>
    <n v="99200007"/>
    <s v="T-1043"/>
    <s v="C-1019"/>
    <s v="FI-991"/>
    <s v="M-1044"/>
  </r>
  <r>
    <x v="507"/>
    <n v="990"/>
    <x v="0"/>
    <x v="1"/>
    <n v="8"/>
    <x v="36"/>
    <x v="1"/>
    <x v="1"/>
    <x v="8"/>
    <s v="Comuna"/>
    <s v="Puntaje promedio por tipo de establecimiento"/>
    <s v="Periodo 2015 - 2018"/>
    <s v="Puntaje"/>
    <s v="Agencia de Calidad de la Educación"/>
    <x v="507"/>
    <m/>
    <s v="Gráfico de Evolución"/>
    <s v="Región del Biobío,SIMCE,basica,cuarto,educacion,puntaje,lectura,municipal,subvencionado,corporacion,lenguaje,particular"/>
    <x v="281"/>
    <s v="100-C-8"/>
    <s v="#1774B9"/>
    <s v="990-0508"/>
    <n v="99200008"/>
    <s v="T-1043"/>
    <s v="C-1019"/>
    <s v="FI-991"/>
    <s v="M-1044"/>
  </r>
  <r>
    <x v="508"/>
    <n v="990"/>
    <x v="0"/>
    <x v="1"/>
    <n v="9"/>
    <x v="36"/>
    <x v="1"/>
    <x v="1"/>
    <x v="9"/>
    <s v="Comuna"/>
    <s v="Puntaje promedio por tipo de establecimiento"/>
    <s v="Periodo 2015 - 2018"/>
    <s v="Puntaje"/>
    <s v="Agencia de Calidad de la Educación"/>
    <x v="508"/>
    <m/>
    <s v="Gráfico de Evolución"/>
    <s v="Región de La Araucanía,SIMCE,basica,cuarto,educacion,puntaje,lectura,municipal,subvencionado,corporacion,lenguaje,particular"/>
    <x v="281"/>
    <s v="100-C-9"/>
    <s v="#1774B9"/>
    <s v="990-0509"/>
    <n v="99200009"/>
    <s v="T-1043"/>
    <s v="C-1019"/>
    <s v="FI-991"/>
    <s v="M-1044"/>
  </r>
  <r>
    <x v="509"/>
    <n v="990"/>
    <x v="0"/>
    <x v="1"/>
    <n v="10"/>
    <x v="36"/>
    <x v="1"/>
    <x v="1"/>
    <x v="10"/>
    <s v="Comuna"/>
    <s v="Puntaje promedio por tipo de establecimiento"/>
    <s v="Periodo 2015 - 2018"/>
    <s v="Puntaje"/>
    <s v="Agencia de Calidad de la Educación"/>
    <x v="509"/>
    <m/>
    <s v="Gráfico de Evolución"/>
    <s v="Región de Los Lagos,SIMCE,basica,cuarto,educacion,puntaje,lectura,municipal,subvencionado,corporacion,lenguaje,particular"/>
    <x v="281"/>
    <s v="100-C-10"/>
    <s v="#1774B9"/>
    <s v="990-0510"/>
    <n v="99200010"/>
    <s v="T-1043"/>
    <s v="C-1019"/>
    <s v="FI-991"/>
    <s v="M-1044"/>
  </r>
  <r>
    <x v="510"/>
    <n v="990"/>
    <x v="0"/>
    <x v="1"/>
    <n v="11"/>
    <x v="36"/>
    <x v="1"/>
    <x v="1"/>
    <x v="11"/>
    <s v="Comuna"/>
    <s v="Puntaje promedio por tipo de establecimiento"/>
    <s v="Periodo 2015 - 2018"/>
    <s v="Puntaje"/>
    <s v="Agencia de Calidad de la Educación"/>
    <x v="510"/>
    <m/>
    <s v="Gráfico de Evolución"/>
    <s v="Región de Aysén,SIMCE,basica,cuarto,educacion,puntaje,lectura,municipal,subvencionado,corporacion,lenguaje,particular"/>
    <x v="281"/>
    <s v="100-C-11"/>
    <s v="#1774B9"/>
    <s v="990-0511"/>
    <n v="99200011"/>
    <s v="T-1043"/>
    <s v="C-1019"/>
    <s v="FI-991"/>
    <s v="M-1044"/>
  </r>
  <r>
    <x v="511"/>
    <n v="990"/>
    <x v="0"/>
    <x v="1"/>
    <n v="12"/>
    <x v="36"/>
    <x v="1"/>
    <x v="1"/>
    <x v="12"/>
    <s v="Comuna"/>
    <s v="Puntaje promedio por tipo de establecimiento"/>
    <s v="Periodo 2015 - 2018"/>
    <s v="Puntaje"/>
    <s v="Agencia de Calidad de la Educación"/>
    <x v="511"/>
    <m/>
    <s v="Gráfico de Evolución"/>
    <s v="Región de Magallanes,SIMCE,basica,cuarto,educacion,puntaje,lectura,municipal,subvencionado,corporacion,lenguaje,particular"/>
    <x v="281"/>
    <s v="100-C-12"/>
    <s v="#1774B9"/>
    <s v="990-0512"/>
    <n v="99200012"/>
    <s v="T-1043"/>
    <s v="C-1019"/>
    <s v="FI-991"/>
    <s v="M-1044"/>
  </r>
  <r>
    <x v="512"/>
    <n v="990"/>
    <x v="0"/>
    <x v="1"/>
    <n v="13"/>
    <x v="36"/>
    <x v="1"/>
    <x v="1"/>
    <x v="13"/>
    <s v="Comuna"/>
    <s v="Puntaje promedio por tipo de establecimiento"/>
    <s v="Periodo 2015 - 2018"/>
    <s v="Puntaje"/>
    <s v="Agencia de Calidad de la Educación"/>
    <x v="512"/>
    <m/>
    <s v="Gráfico de Evolución"/>
    <s v="Región Metropolitana,SIMCE,basica,cuarto,educacion,puntaje,lectura,municipal,subvencionado,corporacion,lenguaje,particular"/>
    <x v="281"/>
    <s v="200-C-13"/>
    <s v="#1774B9"/>
    <s v="990-0513"/>
    <n v="99200013"/>
    <s v="T-1043"/>
    <s v="C-1019"/>
    <s v="FI-991"/>
    <s v="M-1044"/>
  </r>
  <r>
    <x v="513"/>
    <n v="990"/>
    <x v="0"/>
    <x v="1"/>
    <n v="14"/>
    <x v="36"/>
    <x v="1"/>
    <x v="1"/>
    <x v="14"/>
    <s v="Comuna"/>
    <s v="Puntaje promedio por tipo de establecimiento"/>
    <s v="Periodo 2015 - 2018"/>
    <s v="Puntaje"/>
    <s v="Agencia de Calidad de la Educación"/>
    <x v="513"/>
    <m/>
    <s v="Gráfico de Evolución"/>
    <s v="Región de Los Ríos,SIMCE,basica,cuarto,educacion,puntaje,lectura,municipal,subvencionado,corporacion,lenguaje,particular"/>
    <x v="281"/>
    <s v="100-C-14"/>
    <s v="#1774B9"/>
    <s v="990-0514"/>
    <n v="99200014"/>
    <s v="T-1043"/>
    <s v="C-1019"/>
    <s v="FI-991"/>
    <s v="M-1044"/>
  </r>
  <r>
    <x v="514"/>
    <n v="990"/>
    <x v="0"/>
    <x v="1"/>
    <n v="15"/>
    <x v="36"/>
    <x v="1"/>
    <x v="1"/>
    <x v="15"/>
    <s v="Comuna"/>
    <s v="Puntaje promedio por tipo de establecimiento"/>
    <s v="Periodo 2015 - 2018"/>
    <s v="Puntaje"/>
    <s v="Agencia de Calidad de la Educación"/>
    <x v="514"/>
    <m/>
    <s v="Gráfico de Evolución"/>
    <s v="Región de Arica y Parinacota,SIMCE,basica,cuarto,educacion,puntaje,lectura,municipal,subvencionado,corporacion,lenguaje,particular"/>
    <x v="281"/>
    <s v="100-C-15"/>
    <s v="#1774B9"/>
    <s v="990-0515"/>
    <n v="99200015"/>
    <s v="T-1043"/>
    <s v="C-1019"/>
    <s v="FI-991"/>
    <s v="M-1044"/>
  </r>
  <r>
    <x v="515"/>
    <n v="990"/>
    <x v="0"/>
    <x v="1"/>
    <n v="16"/>
    <x v="36"/>
    <x v="1"/>
    <x v="1"/>
    <x v="16"/>
    <s v="Comuna"/>
    <s v="Puntaje promedio por tipo de establecimiento"/>
    <s v="Periodo 2015 - 2018"/>
    <s v="Puntaje"/>
    <s v="Agencia de Calidad de la Educación"/>
    <x v="515"/>
    <m/>
    <s v="Gráfico de Evolución"/>
    <s v="Región de Ñuble,SIMCE,basica,cuarto,educacion,puntaje,lectura,municipal,subvencionado,corporacion,lenguaje,particular"/>
    <x v="281"/>
    <s v="100-C-16"/>
    <s v="#1774B9"/>
    <s v="990-0516"/>
    <n v="99200016"/>
    <s v="T-1043"/>
    <s v="C-1019"/>
    <s v="FI-991"/>
    <s v="M-1044"/>
  </r>
  <r>
    <x v="516"/>
    <n v="990"/>
    <x v="0"/>
    <x v="1"/>
    <n v="0"/>
    <x v="36"/>
    <x v="1"/>
    <x v="0"/>
    <x v="0"/>
    <s v="Región-Comuna"/>
    <s v="Puntaje promedio por comuna"/>
    <s v="Periodo 2015 - 2018"/>
    <s v="Puntaje"/>
    <s v="Agencia de Calidad de la Educación"/>
    <x v="516"/>
    <s v="Los colegios de áreas urbana, han obtenidos un puntaje promedio mayor en la prueba SIMCE de lectura tomada a los alumnos de 6° Básico, en los años 2015, 2016 y 2018, que aquellos colegios ubicados en áreas rurales, con diferentes puntajes según la región en la que se ubican."/>
    <s v="Gráfico de Evolución"/>
    <s v="Chile,SIMCE,basica,sexto,educacion,puntaje,lectura,rural,urbano,lenguaje"/>
    <x v="281"/>
    <s v="300-C"/>
    <s v="#1774B9"/>
    <s v="990-0517"/>
    <n v="99100000"/>
    <s v="T-1043"/>
    <s v="C-1019"/>
    <s v="FI-995"/>
    <s v="M-1045"/>
  </r>
  <r>
    <x v="517"/>
    <n v="990"/>
    <x v="0"/>
    <x v="1"/>
    <n v="1"/>
    <x v="36"/>
    <x v="1"/>
    <x v="1"/>
    <x v="1"/>
    <s v="Comuna"/>
    <s v="Puntaje promedio por comuna"/>
    <s v="Periodo 2015 - 2018"/>
    <s v="Puntaje"/>
    <s v="Agencia de Calidad de la Educación"/>
    <x v="517"/>
    <m/>
    <s v="Gráfico de Evolución"/>
    <s v="Región de Tarapacá,SIMCE,basica,sexto,educacion,puntaje,lectura,rural,urbano,lenguaje"/>
    <x v="281"/>
    <s v="100-C-1"/>
    <s v="#1774B9"/>
    <s v="990-0518"/>
    <n v="99200001"/>
    <s v="T-1043"/>
    <s v="C-1019"/>
    <s v="FI-991"/>
    <s v="M-1045"/>
  </r>
  <r>
    <x v="518"/>
    <n v="990"/>
    <x v="0"/>
    <x v="1"/>
    <n v="2"/>
    <x v="36"/>
    <x v="1"/>
    <x v="1"/>
    <x v="2"/>
    <s v="Comuna"/>
    <s v="Puntaje promedio por comuna"/>
    <s v="Periodo 2015 - 2018"/>
    <s v="Puntaje"/>
    <s v="Agencia de Calidad de la Educación"/>
    <x v="518"/>
    <m/>
    <s v="Gráfico de Evolución"/>
    <s v="Región de Antofagasta,SIMCE,basica,sexto,educacion,puntaje,lectura,rural,urbano,lenguaje"/>
    <x v="281"/>
    <s v="100-C-2"/>
    <s v="#1774B9"/>
    <s v="990-0519"/>
    <n v="99200002"/>
    <s v="T-1043"/>
    <s v="C-1019"/>
    <s v="FI-991"/>
    <s v="M-1045"/>
  </r>
  <r>
    <x v="519"/>
    <n v="990"/>
    <x v="0"/>
    <x v="1"/>
    <n v="3"/>
    <x v="36"/>
    <x v="1"/>
    <x v="1"/>
    <x v="3"/>
    <s v="Comuna"/>
    <s v="Puntaje promedio por comuna"/>
    <s v="Periodo 2015 - 2018"/>
    <s v="Puntaje"/>
    <s v="Agencia de Calidad de la Educación"/>
    <x v="519"/>
    <m/>
    <s v="Gráfico de Evolución"/>
    <s v="Región de Atacama,SIMCE,basica,sexto,educacion,puntaje,lectura,rural,urbano,lenguaje"/>
    <x v="281"/>
    <s v="100-C-3"/>
    <s v="#1774B9"/>
    <s v="990-0520"/>
    <n v="99200003"/>
    <s v="T-1043"/>
    <s v="C-1019"/>
    <s v="FI-991"/>
    <s v="M-1045"/>
  </r>
  <r>
    <x v="520"/>
    <n v="990"/>
    <x v="0"/>
    <x v="1"/>
    <n v="4"/>
    <x v="36"/>
    <x v="1"/>
    <x v="1"/>
    <x v="4"/>
    <s v="Comuna"/>
    <s v="Puntaje promedio por comuna"/>
    <s v="Periodo 2015 - 2018"/>
    <s v="Puntaje"/>
    <s v="Agencia de Calidad de la Educación"/>
    <x v="520"/>
    <m/>
    <s v="Gráfico de Evolución"/>
    <s v="Región de Coquimbo,SIMCE,basica,sexto,educacion,puntaje,lectura,rural,urbano,lenguaje"/>
    <x v="281"/>
    <s v="100-C-4"/>
    <s v="#1774B9"/>
    <s v="990-0521"/>
    <n v="99200004"/>
    <s v="T-1043"/>
    <s v="C-1019"/>
    <s v="FI-991"/>
    <s v="M-1045"/>
  </r>
  <r>
    <x v="521"/>
    <n v="990"/>
    <x v="0"/>
    <x v="1"/>
    <n v="5"/>
    <x v="36"/>
    <x v="1"/>
    <x v="1"/>
    <x v="5"/>
    <s v="Comuna"/>
    <s v="Puntaje promedio por comuna"/>
    <s v="Periodo 2015 - 2018"/>
    <s v="Puntaje"/>
    <s v="Agencia de Calidad de la Educación"/>
    <x v="521"/>
    <m/>
    <s v="Gráfico de Evolución"/>
    <s v="Región de Valparaíso,SIMCE,basica,sexto,educacion,puntaje,lectura,rural,urbano,lenguaje"/>
    <x v="281"/>
    <s v="100-C-5"/>
    <s v="#1774B9"/>
    <s v="990-0522"/>
    <n v="99200005"/>
    <s v="T-1043"/>
    <s v="C-1019"/>
    <s v="FI-991"/>
    <s v="M-1045"/>
  </r>
  <r>
    <x v="522"/>
    <n v="990"/>
    <x v="0"/>
    <x v="1"/>
    <n v="6"/>
    <x v="36"/>
    <x v="1"/>
    <x v="1"/>
    <x v="6"/>
    <s v="Comuna"/>
    <s v="Puntaje promedio por comuna"/>
    <s v="Periodo 2015 - 2018"/>
    <s v="Puntaje"/>
    <s v="Agencia de Calidad de la Educación"/>
    <x v="522"/>
    <m/>
    <s v="Gráfico de Evolución"/>
    <s v="Región de O'Higgins,SIMCE,basica,sexto,educacion,puntaje,lectura,rural,urbano,lenguaje"/>
    <x v="281"/>
    <s v="100-C-6"/>
    <s v="#1774B9"/>
    <s v="990-0523"/>
    <n v="99200006"/>
    <s v="T-1043"/>
    <s v="C-1019"/>
    <s v="FI-991"/>
    <s v="M-1045"/>
  </r>
  <r>
    <x v="523"/>
    <n v="990"/>
    <x v="0"/>
    <x v="1"/>
    <n v="7"/>
    <x v="36"/>
    <x v="1"/>
    <x v="1"/>
    <x v="7"/>
    <s v="Comuna"/>
    <s v="Puntaje promedio por comuna"/>
    <s v="Periodo 2015 - 2018"/>
    <s v="Puntaje"/>
    <s v="Agencia de Calidad de la Educación"/>
    <x v="523"/>
    <m/>
    <s v="Gráfico de Evolución"/>
    <s v="Región de Maule,SIMCE,basica,sexto,educacion,puntaje,lectura,rural,urbano,lenguaje"/>
    <x v="281"/>
    <s v="100-C-7"/>
    <s v="#1774B9"/>
    <s v="990-0524"/>
    <n v="99200007"/>
    <s v="T-1043"/>
    <s v="C-1019"/>
    <s v="FI-991"/>
    <s v="M-1045"/>
  </r>
  <r>
    <x v="524"/>
    <n v="990"/>
    <x v="0"/>
    <x v="1"/>
    <n v="8"/>
    <x v="36"/>
    <x v="1"/>
    <x v="1"/>
    <x v="8"/>
    <s v="Comuna"/>
    <s v="Puntaje promedio por comuna"/>
    <s v="Periodo 2015 - 2018"/>
    <s v="Puntaje"/>
    <s v="Agencia de Calidad de la Educación"/>
    <x v="524"/>
    <m/>
    <s v="Gráfico de Evolución"/>
    <s v="Región del Biobío,SIMCE,basica,sexto,educacion,puntaje,lectura,rural,urbano,lenguaje"/>
    <x v="281"/>
    <s v="100-C-8"/>
    <s v="#1774B9"/>
    <s v="990-0525"/>
    <n v="99200008"/>
    <s v="T-1043"/>
    <s v="C-1019"/>
    <s v="FI-991"/>
    <s v="M-1045"/>
  </r>
  <r>
    <x v="525"/>
    <n v="990"/>
    <x v="0"/>
    <x v="1"/>
    <n v="9"/>
    <x v="36"/>
    <x v="1"/>
    <x v="1"/>
    <x v="9"/>
    <s v="Comuna"/>
    <s v="Puntaje promedio por comuna"/>
    <s v="Periodo 2015 - 2018"/>
    <s v="Puntaje"/>
    <s v="Agencia de Calidad de la Educación"/>
    <x v="525"/>
    <m/>
    <s v="Gráfico de Evolución"/>
    <s v="Región de La Araucanía,SIMCE,basica,sexto,educacion,puntaje,lectura,rural,urbano,lenguaje"/>
    <x v="281"/>
    <s v="100-C-9"/>
    <s v="#1774B9"/>
    <s v="990-0526"/>
    <n v="99200009"/>
    <s v="T-1043"/>
    <s v="C-1019"/>
    <s v="FI-991"/>
    <s v="M-1045"/>
  </r>
  <r>
    <x v="526"/>
    <n v="990"/>
    <x v="0"/>
    <x v="1"/>
    <n v="10"/>
    <x v="36"/>
    <x v="1"/>
    <x v="1"/>
    <x v="10"/>
    <s v="Comuna"/>
    <s v="Puntaje promedio por comuna"/>
    <s v="Periodo 2015 - 2018"/>
    <s v="Puntaje"/>
    <s v="Agencia de Calidad de la Educación"/>
    <x v="526"/>
    <m/>
    <s v="Gráfico de Evolución"/>
    <s v="Región de Los Lagos,SIMCE,basica,sexto,educacion,puntaje,lectura,rural,urbano,lenguaje"/>
    <x v="281"/>
    <s v="100-C-10"/>
    <s v="#1774B9"/>
    <s v="990-0527"/>
    <n v="99200010"/>
    <s v="T-1043"/>
    <s v="C-1019"/>
    <s v="FI-991"/>
    <s v="M-1045"/>
  </r>
  <r>
    <x v="527"/>
    <n v="990"/>
    <x v="0"/>
    <x v="1"/>
    <n v="11"/>
    <x v="36"/>
    <x v="1"/>
    <x v="1"/>
    <x v="11"/>
    <s v="Comuna"/>
    <s v="Puntaje promedio por comuna"/>
    <s v="Periodo 2015 - 2018"/>
    <s v="Puntaje"/>
    <s v="Agencia de Calidad de la Educación"/>
    <x v="527"/>
    <m/>
    <s v="Gráfico de Evolución"/>
    <s v="Región de Aysén,SIMCE,basica,sexto,educacion,puntaje,lectura,rural,urbano,lenguaje"/>
    <x v="281"/>
    <s v="100-C-11"/>
    <s v="#1774B9"/>
    <s v="990-0528"/>
    <n v="99200011"/>
    <s v="T-1043"/>
    <s v="C-1019"/>
    <s v="FI-991"/>
    <s v="M-1045"/>
  </r>
  <r>
    <x v="528"/>
    <n v="990"/>
    <x v="0"/>
    <x v="1"/>
    <n v="12"/>
    <x v="36"/>
    <x v="1"/>
    <x v="1"/>
    <x v="12"/>
    <s v="Comuna"/>
    <s v="Puntaje promedio por comuna"/>
    <s v="Periodo 2015 - 2018"/>
    <s v="Puntaje"/>
    <s v="Agencia de Calidad de la Educación"/>
    <x v="528"/>
    <m/>
    <s v="Gráfico de Evolución"/>
    <s v="Región de Magallanes,SIMCE,basica,sexto,educacion,puntaje,lectura,rural,urbano,lenguaje"/>
    <x v="281"/>
    <s v="100-C-12"/>
    <s v="#1774B9"/>
    <s v="990-0529"/>
    <n v="99200012"/>
    <s v="T-1043"/>
    <s v="C-1019"/>
    <s v="FI-991"/>
    <s v="M-1045"/>
  </r>
  <r>
    <x v="529"/>
    <n v="990"/>
    <x v="0"/>
    <x v="1"/>
    <n v="13"/>
    <x v="36"/>
    <x v="1"/>
    <x v="1"/>
    <x v="13"/>
    <s v="Comuna"/>
    <s v="Puntaje promedio por comuna"/>
    <s v="Periodo 2015 - 2018"/>
    <s v="Puntaje"/>
    <s v="Agencia de Calidad de la Educación"/>
    <x v="529"/>
    <m/>
    <s v="Gráfico de Evolución"/>
    <s v="Región Metropolitana,SIMCE,basica,sexto,educacion,puntaje,lectura,rural,urbano,lenguaje"/>
    <x v="281"/>
    <s v="200-C-13"/>
    <s v="#1774B9"/>
    <s v="990-0530"/>
    <n v="99200013"/>
    <s v="T-1043"/>
    <s v="C-1019"/>
    <s v="FI-991"/>
    <s v="M-1045"/>
  </r>
  <r>
    <x v="530"/>
    <n v="990"/>
    <x v="0"/>
    <x v="1"/>
    <n v="14"/>
    <x v="36"/>
    <x v="1"/>
    <x v="1"/>
    <x v="14"/>
    <s v="Comuna"/>
    <s v="Puntaje promedio por comuna"/>
    <s v="Periodo 2015 - 2018"/>
    <s v="Puntaje"/>
    <s v="Agencia de Calidad de la Educación"/>
    <x v="530"/>
    <m/>
    <s v="Gráfico de Evolución"/>
    <s v="Región de Los Ríos,SIMCE,basica,sexto,educacion,puntaje,lectura,rural,urbano,lenguaje"/>
    <x v="281"/>
    <s v="100-C-14"/>
    <s v="#1774B9"/>
    <s v="990-0531"/>
    <n v="99200014"/>
    <s v="T-1043"/>
    <s v="C-1019"/>
    <s v="FI-991"/>
    <s v="M-1045"/>
  </r>
  <r>
    <x v="531"/>
    <n v="990"/>
    <x v="0"/>
    <x v="1"/>
    <n v="15"/>
    <x v="36"/>
    <x v="1"/>
    <x v="1"/>
    <x v="15"/>
    <s v="Comuna"/>
    <s v="Puntaje promedio por comuna"/>
    <s v="Periodo 2015 - 2018"/>
    <s v="Puntaje"/>
    <s v="Agencia de Calidad de la Educación"/>
    <x v="531"/>
    <m/>
    <s v="Gráfico de Evolución"/>
    <s v="Región de Arica y Parinacota,SIMCE,basica,sexto,educacion,puntaje,lectura,rural,urbano,lenguaje"/>
    <x v="281"/>
    <s v="100-C-15"/>
    <s v="#1774B9"/>
    <s v="990-0532"/>
    <n v="99200015"/>
    <s v="T-1043"/>
    <s v="C-1019"/>
    <s v="FI-991"/>
    <s v="M-1045"/>
  </r>
  <r>
    <x v="532"/>
    <n v="990"/>
    <x v="0"/>
    <x v="1"/>
    <n v="16"/>
    <x v="36"/>
    <x v="1"/>
    <x v="1"/>
    <x v="16"/>
    <s v="Comuna"/>
    <s v="Puntaje promedio por comuna"/>
    <s v="Periodo 2015 - 2018"/>
    <s v="Puntaje"/>
    <s v="Agencia de Calidad de la Educación"/>
    <x v="532"/>
    <m/>
    <s v="Gráfico de Evolución"/>
    <s v="Región de Ñuble,SIMCE,basica,sexto,educacion,puntaje,lectura,rural,urbano,lenguaje"/>
    <x v="281"/>
    <s v="100-C-16"/>
    <s v="#1774B9"/>
    <s v="990-0533"/>
    <n v="99200016"/>
    <s v="T-1043"/>
    <s v="C-1019"/>
    <s v="FI-991"/>
    <s v="M-1045"/>
  </r>
  <r>
    <x v="533"/>
    <n v="990"/>
    <x v="0"/>
    <x v="1"/>
    <n v="0"/>
    <x v="36"/>
    <x v="1"/>
    <x v="0"/>
    <x v="0"/>
    <s v="Región"/>
    <s v="Puntaje promedio y máximo por comuna"/>
    <s v="Año 2020"/>
    <s v="Puntaje"/>
    <s v="Agencia de Calidad de la Educación"/>
    <x v="533"/>
    <s v="La Comuna de Tortel es la que presenta un mayor puntaje promedio en la prueba SIMCE de lectura tomada a los alumnos de 8° Básico, el año 2020, obteniendo 160 puntos, y un puntaje máximo de 274 puntos, mientras que la comuna de Vitacura presenta un puntaje promedio de 154 puntos y un máximo de 306 puntos."/>
    <s v="Mapa de calor"/>
    <s v="Chile,SIMCE,basica,octavo,educacion,puntaje,lectura,promedio,maximo,lenguaje"/>
    <x v="416"/>
    <s v="300-C"/>
    <s v="#1774B9"/>
    <s v="990-0534"/>
    <n v="99100000"/>
    <s v="T-1043"/>
    <s v="C-1019"/>
    <s v="FI-992"/>
    <s v="M-1046"/>
  </r>
  <r>
    <x v="534"/>
    <n v="990"/>
    <x v="0"/>
    <x v="1"/>
    <n v="1"/>
    <x v="36"/>
    <x v="1"/>
    <x v="1"/>
    <x v="1"/>
    <s v="Ninguno"/>
    <s v="Puntaje promedio y máximo por comuna"/>
    <s v="Año 2020"/>
    <s v="Puntaje"/>
    <s v="Agencia de Calidad de la Educación"/>
    <x v="534"/>
    <m/>
    <s v="Mapa de calor"/>
    <s v="Región de Tarapacá,SIMCE,basica,octavo,educacion,puntaje,lectura,promedio,maximo,lenguaje"/>
    <x v="281"/>
    <s v="100-C-1"/>
    <s v="#1774B9"/>
    <s v="990-0535"/>
    <n v="99200001"/>
    <s v="T-1043"/>
    <s v="C-1019"/>
    <s v="FI-993"/>
    <s v="M-1046"/>
  </r>
  <r>
    <x v="535"/>
    <n v="990"/>
    <x v="0"/>
    <x v="1"/>
    <n v="2"/>
    <x v="36"/>
    <x v="1"/>
    <x v="1"/>
    <x v="2"/>
    <s v="Ninguno"/>
    <s v="Puntaje promedio y máximo por comuna"/>
    <s v="Año 2020"/>
    <s v="Puntaje"/>
    <s v="Agencia de Calidad de la Educación"/>
    <x v="535"/>
    <m/>
    <s v="Mapa de calor"/>
    <s v="Región de Antofagasta,SIMCE,basica,octavo,educacion,puntaje,lectura,promedio,maximo,lenguaje"/>
    <x v="281"/>
    <s v="100-C-2"/>
    <s v="#1774B9"/>
    <s v="990-0536"/>
    <n v="99200002"/>
    <s v="T-1043"/>
    <s v="C-1019"/>
    <s v="FI-993"/>
    <s v="M-1046"/>
  </r>
  <r>
    <x v="536"/>
    <n v="990"/>
    <x v="0"/>
    <x v="1"/>
    <n v="3"/>
    <x v="36"/>
    <x v="1"/>
    <x v="1"/>
    <x v="3"/>
    <s v="Ninguno"/>
    <s v="Puntaje promedio y máximo por comuna"/>
    <s v="Año 2020"/>
    <s v="Puntaje"/>
    <s v="Agencia de Calidad de la Educación"/>
    <x v="536"/>
    <m/>
    <s v="Mapa de calor"/>
    <s v="Región de Atacama,SIMCE,basica,octavo,educacion,puntaje,lectura,promedio,maximo,lenguaje"/>
    <x v="281"/>
    <s v="100-C-3"/>
    <s v="#1774B9"/>
    <s v="990-0537"/>
    <n v="99200003"/>
    <s v="T-1043"/>
    <s v="C-1019"/>
    <s v="FI-993"/>
    <s v="M-1046"/>
  </r>
  <r>
    <x v="537"/>
    <n v="990"/>
    <x v="0"/>
    <x v="1"/>
    <n v="4"/>
    <x v="36"/>
    <x v="1"/>
    <x v="1"/>
    <x v="4"/>
    <s v="Ninguno"/>
    <s v="Puntaje promedio y máximo por comuna"/>
    <s v="Año 2020"/>
    <s v="Puntaje"/>
    <s v="Agencia de Calidad de la Educación"/>
    <x v="537"/>
    <m/>
    <s v="Mapa de calor"/>
    <s v="Región de Coquimbo,SIMCE,basica,octavo,educacion,puntaje,lectura,promedio,maximo,lenguaje"/>
    <x v="281"/>
    <s v="100-C-4"/>
    <s v="#1774B9"/>
    <s v="990-0538"/>
    <n v="99200004"/>
    <s v="T-1043"/>
    <s v="C-1019"/>
    <s v="FI-993"/>
    <s v="M-1046"/>
  </r>
  <r>
    <x v="538"/>
    <n v="990"/>
    <x v="0"/>
    <x v="1"/>
    <n v="5"/>
    <x v="36"/>
    <x v="1"/>
    <x v="1"/>
    <x v="5"/>
    <s v="Ninguno"/>
    <s v="Puntaje promedio y máximo por comuna"/>
    <s v="Año 2020"/>
    <s v="Puntaje"/>
    <s v="Agencia de Calidad de la Educación"/>
    <x v="538"/>
    <m/>
    <s v="Mapa de calor"/>
    <s v="Región de Valparaíso,SIMCE,basica,octavo,educacion,puntaje,lectura,promedio,maximo,lenguaje"/>
    <x v="281"/>
    <s v="100-C-5"/>
    <s v="#1774B9"/>
    <s v="990-0539"/>
    <n v="99200005"/>
    <s v="T-1043"/>
    <s v="C-1019"/>
    <s v="FI-993"/>
    <s v="M-1046"/>
  </r>
  <r>
    <x v="539"/>
    <n v="990"/>
    <x v="0"/>
    <x v="1"/>
    <n v="6"/>
    <x v="36"/>
    <x v="1"/>
    <x v="1"/>
    <x v="6"/>
    <s v="Ninguno"/>
    <s v="Puntaje promedio y máximo por comuna"/>
    <s v="Año 2020"/>
    <s v="Puntaje"/>
    <s v="Agencia de Calidad de la Educación"/>
    <x v="539"/>
    <m/>
    <s v="Mapa de calor"/>
    <s v="Región de O'Higgins,SIMCE,basica,octavo,educacion,puntaje,lectura,promedio,maximo,lenguaje"/>
    <x v="281"/>
    <s v="100-C-6"/>
    <s v="#1774B9"/>
    <s v="990-0540"/>
    <n v="99200006"/>
    <s v="T-1043"/>
    <s v="C-1019"/>
    <s v="FI-993"/>
    <s v="M-1046"/>
  </r>
  <r>
    <x v="540"/>
    <n v="990"/>
    <x v="0"/>
    <x v="1"/>
    <n v="7"/>
    <x v="36"/>
    <x v="1"/>
    <x v="1"/>
    <x v="7"/>
    <s v="Ninguno"/>
    <s v="Puntaje promedio y máximo por comuna"/>
    <s v="Año 2020"/>
    <s v="Puntaje"/>
    <s v="Agencia de Calidad de la Educación"/>
    <x v="540"/>
    <m/>
    <s v="Mapa de calor"/>
    <s v="Región de Maule,SIMCE,basica,octavo,educacion,puntaje,lectura,promedio,maximo,lenguaje"/>
    <x v="281"/>
    <s v="100-C-7"/>
    <s v="#1774B9"/>
    <s v="990-0541"/>
    <n v="99200007"/>
    <s v="T-1043"/>
    <s v="C-1019"/>
    <s v="FI-993"/>
    <s v="M-1046"/>
  </r>
  <r>
    <x v="541"/>
    <n v="990"/>
    <x v="0"/>
    <x v="1"/>
    <n v="8"/>
    <x v="36"/>
    <x v="1"/>
    <x v="1"/>
    <x v="8"/>
    <s v="Ninguno"/>
    <s v="Puntaje promedio y máximo por comuna"/>
    <s v="Año 2020"/>
    <s v="Puntaje"/>
    <s v="Agencia de Calidad de la Educación"/>
    <x v="541"/>
    <m/>
    <s v="Mapa de calor"/>
    <s v="Región del Biobío,SIMCE,basica,octavo,educacion,puntaje,lectura,promedio,maximo,lenguaje"/>
    <x v="281"/>
    <s v="100-C-8"/>
    <s v="#1774B9"/>
    <s v="990-0542"/>
    <n v="99200008"/>
    <s v="T-1043"/>
    <s v="C-1019"/>
    <s v="FI-993"/>
    <s v="M-1046"/>
  </r>
  <r>
    <x v="542"/>
    <n v="990"/>
    <x v="0"/>
    <x v="1"/>
    <n v="9"/>
    <x v="36"/>
    <x v="1"/>
    <x v="1"/>
    <x v="9"/>
    <s v="Ninguno"/>
    <s v="Puntaje promedio y máximo por comuna"/>
    <s v="Año 2020"/>
    <s v="Puntaje"/>
    <s v="Agencia de Calidad de la Educación"/>
    <x v="542"/>
    <m/>
    <s v="Mapa de calor"/>
    <s v="Región de La Araucanía,SIMCE,basica,octavo,educacion,puntaje,lectura,promedio,maximo,lenguaje"/>
    <x v="281"/>
    <s v="100-C-9"/>
    <s v="#1774B9"/>
    <s v="990-0543"/>
    <n v="99200009"/>
    <s v="T-1043"/>
    <s v="C-1019"/>
    <s v="FI-993"/>
    <s v="M-1046"/>
  </r>
  <r>
    <x v="543"/>
    <n v="990"/>
    <x v="0"/>
    <x v="1"/>
    <n v="10"/>
    <x v="36"/>
    <x v="1"/>
    <x v="1"/>
    <x v="10"/>
    <s v="Ninguno"/>
    <s v="Puntaje promedio y máximo por comuna"/>
    <s v="Año 2020"/>
    <s v="Puntaje"/>
    <s v="Agencia de Calidad de la Educación"/>
    <x v="543"/>
    <m/>
    <s v="Mapa de calor"/>
    <s v="Región de Los Lagos,SIMCE,basica,octavo,educacion,puntaje,lectura,promedio,maximo,lenguaje"/>
    <x v="281"/>
    <s v="100-C-10"/>
    <s v="#1774B9"/>
    <s v="990-0544"/>
    <n v="99200010"/>
    <s v="T-1043"/>
    <s v="C-1019"/>
    <s v="FI-993"/>
    <s v="M-1046"/>
  </r>
  <r>
    <x v="544"/>
    <n v="990"/>
    <x v="0"/>
    <x v="1"/>
    <n v="11"/>
    <x v="36"/>
    <x v="1"/>
    <x v="1"/>
    <x v="11"/>
    <s v="Ninguno"/>
    <s v="Puntaje promedio y máximo por comuna"/>
    <s v="Año 2020"/>
    <s v="Puntaje"/>
    <s v="Agencia de Calidad de la Educación"/>
    <x v="544"/>
    <m/>
    <s v="Mapa de calor"/>
    <s v="Región de Aysén,SIMCE,basica,octavo,educacion,puntaje,lectura,promedio,maximo,lenguaje"/>
    <x v="281"/>
    <s v="100-C-11"/>
    <s v="#1774B9"/>
    <s v="990-0545"/>
    <n v="99200011"/>
    <s v="T-1043"/>
    <s v="C-1019"/>
    <s v="FI-993"/>
    <s v="M-1046"/>
  </r>
  <r>
    <x v="545"/>
    <n v="990"/>
    <x v="0"/>
    <x v="1"/>
    <n v="12"/>
    <x v="36"/>
    <x v="1"/>
    <x v="1"/>
    <x v="12"/>
    <s v="Ninguno"/>
    <s v="Puntaje promedio y máximo por comuna"/>
    <s v="Año 2020"/>
    <s v="Puntaje"/>
    <s v="Agencia de Calidad de la Educación"/>
    <x v="545"/>
    <m/>
    <s v="Mapa de calor"/>
    <s v="Región de Magallanes,SIMCE,basica,octavo,educacion,puntaje,lectura,promedio,maximo,lenguaje"/>
    <x v="281"/>
    <s v="100-C-12"/>
    <s v="#1774B9"/>
    <s v="990-0546"/>
    <n v="99200012"/>
    <s v="T-1043"/>
    <s v="C-1019"/>
    <s v="FI-993"/>
    <s v="M-1046"/>
  </r>
  <r>
    <x v="546"/>
    <n v="990"/>
    <x v="0"/>
    <x v="1"/>
    <n v="13"/>
    <x v="36"/>
    <x v="1"/>
    <x v="1"/>
    <x v="13"/>
    <s v="Ninguno"/>
    <s v="Puntaje promedio y máximo por comuna"/>
    <s v="Año 2020"/>
    <s v="Puntaje"/>
    <s v="Agencia de Calidad de la Educación"/>
    <x v="546"/>
    <m/>
    <s v="Mapa de calor"/>
    <s v="Región Metropolitana,SIMCE,basica,octavo,educacion,puntaje,lectura,promedio,maximo,lenguaje"/>
    <x v="281"/>
    <s v="200-C-13"/>
    <s v="#1774B9"/>
    <s v="990-0547"/>
    <n v="99200013"/>
    <s v="T-1043"/>
    <s v="C-1019"/>
    <s v="FI-993"/>
    <s v="M-1046"/>
  </r>
  <r>
    <x v="547"/>
    <n v="990"/>
    <x v="0"/>
    <x v="1"/>
    <n v="14"/>
    <x v="36"/>
    <x v="1"/>
    <x v="1"/>
    <x v="14"/>
    <s v="Ninguno"/>
    <s v="Puntaje promedio y máximo por comuna"/>
    <s v="Año 2020"/>
    <s v="Puntaje"/>
    <s v="Agencia de Calidad de la Educación"/>
    <x v="547"/>
    <m/>
    <s v="Mapa de calor"/>
    <s v="Región de Los Ríos,SIMCE,basica,octavo,educacion,puntaje,lectura,promedio,maximo,lenguaje"/>
    <x v="281"/>
    <s v="100-C-14"/>
    <s v="#1774B9"/>
    <s v="990-0548"/>
    <n v="99200014"/>
    <s v="T-1043"/>
    <s v="C-1019"/>
    <s v="FI-993"/>
    <s v="M-1046"/>
  </r>
  <r>
    <x v="548"/>
    <n v="990"/>
    <x v="0"/>
    <x v="1"/>
    <n v="15"/>
    <x v="36"/>
    <x v="1"/>
    <x v="1"/>
    <x v="15"/>
    <s v="Ninguno"/>
    <s v="Puntaje promedio y máximo por comuna"/>
    <s v="Año 2020"/>
    <s v="Puntaje"/>
    <s v="Agencia de Calidad de la Educación"/>
    <x v="548"/>
    <m/>
    <s v="Mapa de calor"/>
    <s v="Región de Arica y Parinacota,SIMCE,basica,octavo,educacion,puntaje,lectura,promedio,maximo,lenguaje"/>
    <x v="281"/>
    <s v="100-C-15"/>
    <s v="#1774B9"/>
    <s v="990-0549"/>
    <n v="99200015"/>
    <s v="T-1043"/>
    <s v="C-1019"/>
    <s v="FI-993"/>
    <s v="M-1046"/>
  </r>
  <r>
    <x v="549"/>
    <n v="990"/>
    <x v="0"/>
    <x v="1"/>
    <n v="16"/>
    <x v="36"/>
    <x v="1"/>
    <x v="1"/>
    <x v="16"/>
    <s v="Ninguno"/>
    <s v="Puntaje promedio y máximo por comuna"/>
    <s v="Año 2020"/>
    <s v="Puntaje"/>
    <s v="Agencia de Calidad de la Educación"/>
    <x v="549"/>
    <m/>
    <s v="Mapa de calor"/>
    <s v="Región de Ñuble,SIMCE,basica,octavo,educacion,puntaje,lectura,promedio,maximo,lenguaje"/>
    <x v="281"/>
    <s v="100-C-16"/>
    <s v="#1774B9"/>
    <s v="990-0550"/>
    <n v="99200016"/>
    <s v="T-1043"/>
    <s v="C-1019"/>
    <s v="FI-993"/>
    <s v="M-1046"/>
  </r>
  <r>
    <x v="550"/>
    <n v="990"/>
    <x v="0"/>
    <x v="1"/>
    <n v="0"/>
    <x v="37"/>
    <x v="1"/>
    <x v="0"/>
    <x v="0"/>
    <s v="Región"/>
    <s v="Puntaje por dependencia de establecimientos por región"/>
    <s v="Periodo 2014 - 2019"/>
    <s v="Puntaje"/>
    <s v="Agencia de Calidad de la Educación"/>
    <x v="550"/>
    <s v="Durante el periodo comprendido entre los años 2014 al 2019, los establecimientos de educación Municipal muestran una disminución, hacia el fin del periodo, en el puntaje del indicador de Participación y formación ciudadana, que mide las percepciones de estudiantes y padres y apoderados sobre el grado en que la institución fomenta la participación y el compromiso de los miembros de la comunidad educativa."/>
    <s v="Gráfico de Evolución"/>
    <s v="Chile,calidad,educacion,puntaje,municipal,subvencionado,corporacion,particular,indicador,participacion,formacion,ciudadana"/>
    <x v="417"/>
    <s v="300-R"/>
    <s v="#1774B9"/>
    <s v="990-0551"/>
    <n v="99100000"/>
    <s v="T-1063"/>
    <s v="C-1019"/>
    <s v="FI-992"/>
    <s v="M-1047"/>
  </r>
  <r>
    <x v="551"/>
    <n v="990"/>
    <x v="0"/>
    <x v="1"/>
    <n v="1"/>
    <x v="37"/>
    <x v="1"/>
    <x v="1"/>
    <x v="1"/>
    <s v="Ninguno"/>
    <s v="Puntaje por dependencia de establecimientos por región"/>
    <s v="Periodo 2014 - 2019"/>
    <s v="Puntaje"/>
    <s v="Agencia de Calidad de la Educación"/>
    <x v="551"/>
    <m/>
    <s v="Gráfico de Evolución"/>
    <s v="Región de Tarapacá,calidad,educacion,puntaje,municipal,subvencionado,corporacion,particular,indicador,participacion,formacion,ciudadana"/>
    <x v="281"/>
    <s v="100-R-1"/>
    <s v="#1774B9"/>
    <s v="990-0552"/>
    <n v="99200001"/>
    <s v="T-1063"/>
    <s v="C-1019"/>
    <s v="FI-993"/>
    <s v="M-1047"/>
  </r>
  <r>
    <x v="552"/>
    <n v="990"/>
    <x v="0"/>
    <x v="1"/>
    <n v="2"/>
    <x v="37"/>
    <x v="1"/>
    <x v="1"/>
    <x v="2"/>
    <s v="Ninguno"/>
    <s v="Puntaje por dependencia de establecimientos por región"/>
    <s v="Periodo 2014 - 2019"/>
    <s v="Puntaje"/>
    <s v="Agencia de Calidad de la Educación"/>
    <x v="552"/>
    <m/>
    <s v="Gráfico de Evolución"/>
    <s v="Región de Antofagasta,calidad,educacion,puntaje,municipal,subvencionado,corporacion,particular,indicador,participacion,formacion,ciudadana"/>
    <x v="281"/>
    <s v="100-R-2"/>
    <s v="#1774B9"/>
    <s v="990-0553"/>
    <n v="99200002"/>
    <s v="T-1063"/>
    <s v="C-1019"/>
    <s v="FI-993"/>
    <s v="M-1047"/>
  </r>
  <r>
    <x v="553"/>
    <n v="990"/>
    <x v="0"/>
    <x v="1"/>
    <n v="3"/>
    <x v="37"/>
    <x v="1"/>
    <x v="1"/>
    <x v="3"/>
    <s v="Ninguno"/>
    <s v="Puntaje por dependencia de establecimientos por región"/>
    <s v="Periodo 2014 - 2019"/>
    <s v="Puntaje"/>
    <s v="Agencia de Calidad de la Educación"/>
    <x v="553"/>
    <m/>
    <s v="Gráfico de Evolución"/>
    <s v="Región de Atacama,calidad,educacion,puntaje,municipal,subvencionado,corporacion,particular,indicador,participacion,formacion,ciudadana"/>
    <x v="281"/>
    <s v="100-R-3"/>
    <s v="#1774B9"/>
    <s v="990-0554"/>
    <n v="99200003"/>
    <s v="T-1063"/>
    <s v="C-1019"/>
    <s v="FI-993"/>
    <s v="M-1047"/>
  </r>
  <r>
    <x v="554"/>
    <n v="990"/>
    <x v="0"/>
    <x v="1"/>
    <n v="4"/>
    <x v="37"/>
    <x v="1"/>
    <x v="1"/>
    <x v="4"/>
    <s v="Ninguno"/>
    <s v="Puntaje por dependencia de establecimientos por región"/>
    <s v="Periodo 2014 - 2019"/>
    <s v="Puntaje"/>
    <s v="Agencia de Calidad de la Educación"/>
    <x v="554"/>
    <m/>
    <s v="Gráfico de Evolución"/>
    <s v="Región de Coquimbo,calidad,educacion,puntaje,municipal,subvencionado,corporacion,particular,indicador,participacion,formacion,ciudadana"/>
    <x v="281"/>
    <s v="100-R-4"/>
    <s v="#1774B9"/>
    <s v="990-0555"/>
    <n v="99200004"/>
    <s v="T-1063"/>
    <s v="C-1019"/>
    <s v="FI-993"/>
    <s v="M-1047"/>
  </r>
  <r>
    <x v="555"/>
    <n v="990"/>
    <x v="0"/>
    <x v="1"/>
    <n v="5"/>
    <x v="37"/>
    <x v="1"/>
    <x v="1"/>
    <x v="5"/>
    <s v="Ninguno"/>
    <s v="Puntaje por dependencia de establecimientos por región"/>
    <s v="Periodo 2014 - 2019"/>
    <s v="Puntaje"/>
    <s v="Agencia de Calidad de la Educación"/>
    <x v="555"/>
    <m/>
    <s v="Gráfico de Evolución"/>
    <s v="Región de Valparaíso,calidad,educacion,puntaje,municipal,subvencionado,corporacion,particular,indicador,participacion,formacion,ciudadana"/>
    <x v="281"/>
    <s v="100-R-5"/>
    <s v="#1774B9"/>
    <s v="990-0556"/>
    <n v="99200005"/>
    <s v="T-1063"/>
    <s v="C-1019"/>
    <s v="FI-993"/>
    <s v="M-1047"/>
  </r>
  <r>
    <x v="556"/>
    <n v="990"/>
    <x v="0"/>
    <x v="1"/>
    <n v="6"/>
    <x v="37"/>
    <x v="1"/>
    <x v="1"/>
    <x v="6"/>
    <s v="Ninguno"/>
    <s v="Puntaje por dependencia de establecimientos por región"/>
    <s v="Periodo 2014 - 2019"/>
    <s v="Puntaje"/>
    <s v="Agencia de Calidad de la Educación"/>
    <x v="556"/>
    <m/>
    <s v="Gráfico de Evolución"/>
    <s v="Región de O'Higgins,calidad,educacion,puntaje,municipal,subvencionado,corporacion,particular,indicador,participacion,formacion,ciudadana"/>
    <x v="281"/>
    <s v="100-R-6"/>
    <s v="#1774B9"/>
    <s v="990-0557"/>
    <n v="99200006"/>
    <s v="T-1063"/>
    <s v="C-1019"/>
    <s v="FI-993"/>
    <s v="M-1047"/>
  </r>
  <r>
    <x v="557"/>
    <n v="990"/>
    <x v="0"/>
    <x v="1"/>
    <n v="7"/>
    <x v="37"/>
    <x v="1"/>
    <x v="1"/>
    <x v="7"/>
    <s v="Ninguno"/>
    <s v="Puntaje por dependencia de establecimientos por región"/>
    <s v="Periodo 2014 - 2019"/>
    <s v="Puntaje"/>
    <s v="Agencia de Calidad de la Educación"/>
    <x v="557"/>
    <m/>
    <s v="Gráfico de Evolución"/>
    <s v="Región de Maule,calidad,educacion,puntaje,municipal,subvencionado,corporacion,particular,indicador,participacion,formacion,ciudadana"/>
    <x v="281"/>
    <s v="100-R-7"/>
    <s v="#1774B9"/>
    <s v="990-0558"/>
    <n v="99200007"/>
    <s v="T-1063"/>
    <s v="C-1019"/>
    <s v="FI-993"/>
    <s v="M-1047"/>
  </r>
  <r>
    <x v="558"/>
    <n v="990"/>
    <x v="0"/>
    <x v="1"/>
    <n v="8"/>
    <x v="37"/>
    <x v="1"/>
    <x v="1"/>
    <x v="8"/>
    <s v="Ninguno"/>
    <s v="Puntaje por dependencia de establecimientos por región"/>
    <s v="Periodo 2014 - 2019"/>
    <s v="Puntaje"/>
    <s v="Agencia de Calidad de la Educación"/>
    <x v="558"/>
    <m/>
    <s v="Gráfico de Evolución"/>
    <s v="Región del Biobío,calidad,educacion,puntaje,municipal,subvencionado,corporacion,particular,indicador,participacion,formacion,ciudadana"/>
    <x v="281"/>
    <s v="100-R-8"/>
    <s v="#1774B9"/>
    <s v="990-0559"/>
    <n v="99200008"/>
    <s v="T-1063"/>
    <s v="C-1019"/>
    <s v="FI-993"/>
    <s v="M-1047"/>
  </r>
  <r>
    <x v="559"/>
    <n v="990"/>
    <x v="0"/>
    <x v="1"/>
    <n v="9"/>
    <x v="37"/>
    <x v="1"/>
    <x v="1"/>
    <x v="9"/>
    <s v="Ninguno"/>
    <s v="Puntaje por dependencia de establecimientos por región"/>
    <s v="Periodo 2014 - 2019"/>
    <s v="Puntaje"/>
    <s v="Agencia de Calidad de la Educación"/>
    <x v="559"/>
    <m/>
    <s v="Gráfico de Evolución"/>
    <s v="Región de La Araucanía,calidad,educacion,puntaje,municipal,subvencionado,corporacion,particular,indicador,participacion,formacion,ciudadana"/>
    <x v="281"/>
    <s v="100-R-9"/>
    <s v="#1774B9"/>
    <s v="990-0560"/>
    <n v="99200009"/>
    <s v="T-1063"/>
    <s v="C-1019"/>
    <s v="FI-993"/>
    <s v="M-1047"/>
  </r>
  <r>
    <x v="560"/>
    <n v="990"/>
    <x v="0"/>
    <x v="1"/>
    <n v="10"/>
    <x v="37"/>
    <x v="1"/>
    <x v="1"/>
    <x v="10"/>
    <s v="Ninguno"/>
    <s v="Puntaje por dependencia de establecimientos por región"/>
    <s v="Periodo 2014 - 2019"/>
    <s v="Puntaje"/>
    <s v="Agencia de Calidad de la Educación"/>
    <x v="560"/>
    <m/>
    <s v="Gráfico de Evolución"/>
    <s v="Región de Los Lagos,calidad,educacion,puntaje,municipal,subvencionado,corporacion,particular,indicador,participacion,formacion,ciudadana"/>
    <x v="281"/>
    <s v="100-R-10"/>
    <s v="#1774B9"/>
    <s v="990-0561"/>
    <n v="99200010"/>
    <s v="T-1063"/>
    <s v="C-1019"/>
    <s v="FI-993"/>
    <s v="M-1047"/>
  </r>
  <r>
    <x v="561"/>
    <n v="990"/>
    <x v="0"/>
    <x v="1"/>
    <n v="11"/>
    <x v="37"/>
    <x v="1"/>
    <x v="1"/>
    <x v="11"/>
    <s v="Ninguno"/>
    <s v="Puntaje por dependencia de establecimientos por región"/>
    <s v="Periodo 2014 - 2019"/>
    <s v="Puntaje"/>
    <s v="Agencia de Calidad de la Educación"/>
    <x v="561"/>
    <m/>
    <s v="Gráfico de Evolución"/>
    <s v="Región de Aysén,calidad,educacion,puntaje,municipal,subvencionado,corporacion,particular,indicador,participacion,formacion,ciudadana"/>
    <x v="281"/>
    <s v="100-R-11"/>
    <s v="#1774B9"/>
    <s v="990-0562"/>
    <n v="99200011"/>
    <s v="T-1063"/>
    <s v="C-1019"/>
    <s v="FI-993"/>
    <s v="M-1047"/>
  </r>
  <r>
    <x v="562"/>
    <n v="990"/>
    <x v="0"/>
    <x v="1"/>
    <n v="12"/>
    <x v="37"/>
    <x v="1"/>
    <x v="1"/>
    <x v="12"/>
    <s v="Ninguno"/>
    <s v="Puntaje por dependencia de establecimientos por región"/>
    <s v="Periodo 2014 - 2019"/>
    <s v="Puntaje"/>
    <s v="Agencia de Calidad de la Educación"/>
    <x v="562"/>
    <m/>
    <s v="Gráfico de Evolución"/>
    <s v="Región de Magallanes,calidad,educacion,puntaje,municipal,subvencionado,corporacion,particular,indicador,participacion,formacion,ciudadana"/>
    <x v="281"/>
    <s v="100-R-12"/>
    <s v="#1774B9"/>
    <s v="990-0563"/>
    <n v="99200012"/>
    <s v="T-1063"/>
    <s v="C-1019"/>
    <s v="FI-993"/>
    <s v="M-1047"/>
  </r>
  <r>
    <x v="563"/>
    <n v="990"/>
    <x v="0"/>
    <x v="1"/>
    <n v="13"/>
    <x v="37"/>
    <x v="1"/>
    <x v="1"/>
    <x v="13"/>
    <s v="Ninguno"/>
    <s v="Puntaje por dependencia de establecimientos por región"/>
    <s v="Periodo 2014 - 2019"/>
    <s v="Puntaje"/>
    <s v="Agencia de Calidad de la Educación"/>
    <x v="563"/>
    <m/>
    <s v="Gráfico de Evolución"/>
    <s v="Región Metropolitana,calidad,educacion,puntaje,municipal,subvencionado,corporacion,particular,indicador,participacion,formacion,ciudadana"/>
    <x v="281"/>
    <s v="200-R-13"/>
    <s v="#1774B9"/>
    <s v="990-0564"/>
    <n v="99200013"/>
    <s v="T-1063"/>
    <s v="C-1019"/>
    <s v="FI-993"/>
    <s v="M-1047"/>
  </r>
  <r>
    <x v="564"/>
    <n v="990"/>
    <x v="0"/>
    <x v="1"/>
    <n v="14"/>
    <x v="37"/>
    <x v="1"/>
    <x v="1"/>
    <x v="14"/>
    <s v="Ninguno"/>
    <s v="Puntaje por dependencia de establecimientos por región"/>
    <s v="Periodo 2014 - 2019"/>
    <s v="Puntaje"/>
    <s v="Agencia de Calidad de la Educación"/>
    <x v="564"/>
    <m/>
    <s v="Gráfico de Evolución"/>
    <s v="Región de Los Ríos,calidad,educacion,puntaje,municipal,subvencionado,corporacion,particular,indicador,participacion,formacion,ciudadana"/>
    <x v="281"/>
    <s v="100-R-14"/>
    <s v="#1774B9"/>
    <s v="990-0565"/>
    <n v="99200014"/>
    <s v="T-1063"/>
    <s v="C-1019"/>
    <s v="FI-993"/>
    <s v="M-1047"/>
  </r>
  <r>
    <x v="565"/>
    <n v="990"/>
    <x v="0"/>
    <x v="1"/>
    <n v="15"/>
    <x v="37"/>
    <x v="1"/>
    <x v="1"/>
    <x v="15"/>
    <s v="Ninguno"/>
    <s v="Puntaje por dependencia de establecimientos por región"/>
    <s v="Periodo 2014 - 2019"/>
    <s v="Puntaje"/>
    <s v="Agencia de Calidad de la Educación"/>
    <x v="565"/>
    <m/>
    <s v="Gráfico de Evolución"/>
    <s v="Región de Arica y Parinacota,calidad,educacion,puntaje,municipal,subvencionado,corporacion,particular,indicador,participacion,formacion,ciudadana"/>
    <x v="281"/>
    <s v="100-R-15"/>
    <s v="#1774B9"/>
    <s v="990-0566"/>
    <n v="99200015"/>
    <s v="T-1063"/>
    <s v="C-1019"/>
    <s v="FI-993"/>
    <s v="M-1047"/>
  </r>
  <r>
    <x v="566"/>
    <n v="990"/>
    <x v="0"/>
    <x v="1"/>
    <n v="16"/>
    <x v="37"/>
    <x v="1"/>
    <x v="1"/>
    <x v="16"/>
    <s v="Ninguno"/>
    <s v="Puntaje por dependencia de establecimientos por región"/>
    <s v="Periodo 2014 - 2019"/>
    <s v="Puntaje"/>
    <s v="Agencia de Calidad de la Educación"/>
    <x v="566"/>
    <m/>
    <s v="Gráfico de Evolución"/>
    <s v="Región de Ñuble,calidad,educacion,puntaje,municipal,subvencionado,corporacion,particular,indicador,participacion,formacion,ciudadana"/>
    <x v="281"/>
    <s v="100-R-16"/>
    <s v="#1774B9"/>
    <s v="990-0567"/>
    <n v="99200016"/>
    <s v="T-1063"/>
    <s v="C-1019"/>
    <s v="FI-993"/>
    <s v="M-1047"/>
  </r>
  <r>
    <x v="567"/>
    <n v="990"/>
    <x v="0"/>
    <x v="2"/>
    <n v="0"/>
    <x v="38"/>
    <x v="2"/>
    <x v="0"/>
    <x v="0"/>
    <s v="Región"/>
    <s v="Cantidad de víctimas por edad"/>
    <s v="Periodo 2010-2021"/>
    <s v="Número de víctimas"/>
    <s v="POR DEFINIR"/>
    <x v="567"/>
    <s v="Entre los 0 y 95 años se registran victimas de femicidio a partir del año 2010 a la fecha, concentrándose la mayor cantidad de víctimas en el rango etario comprendido entre los 16 y los 54 años."/>
    <s v="Gráfico"/>
    <s v="Chile,femicidio,edad,victima,mujer"/>
    <x v="418"/>
    <s v="300-R"/>
    <s v="#1774B9"/>
    <s v="990-0568"/>
    <n v="99100000"/>
    <s v="T-1044"/>
    <s v="C-996"/>
    <s v="FI-992"/>
    <s v="M-1048"/>
  </r>
  <r>
    <x v="568"/>
    <n v="990"/>
    <x v="0"/>
    <x v="2"/>
    <n v="1"/>
    <x v="38"/>
    <x v="2"/>
    <x v="1"/>
    <x v="1"/>
    <s v="Región"/>
    <s v="Cantidad de víctimas por edad"/>
    <s v="Periodo 2010-2021"/>
    <s v="Número de víctimas"/>
    <s v="POR DEFINIR"/>
    <x v="568"/>
    <m/>
    <s v="Gráfico"/>
    <s v="Región de Tarapacá,femicidio,edad,victima,mujer"/>
    <x v="281"/>
    <s v="100-R-1"/>
    <s v="#1774B9"/>
    <s v="990-0569"/>
    <n v="99200001"/>
    <s v="T-1044"/>
    <s v="C-996"/>
    <s v="FI-992"/>
    <s v="M-1048"/>
  </r>
  <r>
    <x v="569"/>
    <n v="990"/>
    <x v="0"/>
    <x v="2"/>
    <n v="2"/>
    <x v="38"/>
    <x v="2"/>
    <x v="1"/>
    <x v="2"/>
    <s v="Región"/>
    <s v="Cantidad de víctimas por edad"/>
    <s v="Periodo 2010-2021"/>
    <s v="Número de víctimas"/>
    <s v="POR DEFINIR"/>
    <x v="569"/>
    <m/>
    <s v="Gráfico"/>
    <s v="Región de Antofagasta,femicidio,edad,victima,mujer"/>
    <x v="281"/>
    <s v="100-R-2"/>
    <s v="#1774B9"/>
    <s v="990-0570"/>
    <n v="99200002"/>
    <s v="T-1044"/>
    <s v="C-996"/>
    <s v="FI-992"/>
    <s v="M-1048"/>
  </r>
  <r>
    <x v="570"/>
    <n v="990"/>
    <x v="0"/>
    <x v="2"/>
    <n v="3"/>
    <x v="38"/>
    <x v="2"/>
    <x v="1"/>
    <x v="3"/>
    <s v="Región"/>
    <s v="Cantidad de víctimas por edad"/>
    <s v="Periodo 2010-2021"/>
    <s v="Número de víctimas"/>
    <s v="POR DEFINIR"/>
    <x v="570"/>
    <m/>
    <s v="Gráfico"/>
    <s v="Región de Atacama,femicidio,edad,victima,mujer"/>
    <x v="281"/>
    <s v="100-R-3"/>
    <s v="#1774B9"/>
    <s v="990-0571"/>
    <n v="99200003"/>
    <s v="T-1044"/>
    <s v="C-996"/>
    <s v="FI-992"/>
    <s v="M-1048"/>
  </r>
  <r>
    <x v="571"/>
    <n v="990"/>
    <x v="0"/>
    <x v="2"/>
    <n v="4"/>
    <x v="38"/>
    <x v="2"/>
    <x v="1"/>
    <x v="4"/>
    <s v="Región"/>
    <s v="Cantidad de víctimas por edad"/>
    <s v="Periodo 2010-2021"/>
    <s v="Número de víctimas"/>
    <s v="POR DEFINIR"/>
    <x v="571"/>
    <m/>
    <s v="Gráfico"/>
    <s v="Región de Coquimbo,femicidio,edad,victima,mujer"/>
    <x v="281"/>
    <s v="100-R-4"/>
    <s v="#1774B9"/>
    <s v="990-0572"/>
    <n v="99200004"/>
    <s v="T-1044"/>
    <s v="C-996"/>
    <s v="FI-992"/>
    <s v="M-1048"/>
  </r>
  <r>
    <x v="572"/>
    <n v="990"/>
    <x v="0"/>
    <x v="2"/>
    <n v="5"/>
    <x v="38"/>
    <x v="2"/>
    <x v="1"/>
    <x v="5"/>
    <s v="Región"/>
    <s v="Cantidad de víctimas por edad"/>
    <s v="Periodo 2010-2021"/>
    <s v="Número de víctimas"/>
    <s v="POR DEFINIR"/>
    <x v="572"/>
    <m/>
    <s v="Gráfico"/>
    <s v="Región de Valparaíso,femicidio,edad,victima,mujer"/>
    <x v="281"/>
    <s v="100-R-5"/>
    <s v="#1774B9"/>
    <s v="990-0573"/>
    <n v="99200005"/>
    <s v="T-1044"/>
    <s v="C-996"/>
    <s v="FI-992"/>
    <s v="M-1048"/>
  </r>
  <r>
    <x v="573"/>
    <n v="990"/>
    <x v="0"/>
    <x v="2"/>
    <n v="6"/>
    <x v="38"/>
    <x v="2"/>
    <x v="1"/>
    <x v="6"/>
    <s v="Región"/>
    <s v="Cantidad de víctimas por edad"/>
    <s v="Periodo 2010-2021"/>
    <s v="Número de víctimas"/>
    <s v="POR DEFINIR"/>
    <x v="573"/>
    <m/>
    <s v="Gráfico"/>
    <s v="Región de O'Higgins,femicidio,edad,victima,mujer"/>
    <x v="281"/>
    <s v="100-R-6"/>
    <s v="#1774B9"/>
    <s v="990-0574"/>
    <n v="99200006"/>
    <s v="T-1044"/>
    <s v="C-996"/>
    <s v="FI-992"/>
    <s v="M-1048"/>
  </r>
  <r>
    <x v="574"/>
    <n v="990"/>
    <x v="0"/>
    <x v="2"/>
    <n v="7"/>
    <x v="38"/>
    <x v="2"/>
    <x v="1"/>
    <x v="7"/>
    <s v="Región"/>
    <s v="Cantidad de víctimas por edad"/>
    <s v="Periodo 2010-2021"/>
    <s v="Número de víctimas"/>
    <s v="POR DEFINIR"/>
    <x v="574"/>
    <m/>
    <s v="Gráfico"/>
    <s v="Región de Maule,femicidio,edad,victima,mujer"/>
    <x v="281"/>
    <s v="100-R-7"/>
    <s v="#1774B9"/>
    <s v="990-0575"/>
    <n v="99200007"/>
    <s v="T-1044"/>
    <s v="C-996"/>
    <s v="FI-992"/>
    <s v="M-1048"/>
  </r>
  <r>
    <x v="575"/>
    <n v="990"/>
    <x v="0"/>
    <x v="2"/>
    <n v="8"/>
    <x v="38"/>
    <x v="2"/>
    <x v="1"/>
    <x v="8"/>
    <s v="Región"/>
    <s v="Cantidad de víctimas por edad"/>
    <s v="Periodo 2010-2021"/>
    <s v="Número de víctimas"/>
    <s v="POR DEFINIR"/>
    <x v="575"/>
    <m/>
    <s v="Gráfico"/>
    <s v="Región del Biobío,femicidio,edad,victima,mujer"/>
    <x v="281"/>
    <s v="100-R-8"/>
    <s v="#1774B9"/>
    <s v="990-0576"/>
    <n v="99200008"/>
    <s v="T-1044"/>
    <s v="C-996"/>
    <s v="FI-992"/>
    <s v="M-1048"/>
  </r>
  <r>
    <x v="576"/>
    <n v="990"/>
    <x v="0"/>
    <x v="2"/>
    <n v="9"/>
    <x v="38"/>
    <x v="2"/>
    <x v="1"/>
    <x v="9"/>
    <s v="Región"/>
    <s v="Cantidad de víctimas por edad"/>
    <s v="Periodo 2010-2021"/>
    <s v="Número de víctimas"/>
    <s v="POR DEFINIR"/>
    <x v="576"/>
    <m/>
    <s v="Gráfico"/>
    <s v="Región de La Araucanía,femicidio,edad,victima,mujer"/>
    <x v="281"/>
    <s v="100-R-9"/>
    <s v="#1774B9"/>
    <s v="990-0577"/>
    <n v="99200009"/>
    <s v="T-1044"/>
    <s v="C-996"/>
    <s v="FI-992"/>
    <s v="M-1048"/>
  </r>
  <r>
    <x v="577"/>
    <n v="990"/>
    <x v="0"/>
    <x v="2"/>
    <n v="10"/>
    <x v="38"/>
    <x v="2"/>
    <x v="1"/>
    <x v="10"/>
    <s v="Región"/>
    <s v="Cantidad de víctimas por edad"/>
    <s v="Periodo 2010-2021"/>
    <s v="Número de víctimas"/>
    <s v="POR DEFINIR"/>
    <x v="577"/>
    <m/>
    <s v="Gráfico"/>
    <s v="Región de Los Lagos,femicidio,edad,victima,mujer"/>
    <x v="281"/>
    <s v="100-R-10"/>
    <s v="#1774B9"/>
    <s v="990-0578"/>
    <n v="99200010"/>
    <s v="T-1044"/>
    <s v="C-996"/>
    <s v="FI-992"/>
    <s v="M-1048"/>
  </r>
  <r>
    <x v="578"/>
    <n v="990"/>
    <x v="0"/>
    <x v="2"/>
    <n v="11"/>
    <x v="38"/>
    <x v="2"/>
    <x v="1"/>
    <x v="11"/>
    <s v="Región"/>
    <s v="Cantidad de víctimas por edad"/>
    <s v="Periodo 2010-2021"/>
    <s v="Número de víctimas"/>
    <s v="POR DEFINIR"/>
    <x v="578"/>
    <m/>
    <s v="Gráfico"/>
    <s v="Región de Aysén,femicidio,edad,victima,mujer"/>
    <x v="281"/>
    <s v="100-R-11"/>
    <s v="#1774B9"/>
    <s v="990-0579"/>
    <n v="99200011"/>
    <s v="T-1044"/>
    <s v="C-996"/>
    <s v="FI-992"/>
    <s v="M-1048"/>
  </r>
  <r>
    <x v="579"/>
    <n v="990"/>
    <x v="0"/>
    <x v="2"/>
    <n v="12"/>
    <x v="38"/>
    <x v="2"/>
    <x v="1"/>
    <x v="12"/>
    <s v="Región"/>
    <s v="Cantidad de víctimas por edad"/>
    <s v="Periodo 2010-2021"/>
    <s v="Número de víctimas"/>
    <s v="POR DEFINIR"/>
    <x v="579"/>
    <m/>
    <s v="Gráfico"/>
    <s v="Región de Magallanes,femicidio,edad,victima,mujer"/>
    <x v="281"/>
    <s v="100-R-12"/>
    <s v="#1774B9"/>
    <s v="990-0580"/>
    <n v="99200012"/>
    <s v="T-1044"/>
    <s v="C-996"/>
    <s v="FI-992"/>
    <s v="M-1048"/>
  </r>
  <r>
    <x v="580"/>
    <n v="990"/>
    <x v="0"/>
    <x v="2"/>
    <n v="13"/>
    <x v="38"/>
    <x v="2"/>
    <x v="1"/>
    <x v="13"/>
    <s v="Región"/>
    <s v="Cantidad de víctimas por edad"/>
    <s v="Periodo 2010-2021"/>
    <s v="Número de víctimas"/>
    <s v="POR DEFINIR"/>
    <x v="580"/>
    <m/>
    <s v="Gráfico"/>
    <s v="Región Metropolitana,femicidio,edad,victima,mujer"/>
    <x v="281"/>
    <s v="200-R-13"/>
    <s v="#1774B9"/>
    <s v="990-0581"/>
    <n v="99200013"/>
    <s v="T-1044"/>
    <s v="C-996"/>
    <s v="FI-992"/>
    <s v="M-1048"/>
  </r>
  <r>
    <x v="581"/>
    <n v="990"/>
    <x v="0"/>
    <x v="2"/>
    <n v="14"/>
    <x v="38"/>
    <x v="2"/>
    <x v="1"/>
    <x v="14"/>
    <s v="Región"/>
    <s v="Cantidad de víctimas por edad"/>
    <s v="Periodo 2010-2021"/>
    <s v="Número de víctimas"/>
    <s v="POR DEFINIR"/>
    <x v="581"/>
    <m/>
    <s v="Gráfico"/>
    <s v="Región de Los Ríos,femicidio,edad,victima,mujer"/>
    <x v="281"/>
    <s v="100-R-14"/>
    <s v="#1774B9"/>
    <s v="990-0582"/>
    <n v="99200014"/>
    <s v="T-1044"/>
    <s v="C-996"/>
    <s v="FI-992"/>
    <s v="M-1048"/>
  </r>
  <r>
    <x v="582"/>
    <n v="990"/>
    <x v="0"/>
    <x v="2"/>
    <n v="15"/>
    <x v="38"/>
    <x v="2"/>
    <x v="1"/>
    <x v="15"/>
    <s v="Región"/>
    <s v="Cantidad de víctimas por edad"/>
    <s v="Periodo 2010-2021"/>
    <s v="Número de víctimas"/>
    <s v="POR DEFINIR"/>
    <x v="582"/>
    <m/>
    <s v="Gráfico"/>
    <s v="Región de Arica y Parinacota,femicidio,edad,victima,mujer"/>
    <x v="281"/>
    <s v="100-R-15"/>
    <s v="#1774B9"/>
    <s v="990-0583"/>
    <n v="99200015"/>
    <s v="T-1044"/>
    <s v="C-996"/>
    <s v="FI-992"/>
    <s v="M-1048"/>
  </r>
  <r>
    <x v="583"/>
    <n v="990"/>
    <x v="0"/>
    <x v="2"/>
    <n v="16"/>
    <x v="38"/>
    <x v="2"/>
    <x v="1"/>
    <x v="16"/>
    <s v="Región"/>
    <s v="Cantidad de víctimas por edad"/>
    <s v="Periodo 2010-2021"/>
    <s v="Número de víctimas"/>
    <s v="POR DEFINIR"/>
    <x v="583"/>
    <m/>
    <s v="Gráfico"/>
    <s v="Región de Ñuble,femicidio,edad,victima,mujer"/>
    <x v="281"/>
    <s v="100-R-16"/>
    <s v="#1774B9"/>
    <s v="990-0584"/>
    <n v="99200016"/>
    <s v="T-1044"/>
    <s v="C-996"/>
    <s v="FI-992"/>
    <s v="M-1048"/>
  </r>
  <r>
    <x v="584"/>
    <n v="990"/>
    <x v="0"/>
    <x v="2"/>
    <n v="0"/>
    <x v="38"/>
    <x v="2"/>
    <x v="0"/>
    <x v="0"/>
    <s v="Región"/>
    <s v="Cantidad de víctimas por relación con el femicida "/>
    <s v="Periodo 2010-2021"/>
    <s v="Número de víctimas"/>
    <s v="Red Chilena contra la violencia hacia la Mujer"/>
    <x v="584"/>
    <s v="La mayor cantidad de femicidios se llevan a cabo por los convivientes, cónyuges, ex convivientes o ex cónyuges."/>
    <s v="Nube de palabras"/>
    <s v="Chile,femicidio,victima,mujer,conviviente,conyuge,pareja,ex,relacion,femicida"/>
    <x v="419"/>
    <s v="300-R"/>
    <s v="#1774B9"/>
    <s v="990-0585"/>
    <n v="99100000"/>
    <s v="T-1044"/>
    <s v="C-996"/>
    <s v="FI-992"/>
    <s v="M-1049"/>
  </r>
  <r>
    <x v="585"/>
    <n v="990"/>
    <x v="0"/>
    <x v="2"/>
    <n v="1"/>
    <x v="38"/>
    <x v="2"/>
    <x v="1"/>
    <x v="1"/>
    <s v="Ninguno"/>
    <s v="Cantidad de víctimas por relación con el femicida "/>
    <s v="Periodo 2010-2021"/>
    <s v="Número de víctimas"/>
    <s v="Red Chilena contra la violencia hacia la Mujer"/>
    <x v="585"/>
    <m/>
    <s v="Nube de palabras"/>
    <s v="Región de Tarapacá,femicidio,victima,mujer,conviviente,conyuge,pareja,ex,relacion,femicida"/>
    <x v="281"/>
    <s v="100-R-1"/>
    <s v="#1774B9"/>
    <s v="990-0586"/>
    <n v="99200001"/>
    <s v="T-1044"/>
    <s v="C-996"/>
    <s v="FI-993"/>
    <s v="M-1049"/>
  </r>
  <r>
    <x v="586"/>
    <n v="990"/>
    <x v="0"/>
    <x v="2"/>
    <n v="2"/>
    <x v="38"/>
    <x v="2"/>
    <x v="1"/>
    <x v="2"/>
    <s v="Ninguno"/>
    <s v="Cantidad de víctimas por relación con el femicida "/>
    <s v="Periodo 2010-2021"/>
    <s v="Número de víctimas"/>
    <s v="Red Chilena contra la violencia hacia la Mujer"/>
    <x v="586"/>
    <m/>
    <s v="Nube de palabras"/>
    <s v="Región de Antofagasta,femicidio,victima,mujer,conviviente,conyuge,pareja,ex,relacion,femicida"/>
    <x v="281"/>
    <s v="100-R-2"/>
    <s v="#1774B9"/>
    <s v="990-0587"/>
    <n v="99200002"/>
    <s v="T-1044"/>
    <s v="C-996"/>
    <s v="FI-993"/>
    <s v="M-1049"/>
  </r>
  <r>
    <x v="587"/>
    <n v="990"/>
    <x v="0"/>
    <x v="2"/>
    <n v="3"/>
    <x v="38"/>
    <x v="2"/>
    <x v="1"/>
    <x v="3"/>
    <s v="Ninguno"/>
    <s v="Cantidad de víctimas por relación con el femicida "/>
    <s v="Periodo 2010-2021"/>
    <s v="Número de víctimas"/>
    <s v="Red Chilena contra la violencia hacia la Mujer"/>
    <x v="587"/>
    <m/>
    <s v="Nube de palabras"/>
    <s v="Región de Atacama,femicidio,victima,mujer,conviviente,conyuge,pareja,ex,relacion,femicida"/>
    <x v="281"/>
    <s v="100-R-3"/>
    <s v="#1774B9"/>
    <s v="990-0588"/>
    <n v="99200003"/>
    <s v="T-1044"/>
    <s v="C-996"/>
    <s v="FI-993"/>
    <s v="M-1049"/>
  </r>
  <r>
    <x v="588"/>
    <n v="990"/>
    <x v="0"/>
    <x v="2"/>
    <n v="4"/>
    <x v="38"/>
    <x v="2"/>
    <x v="1"/>
    <x v="4"/>
    <s v="Ninguno"/>
    <s v="Cantidad de víctimas por relación con el femicida "/>
    <s v="Periodo 2010-2021"/>
    <s v="Número de víctimas"/>
    <s v="Red Chilena contra la violencia hacia la Mujer"/>
    <x v="588"/>
    <m/>
    <s v="Nube de palabras"/>
    <s v="Región de Coquimbo,femicidio,victima,mujer,conviviente,conyuge,pareja,ex,relacion,femicida"/>
    <x v="281"/>
    <s v="100-R-4"/>
    <s v="#1774B9"/>
    <s v="990-0589"/>
    <n v="99200004"/>
    <s v="T-1044"/>
    <s v="C-996"/>
    <s v="FI-993"/>
    <s v="M-1049"/>
  </r>
  <r>
    <x v="589"/>
    <n v="990"/>
    <x v="0"/>
    <x v="2"/>
    <n v="5"/>
    <x v="38"/>
    <x v="2"/>
    <x v="1"/>
    <x v="5"/>
    <s v="Ninguno"/>
    <s v="Cantidad de víctimas por relación con el femicida "/>
    <s v="Periodo 2010-2021"/>
    <s v="Número de víctimas"/>
    <s v="Red Chilena contra la violencia hacia la Mujer"/>
    <x v="589"/>
    <m/>
    <s v="Nube de palabras"/>
    <s v="Región de Valparaíso,femicidio,victima,mujer,conviviente,conyuge,pareja,ex,relacion,femicida"/>
    <x v="281"/>
    <s v="100-R-5"/>
    <s v="#1774B9"/>
    <s v="990-0590"/>
    <n v="99200005"/>
    <s v="T-1044"/>
    <s v="C-996"/>
    <s v="FI-993"/>
    <s v="M-1049"/>
  </r>
  <r>
    <x v="590"/>
    <n v="990"/>
    <x v="0"/>
    <x v="2"/>
    <n v="6"/>
    <x v="38"/>
    <x v="2"/>
    <x v="1"/>
    <x v="6"/>
    <s v="Ninguno"/>
    <s v="Cantidad de víctimas por relación con el femicida "/>
    <s v="Periodo 2010-2021"/>
    <s v="Número de víctimas"/>
    <s v="Red Chilena contra la violencia hacia la Mujer"/>
    <x v="590"/>
    <m/>
    <s v="Nube de palabras"/>
    <s v="Región de O'Higgins,femicidio,victima,mujer,conviviente,conyuge,pareja,ex,relacion,femicida"/>
    <x v="281"/>
    <s v="100-R-6"/>
    <s v="#1774B9"/>
    <s v="990-0591"/>
    <n v="99200006"/>
    <s v="T-1044"/>
    <s v="C-996"/>
    <s v="FI-993"/>
    <s v="M-1049"/>
  </r>
  <r>
    <x v="591"/>
    <n v="990"/>
    <x v="0"/>
    <x v="2"/>
    <n v="7"/>
    <x v="38"/>
    <x v="2"/>
    <x v="1"/>
    <x v="7"/>
    <s v="Ninguno"/>
    <s v="Cantidad de víctimas por relación con el femicida "/>
    <s v="Periodo 2010-2021"/>
    <s v="Número de víctimas"/>
    <s v="Red Chilena contra la violencia hacia la Mujer"/>
    <x v="591"/>
    <m/>
    <s v="Nube de palabras"/>
    <s v="Región de Maule,femicidio,victima,mujer,conviviente,conyuge,pareja,ex,relacion,femicida"/>
    <x v="281"/>
    <s v="100-R-7"/>
    <s v="#1774B9"/>
    <s v="990-0592"/>
    <n v="99200007"/>
    <s v="T-1044"/>
    <s v="C-996"/>
    <s v="FI-993"/>
    <s v="M-1049"/>
  </r>
  <r>
    <x v="592"/>
    <n v="990"/>
    <x v="0"/>
    <x v="2"/>
    <n v="8"/>
    <x v="38"/>
    <x v="2"/>
    <x v="1"/>
    <x v="8"/>
    <s v="Ninguno"/>
    <s v="Cantidad de víctimas por relación con el femicida "/>
    <s v="Periodo 2010-2021"/>
    <s v="Número de víctimas"/>
    <s v="Red Chilena contra la violencia hacia la Mujer"/>
    <x v="592"/>
    <m/>
    <s v="Nube de palabras"/>
    <s v="Región del Biobío,femicidio,victima,mujer,conviviente,conyuge,pareja,ex,relacion,femicida"/>
    <x v="281"/>
    <s v="100-R-8"/>
    <s v="#1774B9"/>
    <s v="990-0593"/>
    <n v="99200008"/>
    <s v="T-1044"/>
    <s v="C-996"/>
    <s v="FI-993"/>
    <s v="M-1049"/>
  </r>
  <r>
    <x v="593"/>
    <n v="990"/>
    <x v="0"/>
    <x v="2"/>
    <n v="9"/>
    <x v="38"/>
    <x v="2"/>
    <x v="1"/>
    <x v="9"/>
    <s v="Ninguno"/>
    <s v="Cantidad de víctimas por relación con el femicida "/>
    <s v="Periodo 2010-2021"/>
    <s v="Número de víctimas"/>
    <s v="Red Chilena contra la violencia hacia la Mujer"/>
    <x v="593"/>
    <m/>
    <s v="Nube de palabras"/>
    <s v="Región de La Araucanía,femicidio,victima,mujer,conviviente,conyuge,pareja,ex,relacion,femicida"/>
    <x v="281"/>
    <s v="100-R-9"/>
    <s v="#1774B9"/>
    <s v="990-0594"/>
    <n v="99200009"/>
    <s v="T-1044"/>
    <s v="C-996"/>
    <s v="FI-993"/>
    <s v="M-1049"/>
  </r>
  <r>
    <x v="594"/>
    <n v="990"/>
    <x v="0"/>
    <x v="2"/>
    <n v="10"/>
    <x v="38"/>
    <x v="2"/>
    <x v="1"/>
    <x v="10"/>
    <s v="Ninguno"/>
    <s v="Cantidad de víctimas por relación con el femicida "/>
    <s v="Periodo 2010-2021"/>
    <s v="Número de víctimas"/>
    <s v="Red Chilena contra la violencia hacia la Mujer"/>
    <x v="594"/>
    <m/>
    <s v="Nube de palabras"/>
    <s v="Región de Los Lagos,femicidio,victima,mujer,conviviente,conyuge,pareja,ex,relacion,femicida"/>
    <x v="281"/>
    <s v="100-R-10"/>
    <s v="#1774B9"/>
    <s v="990-0595"/>
    <n v="99200010"/>
    <s v="T-1044"/>
    <s v="C-996"/>
    <s v="FI-993"/>
    <s v="M-1049"/>
  </r>
  <r>
    <x v="595"/>
    <n v="990"/>
    <x v="0"/>
    <x v="2"/>
    <n v="11"/>
    <x v="38"/>
    <x v="2"/>
    <x v="1"/>
    <x v="11"/>
    <s v="Ninguno"/>
    <s v="Cantidad de víctimas por relación con el femicida "/>
    <s v="Periodo 2010-2021"/>
    <s v="Número de víctimas"/>
    <s v="Red Chilena contra la violencia hacia la Mujer"/>
    <x v="595"/>
    <m/>
    <s v="Nube de palabras"/>
    <s v="Región de Aysén,femicidio,victima,mujer,conviviente,conyuge,pareja,ex,relacion,femicida"/>
    <x v="281"/>
    <s v="100-R-11"/>
    <s v="#1774B9"/>
    <s v="990-0596"/>
    <n v="99200011"/>
    <s v="T-1044"/>
    <s v="C-996"/>
    <s v="FI-993"/>
    <s v="M-1049"/>
  </r>
  <r>
    <x v="596"/>
    <n v="990"/>
    <x v="0"/>
    <x v="2"/>
    <n v="12"/>
    <x v="38"/>
    <x v="2"/>
    <x v="1"/>
    <x v="12"/>
    <s v="Ninguno"/>
    <s v="Cantidad de víctimas por relación con el femicida "/>
    <s v="Periodo 2010-2021"/>
    <s v="Número de víctimas"/>
    <s v="Red Chilena contra la violencia hacia la Mujer"/>
    <x v="596"/>
    <m/>
    <s v="Nube de palabras"/>
    <s v="Región de Magallanes,femicidio,victima,mujer,conviviente,conyuge,pareja,ex,relacion,femicida"/>
    <x v="281"/>
    <s v="100-R-12"/>
    <s v="#1774B9"/>
    <s v="990-0597"/>
    <n v="99200012"/>
    <s v="T-1044"/>
    <s v="C-996"/>
    <s v="FI-993"/>
    <s v="M-1049"/>
  </r>
  <r>
    <x v="597"/>
    <n v="990"/>
    <x v="0"/>
    <x v="2"/>
    <n v="13"/>
    <x v="38"/>
    <x v="2"/>
    <x v="1"/>
    <x v="13"/>
    <s v="Ninguno"/>
    <s v="Cantidad de víctimas por relación con el femicida "/>
    <s v="Periodo 2010-2021"/>
    <s v="Número de víctimas"/>
    <s v="Red Chilena contra la violencia hacia la Mujer"/>
    <x v="597"/>
    <m/>
    <s v="Nube de palabras"/>
    <s v="Región Metropolitana,femicidio,victima,mujer,conviviente,conyuge,pareja,ex,relacion,femicida"/>
    <x v="281"/>
    <s v="200-R-13"/>
    <s v="#1774B9"/>
    <s v="990-0598"/>
    <n v="99200013"/>
    <s v="T-1044"/>
    <s v="C-996"/>
    <s v="FI-993"/>
    <s v="M-1049"/>
  </r>
  <r>
    <x v="598"/>
    <n v="990"/>
    <x v="0"/>
    <x v="2"/>
    <n v="14"/>
    <x v="38"/>
    <x v="2"/>
    <x v="1"/>
    <x v="14"/>
    <s v="Ninguno"/>
    <s v="Cantidad de víctimas por relación con el femicida "/>
    <s v="Periodo 2010-2021"/>
    <s v="Número de víctimas"/>
    <s v="Red Chilena contra la violencia hacia la Mujer"/>
    <x v="598"/>
    <m/>
    <s v="Nube de palabras"/>
    <s v="Región de Los Ríos,femicidio,victima,mujer,conviviente,conyuge,pareja,ex,relacion,femicida"/>
    <x v="281"/>
    <s v="100-R-14"/>
    <s v="#1774B9"/>
    <s v="990-0599"/>
    <n v="99200014"/>
    <s v="T-1044"/>
    <s v="C-996"/>
    <s v="FI-993"/>
    <s v="M-1049"/>
  </r>
  <r>
    <x v="599"/>
    <n v="990"/>
    <x v="0"/>
    <x v="2"/>
    <n v="15"/>
    <x v="38"/>
    <x v="2"/>
    <x v="1"/>
    <x v="15"/>
    <s v="Ninguno"/>
    <s v="Cantidad de víctimas por relación con el femicida "/>
    <s v="Periodo 2010-2021"/>
    <s v="Número de víctimas"/>
    <s v="Red Chilena contra la violencia hacia la Mujer"/>
    <x v="599"/>
    <m/>
    <s v="Nube de palabras"/>
    <s v="Región de Arica y Parinacota,femicidio,victima,mujer,conviviente,conyuge,pareja,ex,relacion,femicida"/>
    <x v="281"/>
    <s v="100-R-15"/>
    <s v="#1774B9"/>
    <s v="990-0600"/>
    <n v="99200015"/>
    <s v="T-1044"/>
    <s v="C-996"/>
    <s v="FI-993"/>
    <s v="M-1049"/>
  </r>
  <r>
    <x v="600"/>
    <n v="990"/>
    <x v="0"/>
    <x v="2"/>
    <n v="16"/>
    <x v="38"/>
    <x v="2"/>
    <x v="1"/>
    <x v="16"/>
    <s v="Ninguno"/>
    <s v="Cantidad de víctimas por relación con el femicida "/>
    <s v="Periodo 2010-2021"/>
    <s v="Número de víctimas"/>
    <s v="Red Chilena contra la violencia hacia la Mujer"/>
    <x v="600"/>
    <m/>
    <s v="Nube de palabras"/>
    <s v="Región de Ñuble,femicidio,victima,mujer,conviviente,conyuge,pareja,ex,relacion,femicida"/>
    <x v="281"/>
    <s v="100-R-16"/>
    <s v="#1774B9"/>
    <s v="990-0601"/>
    <n v="99200016"/>
    <s v="T-1044"/>
    <s v="C-996"/>
    <s v="FI-993"/>
    <s v="M-1049"/>
  </r>
  <r>
    <x v="601"/>
    <n v="990"/>
    <x v="0"/>
    <x v="2"/>
    <n v="0"/>
    <x v="38"/>
    <x v="2"/>
    <x v="0"/>
    <x v="0"/>
    <s v="Ninguno"/>
    <s v="Cantidad de víctimas de femicidios en Chile"/>
    <s v="Periodo 2018-2021"/>
    <s v="Número de víctimas"/>
    <s v="Ministerio de la Mujer y Equidad de Género (MINMEG)"/>
    <x v="601"/>
    <s v="Comparando los últimos 4 años, coincide el número de víctimas registradas a finales del primer semestre, las que bordean los 20 casos."/>
    <s v="Gráfico"/>
    <s v="Chile femicidio víctima mujer semestre año"/>
    <x v="420"/>
    <n v="0"/>
    <s v="#1774B9"/>
    <s v="990-0602"/>
    <n v="99100000"/>
    <s v="T-1044"/>
    <s v="C-996"/>
    <s v="FI-993"/>
    <s v="M-1050"/>
  </r>
  <r>
    <x v="602"/>
    <n v="990"/>
    <x v="0"/>
    <x v="2"/>
    <n v="0"/>
    <x v="38"/>
    <x v="2"/>
    <x v="0"/>
    <x v="0"/>
    <s v="Ninguno"/>
    <s v="Cantidad de víctimas de femicidios en Chile"/>
    <s v="Periodo 2010-2021"/>
    <s v="Número de víctimas"/>
    <s v="Red Chilena contra la violencia hacia la Mujer"/>
    <x v="602"/>
    <s v="El mes de marzo del año 2016 es el que registra un mayor número de víctimas de femicidio, con 11 casos. Lo siguen el mes de octubre del mismo año, diciembre de 2010 y mayo de 2015, con 10 casos. Por su parte, el mes de Septiembre es el que registra menos casos a lo largo de los años, sin embargo la línea de tendencia muestra una ocurrencia promedio de 5 víctimas al mes."/>
    <s v="Gráfico"/>
    <s v="Chile femicidio víctima mujer mes año tendencia"/>
    <x v="421"/>
    <n v="0"/>
    <s v="#1774B9"/>
    <s v="990-0603"/>
    <n v="99100000"/>
    <s v="T-1044"/>
    <s v="C-996"/>
    <s v="FI-993"/>
    <s v="M-1050"/>
  </r>
  <r>
    <x v="603"/>
    <n v="990"/>
    <x v="0"/>
    <x v="13"/>
    <n v="0"/>
    <x v="39"/>
    <x v="22"/>
    <x v="0"/>
    <x v="0"/>
    <s v="Ninguno"/>
    <s v="Cantidad de vehículos escolares por región"/>
    <s v="Periodo 2014-2021"/>
    <s v="Número de vehículos"/>
    <s v="Ministerio de Transportes y Telecomunicaciones"/>
    <x v="603"/>
    <s v="Al mes de mayo del año 2021, el parque vehicular escolar registra 26.550 vehículos, siendo la región Metropolitana la que lidera la cifra con un total de 8.268 vehículos. La región del Biobío es la segunda región con la mayor cantidad de estos, alcanzando los 2.974 vehículos."/>
    <s v="Gráfico animado"/>
    <s v="Chile vehículo escolar vehicular evolución cantidad"/>
    <x v="422"/>
    <n v="0"/>
    <s v="#1774B9"/>
    <s v="990-0604"/>
    <n v="99100000"/>
    <s v="T-1045"/>
    <s v="C-1003"/>
    <s v="FI-993"/>
    <s v="M-1051"/>
  </r>
  <r>
    <x v="604"/>
    <n v="990"/>
    <x v="0"/>
    <x v="6"/>
    <n v="0"/>
    <x v="40"/>
    <x v="6"/>
    <x v="0"/>
    <x v="0"/>
    <s v="Clasificación"/>
    <s v="Grado de desempeño por programa o institución evaluada"/>
    <s v="Periodo 1997-2020"/>
    <s v="Grado de desempeño"/>
    <s v="Dirección de Presupuestos (DIPRES)"/>
    <x v="604"/>
    <s v="Durante los años 1997 y 2020 se evaluaron 621 programas/instituciones del Servicio Público, bajo diferentes modalidades, según el año de evaluación. Las categorías de evaluación son Ajustes menores, Buen desempeño, Desempeño insuficiente, Rediseño sustantivo, Resultados No demostrados, entre otras. En esta última categoría, 19 programas/institución obtuvieron esta clasificación, entre los años 2009 y 2014."/>
    <s v="Dashboard"/>
    <s v="Chile programas desempeño gobierno servicio evaluación instituciones público ministerio"/>
    <x v="423"/>
    <n v="0"/>
    <s v="#1774B9"/>
    <s v="990-0605"/>
    <n v="99100000"/>
    <s v="T-1011"/>
    <s v="C-1006"/>
    <s v="FI-1001"/>
    <s v="M-1052"/>
  </r>
  <r>
    <x v="605"/>
    <n v="990"/>
    <x v="0"/>
    <x v="4"/>
    <n v="0"/>
    <x v="6"/>
    <x v="4"/>
    <x v="0"/>
    <x v="0"/>
    <s v="Región-Comuna"/>
    <s v="Cantidad de fallecidos por 1 MM de habitantes"/>
    <s v="Periodo 2020-2021"/>
    <s v="Número de fallecidos"/>
    <s v="Ministerio de Ciencia, Tecnología, Conocimiento e Innovación"/>
    <x v="605"/>
    <m/>
    <s v="Gráfico de Evolución"/>
    <s v="Chile COVID-19 región comuna casos activos fallecidos recuperados acumulados evolución"/>
    <x v="424"/>
    <s v="300-C"/>
    <s v="#1774B9"/>
    <s v="990-0606"/>
    <n v="99100000"/>
    <s v="T-1030"/>
    <s v="C-991"/>
    <s v="FI-995"/>
    <s v="M-1053"/>
  </r>
  <r>
    <x v="606"/>
    <n v="990"/>
    <x v="0"/>
    <x v="4"/>
    <n v="1"/>
    <x v="6"/>
    <x v="4"/>
    <x v="1"/>
    <x v="1"/>
    <s v="Comuna"/>
    <s v="Cantidad de fallecidos por 1 MM de habitantes"/>
    <s v="Periodo 2020-2021"/>
    <s v="Número de fallecidos"/>
    <s v="Ministerio de Ciencia, Tecnología, Conocimiento e Innovación"/>
    <x v="606"/>
    <s v="La comuna de Iquique, que posee una población de 223.463 habitantes, a la fecha ya supera los 2.300 fallecidos por millón de habitantes producto de la pandemia de COVID-19. El día 9 de julio se registran 523 fallecidos totales, lo que se traduce en 2340 fallecidos por millón de habitantes."/>
    <s v="Gráfico de Evolución"/>
    <s v="Región de Tarapacá COVID-19 comuna casos activos fallecidos recuperados acumulados evolución"/>
    <x v="425"/>
    <s v="100-C-1"/>
    <s v="#1774B9"/>
    <s v="990-0607"/>
    <n v="99200001"/>
    <s v="T-1030"/>
    <s v="C-991"/>
    <s v="FI-991"/>
    <s v="M-1053"/>
  </r>
  <r>
    <x v="607"/>
    <n v="990"/>
    <x v="0"/>
    <x v="4"/>
    <n v="2"/>
    <x v="6"/>
    <x v="4"/>
    <x v="1"/>
    <x v="2"/>
    <s v="Comuna"/>
    <s v="Cantidad de fallecidos por 1 MM de habitantes"/>
    <s v="Periodo 2020-2021"/>
    <s v="Número de fallecidos"/>
    <s v="Ministerio de Ciencia, Tecnología, Conocimiento e Innovación"/>
    <x v="607"/>
    <m/>
    <s v="Gráfico de Evolución"/>
    <s v="Región de Antofagasta COVID-19 comuna casos activos fallecidos recuperados acumulados evolución"/>
    <x v="426"/>
    <s v="100-C-2"/>
    <s v="#1774B9"/>
    <s v="990-0608"/>
    <n v="99200002"/>
    <s v="T-1030"/>
    <s v="C-991"/>
    <s v="FI-991"/>
    <s v="M-1053"/>
  </r>
  <r>
    <x v="608"/>
    <n v="990"/>
    <x v="0"/>
    <x v="4"/>
    <n v="3"/>
    <x v="6"/>
    <x v="4"/>
    <x v="1"/>
    <x v="3"/>
    <s v="Comuna"/>
    <s v="Cantidad de fallecidos por 1 MM de habitantes"/>
    <s v="Periodo 2020-2021"/>
    <s v="Número de fallecidos"/>
    <s v="Ministerio de Ciencia, Tecnología, Conocimiento e Innovación"/>
    <x v="608"/>
    <m/>
    <s v="Gráfico de Evolución"/>
    <s v="Región de Atacama COVID-19 comuna casos activos fallecidos recuperados acumulados evolución"/>
    <x v="427"/>
    <s v="100-C-3"/>
    <s v="#1774B9"/>
    <s v="990-0609"/>
    <n v="99200003"/>
    <s v="T-1030"/>
    <s v="C-991"/>
    <s v="FI-991"/>
    <s v="M-1053"/>
  </r>
  <r>
    <x v="609"/>
    <n v="990"/>
    <x v="0"/>
    <x v="4"/>
    <n v="4"/>
    <x v="6"/>
    <x v="4"/>
    <x v="1"/>
    <x v="4"/>
    <s v="Comuna"/>
    <s v="Cantidad de fallecidos por 1 MM de habitantes"/>
    <s v="Periodo 2020-2021"/>
    <s v="Número de fallecidos"/>
    <s v="Ministerio de Ciencia, Tecnología, Conocimiento e Innovación"/>
    <x v="609"/>
    <m/>
    <s v="Gráfico de Evolución"/>
    <s v="Región de Coquimbo COVID-19 comuna casos activos fallecidos recuperados acumulados evolución"/>
    <x v="428"/>
    <s v="100-C-4"/>
    <s v="#1774B9"/>
    <s v="990-0610"/>
    <n v="99200004"/>
    <s v="T-1030"/>
    <s v="C-991"/>
    <s v="FI-991"/>
    <s v="M-1053"/>
  </r>
  <r>
    <x v="610"/>
    <n v="990"/>
    <x v="0"/>
    <x v="4"/>
    <n v="5"/>
    <x v="6"/>
    <x v="4"/>
    <x v="1"/>
    <x v="5"/>
    <s v="Comuna"/>
    <s v="Cantidad de fallecidos por 1 MM de habitantes"/>
    <s v="Periodo 2020-2021"/>
    <s v="Número de fallecidos"/>
    <s v="Ministerio de Ciencia, Tecnología, Conocimiento e Innovación"/>
    <x v="610"/>
    <m/>
    <s v="Gráfico de Evolución"/>
    <s v="Región de Valparaíso COVID-19 comuna casos activos fallecidos recuperados acumulados evolución"/>
    <x v="429"/>
    <s v="100-C-5"/>
    <s v="#1774B9"/>
    <s v="990-0611"/>
    <n v="99200005"/>
    <s v="T-1030"/>
    <s v="C-991"/>
    <s v="FI-991"/>
    <s v="M-1053"/>
  </r>
  <r>
    <x v="611"/>
    <n v="990"/>
    <x v="0"/>
    <x v="4"/>
    <n v="6"/>
    <x v="6"/>
    <x v="4"/>
    <x v="1"/>
    <x v="6"/>
    <s v="Comuna"/>
    <s v="Cantidad de fallecidos por 1 MM de habitantes"/>
    <s v="Periodo 2020-2021"/>
    <s v="Número de fallecidos"/>
    <s v="Ministerio de Ciencia, Tecnología, Conocimiento e Innovación"/>
    <x v="611"/>
    <m/>
    <s v="Gráfico de Evolución"/>
    <s v="Región de O'Higgins COVID-19 comuna casos activos fallecidos recuperados acumulados evolución"/>
    <x v="430"/>
    <s v="100-C-6"/>
    <s v="#1774B9"/>
    <s v="990-0612"/>
    <n v="99200006"/>
    <s v="T-1030"/>
    <s v="C-991"/>
    <s v="FI-991"/>
    <s v="M-1053"/>
  </r>
  <r>
    <x v="612"/>
    <n v="990"/>
    <x v="0"/>
    <x v="4"/>
    <n v="7"/>
    <x v="6"/>
    <x v="4"/>
    <x v="1"/>
    <x v="7"/>
    <s v="Comuna"/>
    <s v="Cantidad de fallecidos por 1 MM de habitantes"/>
    <s v="Periodo 2020-2021"/>
    <s v="Número de fallecidos"/>
    <s v="Ministerio de Ciencia, Tecnología, Conocimiento e Innovación"/>
    <x v="612"/>
    <m/>
    <s v="Gráfico de Evolución"/>
    <s v="Región de Maule COVID-19 comuna casos activos fallecidos recuperados acumulados evolución"/>
    <x v="431"/>
    <s v="100-C-7"/>
    <s v="#1774B9"/>
    <s v="990-0613"/>
    <n v="99200007"/>
    <s v="T-1030"/>
    <s v="C-991"/>
    <s v="FI-991"/>
    <s v="M-1053"/>
  </r>
  <r>
    <x v="613"/>
    <n v="990"/>
    <x v="0"/>
    <x v="4"/>
    <n v="8"/>
    <x v="6"/>
    <x v="4"/>
    <x v="1"/>
    <x v="8"/>
    <s v="Comuna"/>
    <s v="Cantidad de fallecidos por 1 MM de habitantes"/>
    <s v="Periodo 2020-2021"/>
    <s v="Número de fallecidos"/>
    <s v="Ministerio de Ciencia, Tecnología, Conocimiento e Innovación"/>
    <x v="613"/>
    <m/>
    <s v="Gráfico de Evolución"/>
    <s v="Región del Biobío COVID-19 comuna casos activos fallecidos recuperados acumulados evolución"/>
    <x v="432"/>
    <s v="100-C-8"/>
    <s v="#1774B9"/>
    <s v="990-0614"/>
    <n v="99200008"/>
    <s v="T-1030"/>
    <s v="C-991"/>
    <s v="FI-991"/>
    <s v="M-1053"/>
  </r>
  <r>
    <x v="614"/>
    <n v="990"/>
    <x v="0"/>
    <x v="4"/>
    <n v="9"/>
    <x v="6"/>
    <x v="4"/>
    <x v="1"/>
    <x v="9"/>
    <s v="Comuna"/>
    <s v="Cantidad de fallecidos por 1 MM de habitantes"/>
    <s v="Periodo 2020-2021"/>
    <s v="Número de fallecidos"/>
    <s v="Ministerio de Ciencia, Tecnología, Conocimiento e Innovación"/>
    <x v="614"/>
    <m/>
    <s v="Gráfico de Evolución"/>
    <s v="Región de La Araucanía COVID-19 comuna casos activos fallecidos recuperados acumulados evolución"/>
    <x v="433"/>
    <s v="100-C-9"/>
    <s v="#1774B9"/>
    <s v="990-0615"/>
    <n v="99200009"/>
    <s v="T-1030"/>
    <s v="C-991"/>
    <s v="FI-991"/>
    <s v="M-1053"/>
  </r>
  <r>
    <x v="615"/>
    <n v="990"/>
    <x v="0"/>
    <x v="4"/>
    <n v="10"/>
    <x v="6"/>
    <x v="4"/>
    <x v="1"/>
    <x v="10"/>
    <s v="Comuna"/>
    <s v="Cantidad de fallecidos por 1 MM de habitantes"/>
    <s v="Periodo 2020-2021"/>
    <s v="Número de fallecidos"/>
    <s v="Ministerio de Ciencia, Tecnología, Conocimiento e Innovación"/>
    <x v="615"/>
    <m/>
    <s v="Gráfico de Evolución"/>
    <s v="Región de Los Lagos COVID-19 comuna casos activos fallecidos recuperados acumulados evolución"/>
    <x v="434"/>
    <s v="100-C-10"/>
    <s v="#1774B9"/>
    <s v="990-0616"/>
    <n v="99200010"/>
    <s v="T-1030"/>
    <s v="C-991"/>
    <s v="FI-991"/>
    <s v="M-1053"/>
  </r>
  <r>
    <x v="616"/>
    <n v="990"/>
    <x v="0"/>
    <x v="4"/>
    <n v="11"/>
    <x v="6"/>
    <x v="4"/>
    <x v="1"/>
    <x v="11"/>
    <s v="Comuna"/>
    <s v="Cantidad de fallecidos por 1 MM de habitantes"/>
    <s v="Periodo 2020-2021"/>
    <s v="Número de fallecidos"/>
    <s v="Ministerio de Ciencia, Tecnología, Conocimiento e Innovación"/>
    <x v="616"/>
    <m/>
    <s v="Gráfico de Evolución"/>
    <s v="Región de Aysén COVID-19 comuna casos activos fallecidos recuperados acumulados evolución"/>
    <x v="435"/>
    <s v="100-C-11"/>
    <s v="#1774B9"/>
    <s v="990-0617"/>
    <n v="99200011"/>
    <s v="T-1030"/>
    <s v="C-991"/>
    <s v="FI-991"/>
    <s v="M-1053"/>
  </r>
  <r>
    <x v="617"/>
    <n v="990"/>
    <x v="0"/>
    <x v="4"/>
    <n v="12"/>
    <x v="6"/>
    <x v="4"/>
    <x v="1"/>
    <x v="12"/>
    <s v="Comuna"/>
    <s v="Cantidad de fallecidos por 1 MM de habitantes"/>
    <s v="Periodo 2020-2021"/>
    <s v="Número de fallecidos"/>
    <s v="Ministerio de Ciencia, Tecnología, Conocimiento e Innovación"/>
    <x v="617"/>
    <m/>
    <s v="Gráfico de Evolución"/>
    <s v="Región de Magallanes COVID-19 comuna casos activos fallecidos recuperados acumulados evolución"/>
    <x v="436"/>
    <s v="100-C-12"/>
    <s v="#1774B9"/>
    <s v="990-0618"/>
    <n v="99200012"/>
    <s v="T-1030"/>
    <s v="C-991"/>
    <s v="FI-991"/>
    <s v="M-1053"/>
  </r>
  <r>
    <x v="618"/>
    <n v="990"/>
    <x v="0"/>
    <x v="4"/>
    <n v="13"/>
    <x v="6"/>
    <x v="4"/>
    <x v="1"/>
    <x v="13"/>
    <s v="Comuna"/>
    <s v="Cantidad de fallecidos por 1 MM de habitantes"/>
    <s v="Periodo 2020-2021"/>
    <s v="Número de fallecidos"/>
    <s v="Ministerio de Ciencia, Tecnología, Conocimiento e Innovación"/>
    <x v="618"/>
    <m/>
    <s v="Gráfico de Evolución"/>
    <s v="Región Metropolitana COVID-19 comuna casos activos fallecidos recuperados acumulados evolución"/>
    <x v="437"/>
    <s v="200-C-13"/>
    <s v="#1774B9"/>
    <s v="990-0619"/>
    <n v="99200013"/>
    <s v="T-1030"/>
    <s v="C-991"/>
    <s v="FI-991"/>
    <s v="M-1053"/>
  </r>
  <r>
    <x v="619"/>
    <n v="990"/>
    <x v="0"/>
    <x v="4"/>
    <n v="14"/>
    <x v="6"/>
    <x v="4"/>
    <x v="1"/>
    <x v="14"/>
    <s v="Comuna"/>
    <s v="Cantidad de fallecidos por 1 MM de habitantes"/>
    <s v="Periodo 2020-2021"/>
    <s v="Número de fallecidos"/>
    <s v="Ministerio de Ciencia, Tecnología, Conocimiento e Innovación"/>
    <x v="619"/>
    <m/>
    <s v="Gráfico de Evolución"/>
    <s v="Región de Los Ríos COVID-19 comuna casos activos fallecidos recuperados acumulados evolución"/>
    <x v="438"/>
    <s v="100-C-14"/>
    <s v="#1774B9"/>
    <s v="990-0620"/>
    <n v="99200014"/>
    <s v="T-1030"/>
    <s v="C-991"/>
    <s v="FI-991"/>
    <s v="M-1053"/>
  </r>
  <r>
    <x v="620"/>
    <n v="990"/>
    <x v="0"/>
    <x v="4"/>
    <n v="15"/>
    <x v="6"/>
    <x v="4"/>
    <x v="1"/>
    <x v="15"/>
    <s v="Comuna"/>
    <s v="Cantidad de fallecidos por 1 MM de habitantes"/>
    <s v="Periodo 2020-2021"/>
    <s v="Número de fallecidos"/>
    <s v="Ministerio de Ciencia, Tecnología, Conocimiento e Innovación"/>
    <x v="620"/>
    <m/>
    <s v="Gráfico de Evolución"/>
    <s v="Región de Arica y Parinacota COVID-19 comuna casos activos fallecidos recuperados acumulados evolución"/>
    <x v="439"/>
    <s v="100-C-15"/>
    <s v="#1774B9"/>
    <s v="990-0621"/>
    <n v="99200015"/>
    <s v="T-1030"/>
    <s v="C-991"/>
    <s v="FI-991"/>
    <s v="M-1053"/>
  </r>
  <r>
    <x v="621"/>
    <n v="990"/>
    <x v="0"/>
    <x v="4"/>
    <n v="16"/>
    <x v="6"/>
    <x v="4"/>
    <x v="1"/>
    <x v="16"/>
    <s v="Comuna"/>
    <s v="Cantidad de fallecidos por 1 MM de habitantes"/>
    <s v="Periodo 2020-2021"/>
    <s v="Número de fallecidos"/>
    <s v="Ministerio de Ciencia, Tecnología, Conocimiento e Innovación"/>
    <x v="621"/>
    <m/>
    <s v="Gráfico de Evolución"/>
    <s v="Región de Ñuble COVID-19 comuna casos activos fallecidos recuperados acumulados evolución"/>
    <x v="440"/>
    <s v="100-C-16"/>
    <s v="#1774B9"/>
    <s v="990-0622"/>
    <n v="99200016"/>
    <s v="T-1030"/>
    <s v="C-991"/>
    <s v="FI-991"/>
    <s v="M-1053"/>
  </r>
  <r>
    <x v="622"/>
    <n v="990"/>
    <x v="0"/>
    <x v="1"/>
    <n v="0"/>
    <x v="36"/>
    <x v="1"/>
    <x v="0"/>
    <x v="0"/>
    <s v="Región-Comuna"/>
    <s v="Puntaje promedio por establecimiento"/>
    <s v="Periodo 2015-2018"/>
    <s v="Puntaje"/>
    <s v="Agencia de Calidad de la Educación"/>
    <x v="622"/>
    <s v="Los colegios particulares, han obtenido un puntaje sobre los 225 puntos, en la prueba SIMCE de matemáticas tomada a los alumnos de 2° Medio, superando por más de 80 puntos a los colegios municipales, subvencionados y de otras dependencias del país, en los años 2015, 2016, 2017 y 2018."/>
    <s v="Gráfico de Evolución"/>
    <s v="Chile SIMCE media segundo educación puntaje lectura municipal subvencionado corporación lenguaje particular"/>
    <x v="441"/>
    <s v="300-C"/>
    <s v="#1774B9"/>
    <s v="990-0623"/>
    <n v="99100000"/>
    <s v="T-1043"/>
    <s v="C-1019"/>
    <s v="FI-995"/>
    <s v="M-1054"/>
  </r>
  <r>
    <x v="623"/>
    <n v="990"/>
    <x v="0"/>
    <x v="1"/>
    <n v="1"/>
    <x v="36"/>
    <x v="1"/>
    <x v="1"/>
    <x v="1"/>
    <s v="Comuna"/>
    <s v="Puntaje promedio por establecimiento"/>
    <s v="Periodo 2015-2018"/>
    <s v="Puntaje"/>
    <s v="Agencia de Calidad de la Educación"/>
    <x v="623"/>
    <m/>
    <s v="Gráfico de Evolución"/>
    <s v="Región de Tarapacá SIMCE media segundo educación puntaje lectura municipal subvencionado corporación lenguaje particular"/>
    <x v="281"/>
    <s v="100-C-1"/>
    <s v="#1774B9"/>
    <s v="990-0624"/>
    <n v="99200001"/>
    <s v="T-1043"/>
    <s v="C-1019"/>
    <s v="FI-991"/>
    <s v="M-1054"/>
  </r>
  <r>
    <x v="624"/>
    <n v="990"/>
    <x v="0"/>
    <x v="1"/>
    <n v="2"/>
    <x v="36"/>
    <x v="1"/>
    <x v="1"/>
    <x v="2"/>
    <s v="Comuna"/>
    <s v="Puntaje promedio por establecimiento"/>
    <s v="Periodo 2015-2018"/>
    <s v="Puntaje"/>
    <s v="Agencia de Calidad de la Educación"/>
    <x v="624"/>
    <m/>
    <s v="Gráfico de Evolución"/>
    <s v="Región de Antofagasta SIMCE media segundo educación puntaje lectura municipal subvencionado corporación lenguaje particular"/>
    <x v="281"/>
    <s v="100-C-2"/>
    <s v="#1774B9"/>
    <s v="990-0625"/>
    <n v="99200002"/>
    <s v="T-1043"/>
    <s v="C-1019"/>
    <s v="FI-991"/>
    <s v="M-1054"/>
  </r>
  <r>
    <x v="625"/>
    <n v="990"/>
    <x v="0"/>
    <x v="1"/>
    <n v="3"/>
    <x v="36"/>
    <x v="1"/>
    <x v="1"/>
    <x v="3"/>
    <s v="Comuna"/>
    <s v="Puntaje promedio por establecimiento"/>
    <s v="Periodo 2015-2018"/>
    <s v="Puntaje"/>
    <s v="Agencia de Calidad de la Educación"/>
    <x v="625"/>
    <m/>
    <s v="Gráfico de Evolución"/>
    <s v="Región de Atacama SIMCE media segundo educación puntaje lectura municipal subvencionado corporación lenguaje particular"/>
    <x v="281"/>
    <s v="100-C-3"/>
    <s v="#1774B9"/>
    <s v="990-0626"/>
    <n v="99200003"/>
    <s v="T-1043"/>
    <s v="C-1019"/>
    <s v="FI-991"/>
    <s v="M-1054"/>
  </r>
  <r>
    <x v="626"/>
    <n v="990"/>
    <x v="0"/>
    <x v="1"/>
    <n v="4"/>
    <x v="36"/>
    <x v="1"/>
    <x v="1"/>
    <x v="4"/>
    <s v="Comuna"/>
    <s v="Puntaje promedio por establecimiento"/>
    <s v="Periodo 2015-2018"/>
    <s v="Puntaje"/>
    <s v="Agencia de Calidad de la Educación"/>
    <x v="626"/>
    <m/>
    <s v="Gráfico de Evolución"/>
    <s v="Región de Coquimbo SIMCE media segundo educación puntaje lectura municipal subvencionado corporación lenguaje particular"/>
    <x v="281"/>
    <s v="100-C-4"/>
    <s v="#1774B9"/>
    <s v="990-0627"/>
    <n v="99200004"/>
    <s v="T-1043"/>
    <s v="C-1019"/>
    <s v="FI-991"/>
    <s v="M-1054"/>
  </r>
  <r>
    <x v="627"/>
    <n v="990"/>
    <x v="0"/>
    <x v="1"/>
    <n v="5"/>
    <x v="36"/>
    <x v="1"/>
    <x v="1"/>
    <x v="5"/>
    <s v="Comuna"/>
    <s v="Puntaje promedio por establecimiento"/>
    <s v="Periodo 2015-2018"/>
    <s v="Puntaje"/>
    <s v="Agencia de Calidad de la Educación"/>
    <x v="627"/>
    <m/>
    <s v="Gráfico de Evolución"/>
    <s v="Región de Valparaíso SIMCE media segundo educación puntaje lectura municipal subvencionado corporación lenguaje particular"/>
    <x v="281"/>
    <s v="100-C-5"/>
    <s v="#1774B9"/>
    <s v="990-0628"/>
    <n v="99200005"/>
    <s v="T-1043"/>
    <s v="C-1019"/>
    <s v="FI-991"/>
    <s v="M-1054"/>
  </r>
  <r>
    <x v="628"/>
    <n v="990"/>
    <x v="0"/>
    <x v="1"/>
    <n v="6"/>
    <x v="36"/>
    <x v="1"/>
    <x v="1"/>
    <x v="6"/>
    <s v="Comuna"/>
    <s v="Puntaje promedio por establecimiento"/>
    <s v="Periodo 2015-2018"/>
    <s v="Puntaje"/>
    <s v="Agencia de Calidad de la Educación"/>
    <x v="628"/>
    <m/>
    <s v="Gráfico de Evolución"/>
    <s v="Región de O'Higgins SIMCE media segundo educación puntaje lectura municipal subvencionado corporación lenguaje particular"/>
    <x v="281"/>
    <s v="100-C-6"/>
    <s v="#1774B9"/>
    <s v="990-0629"/>
    <n v="99200006"/>
    <s v="T-1043"/>
    <s v="C-1019"/>
    <s v="FI-991"/>
    <s v="M-1054"/>
  </r>
  <r>
    <x v="629"/>
    <n v="990"/>
    <x v="0"/>
    <x v="1"/>
    <n v="7"/>
    <x v="36"/>
    <x v="1"/>
    <x v="1"/>
    <x v="7"/>
    <s v="Comuna"/>
    <s v="Puntaje promedio por establecimiento"/>
    <s v="Periodo 2015-2018"/>
    <s v="Puntaje"/>
    <s v="Agencia de Calidad de la Educación"/>
    <x v="629"/>
    <m/>
    <s v="Gráfico de Evolución"/>
    <s v="Región de Maule SIMCE media segundo educación puntaje lectura municipal subvencionado corporación lenguaje particular"/>
    <x v="281"/>
    <s v="100-C-7"/>
    <s v="#1774B9"/>
    <s v="990-0630"/>
    <n v="99200007"/>
    <s v="T-1043"/>
    <s v="C-1019"/>
    <s v="FI-991"/>
    <s v="M-1054"/>
  </r>
  <r>
    <x v="630"/>
    <n v="990"/>
    <x v="0"/>
    <x v="1"/>
    <n v="8"/>
    <x v="36"/>
    <x v="1"/>
    <x v="1"/>
    <x v="8"/>
    <s v="Comuna"/>
    <s v="Puntaje promedio por establecimiento"/>
    <s v="Periodo 2015-2018"/>
    <s v="Puntaje"/>
    <s v="Agencia de Calidad de la Educación"/>
    <x v="630"/>
    <m/>
    <s v="Gráfico de Evolución"/>
    <s v="Región del Biobío SIMCE media segundo educación puntaje lectura municipal subvencionado corporación lenguaje particular"/>
    <x v="281"/>
    <s v="100-C-8"/>
    <s v="#1774B9"/>
    <s v="990-0631"/>
    <n v="99200008"/>
    <s v="T-1043"/>
    <s v="C-1019"/>
    <s v="FI-991"/>
    <s v="M-1054"/>
  </r>
  <r>
    <x v="631"/>
    <n v="990"/>
    <x v="0"/>
    <x v="1"/>
    <n v="9"/>
    <x v="36"/>
    <x v="1"/>
    <x v="1"/>
    <x v="9"/>
    <s v="Comuna"/>
    <s v="Puntaje promedio por establecimiento"/>
    <s v="Periodo 2015-2018"/>
    <s v="Puntaje"/>
    <s v="Agencia de Calidad de la Educación"/>
    <x v="631"/>
    <m/>
    <s v="Gráfico de Evolución"/>
    <s v="Región de La Araucanía SIMCE media segundo educación puntaje lectura municipal subvencionado corporación lenguaje particular"/>
    <x v="281"/>
    <s v="100-C-9"/>
    <s v="#1774B9"/>
    <s v="990-0632"/>
    <n v="99200009"/>
    <s v="T-1043"/>
    <s v="C-1019"/>
    <s v="FI-991"/>
    <s v="M-1054"/>
  </r>
  <r>
    <x v="632"/>
    <n v="990"/>
    <x v="0"/>
    <x v="1"/>
    <n v="10"/>
    <x v="36"/>
    <x v="1"/>
    <x v="1"/>
    <x v="10"/>
    <s v="Comuna"/>
    <s v="Puntaje promedio por establecimiento"/>
    <s v="Periodo 2015-2018"/>
    <s v="Puntaje"/>
    <s v="Agencia de Calidad de la Educación"/>
    <x v="632"/>
    <m/>
    <s v="Gráfico de Evolución"/>
    <s v="Región de Los Lagos SIMCE media segundo educación puntaje lectura municipal subvencionado corporación lenguaje particular"/>
    <x v="281"/>
    <s v="100-C-10"/>
    <s v="#1774B9"/>
    <s v="990-0633"/>
    <n v="99200010"/>
    <s v="T-1043"/>
    <s v="C-1019"/>
    <s v="FI-991"/>
    <s v="M-1054"/>
  </r>
  <r>
    <x v="633"/>
    <n v="990"/>
    <x v="0"/>
    <x v="1"/>
    <n v="11"/>
    <x v="36"/>
    <x v="1"/>
    <x v="1"/>
    <x v="11"/>
    <s v="Comuna"/>
    <s v="Puntaje promedio por establecimiento"/>
    <s v="Periodo 2015-2018"/>
    <s v="Puntaje"/>
    <s v="Agencia de Calidad de la Educación"/>
    <x v="633"/>
    <m/>
    <s v="Gráfico de Evolución"/>
    <s v="Región de Aysén SIMCE media segundo educación puntaje lectura municipal subvencionado corporación lenguaje particular"/>
    <x v="281"/>
    <s v="100-C-11"/>
    <s v="#1774B9"/>
    <s v="990-0634"/>
    <n v="99200011"/>
    <s v="T-1043"/>
    <s v="C-1019"/>
    <s v="FI-991"/>
    <s v="M-1054"/>
  </r>
  <r>
    <x v="634"/>
    <n v="990"/>
    <x v="0"/>
    <x v="1"/>
    <n v="12"/>
    <x v="36"/>
    <x v="1"/>
    <x v="1"/>
    <x v="12"/>
    <s v="Comuna"/>
    <s v="Puntaje promedio por establecimiento"/>
    <s v="Periodo 2015-2018"/>
    <s v="Puntaje"/>
    <s v="Agencia de Calidad de la Educación"/>
    <x v="634"/>
    <m/>
    <s v="Gráfico de Evolución"/>
    <s v="Región de Magallanes SIMCE media segundo educación puntaje lectura municipal subvencionado corporación lenguaje particular"/>
    <x v="281"/>
    <s v="100-C-12"/>
    <s v="#1774B9"/>
    <s v="990-0635"/>
    <n v="99200012"/>
    <s v="T-1043"/>
    <s v="C-1019"/>
    <s v="FI-991"/>
    <s v="M-1054"/>
  </r>
  <r>
    <x v="635"/>
    <n v="990"/>
    <x v="0"/>
    <x v="1"/>
    <n v="13"/>
    <x v="36"/>
    <x v="1"/>
    <x v="1"/>
    <x v="13"/>
    <s v="Comuna"/>
    <s v="Puntaje promedio por establecimiento"/>
    <s v="Periodo 2015-2018"/>
    <s v="Puntaje"/>
    <s v="Agencia de Calidad de la Educación"/>
    <x v="635"/>
    <m/>
    <s v="Gráfico de Evolución"/>
    <s v="Región Metropolitana SIMCE media segundo educación puntaje lectura municipal subvencionado corporación lenguaje particular"/>
    <x v="281"/>
    <s v="200-C-13"/>
    <s v="#1774B9"/>
    <s v="990-0636"/>
    <n v="99200013"/>
    <s v="T-1043"/>
    <s v="C-1019"/>
    <s v="FI-991"/>
    <s v="M-1054"/>
  </r>
  <r>
    <x v="636"/>
    <n v="990"/>
    <x v="0"/>
    <x v="1"/>
    <n v="14"/>
    <x v="36"/>
    <x v="1"/>
    <x v="1"/>
    <x v="14"/>
    <s v="Comuna"/>
    <s v="Puntaje promedio por establecimiento"/>
    <s v="Periodo 2015-2018"/>
    <s v="Puntaje"/>
    <s v="Agencia de Calidad de la Educación"/>
    <x v="636"/>
    <m/>
    <s v="Gráfico de Evolución"/>
    <s v="Región de Los Ríos SIMCE media segundo educación puntaje lectura municipal subvencionado corporación lenguaje particular"/>
    <x v="281"/>
    <s v="100-C-14"/>
    <s v="#1774B9"/>
    <s v="990-0637"/>
    <n v="99200014"/>
    <s v="T-1043"/>
    <s v="C-1019"/>
    <s v="FI-991"/>
    <s v="M-1054"/>
  </r>
  <r>
    <x v="637"/>
    <n v="990"/>
    <x v="0"/>
    <x v="1"/>
    <n v="15"/>
    <x v="36"/>
    <x v="1"/>
    <x v="1"/>
    <x v="15"/>
    <s v="Comuna"/>
    <s v="Puntaje promedio por establecimiento"/>
    <s v="Periodo 2015-2018"/>
    <s v="Puntaje"/>
    <s v="Agencia de Calidad de la Educación"/>
    <x v="637"/>
    <m/>
    <s v="Gráfico de Evolución"/>
    <s v="Región de Arica y Parinacota SIMCE media segundo educación puntaje lectura municipal subvencionado corporación lenguaje particular"/>
    <x v="281"/>
    <s v="100-C-15"/>
    <s v="#1774B9"/>
    <s v="990-0638"/>
    <n v="99200015"/>
    <s v="T-1043"/>
    <s v="C-1019"/>
    <s v="FI-991"/>
    <s v="M-1054"/>
  </r>
  <r>
    <x v="638"/>
    <n v="990"/>
    <x v="0"/>
    <x v="1"/>
    <n v="16"/>
    <x v="36"/>
    <x v="1"/>
    <x v="1"/>
    <x v="16"/>
    <s v="Comuna"/>
    <s v="Puntaje promedio por establecimiento"/>
    <s v="Periodo 2015-2018"/>
    <s v="Puntaje"/>
    <s v="Agencia de Calidad de la Educación"/>
    <x v="638"/>
    <m/>
    <s v="Gráfico de Evolución"/>
    <s v="Región de Ñuble SIMCE media segundo educación puntaje lectura municipal subvencionado corporación lenguaje particular"/>
    <x v="281"/>
    <s v="100-C-16"/>
    <s v="#1774B9"/>
    <s v="990-0639"/>
    <n v="99200016"/>
    <s v="T-1043"/>
    <s v="C-1019"/>
    <s v="FI-991"/>
    <s v="M-1054"/>
  </r>
  <r>
    <x v="639"/>
    <n v="990"/>
    <x v="0"/>
    <x v="1"/>
    <n v="0"/>
    <x v="36"/>
    <x v="1"/>
    <x v="0"/>
    <x v="0"/>
    <s v="Región-Comuna"/>
    <s v="Puntaje promedio por establecimiento"/>
    <s v="Periodo 2015-2018"/>
    <s v="Puntaje"/>
    <s v="Agencia de Calidad de la Educación"/>
    <x v="639"/>
    <s v="Los colegios particulares, han obtenido un puntaje sobre los 225 puntos, en la prueba SIMCE de matemáticas tomada a los alumnos de 2° Medio, superando por más de 80 puntos a los colegios municipales, subvencionados y de otras dependencias del país, en los años 2015, 2016, 2017 y 2018."/>
    <s v="Gráfico de Evolución"/>
    <s v="Chile SIMCE media segundo educación puntaje matemáticas municipal subvencionado corporación lenguaje particular"/>
    <x v="442"/>
    <s v="300-C"/>
    <s v="#1774B9"/>
    <s v="990-0640"/>
    <n v="99100000"/>
    <s v="T-1043"/>
    <s v="C-1019"/>
    <s v="FI-995"/>
    <s v="M-1054"/>
  </r>
  <r>
    <x v="640"/>
    <n v="990"/>
    <x v="0"/>
    <x v="1"/>
    <n v="1"/>
    <x v="36"/>
    <x v="1"/>
    <x v="1"/>
    <x v="1"/>
    <s v="Comuna"/>
    <s v="Puntaje promedio por establecimiento"/>
    <s v="Periodo 2015-2018"/>
    <s v="Puntaje"/>
    <s v="Agencia de Calidad de la Educación"/>
    <x v="640"/>
    <m/>
    <s v="Gráfico de Evolución"/>
    <s v="Región de Tarapacá SIMCE media segundo educación puntaje matemáticas municipal subvencionado corporación lenguaje particular"/>
    <x v="281"/>
    <s v="100-C-1"/>
    <s v="#1774B9"/>
    <s v="990-0641"/>
    <n v="99200001"/>
    <s v="T-1043"/>
    <s v="C-1019"/>
    <s v="FI-991"/>
    <s v="M-1054"/>
  </r>
  <r>
    <x v="641"/>
    <n v="990"/>
    <x v="0"/>
    <x v="1"/>
    <n v="2"/>
    <x v="36"/>
    <x v="1"/>
    <x v="1"/>
    <x v="2"/>
    <s v="Comuna"/>
    <s v="Puntaje promedio por establecimiento"/>
    <s v="Periodo 2015-2018"/>
    <s v="Puntaje"/>
    <s v="Agencia de Calidad de la Educación"/>
    <x v="641"/>
    <m/>
    <s v="Gráfico de Evolución"/>
    <s v="Región de Antofagasta SIMCE media segundo educación puntaje matemáticas municipal subvencionado corporación lenguaje particular"/>
    <x v="281"/>
    <s v="100-C-2"/>
    <s v="#1774B9"/>
    <s v="990-0642"/>
    <n v="99200002"/>
    <s v="T-1043"/>
    <s v="C-1019"/>
    <s v="FI-991"/>
    <s v="M-1054"/>
  </r>
  <r>
    <x v="642"/>
    <n v="990"/>
    <x v="0"/>
    <x v="1"/>
    <n v="3"/>
    <x v="36"/>
    <x v="1"/>
    <x v="1"/>
    <x v="3"/>
    <s v="Comuna"/>
    <s v="Puntaje promedio por establecimiento"/>
    <s v="Periodo 2015-2018"/>
    <s v="Puntaje"/>
    <s v="Agencia de Calidad de la Educación"/>
    <x v="642"/>
    <m/>
    <s v="Gráfico de Evolución"/>
    <s v="Región de Atacama SIMCE media segundo educación puntaje matemáticas municipal subvencionado corporación lenguaje particular"/>
    <x v="281"/>
    <s v="100-C-3"/>
    <s v="#1774B9"/>
    <s v="990-0643"/>
    <n v="99200003"/>
    <s v="T-1043"/>
    <s v="C-1019"/>
    <s v="FI-991"/>
    <s v="M-1054"/>
  </r>
  <r>
    <x v="643"/>
    <n v="990"/>
    <x v="0"/>
    <x v="1"/>
    <n v="4"/>
    <x v="36"/>
    <x v="1"/>
    <x v="1"/>
    <x v="4"/>
    <s v="Comuna"/>
    <s v="Puntaje promedio por establecimiento"/>
    <s v="Periodo 2015-2018"/>
    <s v="Puntaje"/>
    <s v="Agencia de Calidad de la Educación"/>
    <x v="643"/>
    <m/>
    <s v="Gráfico de Evolución"/>
    <s v="Región de Coquimbo SIMCE media segundo educación puntaje matemáticas municipal subvencionado corporación lenguaje particular"/>
    <x v="281"/>
    <s v="100-C-4"/>
    <s v="#1774B9"/>
    <s v="990-0644"/>
    <n v="99200004"/>
    <s v="T-1043"/>
    <s v="C-1019"/>
    <s v="FI-991"/>
    <s v="M-1054"/>
  </r>
  <r>
    <x v="644"/>
    <n v="990"/>
    <x v="0"/>
    <x v="1"/>
    <n v="5"/>
    <x v="36"/>
    <x v="1"/>
    <x v="1"/>
    <x v="5"/>
    <s v="Comuna"/>
    <s v="Puntaje promedio por establecimiento"/>
    <s v="Periodo 2015-2018"/>
    <s v="Puntaje"/>
    <s v="Agencia de Calidad de la Educación"/>
    <x v="644"/>
    <m/>
    <s v="Gráfico de Evolución"/>
    <s v="Región de Valparaíso SIMCE media segundo educación puntaje matemáticas municipal subvencionado corporación lenguaje particular"/>
    <x v="281"/>
    <s v="100-C-5"/>
    <s v="#1774B9"/>
    <s v="990-0645"/>
    <n v="99200005"/>
    <s v="T-1043"/>
    <s v="C-1019"/>
    <s v="FI-991"/>
    <s v="M-1054"/>
  </r>
  <r>
    <x v="645"/>
    <n v="990"/>
    <x v="0"/>
    <x v="1"/>
    <n v="6"/>
    <x v="36"/>
    <x v="1"/>
    <x v="1"/>
    <x v="6"/>
    <s v="Comuna"/>
    <s v="Puntaje promedio por establecimiento"/>
    <s v="Periodo 2015-2018"/>
    <s v="Puntaje"/>
    <s v="Agencia de Calidad de la Educación"/>
    <x v="645"/>
    <m/>
    <s v="Gráfico de Evolución"/>
    <s v="Región de O'Higgins SIMCE media segundo educación puntaje matemáticas municipal subvencionado corporación lenguaje particular"/>
    <x v="281"/>
    <s v="100-C-6"/>
    <s v="#1774B9"/>
    <s v="990-0646"/>
    <n v="99200006"/>
    <s v="T-1043"/>
    <s v="C-1019"/>
    <s v="FI-991"/>
    <s v="M-1054"/>
  </r>
  <r>
    <x v="646"/>
    <n v="990"/>
    <x v="0"/>
    <x v="1"/>
    <n v="7"/>
    <x v="36"/>
    <x v="1"/>
    <x v="1"/>
    <x v="7"/>
    <s v="Comuna"/>
    <s v="Puntaje promedio por establecimiento"/>
    <s v="Periodo 2015-2018"/>
    <s v="Puntaje"/>
    <s v="Agencia de Calidad de la Educación"/>
    <x v="646"/>
    <m/>
    <s v="Gráfico de Evolución"/>
    <s v="Región de Maule SIMCE media segundo educación puntaje matemáticas municipal subvencionado corporación lenguaje particular"/>
    <x v="281"/>
    <s v="100-C-7"/>
    <s v="#1774B9"/>
    <s v="990-0647"/>
    <n v="99200007"/>
    <s v="T-1043"/>
    <s v="C-1019"/>
    <s v="FI-991"/>
    <s v="M-1054"/>
  </r>
  <r>
    <x v="647"/>
    <n v="990"/>
    <x v="0"/>
    <x v="1"/>
    <n v="8"/>
    <x v="36"/>
    <x v="1"/>
    <x v="1"/>
    <x v="8"/>
    <s v="Comuna"/>
    <s v="Puntaje promedio por establecimiento"/>
    <s v="Periodo 2015-2018"/>
    <s v="Puntaje"/>
    <s v="Agencia de Calidad de la Educación"/>
    <x v="647"/>
    <m/>
    <s v="Gráfico de Evolución"/>
    <s v="Región del Biobío SIMCE media segundo educación puntaje matemáticas municipal subvencionado corporación lenguaje particular"/>
    <x v="281"/>
    <s v="100-C-8"/>
    <s v="#1774B9"/>
    <s v="990-0648"/>
    <n v="99200008"/>
    <s v="T-1043"/>
    <s v="C-1019"/>
    <s v="FI-991"/>
    <s v="M-1054"/>
  </r>
  <r>
    <x v="648"/>
    <n v="990"/>
    <x v="0"/>
    <x v="1"/>
    <n v="9"/>
    <x v="36"/>
    <x v="1"/>
    <x v="1"/>
    <x v="9"/>
    <s v="Comuna"/>
    <s v="Puntaje promedio por establecimiento"/>
    <s v="Periodo 2015-2018"/>
    <s v="Puntaje"/>
    <s v="Agencia de Calidad de la Educación"/>
    <x v="648"/>
    <m/>
    <s v="Gráfico de Evolución"/>
    <s v="Región de La Araucanía SIMCE media segundo educación puntaje matemáticas municipal subvencionado corporación lenguaje particular"/>
    <x v="281"/>
    <s v="100-C-9"/>
    <s v="#1774B9"/>
    <s v="990-0649"/>
    <n v="99200009"/>
    <s v="T-1043"/>
    <s v="C-1019"/>
    <s v="FI-991"/>
    <s v="M-1054"/>
  </r>
  <r>
    <x v="649"/>
    <n v="990"/>
    <x v="0"/>
    <x v="1"/>
    <n v="10"/>
    <x v="36"/>
    <x v="1"/>
    <x v="1"/>
    <x v="10"/>
    <s v="Comuna"/>
    <s v="Puntaje promedio por establecimiento"/>
    <s v="Periodo 2015-2018"/>
    <s v="Puntaje"/>
    <s v="Agencia de Calidad de la Educación"/>
    <x v="649"/>
    <m/>
    <s v="Gráfico de Evolución"/>
    <s v="Región de Los Lagos SIMCE media segundo educación puntaje matemáticas municipal subvencionado corporación lenguaje particular"/>
    <x v="281"/>
    <s v="100-C-10"/>
    <s v="#1774B9"/>
    <s v="990-0650"/>
    <n v="99200010"/>
    <s v="T-1043"/>
    <s v="C-1019"/>
    <s v="FI-991"/>
    <s v="M-1054"/>
  </r>
  <r>
    <x v="650"/>
    <n v="990"/>
    <x v="0"/>
    <x v="1"/>
    <n v="11"/>
    <x v="36"/>
    <x v="1"/>
    <x v="1"/>
    <x v="11"/>
    <s v="Comuna"/>
    <s v="Puntaje promedio por establecimiento"/>
    <s v="Periodo 2015-2018"/>
    <s v="Puntaje"/>
    <s v="Agencia de Calidad de la Educación"/>
    <x v="650"/>
    <m/>
    <s v="Gráfico de Evolución"/>
    <s v="Región de Aysén SIMCE media segundo educación puntaje matemáticas municipal subvencionado corporación lenguaje particular"/>
    <x v="281"/>
    <s v="100-C-11"/>
    <s v="#1774B9"/>
    <s v="990-0651"/>
    <n v="99200011"/>
    <s v="T-1043"/>
    <s v="C-1019"/>
    <s v="FI-991"/>
    <s v="M-1054"/>
  </r>
  <r>
    <x v="651"/>
    <n v="990"/>
    <x v="0"/>
    <x v="1"/>
    <n v="12"/>
    <x v="36"/>
    <x v="1"/>
    <x v="1"/>
    <x v="12"/>
    <s v="Comuna"/>
    <s v="Puntaje promedio por establecimiento"/>
    <s v="Periodo 2015-2018"/>
    <s v="Puntaje"/>
    <s v="Agencia de Calidad de la Educación"/>
    <x v="651"/>
    <m/>
    <s v="Gráfico de Evolución"/>
    <s v="Región de Magallanes SIMCE media segundo educación puntaje matemáticas municipal subvencionado corporación lenguaje particular"/>
    <x v="281"/>
    <s v="100-C-12"/>
    <s v="#1774B9"/>
    <s v="990-0652"/>
    <n v="99200012"/>
    <s v="T-1043"/>
    <s v="C-1019"/>
    <s v="FI-991"/>
    <s v="M-1054"/>
  </r>
  <r>
    <x v="652"/>
    <n v="990"/>
    <x v="0"/>
    <x v="1"/>
    <n v="13"/>
    <x v="36"/>
    <x v="1"/>
    <x v="1"/>
    <x v="13"/>
    <s v="Comuna"/>
    <s v="Puntaje promedio por establecimiento"/>
    <s v="Periodo 2015-2018"/>
    <s v="Puntaje"/>
    <s v="Agencia de Calidad de la Educación"/>
    <x v="652"/>
    <m/>
    <s v="Gráfico de Evolución"/>
    <s v="Región Metropolitana SIMCE media segundo educación puntaje matemáticas municipal subvencionado corporación lenguaje particular"/>
    <x v="281"/>
    <s v="200-C-13"/>
    <s v="#1774B9"/>
    <s v="990-0653"/>
    <n v="99200013"/>
    <s v="T-1043"/>
    <s v="C-1019"/>
    <s v="FI-991"/>
    <s v="M-1054"/>
  </r>
  <r>
    <x v="653"/>
    <n v="990"/>
    <x v="0"/>
    <x v="1"/>
    <n v="14"/>
    <x v="36"/>
    <x v="1"/>
    <x v="1"/>
    <x v="14"/>
    <s v="Comuna"/>
    <s v="Puntaje promedio por establecimiento"/>
    <s v="Periodo 2015-2018"/>
    <s v="Puntaje"/>
    <s v="Agencia de Calidad de la Educación"/>
    <x v="653"/>
    <m/>
    <s v="Gráfico de Evolución"/>
    <s v="Región de Los Ríos SIMCE media segundo educación puntaje matemáticas municipal subvencionado corporación lenguaje particular"/>
    <x v="281"/>
    <s v="100-C-14"/>
    <s v="#1774B9"/>
    <s v="990-0654"/>
    <n v="99200014"/>
    <s v="T-1043"/>
    <s v="C-1019"/>
    <s v="FI-991"/>
    <s v="M-1054"/>
  </r>
  <r>
    <x v="654"/>
    <n v="990"/>
    <x v="0"/>
    <x v="1"/>
    <n v="15"/>
    <x v="36"/>
    <x v="1"/>
    <x v="1"/>
    <x v="15"/>
    <s v="Comuna"/>
    <s v="Puntaje promedio por establecimiento"/>
    <s v="Periodo 2015-2018"/>
    <s v="Puntaje"/>
    <s v="Agencia de Calidad de la Educación"/>
    <x v="654"/>
    <m/>
    <s v="Gráfico de Evolución"/>
    <s v="Región de Arica y Parinacota SIMCE media segundo educación puntaje matemáticas municipal subvencionado corporación lenguaje particular"/>
    <x v="281"/>
    <s v="100-C-15"/>
    <s v="#1774B9"/>
    <s v="990-0655"/>
    <n v="99200015"/>
    <s v="T-1043"/>
    <s v="C-1019"/>
    <s v="FI-991"/>
    <s v="M-1054"/>
  </r>
  <r>
    <x v="655"/>
    <n v="990"/>
    <x v="0"/>
    <x v="1"/>
    <n v="16"/>
    <x v="36"/>
    <x v="1"/>
    <x v="1"/>
    <x v="16"/>
    <s v="Comuna"/>
    <s v="Puntaje promedio por establecimiento"/>
    <s v="Periodo 2015-2018"/>
    <s v="Puntaje"/>
    <s v="Agencia de Calidad de la Educación"/>
    <x v="655"/>
    <m/>
    <s v="Gráfico de Evolución"/>
    <s v="Región de Ñuble SIMCE media segundo educación puntaje matemáticas municipal subvencionado corporación lenguaje particular"/>
    <x v="281"/>
    <s v="100-C-16"/>
    <s v="#1774B9"/>
    <s v="990-0656"/>
    <n v="99200016"/>
    <s v="T-1043"/>
    <s v="C-1019"/>
    <s v="FI-991"/>
    <s v="M-1054"/>
  </r>
  <r>
    <x v="656"/>
    <n v="990"/>
    <x v="0"/>
    <x v="1"/>
    <n v="0"/>
    <x v="41"/>
    <x v="1"/>
    <x v="0"/>
    <x v="0"/>
    <s v="Comuna"/>
    <s v="Autoestima, Convivencia, Hábitos Salud y Participación"/>
    <s v="Periodo 2014-2019"/>
    <s v="Puntaje"/>
    <s v="Agencia de Calidad de la Educación"/>
    <x v="656"/>
    <m/>
    <s v="Gráfico de Evolución"/>
    <s v="Chile calidad educación puntaje municipal subvencionado corporación particular autoestima convivencia hábitos salud participación desarrollo personal indicadores"/>
    <x v="281"/>
    <s v="300-C"/>
    <s v="#1774B9"/>
    <s v="990-0657"/>
    <n v="99100000"/>
    <s v="T-991"/>
    <s v="C-1019"/>
    <s v="FI-991"/>
    <s v="M-1083"/>
  </r>
  <r>
    <x v="657"/>
    <n v="990"/>
    <x v="0"/>
    <x v="1"/>
    <n v="1"/>
    <x v="41"/>
    <x v="1"/>
    <x v="1"/>
    <x v="1"/>
    <s v="Comuna"/>
    <s v="Autoestima, Convivencia, Hábitos Salud y Participación"/>
    <s v="Periodo 2014-2019"/>
    <s v="Puntaje"/>
    <s v="Agencia de Calidad de la Educación"/>
    <x v="657"/>
    <m/>
    <s v="Gráfico de Evolución"/>
    <s v="Región de Tarapacá calidad educación puntaje municipal subvencionado corporación particular autoestima convivencia hábitos salud participación desarrollo personal indicadores"/>
    <x v="443"/>
    <s v="100-C-1"/>
    <s v="#1774B9"/>
    <s v="990-0658"/>
    <n v="99200001"/>
    <s v="T-991"/>
    <s v="C-1019"/>
    <s v="FI-991"/>
    <s v="M-1083"/>
  </r>
  <r>
    <x v="658"/>
    <n v="990"/>
    <x v="0"/>
    <x v="1"/>
    <n v="2"/>
    <x v="41"/>
    <x v="1"/>
    <x v="1"/>
    <x v="2"/>
    <s v="Comuna"/>
    <s v="Autoestima, Convivencia, Hábitos Salud y Participación"/>
    <s v="Periodo 2014-2019"/>
    <s v="Puntaje"/>
    <s v="Agencia de Calidad de la Educación"/>
    <x v="658"/>
    <m/>
    <s v="Gráfico de Evolución"/>
    <s v="Región de Antofagasta calidad educación puntaje municipal subvencionado corporación particular autoestima convivencia hábitos salud participación desarrollo personal indicadores"/>
    <x v="444"/>
    <s v="100-C-2"/>
    <s v="#1774B9"/>
    <s v="990-0659"/>
    <n v="99200002"/>
    <s v="T-991"/>
    <s v="C-1019"/>
    <s v="FI-991"/>
    <s v="M-1083"/>
  </r>
  <r>
    <x v="659"/>
    <n v="990"/>
    <x v="0"/>
    <x v="1"/>
    <n v="3"/>
    <x v="41"/>
    <x v="1"/>
    <x v="1"/>
    <x v="3"/>
    <s v="Comuna"/>
    <s v="Autoestima, Convivencia, Hábitos Salud y Participación"/>
    <s v="Periodo 2014-2019"/>
    <s v="Puntaje"/>
    <s v="Agencia de Calidad de la Educación"/>
    <x v="659"/>
    <m/>
    <s v="Gráfico de Evolución"/>
    <s v="Región de Atacama calidad educación puntaje municipal subvencionado corporación particular autoestima convivencia hábitos salud participación desarrollo personal indicadores"/>
    <x v="445"/>
    <s v="100-C-3"/>
    <s v="#1774B9"/>
    <s v="990-0660"/>
    <n v="99200003"/>
    <s v="T-991"/>
    <s v="C-1019"/>
    <s v="FI-991"/>
    <s v="M-1083"/>
  </r>
  <r>
    <x v="660"/>
    <n v="990"/>
    <x v="0"/>
    <x v="1"/>
    <n v="4"/>
    <x v="41"/>
    <x v="1"/>
    <x v="1"/>
    <x v="4"/>
    <s v="Comuna"/>
    <s v="Autoestima, Convivencia, Hábitos Salud y Participación"/>
    <s v="Periodo 2014-2019"/>
    <s v="Puntaje"/>
    <s v="Agencia de Calidad de la Educación"/>
    <x v="660"/>
    <m/>
    <s v="Gráfico de Evolución"/>
    <s v="Región de Coquimbo calidad educación puntaje municipal subvencionado corporación particular autoestima convivencia hábitos salud participación desarrollo personal indicadores"/>
    <x v="446"/>
    <s v="100-C-4"/>
    <s v="#1774B9"/>
    <s v="990-0661"/>
    <n v="99200004"/>
    <s v="T-991"/>
    <s v="C-1019"/>
    <s v="FI-991"/>
    <s v="M-1083"/>
  </r>
  <r>
    <x v="661"/>
    <n v="990"/>
    <x v="0"/>
    <x v="1"/>
    <n v="5"/>
    <x v="41"/>
    <x v="1"/>
    <x v="1"/>
    <x v="5"/>
    <s v="Comuna"/>
    <s v="Autoestima, Convivencia, Hábitos Salud y Participación"/>
    <s v="Periodo 2014-2019"/>
    <s v="Puntaje"/>
    <s v="Agencia de Calidad de la Educación"/>
    <x v="661"/>
    <s v="En la región de Valparaíso, los Indicadores de Desarrollo Personal y Social, relativos a la Autoestima académica y motivación escolar, Convivencia escolar, Hábitos de vida Saludable y Participación y formación ciudadana, muestran un descenso hacia el año 2019; mientras en el año 2014 arrojaron valores por sobre los 66 puntos, el año 2019, todos los indicadores arrojaron valores entre los 20 y 30 puntos, los que varían según el tipo de dependencia del establecimiento y por cada establecimiento en particular."/>
    <s v="Gráfico de Evolución"/>
    <s v="Región de Valparaíso calidad educación puntaje municipal subvencionado corporación particular autoestima convivencia hábitos salud participación desarrollo personal indicadores"/>
    <x v="447"/>
    <s v="100-C-5"/>
    <s v="#1774B9"/>
    <s v="990-0662"/>
    <n v="99200005"/>
    <s v="T-991"/>
    <s v="C-1019"/>
    <s v="FI-991"/>
    <s v="M-1083"/>
  </r>
  <r>
    <x v="662"/>
    <n v="990"/>
    <x v="0"/>
    <x v="1"/>
    <n v="6"/>
    <x v="41"/>
    <x v="1"/>
    <x v="1"/>
    <x v="6"/>
    <s v="Comuna"/>
    <s v="Autoestima, Convivencia, Hábitos Salud y Participación"/>
    <s v="Periodo 2014-2019"/>
    <s v="Puntaje"/>
    <s v="Agencia de Calidad de la Educación"/>
    <x v="662"/>
    <m/>
    <s v="Gráfico de Evolución"/>
    <s v="Región de O'Higgins calidad educación puntaje municipal subvencionado corporación particular autoestima convivencia hábitos salud participación desarrollo personal indicadores"/>
    <x v="448"/>
    <s v="100-C-6"/>
    <s v="#1774B9"/>
    <s v="990-0663"/>
    <n v="99200006"/>
    <s v="T-991"/>
    <s v="C-1019"/>
    <s v="FI-991"/>
    <s v="M-1083"/>
  </r>
  <r>
    <x v="663"/>
    <n v="990"/>
    <x v="0"/>
    <x v="1"/>
    <n v="7"/>
    <x v="41"/>
    <x v="1"/>
    <x v="1"/>
    <x v="7"/>
    <s v="Comuna"/>
    <s v="Autoestima, Convivencia, Hábitos Salud y Participación"/>
    <s v="Periodo 2014-2019"/>
    <s v="Puntaje"/>
    <s v="Agencia de Calidad de la Educación"/>
    <x v="663"/>
    <m/>
    <s v="Gráfico de Evolución"/>
    <s v="Región de Maule calidad educación puntaje municipal subvencionado corporación particular autoestima convivencia hábitos salud participación desarrollo personal indicadores"/>
    <x v="449"/>
    <s v="100-C-7"/>
    <s v="#1774B9"/>
    <s v="990-0664"/>
    <n v="99200007"/>
    <s v="T-991"/>
    <s v="C-1019"/>
    <s v="FI-991"/>
    <s v="M-1083"/>
  </r>
  <r>
    <x v="664"/>
    <n v="990"/>
    <x v="0"/>
    <x v="1"/>
    <n v="8"/>
    <x v="41"/>
    <x v="1"/>
    <x v="1"/>
    <x v="8"/>
    <s v="Comuna"/>
    <s v="Autoestima, Convivencia, Hábitos Salud y Participación"/>
    <s v="Periodo 2014-2019"/>
    <s v="Puntaje"/>
    <s v="Agencia de Calidad de la Educación"/>
    <x v="664"/>
    <m/>
    <s v="Gráfico de Evolución"/>
    <s v="Región del Biobío calidad educación puntaje municipal subvencionado corporación particular autoestima convivencia hábitos salud participación desarrollo personal indicadores"/>
    <x v="450"/>
    <s v="100-C-8"/>
    <s v="#1774B9"/>
    <s v="990-0665"/>
    <n v="99200008"/>
    <s v="T-991"/>
    <s v="C-1019"/>
    <s v="FI-991"/>
    <s v="M-1083"/>
  </r>
  <r>
    <x v="665"/>
    <n v="990"/>
    <x v="0"/>
    <x v="1"/>
    <n v="9"/>
    <x v="41"/>
    <x v="1"/>
    <x v="1"/>
    <x v="9"/>
    <s v="Comuna"/>
    <s v="Autoestima, Convivencia, Hábitos Salud y Participación"/>
    <s v="Periodo 2014-2019"/>
    <s v="Puntaje"/>
    <s v="Agencia de Calidad de la Educación"/>
    <x v="665"/>
    <m/>
    <s v="Gráfico de Evolución"/>
    <s v="Región de La Araucanía calidad educación puntaje municipal subvencionado corporación particular autoestima convivencia hábitos salud participación desarrollo personal indicadores"/>
    <x v="451"/>
    <s v="100-C-9"/>
    <s v="#1774B9"/>
    <s v="990-0666"/>
    <n v="99200009"/>
    <s v="T-991"/>
    <s v="C-1019"/>
    <s v="FI-991"/>
    <s v="M-1083"/>
  </r>
  <r>
    <x v="666"/>
    <n v="990"/>
    <x v="0"/>
    <x v="1"/>
    <n v="10"/>
    <x v="41"/>
    <x v="1"/>
    <x v="1"/>
    <x v="10"/>
    <s v="Comuna"/>
    <s v="Autoestima, Convivencia, Hábitos Salud y Participación"/>
    <s v="Periodo 2014-2019"/>
    <s v="Puntaje"/>
    <s v="Agencia de Calidad de la Educación"/>
    <x v="666"/>
    <m/>
    <s v="Gráfico de Evolución"/>
    <s v="Región de Los Lagos calidad educación puntaje municipal subvencionado corporación particular autoestima convivencia hábitos salud participación desarrollo personal indicadores"/>
    <x v="452"/>
    <s v="100-C-10"/>
    <s v="#1774B9"/>
    <s v="990-0667"/>
    <n v="99200010"/>
    <s v="T-991"/>
    <s v="C-1019"/>
    <s v="FI-991"/>
    <s v="M-1083"/>
  </r>
  <r>
    <x v="667"/>
    <n v="990"/>
    <x v="0"/>
    <x v="1"/>
    <n v="11"/>
    <x v="41"/>
    <x v="1"/>
    <x v="1"/>
    <x v="11"/>
    <s v="Comuna"/>
    <s v="Autoestima, Convivencia, Hábitos Salud y Participación"/>
    <s v="Periodo 2014-2019"/>
    <s v="Puntaje"/>
    <s v="Agencia de Calidad de la Educación"/>
    <x v="667"/>
    <m/>
    <s v="Gráfico de Evolución"/>
    <s v="Región de Aysén calidad educación puntaje municipal subvencionado corporación particular autoestima convivencia hábitos salud participación desarrollo personal indicadores"/>
    <x v="453"/>
    <s v="100-C-11"/>
    <s v="#1774B9"/>
    <s v="990-0668"/>
    <n v="99200011"/>
    <s v="T-991"/>
    <s v="C-1019"/>
    <s v="FI-991"/>
    <s v="M-1083"/>
  </r>
  <r>
    <x v="668"/>
    <n v="990"/>
    <x v="0"/>
    <x v="1"/>
    <n v="12"/>
    <x v="41"/>
    <x v="1"/>
    <x v="1"/>
    <x v="12"/>
    <s v="Comuna"/>
    <s v="Autoestima, Convivencia, Hábitos Salud y Participación"/>
    <s v="Periodo 2014-2019"/>
    <s v="Puntaje"/>
    <s v="Agencia de Calidad de la Educación"/>
    <x v="668"/>
    <m/>
    <s v="Gráfico de Evolución"/>
    <s v="Región de Magallanes calidad educación puntaje municipal subvencionado corporación particular autoestima convivencia hábitos salud participación desarrollo personal indicadores"/>
    <x v="454"/>
    <s v="100-C-12"/>
    <s v="#1774B9"/>
    <s v="990-0669"/>
    <n v="99200012"/>
    <s v="T-991"/>
    <s v="C-1019"/>
    <s v="FI-991"/>
    <s v="M-1083"/>
  </r>
  <r>
    <x v="669"/>
    <n v="990"/>
    <x v="0"/>
    <x v="1"/>
    <n v="13"/>
    <x v="41"/>
    <x v="1"/>
    <x v="1"/>
    <x v="13"/>
    <s v="Comuna"/>
    <s v="Autoestima, Convivencia, Hábitos Salud y Participación"/>
    <s v="Periodo 2014-2019"/>
    <s v="Puntaje"/>
    <s v="Agencia de Calidad de la Educación"/>
    <x v="669"/>
    <m/>
    <s v="Gráfico de Evolución"/>
    <s v="Región Metropolitana calidad educación puntaje municipal subvencionado corporación particular autoestima convivencia hábitos salud participación desarrollo personal indicadores"/>
    <x v="455"/>
    <s v="200-C-13"/>
    <s v="#1774B9"/>
    <s v="990-0670"/>
    <n v="99200013"/>
    <s v="T-991"/>
    <s v="C-1019"/>
    <s v="FI-991"/>
    <s v="M-1083"/>
  </r>
  <r>
    <x v="670"/>
    <n v="990"/>
    <x v="0"/>
    <x v="1"/>
    <n v="14"/>
    <x v="41"/>
    <x v="1"/>
    <x v="1"/>
    <x v="14"/>
    <s v="Comuna"/>
    <s v="Autoestima, Convivencia, Hábitos Salud y Participación"/>
    <s v="Periodo 2014-2019"/>
    <s v="Puntaje"/>
    <s v="Agencia de Calidad de la Educación"/>
    <x v="670"/>
    <m/>
    <s v="Gráfico de Evolución"/>
    <s v="Región de Los Ríos calidad educación puntaje municipal subvencionado corporación particular autoestima convivencia hábitos salud participación desarrollo personal indicadores"/>
    <x v="456"/>
    <s v="100-C-14"/>
    <s v="#1774B9"/>
    <s v="990-0671"/>
    <n v="99200014"/>
    <s v="T-991"/>
    <s v="C-1019"/>
    <s v="FI-991"/>
    <s v="M-1083"/>
  </r>
  <r>
    <x v="671"/>
    <n v="990"/>
    <x v="0"/>
    <x v="1"/>
    <n v="15"/>
    <x v="41"/>
    <x v="1"/>
    <x v="1"/>
    <x v="15"/>
    <s v="Comuna"/>
    <s v="Autoestima, Convivencia, Hábitos Salud y Participación"/>
    <s v="Periodo 2014-2019"/>
    <s v="Puntaje"/>
    <s v="Agencia de Calidad de la Educación"/>
    <x v="671"/>
    <m/>
    <s v="Gráfico de Evolución"/>
    <s v="Región de Arica y Parinacota calidad educación puntaje municipal subvencionado corporación particular autoestima convivencia hábitos salud participación desarrollo personal indicadores"/>
    <x v="457"/>
    <s v="100-C-15"/>
    <s v="#1774B9"/>
    <s v="990-0672"/>
    <n v="99200015"/>
    <s v="T-991"/>
    <s v="C-1019"/>
    <s v="FI-991"/>
    <s v="M-1083"/>
  </r>
  <r>
    <x v="672"/>
    <n v="990"/>
    <x v="0"/>
    <x v="1"/>
    <n v="16"/>
    <x v="41"/>
    <x v="1"/>
    <x v="1"/>
    <x v="16"/>
    <s v="Comuna"/>
    <s v="Autoestima, Convivencia, Hábitos Salud y Participación"/>
    <s v="Periodo 2014-2019"/>
    <s v="Puntaje"/>
    <s v="Agencia de Calidad de la Educación"/>
    <x v="672"/>
    <m/>
    <s v="Gráfico de Evolución"/>
    <s v="Región de Ñuble calidad educación puntaje municipal subvencionado corporación particular autoestima convivencia hábitos salud participación desarrollo personal indicadores"/>
    <x v="458"/>
    <s v="100-C-16"/>
    <s v="#1774B9"/>
    <s v="990-0673"/>
    <n v="99200016"/>
    <s v="T-991"/>
    <s v="C-1019"/>
    <s v="FI-991"/>
    <s v="M-1083"/>
  </r>
  <r>
    <x v="673"/>
    <n v="990"/>
    <x v="0"/>
    <x v="1"/>
    <n v="0"/>
    <x v="41"/>
    <x v="1"/>
    <x v="0"/>
    <x v="0"/>
    <s v="Región"/>
    <s v="Autoestima Académica y Motivación Escolar"/>
    <s v="Periodo 2014-2019"/>
    <s v="Puntaje"/>
    <s v="Agencia de Calidad de la Educación"/>
    <x v="673"/>
    <s v="La comuna de Pichidegua, de la región de O'Higgins, es la que presenta el mayor puntaje promedio del indicador de Autoestima académica y motivación escolar, alcanzando los 59,4 puntos, seguido de la comuna, seguido por la Comuna de Catemu, de la Región de Valparaíso, con 59 puntos, sin embargo a nivel nacional, para el año 2019, ninguna comuna del país supera los 44 puntos, para un indicador que va del 0 a 100 puntos."/>
    <s v="Mapa de calor"/>
    <s v="Chile calidad educación puntaje autoestima motivación escolar desarrollo personal indicador académica"/>
    <x v="459"/>
    <s v="300-R"/>
    <s v="#1774B9"/>
    <s v="990-0674"/>
    <n v="99100000"/>
    <s v="T-991"/>
    <s v="C-1019"/>
    <s v="FI-992"/>
    <s v="M-1084"/>
  </r>
  <r>
    <x v="674"/>
    <n v="990"/>
    <x v="0"/>
    <x v="1"/>
    <n v="1"/>
    <x v="41"/>
    <x v="1"/>
    <x v="1"/>
    <x v="1"/>
    <s v="Ninguno"/>
    <s v="Autoestima Académica y Motivación Escolar"/>
    <s v="Periodo 2014-2019"/>
    <s v="Puntaje"/>
    <s v="Agencia de Calidad de la Educación"/>
    <x v="674"/>
    <m/>
    <s v="Mapa de calor"/>
    <s v="Región de Tarapacá calidad educación puntaje autoestima motivación escolar desarrollo personal indicador académica"/>
    <x v="281"/>
    <s v="100-R-1"/>
    <s v="#1774B9"/>
    <s v="990-0675"/>
    <n v="99200001"/>
    <s v="T-991"/>
    <s v="C-1019"/>
    <s v="FI-993"/>
    <s v="M-1084"/>
  </r>
  <r>
    <x v="675"/>
    <n v="990"/>
    <x v="0"/>
    <x v="1"/>
    <n v="2"/>
    <x v="41"/>
    <x v="1"/>
    <x v="1"/>
    <x v="2"/>
    <s v="Ninguno"/>
    <s v="Autoestima Académica y Motivación Escolar"/>
    <s v="Periodo 2014-2019"/>
    <s v="Puntaje"/>
    <s v="Agencia de Calidad de la Educación"/>
    <x v="675"/>
    <m/>
    <s v="Mapa de calor"/>
    <s v="Región de Antofagasta calidad educación puntaje autoestima motivación escolar desarrollo personal indicador académica"/>
    <x v="281"/>
    <s v="100-R-2"/>
    <s v="#1774B9"/>
    <s v="990-0676"/>
    <n v="99200002"/>
    <s v="T-991"/>
    <s v="C-1019"/>
    <s v="FI-993"/>
    <s v="M-1084"/>
  </r>
  <r>
    <x v="676"/>
    <n v="990"/>
    <x v="0"/>
    <x v="1"/>
    <n v="3"/>
    <x v="41"/>
    <x v="1"/>
    <x v="1"/>
    <x v="3"/>
    <s v="Ninguno"/>
    <s v="Autoestima Académica y Motivación Escolar"/>
    <s v="Periodo 2014-2019"/>
    <s v="Puntaje"/>
    <s v="Agencia de Calidad de la Educación"/>
    <x v="676"/>
    <m/>
    <s v="Mapa de calor"/>
    <s v="Región de Atacama calidad educación puntaje autoestima motivación escolar desarrollo personal indicador académica"/>
    <x v="281"/>
    <s v="100-R-3"/>
    <s v="#1774B9"/>
    <s v="990-0677"/>
    <n v="99200003"/>
    <s v="T-991"/>
    <s v="C-1019"/>
    <s v="FI-993"/>
    <s v="M-1084"/>
  </r>
  <r>
    <x v="677"/>
    <n v="990"/>
    <x v="0"/>
    <x v="1"/>
    <n v="4"/>
    <x v="41"/>
    <x v="1"/>
    <x v="1"/>
    <x v="4"/>
    <s v="Ninguno"/>
    <s v="Autoestima Académica y Motivación Escolar"/>
    <s v="Periodo 2014-2019"/>
    <s v="Puntaje"/>
    <s v="Agencia de Calidad de la Educación"/>
    <x v="677"/>
    <m/>
    <s v="Mapa de calor"/>
    <s v="Región de Coquimbo calidad educación puntaje autoestima motivación escolar desarrollo personal indicador académica"/>
    <x v="281"/>
    <s v="100-R-4"/>
    <s v="#1774B9"/>
    <s v="990-0678"/>
    <n v="99200004"/>
    <s v="T-991"/>
    <s v="C-1019"/>
    <s v="FI-993"/>
    <s v="M-1084"/>
  </r>
  <r>
    <x v="678"/>
    <n v="990"/>
    <x v="0"/>
    <x v="1"/>
    <n v="5"/>
    <x v="41"/>
    <x v="1"/>
    <x v="1"/>
    <x v="5"/>
    <s v="Ninguno"/>
    <s v="Autoestima Académica y Motivación Escolar"/>
    <s v="Periodo 2014-2019"/>
    <s v="Puntaje"/>
    <s v="Agencia de Calidad de la Educación"/>
    <x v="678"/>
    <m/>
    <s v="Mapa de calor"/>
    <s v="Región de Valparaíso calidad educación puntaje autoestima motivación escolar desarrollo personal indicador académica"/>
    <x v="281"/>
    <s v="100-R-5"/>
    <s v="#1774B9"/>
    <s v="990-0679"/>
    <n v="99200005"/>
    <s v="T-991"/>
    <s v="C-1019"/>
    <s v="FI-993"/>
    <s v="M-1084"/>
  </r>
  <r>
    <x v="679"/>
    <n v="990"/>
    <x v="0"/>
    <x v="1"/>
    <n v="6"/>
    <x v="41"/>
    <x v="1"/>
    <x v="1"/>
    <x v="6"/>
    <s v="Ninguno"/>
    <s v="Autoestima Académica y Motivación Escolar"/>
    <s v="Periodo 2014-2019"/>
    <s v="Puntaje"/>
    <s v="Agencia de Calidad de la Educación"/>
    <x v="679"/>
    <m/>
    <s v="Mapa de calor"/>
    <s v="Región de O'Higgins calidad educación puntaje autoestima motivación escolar desarrollo personal indicador académica"/>
    <x v="281"/>
    <s v="100-R-6"/>
    <s v="#1774B9"/>
    <s v="990-0680"/>
    <n v="99200006"/>
    <s v="T-991"/>
    <s v="C-1019"/>
    <s v="FI-993"/>
    <s v="M-1084"/>
  </r>
  <r>
    <x v="680"/>
    <n v="990"/>
    <x v="0"/>
    <x v="1"/>
    <n v="7"/>
    <x v="41"/>
    <x v="1"/>
    <x v="1"/>
    <x v="7"/>
    <s v="Ninguno"/>
    <s v="Autoestima Académica y Motivación Escolar"/>
    <s v="Periodo 2014-2019"/>
    <s v="Puntaje"/>
    <s v="Agencia de Calidad de la Educación"/>
    <x v="680"/>
    <m/>
    <s v="Mapa de calor"/>
    <s v="Región de Maule calidad educación puntaje autoestima motivación escolar desarrollo personal indicador académica"/>
    <x v="281"/>
    <s v="100-R-7"/>
    <s v="#1774B9"/>
    <s v="990-0681"/>
    <n v="99200007"/>
    <s v="T-991"/>
    <s v="C-1019"/>
    <s v="FI-993"/>
    <s v="M-1084"/>
  </r>
  <r>
    <x v="681"/>
    <n v="990"/>
    <x v="0"/>
    <x v="1"/>
    <n v="8"/>
    <x v="41"/>
    <x v="1"/>
    <x v="1"/>
    <x v="8"/>
    <s v="Ninguno"/>
    <s v="Autoestima Académica y Motivación Escolar"/>
    <s v="Periodo 2014-2019"/>
    <s v="Puntaje"/>
    <s v="Agencia de Calidad de la Educación"/>
    <x v="681"/>
    <m/>
    <s v="Mapa de calor"/>
    <s v="Región del Biobío calidad educación puntaje autoestima motivación escolar desarrollo personal indicador académica"/>
    <x v="281"/>
    <s v="100-R-8"/>
    <s v="#1774B9"/>
    <s v="990-0682"/>
    <n v="99200008"/>
    <s v="T-991"/>
    <s v="C-1019"/>
    <s v="FI-993"/>
    <s v="M-1084"/>
  </r>
  <r>
    <x v="682"/>
    <n v="990"/>
    <x v="0"/>
    <x v="1"/>
    <n v="9"/>
    <x v="41"/>
    <x v="1"/>
    <x v="1"/>
    <x v="9"/>
    <s v="Ninguno"/>
    <s v="Autoestima Académica y Motivación Escolar"/>
    <s v="Periodo 2014-2019"/>
    <s v="Puntaje"/>
    <s v="Agencia de Calidad de la Educación"/>
    <x v="682"/>
    <m/>
    <s v="Mapa de calor"/>
    <s v="Región de La Araucanía calidad educación puntaje autoestima motivación escolar desarrollo personal indicador académica"/>
    <x v="281"/>
    <s v="100-R-9"/>
    <s v="#1774B9"/>
    <s v="990-0683"/>
    <n v="99200009"/>
    <s v="T-991"/>
    <s v="C-1019"/>
    <s v="FI-993"/>
    <s v="M-1084"/>
  </r>
  <r>
    <x v="683"/>
    <n v="990"/>
    <x v="0"/>
    <x v="1"/>
    <n v="10"/>
    <x v="41"/>
    <x v="1"/>
    <x v="1"/>
    <x v="10"/>
    <s v="Ninguno"/>
    <s v="Autoestima Académica y Motivación Escolar"/>
    <s v="Periodo 2014-2019"/>
    <s v="Puntaje"/>
    <s v="Agencia de Calidad de la Educación"/>
    <x v="683"/>
    <m/>
    <s v="Mapa de calor"/>
    <s v="Región de Los Lagos calidad educación puntaje autoestima motivación escolar desarrollo personal indicador académica"/>
    <x v="281"/>
    <s v="100-R-10"/>
    <s v="#1774B9"/>
    <s v="990-0684"/>
    <n v="99200010"/>
    <s v="T-991"/>
    <s v="C-1019"/>
    <s v="FI-993"/>
    <s v="M-1084"/>
  </r>
  <r>
    <x v="684"/>
    <n v="990"/>
    <x v="0"/>
    <x v="1"/>
    <n v="11"/>
    <x v="41"/>
    <x v="1"/>
    <x v="1"/>
    <x v="11"/>
    <s v="Ninguno"/>
    <s v="Autoestima Académica y Motivación Escolar"/>
    <s v="Periodo 2014-2019"/>
    <s v="Puntaje"/>
    <s v="Agencia de Calidad de la Educación"/>
    <x v="684"/>
    <m/>
    <s v="Mapa de calor"/>
    <s v="Región de Aysén calidad educación puntaje autoestima motivación escolar desarrollo personal indicador académica"/>
    <x v="281"/>
    <s v="100-R-11"/>
    <s v="#1774B9"/>
    <s v="990-0685"/>
    <n v="99200011"/>
    <s v="T-991"/>
    <s v="C-1019"/>
    <s v="FI-993"/>
    <s v="M-1084"/>
  </r>
  <r>
    <x v="685"/>
    <n v="990"/>
    <x v="0"/>
    <x v="1"/>
    <n v="12"/>
    <x v="41"/>
    <x v="1"/>
    <x v="1"/>
    <x v="12"/>
    <s v="Ninguno"/>
    <s v="Autoestima Académica y Motivación Escolar"/>
    <s v="Periodo 2014-2019"/>
    <s v="Puntaje"/>
    <s v="Agencia de Calidad de la Educación"/>
    <x v="685"/>
    <m/>
    <s v="Mapa de calor"/>
    <s v="Región de Magallanes calidad educación puntaje autoestima motivación escolar desarrollo personal indicador académica"/>
    <x v="281"/>
    <s v="100-R-12"/>
    <s v="#1774B9"/>
    <s v="990-0686"/>
    <n v="99200012"/>
    <s v="T-991"/>
    <s v="C-1019"/>
    <s v="FI-993"/>
    <s v="M-1084"/>
  </r>
  <r>
    <x v="686"/>
    <n v="990"/>
    <x v="0"/>
    <x v="1"/>
    <n v="13"/>
    <x v="41"/>
    <x v="1"/>
    <x v="1"/>
    <x v="13"/>
    <s v="Ninguno"/>
    <s v="Autoestima Académica y Motivación Escolar"/>
    <s v="Periodo 2014-2019"/>
    <s v="Puntaje"/>
    <s v="Agencia de Calidad de la Educación"/>
    <x v="686"/>
    <m/>
    <s v="Mapa de calor"/>
    <s v="Región Metropolitana calidad educación puntaje autoestima motivación escolar desarrollo personal indicador académica"/>
    <x v="281"/>
    <s v="200-R-13"/>
    <s v="#1774B9"/>
    <s v="990-0687"/>
    <n v="99200013"/>
    <s v="T-991"/>
    <s v="C-1019"/>
    <s v="FI-993"/>
    <s v="M-1084"/>
  </r>
  <r>
    <x v="687"/>
    <n v="990"/>
    <x v="0"/>
    <x v="1"/>
    <n v="14"/>
    <x v="41"/>
    <x v="1"/>
    <x v="1"/>
    <x v="14"/>
    <s v="Ninguno"/>
    <s v="Autoestima Académica y Motivación Escolar"/>
    <s v="Periodo 2014-2019"/>
    <s v="Puntaje"/>
    <s v="Agencia de Calidad de la Educación"/>
    <x v="687"/>
    <m/>
    <s v="Mapa de calor"/>
    <s v="Región de Los Ríos calidad educación puntaje autoestima motivación escolar desarrollo personal indicador académica"/>
    <x v="281"/>
    <s v="100-R-14"/>
    <s v="#1774B9"/>
    <s v="990-0688"/>
    <n v="99200014"/>
    <s v="T-991"/>
    <s v="C-1019"/>
    <s v="FI-993"/>
    <s v="M-1084"/>
  </r>
  <r>
    <x v="688"/>
    <n v="990"/>
    <x v="0"/>
    <x v="1"/>
    <n v="15"/>
    <x v="41"/>
    <x v="1"/>
    <x v="1"/>
    <x v="15"/>
    <s v="Ninguno"/>
    <s v="Autoestima Académica y Motivación Escolar"/>
    <s v="Periodo 2014-2019"/>
    <s v="Puntaje"/>
    <s v="Agencia de Calidad de la Educación"/>
    <x v="688"/>
    <m/>
    <s v="Mapa de calor"/>
    <s v="Región de Arica y Parinacota calidad educación puntaje autoestima motivación escolar desarrollo personal indicador académica"/>
    <x v="281"/>
    <s v="100-R-15"/>
    <s v="#1774B9"/>
    <s v="990-0689"/>
    <n v="99200015"/>
    <s v="T-991"/>
    <s v="C-1019"/>
    <s v="FI-993"/>
    <s v="M-1084"/>
  </r>
  <r>
    <x v="689"/>
    <n v="990"/>
    <x v="0"/>
    <x v="1"/>
    <n v="16"/>
    <x v="41"/>
    <x v="1"/>
    <x v="1"/>
    <x v="16"/>
    <s v="Ninguno"/>
    <s v="Autoestima Académica y Motivación Escolar"/>
    <s v="Periodo 2014-2019"/>
    <s v="Puntaje"/>
    <s v="Agencia de Calidad de la Educación"/>
    <x v="689"/>
    <m/>
    <s v="Mapa de calor"/>
    <s v="Región de Ñuble calidad educación puntaje autoestima motivación escolar desarrollo personal indicador académica"/>
    <x v="281"/>
    <s v="100-R-16"/>
    <s v="#1774B9"/>
    <s v="990-0690"/>
    <n v="99200016"/>
    <s v="T-991"/>
    <s v="C-1019"/>
    <s v="FI-993"/>
    <s v="M-1084"/>
  </r>
  <r>
    <x v="690"/>
    <n v="990"/>
    <x v="0"/>
    <x v="1"/>
    <n v="0"/>
    <x v="41"/>
    <x v="1"/>
    <x v="0"/>
    <x v="0"/>
    <s v="Región"/>
    <s v="Clima de Convivencia Escolar"/>
    <s v="Periodo 2014-2019"/>
    <s v="Puntaje"/>
    <s v="Agencia de Calidad de la Educación"/>
    <x v="690"/>
    <s v="Durante el periodo comprendido entre los años 2014 al 2019, los establecimientos de educación de Corporación de administración delegada, es decir aquellos establecimientos de educación técnico profesional, de propiedad del Estado, que son financiados a través de convenios de administración suscritos por entidades de derecho privado, son los que presentan el mayor puntaje del indicador de Clima de Convivencia Escolar, sin embargo el año 2019, el puntaje cae considerablemente, incluso con puntajes más bajos que los colegios de otras dependencias."/>
    <s v="Gráfico de Evolución"/>
    <s v="Chile calidad educación puntaje municipal subvencionado corporación particular convivencia escolar indicador"/>
    <x v="460"/>
    <s v="300-R"/>
    <s v="#1774B9"/>
    <s v="990-0691"/>
    <n v="99100000"/>
    <s v="T-991"/>
    <s v="C-1019"/>
    <s v="FI-992"/>
    <s v="M-1085"/>
  </r>
  <r>
    <x v="691"/>
    <n v="990"/>
    <x v="0"/>
    <x v="1"/>
    <n v="1"/>
    <x v="41"/>
    <x v="1"/>
    <x v="1"/>
    <x v="1"/>
    <s v="Ninguno"/>
    <s v="Clima de Convivencia Escolar"/>
    <s v="Periodo 2014-2019"/>
    <s v="Puntaje"/>
    <s v="Agencia de Calidad de la Educación"/>
    <x v="691"/>
    <m/>
    <s v="Gráfico de Evolución"/>
    <s v="Región de Tarapacá calidad educación puntaje municipal subvencionado corporación particular convivencia escolar indicador"/>
    <x v="281"/>
    <s v="100-R-1"/>
    <s v="#1774B9"/>
    <s v="990-0692"/>
    <n v="99200001"/>
    <s v="T-991"/>
    <s v="C-1019"/>
    <s v="FI-993"/>
    <s v="M-1085"/>
  </r>
  <r>
    <x v="692"/>
    <n v="990"/>
    <x v="0"/>
    <x v="1"/>
    <n v="2"/>
    <x v="41"/>
    <x v="1"/>
    <x v="1"/>
    <x v="2"/>
    <s v="Ninguno"/>
    <s v="Clima de Convivencia Escolar"/>
    <s v="Periodo 2014-2019"/>
    <s v="Puntaje"/>
    <s v="Agencia de Calidad de la Educación"/>
    <x v="692"/>
    <m/>
    <s v="Gráfico de Evolución"/>
    <s v="Región de Antofagasta calidad educación puntaje municipal subvencionado corporación particular convivencia escolar indicador"/>
    <x v="281"/>
    <s v="100-R-2"/>
    <s v="#1774B9"/>
    <s v="990-0693"/>
    <n v="99200002"/>
    <s v="T-991"/>
    <s v="C-1019"/>
    <s v="FI-993"/>
    <s v="M-1085"/>
  </r>
  <r>
    <x v="693"/>
    <n v="990"/>
    <x v="0"/>
    <x v="1"/>
    <n v="3"/>
    <x v="41"/>
    <x v="1"/>
    <x v="1"/>
    <x v="3"/>
    <s v="Ninguno"/>
    <s v="Clima de Convivencia Escolar"/>
    <s v="Periodo 2014-2019"/>
    <s v="Puntaje"/>
    <s v="Agencia de Calidad de la Educación"/>
    <x v="693"/>
    <m/>
    <s v="Gráfico de Evolución"/>
    <s v="Región de Atacama calidad educación puntaje municipal subvencionado corporación particular convivencia escolar indicador"/>
    <x v="281"/>
    <s v="100-R-3"/>
    <s v="#1774B9"/>
    <s v="990-0694"/>
    <n v="99200003"/>
    <s v="T-991"/>
    <s v="C-1019"/>
    <s v="FI-993"/>
    <s v="M-1085"/>
  </r>
  <r>
    <x v="694"/>
    <n v="990"/>
    <x v="0"/>
    <x v="1"/>
    <n v="4"/>
    <x v="41"/>
    <x v="1"/>
    <x v="1"/>
    <x v="4"/>
    <s v="Ninguno"/>
    <s v="Clima de Convivencia Escolar"/>
    <s v="Periodo 2014-2019"/>
    <s v="Puntaje"/>
    <s v="Agencia de Calidad de la Educación"/>
    <x v="694"/>
    <m/>
    <s v="Gráfico de Evolución"/>
    <s v="Región de Coquimbo calidad educación puntaje municipal subvencionado corporación particular convivencia escolar indicador"/>
    <x v="281"/>
    <s v="100-R-4"/>
    <s v="#1774B9"/>
    <s v="990-0695"/>
    <n v="99200004"/>
    <s v="T-991"/>
    <s v="C-1019"/>
    <s v="FI-993"/>
    <s v="M-1085"/>
  </r>
  <r>
    <x v="695"/>
    <n v="990"/>
    <x v="0"/>
    <x v="1"/>
    <n v="5"/>
    <x v="41"/>
    <x v="1"/>
    <x v="1"/>
    <x v="5"/>
    <s v="Ninguno"/>
    <s v="Clima de Convivencia Escolar"/>
    <s v="Periodo 2014-2019"/>
    <s v="Puntaje"/>
    <s v="Agencia de Calidad de la Educación"/>
    <x v="695"/>
    <m/>
    <s v="Gráfico de Evolución"/>
    <s v="Región de Valparaíso calidad educación puntaje municipal subvencionado corporación particular convivencia escolar indicador"/>
    <x v="281"/>
    <s v="100-R-5"/>
    <s v="#1774B9"/>
    <s v="990-0696"/>
    <n v="99200005"/>
    <s v="T-991"/>
    <s v="C-1019"/>
    <s v="FI-993"/>
    <s v="M-1085"/>
  </r>
  <r>
    <x v="696"/>
    <n v="990"/>
    <x v="0"/>
    <x v="1"/>
    <n v="6"/>
    <x v="41"/>
    <x v="1"/>
    <x v="1"/>
    <x v="6"/>
    <s v="Ninguno"/>
    <s v="Clima de Convivencia Escolar"/>
    <s v="Periodo 2014-2019"/>
    <s v="Puntaje"/>
    <s v="Agencia de Calidad de la Educación"/>
    <x v="696"/>
    <m/>
    <s v="Gráfico de Evolución"/>
    <s v="Región de O'Higgins calidad educación puntaje municipal subvencionado corporación particular convivencia escolar indicador"/>
    <x v="281"/>
    <s v="100-R-6"/>
    <s v="#1774B9"/>
    <s v="990-0697"/>
    <n v="99200006"/>
    <s v="T-991"/>
    <s v="C-1019"/>
    <s v="FI-993"/>
    <s v="M-1085"/>
  </r>
  <r>
    <x v="697"/>
    <n v="990"/>
    <x v="0"/>
    <x v="1"/>
    <n v="7"/>
    <x v="41"/>
    <x v="1"/>
    <x v="1"/>
    <x v="7"/>
    <s v="Ninguno"/>
    <s v="Clima de Convivencia Escolar"/>
    <s v="Periodo 2014-2019"/>
    <s v="Puntaje"/>
    <s v="Agencia de Calidad de la Educación"/>
    <x v="697"/>
    <m/>
    <s v="Gráfico de Evolución"/>
    <s v="Región de Maule calidad educación puntaje municipal subvencionado corporación particular convivencia escolar indicador"/>
    <x v="281"/>
    <s v="100-R-7"/>
    <s v="#1774B9"/>
    <s v="990-0698"/>
    <n v="99200007"/>
    <s v="T-991"/>
    <s v="C-1019"/>
    <s v="FI-993"/>
    <s v="M-1085"/>
  </r>
  <r>
    <x v="698"/>
    <n v="990"/>
    <x v="0"/>
    <x v="1"/>
    <n v="8"/>
    <x v="41"/>
    <x v="1"/>
    <x v="1"/>
    <x v="8"/>
    <s v="Ninguno"/>
    <s v="Clima de Convivencia Escolar"/>
    <s v="Periodo 2014-2019"/>
    <s v="Puntaje"/>
    <s v="Agencia de Calidad de la Educación"/>
    <x v="698"/>
    <m/>
    <s v="Gráfico de Evolución"/>
    <s v="Región del Biobío calidad educación puntaje municipal subvencionado corporación particular convivencia escolar indicador"/>
    <x v="281"/>
    <s v="100-R-8"/>
    <s v="#1774B9"/>
    <s v="990-0699"/>
    <n v="99200008"/>
    <s v="T-991"/>
    <s v="C-1019"/>
    <s v="FI-993"/>
    <s v="M-1085"/>
  </r>
  <r>
    <x v="699"/>
    <n v="990"/>
    <x v="0"/>
    <x v="1"/>
    <n v="9"/>
    <x v="41"/>
    <x v="1"/>
    <x v="1"/>
    <x v="9"/>
    <s v="Ninguno"/>
    <s v="Clima de Convivencia Escolar"/>
    <s v="Periodo 2014-2019"/>
    <s v="Puntaje"/>
    <s v="Agencia de Calidad de la Educación"/>
    <x v="699"/>
    <m/>
    <s v="Gráfico de Evolución"/>
    <s v="Región de La Araucanía calidad educación puntaje municipal subvencionado corporación particular convivencia escolar indicador"/>
    <x v="281"/>
    <s v="100-R-9"/>
    <s v="#1774B9"/>
    <s v="990-0700"/>
    <n v="99200009"/>
    <s v="T-991"/>
    <s v="C-1019"/>
    <s v="FI-993"/>
    <s v="M-1085"/>
  </r>
  <r>
    <x v="700"/>
    <n v="990"/>
    <x v="0"/>
    <x v="1"/>
    <n v="10"/>
    <x v="41"/>
    <x v="1"/>
    <x v="1"/>
    <x v="10"/>
    <s v="Ninguno"/>
    <s v="Clima de Convivencia Escolar"/>
    <s v="Periodo 2014-2019"/>
    <s v="Puntaje"/>
    <s v="Agencia de Calidad de la Educación"/>
    <x v="700"/>
    <m/>
    <s v="Gráfico de Evolución"/>
    <s v="Región de Los Lagos calidad educación puntaje municipal subvencionado corporación particular convivencia escolar indicador"/>
    <x v="281"/>
    <s v="100-R-10"/>
    <s v="#1774B9"/>
    <s v="990-0701"/>
    <n v="99200010"/>
    <s v="T-991"/>
    <s v="C-1019"/>
    <s v="FI-993"/>
    <s v="M-1085"/>
  </r>
  <r>
    <x v="701"/>
    <n v="990"/>
    <x v="0"/>
    <x v="1"/>
    <n v="11"/>
    <x v="41"/>
    <x v="1"/>
    <x v="1"/>
    <x v="11"/>
    <s v="Ninguno"/>
    <s v="Clima de Convivencia Escolar"/>
    <s v="Periodo 2014-2019"/>
    <s v="Puntaje"/>
    <s v="Agencia de Calidad de la Educación"/>
    <x v="701"/>
    <m/>
    <s v="Gráfico de Evolución"/>
    <s v="Región de Aysén calidad educación puntaje municipal subvencionado corporación particular convivencia escolar indicador"/>
    <x v="281"/>
    <s v="100-R-11"/>
    <s v="#1774B9"/>
    <s v="990-0702"/>
    <n v="99200011"/>
    <s v="T-991"/>
    <s v="C-1019"/>
    <s v="FI-993"/>
    <s v="M-1085"/>
  </r>
  <r>
    <x v="702"/>
    <n v="990"/>
    <x v="0"/>
    <x v="1"/>
    <n v="12"/>
    <x v="41"/>
    <x v="1"/>
    <x v="1"/>
    <x v="12"/>
    <s v="Ninguno"/>
    <s v="Clima de Convivencia Escolar"/>
    <s v="Periodo 2014-2019"/>
    <s v="Puntaje"/>
    <s v="Agencia de Calidad de la Educación"/>
    <x v="702"/>
    <m/>
    <s v="Gráfico de Evolución"/>
    <s v="Región de Magallanes calidad educación puntaje municipal subvencionado corporación particular convivencia escolar indicador"/>
    <x v="281"/>
    <s v="100-R-12"/>
    <s v="#1774B9"/>
    <s v="990-0703"/>
    <n v="99200012"/>
    <s v="T-991"/>
    <s v="C-1019"/>
    <s v="FI-993"/>
    <s v="M-1085"/>
  </r>
  <r>
    <x v="703"/>
    <n v="990"/>
    <x v="0"/>
    <x v="1"/>
    <n v="13"/>
    <x v="41"/>
    <x v="1"/>
    <x v="1"/>
    <x v="13"/>
    <s v="Ninguno"/>
    <s v="Clima de Convivencia Escolar"/>
    <s v="Periodo 2014-2019"/>
    <s v="Puntaje"/>
    <s v="Agencia de Calidad de la Educación"/>
    <x v="703"/>
    <m/>
    <s v="Gráfico de Evolución"/>
    <s v="Región Metropolitana calidad educación puntaje municipal subvencionado corporación particular convivencia escolar indicador"/>
    <x v="281"/>
    <s v="200-R-13"/>
    <s v="#1774B9"/>
    <s v="990-0704"/>
    <n v="99200013"/>
    <s v="T-991"/>
    <s v="C-1019"/>
    <s v="FI-993"/>
    <s v="M-1085"/>
  </r>
  <r>
    <x v="704"/>
    <n v="990"/>
    <x v="0"/>
    <x v="1"/>
    <n v="14"/>
    <x v="41"/>
    <x v="1"/>
    <x v="1"/>
    <x v="14"/>
    <s v="Ninguno"/>
    <s v="Clima de Convivencia Escolar"/>
    <s v="Periodo 2014-2019"/>
    <s v="Puntaje"/>
    <s v="Agencia de Calidad de la Educación"/>
    <x v="704"/>
    <m/>
    <s v="Gráfico de Evolución"/>
    <s v="Región de Los Ríos calidad educación puntaje municipal subvencionado corporación particular convivencia escolar indicador"/>
    <x v="281"/>
    <s v="100-R-14"/>
    <s v="#1774B9"/>
    <s v="990-0705"/>
    <n v="99200014"/>
    <s v="T-991"/>
    <s v="C-1019"/>
    <s v="FI-993"/>
    <s v="M-1085"/>
  </r>
  <r>
    <x v="705"/>
    <n v="990"/>
    <x v="0"/>
    <x v="1"/>
    <n v="15"/>
    <x v="41"/>
    <x v="1"/>
    <x v="1"/>
    <x v="15"/>
    <s v="Ninguno"/>
    <s v="Clima de Convivencia Escolar"/>
    <s v="Periodo 2014-2019"/>
    <s v="Puntaje"/>
    <s v="Agencia de Calidad de la Educación"/>
    <x v="705"/>
    <m/>
    <s v="Gráfico de Evolución"/>
    <s v="Región de Arica y Parinacota calidad educación puntaje municipal subvencionado corporación particular convivencia escolar indicador"/>
    <x v="281"/>
    <s v="100-R-15"/>
    <s v="#1774B9"/>
    <s v="990-0706"/>
    <n v="99200015"/>
    <s v="T-991"/>
    <s v="C-1019"/>
    <s v="FI-993"/>
    <s v="M-1085"/>
  </r>
  <r>
    <x v="706"/>
    <n v="990"/>
    <x v="0"/>
    <x v="1"/>
    <n v="16"/>
    <x v="41"/>
    <x v="1"/>
    <x v="1"/>
    <x v="16"/>
    <s v="Ninguno"/>
    <s v="Clima de Convivencia Escolar"/>
    <s v="Periodo 2014-2019"/>
    <s v="Puntaje"/>
    <s v="Agencia de Calidad de la Educación"/>
    <x v="706"/>
    <m/>
    <s v="Gráfico de Evolución"/>
    <s v="Región de Ñuble calidad educación puntaje municipal subvencionado corporación particular convivencia escolar indicador"/>
    <x v="281"/>
    <s v="100-R-16"/>
    <s v="#1774B9"/>
    <s v="990-0707"/>
    <n v="99200016"/>
    <s v="T-991"/>
    <s v="C-1019"/>
    <s v="FI-993"/>
    <s v="M-1085"/>
  </r>
  <r>
    <x v="707"/>
    <n v="990"/>
    <x v="0"/>
    <x v="9"/>
    <n v="0"/>
    <x v="42"/>
    <x v="23"/>
    <x v="0"/>
    <x v="0"/>
    <s v="Ninguno"/>
    <s v="Superficie de edificación autorizada en Chile"/>
    <s v="Periodo 2020-2021"/>
    <s v="m2"/>
    <s v="Instituto Nacional de Estadísticas (INE)"/>
    <x v="707"/>
    <s v="Al comparar la superficie autorizada para edificaciones entre los meses de mayo del 2020 y 2021, se observa que las obras nuevas disminuyeron, mientras que las ampliaciones aumentaron, sin importar si la edificación posee un uso habitacional o no habitacional."/>
    <s v="Gráfico animado"/>
    <s v="Chile solicitudes edificación superficie autorizadas habitacional ampliaciones obras nuevas"/>
    <x v="461"/>
    <n v="0"/>
    <s v="#1774B9"/>
    <s v="990-0708"/>
    <n v="99100000"/>
    <s v="T-1064"/>
    <s v="C-1011"/>
    <s v="FI-993"/>
    <s v="M-1055"/>
  </r>
  <r>
    <x v="708"/>
    <n v="990"/>
    <x v="0"/>
    <x v="10"/>
    <n v="0"/>
    <x v="43"/>
    <x v="11"/>
    <x v="0"/>
    <x v="0"/>
    <s v="Región"/>
    <s v="Cantidad de trabajadors dependientes informados"/>
    <s v="Año 2019"/>
    <s v="Personas"/>
    <s v="Servicio de Impuestos Internos (SII)"/>
    <x v="708"/>
    <s v="Para el año 2019, las empresas que tuvieron más trabajadores dependientes informados fueron las correspondientes al tramo Grande 4, es decir, empresas con ganancias mayores a UF 1.000.000. En este tramo, la cantidad de trabajadores hombres superó en aproximadamente 1.000.000 a la cantidad de trabajadoras mujeres."/>
    <s v="Gráfico"/>
    <s v="Chile trabajadores dependientes informados tramo empresas ventas anuales grande mediana pequeña micro mujeres sexo hombres género sii"/>
    <x v="462"/>
    <s v="300-R"/>
    <s v="#1774B9"/>
    <s v="990-0709"/>
    <n v="99100000"/>
    <s v="T-1012"/>
    <s v="C-993"/>
    <s v="FI-992"/>
    <s v="M-1056"/>
  </r>
  <r>
    <x v="709"/>
    <n v="990"/>
    <x v="0"/>
    <x v="10"/>
    <n v="1"/>
    <x v="43"/>
    <x v="11"/>
    <x v="1"/>
    <x v="1"/>
    <s v="Ninguno"/>
    <s v="Cantidad de trabajadors dependientes informados"/>
    <s v="Año 2019"/>
    <s v="Personas"/>
    <s v="Servicio de Impuestos Internos (SII)"/>
    <x v="709"/>
    <m/>
    <s v="Gráfico"/>
    <s v="Región de Tarapacá trabajadores dependientes informados tramo empresas ventas anuales grande mediana pequeña micro mujeres sexo hombres género sii"/>
    <x v="463"/>
    <s v="100-R-1"/>
    <s v="#1774B9"/>
    <s v="990-0710"/>
    <n v="99200001"/>
    <s v="T-1012"/>
    <s v="C-993"/>
    <s v="FI-993"/>
    <s v="M-1056"/>
  </r>
  <r>
    <x v="710"/>
    <n v="990"/>
    <x v="0"/>
    <x v="10"/>
    <n v="2"/>
    <x v="43"/>
    <x v="11"/>
    <x v="1"/>
    <x v="2"/>
    <s v="Ninguno"/>
    <s v="Cantidad de trabajadors dependientes informados"/>
    <s v="Año 2019"/>
    <s v="Personas"/>
    <s v="Servicio de Impuestos Internos (SII)"/>
    <x v="710"/>
    <m/>
    <s v="Gráfico"/>
    <s v="Región de Antofagasta trabajadores dependientes informados tramo empresas ventas anuales grande mediana pequeña micro mujeres sexo hombres género sii"/>
    <x v="464"/>
    <s v="100-R-2"/>
    <s v="#1774B9"/>
    <s v="990-0711"/>
    <n v="99200002"/>
    <s v="T-1012"/>
    <s v="C-993"/>
    <s v="FI-993"/>
    <s v="M-1056"/>
  </r>
  <r>
    <x v="711"/>
    <n v="990"/>
    <x v="0"/>
    <x v="10"/>
    <n v="3"/>
    <x v="43"/>
    <x v="11"/>
    <x v="1"/>
    <x v="3"/>
    <s v="Ninguno"/>
    <s v="Cantidad de trabajadors dependientes informados"/>
    <s v="Año 2019"/>
    <s v="Personas"/>
    <s v="Servicio de Impuestos Internos (SII)"/>
    <x v="711"/>
    <m/>
    <s v="Gráfico"/>
    <s v="Región de Atacama trabajadores dependientes informados tramo empresas ventas anuales grande mediana pequeña micro mujeres sexo hombres género sii"/>
    <x v="465"/>
    <s v="100-R-3"/>
    <s v="#1774B9"/>
    <s v="990-0712"/>
    <n v="99200003"/>
    <s v="T-1012"/>
    <s v="C-993"/>
    <s v="FI-993"/>
    <s v="M-1056"/>
  </r>
  <r>
    <x v="712"/>
    <n v="990"/>
    <x v="0"/>
    <x v="10"/>
    <n v="4"/>
    <x v="43"/>
    <x v="11"/>
    <x v="1"/>
    <x v="4"/>
    <s v="Ninguno"/>
    <s v="Cantidad de trabajadors dependientes informados"/>
    <s v="Año 2019"/>
    <s v="Personas"/>
    <s v="Servicio de Impuestos Internos (SII)"/>
    <x v="712"/>
    <m/>
    <s v="Gráfico"/>
    <s v="Región de Coquimbo trabajadores dependientes informados tramo empresas ventas anuales grande mediana pequeña micro mujeres sexo hombres género sii"/>
    <x v="466"/>
    <s v="100-R-4"/>
    <s v="#1774B9"/>
    <s v="990-0713"/>
    <n v="99200004"/>
    <s v="T-1012"/>
    <s v="C-993"/>
    <s v="FI-993"/>
    <s v="M-1056"/>
  </r>
  <r>
    <x v="713"/>
    <n v="990"/>
    <x v="0"/>
    <x v="10"/>
    <n v="5"/>
    <x v="43"/>
    <x v="11"/>
    <x v="1"/>
    <x v="5"/>
    <s v="Ninguno"/>
    <s v="Cantidad de trabajadors dependientes informados"/>
    <s v="Año 2019"/>
    <s v="Personas"/>
    <s v="Servicio de Impuestos Internos (SII)"/>
    <x v="713"/>
    <m/>
    <s v="Gráfico"/>
    <s v="Región de Valparaíso trabajadores dependientes informados tramo empresas ventas anuales grande mediana pequeña micro mujeres sexo hombres género sii"/>
    <x v="467"/>
    <s v="100-R-5"/>
    <s v="#1774B9"/>
    <s v="990-0714"/>
    <n v="99200005"/>
    <s v="T-1012"/>
    <s v="C-993"/>
    <s v="FI-993"/>
    <s v="M-1056"/>
  </r>
  <r>
    <x v="714"/>
    <n v="990"/>
    <x v="0"/>
    <x v="10"/>
    <n v="6"/>
    <x v="43"/>
    <x v="11"/>
    <x v="1"/>
    <x v="6"/>
    <s v="Ninguno"/>
    <s v="Cantidad de trabajadors dependientes informados"/>
    <s v="Año 2019"/>
    <s v="Personas"/>
    <s v="Servicio de Impuestos Internos (SII)"/>
    <x v="714"/>
    <m/>
    <s v="Gráfico"/>
    <s v="Región de O'Higgins trabajadores dependientes informados tramo empresas ventas anuales grande mediana pequeña micro mujeres sexo hombres género sii"/>
    <x v="468"/>
    <s v="100-R-6"/>
    <s v="#1774B9"/>
    <s v="990-0715"/>
    <n v="99200006"/>
    <s v="T-1012"/>
    <s v="C-993"/>
    <s v="FI-993"/>
    <s v="M-1056"/>
  </r>
  <r>
    <x v="715"/>
    <n v="990"/>
    <x v="0"/>
    <x v="10"/>
    <n v="7"/>
    <x v="43"/>
    <x v="11"/>
    <x v="1"/>
    <x v="7"/>
    <s v="Ninguno"/>
    <s v="Cantidad de trabajadors dependientes informados"/>
    <s v="Año 2019"/>
    <s v="Personas"/>
    <s v="Servicio de Impuestos Internos (SII)"/>
    <x v="715"/>
    <m/>
    <s v="Gráfico"/>
    <s v="Región de Maule trabajadores dependientes informados tramo empresas ventas anuales grande mediana pequeña micro mujeres sexo hombres género sii"/>
    <x v="469"/>
    <s v="100-R-7"/>
    <s v="#1774B9"/>
    <s v="990-0716"/>
    <n v="99200007"/>
    <s v="T-1012"/>
    <s v="C-993"/>
    <s v="FI-993"/>
    <s v="M-1056"/>
  </r>
  <r>
    <x v="716"/>
    <n v="990"/>
    <x v="0"/>
    <x v="10"/>
    <n v="8"/>
    <x v="43"/>
    <x v="11"/>
    <x v="1"/>
    <x v="8"/>
    <s v="Ninguno"/>
    <s v="Cantidad de trabajadors dependientes informados"/>
    <s v="Año 2019"/>
    <s v="Personas"/>
    <s v="Servicio de Impuestos Internos (SII)"/>
    <x v="716"/>
    <m/>
    <s v="Gráfico"/>
    <s v="Región del Biobío trabajadores dependientes informados tramo empresas ventas anuales grande mediana pequeña micro mujeres sexo hombres género sii"/>
    <x v="470"/>
    <s v="100-R-8"/>
    <s v="#1774B9"/>
    <s v="990-0717"/>
    <n v="99200008"/>
    <s v="T-1012"/>
    <s v="C-993"/>
    <s v="FI-993"/>
    <s v="M-1056"/>
  </r>
  <r>
    <x v="717"/>
    <n v="990"/>
    <x v="0"/>
    <x v="10"/>
    <n v="9"/>
    <x v="43"/>
    <x v="11"/>
    <x v="1"/>
    <x v="9"/>
    <s v="Ninguno"/>
    <s v="Cantidad de trabajadors dependientes informados"/>
    <s v="Año 2019"/>
    <s v="Personas"/>
    <s v="Servicio de Impuestos Internos (SII)"/>
    <x v="717"/>
    <m/>
    <s v="Gráfico"/>
    <s v="Región de La Araucanía trabajadores dependientes informados tramo empresas ventas anuales grande mediana pequeña micro mujeres sexo hombres género sii"/>
    <x v="471"/>
    <s v="100-R-9"/>
    <s v="#1774B9"/>
    <s v="990-0718"/>
    <n v="99200009"/>
    <s v="T-1012"/>
    <s v="C-993"/>
    <s v="FI-993"/>
    <s v="M-1056"/>
  </r>
  <r>
    <x v="718"/>
    <n v="990"/>
    <x v="0"/>
    <x v="10"/>
    <n v="10"/>
    <x v="43"/>
    <x v="11"/>
    <x v="1"/>
    <x v="10"/>
    <s v="Ninguno"/>
    <s v="Cantidad de trabajadors dependientes informados"/>
    <s v="Año 2019"/>
    <s v="Personas"/>
    <s v="Servicio de Impuestos Internos (SII)"/>
    <x v="718"/>
    <m/>
    <s v="Gráfico"/>
    <s v="Región de Los Lagos trabajadores dependientes informados tramo empresas ventas anuales grande mediana pequeña micro mujeres sexo hombres género sii"/>
    <x v="472"/>
    <s v="100-R-10"/>
    <s v="#1774B9"/>
    <s v="990-0719"/>
    <n v="99200010"/>
    <s v="T-1012"/>
    <s v="C-993"/>
    <s v="FI-993"/>
    <s v="M-1056"/>
  </r>
  <r>
    <x v="719"/>
    <n v="990"/>
    <x v="0"/>
    <x v="10"/>
    <n v="11"/>
    <x v="43"/>
    <x v="11"/>
    <x v="1"/>
    <x v="11"/>
    <s v="Ninguno"/>
    <s v="Cantidad de trabajadors dependientes informados"/>
    <s v="Año 2019"/>
    <s v="Personas"/>
    <s v="Servicio de Impuestos Internos (SII)"/>
    <x v="719"/>
    <m/>
    <s v="Gráfico"/>
    <s v="Región de Aysén trabajadores dependientes informados tramo empresas ventas anuales grande mediana pequeña micro mujeres sexo hombres género sii"/>
    <x v="473"/>
    <s v="100-R-11"/>
    <s v="#1774B9"/>
    <s v="990-0720"/>
    <n v="99200011"/>
    <s v="T-1012"/>
    <s v="C-993"/>
    <s v="FI-993"/>
    <s v="M-1056"/>
  </r>
  <r>
    <x v="720"/>
    <n v="990"/>
    <x v="0"/>
    <x v="10"/>
    <n v="12"/>
    <x v="43"/>
    <x v="11"/>
    <x v="1"/>
    <x v="12"/>
    <s v="Ninguno"/>
    <s v="Cantidad de trabajadors dependientes informados"/>
    <s v="Año 2019"/>
    <s v="Personas"/>
    <s v="Servicio de Impuestos Internos (SII)"/>
    <x v="720"/>
    <m/>
    <s v="Gráfico"/>
    <s v="Región de Magallanes trabajadores dependientes informados tramo empresas ventas anuales grande mediana pequeña micro mujeres sexo hombres género sii"/>
    <x v="474"/>
    <s v="100-R-12"/>
    <s v="#1774B9"/>
    <s v="990-0721"/>
    <n v="99200012"/>
    <s v="T-1012"/>
    <s v="C-993"/>
    <s v="FI-993"/>
    <s v="M-1056"/>
  </r>
  <r>
    <x v="721"/>
    <n v="990"/>
    <x v="0"/>
    <x v="10"/>
    <n v="13"/>
    <x v="43"/>
    <x v="11"/>
    <x v="1"/>
    <x v="13"/>
    <s v="Ninguno"/>
    <s v="Cantidad de trabajadors dependientes informados"/>
    <s v="Año 2019"/>
    <s v="Personas"/>
    <s v="Servicio de Impuestos Internos (SII)"/>
    <x v="721"/>
    <m/>
    <s v="Gráfico"/>
    <s v="Región Metropolitana trabajadores dependientes informados tramo empresas ventas anuales grande mediana pequeña micro mujeres sexo hombres género sii"/>
    <x v="475"/>
    <s v="200-R-13"/>
    <s v="#1774B9"/>
    <s v="990-0722"/>
    <n v="99200013"/>
    <s v="T-1012"/>
    <s v="C-993"/>
    <s v="FI-993"/>
    <s v="M-1056"/>
  </r>
  <r>
    <x v="722"/>
    <n v="990"/>
    <x v="0"/>
    <x v="10"/>
    <n v="14"/>
    <x v="43"/>
    <x v="11"/>
    <x v="1"/>
    <x v="14"/>
    <s v="Ninguno"/>
    <s v="Cantidad de trabajadors dependientes informados"/>
    <s v="Año 2019"/>
    <s v="Personas"/>
    <s v="Servicio de Impuestos Internos (SII)"/>
    <x v="722"/>
    <m/>
    <s v="Gráfico"/>
    <s v="Región de Los Ríos trabajadores dependientes informados tramo empresas ventas anuales grande mediana pequeña micro mujeres sexo hombres género sii"/>
    <x v="476"/>
    <s v="100-R-14"/>
    <s v="#1774B9"/>
    <s v="990-0723"/>
    <n v="99200014"/>
    <s v="T-1012"/>
    <s v="C-993"/>
    <s v="FI-993"/>
    <s v="M-1056"/>
  </r>
  <r>
    <x v="723"/>
    <n v="990"/>
    <x v="0"/>
    <x v="10"/>
    <n v="15"/>
    <x v="43"/>
    <x v="11"/>
    <x v="1"/>
    <x v="15"/>
    <s v="Ninguno"/>
    <s v="Cantidad de trabajadors dependientes informados"/>
    <s v="Año 2019"/>
    <s v="Personas"/>
    <s v="Servicio de Impuestos Internos (SII)"/>
    <x v="723"/>
    <m/>
    <s v="Gráfico"/>
    <s v="Región de Arica y Parinacota trabajadores dependientes informados tramo empresas ventas anuales grande mediana pequeña micro mujeres sexo hombres género sii"/>
    <x v="477"/>
    <s v="100-R-15"/>
    <s v="#1774B9"/>
    <s v="990-0724"/>
    <n v="99200015"/>
    <s v="T-1012"/>
    <s v="C-993"/>
    <s v="FI-993"/>
    <s v="M-1056"/>
  </r>
  <r>
    <x v="724"/>
    <n v="990"/>
    <x v="0"/>
    <x v="10"/>
    <n v="16"/>
    <x v="43"/>
    <x v="11"/>
    <x v="1"/>
    <x v="16"/>
    <s v="Ninguno"/>
    <s v="Cantidad de trabajadors dependientes informados"/>
    <s v="Año 2019"/>
    <s v="Personas"/>
    <s v="Servicio de Impuestos Internos (SII)"/>
    <x v="724"/>
    <m/>
    <s v="Gráfico"/>
    <s v="Región de Ñuble trabajadores dependientes informados tramo empresas ventas anuales grande mediana pequeña micro mujeres sexo hombres género sii"/>
    <x v="478"/>
    <s v="100-R-16"/>
    <s v="#1774B9"/>
    <s v="990-0725"/>
    <n v="99200016"/>
    <s v="T-1012"/>
    <s v="C-993"/>
    <s v="FI-993"/>
    <s v="M-1056"/>
  </r>
  <r>
    <x v="725"/>
    <n v="990"/>
    <x v="0"/>
    <x v="10"/>
    <n v="0"/>
    <x v="44"/>
    <x v="11"/>
    <x v="0"/>
    <x v="0"/>
    <s v="Región"/>
    <s v="Renta neta informada"/>
    <s v="Periodo 2005-2019"/>
    <s v="CLP"/>
    <s v="Servicio de Impuestos Internos (SII)"/>
    <x v="725"/>
    <m/>
    <s v="Gráfico de Evolución"/>
    <s v="Chile regional trabajadoras mujeres renta neta informada sii tamaño empresa micro"/>
    <x v="479"/>
    <s v="300-R"/>
    <s v="#1774B9"/>
    <s v="990-0726"/>
    <n v="99100000"/>
    <s v="T-1013"/>
    <s v="C-993"/>
    <s v="FI-992"/>
    <s v="M-1057"/>
  </r>
  <r>
    <x v="726"/>
    <n v="990"/>
    <x v="0"/>
    <x v="10"/>
    <n v="1"/>
    <x v="44"/>
    <x v="11"/>
    <x v="1"/>
    <x v="1"/>
    <s v="Ninguno"/>
    <s v="Renta neta informada"/>
    <s v="Periodo 2005-2019"/>
    <s v="CLP"/>
    <s v="Servicio de Impuestos Internos (SII)"/>
    <x v="726"/>
    <m/>
    <s v="Gráfico de Evolución"/>
    <s v="Región de Tarapacá regional trabajadoras mujeres renta neta informada sii tamaño empresa micro"/>
    <x v="480"/>
    <s v="100-R-1"/>
    <s v="#1774B9"/>
    <s v="990-0727"/>
    <n v="99200001"/>
    <s v="T-1013"/>
    <s v="C-993"/>
    <s v="FI-993"/>
    <s v="M-1057"/>
  </r>
  <r>
    <x v="727"/>
    <n v="990"/>
    <x v="0"/>
    <x v="10"/>
    <n v="2"/>
    <x v="44"/>
    <x v="11"/>
    <x v="1"/>
    <x v="2"/>
    <s v="Ninguno"/>
    <s v="Renta neta informada"/>
    <s v="Periodo 2005-2019"/>
    <s v="CLP"/>
    <s v="Servicio de Impuestos Internos (SII)"/>
    <x v="727"/>
    <m/>
    <s v="Gráfico de Evolución"/>
    <s v="Región de Antofagasta regional trabajadoras mujeres renta neta informada sii tamaño empresa micro"/>
    <x v="481"/>
    <s v="100-R-2"/>
    <s v="#1774B9"/>
    <s v="990-0728"/>
    <n v="99200002"/>
    <s v="T-1013"/>
    <s v="C-993"/>
    <s v="FI-993"/>
    <s v="M-1057"/>
  </r>
  <r>
    <x v="728"/>
    <n v="990"/>
    <x v="0"/>
    <x v="10"/>
    <n v="3"/>
    <x v="44"/>
    <x v="11"/>
    <x v="1"/>
    <x v="3"/>
    <s v="Ninguno"/>
    <s v="Renta neta informada"/>
    <s v="Periodo 2005-2019"/>
    <s v="CLP"/>
    <s v="Servicio de Impuestos Internos (SII)"/>
    <x v="728"/>
    <m/>
    <s v="Gráfico de Evolución"/>
    <s v="Región de Atacama regional trabajadoras mujeres renta neta informada sii tamaño empresa micro"/>
    <x v="482"/>
    <s v="100-R-3"/>
    <s v="#1774B9"/>
    <s v="990-0729"/>
    <n v="99200003"/>
    <s v="T-1013"/>
    <s v="C-993"/>
    <s v="FI-993"/>
    <s v="M-1057"/>
  </r>
  <r>
    <x v="729"/>
    <n v="990"/>
    <x v="0"/>
    <x v="10"/>
    <n v="4"/>
    <x v="44"/>
    <x v="11"/>
    <x v="1"/>
    <x v="4"/>
    <s v="Ninguno"/>
    <s v="Renta neta informada"/>
    <s v="Periodo 2005-2019"/>
    <s v="CLP"/>
    <s v="Servicio de Impuestos Internos (SII)"/>
    <x v="729"/>
    <s v="El año 2018 y 2019, la renta neta de las trabajadoras en Coquimbo aumentó considerablemente en la empresas consideradas en los tramos Micro 1 y Micro 2. La renta neta de mujeres en las empresas Micro 1, registró un aumento de $354.986 a $1.157.370 y en las empresas Micro 2 el aumento fue desde $389.344 a $780.590. La Renta Neta corresponde a la suma de las rentas recibidas cada mes, descontadas las cotizaciones previsionales de carácter obligatorio y/o voluntaria."/>
    <s v="Gráfico de Evolución"/>
    <s v="Región de Coquimbo regional trabajadoras mujeres renta neta informada sii tamaño empresa micro"/>
    <x v="483"/>
    <s v="100-R-4"/>
    <s v="#1774B9"/>
    <s v="990-0730"/>
    <n v="99200004"/>
    <s v="T-1013"/>
    <s v="C-993"/>
    <s v="FI-993"/>
    <s v="M-1057"/>
  </r>
  <r>
    <x v="730"/>
    <n v="990"/>
    <x v="0"/>
    <x v="10"/>
    <n v="5"/>
    <x v="44"/>
    <x v="11"/>
    <x v="1"/>
    <x v="5"/>
    <s v="Ninguno"/>
    <s v="Renta neta informada"/>
    <s v="Periodo 2005-2019"/>
    <s v="CLP"/>
    <s v="Servicio de Impuestos Internos (SII)"/>
    <x v="730"/>
    <m/>
    <s v="Gráfico de Evolución"/>
    <s v="Región de Valparaíso regional trabajadoras mujeres renta neta informada sii tamaño empresa micro"/>
    <x v="484"/>
    <s v="100-R-5"/>
    <s v="#1774B9"/>
    <s v="990-0731"/>
    <n v="99200005"/>
    <s v="T-1013"/>
    <s v="C-993"/>
    <s v="FI-993"/>
    <s v="M-1057"/>
  </r>
  <r>
    <x v="731"/>
    <n v="990"/>
    <x v="0"/>
    <x v="10"/>
    <n v="6"/>
    <x v="44"/>
    <x v="11"/>
    <x v="1"/>
    <x v="6"/>
    <s v="Ninguno"/>
    <s v="Renta neta informada"/>
    <s v="Periodo 2005-2019"/>
    <s v="CLP"/>
    <s v="Servicio de Impuestos Internos (SII)"/>
    <x v="731"/>
    <m/>
    <s v="Gráfico de Evolución"/>
    <s v="Región de O'Higgins regional trabajadoras mujeres renta neta informada sii tamaño empresa micro"/>
    <x v="485"/>
    <s v="100-R-6"/>
    <s v="#1774B9"/>
    <s v="990-0732"/>
    <n v="99200006"/>
    <s v="T-1013"/>
    <s v="C-993"/>
    <s v="FI-993"/>
    <s v="M-1057"/>
  </r>
  <r>
    <x v="732"/>
    <n v="990"/>
    <x v="0"/>
    <x v="10"/>
    <n v="7"/>
    <x v="44"/>
    <x v="11"/>
    <x v="1"/>
    <x v="7"/>
    <s v="Ninguno"/>
    <s v="Renta neta informada"/>
    <s v="Periodo 2005-2019"/>
    <s v="CLP"/>
    <s v="Servicio de Impuestos Internos (SII)"/>
    <x v="732"/>
    <m/>
    <s v="Gráfico de Evolución"/>
    <s v="Región de Maule regional trabajadoras mujeres renta neta informada sii tamaño empresa micro"/>
    <x v="486"/>
    <s v="100-R-7"/>
    <s v="#1774B9"/>
    <s v="990-0733"/>
    <n v="99200007"/>
    <s v="T-1013"/>
    <s v="C-993"/>
    <s v="FI-993"/>
    <s v="M-1057"/>
  </r>
  <r>
    <x v="733"/>
    <n v="990"/>
    <x v="0"/>
    <x v="10"/>
    <n v="8"/>
    <x v="44"/>
    <x v="11"/>
    <x v="1"/>
    <x v="8"/>
    <s v="Ninguno"/>
    <s v="Renta neta informada"/>
    <s v="Periodo 2005-2019"/>
    <s v="CLP"/>
    <s v="Servicio de Impuestos Internos (SII)"/>
    <x v="733"/>
    <m/>
    <s v="Gráfico de Evolución"/>
    <s v="Región del Biobío regional trabajadoras mujeres renta neta informada sii tamaño empresa micro"/>
    <x v="487"/>
    <s v="100-R-8"/>
    <s v="#1774B9"/>
    <s v="990-0734"/>
    <n v="99200008"/>
    <s v="T-1013"/>
    <s v="C-993"/>
    <s v="FI-993"/>
    <s v="M-1057"/>
  </r>
  <r>
    <x v="734"/>
    <n v="990"/>
    <x v="0"/>
    <x v="10"/>
    <n v="9"/>
    <x v="44"/>
    <x v="11"/>
    <x v="1"/>
    <x v="9"/>
    <s v="Ninguno"/>
    <s v="Renta neta informada"/>
    <s v="Periodo 2005-2019"/>
    <s v="CLP"/>
    <s v="Servicio de Impuestos Internos (SII)"/>
    <x v="734"/>
    <m/>
    <s v="Gráfico de Evolución"/>
    <s v="Región de La Araucanía regional trabajadoras mujeres renta neta informada sii tamaño empresa micro"/>
    <x v="488"/>
    <s v="100-R-9"/>
    <s v="#1774B9"/>
    <s v="990-0735"/>
    <n v="99200009"/>
    <s v="T-1013"/>
    <s v="C-993"/>
    <s v="FI-993"/>
    <s v="M-1057"/>
  </r>
  <r>
    <x v="735"/>
    <n v="990"/>
    <x v="0"/>
    <x v="10"/>
    <n v="10"/>
    <x v="44"/>
    <x v="11"/>
    <x v="1"/>
    <x v="10"/>
    <s v="Ninguno"/>
    <s v="Renta neta informada"/>
    <s v="Periodo 2005-2019"/>
    <s v="CLP"/>
    <s v="Servicio de Impuestos Internos (SII)"/>
    <x v="735"/>
    <m/>
    <s v="Gráfico de Evolución"/>
    <s v="Región de Los Lagos regional trabajadoras mujeres renta neta informada sii tamaño empresa micro"/>
    <x v="489"/>
    <s v="100-R-10"/>
    <s v="#1774B9"/>
    <s v="990-0736"/>
    <n v="99200010"/>
    <s v="T-1013"/>
    <s v="C-993"/>
    <s v="FI-993"/>
    <s v="M-1057"/>
  </r>
  <r>
    <x v="736"/>
    <n v="990"/>
    <x v="0"/>
    <x v="10"/>
    <n v="11"/>
    <x v="44"/>
    <x v="11"/>
    <x v="1"/>
    <x v="11"/>
    <s v="Ninguno"/>
    <s v="Renta neta informada"/>
    <s v="Periodo 2005-2019"/>
    <s v="CLP"/>
    <s v="Servicio de Impuestos Internos (SII)"/>
    <x v="736"/>
    <m/>
    <s v="Gráfico de Evolución"/>
    <s v="Región de Aysén regional trabajadoras mujeres renta neta informada sii tamaño empresa micro"/>
    <x v="490"/>
    <s v="100-R-11"/>
    <s v="#1774B9"/>
    <s v="990-0737"/>
    <n v="99200011"/>
    <s v="T-1013"/>
    <s v="C-993"/>
    <s v="FI-993"/>
    <s v="M-1057"/>
  </r>
  <r>
    <x v="737"/>
    <n v="990"/>
    <x v="0"/>
    <x v="10"/>
    <n v="12"/>
    <x v="44"/>
    <x v="11"/>
    <x v="1"/>
    <x v="12"/>
    <s v="Ninguno"/>
    <s v="Renta neta informada"/>
    <s v="Periodo 2005-2019"/>
    <s v="CLP"/>
    <s v="Servicio de Impuestos Internos (SII)"/>
    <x v="737"/>
    <m/>
    <s v="Gráfico de Evolución"/>
    <s v="Región de Magallanes regional trabajadoras mujeres renta neta informada sii tamaño empresa micro"/>
    <x v="491"/>
    <s v="100-R-12"/>
    <s v="#1774B9"/>
    <s v="990-0738"/>
    <n v="99200012"/>
    <s v="T-1013"/>
    <s v="C-993"/>
    <s v="FI-993"/>
    <s v="M-1057"/>
  </r>
  <r>
    <x v="738"/>
    <n v="990"/>
    <x v="0"/>
    <x v="10"/>
    <n v="13"/>
    <x v="44"/>
    <x v="11"/>
    <x v="1"/>
    <x v="13"/>
    <s v="Ninguno"/>
    <s v="Renta neta informada"/>
    <s v="Periodo 2005-2019"/>
    <s v="CLP"/>
    <s v="Servicio de Impuestos Internos (SII)"/>
    <x v="738"/>
    <m/>
    <s v="Gráfico de Evolución"/>
    <s v="Región Metropolitana regional trabajadoras mujeres renta neta informada sii tamaño empresa micro"/>
    <x v="492"/>
    <s v="200-R-13"/>
    <s v="#1774B9"/>
    <s v="990-0739"/>
    <n v="99200013"/>
    <s v="T-1013"/>
    <s v="C-993"/>
    <s v="FI-993"/>
    <s v="M-1057"/>
  </r>
  <r>
    <x v="739"/>
    <n v="990"/>
    <x v="0"/>
    <x v="10"/>
    <n v="14"/>
    <x v="44"/>
    <x v="11"/>
    <x v="1"/>
    <x v="14"/>
    <s v="Ninguno"/>
    <s v="Renta neta informada"/>
    <s v="Periodo 2005-2019"/>
    <s v="CLP"/>
    <s v="Servicio de Impuestos Internos (SII)"/>
    <x v="739"/>
    <m/>
    <s v="Gráfico de Evolución"/>
    <s v="Región de Los Ríos regional trabajadoras mujeres renta neta informada sii tamaño empresa micro"/>
    <x v="493"/>
    <s v="100-R-14"/>
    <s v="#1774B9"/>
    <s v="990-0740"/>
    <n v="99200014"/>
    <s v="T-1013"/>
    <s v="C-993"/>
    <s v="FI-993"/>
    <s v="M-1057"/>
  </r>
  <r>
    <x v="740"/>
    <n v="990"/>
    <x v="0"/>
    <x v="10"/>
    <n v="15"/>
    <x v="44"/>
    <x v="11"/>
    <x v="1"/>
    <x v="15"/>
    <s v="Ninguno"/>
    <s v="Renta neta informada"/>
    <s v="Periodo 2005-2019"/>
    <s v="CLP"/>
    <s v="Servicio de Impuestos Internos (SII)"/>
    <x v="740"/>
    <m/>
    <s v="Gráfico de Evolución"/>
    <s v="Región de Arica y Parinacota regional trabajadoras mujeres renta neta informada sii tamaño empresa micro"/>
    <x v="494"/>
    <s v="100-R-15"/>
    <s v="#1774B9"/>
    <s v="990-0741"/>
    <n v="99200015"/>
    <s v="T-1013"/>
    <s v="C-993"/>
    <s v="FI-993"/>
    <s v="M-1057"/>
  </r>
  <r>
    <x v="741"/>
    <n v="990"/>
    <x v="0"/>
    <x v="10"/>
    <n v="16"/>
    <x v="44"/>
    <x v="11"/>
    <x v="1"/>
    <x v="16"/>
    <s v="Ninguno"/>
    <s v="Renta neta informada"/>
    <s v="Periodo 2005-2019"/>
    <s v="CLP"/>
    <s v="Servicio de Impuestos Internos (SII)"/>
    <x v="741"/>
    <m/>
    <s v="Gráfico de Evolución"/>
    <s v="Región de Ñuble regional trabajadoras mujeres renta neta informada sii tamaño empresa micro"/>
    <x v="495"/>
    <s v="100-R-16"/>
    <s v="#1774B9"/>
    <s v="990-0742"/>
    <n v="99200016"/>
    <s v="T-1013"/>
    <s v="C-993"/>
    <s v="FI-993"/>
    <s v="M-1057"/>
  </r>
  <r>
    <x v="742"/>
    <n v="990"/>
    <x v="0"/>
    <x v="10"/>
    <n v="0"/>
    <x v="45"/>
    <x v="11"/>
    <x v="0"/>
    <x v="0"/>
    <s v="Región"/>
    <s v="Cantidad de empresas por tamaño"/>
    <s v="Periodo 2005-2019"/>
    <s v="Número de empresas"/>
    <s v="Servicio de Impuestos Internos (SII)"/>
    <x v="742"/>
    <m/>
    <s v="Gráfico de Evolución"/>
    <s v="Chile empresas regional tramos ventas uf micro mediana grande sii"/>
    <x v="496"/>
    <s v="300-R"/>
    <s v="#1774B9"/>
    <s v="990-0743"/>
    <n v="99100000"/>
    <s v="T-1014"/>
    <s v="C-993"/>
    <s v="FI-992"/>
    <s v="M-1058"/>
  </r>
  <r>
    <x v="743"/>
    <n v="990"/>
    <x v="0"/>
    <x v="10"/>
    <n v="1"/>
    <x v="45"/>
    <x v="11"/>
    <x v="1"/>
    <x v="1"/>
    <s v="Ninguno"/>
    <s v="Cantidad de empresas por tamaño"/>
    <s v="Periodo 2005-2019"/>
    <s v="Número de empresas"/>
    <s v="Servicio de Impuestos Internos (SII)"/>
    <x v="743"/>
    <m/>
    <s v="Gráfico de Evolución"/>
    <s v="Región de Tarapacá empresas regional tramos ventas uf micro mediana grande sii"/>
    <x v="497"/>
    <s v="100-R-1"/>
    <s v="#1774B9"/>
    <s v="990-0744"/>
    <n v="99200001"/>
    <s v="T-1014"/>
    <s v="C-993"/>
    <s v="FI-993"/>
    <s v="M-1058"/>
  </r>
  <r>
    <x v="744"/>
    <n v="990"/>
    <x v="0"/>
    <x v="10"/>
    <n v="2"/>
    <x v="45"/>
    <x v="11"/>
    <x v="1"/>
    <x v="2"/>
    <s v="Ninguno"/>
    <s v="Cantidad de empresas por tamaño"/>
    <s v="Periodo 2005-2019"/>
    <s v="Número de empresas"/>
    <s v="Servicio de Impuestos Internos (SII)"/>
    <x v="744"/>
    <m/>
    <s v="Gráfico de Evolución"/>
    <s v="Región de Antofagasta empresas regional tramos ventas uf micro mediana grande sii"/>
    <x v="498"/>
    <s v="100-R-2"/>
    <s v="#1774B9"/>
    <s v="990-0745"/>
    <n v="99200002"/>
    <s v="T-1014"/>
    <s v="C-993"/>
    <s v="FI-993"/>
    <s v="M-1058"/>
  </r>
  <r>
    <x v="745"/>
    <n v="990"/>
    <x v="0"/>
    <x v="10"/>
    <n v="3"/>
    <x v="45"/>
    <x v="11"/>
    <x v="1"/>
    <x v="3"/>
    <s v="Ninguno"/>
    <s v="Cantidad de empresas por tamaño"/>
    <s v="Periodo 2005-2019"/>
    <s v="Número de empresas"/>
    <s v="Servicio de Impuestos Internos (SII)"/>
    <x v="745"/>
    <m/>
    <s v="Gráfico de Evolución"/>
    <s v="Región de Atacama empresas regional tramos ventas uf micro mediana grande sii"/>
    <x v="499"/>
    <s v="100-R-3"/>
    <s v="#1774B9"/>
    <s v="990-0746"/>
    <n v="99200003"/>
    <s v="T-1014"/>
    <s v="C-993"/>
    <s v="FI-993"/>
    <s v="M-1058"/>
  </r>
  <r>
    <x v="746"/>
    <n v="990"/>
    <x v="0"/>
    <x v="10"/>
    <n v="4"/>
    <x v="45"/>
    <x v="11"/>
    <x v="1"/>
    <x v="4"/>
    <s v="Ninguno"/>
    <s v="Cantidad de empresas por tamaño"/>
    <s v="Periodo 2005-2019"/>
    <s v="Número de empresas"/>
    <s v="Servicio de Impuestos Internos (SII)"/>
    <x v="746"/>
    <m/>
    <s v="Gráfico de Evolución"/>
    <s v="Región de Coquimbo empresas regional tramos ventas uf micro mediana grande sii"/>
    <x v="500"/>
    <s v="100-R-4"/>
    <s v="#1774B9"/>
    <s v="990-0747"/>
    <n v="99200004"/>
    <s v="T-1014"/>
    <s v="C-993"/>
    <s v="FI-993"/>
    <s v="M-1058"/>
  </r>
  <r>
    <x v="747"/>
    <n v="990"/>
    <x v="0"/>
    <x v="10"/>
    <n v="5"/>
    <x v="45"/>
    <x v="11"/>
    <x v="1"/>
    <x v="5"/>
    <s v="Ninguno"/>
    <s v="Cantidad de empresas por tamaño"/>
    <s v="Periodo 2005-2019"/>
    <s v="Número de empresas"/>
    <s v="Servicio de Impuestos Internos (SII)"/>
    <x v="747"/>
    <m/>
    <s v="Gráfico de Evolución"/>
    <s v="Región de Valparaíso empresas regional tramos ventas uf micro mediana grande sii"/>
    <x v="501"/>
    <s v="100-R-5"/>
    <s v="#1774B9"/>
    <s v="990-0748"/>
    <n v="99200005"/>
    <s v="T-1014"/>
    <s v="C-993"/>
    <s v="FI-993"/>
    <s v="M-1058"/>
  </r>
  <r>
    <x v="748"/>
    <n v="990"/>
    <x v="0"/>
    <x v="10"/>
    <n v="6"/>
    <x v="45"/>
    <x v="11"/>
    <x v="1"/>
    <x v="6"/>
    <s v="Ninguno"/>
    <s v="Cantidad de empresas por tamaño"/>
    <s v="Periodo 2005-2019"/>
    <s v="Número de empresas"/>
    <s v="Servicio de Impuestos Internos (SII)"/>
    <x v="748"/>
    <m/>
    <s v="Gráfico de Evolución"/>
    <s v="Región de O'Higgins empresas regional tramos ventas uf micro mediana grande sii"/>
    <x v="502"/>
    <s v="100-R-6"/>
    <s v="#1774B9"/>
    <s v="990-0749"/>
    <n v="99200006"/>
    <s v="T-1014"/>
    <s v="C-993"/>
    <s v="FI-993"/>
    <s v="M-1058"/>
  </r>
  <r>
    <x v="749"/>
    <n v="990"/>
    <x v="0"/>
    <x v="10"/>
    <n v="7"/>
    <x v="45"/>
    <x v="11"/>
    <x v="1"/>
    <x v="7"/>
    <s v="Ninguno"/>
    <s v="Cantidad de empresas por tamaño"/>
    <s v="Periodo 2005-2019"/>
    <s v="Número de empresas"/>
    <s v="Servicio de Impuestos Internos (SII)"/>
    <x v="749"/>
    <m/>
    <s v="Gráfico de Evolución"/>
    <s v="Región de Maule empresas regional tramos ventas uf micro mediana grande sii"/>
    <x v="503"/>
    <s v="100-R-7"/>
    <s v="#1774B9"/>
    <s v="990-0750"/>
    <n v="99200007"/>
    <s v="T-1014"/>
    <s v="C-993"/>
    <s v="FI-993"/>
    <s v="M-1058"/>
  </r>
  <r>
    <x v="750"/>
    <n v="990"/>
    <x v="0"/>
    <x v="10"/>
    <n v="8"/>
    <x v="45"/>
    <x v="11"/>
    <x v="1"/>
    <x v="8"/>
    <s v="Ninguno"/>
    <s v="Cantidad de empresas por tamaño"/>
    <s v="Periodo 2005-2019"/>
    <s v="Número de empresas"/>
    <s v="Servicio de Impuestos Internos (SII)"/>
    <x v="750"/>
    <m/>
    <s v="Gráfico de Evolución"/>
    <s v="Región del Biobío empresas regional tramos ventas uf micro mediana grande sii"/>
    <x v="504"/>
    <s v="100-R-8"/>
    <s v="#1774B9"/>
    <s v="990-0751"/>
    <n v="99200008"/>
    <s v="T-1014"/>
    <s v="C-993"/>
    <s v="FI-993"/>
    <s v="M-1058"/>
  </r>
  <r>
    <x v="751"/>
    <n v="990"/>
    <x v="0"/>
    <x v="10"/>
    <n v="9"/>
    <x v="45"/>
    <x v="11"/>
    <x v="1"/>
    <x v="9"/>
    <s v="Ninguno"/>
    <s v="Cantidad de empresas por tamaño"/>
    <s v="Periodo 2005-2019"/>
    <s v="Número de empresas"/>
    <s v="Servicio de Impuestos Internos (SII)"/>
    <x v="751"/>
    <m/>
    <s v="Gráfico de Evolución"/>
    <s v="Región de La Araucanía empresas regional tramos ventas uf micro mediana grande sii"/>
    <x v="505"/>
    <s v="100-R-9"/>
    <s v="#1774B9"/>
    <s v="990-0752"/>
    <n v="99200009"/>
    <s v="T-1014"/>
    <s v="C-993"/>
    <s v="FI-993"/>
    <s v="M-1058"/>
  </r>
  <r>
    <x v="752"/>
    <n v="990"/>
    <x v="0"/>
    <x v="10"/>
    <n v="10"/>
    <x v="45"/>
    <x v="11"/>
    <x v="1"/>
    <x v="10"/>
    <s v="Ninguno"/>
    <s v="Cantidad de empresas por tamaño"/>
    <s v="Periodo 2005-2019"/>
    <s v="Número de empresas"/>
    <s v="Servicio de Impuestos Internos (SII)"/>
    <x v="752"/>
    <m/>
    <s v="Gráfico de Evolución"/>
    <s v="Región de Los Lagos empresas regional tramos ventas uf micro mediana grande sii"/>
    <x v="506"/>
    <s v="100-R-10"/>
    <s v="#1774B9"/>
    <s v="990-0753"/>
    <n v="99200010"/>
    <s v="T-1014"/>
    <s v="C-993"/>
    <s v="FI-993"/>
    <s v="M-1058"/>
  </r>
  <r>
    <x v="753"/>
    <n v="990"/>
    <x v="0"/>
    <x v="10"/>
    <n v="11"/>
    <x v="45"/>
    <x v="11"/>
    <x v="1"/>
    <x v="11"/>
    <s v="Ninguno"/>
    <s v="Cantidad de empresas por tamaño"/>
    <s v="Periodo 2005-2019"/>
    <s v="Número de empresas"/>
    <s v="Servicio de Impuestos Internos (SII)"/>
    <x v="753"/>
    <m/>
    <s v="Gráfico de Evolución"/>
    <s v="Región de Aysén empresas regional tramos ventas uf micro mediana grande sii"/>
    <x v="507"/>
    <s v="100-R-11"/>
    <s v="#1774B9"/>
    <s v="990-0754"/>
    <n v="99200011"/>
    <s v="T-1014"/>
    <s v="C-993"/>
    <s v="FI-993"/>
    <s v="M-1058"/>
  </r>
  <r>
    <x v="754"/>
    <n v="990"/>
    <x v="0"/>
    <x v="10"/>
    <n v="12"/>
    <x v="45"/>
    <x v="11"/>
    <x v="1"/>
    <x v="12"/>
    <s v="Ninguno"/>
    <s v="Cantidad de empresas por tamaño"/>
    <s v="Periodo 2005-2019"/>
    <s v="Número de empresas"/>
    <s v="Servicio de Impuestos Internos (SII)"/>
    <x v="754"/>
    <m/>
    <s v="Gráfico de Evolución"/>
    <s v="Región de Magallanes empresas regional tramos ventas uf micro mediana grande sii"/>
    <x v="508"/>
    <s v="100-R-12"/>
    <s v="#1774B9"/>
    <s v="990-0755"/>
    <n v="99200012"/>
    <s v="T-1014"/>
    <s v="C-993"/>
    <s v="FI-993"/>
    <s v="M-1058"/>
  </r>
  <r>
    <x v="755"/>
    <n v="990"/>
    <x v="0"/>
    <x v="10"/>
    <n v="13"/>
    <x v="45"/>
    <x v="11"/>
    <x v="1"/>
    <x v="13"/>
    <s v="Ninguno"/>
    <s v="Cantidad de empresas por tamaño"/>
    <s v="Periodo 2005-2019"/>
    <s v="Número de empresas"/>
    <s v="Servicio de Impuestos Internos (SII)"/>
    <x v="755"/>
    <s v="El número de empresas aumentó sostenidamente durante los años comprendidos en el periodo 2005-2019. Las empresas correspondientes al tramo Sin Ventas, presentan el mayor crecimiento durante todo este periodo, seguido por los tramos Micro 3 y Micro 1."/>
    <s v="Gráfico de Evolución"/>
    <s v="Región Metropolitana empresas regional tramos ventas uf micro mediana grande sii"/>
    <x v="509"/>
    <s v="200-R-13"/>
    <s v="#1774B9"/>
    <s v="990-0756"/>
    <n v="99200013"/>
    <s v="T-1014"/>
    <s v="C-993"/>
    <s v="FI-993"/>
    <s v="M-1058"/>
  </r>
  <r>
    <x v="756"/>
    <n v="990"/>
    <x v="0"/>
    <x v="10"/>
    <n v="14"/>
    <x v="45"/>
    <x v="11"/>
    <x v="1"/>
    <x v="14"/>
    <s v="Ninguno"/>
    <s v="Cantidad de empresas por tamaño"/>
    <s v="Periodo 2005-2019"/>
    <s v="Número de empresas"/>
    <s v="Servicio de Impuestos Internos (SII)"/>
    <x v="756"/>
    <m/>
    <s v="Gráfico de Evolución"/>
    <s v="Región de Los Ríos empresas regional tramos ventas uf micro mediana grande sii"/>
    <x v="510"/>
    <s v="100-R-14"/>
    <s v="#1774B9"/>
    <s v="990-0757"/>
    <n v="99200014"/>
    <s v="T-1014"/>
    <s v="C-993"/>
    <s v="FI-993"/>
    <s v="M-1058"/>
  </r>
  <r>
    <x v="757"/>
    <n v="990"/>
    <x v="0"/>
    <x v="10"/>
    <n v="15"/>
    <x v="45"/>
    <x v="11"/>
    <x v="1"/>
    <x v="15"/>
    <s v="Ninguno"/>
    <s v="Cantidad de empresas por tamaño"/>
    <s v="Periodo 2005-2019"/>
    <s v="Número de empresas"/>
    <s v="Servicio de Impuestos Internos (SII)"/>
    <x v="757"/>
    <m/>
    <s v="Gráfico de Evolución"/>
    <s v="Región de Arica y Parinacota empresas regional tramos ventas uf micro mediana grande sii"/>
    <x v="511"/>
    <s v="100-R-15"/>
    <s v="#1774B9"/>
    <s v="990-0758"/>
    <n v="99200015"/>
    <s v="T-1014"/>
    <s v="C-993"/>
    <s v="FI-993"/>
    <s v="M-1058"/>
  </r>
  <r>
    <x v="758"/>
    <n v="990"/>
    <x v="0"/>
    <x v="10"/>
    <n v="16"/>
    <x v="45"/>
    <x v="11"/>
    <x v="1"/>
    <x v="16"/>
    <s v="Ninguno"/>
    <s v="Cantidad de empresas por tamaño"/>
    <s v="Periodo 2005-2019"/>
    <s v="Número de empresas"/>
    <s v="Servicio de Impuestos Internos (SII)"/>
    <x v="758"/>
    <m/>
    <s v="Gráfico de Evolución"/>
    <s v="Región de Ñuble empresas regional tramos ventas uf micro mediana grande sii"/>
    <x v="512"/>
    <s v="100-R-16"/>
    <s v="#1774B9"/>
    <s v="990-0759"/>
    <n v="99200016"/>
    <s v="T-1014"/>
    <s v="C-993"/>
    <s v="FI-993"/>
    <s v="M-1058"/>
  </r>
  <r>
    <x v="759"/>
    <n v="990"/>
    <x v="0"/>
    <x v="4"/>
    <n v="0"/>
    <x v="46"/>
    <x v="14"/>
    <x v="0"/>
    <x v="0"/>
    <s v="Categoría"/>
    <s v="Población controlada en Chile"/>
    <s v="Año 2018"/>
    <s v="Personas"/>
    <s v="Departamento de Estadísticas e Información de la Salud (DEIS) - Ministerio de Salud"/>
    <x v="759"/>
    <m/>
    <s v="Gráfico"/>
    <s v="Chile cardiovascular corazón hipertensión enfermedad renal dislipidemias infarto salud programa población control"/>
    <x v="513"/>
    <n v="0"/>
    <s v="#1774B9"/>
    <s v="990-0760"/>
    <n v="99100000"/>
    <s v="T-1015"/>
    <s v="C-1010"/>
    <s v="FI-1002"/>
    <s v="M-1059"/>
  </r>
  <r>
    <x v="760"/>
    <n v="990"/>
    <x v="0"/>
    <x v="12"/>
    <n v="0"/>
    <x v="47"/>
    <x v="21"/>
    <x v="0"/>
    <x v="0"/>
    <s v="Ninguno"/>
    <s v="Cantidad de CO2 absorbido por región"/>
    <s v="Periodo 1990-2018"/>
    <s v="Kilotoneladas"/>
    <s v="Sistema Nacional de Inventarios de Gases de Efecto Invernadero"/>
    <x v="760"/>
    <s v="La absorción de un gas se mide en kilotoneladas (kt) y se identifica con un signo negativo. Durante el periodo 1990-2018, la región que absorbió más dióxido de carbono (CO2) fue Biobío, con 711.829,8 (kt) absorbidas. Por el contrario, la que menos CO2 absorbió fue Arica y Parinacota, con 0,2 (kt)."/>
    <s v="Mapa de calor"/>
    <s v="Chile GEI absorciones CO2 dioxido carbono mapa regiones gas efecto invernadero"/>
    <x v="514"/>
    <n v="0"/>
    <s v="#1774B9"/>
    <s v="990-0761"/>
    <n v="99100000"/>
    <s v="T-1016"/>
    <s v="C-1004"/>
    <s v="FI-993"/>
    <s v="M-1060"/>
  </r>
  <r>
    <x v="761"/>
    <n v="990"/>
    <x v="0"/>
    <x v="12"/>
    <n v="0"/>
    <x v="48"/>
    <x v="21"/>
    <x v="0"/>
    <x v="0"/>
    <s v="Ninguno"/>
    <s v="Promedio emisiones netas de CO2 en Chile"/>
    <s v="Periodo 1990-2018"/>
    <s v="Kilotoneladas"/>
    <s v="Sistema Nacional de Inventarios de Gases de Efecto Invernadero"/>
    <x v="761"/>
    <s v="En el año 1990, se observó la cantidad más baja de emisiones netas de CO2 en el país, con -684 kilotoneladas (kt), mientras que en el año 2017 ocurrió la más alta, alcanzando 6.219 (kt)."/>
    <s v="Gráfico de Evolución"/>
    <s v="Chile GEI emisiones netas CO2 equivalente dioxido carbono gas efecto invernadero"/>
    <x v="515"/>
    <n v="0"/>
    <s v="#1774B9"/>
    <s v="990-0762"/>
    <n v="99100000"/>
    <s v="T-1017"/>
    <s v="C-1004"/>
    <s v="FI-993"/>
    <s v="M-1061"/>
  </r>
  <r>
    <x v="762"/>
    <n v="990"/>
    <x v="0"/>
    <x v="12"/>
    <n v="0"/>
    <x v="49"/>
    <x v="21"/>
    <x v="0"/>
    <x v="0"/>
    <s v="Ninguno"/>
    <s v="Emisiones de CO2 equivalente por gas en Chile"/>
    <s v="Periodo 1990-2018"/>
    <s v="Kilotoneladas"/>
    <s v="Sistema Nacional de Inventarios de Gases de Efecto Invernadero"/>
    <x v="762"/>
    <s v="El gas que más se emitió durante el periodo comprendido entre los años 1990 y 2018 fue el dióxido de carbono (CO2). En segundo lugar se encuentra el metano (CH4) y el menos emitido fue el hexafluoruro de azufre (SF6). Durante el año 2017, se emitió la mayor cantidad de CO2 y de CH4, alcanzando 236.062 kilotoneladas (kt) de CO2eq y 15.948 (kt) de CO2eq, respectivamente."/>
    <s v="Gráfico de Evolución"/>
    <s v="Chile GEI emisiones CO2 equivalente dioxido carbono gas efecto invernadero metano óxido nitroso CH4 N2O HFC SF6"/>
    <x v="516"/>
    <n v="0"/>
    <s v="#1774B9"/>
    <s v="990-0763"/>
    <n v="99100000"/>
    <s v="T-1018"/>
    <s v="C-1004"/>
    <s v="FI-993"/>
    <s v="M-1062"/>
  </r>
  <r>
    <x v="763"/>
    <n v="990"/>
    <x v="0"/>
    <x v="12"/>
    <n v="0"/>
    <x v="50"/>
    <x v="21"/>
    <x v="0"/>
    <x v="0"/>
    <s v="Ninguno"/>
    <s v="Emisiones y absorciones por subsector en Chile"/>
    <s v="Año 2018"/>
    <s v="Kilotoneladas"/>
    <s v="Sistema Nacional de Inventarios de Gases de Efecto Invernadero"/>
    <x v="763"/>
    <s v="El subsector que más CO2 equivalente emitió en el año 2018 fue &quot;Actividades de quema de combustible&quot;, alcanzando 85.974 kilotoneladas (kt). Por el contrario, el subsector que absorbió más CO2 equivalente fue &quot;Tierras forestales&quot;, llegando a absorber 61.344 (kt)."/>
    <s v="Gráfico"/>
    <s v="Chile GEI emisiones absorciones CO2 equivalente dioxido carbono subsector gas efecto invernadero"/>
    <x v="517"/>
    <n v="0"/>
    <s v="#1774B9"/>
    <s v="990-0764"/>
    <n v="99100000"/>
    <s v="T-1019"/>
    <s v="C-1004"/>
    <s v="FI-993"/>
    <s v="M-1063"/>
  </r>
  <r>
    <x v="764"/>
    <n v="990"/>
    <x v="0"/>
    <x v="10"/>
    <n v="0"/>
    <x v="43"/>
    <x v="11"/>
    <x v="0"/>
    <x v="0"/>
    <s v="Región"/>
    <s v="Trabajadores dependientes informados por sexo por región"/>
    <s v="Periodo 2005-2019"/>
    <s v="Personas"/>
    <s v="Servicio de Impuestos Internos (SII)"/>
    <x v="764"/>
    <m/>
    <s v="Gráfico"/>
    <s v="Chile personas trabajadores género sexo mujeres hombres proporción explotación canteras mineras sii"/>
    <x v="518"/>
    <s v="300-R"/>
    <s v="#1774B9"/>
    <s v="990-0765"/>
    <n v="99100000"/>
    <s v="T-1012"/>
    <s v="C-993"/>
    <s v="FI-992"/>
    <s v="M-1064"/>
  </r>
  <r>
    <x v="765"/>
    <n v="990"/>
    <x v="0"/>
    <x v="10"/>
    <n v="1"/>
    <x v="43"/>
    <x v="11"/>
    <x v="1"/>
    <x v="1"/>
    <s v="Ninguno"/>
    <s v="Trabajadores dependientes informados por sexo por región"/>
    <s v="Periodo 2005-2019"/>
    <s v="Personas"/>
    <s v="Servicio de Impuestos Internos (SII)"/>
    <x v="765"/>
    <m/>
    <s v="Gráfico"/>
    <s v="Región de Tarapacá personas trabajadores género sexo mujeres hombres proporción explotación canteras mineras sii"/>
    <x v="519"/>
    <s v="100-R-1"/>
    <s v="#1774B9"/>
    <s v="990-0766"/>
    <n v="99200001"/>
    <s v="T-1012"/>
    <s v="C-993"/>
    <s v="FI-993"/>
    <s v="M-1064"/>
  </r>
  <r>
    <x v="766"/>
    <n v="990"/>
    <x v="0"/>
    <x v="10"/>
    <n v="2"/>
    <x v="43"/>
    <x v="11"/>
    <x v="1"/>
    <x v="2"/>
    <s v="Ninguno"/>
    <s v="Trabajadores dependientes informados por sexo por región"/>
    <s v="Periodo 2005-2019"/>
    <s v="Personas"/>
    <s v="Servicio de Impuestos Internos (SII)"/>
    <x v="766"/>
    <m/>
    <s v="Gráfico"/>
    <s v="Región de Antofagasta personas trabajadores género sexo mujeres hombres proporción explotación canteras mineras sii"/>
    <x v="520"/>
    <s v="100-R-2"/>
    <s v="#1774B9"/>
    <s v="990-0767"/>
    <n v="99200002"/>
    <s v="T-1012"/>
    <s v="C-993"/>
    <s v="FI-993"/>
    <s v="M-1064"/>
  </r>
  <r>
    <x v="767"/>
    <n v="990"/>
    <x v="0"/>
    <x v="10"/>
    <n v="3"/>
    <x v="43"/>
    <x v="11"/>
    <x v="1"/>
    <x v="3"/>
    <s v="Ninguno"/>
    <s v="Trabajadores dependientes informados por sexo por región"/>
    <s v="Periodo 2005-2019"/>
    <s v="Personas"/>
    <s v="Servicio de Impuestos Internos (SII)"/>
    <x v="767"/>
    <m/>
    <s v="Gráfico"/>
    <s v="Región de Atacama personas trabajadores género sexo mujeres hombres proporción explotación canteras mineras sii"/>
    <x v="521"/>
    <s v="100-R-3"/>
    <s v="#1774B9"/>
    <s v="990-0768"/>
    <n v="99200003"/>
    <s v="T-1012"/>
    <s v="C-993"/>
    <s v="FI-993"/>
    <s v="M-1064"/>
  </r>
  <r>
    <x v="768"/>
    <n v="990"/>
    <x v="0"/>
    <x v="10"/>
    <n v="4"/>
    <x v="43"/>
    <x v="11"/>
    <x v="1"/>
    <x v="4"/>
    <s v="Ninguno"/>
    <s v="Trabajadores dependientes informados por sexo por región"/>
    <s v="Periodo 2005-2019"/>
    <s v="Personas"/>
    <s v="Servicio de Impuestos Internos (SII)"/>
    <x v="768"/>
    <m/>
    <s v="Gráfico"/>
    <s v="Región de Coquimbo personas trabajadores género sexo mujeres hombres proporción explotación canteras mineras sii"/>
    <x v="522"/>
    <s v="100-R-4"/>
    <s v="#1774B9"/>
    <s v="990-0769"/>
    <n v="99200004"/>
    <s v="T-1012"/>
    <s v="C-993"/>
    <s v="FI-993"/>
    <s v="M-1064"/>
  </r>
  <r>
    <x v="769"/>
    <n v="990"/>
    <x v="0"/>
    <x v="10"/>
    <n v="5"/>
    <x v="43"/>
    <x v="11"/>
    <x v="1"/>
    <x v="5"/>
    <s v="Ninguno"/>
    <s v="Trabajadores dependientes informados por sexo por región"/>
    <s v="Periodo 2005-2019"/>
    <s v="Personas"/>
    <s v="Servicio de Impuestos Internos (SII)"/>
    <x v="769"/>
    <m/>
    <s v="Gráfico"/>
    <s v="Región de Valparaíso personas trabajadores género sexo mujeres hombres proporción explotación canteras mineras sii"/>
    <x v="523"/>
    <s v="100-R-5"/>
    <s v="#1774B9"/>
    <s v="990-0770"/>
    <n v="99200005"/>
    <s v="T-1012"/>
    <s v="C-993"/>
    <s v="FI-993"/>
    <s v="M-1064"/>
  </r>
  <r>
    <x v="770"/>
    <n v="990"/>
    <x v="0"/>
    <x v="10"/>
    <n v="6"/>
    <x v="43"/>
    <x v="11"/>
    <x v="1"/>
    <x v="6"/>
    <s v="Ninguno"/>
    <s v="Trabajadores dependientes informados por sexo por región"/>
    <s v="Periodo 2005-2019"/>
    <s v="Personas"/>
    <s v="Servicio de Impuestos Internos (SII)"/>
    <x v="770"/>
    <m/>
    <s v="Gráfico"/>
    <s v="Región de O'Higgins personas trabajadores género sexo mujeres hombres proporción explotación canteras mineras sii"/>
    <x v="524"/>
    <s v="100-R-6"/>
    <s v="#1774B9"/>
    <s v="990-0771"/>
    <n v="99200006"/>
    <s v="T-1012"/>
    <s v="C-993"/>
    <s v="FI-993"/>
    <s v="M-1064"/>
  </r>
  <r>
    <x v="771"/>
    <n v="990"/>
    <x v="0"/>
    <x v="10"/>
    <n v="7"/>
    <x v="43"/>
    <x v="11"/>
    <x v="1"/>
    <x v="7"/>
    <s v="Ninguno"/>
    <s v="Trabajadores dependientes informados por sexo por región"/>
    <s v="Periodo 2005-2019"/>
    <s v="Personas"/>
    <s v="Servicio de Impuestos Internos (SII)"/>
    <x v="771"/>
    <m/>
    <s v="Gráfico"/>
    <s v="Región de Maule personas trabajadores género sexo mujeres hombres proporción explotación canteras mineras sii"/>
    <x v="525"/>
    <s v="100-R-7"/>
    <s v="#1774B9"/>
    <s v="990-0772"/>
    <n v="99200007"/>
    <s v="T-1012"/>
    <s v="C-993"/>
    <s v="FI-993"/>
    <s v="M-1064"/>
  </r>
  <r>
    <x v="772"/>
    <n v="990"/>
    <x v="0"/>
    <x v="10"/>
    <n v="8"/>
    <x v="43"/>
    <x v="11"/>
    <x v="1"/>
    <x v="8"/>
    <s v="Ninguno"/>
    <s v="Trabajadores dependientes informados por sexo por región"/>
    <s v="Periodo 2005-2019"/>
    <s v="Personas"/>
    <s v="Servicio de Impuestos Internos (SII)"/>
    <x v="772"/>
    <m/>
    <s v="Gráfico"/>
    <s v="Región del Biobío personas trabajadores género sexo mujeres hombres proporción explotación canteras mineras sii"/>
    <x v="526"/>
    <s v="100-R-8"/>
    <s v="#1774B9"/>
    <s v="990-0773"/>
    <n v="99200008"/>
    <s v="T-1012"/>
    <s v="C-993"/>
    <s v="FI-993"/>
    <s v="M-1064"/>
  </r>
  <r>
    <x v="773"/>
    <n v="990"/>
    <x v="0"/>
    <x v="10"/>
    <n v="9"/>
    <x v="43"/>
    <x v="11"/>
    <x v="1"/>
    <x v="9"/>
    <s v="Ninguno"/>
    <s v="Trabajadores dependientes informados por sexo por región"/>
    <s v="Periodo 2005-2019"/>
    <s v="Personas"/>
    <s v="Servicio de Impuestos Internos (SII)"/>
    <x v="773"/>
    <m/>
    <s v="Gráfico"/>
    <s v="Región de La Araucanía personas trabajadores género sexo mujeres hombres proporción explotación canteras mineras sii"/>
    <x v="527"/>
    <s v="100-R-9"/>
    <s v="#1774B9"/>
    <s v="990-0774"/>
    <n v="99200009"/>
    <s v="T-1012"/>
    <s v="C-993"/>
    <s v="FI-993"/>
    <s v="M-1064"/>
  </r>
  <r>
    <x v="774"/>
    <n v="990"/>
    <x v="0"/>
    <x v="10"/>
    <n v="10"/>
    <x v="43"/>
    <x v="11"/>
    <x v="1"/>
    <x v="10"/>
    <s v="Ninguno"/>
    <s v="Trabajadores dependientes informados por sexo por región"/>
    <s v="Periodo 2005-2019"/>
    <s v="Personas"/>
    <s v="Servicio de Impuestos Internos (SII)"/>
    <x v="774"/>
    <m/>
    <s v="Gráfico"/>
    <s v="Región de Los Lagos personas trabajadores género sexo mujeres hombres proporción explotación canteras mineras sii"/>
    <x v="528"/>
    <s v="100-R-10"/>
    <s v="#1774B9"/>
    <s v="990-0775"/>
    <n v="99200010"/>
    <s v="T-1012"/>
    <s v="C-993"/>
    <s v="FI-993"/>
    <s v="M-1064"/>
  </r>
  <r>
    <x v="775"/>
    <n v="990"/>
    <x v="0"/>
    <x v="10"/>
    <n v="11"/>
    <x v="43"/>
    <x v="11"/>
    <x v="1"/>
    <x v="11"/>
    <s v="Ninguno"/>
    <s v="Trabajadores dependientes informados por sexo por región"/>
    <s v="Periodo 2005-2019"/>
    <s v="Personas"/>
    <s v="Servicio de Impuestos Internos (SII)"/>
    <x v="775"/>
    <m/>
    <s v="Gráfico"/>
    <s v="Región de Aysén personas trabajadores género sexo mujeres hombres proporción explotación canteras mineras sii"/>
    <x v="529"/>
    <s v="100-R-11"/>
    <s v="#1774B9"/>
    <s v="990-0776"/>
    <n v="99200011"/>
    <s v="T-1012"/>
    <s v="C-993"/>
    <s v="FI-993"/>
    <s v="M-1064"/>
  </r>
  <r>
    <x v="776"/>
    <n v="990"/>
    <x v="0"/>
    <x v="10"/>
    <n v="12"/>
    <x v="43"/>
    <x v="11"/>
    <x v="1"/>
    <x v="12"/>
    <s v="Ninguno"/>
    <s v="Trabajadores dependientes informados por sexo por región"/>
    <s v="Periodo 2005-2019"/>
    <s v="Personas"/>
    <s v="Servicio de Impuestos Internos (SII)"/>
    <x v="776"/>
    <s v="Durante el año tributario 2019, en la región de Magallanes se registraron 855 hombres trabajadores dependientes informados y 83 mujeres trabajadoras dependientes informadas, en el rubro B-Explotación minera y canteras."/>
    <s v="Gráfico"/>
    <s v="Región de Magallanes personas trabajadores género sexo mujeres hombres proporción explotación canteras mineras sii"/>
    <x v="530"/>
    <s v="100-R-12"/>
    <s v="#1774B9"/>
    <s v="990-0777"/>
    <n v="99200012"/>
    <s v="T-1012"/>
    <s v="C-993"/>
    <s v="FI-993"/>
    <s v="M-1064"/>
  </r>
  <r>
    <x v="777"/>
    <n v="990"/>
    <x v="0"/>
    <x v="10"/>
    <n v="13"/>
    <x v="43"/>
    <x v="11"/>
    <x v="1"/>
    <x v="13"/>
    <s v="Ninguno"/>
    <s v="Trabajadores dependientes informados por sexo por región"/>
    <s v="Periodo 2005-2019"/>
    <s v="Personas"/>
    <s v="Servicio de Impuestos Internos (SII)"/>
    <x v="777"/>
    <m/>
    <s v="Gráfico"/>
    <s v="Región Metropolitana personas trabajadores género sexo mujeres hombres proporción explotación canteras mineras sii"/>
    <x v="531"/>
    <s v="200-R-13"/>
    <s v="#1774B9"/>
    <s v="990-0778"/>
    <n v="99200013"/>
    <s v="T-1012"/>
    <s v="C-993"/>
    <s v="FI-993"/>
    <s v="M-1064"/>
  </r>
  <r>
    <x v="778"/>
    <n v="990"/>
    <x v="0"/>
    <x v="10"/>
    <n v="14"/>
    <x v="43"/>
    <x v="11"/>
    <x v="1"/>
    <x v="14"/>
    <s v="Ninguno"/>
    <s v="Trabajadores dependientes informados por sexo por región"/>
    <s v="Periodo 2005-2019"/>
    <s v="Personas"/>
    <s v="Servicio de Impuestos Internos (SII)"/>
    <x v="778"/>
    <m/>
    <s v="Gráfico"/>
    <s v="Región de Los Ríos personas trabajadores género sexo mujeres hombres proporción explotación canteras mineras sii"/>
    <x v="532"/>
    <s v="100-R-14"/>
    <s v="#1774B9"/>
    <s v="990-0779"/>
    <n v="99200014"/>
    <s v="T-1012"/>
    <s v="C-993"/>
    <s v="FI-993"/>
    <s v="M-1064"/>
  </r>
  <r>
    <x v="779"/>
    <n v="990"/>
    <x v="0"/>
    <x v="10"/>
    <n v="15"/>
    <x v="43"/>
    <x v="11"/>
    <x v="1"/>
    <x v="15"/>
    <s v="Ninguno"/>
    <s v="Trabajadores dependientes informados por sexo por región"/>
    <s v="Periodo 2005-2019"/>
    <s v="Personas"/>
    <s v="Servicio de Impuestos Internos (SII)"/>
    <x v="779"/>
    <m/>
    <s v="Gráfico"/>
    <s v="Región de Arica y Parinacota personas trabajadores género sexo mujeres hombres proporción explotación canteras mineras sii"/>
    <x v="533"/>
    <s v="100-R-15"/>
    <s v="#1774B9"/>
    <s v="990-0780"/>
    <n v="99200015"/>
    <s v="T-1012"/>
    <s v="C-993"/>
    <s v="FI-993"/>
    <s v="M-1064"/>
  </r>
  <r>
    <x v="780"/>
    <n v="990"/>
    <x v="0"/>
    <x v="10"/>
    <n v="16"/>
    <x v="43"/>
    <x v="11"/>
    <x v="1"/>
    <x v="16"/>
    <s v="Ninguno"/>
    <s v="Trabajadores dependientes informados por sexo por región"/>
    <s v="Periodo 2005-2019"/>
    <s v="Personas"/>
    <s v="Servicio de Impuestos Internos (SII)"/>
    <x v="780"/>
    <m/>
    <s v="Gráfico"/>
    <s v="Región de Ñuble personas trabajadores género sexo mujeres hombres proporción explotación canteras mineras sii"/>
    <x v="534"/>
    <s v="100-R-16"/>
    <s v="#1774B9"/>
    <s v="990-0781"/>
    <n v="99200016"/>
    <s v="T-1012"/>
    <s v="C-993"/>
    <s v="FI-993"/>
    <s v="M-1064"/>
  </r>
  <r>
    <x v="781"/>
    <n v="990"/>
    <x v="0"/>
    <x v="10"/>
    <n v="0"/>
    <x v="51"/>
    <x v="11"/>
    <x v="0"/>
    <x v="0"/>
    <s v="Ninguno"/>
    <s v="Ventas anuales por rubro en Chile"/>
    <s v="Periodo 2005-2019"/>
    <s v="UF"/>
    <s v="Servicio de Impuestos Internos (SII)"/>
    <x v="781"/>
    <s v="A nivel nacional, las ventas anuales en UF muestran una tendencia de crecimiento exponencial, llegando hasta 529.791.788 UF en el rubro de L-Actividades Inmobiliarias."/>
    <s v="Gráfico de Evolución"/>
    <s v="Chile evolución anual ventas uf unidad fomento rubro actividades inmobiliarias nivel nacional"/>
    <x v="535"/>
    <n v="0"/>
    <s v="#1774B9"/>
    <s v="990-0782"/>
    <n v="99100000"/>
    <s v="T-998"/>
    <s v="C-993"/>
    <s v="FI-993"/>
    <s v="M-1065"/>
  </r>
  <r>
    <x v="782"/>
    <n v="990"/>
    <x v="0"/>
    <x v="2"/>
    <n v="0"/>
    <x v="24"/>
    <x v="13"/>
    <x v="0"/>
    <x v="0"/>
    <s v="Región-Servicio de Salud"/>
    <s v="Casos de cáncer por comuna"/>
    <s v="Periodo 2011-2018"/>
    <s v="Número de Casos"/>
    <s v="Departamento de Estadísticas e Información de la Salud (DEIS) - Ministerio de Salud"/>
    <x v="782"/>
    <s v="Para el año 2018, las comunas con la mayor cantidad de casos de Cáncer de Cuello Uterino fueron Temuco con 30 casos, seguido por La Serena y Valparaíso con 23 casos cada una y luego Santiago con 22 casos para el mismo año."/>
    <s v="Gráfico de Evolución"/>
    <s v="Chile salud cáncer cérvico uterino cuello útero casos tumor servicio nacional programa"/>
    <x v="536"/>
    <s v="300-R"/>
    <s v="#1774B9"/>
    <s v="990-0783"/>
    <n v="99100000"/>
    <s v="T-999"/>
    <s v="C-1009"/>
    <s v="FI-1009"/>
    <s v="M-1066"/>
  </r>
  <r>
    <x v="783"/>
    <n v="990"/>
    <x v="0"/>
    <x v="2"/>
    <n v="1"/>
    <x v="24"/>
    <x v="13"/>
    <x v="1"/>
    <x v="1"/>
    <s v="Servicio de Salud"/>
    <s v="Casos de cáncer por comuna"/>
    <s v="Periodo 2011-2018"/>
    <s v="Número de Casos"/>
    <s v="Departamento de Estadísticas e Información de la Salud (DEIS) - Ministerio de Salud"/>
    <x v="783"/>
    <m/>
    <s v="Gráfico de Evolución"/>
    <s v="Región de Tarapacá salud cáncer cérvico uterino cuello útero casos tumor servicio nacional programa"/>
    <x v="537"/>
    <s v="100-R-1"/>
    <s v="#1774B9"/>
    <s v="990-0784"/>
    <n v="99200001"/>
    <s v="T-999"/>
    <s v="C-1009"/>
    <s v="FI-1003"/>
    <s v="M-1066"/>
  </r>
  <r>
    <x v="784"/>
    <n v="990"/>
    <x v="0"/>
    <x v="2"/>
    <n v="2"/>
    <x v="24"/>
    <x v="13"/>
    <x v="1"/>
    <x v="2"/>
    <s v="Servicio de Salud"/>
    <s v="Casos de cáncer por comuna"/>
    <s v="Periodo 2011-2018"/>
    <s v="Número de Casos"/>
    <s v="Departamento de Estadísticas e Información de la Salud (DEIS) - Ministerio de Salud"/>
    <x v="784"/>
    <m/>
    <s v="Gráfico de Evolución"/>
    <s v="Región de Antofagasta salud cáncer cérvico uterino cuello útero casos tumor servicio nacional programa"/>
    <x v="538"/>
    <s v="100-R-2"/>
    <s v="#1774B9"/>
    <s v="990-0785"/>
    <n v="99200002"/>
    <s v="T-999"/>
    <s v="C-1009"/>
    <s v="FI-1003"/>
    <s v="M-1066"/>
  </r>
  <r>
    <x v="785"/>
    <n v="990"/>
    <x v="0"/>
    <x v="2"/>
    <n v="3"/>
    <x v="24"/>
    <x v="13"/>
    <x v="1"/>
    <x v="3"/>
    <s v="Servicio de Salud"/>
    <s v="Casos de cáncer por comuna"/>
    <s v="Periodo 2011-2018"/>
    <s v="Número de Casos"/>
    <s v="Departamento de Estadísticas e Información de la Salud (DEIS) - Ministerio de Salud"/>
    <x v="785"/>
    <m/>
    <s v="Gráfico de Evolución"/>
    <s v="Región de Atacama salud cáncer cérvico uterino cuello útero casos tumor servicio nacional programa"/>
    <x v="539"/>
    <s v="100-R-3"/>
    <s v="#1774B9"/>
    <s v="990-0786"/>
    <n v="99200003"/>
    <s v="T-999"/>
    <s v="C-1009"/>
    <s v="FI-1003"/>
    <s v="M-1066"/>
  </r>
  <r>
    <x v="786"/>
    <n v="990"/>
    <x v="0"/>
    <x v="2"/>
    <n v="4"/>
    <x v="24"/>
    <x v="13"/>
    <x v="1"/>
    <x v="4"/>
    <s v="Servicio de Salud"/>
    <s v="Casos de cáncer por comuna"/>
    <s v="Periodo 2011-2018"/>
    <s v="Número de Casos"/>
    <s v="Departamento de Estadísticas e Información de la Salud (DEIS) - Ministerio de Salud"/>
    <x v="786"/>
    <m/>
    <s v="Gráfico de Evolución"/>
    <s v="Región de Coquimbo salud cáncer cérvico uterino cuello útero casos tumor servicio nacional programa"/>
    <x v="540"/>
    <s v="100-R-4"/>
    <s v="#1774B9"/>
    <s v="990-0787"/>
    <n v="99200004"/>
    <s v="T-999"/>
    <s v="C-1009"/>
    <s v="FI-1003"/>
    <s v="M-1066"/>
  </r>
  <r>
    <x v="787"/>
    <n v="990"/>
    <x v="0"/>
    <x v="2"/>
    <n v="5"/>
    <x v="24"/>
    <x v="13"/>
    <x v="1"/>
    <x v="5"/>
    <s v="Servicio de Salud"/>
    <s v="Casos de cáncer por comuna"/>
    <s v="Periodo 2011-2018"/>
    <s v="Número de Casos"/>
    <s v="Departamento de Estadísticas e Información de la Salud (DEIS) - Ministerio de Salud"/>
    <x v="787"/>
    <m/>
    <s v="Gráfico de Evolución"/>
    <s v="Región de Valparaíso salud cáncer cérvico uterino cuello útero casos tumor servicio nacional programa"/>
    <x v="541"/>
    <s v="100-R-5"/>
    <s v="#1774B9"/>
    <s v="990-0788"/>
    <n v="99200005"/>
    <s v="T-999"/>
    <s v="C-1009"/>
    <s v="FI-1003"/>
    <s v="M-1066"/>
  </r>
  <r>
    <x v="788"/>
    <n v="990"/>
    <x v="0"/>
    <x v="2"/>
    <n v="6"/>
    <x v="24"/>
    <x v="13"/>
    <x v="1"/>
    <x v="6"/>
    <s v="Servicio de Salud"/>
    <s v="Casos de cáncer por comuna"/>
    <s v="Periodo 2011-2018"/>
    <s v="Número de Casos"/>
    <s v="Departamento de Estadísticas e Información de la Salud (DEIS) - Ministerio de Salud"/>
    <x v="788"/>
    <m/>
    <s v="Gráfico de Evolución"/>
    <s v="Región de O'Higgins salud cáncer cérvico uterino cuello útero casos tumor servicio nacional programa"/>
    <x v="542"/>
    <s v="100-R-6"/>
    <s v="#1774B9"/>
    <s v="990-0789"/>
    <n v="99200006"/>
    <s v="T-999"/>
    <s v="C-1009"/>
    <s v="FI-1003"/>
    <s v="M-1066"/>
  </r>
  <r>
    <x v="789"/>
    <n v="990"/>
    <x v="0"/>
    <x v="2"/>
    <n v="7"/>
    <x v="24"/>
    <x v="13"/>
    <x v="1"/>
    <x v="7"/>
    <s v="Servicio de Salud"/>
    <s v="Casos de cáncer por comuna"/>
    <s v="Periodo 2011-2018"/>
    <s v="Número de Casos"/>
    <s v="Departamento de Estadísticas e Información de la Salud (DEIS) - Ministerio de Salud"/>
    <x v="789"/>
    <m/>
    <s v="Gráfico de Evolución"/>
    <s v="Región de Maule salud cáncer cérvico uterino cuello útero casos tumor servicio nacional programa"/>
    <x v="543"/>
    <s v="100-R-7"/>
    <s v="#1774B9"/>
    <s v="990-0790"/>
    <n v="99200007"/>
    <s v="T-999"/>
    <s v="C-1009"/>
    <s v="FI-1003"/>
    <s v="M-1066"/>
  </r>
  <r>
    <x v="790"/>
    <n v="990"/>
    <x v="0"/>
    <x v="2"/>
    <n v="8"/>
    <x v="24"/>
    <x v="13"/>
    <x v="1"/>
    <x v="8"/>
    <s v="Servicio de Salud"/>
    <s v="Casos de cáncer por comuna"/>
    <s v="Periodo 2011-2018"/>
    <s v="Número de Casos"/>
    <s v="Departamento de Estadísticas e Información de la Salud (DEIS) - Ministerio de Salud"/>
    <x v="790"/>
    <m/>
    <s v="Gráfico de Evolución"/>
    <s v="Región del Biobío salud cáncer cérvico uterino cuello útero casos tumor servicio nacional programa"/>
    <x v="544"/>
    <s v="100-R-8"/>
    <s v="#1774B9"/>
    <s v="990-0791"/>
    <n v="99200008"/>
    <s v="T-999"/>
    <s v="C-1009"/>
    <s v="FI-1003"/>
    <s v="M-1066"/>
  </r>
  <r>
    <x v="791"/>
    <n v="990"/>
    <x v="0"/>
    <x v="2"/>
    <n v="9"/>
    <x v="24"/>
    <x v="13"/>
    <x v="1"/>
    <x v="9"/>
    <s v="Servicio de Salud"/>
    <s v="Casos de cáncer por comuna"/>
    <s v="Periodo 2011-2018"/>
    <s v="Número de Casos"/>
    <s v="Departamento de Estadísticas e Información de la Salud (DEIS) - Ministerio de Salud"/>
    <x v="791"/>
    <m/>
    <s v="Gráfico de Evolución"/>
    <s v="Región de La Araucanía salud cáncer cérvico uterino cuello útero casos tumor servicio nacional programa"/>
    <x v="545"/>
    <s v="100-R-9"/>
    <s v="#1774B9"/>
    <s v="990-0792"/>
    <n v="99200009"/>
    <s v="T-999"/>
    <s v="C-1009"/>
    <s v="FI-1003"/>
    <s v="M-1066"/>
  </r>
  <r>
    <x v="792"/>
    <n v="990"/>
    <x v="0"/>
    <x v="2"/>
    <n v="10"/>
    <x v="24"/>
    <x v="13"/>
    <x v="1"/>
    <x v="10"/>
    <s v="Servicio de Salud"/>
    <s v="Casos de cáncer por comuna"/>
    <s v="Periodo 2011-2018"/>
    <s v="Número de Casos"/>
    <s v="Departamento de Estadísticas e Información de la Salud (DEIS) - Ministerio de Salud"/>
    <x v="792"/>
    <m/>
    <s v="Gráfico de Evolución"/>
    <s v="Región de Los Lagos salud cáncer cérvico uterino cuello útero casos tumor servicio nacional programa"/>
    <x v="546"/>
    <s v="100-R-10"/>
    <s v="#1774B9"/>
    <s v="990-0793"/>
    <n v="99200010"/>
    <s v="T-999"/>
    <s v="C-1009"/>
    <s v="FI-1003"/>
    <s v="M-1066"/>
  </r>
  <r>
    <x v="793"/>
    <n v="990"/>
    <x v="0"/>
    <x v="2"/>
    <n v="11"/>
    <x v="24"/>
    <x v="13"/>
    <x v="1"/>
    <x v="11"/>
    <s v="Servicio de Salud"/>
    <s v="Casos de cáncer por comuna"/>
    <s v="Periodo 2011-2018"/>
    <s v="Número de Casos"/>
    <s v="Departamento de Estadísticas e Información de la Salud (DEIS) - Ministerio de Salud"/>
    <x v="793"/>
    <m/>
    <s v="Gráfico de Evolución"/>
    <s v="Región de Aysén salud cáncer cérvico uterino cuello útero casos tumor servicio nacional programa"/>
    <x v="547"/>
    <s v="100-R-11"/>
    <s v="#1774B9"/>
    <s v="990-0794"/>
    <n v="99200011"/>
    <s v="T-999"/>
    <s v="C-1009"/>
    <s v="FI-1003"/>
    <s v="M-1066"/>
  </r>
  <r>
    <x v="794"/>
    <n v="990"/>
    <x v="0"/>
    <x v="2"/>
    <n v="12"/>
    <x v="24"/>
    <x v="13"/>
    <x v="1"/>
    <x v="12"/>
    <s v="Servicio de Salud"/>
    <s v="Casos de cáncer por comuna"/>
    <s v="Periodo 2011-2018"/>
    <s v="Número de Casos"/>
    <s v="Departamento de Estadísticas e Información de la Salud (DEIS) - Ministerio de Salud"/>
    <x v="794"/>
    <m/>
    <s v="Gráfico de Evolución"/>
    <s v="Región de Magallanes salud cáncer cérvico uterino cuello útero casos tumor servicio nacional programa"/>
    <x v="548"/>
    <s v="100-R-12"/>
    <s v="#1774B9"/>
    <s v="990-0795"/>
    <n v="99200012"/>
    <s v="T-999"/>
    <s v="C-1009"/>
    <s v="FI-1003"/>
    <s v="M-1066"/>
  </r>
  <r>
    <x v="795"/>
    <n v="990"/>
    <x v="0"/>
    <x v="2"/>
    <n v="13"/>
    <x v="24"/>
    <x v="13"/>
    <x v="1"/>
    <x v="13"/>
    <s v="Servicio de Salud"/>
    <s v="Casos de cáncer por comuna"/>
    <s v="Periodo 2011-2018"/>
    <s v="Número de Casos"/>
    <s v="Departamento de Estadísticas e Información de la Salud (DEIS) - Ministerio de Salud"/>
    <x v="795"/>
    <m/>
    <s v="Gráfico de Evolución"/>
    <s v="Región Metropolitana salud cáncer cérvico uterino cuello útero casos tumor servicio nacional programa"/>
    <x v="549"/>
    <s v="200-R-13"/>
    <s v="#1774B9"/>
    <s v="990-0796"/>
    <n v="99200013"/>
    <s v="T-999"/>
    <s v="C-1009"/>
    <s v="FI-1003"/>
    <s v="M-1066"/>
  </r>
  <r>
    <x v="796"/>
    <n v="990"/>
    <x v="0"/>
    <x v="2"/>
    <n v="14"/>
    <x v="24"/>
    <x v="13"/>
    <x v="1"/>
    <x v="14"/>
    <s v="Servicio de Salud"/>
    <s v="Casos de cáncer por comuna"/>
    <s v="Periodo 2011-2018"/>
    <s v="Número de Casos"/>
    <s v="Departamento de Estadísticas e Información de la Salud (DEIS) - Ministerio de Salud"/>
    <x v="796"/>
    <m/>
    <s v="Gráfico de Evolución"/>
    <s v="Región de Los Ríos salud cáncer cérvico uterino cuello útero casos tumor servicio nacional programa"/>
    <x v="550"/>
    <s v="100-R-14"/>
    <s v="#1774B9"/>
    <s v="990-0797"/>
    <n v="99200014"/>
    <s v="T-999"/>
    <s v="C-1009"/>
    <s v="FI-1003"/>
    <s v="M-1066"/>
  </r>
  <r>
    <x v="797"/>
    <n v="990"/>
    <x v="0"/>
    <x v="2"/>
    <n v="15"/>
    <x v="24"/>
    <x v="13"/>
    <x v="1"/>
    <x v="15"/>
    <s v="Servicio de Salud"/>
    <s v="Casos de cáncer por comuna"/>
    <s v="Periodo 2011-2018"/>
    <s v="Número de Casos"/>
    <s v="Departamento de Estadísticas e Información de la Salud (DEIS) - Ministerio de Salud"/>
    <x v="797"/>
    <m/>
    <s v="Gráfico de Evolución"/>
    <s v="Región de Arica y Parinacota salud cáncer cérvico uterino cuello útero casos tumor servicio nacional programa"/>
    <x v="551"/>
    <s v="100-R-15"/>
    <s v="#1774B9"/>
    <s v="990-0798"/>
    <n v="99200015"/>
    <s v="T-999"/>
    <s v="C-1009"/>
    <s v="FI-1003"/>
    <s v="M-1066"/>
  </r>
  <r>
    <x v="798"/>
    <n v="990"/>
    <x v="0"/>
    <x v="2"/>
    <n v="16"/>
    <x v="24"/>
    <x v="13"/>
    <x v="1"/>
    <x v="16"/>
    <s v="Servicio de Salud"/>
    <s v="Casos de cáncer por comuna"/>
    <s v="Periodo 2011-2018"/>
    <s v="Número de Casos"/>
    <s v="Departamento de Estadísticas e Información de la Salud (DEIS) - Ministerio de Salud"/>
    <x v="798"/>
    <m/>
    <s v="Gráfico de Evolución"/>
    <s v="Región de Ñuble salud cáncer cérvico uterino cuello útero casos tumor servicio nacional programa"/>
    <x v="552"/>
    <s v="100-R-16"/>
    <s v="#1774B9"/>
    <s v="990-0799"/>
    <n v="99200016"/>
    <s v="T-999"/>
    <s v="C-1009"/>
    <s v="FI-1003"/>
    <s v="M-1066"/>
  </r>
  <r>
    <x v="799"/>
    <n v="990"/>
    <x v="0"/>
    <x v="12"/>
    <n v="0"/>
    <x v="48"/>
    <x v="21"/>
    <x v="0"/>
    <x v="0"/>
    <s v="Ninguno"/>
    <s v="Emisiones de CO2 equivalente en Chile"/>
    <s v="Año 2018"/>
    <s v="Kilotoneladas"/>
    <s v="Sistema Nacional de Inventarios de Gases de Efecto Invernadero"/>
    <x v="799"/>
    <s v="En el año 2018, la región que emitió más CO2 equivalente fue la Metropolitana, con 22.259 kilotoneladas (kt), mientras que la que menos emitió fue la región de Arica y Parinacota, con 709 (kt). Por el contrario, las absorciones más altas ocurrieron en la región de Aysén, con -18.390 (kt) de CO2 equivalente."/>
    <s v="Gráfico"/>
    <s v="Chile GEI emisiones netas CO2 equivalente dióxido carbono regiones gas efecto invernadero"/>
    <x v="553"/>
    <n v="0"/>
    <s v="#1774B9"/>
    <s v="990-0800"/>
    <n v="99100000"/>
    <s v="T-1017"/>
    <s v="C-1004"/>
    <s v="FI-993"/>
    <s v="M-1067"/>
  </r>
  <r>
    <x v="800"/>
    <n v="990"/>
    <x v="0"/>
    <x v="5"/>
    <n v="0"/>
    <x v="10"/>
    <x v="7"/>
    <x v="0"/>
    <x v="0"/>
    <s v="Ninguno"/>
    <s v="Superficie afectada por incendios forestales en Chile"/>
    <s v="Periodo 2010-2020"/>
    <s v="Hectáreas"/>
    <s v="Corporación Nacional Forestal (CONAF)"/>
    <x v="800"/>
    <m/>
    <s v="Gráfico animado"/>
    <s v="Chile incendios forestales hectáreas superficie comunas"/>
    <x v="281"/>
    <s v="300-C"/>
    <s v="#1774B9"/>
    <s v="990-0801"/>
    <n v="99100000"/>
    <s v="T-1046"/>
    <s v="C-1007"/>
    <s v="FI-993"/>
    <s v="M-1068"/>
  </r>
  <r>
    <x v="801"/>
    <n v="990"/>
    <x v="0"/>
    <x v="5"/>
    <n v="1"/>
    <x v="10"/>
    <x v="7"/>
    <x v="1"/>
    <x v="1"/>
    <s v="Ninguno"/>
    <s v="Superficie quemada por incendios forestales por región"/>
    <s v="Periodo 2010-2020"/>
    <s v="Hectáreas"/>
    <s v="Corporación Nacional Forestal (CONAF)"/>
    <x v="801"/>
    <m/>
    <s v="Gráfico animado"/>
    <s v="Región de Tarapacá incendios forestales hectáreas superficie comunas"/>
    <x v="281"/>
    <s v="100-C-1"/>
    <s v="#1774B9"/>
    <s v="990-0802"/>
    <n v="99200001"/>
    <s v="T-1046"/>
    <s v="C-1007"/>
    <s v="FI-993"/>
    <s v="M-1069"/>
  </r>
  <r>
    <x v="802"/>
    <n v="990"/>
    <x v="0"/>
    <x v="5"/>
    <n v="2"/>
    <x v="10"/>
    <x v="7"/>
    <x v="1"/>
    <x v="2"/>
    <s v="Ninguno"/>
    <s v="Superficie quemada por incendios forestales por región"/>
    <s v="Periodo 2010-2020"/>
    <s v="Hectáreas"/>
    <s v="Corporación Nacional Forestal (CONAF)"/>
    <x v="802"/>
    <m/>
    <s v="Gráfico animado"/>
    <s v="Región de Antofagasta incendios forestales hectáreas superficie comunas"/>
    <x v="281"/>
    <s v="100-C-2"/>
    <s v="#1774B9"/>
    <s v="990-0803"/>
    <n v="99200002"/>
    <s v="T-1046"/>
    <s v="C-1007"/>
    <s v="FI-993"/>
    <s v="M-1069"/>
  </r>
  <r>
    <x v="803"/>
    <n v="990"/>
    <x v="0"/>
    <x v="5"/>
    <n v="3"/>
    <x v="10"/>
    <x v="7"/>
    <x v="1"/>
    <x v="3"/>
    <s v="Ninguno"/>
    <s v="Superficie quemada por incendios forestales por región"/>
    <s v="Periodo 2010-2020"/>
    <s v="Hectáreas"/>
    <s v="Corporación Nacional Forestal (CONAF)"/>
    <x v="803"/>
    <m/>
    <s v="Gráfico animado"/>
    <s v="Región de Atacama incendios forestales hectáreas superficie comunas"/>
    <x v="281"/>
    <s v="100-C-3"/>
    <s v="#1774B9"/>
    <s v="990-0804"/>
    <n v="99200003"/>
    <s v="T-1046"/>
    <s v="C-1007"/>
    <s v="FI-993"/>
    <s v="M-1069"/>
  </r>
  <r>
    <x v="804"/>
    <n v="990"/>
    <x v="0"/>
    <x v="5"/>
    <n v="4"/>
    <x v="10"/>
    <x v="7"/>
    <x v="1"/>
    <x v="4"/>
    <s v="Ninguno"/>
    <s v="Superficie quemada por incendios forestales por región"/>
    <s v="Periodo 2010-2020"/>
    <s v="Hectáreas"/>
    <s v="Corporación Nacional Forestal (CONAF)"/>
    <x v="804"/>
    <m/>
    <s v="Gráfico animado"/>
    <s v="Región de Coquimbo incendios forestales hectáreas superficie comunas"/>
    <x v="281"/>
    <s v="100-C-4"/>
    <s v="#1774B9"/>
    <s v="990-0805"/>
    <n v="99200004"/>
    <s v="T-1046"/>
    <s v="C-1007"/>
    <s v="FI-993"/>
    <s v="M-1069"/>
  </r>
  <r>
    <x v="805"/>
    <n v="990"/>
    <x v="0"/>
    <x v="5"/>
    <n v="5"/>
    <x v="10"/>
    <x v="7"/>
    <x v="1"/>
    <x v="5"/>
    <s v="Ninguno"/>
    <s v="Superficie quemada por incendios forestales por región"/>
    <s v="Periodo 2010-2020"/>
    <s v="Hectáreas"/>
    <s v="Corporación Nacional Forestal (CONAF)"/>
    <x v="805"/>
    <m/>
    <s v="Gráfico animado"/>
    <s v="Región de Valparaíso incendios forestales hectáreas superficie comunas"/>
    <x v="281"/>
    <s v="100-C-5"/>
    <s v="#1774B9"/>
    <s v="990-0806"/>
    <n v="99200005"/>
    <s v="T-1046"/>
    <s v="C-1007"/>
    <s v="FI-993"/>
    <s v="M-1069"/>
  </r>
  <r>
    <x v="806"/>
    <n v="990"/>
    <x v="0"/>
    <x v="5"/>
    <n v="6"/>
    <x v="10"/>
    <x v="7"/>
    <x v="1"/>
    <x v="6"/>
    <s v="Ninguno"/>
    <s v="Superficie quemada por incendios forestales por región"/>
    <s v="Periodo 2010-2020"/>
    <s v="Hectáreas"/>
    <s v="Corporación Nacional Forestal (CONAF)"/>
    <x v="806"/>
    <m/>
    <s v="Gráfico animado"/>
    <s v="Región de O'Higgins incendios forestales hectáreas superficie comunas"/>
    <x v="281"/>
    <s v="100-C-6"/>
    <s v="#1774B9"/>
    <s v="990-0807"/>
    <n v="99200006"/>
    <s v="T-1046"/>
    <s v="C-1007"/>
    <s v="FI-993"/>
    <s v="M-1069"/>
  </r>
  <r>
    <x v="807"/>
    <n v="990"/>
    <x v="0"/>
    <x v="5"/>
    <n v="7"/>
    <x v="10"/>
    <x v="7"/>
    <x v="1"/>
    <x v="7"/>
    <s v="Ninguno"/>
    <s v="Superficie quemada por incendios forestales por región"/>
    <s v="Periodo 2010-2020"/>
    <s v="Hectáreas"/>
    <s v="Corporación Nacional Forestal (CONAF)"/>
    <x v="807"/>
    <m/>
    <s v="Gráfico animado"/>
    <s v="Región de Maule incendios forestales hectáreas superficie comunas"/>
    <x v="281"/>
    <s v="100-C-7"/>
    <s v="#1774B9"/>
    <s v="990-0808"/>
    <n v="99200007"/>
    <s v="T-1046"/>
    <s v="C-1007"/>
    <s v="FI-993"/>
    <s v="M-1069"/>
  </r>
  <r>
    <x v="808"/>
    <n v="990"/>
    <x v="0"/>
    <x v="5"/>
    <n v="8"/>
    <x v="10"/>
    <x v="7"/>
    <x v="1"/>
    <x v="8"/>
    <s v="Ninguno"/>
    <s v="Superficie quemada por incendios forestales por región"/>
    <s v="Periodo 2010-2020"/>
    <s v="Hectáreas"/>
    <s v="Corporación Nacional Forestal (CONAF)"/>
    <x v="808"/>
    <m/>
    <s v="Gráfico animado"/>
    <s v="Región del Biobío incendios forestales hectáreas superficie comunas"/>
    <x v="281"/>
    <s v="100-C-8"/>
    <s v="#1774B9"/>
    <s v="990-0809"/>
    <n v="99200008"/>
    <s v="T-1046"/>
    <s v="C-1007"/>
    <s v="FI-993"/>
    <s v="M-1069"/>
  </r>
  <r>
    <x v="809"/>
    <n v="990"/>
    <x v="0"/>
    <x v="5"/>
    <n v="9"/>
    <x v="10"/>
    <x v="7"/>
    <x v="1"/>
    <x v="9"/>
    <s v="Ninguno"/>
    <s v="Superficie quemada por incendios forestales por región"/>
    <s v="Periodo 2010-2020"/>
    <s v="Hectáreas"/>
    <s v="Corporación Nacional Forestal (CONAF)"/>
    <x v="809"/>
    <s v="Durante el periodo 2010-2020 mas de 1,2 millones de hectáreas han sido afectadas por incendios forestales en la Región de la Araucanía."/>
    <s v="Gráfico animado"/>
    <s v="Región de La Araucanía incendios forestales hectáreas superficie comunas"/>
    <x v="554"/>
    <s v="100-C-9"/>
    <s v="#1774B9"/>
    <s v="990-0810"/>
    <n v="99200009"/>
    <s v="T-1046"/>
    <s v="C-1007"/>
    <s v="FI-993"/>
    <s v="M-1069"/>
  </r>
  <r>
    <x v="810"/>
    <n v="990"/>
    <x v="0"/>
    <x v="5"/>
    <n v="10"/>
    <x v="10"/>
    <x v="7"/>
    <x v="1"/>
    <x v="10"/>
    <s v="Ninguno"/>
    <s v="Superficie quemada por incendios forestales por región"/>
    <s v="Periodo 2010-2020"/>
    <s v="Hectáreas"/>
    <s v="Corporación Nacional Forestal (CONAF)"/>
    <x v="810"/>
    <m/>
    <s v="Gráfico animado"/>
    <s v="Región de Los Lagos incendios forestales hectáreas superficie comunas"/>
    <x v="281"/>
    <s v="100-C-10"/>
    <s v="#1774B9"/>
    <s v="990-0811"/>
    <n v="99200010"/>
    <s v="T-1046"/>
    <s v="C-1007"/>
    <s v="FI-993"/>
    <s v="M-1069"/>
  </r>
  <r>
    <x v="811"/>
    <n v="990"/>
    <x v="0"/>
    <x v="5"/>
    <n v="11"/>
    <x v="10"/>
    <x v="7"/>
    <x v="1"/>
    <x v="11"/>
    <s v="Ninguno"/>
    <s v="Superficie quemada por incendios forestales por región"/>
    <s v="Periodo 2010-2020"/>
    <s v="Hectáreas"/>
    <s v="Corporación Nacional Forestal (CONAF)"/>
    <x v="811"/>
    <m/>
    <s v="Gráfico animado"/>
    <s v="Región de Aysén incendios forestales hectáreas superficie comunas"/>
    <x v="281"/>
    <s v="100-C-11"/>
    <s v="#1774B9"/>
    <s v="990-0812"/>
    <n v="99200011"/>
    <s v="T-1046"/>
    <s v="C-1007"/>
    <s v="FI-993"/>
    <s v="M-1069"/>
  </r>
  <r>
    <x v="812"/>
    <n v="990"/>
    <x v="0"/>
    <x v="5"/>
    <n v="12"/>
    <x v="10"/>
    <x v="7"/>
    <x v="1"/>
    <x v="12"/>
    <s v="Ninguno"/>
    <s v="Superficie quemada por incendios forestales por región"/>
    <s v="Periodo 2010-2020"/>
    <s v="Hectáreas"/>
    <s v="Corporación Nacional Forestal (CONAF)"/>
    <x v="812"/>
    <m/>
    <s v="Gráfico animado"/>
    <s v="Región de Magallanes incendios forestales hectáreas superficie comunas"/>
    <x v="281"/>
    <s v="100-C-12"/>
    <s v="#1774B9"/>
    <s v="990-0813"/>
    <n v="99200012"/>
    <s v="T-1046"/>
    <s v="C-1007"/>
    <s v="FI-993"/>
    <s v="M-1069"/>
  </r>
  <r>
    <x v="813"/>
    <n v="990"/>
    <x v="0"/>
    <x v="5"/>
    <n v="13"/>
    <x v="10"/>
    <x v="7"/>
    <x v="1"/>
    <x v="13"/>
    <s v="Ninguno"/>
    <s v="Superficie quemada por incendios forestales por región"/>
    <s v="Periodo 2010-2020"/>
    <s v="Hectáreas"/>
    <s v="Corporación Nacional Forestal (CONAF)"/>
    <x v="813"/>
    <m/>
    <s v="Gráfico animado"/>
    <s v="Región Metropolitana incendios forestales hectáreas superficie comunas"/>
    <x v="281"/>
    <s v="200-C-13"/>
    <s v="#1774B9"/>
    <s v="990-0814"/>
    <n v="99200013"/>
    <s v="T-1046"/>
    <s v="C-1007"/>
    <s v="FI-993"/>
    <s v="M-1069"/>
  </r>
  <r>
    <x v="814"/>
    <n v="990"/>
    <x v="0"/>
    <x v="5"/>
    <n v="14"/>
    <x v="10"/>
    <x v="7"/>
    <x v="1"/>
    <x v="14"/>
    <s v="Ninguno"/>
    <s v="Superficie quemada por incendios forestales por región"/>
    <s v="Periodo 2010-2020"/>
    <s v="Hectáreas"/>
    <s v="Corporación Nacional Forestal (CONAF)"/>
    <x v="814"/>
    <m/>
    <s v="Gráfico animado"/>
    <s v="Región de Los Ríos incendios forestales hectáreas superficie comunas"/>
    <x v="281"/>
    <s v="100-C-14"/>
    <s v="#1774B9"/>
    <s v="990-0815"/>
    <n v="99200014"/>
    <s v="T-1046"/>
    <s v="C-1007"/>
    <s v="FI-993"/>
    <s v="M-1069"/>
  </r>
  <r>
    <x v="815"/>
    <n v="990"/>
    <x v="0"/>
    <x v="5"/>
    <n v="15"/>
    <x v="10"/>
    <x v="7"/>
    <x v="1"/>
    <x v="15"/>
    <s v="Ninguno"/>
    <s v="Superficie quemada por incendios forestales por región"/>
    <s v="Periodo 2010-2020"/>
    <s v="Hectáreas"/>
    <s v="Corporación Nacional Forestal (CONAF)"/>
    <x v="815"/>
    <m/>
    <s v="Gráfico animado"/>
    <s v="Región de Arica y Parinacota incendios forestales hectáreas superficie comunas"/>
    <x v="281"/>
    <s v="100-C-15"/>
    <s v="#1774B9"/>
    <s v="990-0816"/>
    <n v="99200015"/>
    <s v="T-1046"/>
    <s v="C-1007"/>
    <s v="FI-993"/>
    <s v="M-1069"/>
  </r>
  <r>
    <x v="816"/>
    <n v="990"/>
    <x v="0"/>
    <x v="5"/>
    <n v="16"/>
    <x v="10"/>
    <x v="7"/>
    <x v="1"/>
    <x v="16"/>
    <s v="Ninguno"/>
    <s v="Superficie quemada por incendios forestales por región"/>
    <s v="Periodo 2010-2020"/>
    <s v="Hectáreas"/>
    <s v="Corporación Nacional Forestal (CONAF)"/>
    <x v="816"/>
    <m/>
    <s v="Gráfico animado"/>
    <s v="Región de Ñuble incendios forestales hectáreas superficie comunas"/>
    <x v="281"/>
    <s v="100-C-16"/>
    <s v="#1774B9"/>
    <s v="990-0817"/>
    <n v="99200016"/>
    <s v="T-1046"/>
    <s v="C-1007"/>
    <s v="FI-993"/>
    <s v="M-1069"/>
  </r>
  <r>
    <x v="817"/>
    <n v="990"/>
    <x v="0"/>
    <x v="5"/>
    <n v="0"/>
    <x v="10"/>
    <x v="7"/>
    <x v="0"/>
    <x v="0"/>
    <s v="Ninguno"/>
    <s v="Superficie afectada por incendios forestales en Chile"/>
    <s v="Periodo 2010-2020"/>
    <s v="Hectáreas"/>
    <s v="Corporación Nacional Forestal (CONAF)"/>
    <x v="817"/>
    <m/>
    <s v="Dashboard"/>
    <s v="Chile incendios forestales hectáreas superficie vegetación natural plantaciones temporada"/>
    <x v="281"/>
    <s v="300-C"/>
    <s v="#1774B9"/>
    <s v="990-0818"/>
    <n v="99100000"/>
    <s v="T-1046"/>
    <s v="C-1007"/>
    <s v="FI-993"/>
    <s v="M-1068"/>
  </r>
  <r>
    <x v="818"/>
    <n v="990"/>
    <x v="0"/>
    <x v="5"/>
    <n v="1"/>
    <x v="10"/>
    <x v="7"/>
    <x v="1"/>
    <x v="1"/>
    <s v="Ninguno"/>
    <s v="Superficie quemada por incendios forestales por región"/>
    <s v="Periodo 2010-2020"/>
    <s v="Hectáreas"/>
    <s v="Corporación Nacional Forestal (CONAF)"/>
    <x v="818"/>
    <m/>
    <s v="Dashboard"/>
    <s v="Región de Tarapacá incendios forestales hectáreas superficie vegetación natural plantaciones temporada"/>
    <x v="281"/>
    <s v="100-C-1"/>
    <s v="#1774B9"/>
    <s v="990-0819"/>
    <n v="99200001"/>
    <s v="T-1046"/>
    <s v="C-1007"/>
    <s v="FI-993"/>
    <s v="M-1069"/>
  </r>
  <r>
    <x v="819"/>
    <n v="990"/>
    <x v="0"/>
    <x v="5"/>
    <n v="2"/>
    <x v="10"/>
    <x v="7"/>
    <x v="1"/>
    <x v="2"/>
    <s v="Ninguno"/>
    <s v="Superficie quemada por incendios forestales por región"/>
    <s v="Periodo 2010-2020"/>
    <s v="Hectáreas"/>
    <s v="Corporación Nacional Forestal (CONAF)"/>
    <x v="819"/>
    <m/>
    <s v="Dashboard"/>
    <s v="Región de Antofagasta incendios forestales hectáreas superficie vegetación natural plantaciones temporada"/>
    <x v="281"/>
    <s v="100-C-2"/>
    <s v="#1774B9"/>
    <s v="990-0820"/>
    <n v="99200002"/>
    <s v="T-1046"/>
    <s v="C-1007"/>
    <s v="FI-993"/>
    <s v="M-1069"/>
  </r>
  <r>
    <x v="820"/>
    <n v="990"/>
    <x v="0"/>
    <x v="5"/>
    <n v="3"/>
    <x v="10"/>
    <x v="7"/>
    <x v="1"/>
    <x v="3"/>
    <s v="Ninguno"/>
    <s v="Superficie quemada por incendios forestales por región"/>
    <s v="Periodo 2010-2020"/>
    <s v="Hectáreas"/>
    <s v="Corporación Nacional Forestal (CONAF)"/>
    <x v="820"/>
    <m/>
    <s v="Dashboard"/>
    <s v="Región de Atacama incendios forestales hectáreas superficie vegetación natural plantaciones temporada"/>
    <x v="281"/>
    <s v="100-C-3"/>
    <s v="#1774B9"/>
    <s v="990-0821"/>
    <n v="99200003"/>
    <s v="T-1046"/>
    <s v="C-1007"/>
    <s v="FI-993"/>
    <s v="M-1069"/>
  </r>
  <r>
    <x v="821"/>
    <n v="990"/>
    <x v="0"/>
    <x v="5"/>
    <n v="4"/>
    <x v="10"/>
    <x v="7"/>
    <x v="1"/>
    <x v="4"/>
    <s v="Ninguno"/>
    <s v="Superficie quemada por incendios forestales por región"/>
    <s v="Periodo 2010-2020"/>
    <s v="Hectáreas"/>
    <s v="Corporación Nacional Forestal (CONAF)"/>
    <x v="821"/>
    <m/>
    <s v="Dashboard"/>
    <s v="Región de Coquimbo incendios forestales hectáreas superficie vegetación natural plantaciones temporada"/>
    <x v="281"/>
    <s v="100-C-4"/>
    <s v="#1774B9"/>
    <s v="990-0822"/>
    <n v="99200004"/>
    <s v="T-1046"/>
    <s v="C-1007"/>
    <s v="FI-993"/>
    <s v="M-1069"/>
  </r>
  <r>
    <x v="822"/>
    <n v="990"/>
    <x v="0"/>
    <x v="5"/>
    <n v="5"/>
    <x v="10"/>
    <x v="7"/>
    <x v="1"/>
    <x v="5"/>
    <s v="Ninguno"/>
    <s v="Superficie quemada por incendios forestales por región"/>
    <s v="Periodo 2010-2020"/>
    <s v="Hectáreas"/>
    <s v="Corporación Nacional Forestal (CONAF)"/>
    <x v="822"/>
    <m/>
    <s v="Dashboard"/>
    <s v="Región de Valparaíso incendios forestales hectáreas superficie vegetación natural plantaciones temporada"/>
    <x v="281"/>
    <s v="100-C-5"/>
    <s v="#1774B9"/>
    <s v="990-0823"/>
    <n v="99200005"/>
    <s v="T-1046"/>
    <s v="C-1007"/>
    <s v="FI-993"/>
    <s v="M-1069"/>
  </r>
  <r>
    <x v="823"/>
    <n v="990"/>
    <x v="0"/>
    <x v="5"/>
    <n v="6"/>
    <x v="10"/>
    <x v="7"/>
    <x v="1"/>
    <x v="6"/>
    <s v="Ninguno"/>
    <s v="Superficie quemada por incendios forestales por región"/>
    <s v="Periodo 2010-2020"/>
    <s v="Hectáreas"/>
    <s v="Corporación Nacional Forestal (CONAF)"/>
    <x v="823"/>
    <m/>
    <s v="Dashboard"/>
    <s v="Región de O'Higgins incendios forestales hectáreas superficie vegetación natural plantaciones temporada"/>
    <x v="281"/>
    <s v="100-C-6"/>
    <s v="#1774B9"/>
    <s v="990-0824"/>
    <n v="99200006"/>
    <s v="T-1046"/>
    <s v="C-1007"/>
    <s v="FI-993"/>
    <s v="M-1069"/>
  </r>
  <r>
    <x v="824"/>
    <n v="990"/>
    <x v="0"/>
    <x v="5"/>
    <n v="7"/>
    <x v="10"/>
    <x v="7"/>
    <x v="1"/>
    <x v="7"/>
    <s v="Ninguno"/>
    <s v="Superficie quemada por incendios forestales por región"/>
    <s v="Periodo 2010-2020"/>
    <s v="Hectáreas"/>
    <s v="Corporación Nacional Forestal (CONAF)"/>
    <x v="824"/>
    <m/>
    <s v="Dashboard"/>
    <s v="Región de Maule incendios forestales hectáreas superficie vegetación natural plantaciones temporada"/>
    <x v="281"/>
    <s v="100-C-7"/>
    <s v="#1774B9"/>
    <s v="990-0825"/>
    <n v="99200007"/>
    <s v="T-1046"/>
    <s v="C-1007"/>
    <s v="FI-993"/>
    <s v="M-1069"/>
  </r>
  <r>
    <x v="825"/>
    <n v="990"/>
    <x v="0"/>
    <x v="5"/>
    <n v="8"/>
    <x v="10"/>
    <x v="7"/>
    <x v="1"/>
    <x v="8"/>
    <s v="Ninguno"/>
    <s v="Superficie quemada por incendios forestales por región"/>
    <s v="Periodo 2010-2020"/>
    <s v="Hectáreas"/>
    <s v="Corporación Nacional Forestal (CONAF)"/>
    <x v="825"/>
    <m/>
    <s v="Dashboard"/>
    <s v="Región del Biobío incendios forestales hectáreas superficie vegetación natural plantaciones temporada"/>
    <x v="281"/>
    <s v="100-C-8"/>
    <s v="#1774B9"/>
    <s v="990-0826"/>
    <n v="99200008"/>
    <s v="T-1046"/>
    <s v="C-1007"/>
    <s v="FI-993"/>
    <s v="M-1069"/>
  </r>
  <r>
    <x v="826"/>
    <n v="990"/>
    <x v="0"/>
    <x v="5"/>
    <n v="9"/>
    <x v="10"/>
    <x v="7"/>
    <x v="1"/>
    <x v="9"/>
    <s v="Ninguno"/>
    <s v="Superficie quemada por incendios forestales por región"/>
    <s v="Periodo 2010-2020"/>
    <s v="Hectáreas"/>
    <s v="Corporación Nacional Forestal (CONAF)"/>
    <x v="826"/>
    <m/>
    <s v="Dashboard"/>
    <s v="Región de La Araucanía incendios forestales hectáreas superficie vegetación natural plantaciones temporada"/>
    <x v="281"/>
    <s v="100-C-9"/>
    <s v="#1774B9"/>
    <s v="990-0827"/>
    <n v="99200009"/>
    <s v="T-1046"/>
    <s v="C-1007"/>
    <s v="FI-993"/>
    <s v="M-1069"/>
  </r>
  <r>
    <x v="827"/>
    <n v="990"/>
    <x v="0"/>
    <x v="5"/>
    <n v="10"/>
    <x v="10"/>
    <x v="7"/>
    <x v="1"/>
    <x v="10"/>
    <s v="Ninguno"/>
    <s v="Superficie quemada por incendios forestales por región"/>
    <s v="Periodo 2010-2020"/>
    <s v="Hectáreas"/>
    <s v="Corporación Nacional Forestal (CONAF)"/>
    <x v="827"/>
    <s v="Durante la temporada de incendios 2014-2015, en la región de Los Lagos ocurrieron 434 incendios que afectaron 4.934 hectáreas, de las cuales un 89,5% correspondían a vegetación natural, 6,5% a otros usos de la tierra y un 4% a plantaciones forestales. Es la temporada con mayor superficie afectada por incendios en el periodo comprendido entre los años 2010 y 2020."/>
    <s v="Dashboard"/>
    <s v="Región de Los Lagos incendios forestales hectáreas superficie vegetación natural plantaciones temporada"/>
    <x v="555"/>
    <s v="100-C-10"/>
    <s v="#1774B9"/>
    <s v="990-0828"/>
    <n v="99200010"/>
    <s v="T-1046"/>
    <s v="C-1007"/>
    <s v="FI-993"/>
    <s v="M-1069"/>
  </r>
  <r>
    <x v="828"/>
    <n v="990"/>
    <x v="0"/>
    <x v="5"/>
    <n v="11"/>
    <x v="10"/>
    <x v="7"/>
    <x v="1"/>
    <x v="11"/>
    <s v="Ninguno"/>
    <s v="Superficie quemada por incendios forestales por región"/>
    <s v="Periodo 2010-2020"/>
    <s v="Hectáreas"/>
    <s v="Corporación Nacional Forestal (CONAF)"/>
    <x v="828"/>
    <m/>
    <s v="Dashboard"/>
    <s v="Región de Aysén incendios forestales hectáreas superficie vegetación natural plantaciones temporada"/>
    <x v="281"/>
    <s v="100-C-11"/>
    <s v="#1774B9"/>
    <s v="990-0829"/>
    <n v="99200011"/>
    <s v="T-1046"/>
    <s v="C-1007"/>
    <s v="FI-993"/>
    <s v="M-1069"/>
  </r>
  <r>
    <x v="829"/>
    <n v="990"/>
    <x v="0"/>
    <x v="5"/>
    <n v="12"/>
    <x v="10"/>
    <x v="7"/>
    <x v="1"/>
    <x v="12"/>
    <s v="Ninguno"/>
    <s v="Superficie quemada por incendios forestales por región"/>
    <s v="Periodo 2010-2020"/>
    <s v="Hectáreas"/>
    <s v="Corporación Nacional Forestal (CONAF)"/>
    <x v="829"/>
    <m/>
    <s v="Dashboard"/>
    <s v="Región de Magallanes incendios forestales hectáreas superficie vegetación natural plantaciones temporada"/>
    <x v="281"/>
    <s v="100-C-12"/>
    <s v="#1774B9"/>
    <s v="990-0830"/>
    <n v="99200012"/>
    <s v="T-1046"/>
    <s v="C-1007"/>
    <s v="FI-993"/>
    <s v="M-1069"/>
  </r>
  <r>
    <x v="830"/>
    <n v="990"/>
    <x v="0"/>
    <x v="5"/>
    <n v="13"/>
    <x v="10"/>
    <x v="7"/>
    <x v="1"/>
    <x v="13"/>
    <s v="Ninguno"/>
    <s v="Superficie quemada por incendios forestales por región"/>
    <s v="Periodo 2010-2020"/>
    <s v="Hectáreas"/>
    <s v="Corporación Nacional Forestal (CONAF)"/>
    <x v="830"/>
    <m/>
    <s v="Dashboard"/>
    <s v="Región Metropolitana incendios forestales hectáreas superficie vegetación natural plantaciones temporada"/>
    <x v="281"/>
    <s v="200-C-13"/>
    <s v="#1774B9"/>
    <s v="990-0831"/>
    <n v="99200013"/>
    <s v="T-1046"/>
    <s v="C-1007"/>
    <s v="FI-993"/>
    <s v="M-1069"/>
  </r>
  <r>
    <x v="831"/>
    <n v="990"/>
    <x v="0"/>
    <x v="5"/>
    <n v="14"/>
    <x v="10"/>
    <x v="7"/>
    <x v="1"/>
    <x v="14"/>
    <s v="Ninguno"/>
    <s v="Superficie quemada por incendios forestales por región"/>
    <s v="Periodo 2010-2020"/>
    <s v="Hectáreas"/>
    <s v="Corporación Nacional Forestal (CONAF)"/>
    <x v="831"/>
    <m/>
    <s v="Dashboard"/>
    <s v="Región de Los Ríos incendios forestales hectáreas superficie vegetación natural plantaciones temporada"/>
    <x v="281"/>
    <s v="100-C-14"/>
    <s v="#1774B9"/>
    <s v="990-0832"/>
    <n v="99200014"/>
    <s v="T-1046"/>
    <s v="C-1007"/>
    <s v="FI-993"/>
    <s v="M-1069"/>
  </r>
  <r>
    <x v="832"/>
    <n v="990"/>
    <x v="0"/>
    <x v="5"/>
    <n v="15"/>
    <x v="10"/>
    <x v="7"/>
    <x v="1"/>
    <x v="15"/>
    <s v="Ninguno"/>
    <s v="Superficie quemada por incendios forestales por región"/>
    <s v="Periodo 2010-2020"/>
    <s v="Hectáreas"/>
    <s v="Corporación Nacional Forestal (CONAF)"/>
    <x v="832"/>
    <m/>
    <s v="Dashboard"/>
    <s v="Región de Arica y Parinacota incendios forestales hectáreas superficie vegetación natural plantaciones temporada"/>
    <x v="281"/>
    <s v="100-C-15"/>
    <s v="#1774B9"/>
    <s v="990-0833"/>
    <n v="99200015"/>
    <s v="T-1046"/>
    <s v="C-1007"/>
    <s v="FI-993"/>
    <s v="M-1069"/>
  </r>
  <r>
    <x v="833"/>
    <n v="990"/>
    <x v="0"/>
    <x v="5"/>
    <n v="16"/>
    <x v="10"/>
    <x v="7"/>
    <x v="1"/>
    <x v="16"/>
    <s v="Ninguno"/>
    <s v="Superficie quemada por incendios forestales por región"/>
    <s v="Periodo 2010-2020"/>
    <s v="Hectáreas"/>
    <s v="Corporación Nacional Forestal (CONAF)"/>
    <x v="833"/>
    <m/>
    <s v="Dashboard"/>
    <s v="Región de Ñuble incendios forestales hectáreas superficie vegetación natural plantaciones temporada"/>
    <x v="281"/>
    <s v="100-C-16"/>
    <s v="#1774B9"/>
    <s v="990-0834"/>
    <n v="99200016"/>
    <s v="T-1046"/>
    <s v="C-1007"/>
    <s v="FI-993"/>
    <s v="M-1069"/>
  </r>
  <r>
    <x v="834"/>
    <n v="990"/>
    <x v="0"/>
    <x v="5"/>
    <n v="0"/>
    <x v="10"/>
    <x v="7"/>
    <x v="0"/>
    <x v="0"/>
    <s v="Ninguno"/>
    <s v="Número y Superficie de incendios por causa"/>
    <s v="Periodo 2010-2020"/>
    <s v="Número de incendios y Hectáreas"/>
    <s v="Corporación Nacional Forestal (CONAF)"/>
    <x v="834"/>
    <m/>
    <s v="Dashboard"/>
    <s v="Chile incendios forestales hectáreas superficie cantidad número causa plantaciones temporada fuego"/>
    <x v="281"/>
    <s v="300-R"/>
    <s v="#1774B9"/>
    <s v="990-0835"/>
    <n v="99100000"/>
    <s v="T-1046"/>
    <s v="C-1007"/>
    <s v="FI-993"/>
    <s v="M-1070"/>
  </r>
  <r>
    <x v="835"/>
    <n v="990"/>
    <x v="0"/>
    <x v="5"/>
    <n v="1"/>
    <x v="10"/>
    <x v="7"/>
    <x v="1"/>
    <x v="1"/>
    <s v="Ninguno"/>
    <s v="Número y Superficie de incendios por causa"/>
    <s v="Periodo 2010-2020"/>
    <s v="Número de incendios y Hectáreas"/>
    <s v="Corporación Nacional Forestal (CONAF)"/>
    <x v="835"/>
    <m/>
    <s v="Dashboard"/>
    <s v="Región de Tarapacá incendios forestales hectáreas superficie cantidad número causa plantaciones temporada fuego"/>
    <x v="281"/>
    <s v="100-R-1"/>
    <s v="#1774B9"/>
    <s v="990-0836"/>
    <n v="99200001"/>
    <s v="T-1046"/>
    <s v="C-1007"/>
    <s v="FI-993"/>
    <s v="M-1070"/>
  </r>
  <r>
    <x v="836"/>
    <n v="990"/>
    <x v="0"/>
    <x v="5"/>
    <n v="2"/>
    <x v="10"/>
    <x v="7"/>
    <x v="1"/>
    <x v="2"/>
    <s v="Ninguno"/>
    <s v="Número y Superficie de incendios por causa"/>
    <s v="Periodo 2010-2020"/>
    <s v="Número de incendios y Hectáreas"/>
    <s v="Corporación Nacional Forestal (CONAF)"/>
    <x v="836"/>
    <m/>
    <s v="Dashboard"/>
    <s v="Región de Antofagasta incendios forestales hectáreas superficie cantidad número causa plantaciones temporada fuego"/>
    <x v="281"/>
    <s v="100-R-2"/>
    <s v="#1774B9"/>
    <s v="990-0837"/>
    <n v="99200002"/>
    <s v="T-1046"/>
    <s v="C-1007"/>
    <s v="FI-993"/>
    <s v="M-1070"/>
  </r>
  <r>
    <x v="837"/>
    <n v="990"/>
    <x v="0"/>
    <x v="5"/>
    <n v="3"/>
    <x v="10"/>
    <x v="7"/>
    <x v="1"/>
    <x v="3"/>
    <s v="Ninguno"/>
    <s v="Número y Superficie de incendios por causa"/>
    <s v="Periodo 2010-2020"/>
    <s v="Número de incendios y Hectáreas"/>
    <s v="Corporación Nacional Forestal (CONAF)"/>
    <x v="837"/>
    <m/>
    <s v="Dashboard"/>
    <s v="Región de Atacama incendios forestales hectáreas superficie cantidad número causa plantaciones temporada fuego"/>
    <x v="281"/>
    <s v="100-R-3"/>
    <s v="#1774B9"/>
    <s v="990-0838"/>
    <n v="99200003"/>
    <s v="T-1046"/>
    <s v="C-1007"/>
    <s v="FI-993"/>
    <s v="M-1070"/>
  </r>
  <r>
    <x v="838"/>
    <n v="990"/>
    <x v="0"/>
    <x v="5"/>
    <n v="4"/>
    <x v="10"/>
    <x v="7"/>
    <x v="1"/>
    <x v="4"/>
    <s v="Ninguno"/>
    <s v="Número y Superficie de incendios por causa"/>
    <s v="Periodo 2010-2020"/>
    <s v="Número de incendios y Hectáreas"/>
    <s v="Corporación Nacional Forestal (CONAF)"/>
    <x v="838"/>
    <m/>
    <s v="Dashboard"/>
    <s v="Región de Coquimbo incendios forestales hectáreas superficie cantidad número causa plantaciones temporada fuego"/>
    <x v="281"/>
    <s v="100-R-4"/>
    <s v="#1774B9"/>
    <s v="990-0839"/>
    <n v="99200004"/>
    <s v="T-1046"/>
    <s v="C-1007"/>
    <s v="FI-993"/>
    <s v="M-1070"/>
  </r>
  <r>
    <x v="839"/>
    <n v="990"/>
    <x v="0"/>
    <x v="5"/>
    <n v="5"/>
    <x v="10"/>
    <x v="7"/>
    <x v="1"/>
    <x v="5"/>
    <s v="Ninguno"/>
    <s v="Número y Superficie de incendios por causa"/>
    <s v="Periodo 2010-2020"/>
    <s v="Número de incendios y Hectáreas"/>
    <s v="Corporación Nacional Forestal (CONAF)"/>
    <x v="839"/>
    <m/>
    <s v="Dashboard"/>
    <s v="Región de Valparaíso incendios forestales hectáreas superficie cantidad número causa plantaciones temporada fuego"/>
    <x v="281"/>
    <s v="100-R-5"/>
    <s v="#1774B9"/>
    <s v="990-0840"/>
    <n v="99200005"/>
    <s v="T-1046"/>
    <s v="C-1007"/>
    <s v="FI-993"/>
    <s v="M-1070"/>
  </r>
  <r>
    <x v="840"/>
    <n v="990"/>
    <x v="0"/>
    <x v="5"/>
    <n v="6"/>
    <x v="10"/>
    <x v="7"/>
    <x v="1"/>
    <x v="6"/>
    <s v="Ninguno"/>
    <s v="Número y Superficie de incendios por causa"/>
    <s v="Periodo 2010-2020"/>
    <s v="Número de incendios y Hectáreas"/>
    <s v="Corporación Nacional Forestal (CONAF)"/>
    <x v="840"/>
    <m/>
    <s v="Dashboard"/>
    <s v="Región de O'Higgins incendios forestales hectáreas superficie cantidad número causa plantaciones temporada fuego"/>
    <x v="281"/>
    <s v="100-R-6"/>
    <s v="#1774B9"/>
    <s v="990-0841"/>
    <n v="99200006"/>
    <s v="T-1046"/>
    <s v="C-1007"/>
    <s v="FI-993"/>
    <s v="M-1070"/>
  </r>
  <r>
    <x v="841"/>
    <n v="990"/>
    <x v="0"/>
    <x v="5"/>
    <n v="7"/>
    <x v="10"/>
    <x v="7"/>
    <x v="1"/>
    <x v="7"/>
    <s v="Ninguno"/>
    <s v="Número y Superficie de incendios por causa"/>
    <s v="Periodo 2010-2020"/>
    <s v="Número de incendios y Hectáreas"/>
    <s v="Corporación Nacional Forestal (CONAF)"/>
    <x v="841"/>
    <m/>
    <s v="Dashboard"/>
    <s v="Región de Maule incendios forestales hectáreas superficie cantidad número causa plantaciones temporada fuego"/>
    <x v="281"/>
    <s v="100-R-7"/>
    <s v="#1774B9"/>
    <s v="990-0842"/>
    <n v="99200007"/>
    <s v="T-1046"/>
    <s v="C-1007"/>
    <s v="FI-993"/>
    <s v="M-1070"/>
  </r>
  <r>
    <x v="842"/>
    <n v="990"/>
    <x v="0"/>
    <x v="5"/>
    <n v="8"/>
    <x v="10"/>
    <x v="7"/>
    <x v="1"/>
    <x v="8"/>
    <s v="Ninguno"/>
    <s v="Número y Superficie de incendios por causa"/>
    <s v="Periodo 2010-2020"/>
    <s v="Número de incendios y Hectáreas"/>
    <s v="Corporación Nacional Forestal (CONAF)"/>
    <x v="842"/>
    <m/>
    <s v="Dashboard"/>
    <s v="Región del Biobío incendios forestales hectáreas superficie cantidad número causa plantaciones temporada fuego"/>
    <x v="556"/>
    <s v="100-R-8"/>
    <s v="#1774B9"/>
    <s v="990-0843"/>
    <n v="99200008"/>
    <s v="T-1046"/>
    <s v="C-1007"/>
    <s v="FI-993"/>
    <s v="M-1070"/>
  </r>
  <r>
    <x v="843"/>
    <n v="990"/>
    <x v="0"/>
    <x v="5"/>
    <n v="9"/>
    <x v="10"/>
    <x v="7"/>
    <x v="1"/>
    <x v="9"/>
    <s v="Ninguno"/>
    <s v="Número y Superficie de incendios por causa"/>
    <s v="Periodo 2010-2020"/>
    <s v="Número de incendios y Hectáreas"/>
    <s v="Corporación Nacional Forestal (CONAF)"/>
    <x v="843"/>
    <m/>
    <s v="Dashboard"/>
    <s v="Región de La Araucanía incendios forestales hectáreas superficie cantidad número causa plantaciones temporada fuego"/>
    <x v="281"/>
    <s v="100-R-9"/>
    <s v="#1774B9"/>
    <s v="990-0844"/>
    <n v="99200009"/>
    <s v="T-1046"/>
    <s v="C-1007"/>
    <s v="FI-993"/>
    <s v="M-1070"/>
  </r>
  <r>
    <x v="844"/>
    <n v="990"/>
    <x v="0"/>
    <x v="5"/>
    <n v="10"/>
    <x v="10"/>
    <x v="7"/>
    <x v="1"/>
    <x v="10"/>
    <s v="Ninguno"/>
    <s v="Número y Superficie de incendios por causa"/>
    <s v="Periodo 2010-2020"/>
    <s v="Número de incendios y Hectáreas"/>
    <s v="Corporación Nacional Forestal (CONAF)"/>
    <x v="844"/>
    <m/>
    <s v="Dashboard"/>
    <s v="Región de Los Lagos incendios forestales hectáreas superficie cantidad número causa plantaciones temporada fuego"/>
    <x v="281"/>
    <s v="100-R-10"/>
    <s v="#1774B9"/>
    <s v="990-0845"/>
    <n v="99200010"/>
    <s v="T-1046"/>
    <s v="C-1007"/>
    <s v="FI-993"/>
    <s v="M-1070"/>
  </r>
  <r>
    <x v="845"/>
    <n v="990"/>
    <x v="0"/>
    <x v="5"/>
    <n v="11"/>
    <x v="10"/>
    <x v="7"/>
    <x v="1"/>
    <x v="11"/>
    <s v="Ninguno"/>
    <s v="Número y Superficie de incendios por causa"/>
    <s v="Periodo 2010-2020"/>
    <s v="Número de incendios y Hectáreas"/>
    <s v="Corporación Nacional Forestal (CONAF)"/>
    <x v="845"/>
    <m/>
    <s v="Dashboard"/>
    <s v="Región de Aysén incendios forestales hectáreas superficie cantidad número causa plantaciones temporada fuego"/>
    <x v="281"/>
    <s v="100-R-11"/>
    <s v="#1774B9"/>
    <s v="990-0846"/>
    <n v="99200011"/>
    <s v="T-1046"/>
    <s v="C-1007"/>
    <s v="FI-993"/>
    <s v="M-1070"/>
  </r>
  <r>
    <x v="846"/>
    <n v="990"/>
    <x v="0"/>
    <x v="5"/>
    <n v="12"/>
    <x v="10"/>
    <x v="7"/>
    <x v="1"/>
    <x v="12"/>
    <s v="Ninguno"/>
    <s v="Número y Superficie de incendios por causa"/>
    <s v="Periodo 2010-2020"/>
    <s v="Número de incendios y Hectáreas"/>
    <s v="Corporación Nacional Forestal (CONAF)"/>
    <x v="846"/>
    <m/>
    <s v="Dashboard"/>
    <s v="Región de Magallanes incendios forestales hectáreas superficie cantidad número causa plantaciones temporada fuego"/>
    <x v="281"/>
    <s v="100-R-12"/>
    <s v="#1774B9"/>
    <s v="990-0847"/>
    <n v="99200012"/>
    <s v="T-1046"/>
    <s v="C-1007"/>
    <s v="FI-993"/>
    <s v="M-1070"/>
  </r>
  <r>
    <x v="847"/>
    <n v="990"/>
    <x v="0"/>
    <x v="5"/>
    <n v="13"/>
    <x v="10"/>
    <x v="7"/>
    <x v="1"/>
    <x v="13"/>
    <s v="Ninguno"/>
    <s v="Número y Superficie de incendios por causa"/>
    <s v="Periodo 2010-2020"/>
    <s v="Número de incendios y Hectáreas"/>
    <s v="Corporación Nacional Forestal (CONAF)"/>
    <x v="847"/>
    <m/>
    <s v="Dashboard"/>
    <s v="Región Metropolitana incendios forestales hectáreas superficie cantidad número causa plantaciones temporada fuego"/>
    <x v="281"/>
    <s v="200-R-13"/>
    <s v="#1774B9"/>
    <s v="990-0848"/>
    <n v="99200013"/>
    <s v="T-1046"/>
    <s v="C-1007"/>
    <s v="FI-993"/>
    <s v="M-1070"/>
  </r>
  <r>
    <x v="848"/>
    <n v="990"/>
    <x v="0"/>
    <x v="5"/>
    <n v="14"/>
    <x v="10"/>
    <x v="7"/>
    <x v="1"/>
    <x v="14"/>
    <s v="Ninguno"/>
    <s v="Número y Superficie de incendios por causa"/>
    <s v="Periodo 2010-2020"/>
    <s v="Número de incendios y Hectáreas"/>
    <s v="Corporación Nacional Forestal (CONAF)"/>
    <x v="848"/>
    <m/>
    <s v="Dashboard"/>
    <s v="Región de Los Ríos incendios forestales hectáreas superficie cantidad número causa plantaciones temporada fuego"/>
    <x v="281"/>
    <s v="100-R-14"/>
    <s v="#1774B9"/>
    <s v="990-0849"/>
    <n v="99200014"/>
    <s v="T-1046"/>
    <s v="C-1007"/>
    <s v="FI-993"/>
    <s v="M-1070"/>
  </r>
  <r>
    <x v="849"/>
    <n v="990"/>
    <x v="0"/>
    <x v="5"/>
    <n v="15"/>
    <x v="10"/>
    <x v="7"/>
    <x v="1"/>
    <x v="15"/>
    <s v="Ninguno"/>
    <s v="Número y Superficie de incendios por causa"/>
    <s v="Periodo 2010-2020"/>
    <s v="Número de incendios y Hectáreas"/>
    <s v="Corporación Nacional Forestal (CONAF)"/>
    <x v="849"/>
    <m/>
    <s v="Dashboard"/>
    <s v="Región de Arica y Parinacota incendios forestales hectáreas superficie cantidad número causa plantaciones temporada fuego"/>
    <x v="281"/>
    <s v="100-R-15"/>
    <s v="#1774B9"/>
    <s v="990-0850"/>
    <n v="99200015"/>
    <s v="T-1046"/>
    <s v="C-1007"/>
    <s v="FI-993"/>
    <s v="M-1070"/>
  </r>
  <r>
    <x v="850"/>
    <n v="990"/>
    <x v="0"/>
    <x v="5"/>
    <n v="16"/>
    <x v="10"/>
    <x v="7"/>
    <x v="1"/>
    <x v="16"/>
    <s v="Ninguno"/>
    <s v="Número y Superficie de incendios por causa"/>
    <s v="Periodo 2010-2020"/>
    <s v="Número de incendios y Hectáreas"/>
    <s v="Corporación Nacional Forestal (CONAF)"/>
    <x v="850"/>
    <m/>
    <s v="Dashboard"/>
    <s v="Región de Ñuble incendios forestales hectáreas superficie cantidad número causa plantaciones temporada fuego"/>
    <x v="281"/>
    <s v="100-R-16"/>
    <s v="#1774B9"/>
    <s v="990-0851"/>
    <n v="99200016"/>
    <s v="T-1046"/>
    <s v="C-1007"/>
    <s v="FI-993"/>
    <s v="M-1070"/>
  </r>
  <r>
    <x v="851"/>
    <n v="990"/>
    <x v="0"/>
    <x v="5"/>
    <n v="0"/>
    <x v="10"/>
    <x v="7"/>
    <x v="0"/>
    <x v="0"/>
    <s v="Ninguno"/>
    <s v="Número y Superficie de incendios por causa"/>
    <s v="Periodo 2010-2020"/>
    <s v="Número de incendios y Hectáreas"/>
    <s v="Corporación Nacional Forestal (CONAF)"/>
    <x v="851"/>
    <m/>
    <s v="Dashboard"/>
    <s v="Chile incendios forestales hectáreas superficie cantidad número causa general especifica plantaciones temporada fuego"/>
    <x v="281"/>
    <s v="300-R"/>
    <s v="#1774B9"/>
    <s v="990-0852"/>
    <n v="99100000"/>
    <s v="T-1046"/>
    <s v="C-1007"/>
    <s v="FI-993"/>
    <s v="M-1070"/>
  </r>
  <r>
    <x v="852"/>
    <n v="990"/>
    <x v="0"/>
    <x v="5"/>
    <n v="1"/>
    <x v="10"/>
    <x v="7"/>
    <x v="1"/>
    <x v="1"/>
    <s v="Ninguno"/>
    <s v="Número y Superficie de incendios por causa"/>
    <s v="Periodo 2010-2020"/>
    <s v="Número de incendios y Hectáreas"/>
    <s v="Corporación Nacional Forestal (CONAF)"/>
    <x v="852"/>
    <m/>
    <s v="Dashboard"/>
    <s v="Región de Tarapacá incendios forestales hectáreas superficie cantidad número causa general especifica plantaciones temporada fuego"/>
    <x v="281"/>
    <s v="100-R-1"/>
    <s v="#1774B9"/>
    <s v="990-0853"/>
    <n v="99200001"/>
    <s v="T-1046"/>
    <s v="C-1007"/>
    <s v="FI-993"/>
    <s v="M-1070"/>
  </r>
  <r>
    <x v="853"/>
    <n v="990"/>
    <x v="0"/>
    <x v="5"/>
    <n v="2"/>
    <x v="10"/>
    <x v="7"/>
    <x v="1"/>
    <x v="2"/>
    <s v="Ninguno"/>
    <s v="Número y Superficie de incendios por causa"/>
    <s v="Periodo 2010-2020"/>
    <s v="Número de incendios y Hectáreas"/>
    <s v="Corporación Nacional Forestal (CONAF)"/>
    <x v="853"/>
    <m/>
    <s v="Dashboard"/>
    <s v="Región de Antofagasta incendios forestales hectáreas superficie cantidad número causa general especifica plantaciones temporada fuego"/>
    <x v="281"/>
    <s v="100-R-2"/>
    <s v="#1774B9"/>
    <s v="990-0854"/>
    <n v="99200002"/>
    <s v="T-1046"/>
    <s v="C-1007"/>
    <s v="FI-993"/>
    <s v="M-1070"/>
  </r>
  <r>
    <x v="854"/>
    <n v="990"/>
    <x v="0"/>
    <x v="5"/>
    <n v="3"/>
    <x v="10"/>
    <x v="7"/>
    <x v="1"/>
    <x v="3"/>
    <s v="Ninguno"/>
    <s v="Número y Superficie de incendios por causa"/>
    <s v="Periodo 2010-2020"/>
    <s v="Número de incendios y Hectáreas"/>
    <s v="Corporación Nacional Forestal (CONAF)"/>
    <x v="854"/>
    <m/>
    <s v="Dashboard"/>
    <s v="Región de Atacama incendios forestales hectáreas superficie cantidad número causa general especifica plantaciones temporada fuego"/>
    <x v="281"/>
    <s v="100-R-3"/>
    <s v="#1774B9"/>
    <s v="990-0855"/>
    <n v="99200003"/>
    <s v="T-1046"/>
    <s v="C-1007"/>
    <s v="FI-993"/>
    <s v="M-1070"/>
  </r>
  <r>
    <x v="855"/>
    <n v="990"/>
    <x v="0"/>
    <x v="5"/>
    <n v="4"/>
    <x v="10"/>
    <x v="7"/>
    <x v="1"/>
    <x v="4"/>
    <s v="Ninguno"/>
    <s v="Número y Superficie de incendios por causa"/>
    <s v="Periodo 2010-2020"/>
    <s v="Número de incendios y Hectáreas"/>
    <s v="Corporación Nacional Forestal (CONAF)"/>
    <x v="855"/>
    <m/>
    <s v="Dashboard"/>
    <s v="Región de Coquimbo incendios forestales hectáreas superficie cantidad número causa general especifica plantaciones temporada fuego"/>
    <x v="281"/>
    <s v="100-R-4"/>
    <s v="#1774B9"/>
    <s v="990-0856"/>
    <n v="99200004"/>
    <s v="T-1046"/>
    <s v="C-1007"/>
    <s v="FI-993"/>
    <s v="M-1070"/>
  </r>
  <r>
    <x v="856"/>
    <n v="990"/>
    <x v="0"/>
    <x v="5"/>
    <n v="5"/>
    <x v="10"/>
    <x v="7"/>
    <x v="1"/>
    <x v="5"/>
    <s v="Ninguno"/>
    <s v="Número y Superficie de incendios por causa"/>
    <s v="Periodo 2010-2020"/>
    <s v="Número de incendios y Hectáreas"/>
    <s v="Corporación Nacional Forestal (CONAF)"/>
    <x v="856"/>
    <s v="Durante la temporada de incendios forestales 2016-2017 se afectaron 16.663 hectáreas en la región del Valparaíso, siendo la causa general más recurrente reportada el &quot;Tránsito de personas vehículos o aeronaves&quot;. De esta superficie 16.637 hectáreas fueron clasificadas dentro de la causa específica &quot;Uso de fuego por transeúntes&quot;, en segundo lugar, con 25,5 hectáreas, son atribuidas a la causa específica definida como &quot;Accidente o incendio de vehículo en tránsito&quot;."/>
    <s v="Dashboard"/>
    <s v="Región de Valparaíso incendios forestales hectáreas superficie cantidad número causa general especifica plantaciones temporada fuego"/>
    <x v="557"/>
    <s v="100-R-5"/>
    <s v="#1774B9"/>
    <s v="990-0857"/>
    <n v="99200005"/>
    <s v="T-1046"/>
    <s v="C-1007"/>
    <s v="FI-993"/>
    <s v="M-1070"/>
  </r>
  <r>
    <x v="857"/>
    <n v="990"/>
    <x v="0"/>
    <x v="5"/>
    <n v="6"/>
    <x v="10"/>
    <x v="7"/>
    <x v="1"/>
    <x v="6"/>
    <s v="Ninguno"/>
    <s v="Número y Superficie de incendios por causa"/>
    <s v="Periodo 2010-2020"/>
    <s v="Número de incendios y Hectáreas"/>
    <s v="Corporación Nacional Forestal (CONAF)"/>
    <x v="857"/>
    <m/>
    <s v="Dashboard"/>
    <s v="Región de O'Higgins incendios forestales hectáreas superficie cantidad número causa general especifica plantaciones temporada fuego"/>
    <x v="281"/>
    <s v="100-R-6"/>
    <s v="#1774B9"/>
    <s v="990-0858"/>
    <n v="99200006"/>
    <s v="T-1046"/>
    <s v="C-1007"/>
    <s v="FI-993"/>
    <s v="M-1070"/>
  </r>
  <r>
    <x v="858"/>
    <n v="990"/>
    <x v="0"/>
    <x v="5"/>
    <n v="7"/>
    <x v="10"/>
    <x v="7"/>
    <x v="1"/>
    <x v="7"/>
    <s v="Ninguno"/>
    <s v="Número y Superficie de incendios por causa"/>
    <s v="Periodo 2010-2020"/>
    <s v="Número de incendios y Hectáreas"/>
    <s v="Corporación Nacional Forestal (CONAF)"/>
    <x v="858"/>
    <m/>
    <s v="Dashboard"/>
    <s v="Región de Maule incendios forestales hectáreas superficie cantidad número causa general especifica plantaciones temporada fuego"/>
    <x v="281"/>
    <s v="100-R-7"/>
    <s v="#1774B9"/>
    <s v="990-0859"/>
    <n v="99200007"/>
    <s v="T-1046"/>
    <s v="C-1007"/>
    <s v="FI-993"/>
    <s v="M-1070"/>
  </r>
  <r>
    <x v="859"/>
    <n v="990"/>
    <x v="0"/>
    <x v="5"/>
    <n v="8"/>
    <x v="10"/>
    <x v="7"/>
    <x v="1"/>
    <x v="8"/>
    <s v="Ninguno"/>
    <s v="Número y Superficie de incendios por causa"/>
    <s v="Periodo 2010-2020"/>
    <s v="Número de incendios y Hectáreas"/>
    <s v="Corporación Nacional Forestal (CONAF)"/>
    <x v="859"/>
    <m/>
    <s v="Dashboard"/>
    <s v="Región del Biobío incendios forestales hectáreas superficie cantidad número causa general especifica plantaciones temporada fuego"/>
    <x v="558"/>
    <s v="100-R-8"/>
    <s v="#1774B9"/>
    <s v="990-0860"/>
    <n v="99200008"/>
    <s v="T-1046"/>
    <s v="C-1007"/>
    <s v="FI-993"/>
    <s v="M-1070"/>
  </r>
  <r>
    <x v="860"/>
    <n v="990"/>
    <x v="0"/>
    <x v="5"/>
    <n v="9"/>
    <x v="10"/>
    <x v="7"/>
    <x v="1"/>
    <x v="9"/>
    <s v="Ninguno"/>
    <s v="Número y Superficie de incendios por causa"/>
    <s v="Periodo 2010-2020"/>
    <s v="Número de incendios y Hectáreas"/>
    <s v="Corporación Nacional Forestal (CONAF)"/>
    <x v="860"/>
    <m/>
    <s v="Dashboard"/>
    <s v="Región de La Araucanía incendios forestales hectáreas superficie cantidad número causa general especifica plantaciones temporada fuego"/>
    <x v="281"/>
    <s v="100-R-9"/>
    <s v="#1774B9"/>
    <s v="990-0861"/>
    <n v="99200009"/>
    <s v="T-1046"/>
    <s v="C-1007"/>
    <s v="FI-993"/>
    <s v="M-1070"/>
  </r>
  <r>
    <x v="861"/>
    <n v="990"/>
    <x v="0"/>
    <x v="5"/>
    <n v="10"/>
    <x v="10"/>
    <x v="7"/>
    <x v="1"/>
    <x v="10"/>
    <s v="Ninguno"/>
    <s v="Número y Superficie de incendios por causa"/>
    <s v="Periodo 2010-2020"/>
    <s v="Número de incendios y Hectáreas"/>
    <s v="Corporación Nacional Forestal (CONAF)"/>
    <x v="861"/>
    <m/>
    <s v="Dashboard"/>
    <s v="Región de Los Lagos incendios forestales hectáreas superficie cantidad número causa general especifica plantaciones temporada fuego"/>
    <x v="281"/>
    <s v="100-R-10"/>
    <s v="#1774B9"/>
    <s v="990-0862"/>
    <n v="99200010"/>
    <s v="T-1046"/>
    <s v="C-1007"/>
    <s v="FI-993"/>
    <s v="M-1070"/>
  </r>
  <r>
    <x v="862"/>
    <n v="990"/>
    <x v="0"/>
    <x v="5"/>
    <n v="11"/>
    <x v="10"/>
    <x v="7"/>
    <x v="1"/>
    <x v="11"/>
    <s v="Ninguno"/>
    <s v="Número y Superficie de incendios por causa"/>
    <s v="Periodo 2010-2020"/>
    <s v="Número de incendios y Hectáreas"/>
    <s v="Corporación Nacional Forestal (CONAF)"/>
    <x v="862"/>
    <m/>
    <s v="Dashboard"/>
    <s v="Región de Aysén incendios forestales hectáreas superficie cantidad número causa general especifica plantaciones temporada fuego"/>
    <x v="281"/>
    <s v="100-R-11"/>
    <s v="#1774B9"/>
    <s v="990-0863"/>
    <n v="99200011"/>
    <s v="T-1046"/>
    <s v="C-1007"/>
    <s v="FI-993"/>
    <s v="M-1070"/>
  </r>
  <r>
    <x v="863"/>
    <n v="990"/>
    <x v="0"/>
    <x v="5"/>
    <n v="12"/>
    <x v="10"/>
    <x v="7"/>
    <x v="1"/>
    <x v="12"/>
    <s v="Ninguno"/>
    <s v="Número y Superficie de incendios por causa"/>
    <s v="Periodo 2010-2020"/>
    <s v="Número de incendios y Hectáreas"/>
    <s v="Corporación Nacional Forestal (CONAF)"/>
    <x v="863"/>
    <m/>
    <s v="Dashboard"/>
    <s v="Región de Magallanes incendios forestales hectáreas superficie cantidad número causa general especifica plantaciones temporada fuego"/>
    <x v="281"/>
    <s v="100-R-12"/>
    <s v="#1774B9"/>
    <s v="990-0864"/>
    <n v="99200012"/>
    <s v="T-1046"/>
    <s v="C-1007"/>
    <s v="FI-993"/>
    <s v="M-1070"/>
  </r>
  <r>
    <x v="864"/>
    <n v="990"/>
    <x v="0"/>
    <x v="5"/>
    <n v="13"/>
    <x v="10"/>
    <x v="7"/>
    <x v="1"/>
    <x v="13"/>
    <s v="Ninguno"/>
    <s v="Número y Superficie de incendios por causa"/>
    <s v="Periodo 2010-2020"/>
    <s v="Número de incendios y Hectáreas"/>
    <s v="Corporación Nacional Forestal (CONAF)"/>
    <x v="864"/>
    <m/>
    <s v="Dashboard"/>
    <s v="Región Metropolitana incendios forestales hectáreas superficie cantidad número causa general especifica plantaciones temporada fuego"/>
    <x v="281"/>
    <s v="200-R-13"/>
    <s v="#1774B9"/>
    <s v="990-0865"/>
    <n v="99200013"/>
    <s v="T-1046"/>
    <s v="C-1007"/>
    <s v="FI-993"/>
    <s v="M-1070"/>
  </r>
  <r>
    <x v="865"/>
    <n v="990"/>
    <x v="0"/>
    <x v="5"/>
    <n v="14"/>
    <x v="10"/>
    <x v="7"/>
    <x v="1"/>
    <x v="14"/>
    <s v="Ninguno"/>
    <s v="Número y Superficie de incendios por causa"/>
    <s v="Periodo 2010-2020"/>
    <s v="Número de incendios y Hectáreas"/>
    <s v="Corporación Nacional Forestal (CONAF)"/>
    <x v="865"/>
    <m/>
    <s v="Dashboard"/>
    <s v="Región de Los Ríos incendios forestales hectáreas superficie cantidad número causa general especifica plantaciones temporada fuego"/>
    <x v="281"/>
    <s v="100-R-14"/>
    <s v="#1774B9"/>
    <s v="990-0866"/>
    <n v="99200014"/>
    <s v="T-1046"/>
    <s v="C-1007"/>
    <s v="FI-993"/>
    <s v="M-1070"/>
  </r>
  <r>
    <x v="866"/>
    <n v="990"/>
    <x v="0"/>
    <x v="5"/>
    <n v="15"/>
    <x v="10"/>
    <x v="7"/>
    <x v="1"/>
    <x v="15"/>
    <s v="Ninguno"/>
    <s v="Número y Superficie de incendios por causa"/>
    <s v="Periodo 2010-2020"/>
    <s v="Número de incendios y Hectáreas"/>
    <s v="Corporación Nacional Forestal (CONAF)"/>
    <x v="866"/>
    <m/>
    <s v="Dashboard"/>
    <s v="Región de Arica y Parinacota incendios forestales hectáreas superficie cantidad número causa general especifica plantaciones temporada fuego"/>
    <x v="281"/>
    <s v="100-R-15"/>
    <s v="#1774B9"/>
    <s v="990-0867"/>
    <n v="99200015"/>
    <s v="T-1046"/>
    <s v="C-1007"/>
    <s v="FI-993"/>
    <s v="M-1070"/>
  </r>
  <r>
    <x v="867"/>
    <n v="990"/>
    <x v="0"/>
    <x v="5"/>
    <n v="16"/>
    <x v="10"/>
    <x v="7"/>
    <x v="1"/>
    <x v="16"/>
    <s v="Ninguno"/>
    <s v="Número y Superficie de incendios por causa"/>
    <s v="Periodo 2010-2020"/>
    <s v="Número de incendios y Hectáreas"/>
    <s v="Corporación Nacional Forestal (CONAF)"/>
    <x v="867"/>
    <m/>
    <s v="Dashboard"/>
    <s v="Región de Ñuble incendios forestales hectáreas superficie cantidad número causa general especifica plantaciones temporada fuego"/>
    <x v="281"/>
    <s v="100-R-16"/>
    <s v="#1774B9"/>
    <s v="990-0868"/>
    <n v="99200016"/>
    <s v="T-1046"/>
    <s v="C-1007"/>
    <s v="FI-993"/>
    <s v="M-1070"/>
  </r>
  <r>
    <x v="868"/>
    <n v="990"/>
    <x v="0"/>
    <x v="6"/>
    <n v="0"/>
    <x v="52"/>
    <x v="24"/>
    <x v="0"/>
    <x v="0"/>
    <s v="Región-Comuna"/>
    <s v="Candidatos electos por comuna"/>
    <s v="Periodo 1990-2020"/>
    <s v="Número de candidatos"/>
    <s v="Servicio Electoral (SERVEL)"/>
    <x v="868"/>
    <m/>
    <s v="Dashboard"/>
    <s v="Chile elecciones candidatos electos consejeros regionales senadores diputados alcaldes concejales cargos votación"/>
    <x v="281"/>
    <s v="300-C"/>
    <s v="#1774B9"/>
    <s v="990-0869"/>
    <n v="99100000"/>
    <s v="T-1020"/>
    <s v="C-994"/>
    <s v="FI-995"/>
    <s v="M-1071"/>
  </r>
  <r>
    <x v="869"/>
    <n v="990"/>
    <x v="0"/>
    <x v="6"/>
    <n v="1"/>
    <x v="52"/>
    <x v="24"/>
    <x v="1"/>
    <x v="1"/>
    <s v="Comuna"/>
    <s v="Candidatos electos por comuna"/>
    <s v="Periodo 1990-2020"/>
    <s v="Número de candidatos"/>
    <s v="Servicio Electoral (SERVEL)"/>
    <x v="869"/>
    <m/>
    <s v="Dashboard"/>
    <s v="Región de Tarapacá elecciones candidatos electos consejeros regionales senadores diputados alcaldes concejales cargos votación"/>
    <x v="281"/>
    <s v="100-C-1"/>
    <s v="#1774B9"/>
    <s v="990-0870"/>
    <n v="99200001"/>
    <s v="T-1020"/>
    <s v="C-994"/>
    <s v="FI-991"/>
    <s v="M-1071"/>
  </r>
  <r>
    <x v="870"/>
    <n v="990"/>
    <x v="0"/>
    <x v="6"/>
    <n v="2"/>
    <x v="52"/>
    <x v="24"/>
    <x v="1"/>
    <x v="2"/>
    <s v="Comuna"/>
    <s v="Candidatos electos por comuna"/>
    <s v="Periodo 1990-2020"/>
    <s v="Número de candidatos"/>
    <s v="Servicio Electoral (SERVEL)"/>
    <x v="870"/>
    <m/>
    <s v="Dashboard"/>
    <s v="Región de Antofagasta elecciones candidatos electos consejeros regionales senadores diputados alcaldes concejales cargos votación"/>
    <x v="281"/>
    <s v="100-C-2"/>
    <s v="#1774B9"/>
    <s v="990-0871"/>
    <n v="99200002"/>
    <s v="T-1020"/>
    <s v="C-994"/>
    <s v="FI-991"/>
    <s v="M-1071"/>
  </r>
  <r>
    <x v="871"/>
    <n v="990"/>
    <x v="0"/>
    <x v="6"/>
    <n v="3"/>
    <x v="52"/>
    <x v="24"/>
    <x v="1"/>
    <x v="3"/>
    <s v="Comuna"/>
    <s v="Candidatos electos por comuna"/>
    <s v="Periodo 1990-2020"/>
    <s v="Número de candidatos"/>
    <s v="Servicio Electoral (SERVEL)"/>
    <x v="871"/>
    <m/>
    <s v="Dashboard"/>
    <s v="Región de Atacama elecciones candidatos electos consejeros regionales senadores diputados alcaldes concejales cargos votación"/>
    <x v="281"/>
    <s v="100-C-3"/>
    <s v="#1774B9"/>
    <s v="990-0872"/>
    <n v="99200003"/>
    <s v="T-1020"/>
    <s v="C-994"/>
    <s v="FI-991"/>
    <s v="M-1071"/>
  </r>
  <r>
    <x v="872"/>
    <n v="990"/>
    <x v="0"/>
    <x v="6"/>
    <n v="4"/>
    <x v="52"/>
    <x v="24"/>
    <x v="1"/>
    <x v="4"/>
    <s v="Comuna"/>
    <s v="Candidatos electos por comuna"/>
    <s v="Periodo 1990-2020"/>
    <s v="Número de candidatos"/>
    <s v="Servicio Electoral (SERVEL)"/>
    <x v="872"/>
    <m/>
    <s v="Dashboard"/>
    <s v="Región de Coquimbo elecciones candidatos electos consejeros regionales senadores diputados alcaldes concejales cargos votación"/>
    <x v="281"/>
    <s v="100-C-4"/>
    <s v="#1774B9"/>
    <s v="990-0873"/>
    <n v="99200004"/>
    <s v="T-1020"/>
    <s v="C-994"/>
    <s v="FI-991"/>
    <s v="M-1071"/>
  </r>
  <r>
    <x v="873"/>
    <n v="990"/>
    <x v="0"/>
    <x v="6"/>
    <n v="5"/>
    <x v="52"/>
    <x v="24"/>
    <x v="1"/>
    <x v="5"/>
    <s v="Comuna"/>
    <s v="Candidatos electos por comuna"/>
    <s v="Periodo 1990-2020"/>
    <s v="Número de candidatos"/>
    <s v="Servicio Electoral (SERVEL)"/>
    <x v="873"/>
    <m/>
    <s v="Dashboard"/>
    <s v="Región de Valparaíso elecciones candidatos electos consejeros regionales senadores diputados alcaldes concejales cargos votación"/>
    <x v="281"/>
    <s v="100-C-5"/>
    <s v="#1774B9"/>
    <s v="990-0874"/>
    <n v="99200005"/>
    <s v="T-1020"/>
    <s v="C-994"/>
    <s v="FI-991"/>
    <s v="M-1071"/>
  </r>
  <r>
    <x v="874"/>
    <n v="990"/>
    <x v="0"/>
    <x v="6"/>
    <n v="6"/>
    <x v="52"/>
    <x v="24"/>
    <x v="1"/>
    <x v="6"/>
    <s v="Comuna"/>
    <s v="Candidatos electos por comuna"/>
    <s v="Periodo 1990-2020"/>
    <s v="Número de candidatos"/>
    <s v="Servicio Electoral (SERVEL)"/>
    <x v="874"/>
    <m/>
    <s v="Dashboard"/>
    <s v="Región de O'Higgins elecciones candidatos electos consejeros regionales senadores diputados alcaldes concejales cargos votación"/>
    <x v="281"/>
    <s v="100-C-6"/>
    <s v="#1774B9"/>
    <s v="990-0875"/>
    <n v="99200006"/>
    <s v="T-1020"/>
    <s v="C-994"/>
    <s v="FI-991"/>
    <s v="M-1071"/>
  </r>
  <r>
    <x v="875"/>
    <n v="990"/>
    <x v="0"/>
    <x v="6"/>
    <n v="7"/>
    <x v="52"/>
    <x v="24"/>
    <x v="1"/>
    <x v="7"/>
    <s v="Comuna"/>
    <s v="Candidatos electos por comuna"/>
    <s v="Periodo 1990-2020"/>
    <s v="Número de candidatos"/>
    <s v="Servicio Electoral (SERVEL)"/>
    <x v="875"/>
    <m/>
    <s v="Dashboard"/>
    <s v="Región de Maule elecciones candidatos electos consejeros regionales senadores diputados alcaldes concejales cargos votación"/>
    <x v="281"/>
    <s v="100-C-7"/>
    <s v="#1774B9"/>
    <s v="990-0876"/>
    <n v="99200007"/>
    <s v="T-1020"/>
    <s v="C-994"/>
    <s v="FI-991"/>
    <s v="M-1071"/>
  </r>
  <r>
    <x v="876"/>
    <n v="990"/>
    <x v="0"/>
    <x v="6"/>
    <n v="8"/>
    <x v="52"/>
    <x v="24"/>
    <x v="1"/>
    <x v="8"/>
    <s v="Comuna"/>
    <s v="Candidatos electos por comuna"/>
    <s v="Periodo 1990-2020"/>
    <s v="Número de candidatos"/>
    <s v="Servicio Electoral (SERVEL)"/>
    <x v="876"/>
    <m/>
    <s v="Dashboard"/>
    <s v="Región del Biobío elecciones candidatos electos consejeros regionales senadores diputados alcaldes concejales cargos votación"/>
    <x v="281"/>
    <s v="100-C-8"/>
    <s v="#1774B9"/>
    <s v="990-0877"/>
    <n v="99200008"/>
    <s v="T-1020"/>
    <s v="C-994"/>
    <s v="FI-991"/>
    <s v="M-1071"/>
  </r>
  <r>
    <x v="877"/>
    <n v="990"/>
    <x v="0"/>
    <x v="6"/>
    <n v="9"/>
    <x v="52"/>
    <x v="24"/>
    <x v="1"/>
    <x v="9"/>
    <s v="Comuna"/>
    <s v="Candidatos electos por comuna"/>
    <s v="Periodo 1990-2020"/>
    <s v="Número de candidatos"/>
    <s v="Servicio Electoral (SERVEL)"/>
    <x v="877"/>
    <m/>
    <s v="Dashboard"/>
    <s v="Región de La Araucanía elecciones candidatos electos consejeros regionales senadores diputados alcaldes concejales cargos votación"/>
    <x v="281"/>
    <s v="100-C-9"/>
    <s v="#1774B9"/>
    <s v="990-0878"/>
    <n v="99200009"/>
    <s v="T-1020"/>
    <s v="C-994"/>
    <s v="FI-991"/>
    <s v="M-1071"/>
  </r>
  <r>
    <x v="878"/>
    <n v="990"/>
    <x v="0"/>
    <x v="6"/>
    <n v="10"/>
    <x v="52"/>
    <x v="24"/>
    <x v="1"/>
    <x v="10"/>
    <s v="Comuna"/>
    <s v="Candidatos electos por comuna"/>
    <s v="Periodo 1990-2020"/>
    <s v="Número de candidatos"/>
    <s v="Servicio Electoral (SERVEL)"/>
    <x v="878"/>
    <m/>
    <s v="Dashboard"/>
    <s v="Región de Los Lagos elecciones candidatos electos consejeros regionales senadores diputados alcaldes concejales cargos votación"/>
    <x v="281"/>
    <s v="100-C-10"/>
    <s v="#1774B9"/>
    <s v="990-0879"/>
    <n v="99200010"/>
    <s v="T-1020"/>
    <s v="C-994"/>
    <s v="FI-991"/>
    <s v="M-1071"/>
  </r>
  <r>
    <x v="879"/>
    <n v="990"/>
    <x v="0"/>
    <x v="6"/>
    <n v="11"/>
    <x v="52"/>
    <x v="24"/>
    <x v="1"/>
    <x v="11"/>
    <s v="Comuna"/>
    <s v="Candidatos electos por comuna"/>
    <s v="Periodo 1990-2020"/>
    <s v="Número de candidatos"/>
    <s v="Servicio Electoral (SERVEL)"/>
    <x v="879"/>
    <m/>
    <s v="Dashboard"/>
    <s v="Región de Aysén elecciones candidatos electos consejeros regionales senadores diputados alcaldes concejales cargos votación"/>
    <x v="281"/>
    <s v="100-C-11"/>
    <s v="#1774B9"/>
    <s v="990-0880"/>
    <n v="99200011"/>
    <s v="T-1020"/>
    <s v="C-994"/>
    <s v="FI-991"/>
    <s v="M-1071"/>
  </r>
  <r>
    <x v="880"/>
    <n v="990"/>
    <x v="0"/>
    <x v="6"/>
    <n v="12"/>
    <x v="52"/>
    <x v="24"/>
    <x v="1"/>
    <x v="12"/>
    <s v="Comuna"/>
    <s v="Candidatos electos por comuna"/>
    <s v="Periodo 1990-2020"/>
    <s v="Número de candidatos"/>
    <s v="Servicio Electoral (SERVEL)"/>
    <x v="880"/>
    <m/>
    <s v="Dashboard"/>
    <s v="Región de Magallanes elecciones candidatos electos consejeros regionales senadores diputados alcaldes concejales cargos votación"/>
    <x v="281"/>
    <s v="100-C-12"/>
    <s v="#1774B9"/>
    <s v="990-0881"/>
    <n v="99200012"/>
    <s v="T-1020"/>
    <s v="C-994"/>
    <s v="FI-991"/>
    <s v="M-1071"/>
  </r>
  <r>
    <x v="881"/>
    <n v="990"/>
    <x v="0"/>
    <x v="6"/>
    <n v="13"/>
    <x v="52"/>
    <x v="24"/>
    <x v="1"/>
    <x v="13"/>
    <s v="Comuna"/>
    <s v="Candidatos electos por comuna"/>
    <s v="Periodo 1990-2020"/>
    <s v="Número de candidatos"/>
    <s v="Servicio Electoral (SERVEL)"/>
    <x v="881"/>
    <s v="Candidatos electos, Lista-Partido y Votación Obtenida a los cargos de Elección Popular, para 7 comunas"/>
    <s v="Dashboard"/>
    <s v="Región Metropolitana elecciones candidatos electos consejeros regionales senadores diputados alcaldes concejales cargos votación"/>
    <x v="559"/>
    <s v="200-C-13"/>
    <s v="#1774B9"/>
    <s v="990-0882"/>
    <n v="99200013"/>
    <s v="T-1020"/>
    <s v="C-994"/>
    <s v="FI-991"/>
    <s v="M-1071"/>
  </r>
  <r>
    <x v="882"/>
    <n v="990"/>
    <x v="0"/>
    <x v="6"/>
    <n v="14"/>
    <x v="52"/>
    <x v="24"/>
    <x v="1"/>
    <x v="14"/>
    <s v="Comuna"/>
    <s v="Candidatos electos por comuna"/>
    <s v="Periodo 1990-2020"/>
    <s v="Número de candidatos"/>
    <s v="Servicio Electoral (SERVEL)"/>
    <x v="882"/>
    <m/>
    <s v="Dashboard"/>
    <s v="Región de Los Ríos elecciones candidatos electos consejeros regionales senadores diputados alcaldes concejales cargos votación"/>
    <x v="281"/>
    <s v="100-C-14"/>
    <s v="#1774B9"/>
    <s v="990-0883"/>
    <n v="99200014"/>
    <s v="T-1020"/>
    <s v="C-994"/>
    <s v="FI-991"/>
    <s v="M-1071"/>
  </r>
  <r>
    <x v="883"/>
    <n v="990"/>
    <x v="0"/>
    <x v="6"/>
    <n v="15"/>
    <x v="52"/>
    <x v="24"/>
    <x v="1"/>
    <x v="15"/>
    <s v="Comuna"/>
    <s v="Candidatos electos por comuna"/>
    <s v="Periodo 1990-2020"/>
    <s v="Número de candidatos"/>
    <s v="Servicio Electoral (SERVEL)"/>
    <x v="883"/>
    <m/>
    <s v="Dashboard"/>
    <s v="Región de Arica y Parinacota elecciones candidatos electos consejeros regionales senadores diputados alcaldes concejales cargos votación"/>
    <x v="281"/>
    <s v="100-C-15"/>
    <s v="#1774B9"/>
    <s v="990-0884"/>
    <n v="99200015"/>
    <s v="T-1020"/>
    <s v="C-994"/>
    <s v="FI-991"/>
    <s v="M-1071"/>
  </r>
  <r>
    <x v="884"/>
    <n v="990"/>
    <x v="0"/>
    <x v="6"/>
    <n v="16"/>
    <x v="52"/>
    <x v="24"/>
    <x v="1"/>
    <x v="16"/>
    <s v="Comuna"/>
    <s v="Candidatos electos por comuna"/>
    <s v="Periodo 1990-2020"/>
    <s v="Número de candidatos"/>
    <s v="Servicio Electoral (SERVEL)"/>
    <x v="884"/>
    <m/>
    <s v="Dashboard"/>
    <s v="Región de Ñuble elecciones candidatos electos consejeros regionales senadores diputados alcaldes concejales cargos votación"/>
    <x v="281"/>
    <s v="100-C-16"/>
    <s v="#1774B9"/>
    <s v="990-0885"/>
    <n v="99200016"/>
    <s v="T-1020"/>
    <s v="C-994"/>
    <s v="FI-991"/>
    <s v="M-1071"/>
  </r>
  <r>
    <x v="885"/>
    <n v="990"/>
    <x v="0"/>
    <x v="6"/>
    <n v="0"/>
    <x v="53"/>
    <x v="24"/>
    <x v="0"/>
    <x v="0"/>
    <s v="Región-Comuna"/>
    <s v="Cupos de elección popular por comuna"/>
    <m/>
    <s v="Número de cupos"/>
    <s v="Servicio Electoral (SERVEL)"/>
    <x v="885"/>
    <s v="Números de Cupos para ocupar en cargos de Elección Popular, específicamente, para senadores, diputados, consejeros regionales alcaldes y concejales, los que varían según el cargo a ocupar y la densidad poblacional para las diferentes regiones y comunas."/>
    <s v="Dashboard"/>
    <s v="Chile elecciones candidatos consejeros regionales senadores diputados alcaldes concejales municipal municipio comuna distrito cargos circunscripción"/>
    <x v="560"/>
    <s v="300-C"/>
    <s v="#1774B9"/>
    <s v="990-0886"/>
    <n v="99100000"/>
    <s v="T-1021"/>
    <s v="C-994"/>
    <s v="FI-995"/>
    <s v="M-1072"/>
  </r>
  <r>
    <x v="886"/>
    <n v="990"/>
    <x v="0"/>
    <x v="6"/>
    <n v="1"/>
    <x v="53"/>
    <x v="24"/>
    <x v="1"/>
    <x v="1"/>
    <s v="Comuna"/>
    <s v="Cupos de elección popular por comuna"/>
    <n v="0"/>
    <s v="Número de cupos"/>
    <s v="Servicio Electoral (SERVEL)"/>
    <x v="886"/>
    <m/>
    <s v="Dashboard"/>
    <s v="Región de Tarapacá elecciones candidatos consejeros regionales senadores diputados alcaldes concejales municipal municipio comuna distrito cargos circunscripción"/>
    <x v="281"/>
    <s v="100-C-1"/>
    <s v="#1774B9"/>
    <s v="990-0887"/>
    <n v="99200001"/>
    <s v="T-1021"/>
    <s v="C-994"/>
    <s v="FI-991"/>
    <s v="M-1072"/>
  </r>
  <r>
    <x v="887"/>
    <n v="990"/>
    <x v="0"/>
    <x v="6"/>
    <n v="2"/>
    <x v="53"/>
    <x v="24"/>
    <x v="1"/>
    <x v="2"/>
    <s v="Comuna"/>
    <s v="Cupos de elección popular por comuna"/>
    <n v="0"/>
    <s v="Número de cupos"/>
    <s v="Servicio Electoral (SERVEL)"/>
    <x v="887"/>
    <m/>
    <s v="Dashboard"/>
    <s v="Región de Antofagasta elecciones candidatos consejeros regionales senadores diputados alcaldes concejales municipal municipio comuna distrito cargos circunscripción"/>
    <x v="281"/>
    <s v="100-C-2"/>
    <s v="#1774B9"/>
    <s v="990-0888"/>
    <n v="99200002"/>
    <s v="T-1021"/>
    <s v="C-994"/>
    <s v="FI-991"/>
    <s v="M-1072"/>
  </r>
  <r>
    <x v="888"/>
    <n v="990"/>
    <x v="0"/>
    <x v="6"/>
    <n v="3"/>
    <x v="53"/>
    <x v="24"/>
    <x v="1"/>
    <x v="3"/>
    <s v="Comuna"/>
    <s v="Cupos de elección popular por comuna"/>
    <n v="0"/>
    <s v="Número de cupos"/>
    <s v="Servicio Electoral (SERVEL)"/>
    <x v="888"/>
    <m/>
    <s v="Dashboard"/>
    <s v="Región de Atacama elecciones candidatos consejeros regionales senadores diputados alcaldes concejales municipal municipio comuna distrito cargos circunscripción"/>
    <x v="281"/>
    <s v="100-C-3"/>
    <s v="#1774B9"/>
    <s v="990-0889"/>
    <n v="99200003"/>
    <s v="T-1021"/>
    <s v="C-994"/>
    <s v="FI-991"/>
    <s v="M-1072"/>
  </r>
  <r>
    <x v="889"/>
    <n v="990"/>
    <x v="0"/>
    <x v="6"/>
    <n v="4"/>
    <x v="53"/>
    <x v="24"/>
    <x v="1"/>
    <x v="4"/>
    <s v="Comuna"/>
    <s v="Cupos de elección popular por comuna"/>
    <n v="0"/>
    <s v="Número de cupos"/>
    <s v="Servicio Electoral (SERVEL)"/>
    <x v="889"/>
    <m/>
    <s v="Dashboard"/>
    <s v="Región de Coquimbo elecciones candidatos consejeros regionales senadores diputados alcaldes concejales municipal municipio comuna distrito cargos circunscripción"/>
    <x v="281"/>
    <s v="100-C-4"/>
    <s v="#1774B9"/>
    <s v="990-0890"/>
    <n v="99200004"/>
    <s v="T-1021"/>
    <s v="C-994"/>
    <s v="FI-991"/>
    <s v="M-1072"/>
  </r>
  <r>
    <x v="890"/>
    <n v="990"/>
    <x v="0"/>
    <x v="6"/>
    <n v="5"/>
    <x v="53"/>
    <x v="24"/>
    <x v="1"/>
    <x v="5"/>
    <s v="Comuna"/>
    <s v="Cupos de elección popular por comuna"/>
    <n v="0"/>
    <s v="Número de cupos"/>
    <s v="Servicio Electoral (SERVEL)"/>
    <x v="890"/>
    <m/>
    <s v="Dashboard"/>
    <s v="Región de Valparaíso elecciones candidatos consejeros regionales senadores diputados alcaldes concejales municipal municipio comuna distrito cargos circunscripción"/>
    <x v="281"/>
    <s v="100-C-5"/>
    <s v="#1774B9"/>
    <s v="990-0891"/>
    <n v="99200005"/>
    <s v="T-1021"/>
    <s v="C-994"/>
    <s v="FI-991"/>
    <s v="M-1072"/>
  </r>
  <r>
    <x v="891"/>
    <n v="990"/>
    <x v="0"/>
    <x v="6"/>
    <n v="6"/>
    <x v="53"/>
    <x v="24"/>
    <x v="1"/>
    <x v="6"/>
    <s v="Comuna"/>
    <s v="Cupos de elección popular por comuna"/>
    <n v="0"/>
    <s v="Número de cupos"/>
    <s v="Servicio Electoral (SERVEL)"/>
    <x v="891"/>
    <m/>
    <s v="Dashboard"/>
    <s v="Región de O'Higgins elecciones candidatos consejeros regionales senadores diputados alcaldes concejales municipal municipio comuna distrito cargos circunscripción"/>
    <x v="281"/>
    <s v="100-C-6"/>
    <s v="#1774B9"/>
    <s v="990-0892"/>
    <n v="99200006"/>
    <s v="T-1021"/>
    <s v="C-994"/>
    <s v="FI-991"/>
    <s v="M-1072"/>
  </r>
  <r>
    <x v="892"/>
    <n v="990"/>
    <x v="0"/>
    <x v="6"/>
    <n v="7"/>
    <x v="53"/>
    <x v="24"/>
    <x v="1"/>
    <x v="7"/>
    <s v="Comuna"/>
    <s v="Cupos de elección popular por comuna"/>
    <n v="0"/>
    <s v="Número de cupos"/>
    <s v="Servicio Electoral (SERVEL)"/>
    <x v="892"/>
    <m/>
    <s v="Dashboard"/>
    <s v="Región de Maule elecciones candidatos consejeros regionales senadores diputados alcaldes concejales municipal municipio comuna distrito cargos circunscripción"/>
    <x v="281"/>
    <s v="100-C-7"/>
    <s v="#1774B9"/>
    <s v="990-0893"/>
    <n v="99200007"/>
    <s v="T-1021"/>
    <s v="C-994"/>
    <s v="FI-991"/>
    <s v="M-1072"/>
  </r>
  <r>
    <x v="893"/>
    <n v="990"/>
    <x v="0"/>
    <x v="6"/>
    <n v="8"/>
    <x v="53"/>
    <x v="24"/>
    <x v="1"/>
    <x v="8"/>
    <s v="Comuna"/>
    <s v="Cupos de elección popular por comuna"/>
    <n v="0"/>
    <s v="Número de cupos"/>
    <s v="Servicio Electoral (SERVEL)"/>
    <x v="893"/>
    <m/>
    <s v="Dashboard"/>
    <s v="Región del Biobío elecciones candidatos consejeros regionales senadores diputados alcaldes concejales municipal municipio comuna distrito cargos circunscripción"/>
    <x v="558"/>
    <s v="100-C-8"/>
    <s v="#1774B9"/>
    <s v="990-0894"/>
    <n v="99200008"/>
    <s v="T-1021"/>
    <s v="C-994"/>
    <s v="FI-991"/>
    <s v="M-1072"/>
  </r>
  <r>
    <x v="894"/>
    <n v="990"/>
    <x v="0"/>
    <x v="6"/>
    <n v="9"/>
    <x v="53"/>
    <x v="24"/>
    <x v="1"/>
    <x v="9"/>
    <s v="Comuna"/>
    <s v="Cupos de elección popular por comuna"/>
    <n v="0"/>
    <s v="Número de cupos"/>
    <s v="Servicio Electoral (SERVEL)"/>
    <x v="894"/>
    <m/>
    <s v="Dashboard"/>
    <s v="Región de La Araucanía elecciones candidatos consejeros regionales senadores diputados alcaldes concejales municipal municipio comuna distrito cargos circunscripción"/>
    <x v="281"/>
    <s v="100-C-9"/>
    <s v="#1774B9"/>
    <s v="990-0895"/>
    <n v="99200009"/>
    <s v="T-1021"/>
    <s v="C-994"/>
    <s v="FI-991"/>
    <s v="M-1072"/>
  </r>
  <r>
    <x v="895"/>
    <n v="990"/>
    <x v="0"/>
    <x v="6"/>
    <n v="10"/>
    <x v="53"/>
    <x v="24"/>
    <x v="1"/>
    <x v="10"/>
    <s v="Comuna"/>
    <s v="Cupos de elección popular por comuna"/>
    <n v="0"/>
    <s v="Número de cupos"/>
    <s v="Servicio Electoral (SERVEL)"/>
    <x v="895"/>
    <m/>
    <s v="Dashboard"/>
    <s v="Región de Los Lagos elecciones candidatos consejeros regionales senadores diputados alcaldes concejales municipal municipio comuna distrito cargos circunscripción"/>
    <x v="281"/>
    <s v="100-C-10"/>
    <s v="#1774B9"/>
    <s v="990-0896"/>
    <n v="99200010"/>
    <s v="T-1021"/>
    <s v="C-994"/>
    <s v="FI-991"/>
    <s v="M-1072"/>
  </r>
  <r>
    <x v="896"/>
    <n v="990"/>
    <x v="0"/>
    <x v="6"/>
    <n v="11"/>
    <x v="53"/>
    <x v="24"/>
    <x v="1"/>
    <x v="11"/>
    <s v="Comuna"/>
    <s v="Cupos de elección popular por comuna"/>
    <n v="0"/>
    <s v="Número de cupos"/>
    <s v="Servicio Electoral (SERVEL)"/>
    <x v="896"/>
    <m/>
    <s v="Dashboard"/>
    <s v="Región de Aysén elecciones candidatos consejeros regionales senadores diputados alcaldes concejales municipal municipio comuna distrito cargos circunscripción"/>
    <x v="281"/>
    <s v="100-C-11"/>
    <s v="#1774B9"/>
    <s v="990-0897"/>
    <n v="99200011"/>
    <s v="T-1021"/>
    <s v="C-994"/>
    <s v="FI-991"/>
    <s v="M-1072"/>
  </r>
  <r>
    <x v="897"/>
    <n v="990"/>
    <x v="0"/>
    <x v="6"/>
    <n v="12"/>
    <x v="53"/>
    <x v="24"/>
    <x v="1"/>
    <x v="12"/>
    <s v="Comuna"/>
    <s v="Cupos de elección popular por comuna"/>
    <n v="0"/>
    <s v="Número de cupos"/>
    <s v="Servicio Electoral (SERVEL)"/>
    <x v="897"/>
    <m/>
    <s v="Dashboard"/>
    <s v="Región de Magallanes elecciones candidatos consejeros regionales senadores diputados alcaldes concejales municipal municipio comuna distrito cargos circunscripción"/>
    <x v="281"/>
    <s v="100-C-12"/>
    <s v="#1774B9"/>
    <s v="990-0898"/>
    <n v="99200012"/>
    <s v="T-1021"/>
    <s v="C-994"/>
    <s v="FI-991"/>
    <s v="M-1072"/>
  </r>
  <r>
    <x v="898"/>
    <n v="990"/>
    <x v="0"/>
    <x v="6"/>
    <n v="13"/>
    <x v="53"/>
    <x v="24"/>
    <x v="1"/>
    <x v="13"/>
    <s v="Comuna"/>
    <s v="Cupos de elección popular por comuna"/>
    <n v="0"/>
    <s v="Número de cupos"/>
    <s v="Servicio Electoral (SERVEL)"/>
    <x v="898"/>
    <m/>
    <s v="Dashboard"/>
    <s v="Región Metropolitana elecciones candidatos consejeros regionales senadores diputados alcaldes concejales municipal municipio comuna distrito cargos circunscripción"/>
    <x v="281"/>
    <s v="200-C-13"/>
    <s v="#1774B9"/>
    <s v="990-0899"/>
    <n v="99200013"/>
    <s v="T-1021"/>
    <s v="C-994"/>
    <s v="FI-991"/>
    <s v="M-1072"/>
  </r>
  <r>
    <x v="899"/>
    <n v="990"/>
    <x v="0"/>
    <x v="6"/>
    <n v="14"/>
    <x v="53"/>
    <x v="24"/>
    <x v="1"/>
    <x v="14"/>
    <s v="Comuna"/>
    <s v="Cupos de elección popular por comuna"/>
    <n v="0"/>
    <s v="Número de cupos"/>
    <s v="Servicio Electoral (SERVEL)"/>
    <x v="899"/>
    <m/>
    <s v="Dashboard"/>
    <s v="Región de Los Ríos elecciones candidatos consejeros regionales senadores diputados alcaldes concejales municipal municipio comuna distrito cargos circunscripción"/>
    <x v="281"/>
    <s v="100-C-14"/>
    <s v="#1774B9"/>
    <s v="990-0900"/>
    <n v="99200014"/>
    <s v="T-1021"/>
    <s v="C-994"/>
    <s v="FI-991"/>
    <s v="M-1072"/>
  </r>
  <r>
    <x v="900"/>
    <n v="990"/>
    <x v="0"/>
    <x v="6"/>
    <n v="15"/>
    <x v="53"/>
    <x v="24"/>
    <x v="1"/>
    <x v="15"/>
    <s v="Comuna"/>
    <s v="Cupos de elección popular por comuna"/>
    <n v="0"/>
    <s v="Número de cupos"/>
    <s v="Servicio Electoral (SERVEL)"/>
    <x v="900"/>
    <m/>
    <s v="Dashboard"/>
    <s v="Región de Arica y Parinacota elecciones candidatos consejeros regionales senadores diputados alcaldes concejales municipal municipio comuna distrito cargos circunscripción"/>
    <x v="281"/>
    <s v="100-C-15"/>
    <s v="#1774B9"/>
    <s v="990-0901"/>
    <n v="99200015"/>
    <s v="T-1021"/>
    <s v="C-994"/>
    <s v="FI-991"/>
    <s v="M-1072"/>
  </r>
  <r>
    <x v="901"/>
    <n v="990"/>
    <x v="0"/>
    <x v="6"/>
    <n v="16"/>
    <x v="53"/>
    <x v="24"/>
    <x v="1"/>
    <x v="16"/>
    <s v="Comuna"/>
    <s v="Cupos de elección popular por comuna"/>
    <n v="0"/>
    <s v="Número de cupos"/>
    <s v="Servicio Electoral (SERVEL)"/>
    <x v="901"/>
    <m/>
    <s v="Dashboard"/>
    <s v="Región de Ñuble elecciones candidatos consejeros regionales senadores diputados alcaldes concejales municipal municipio comuna distrito cargos circunscripción"/>
    <x v="281"/>
    <s v="100-C-16"/>
    <s v="#1774B9"/>
    <s v="990-0902"/>
    <n v="99200016"/>
    <s v="T-1021"/>
    <s v="C-994"/>
    <s v="FI-991"/>
    <s v="M-1072"/>
  </r>
  <r>
    <x v="902"/>
    <n v="990"/>
    <x v="0"/>
    <x v="10"/>
    <n v="0"/>
    <x v="54"/>
    <x v="11"/>
    <x v="0"/>
    <x v="0"/>
    <s v="Región-Comuna"/>
    <s v="Cantidad de empresas vigentes por comuna"/>
    <s v="Periodo 1993-2019"/>
    <s v="Número de empresas"/>
    <s v="Servicio de Impuestos Internos (SII)"/>
    <x v="902"/>
    <m/>
    <s v="Gráfico de Evolución"/>
    <s v="Chile evolución anual cantidad número empresas tipo contribuyente SII regional activas año tributario fiscal inicio actividades"/>
    <x v="561"/>
    <s v="300-C"/>
    <s v="#1774B9"/>
    <s v="990-0903"/>
    <n v="99100000"/>
    <s v="T-1022"/>
    <s v="C-993"/>
    <s v="FI-995"/>
    <s v="M-1073"/>
  </r>
  <r>
    <x v="903"/>
    <n v="990"/>
    <x v="0"/>
    <x v="10"/>
    <n v="1"/>
    <x v="54"/>
    <x v="11"/>
    <x v="1"/>
    <x v="1"/>
    <s v="Comuna"/>
    <s v="Cupos de elección popular por comuna"/>
    <s v="Periodo 1993-2019"/>
    <s v="Número de empresas"/>
    <s v="Servicio de Impuestos Internos (SII)"/>
    <x v="903"/>
    <m/>
    <s v="Gráfico de Evolución"/>
    <s v="Región de Tarapacá evolución anual cantidad número empresas tipo contribuyente SII regional activas año tributario fiscal inicio actividades"/>
    <x v="562"/>
    <s v="100-C-1"/>
    <s v="#1774B9"/>
    <s v="990-0904"/>
    <n v="99200001"/>
    <s v="T-1022"/>
    <s v="C-993"/>
    <s v="FI-991"/>
    <s v="M-1072"/>
  </r>
  <r>
    <x v="904"/>
    <n v="990"/>
    <x v="0"/>
    <x v="10"/>
    <n v="2"/>
    <x v="54"/>
    <x v="11"/>
    <x v="1"/>
    <x v="2"/>
    <s v="Comuna"/>
    <s v="Cupos de elección popular por comuna"/>
    <s v="Periodo 1993-2019"/>
    <s v="Número de empresas"/>
    <s v="Servicio de Impuestos Internos (SII)"/>
    <x v="904"/>
    <s v="El año 1993 fue el primer año en que se registró la información de empresas por tipo de contribuyente, incluyendo en este año, las empresas creadas con anterioridad. A partir del año 1994 comienza el registro individual anual. En este contexto, en la Región de Antofagasta, las empresas cuyo contribuyente se clasifica como &quot;Persona Jurídica Comercial&quot;, aumentaron exponencialmente hasta el año 2018, alcanzando las 2.555 empresas."/>
    <s v="Gráfico de Evolución"/>
    <s v="Región de Antofagasta evolución anual cantidad número empresas tipo contribuyente SII regional activas año tributario fiscal inicio actividades"/>
    <x v="563"/>
    <s v="100-C-2"/>
    <s v="#1774B9"/>
    <s v="990-0905"/>
    <n v="99200002"/>
    <s v="T-1022"/>
    <s v="C-993"/>
    <s v="FI-991"/>
    <s v="M-1072"/>
  </r>
  <r>
    <x v="905"/>
    <n v="990"/>
    <x v="0"/>
    <x v="10"/>
    <n v="3"/>
    <x v="54"/>
    <x v="11"/>
    <x v="1"/>
    <x v="3"/>
    <s v="Comuna"/>
    <s v="Cupos de elección popular por comuna"/>
    <s v="Periodo 1993-2019"/>
    <s v="Número de empresas"/>
    <s v="Servicio de Impuestos Internos (SII)"/>
    <x v="905"/>
    <m/>
    <s v="Gráfico de Evolución"/>
    <s v="Región de Atacama evolución anual cantidad número empresas tipo contribuyente SII regional activas año tributario fiscal inicio actividades"/>
    <x v="564"/>
    <s v="100-C-3"/>
    <s v="#1774B9"/>
    <s v="990-0906"/>
    <n v="99200003"/>
    <s v="T-1022"/>
    <s v="C-993"/>
    <s v="FI-991"/>
    <s v="M-1072"/>
  </r>
  <r>
    <x v="906"/>
    <n v="990"/>
    <x v="0"/>
    <x v="10"/>
    <n v="4"/>
    <x v="54"/>
    <x v="11"/>
    <x v="1"/>
    <x v="4"/>
    <s v="Comuna"/>
    <s v="Cupos de elección popular por comuna"/>
    <s v="Periodo 1993-2019"/>
    <s v="Número de empresas"/>
    <s v="Servicio de Impuestos Internos (SII)"/>
    <x v="906"/>
    <m/>
    <s v="Gráfico de Evolución"/>
    <s v="Región de Coquimbo evolución anual cantidad número empresas tipo contribuyente SII regional activas año tributario fiscal inicio actividades"/>
    <x v="565"/>
    <s v="100-C-4"/>
    <s v="#1774B9"/>
    <s v="990-0907"/>
    <n v="99200004"/>
    <s v="T-1022"/>
    <s v="C-993"/>
    <s v="FI-991"/>
    <s v="M-1072"/>
  </r>
  <r>
    <x v="907"/>
    <n v="990"/>
    <x v="0"/>
    <x v="10"/>
    <n v="5"/>
    <x v="54"/>
    <x v="11"/>
    <x v="1"/>
    <x v="5"/>
    <s v="Comuna"/>
    <s v="Cupos de elección popular por comuna"/>
    <s v="Periodo 1993-2019"/>
    <s v="Número de empresas"/>
    <s v="Servicio de Impuestos Internos (SII)"/>
    <x v="907"/>
    <m/>
    <s v="Gráfico de Evolución"/>
    <s v="Región de Valparaíso evolución anual cantidad número empresas tipo contribuyente SII regional activas año tributario fiscal inicio actividades"/>
    <x v="566"/>
    <s v="100-C-5"/>
    <s v="#1774B9"/>
    <s v="990-0908"/>
    <n v="99200005"/>
    <s v="T-1022"/>
    <s v="C-993"/>
    <s v="FI-991"/>
    <s v="M-1072"/>
  </r>
  <r>
    <x v="908"/>
    <n v="990"/>
    <x v="0"/>
    <x v="10"/>
    <n v="6"/>
    <x v="54"/>
    <x v="11"/>
    <x v="1"/>
    <x v="6"/>
    <s v="Comuna"/>
    <s v="Cupos de elección popular por comuna"/>
    <s v="Periodo 1993-2019"/>
    <s v="Número de empresas"/>
    <s v="Servicio de Impuestos Internos (SII)"/>
    <x v="908"/>
    <m/>
    <s v="Gráfico de Evolución"/>
    <s v="Región de O'Higgins evolución anual cantidad número empresas tipo contribuyente SII regional activas año tributario fiscal inicio actividades"/>
    <x v="567"/>
    <s v="100-C-6"/>
    <s v="#1774B9"/>
    <s v="990-0909"/>
    <n v="99200006"/>
    <s v="T-1022"/>
    <s v="C-993"/>
    <s v="FI-991"/>
    <s v="M-1072"/>
  </r>
  <r>
    <x v="909"/>
    <n v="990"/>
    <x v="0"/>
    <x v="10"/>
    <n v="7"/>
    <x v="54"/>
    <x v="11"/>
    <x v="1"/>
    <x v="7"/>
    <s v="Comuna"/>
    <s v="Cupos de elección popular por comuna"/>
    <s v="Periodo 1993-2019"/>
    <s v="Número de empresas"/>
    <s v="Servicio de Impuestos Internos (SII)"/>
    <x v="909"/>
    <m/>
    <s v="Gráfico de Evolución"/>
    <s v="Región de Maule evolución anual cantidad número empresas tipo contribuyente SII regional activas año tributario fiscal inicio actividades"/>
    <x v="568"/>
    <s v="100-C-7"/>
    <s v="#1774B9"/>
    <s v="990-0910"/>
    <n v="99200007"/>
    <s v="T-1022"/>
    <s v="C-993"/>
    <s v="FI-991"/>
    <s v="M-1072"/>
  </r>
  <r>
    <x v="910"/>
    <n v="990"/>
    <x v="0"/>
    <x v="10"/>
    <n v="8"/>
    <x v="54"/>
    <x v="11"/>
    <x v="1"/>
    <x v="8"/>
    <s v="Comuna"/>
    <s v="Cupos de elección popular por comuna"/>
    <s v="Periodo 1993-2019"/>
    <s v="Número de empresas"/>
    <s v="Servicio de Impuestos Internos (SII)"/>
    <x v="910"/>
    <m/>
    <s v="Gráfico de Evolución"/>
    <s v="Región del Biobío evolución anual cantidad número empresas tipo contribuyente SII regional activas año tributario fiscal inicio actividades"/>
    <x v="569"/>
    <s v="100-C-8"/>
    <s v="#1774B9"/>
    <s v="990-0911"/>
    <n v="99200008"/>
    <s v="T-1022"/>
    <s v="C-993"/>
    <s v="FI-991"/>
    <s v="M-1072"/>
  </r>
  <r>
    <x v="911"/>
    <n v="990"/>
    <x v="0"/>
    <x v="10"/>
    <n v="9"/>
    <x v="54"/>
    <x v="11"/>
    <x v="1"/>
    <x v="9"/>
    <s v="Comuna"/>
    <s v="Cupos de elección popular por comuna"/>
    <s v="Periodo 1993-2019"/>
    <s v="Número de empresas"/>
    <s v="Servicio de Impuestos Internos (SII)"/>
    <x v="911"/>
    <m/>
    <s v="Gráfico de Evolución"/>
    <s v="Región de La Araucanía evolución anual cantidad número empresas tipo contribuyente SII regional activas año tributario fiscal inicio actividades"/>
    <x v="570"/>
    <s v="100-C-9"/>
    <s v="#1774B9"/>
    <s v="990-0912"/>
    <n v="99200009"/>
    <s v="T-1022"/>
    <s v="C-993"/>
    <s v="FI-991"/>
    <s v="M-1072"/>
  </r>
  <r>
    <x v="912"/>
    <n v="990"/>
    <x v="0"/>
    <x v="10"/>
    <n v="10"/>
    <x v="54"/>
    <x v="11"/>
    <x v="1"/>
    <x v="10"/>
    <s v="Comuna"/>
    <s v="Cupos de elección popular por comuna"/>
    <s v="Periodo 1993-2019"/>
    <s v="Número de empresas"/>
    <s v="Servicio de Impuestos Internos (SII)"/>
    <x v="912"/>
    <m/>
    <s v="Gráfico de Evolución"/>
    <s v="Región de Los Lagos evolución anual cantidad número empresas tipo contribuyente SII regional activas año tributario fiscal inicio actividades"/>
    <x v="571"/>
    <s v="100-C-10"/>
    <s v="#1774B9"/>
    <s v="990-0913"/>
    <n v="99200010"/>
    <s v="T-1022"/>
    <s v="C-993"/>
    <s v="FI-991"/>
    <s v="M-1072"/>
  </r>
  <r>
    <x v="913"/>
    <n v="990"/>
    <x v="0"/>
    <x v="10"/>
    <n v="11"/>
    <x v="54"/>
    <x v="11"/>
    <x v="1"/>
    <x v="11"/>
    <s v="Comuna"/>
    <s v="Cupos de elección popular por comuna"/>
    <s v="Periodo 1993-2019"/>
    <s v="Número de empresas"/>
    <s v="Servicio de Impuestos Internos (SII)"/>
    <x v="913"/>
    <m/>
    <s v="Gráfico de Evolución"/>
    <s v="Región de Aysén evolución anual cantidad número empresas tipo contribuyente SII regional activas año tributario fiscal inicio actividades"/>
    <x v="572"/>
    <s v="100-C-11"/>
    <s v="#1774B9"/>
    <s v="990-0914"/>
    <n v="99200011"/>
    <s v="T-1022"/>
    <s v="C-993"/>
    <s v="FI-991"/>
    <s v="M-1072"/>
  </r>
  <r>
    <x v="914"/>
    <n v="990"/>
    <x v="0"/>
    <x v="10"/>
    <n v="12"/>
    <x v="54"/>
    <x v="11"/>
    <x v="1"/>
    <x v="12"/>
    <s v="Comuna"/>
    <s v="Cupos de elección popular por comuna"/>
    <s v="Periodo 1993-2019"/>
    <s v="Número de empresas"/>
    <s v="Servicio de Impuestos Internos (SII)"/>
    <x v="914"/>
    <m/>
    <s v="Gráfico de Evolución"/>
    <s v="Región de Magallanes evolución anual cantidad número empresas tipo contribuyente SII regional activas año tributario fiscal inicio actividades"/>
    <x v="573"/>
    <s v="100-C-12"/>
    <s v="#1774B9"/>
    <s v="990-0915"/>
    <n v="99200012"/>
    <s v="T-1022"/>
    <s v="C-993"/>
    <s v="FI-991"/>
    <s v="M-1072"/>
  </r>
  <r>
    <x v="915"/>
    <n v="990"/>
    <x v="0"/>
    <x v="10"/>
    <n v="13"/>
    <x v="54"/>
    <x v="11"/>
    <x v="1"/>
    <x v="13"/>
    <s v="Comuna"/>
    <s v="Cupos de elección popular por comuna"/>
    <s v="Periodo 1993-2019"/>
    <s v="Número de empresas"/>
    <s v="Servicio de Impuestos Internos (SII)"/>
    <x v="915"/>
    <m/>
    <s v="Gráfico de Evolución"/>
    <s v="Región Metropolitana evolución anual cantidad número empresas tipo contribuyente SII regional activas año tributario fiscal inicio actividades"/>
    <x v="574"/>
    <s v="200-C-13"/>
    <s v="#1774B9"/>
    <s v="990-0916"/>
    <n v="99200013"/>
    <s v="T-1022"/>
    <s v="C-993"/>
    <s v="FI-991"/>
    <s v="M-1072"/>
  </r>
  <r>
    <x v="916"/>
    <n v="990"/>
    <x v="0"/>
    <x v="10"/>
    <n v="14"/>
    <x v="54"/>
    <x v="11"/>
    <x v="1"/>
    <x v="14"/>
    <s v="Comuna"/>
    <s v="Cupos de elección popular por comuna"/>
    <s v="Periodo 1993-2019"/>
    <s v="Número de empresas"/>
    <s v="Servicio de Impuestos Internos (SII)"/>
    <x v="916"/>
    <m/>
    <s v="Gráfico de Evolución"/>
    <s v="Región de Los Ríos evolución anual cantidad número empresas tipo contribuyente SII regional activas año tributario fiscal inicio actividades"/>
    <x v="575"/>
    <s v="100-C-14"/>
    <s v="#1774B9"/>
    <s v="990-0917"/>
    <n v="99200014"/>
    <s v="T-1022"/>
    <s v="C-993"/>
    <s v="FI-991"/>
    <s v="M-1072"/>
  </r>
  <r>
    <x v="917"/>
    <n v="990"/>
    <x v="0"/>
    <x v="10"/>
    <n v="15"/>
    <x v="54"/>
    <x v="11"/>
    <x v="1"/>
    <x v="15"/>
    <s v="Comuna"/>
    <s v="Cupos de elección popular por comuna"/>
    <s v="Periodo 1993-2019"/>
    <s v="Número de empresas"/>
    <s v="Servicio de Impuestos Internos (SII)"/>
    <x v="917"/>
    <m/>
    <s v="Gráfico de Evolución"/>
    <s v="Región de Arica y Parinacota evolución anual cantidad número empresas tipo contribuyente SII regional activas año tributario fiscal inicio actividades"/>
    <x v="576"/>
    <s v="100-C-15"/>
    <s v="#1774B9"/>
    <s v="990-0918"/>
    <n v="99200015"/>
    <s v="T-1022"/>
    <s v="C-993"/>
    <s v="FI-991"/>
    <s v="M-1072"/>
  </r>
  <r>
    <x v="918"/>
    <n v="990"/>
    <x v="0"/>
    <x v="10"/>
    <n v="16"/>
    <x v="54"/>
    <x v="11"/>
    <x v="1"/>
    <x v="16"/>
    <s v="Comuna"/>
    <s v="Cupos de elección popular por comuna"/>
    <s v="Periodo 1993-2019"/>
    <s v="Número de empresas"/>
    <s v="Servicio de Impuestos Internos (SII)"/>
    <x v="918"/>
    <m/>
    <s v="Gráfico de Evolución"/>
    <s v="Región de Ñuble evolución anual cantidad número empresas tipo contribuyente SII regional activas año tributario fiscal inicio actividades"/>
    <x v="577"/>
    <s v="100-C-16"/>
    <s v="#1774B9"/>
    <s v="990-0919"/>
    <n v="99200016"/>
    <s v="T-1022"/>
    <s v="C-993"/>
    <s v="FI-991"/>
    <s v="M-1072"/>
  </r>
  <r>
    <x v="919"/>
    <n v="990"/>
    <x v="0"/>
    <x v="10"/>
    <n v="0"/>
    <x v="55"/>
    <x v="11"/>
    <x v="0"/>
    <x v="0"/>
    <s v="Región-Comuna"/>
    <s v="Cantidad de trabajadores por comuna"/>
    <s v="Periodo 1993-2019"/>
    <s v="Número de trabajadores"/>
    <s v="Servicio de Impuestos Internos (SII)"/>
    <x v="919"/>
    <s v="PENDIENTE"/>
    <s v="Gráfico de Evolución"/>
    <s v="Chile evolución anual trabajadores tipo contribuyente empresas activas vigente SII año tributario fiscal"/>
    <x v="578"/>
    <s v="300-C"/>
    <s v="#1774B9"/>
    <s v="990-0920"/>
    <n v="99100000"/>
    <s v="T-1023"/>
    <s v="C-993"/>
    <s v="FI-995"/>
    <s v="M-1074"/>
  </r>
  <r>
    <x v="920"/>
    <n v="990"/>
    <x v="0"/>
    <x v="10"/>
    <n v="1"/>
    <x v="55"/>
    <x v="11"/>
    <x v="1"/>
    <x v="1"/>
    <s v="Comuna"/>
    <s v="Cantidad de trabajadores por comuna"/>
    <s v="Periodo 1993-2019"/>
    <s v="Número de trabajadores"/>
    <s v="Servicio de Impuestos Internos (SII)"/>
    <x v="920"/>
    <m/>
    <s v="Gráfico de Evolución"/>
    <s v="Región de Tarapacá evolución anual trabajadores tipo contribuyente empresas activas vigente SII año tributario fiscal"/>
    <x v="579"/>
    <s v="100-C-1"/>
    <s v="#1774B9"/>
    <s v="990-0921"/>
    <n v="99200001"/>
    <s v="T-1023"/>
    <s v="C-993"/>
    <s v="FI-991"/>
    <s v="M-1074"/>
  </r>
  <r>
    <x v="921"/>
    <n v="990"/>
    <x v="0"/>
    <x v="10"/>
    <n v="2"/>
    <x v="55"/>
    <x v="11"/>
    <x v="1"/>
    <x v="2"/>
    <s v="Comuna"/>
    <s v="Cantidad de trabajadores por comuna"/>
    <s v="Periodo 1993-2019"/>
    <s v="Número de trabajadores"/>
    <s v="Servicio de Impuestos Internos (SII)"/>
    <x v="921"/>
    <m/>
    <s v="Gráfico de Evolución"/>
    <s v="Región de Antofagasta evolución anual trabajadores tipo contribuyente empresas activas vigente SII año tributario fiscal"/>
    <x v="580"/>
    <s v="100-C-2"/>
    <s v="#1774B9"/>
    <s v="990-0922"/>
    <n v="99200002"/>
    <s v="T-1023"/>
    <s v="C-993"/>
    <s v="FI-991"/>
    <s v="M-1074"/>
  </r>
  <r>
    <x v="922"/>
    <n v="990"/>
    <x v="0"/>
    <x v="10"/>
    <n v="3"/>
    <x v="55"/>
    <x v="11"/>
    <x v="1"/>
    <x v="3"/>
    <s v="Comuna"/>
    <s v="Cantidad de trabajadores por comuna"/>
    <s v="Periodo 1993-2019"/>
    <s v="Número de trabajadores"/>
    <s v="Servicio de Impuestos Internos (SII)"/>
    <x v="922"/>
    <m/>
    <s v="Gráfico de Evolución"/>
    <s v="Región de Atacama evolución anual trabajadores tipo contribuyente empresas activas vigente SII año tributario fiscal"/>
    <x v="581"/>
    <s v="100-C-3"/>
    <s v="#1774B9"/>
    <s v="990-0923"/>
    <n v="99200003"/>
    <s v="T-1023"/>
    <s v="C-993"/>
    <s v="FI-991"/>
    <s v="M-1074"/>
  </r>
  <r>
    <x v="923"/>
    <n v="990"/>
    <x v="0"/>
    <x v="10"/>
    <n v="4"/>
    <x v="55"/>
    <x v="11"/>
    <x v="1"/>
    <x v="4"/>
    <s v="Comuna"/>
    <s v="Cantidad de trabajadores por comuna"/>
    <s v="Periodo 1993-2019"/>
    <s v="Número de trabajadores"/>
    <s v="Servicio de Impuestos Internos (SII)"/>
    <x v="923"/>
    <m/>
    <s v="Gráfico de Evolución"/>
    <s v="Región de Coquimbo evolución anual trabajadores tipo contribuyente empresas activas vigente SII año tributario fiscal"/>
    <x v="582"/>
    <s v="100-C-4"/>
    <s v="#1774B9"/>
    <s v="990-0924"/>
    <n v="99200004"/>
    <s v="T-1023"/>
    <s v="C-993"/>
    <s v="FI-991"/>
    <s v="M-1074"/>
  </r>
  <r>
    <x v="924"/>
    <n v="990"/>
    <x v="0"/>
    <x v="10"/>
    <n v="5"/>
    <x v="55"/>
    <x v="11"/>
    <x v="1"/>
    <x v="5"/>
    <s v="Comuna"/>
    <s v="Cantidad de trabajadores por comuna"/>
    <s v="Periodo 1993-2019"/>
    <s v="Número de trabajadores"/>
    <s v="Servicio de Impuestos Internos (SII)"/>
    <x v="924"/>
    <m/>
    <s v="Gráfico de Evolución"/>
    <s v="Región de Valparaíso evolución anual trabajadores tipo contribuyente empresas activas vigente SII año tributario fiscal"/>
    <x v="583"/>
    <s v="100-C-5"/>
    <s v="#1774B9"/>
    <s v="990-0925"/>
    <n v="99200005"/>
    <s v="T-1023"/>
    <s v="C-993"/>
    <s v="FI-991"/>
    <s v="M-1074"/>
  </r>
  <r>
    <x v="925"/>
    <n v="990"/>
    <x v="0"/>
    <x v="10"/>
    <n v="6"/>
    <x v="55"/>
    <x v="11"/>
    <x v="1"/>
    <x v="6"/>
    <s v="Comuna"/>
    <s v="Cantidad de trabajadores por comuna"/>
    <s v="Periodo 1993-2019"/>
    <s v="Número de trabajadores"/>
    <s v="Servicio de Impuestos Internos (SII)"/>
    <x v="925"/>
    <m/>
    <s v="Gráfico de Evolución"/>
    <s v="Región de O'Higgins evolución anual trabajadores tipo contribuyente empresas activas vigente SII año tributario fiscal"/>
    <x v="584"/>
    <s v="100-C-6"/>
    <s v="#1774B9"/>
    <s v="990-0926"/>
    <n v="99200006"/>
    <s v="T-1023"/>
    <s v="C-993"/>
    <s v="FI-991"/>
    <s v="M-1074"/>
  </r>
  <r>
    <x v="926"/>
    <n v="990"/>
    <x v="0"/>
    <x v="10"/>
    <n v="7"/>
    <x v="55"/>
    <x v="11"/>
    <x v="1"/>
    <x v="7"/>
    <s v="Comuna"/>
    <s v="Cantidad de trabajadores por comuna"/>
    <s v="Periodo 1993-2019"/>
    <s v="Número de trabajadores"/>
    <s v="Servicio de Impuestos Internos (SII)"/>
    <x v="926"/>
    <m/>
    <s v="Gráfico de Evolución"/>
    <s v="Región de Maule evolución anual trabajadores tipo contribuyente empresas activas vigente SII año tributario fiscal"/>
    <x v="585"/>
    <s v="100-C-7"/>
    <s v="#1774B9"/>
    <s v="990-0927"/>
    <n v="99200007"/>
    <s v="T-1023"/>
    <s v="C-993"/>
    <s v="FI-991"/>
    <s v="M-1074"/>
  </r>
  <r>
    <x v="927"/>
    <n v="990"/>
    <x v="0"/>
    <x v="10"/>
    <n v="8"/>
    <x v="55"/>
    <x v="11"/>
    <x v="1"/>
    <x v="8"/>
    <s v="Comuna"/>
    <s v="Cantidad de trabajadores por comuna"/>
    <s v="Periodo 1993-2019"/>
    <s v="Número de trabajadores"/>
    <s v="Servicio de Impuestos Internos (SII)"/>
    <x v="927"/>
    <m/>
    <s v="Gráfico de Evolución"/>
    <s v="Región del Biobío evolución anual trabajadores tipo contribuyente empresas activas vigente SII año tributario fiscal"/>
    <x v="586"/>
    <s v="100-C-8"/>
    <s v="#1774B9"/>
    <s v="990-0928"/>
    <n v="99200008"/>
    <s v="T-1023"/>
    <s v="C-993"/>
    <s v="FI-991"/>
    <s v="M-1074"/>
  </r>
  <r>
    <x v="928"/>
    <n v="990"/>
    <x v="0"/>
    <x v="10"/>
    <n v="9"/>
    <x v="55"/>
    <x v="11"/>
    <x v="1"/>
    <x v="9"/>
    <s v="Comuna"/>
    <s v="Cantidad de trabajadores por comuna"/>
    <s v="Periodo 1993-2019"/>
    <s v="Número de trabajadores"/>
    <s v="Servicio de Impuestos Internos (SII)"/>
    <x v="928"/>
    <m/>
    <s v="Gráfico de Evolución"/>
    <s v="Región de La Araucanía evolución anual trabajadores tipo contribuyente empresas activas vigente SII año tributario fiscal"/>
    <x v="587"/>
    <s v="100-C-9"/>
    <s v="#1774B9"/>
    <s v="990-0929"/>
    <n v="99200009"/>
    <s v="T-1023"/>
    <s v="C-993"/>
    <s v="FI-991"/>
    <s v="M-1074"/>
  </r>
  <r>
    <x v="929"/>
    <n v="990"/>
    <x v="0"/>
    <x v="10"/>
    <n v="10"/>
    <x v="55"/>
    <x v="11"/>
    <x v="1"/>
    <x v="10"/>
    <s v="Comuna"/>
    <s v="Cantidad de trabajadores por comuna"/>
    <s v="Periodo 1993-2019"/>
    <s v="Número de trabajadores"/>
    <s v="Servicio de Impuestos Internos (SII)"/>
    <x v="929"/>
    <m/>
    <s v="Gráfico de Evolución"/>
    <s v="Región de Los Lagos evolución anual trabajadores tipo contribuyente empresas activas vigente SII año tributario fiscal"/>
    <x v="588"/>
    <s v="100-C-10"/>
    <s v="#1774B9"/>
    <s v="990-0930"/>
    <n v="99200010"/>
    <s v="T-1023"/>
    <s v="C-993"/>
    <s v="FI-991"/>
    <s v="M-1074"/>
  </r>
  <r>
    <x v="930"/>
    <n v="990"/>
    <x v="0"/>
    <x v="10"/>
    <n v="11"/>
    <x v="55"/>
    <x v="11"/>
    <x v="1"/>
    <x v="11"/>
    <s v="Comuna"/>
    <s v="Cantidad de trabajadores por comuna"/>
    <s v="Periodo 1993-2019"/>
    <s v="Número de trabajadores"/>
    <s v="Servicio de Impuestos Internos (SII)"/>
    <x v="930"/>
    <m/>
    <s v="Gráfico de Evolución"/>
    <s v="Región de Aysén evolución anual trabajadores tipo contribuyente empresas activas vigente SII año tributario fiscal"/>
    <x v="589"/>
    <s v="100-C-11"/>
    <s v="#1774B9"/>
    <s v="990-0931"/>
    <n v="99200011"/>
    <s v="T-1023"/>
    <s v="C-993"/>
    <s v="FI-991"/>
    <s v="M-1074"/>
  </r>
  <r>
    <x v="931"/>
    <n v="990"/>
    <x v="0"/>
    <x v="10"/>
    <n v="12"/>
    <x v="55"/>
    <x v="11"/>
    <x v="1"/>
    <x v="12"/>
    <s v="Comuna"/>
    <s v="Cantidad de trabajadores por comuna"/>
    <s v="Periodo 1993-2019"/>
    <s v="Número de trabajadores"/>
    <s v="Servicio de Impuestos Internos (SII)"/>
    <x v="931"/>
    <m/>
    <s v="Gráfico de Evolución"/>
    <s v="Región de Magallanes evolución anual trabajadores tipo contribuyente empresas activas vigente SII año tributario fiscal"/>
    <x v="590"/>
    <s v="100-C-12"/>
    <s v="#1774B9"/>
    <s v="990-0932"/>
    <n v="99200012"/>
    <s v="T-1023"/>
    <s v="C-993"/>
    <s v="FI-991"/>
    <s v="M-1074"/>
  </r>
  <r>
    <x v="932"/>
    <n v="990"/>
    <x v="0"/>
    <x v="10"/>
    <n v="13"/>
    <x v="55"/>
    <x v="11"/>
    <x v="1"/>
    <x v="13"/>
    <s v="Comuna"/>
    <s v="Cantidad de trabajadores por comuna"/>
    <s v="Periodo 1993-2019"/>
    <s v="Número de trabajadores"/>
    <s v="Servicio de Impuestos Internos (SII)"/>
    <x v="932"/>
    <m/>
    <s v="Gráfico de Evolución"/>
    <s v="Región Metropolitana evolución anual trabajadores tipo contribuyente empresas activas vigente SII año tributario fiscal"/>
    <x v="591"/>
    <s v="200-C-13"/>
    <s v="#1774B9"/>
    <s v="990-0933"/>
    <n v="99200013"/>
    <s v="T-1023"/>
    <s v="C-993"/>
    <s v="FI-991"/>
    <s v="M-1074"/>
  </r>
  <r>
    <x v="933"/>
    <n v="990"/>
    <x v="0"/>
    <x v="10"/>
    <n v="14"/>
    <x v="55"/>
    <x v="11"/>
    <x v="1"/>
    <x v="14"/>
    <s v="Comuna"/>
    <s v="Cantidad de trabajadores por comuna"/>
    <s v="Periodo 1993-2019"/>
    <s v="Número de trabajadores"/>
    <s v="Servicio de Impuestos Internos (SII)"/>
    <x v="933"/>
    <m/>
    <s v="Gráfico de Evolución"/>
    <s v="Región de Los Ríos evolución anual trabajadores tipo contribuyente empresas activas vigente SII año tributario fiscal"/>
    <x v="592"/>
    <s v="100-C-14"/>
    <s v="#1774B9"/>
    <s v="990-0934"/>
    <n v="99200014"/>
    <s v="T-1023"/>
    <s v="C-993"/>
    <s v="FI-991"/>
    <s v="M-1074"/>
  </r>
  <r>
    <x v="934"/>
    <n v="990"/>
    <x v="0"/>
    <x v="10"/>
    <n v="15"/>
    <x v="55"/>
    <x v="11"/>
    <x v="1"/>
    <x v="15"/>
    <s v="Comuna"/>
    <s v="Cantidad de trabajadores por comuna"/>
    <s v="Periodo 1993-2019"/>
    <s v="Número de trabajadores"/>
    <s v="Servicio de Impuestos Internos (SII)"/>
    <x v="934"/>
    <m/>
    <s v="Gráfico de Evolución"/>
    <s v="Región de Arica y Parinacota evolución anual trabajadores tipo contribuyente empresas activas vigente SII año tributario fiscal"/>
    <x v="593"/>
    <s v="100-C-15"/>
    <s v="#1774B9"/>
    <s v="990-0935"/>
    <n v="99200015"/>
    <s v="T-1023"/>
    <s v="C-993"/>
    <s v="FI-991"/>
    <s v="M-1074"/>
  </r>
  <r>
    <x v="935"/>
    <n v="990"/>
    <x v="0"/>
    <x v="10"/>
    <n v="16"/>
    <x v="55"/>
    <x v="11"/>
    <x v="1"/>
    <x v="16"/>
    <s v="Comuna"/>
    <s v="Cantidad de trabajadores por comuna"/>
    <s v="Periodo 1993-2019"/>
    <s v="Número de trabajadores"/>
    <s v="Servicio de Impuestos Internos (SII)"/>
    <x v="935"/>
    <m/>
    <s v="Gráfico de Evolución"/>
    <s v="Región de Ñuble evolución anual trabajadores tipo contribuyente empresas activas vigente SII año tributario fiscal"/>
    <x v="594"/>
    <s v="100-C-16"/>
    <s v="#1774B9"/>
    <s v="990-0936"/>
    <n v="99200016"/>
    <s v="T-1023"/>
    <s v="C-993"/>
    <s v="FI-991"/>
    <s v="M-1074"/>
  </r>
  <r>
    <x v="936"/>
    <n v="990"/>
    <x v="0"/>
    <x v="4"/>
    <n v="0"/>
    <x v="25"/>
    <x v="14"/>
    <x v="0"/>
    <x v="0"/>
    <s v="Región-Comuna"/>
    <s v="Población en control por comuna"/>
    <s v="Periodo 2012-2018"/>
    <s v="Número de Casos"/>
    <s v="Departamento de Estadísticas e Información de la Salud (DEIS) - Ministerio de Salud"/>
    <x v="936"/>
    <s v="La Población en Control del Programa VIH/SIDA aumentó en el periodo comprendido entre los años 2012 y 2018, con más de 35 mil casos para el último año. La comuna de Santiago fue la que más casos registró, acumulando más de 25 mil casos entre los años 2015 y 2018, seguida de San Miguel y Providencia, ambas con mas de 11 mil casos."/>
    <s v="Gráfico de Evolución"/>
    <s v="Chile VIH SIDA enfermedad transmisión sexual programa casos número población"/>
    <x v="595"/>
    <s v="300-C"/>
    <s v="#1774B9"/>
    <s v="990-0937"/>
    <n v="99100000"/>
    <s v="T-1000"/>
    <s v="C-1010"/>
    <s v="FI-995"/>
    <s v="M-1075"/>
  </r>
  <r>
    <x v="937"/>
    <n v="990"/>
    <x v="0"/>
    <x v="4"/>
    <n v="1"/>
    <x v="25"/>
    <x v="14"/>
    <x v="1"/>
    <x v="1"/>
    <s v="Comuna"/>
    <s v="Población en control por comuna"/>
    <s v="Periodo 2012-2018"/>
    <s v="Número de Casos"/>
    <s v="Departamento de Estadísticas e Información de la Salud (DEIS) - Ministerio de Salud"/>
    <x v="937"/>
    <m/>
    <s v="Gráfico de Evolución"/>
    <s v="Región de Tarapacá VIH SIDA enfermedad transmisión sexual programa casos número población"/>
    <x v="596"/>
    <s v="100-C-1"/>
    <s v="#1774B9"/>
    <s v="990-0938"/>
    <n v="99200001"/>
    <s v="T-1000"/>
    <s v="C-1010"/>
    <s v="FI-991"/>
    <s v="M-1075"/>
  </r>
  <r>
    <x v="938"/>
    <n v="990"/>
    <x v="0"/>
    <x v="4"/>
    <n v="2"/>
    <x v="25"/>
    <x v="14"/>
    <x v="1"/>
    <x v="2"/>
    <s v="Comuna"/>
    <s v="Población en control por comuna"/>
    <s v="Periodo 2012-2018"/>
    <s v="Número de Casos"/>
    <s v="Departamento de Estadísticas e Información de la Salud (DEIS) - Ministerio de Salud"/>
    <x v="938"/>
    <m/>
    <s v="Gráfico de Evolución"/>
    <s v="Región de Antofagasta VIH SIDA enfermedad transmisión sexual programa casos número población"/>
    <x v="597"/>
    <s v="100-C-2"/>
    <s v="#1774B9"/>
    <s v="990-0939"/>
    <n v="99200002"/>
    <s v="T-1000"/>
    <s v="C-1010"/>
    <s v="FI-991"/>
    <s v="M-1075"/>
  </r>
  <r>
    <x v="939"/>
    <n v="990"/>
    <x v="0"/>
    <x v="4"/>
    <n v="3"/>
    <x v="25"/>
    <x v="14"/>
    <x v="1"/>
    <x v="3"/>
    <s v="Comuna"/>
    <s v="Población en control por comuna"/>
    <s v="Periodo 2012-2018"/>
    <s v="Número de Casos"/>
    <s v="Departamento de Estadísticas e Información de la Salud (DEIS) - Ministerio de Salud"/>
    <x v="939"/>
    <m/>
    <s v="Gráfico de Evolución"/>
    <s v="Región de Atacama VIH SIDA enfermedad transmisión sexual programa casos número población"/>
    <x v="598"/>
    <s v="100-C-3"/>
    <s v="#1774B9"/>
    <s v="990-0940"/>
    <n v="99200003"/>
    <s v="T-1000"/>
    <s v="C-1010"/>
    <s v="FI-991"/>
    <s v="M-1075"/>
  </r>
  <r>
    <x v="940"/>
    <n v="990"/>
    <x v="0"/>
    <x v="4"/>
    <n v="4"/>
    <x v="25"/>
    <x v="14"/>
    <x v="1"/>
    <x v="4"/>
    <s v="Comuna"/>
    <s v="Población en control por comuna"/>
    <s v="Periodo 2012-2018"/>
    <s v="Número de Casos"/>
    <s v="Departamento de Estadísticas e Información de la Salud (DEIS) - Ministerio de Salud"/>
    <x v="940"/>
    <m/>
    <s v="Gráfico de Evolución"/>
    <s v="Región de Coquimbo VIH SIDA enfermedad transmisión sexual programa casos número población"/>
    <x v="599"/>
    <s v="100-C-4"/>
    <s v="#1774B9"/>
    <s v="990-0941"/>
    <n v="99200004"/>
    <s v="T-1000"/>
    <s v="C-1010"/>
    <s v="FI-991"/>
    <s v="M-1075"/>
  </r>
  <r>
    <x v="941"/>
    <n v="990"/>
    <x v="0"/>
    <x v="4"/>
    <n v="5"/>
    <x v="25"/>
    <x v="14"/>
    <x v="1"/>
    <x v="5"/>
    <s v="Comuna"/>
    <s v="Población en control por comuna"/>
    <s v="Periodo 2012-2018"/>
    <s v="Número de Casos"/>
    <s v="Departamento de Estadísticas e Información de la Salud (DEIS) - Ministerio de Salud"/>
    <x v="941"/>
    <m/>
    <s v="Gráfico de Evolución"/>
    <s v="Región de Valparaíso VIH SIDA enfermedad transmisión sexual programa casos número población"/>
    <x v="600"/>
    <s v="100-C-5"/>
    <s v="#1774B9"/>
    <s v="990-0942"/>
    <n v="99200005"/>
    <s v="T-1000"/>
    <s v="C-1010"/>
    <s v="FI-991"/>
    <s v="M-1075"/>
  </r>
  <r>
    <x v="942"/>
    <n v="990"/>
    <x v="0"/>
    <x v="4"/>
    <n v="6"/>
    <x v="25"/>
    <x v="14"/>
    <x v="1"/>
    <x v="6"/>
    <s v="Comuna"/>
    <s v="Población en control por comuna"/>
    <s v="Periodo 2012-2018"/>
    <s v="Número de Casos"/>
    <s v="Departamento de Estadísticas e Información de la Salud (DEIS) - Ministerio de Salud"/>
    <x v="942"/>
    <m/>
    <s v="Gráfico de Evolución"/>
    <s v="Región de O'Higgins VIH SIDA enfermedad transmisión sexual programa casos número población"/>
    <x v="601"/>
    <s v="100-C-6"/>
    <s v="#1774B9"/>
    <s v="990-0943"/>
    <n v="99200006"/>
    <s v="T-1000"/>
    <s v="C-1010"/>
    <s v="FI-991"/>
    <s v="M-1075"/>
  </r>
  <r>
    <x v="943"/>
    <n v="990"/>
    <x v="0"/>
    <x v="4"/>
    <n v="7"/>
    <x v="25"/>
    <x v="14"/>
    <x v="1"/>
    <x v="7"/>
    <s v="Comuna"/>
    <s v="Población en control por comuna"/>
    <s v="Periodo 2012-2018"/>
    <s v="Número de Casos"/>
    <s v="Departamento de Estadísticas e Información de la Salud (DEIS) - Ministerio de Salud"/>
    <x v="943"/>
    <m/>
    <s v="Gráfico de Evolución"/>
    <s v="Región de Maule VIH SIDA enfermedad transmisión sexual programa casos número población"/>
    <x v="602"/>
    <s v="100-C-7"/>
    <s v="#1774B9"/>
    <s v="990-0944"/>
    <n v="99200007"/>
    <s v="T-1000"/>
    <s v="C-1010"/>
    <s v="FI-991"/>
    <s v="M-1075"/>
  </r>
  <r>
    <x v="944"/>
    <n v="990"/>
    <x v="0"/>
    <x v="4"/>
    <n v="8"/>
    <x v="25"/>
    <x v="14"/>
    <x v="1"/>
    <x v="8"/>
    <s v="Comuna"/>
    <s v="Población en control por comuna"/>
    <s v="Periodo 2012-2018"/>
    <s v="Número de Casos"/>
    <s v="Departamento de Estadísticas e Información de la Salud (DEIS) - Ministerio de Salud"/>
    <x v="944"/>
    <m/>
    <s v="Gráfico de Evolución"/>
    <s v="Región del Biobío VIH SIDA enfermedad transmisión sexual programa casos número población"/>
    <x v="603"/>
    <s v="100-C-8"/>
    <s v="#1774B9"/>
    <s v="990-0945"/>
    <n v="99200008"/>
    <s v="T-1000"/>
    <s v="C-1010"/>
    <s v="FI-991"/>
    <s v="M-1075"/>
  </r>
  <r>
    <x v="945"/>
    <n v="990"/>
    <x v="0"/>
    <x v="4"/>
    <n v="9"/>
    <x v="25"/>
    <x v="14"/>
    <x v="1"/>
    <x v="9"/>
    <s v="Comuna"/>
    <s v="Población en control por comuna"/>
    <s v="Periodo 2012-2018"/>
    <s v="Número de Casos"/>
    <s v="Departamento de Estadísticas e Información de la Salud (DEIS) - Ministerio de Salud"/>
    <x v="945"/>
    <m/>
    <s v="Gráfico de Evolución"/>
    <s v="Región de La Araucanía VIH SIDA enfermedad transmisión sexual programa casos número población"/>
    <x v="604"/>
    <s v="100-C-9"/>
    <s v="#1774B9"/>
    <s v="990-0946"/>
    <n v="99200009"/>
    <s v="T-1000"/>
    <s v="C-1010"/>
    <s v="FI-991"/>
    <s v="M-1075"/>
  </r>
  <r>
    <x v="946"/>
    <n v="990"/>
    <x v="0"/>
    <x v="4"/>
    <n v="10"/>
    <x v="25"/>
    <x v="14"/>
    <x v="1"/>
    <x v="10"/>
    <s v="Comuna"/>
    <s v="Población en control por comuna"/>
    <s v="Periodo 2012-2018"/>
    <s v="Número de Casos"/>
    <s v="Departamento de Estadísticas e Información de la Salud (DEIS) - Ministerio de Salud"/>
    <x v="946"/>
    <m/>
    <s v="Gráfico de Evolución"/>
    <s v="Región de Los Lagos VIH SIDA enfermedad transmisión sexual programa casos número población"/>
    <x v="605"/>
    <s v="100-C-10"/>
    <s v="#1774B9"/>
    <s v="990-0947"/>
    <n v="99200010"/>
    <s v="T-1000"/>
    <s v="C-1010"/>
    <s v="FI-991"/>
    <s v="M-1075"/>
  </r>
  <r>
    <x v="947"/>
    <n v="990"/>
    <x v="0"/>
    <x v="4"/>
    <n v="11"/>
    <x v="25"/>
    <x v="14"/>
    <x v="1"/>
    <x v="11"/>
    <s v="Comuna"/>
    <s v="Población en control por comuna"/>
    <s v="Periodo 2012-2018"/>
    <s v="Número de Casos"/>
    <s v="Departamento de Estadísticas e Información de la Salud (DEIS) - Ministerio de Salud"/>
    <x v="947"/>
    <m/>
    <s v="Gráfico de Evolución"/>
    <s v="Región de Aysén VIH SIDA enfermedad transmisión sexual programa casos número población"/>
    <x v="606"/>
    <s v="100-C-11"/>
    <s v="#1774B9"/>
    <s v="990-0948"/>
    <n v="99200011"/>
    <s v="T-1000"/>
    <s v="C-1010"/>
    <s v="FI-991"/>
    <s v="M-1075"/>
  </r>
  <r>
    <x v="948"/>
    <n v="990"/>
    <x v="0"/>
    <x v="4"/>
    <n v="12"/>
    <x v="25"/>
    <x v="14"/>
    <x v="1"/>
    <x v="12"/>
    <s v="Comuna"/>
    <s v="Población en control por comuna"/>
    <s v="Periodo 2012-2018"/>
    <s v="Número de Casos"/>
    <s v="Departamento de Estadísticas e Información de la Salud (DEIS) - Ministerio de Salud"/>
    <x v="948"/>
    <m/>
    <s v="Gráfico de Evolución"/>
    <s v="Región de Magallanes VIH SIDA enfermedad transmisión sexual programa casos número población"/>
    <x v="607"/>
    <s v="100-C-12"/>
    <s v="#1774B9"/>
    <s v="990-0949"/>
    <n v="99200012"/>
    <s v="T-1000"/>
    <s v="C-1010"/>
    <s v="FI-991"/>
    <s v="M-1075"/>
  </r>
  <r>
    <x v="949"/>
    <n v="990"/>
    <x v="0"/>
    <x v="4"/>
    <n v="13"/>
    <x v="25"/>
    <x v="14"/>
    <x v="1"/>
    <x v="13"/>
    <s v="Comuna"/>
    <s v="Población en control por comuna"/>
    <s v="Periodo 2012-2018"/>
    <s v="Número de Casos"/>
    <s v="Departamento de Estadísticas e Información de la Salud (DEIS) - Ministerio de Salud"/>
    <x v="949"/>
    <m/>
    <s v="Gráfico de Evolución"/>
    <s v="Región Metropolitana VIH SIDA enfermedad transmisión sexual programa casos número población"/>
    <x v="608"/>
    <s v="200-C-13"/>
    <s v="#1774B9"/>
    <s v="990-0950"/>
    <n v="99200013"/>
    <s v="T-1000"/>
    <s v="C-1010"/>
    <s v="FI-991"/>
    <s v="M-1075"/>
  </r>
  <r>
    <x v="950"/>
    <n v="990"/>
    <x v="0"/>
    <x v="4"/>
    <n v="14"/>
    <x v="25"/>
    <x v="14"/>
    <x v="1"/>
    <x v="14"/>
    <s v="Comuna"/>
    <s v="Población en control por comuna"/>
    <s v="Periodo 2012-2018"/>
    <s v="Número de Casos"/>
    <s v="Departamento de Estadísticas e Información de la Salud (DEIS) - Ministerio de Salud"/>
    <x v="950"/>
    <m/>
    <s v="Gráfico de Evolución"/>
    <s v="Región de Los Ríos VIH SIDA enfermedad transmisión sexual programa casos número población"/>
    <x v="609"/>
    <s v="100-C-14"/>
    <s v="#1774B9"/>
    <s v="990-0951"/>
    <n v="99200014"/>
    <s v="T-1000"/>
    <s v="C-1010"/>
    <s v="FI-991"/>
    <s v="M-1075"/>
  </r>
  <r>
    <x v="951"/>
    <n v="990"/>
    <x v="0"/>
    <x v="4"/>
    <n v="15"/>
    <x v="25"/>
    <x v="14"/>
    <x v="1"/>
    <x v="15"/>
    <s v="Comuna"/>
    <s v="Población en control por comuna"/>
    <s v="Periodo 2012-2018"/>
    <s v="Número de Casos"/>
    <s v="Departamento de Estadísticas e Información de la Salud (DEIS) - Ministerio de Salud"/>
    <x v="951"/>
    <m/>
    <s v="Gráfico de Evolución"/>
    <s v="Región de Arica y Parinacota VIH SIDA enfermedad transmisión sexual programa casos número población"/>
    <x v="610"/>
    <s v="100-C-15"/>
    <s v="#1774B9"/>
    <s v="990-0952"/>
    <n v="99200015"/>
    <s v="T-1000"/>
    <s v="C-1010"/>
    <s v="FI-991"/>
    <s v="M-1075"/>
  </r>
  <r>
    <x v="952"/>
    <n v="990"/>
    <x v="0"/>
    <x v="4"/>
    <n v="16"/>
    <x v="25"/>
    <x v="14"/>
    <x v="1"/>
    <x v="16"/>
    <s v="Comuna"/>
    <s v="Población en control por comuna"/>
    <s v="Periodo 2012-2018"/>
    <s v="Número de Casos"/>
    <s v="Departamento de Estadísticas e Información de la Salud (DEIS) - Ministerio de Salud"/>
    <x v="952"/>
    <m/>
    <s v="Gráfico de Evolución"/>
    <s v="Región de Ñuble VIH SIDA enfermedad transmisión sexual programa casos número población"/>
    <x v="611"/>
    <s v="100-C-16"/>
    <s v="#1774B9"/>
    <s v="990-0953"/>
    <n v="99200016"/>
    <s v="T-1000"/>
    <s v="C-1010"/>
    <s v="FI-991"/>
    <s v="M-1075"/>
  </r>
  <r>
    <x v="953"/>
    <n v="990"/>
    <x v="0"/>
    <x v="4"/>
    <n v="0"/>
    <x v="25"/>
    <x v="14"/>
    <x v="0"/>
    <x v="0"/>
    <s v="Región"/>
    <s v="Población en control por región"/>
    <s v="Periodo 2012-2018"/>
    <s v="Personas"/>
    <s v="Departamento de Estadísticas e Información de la Salud (DEIS) - Ministerio de Salud"/>
    <x v="953"/>
    <s v="La Población en Control del Programa VIH/SIDA ha ido en aumento a medida que avanzan los años, terminando en el 2018 con más de 35 mil casos. Al analizar este periodo y sus casos acumulados, la región Metropolitana fue la que contó con la mayor cantidad de casos, sumando un total de 98 mil. Por otro lado, la región que presentó la menor cantidad de casos acumulados fue Aysén, con 308 casos desde el 2012 al 2018."/>
    <s v="Gráfico de Evolución"/>
    <s v="Chile VIH SIDA enfermedad transmisión sexual casos personas población control programa"/>
    <x v="612"/>
    <s v="300-R"/>
    <s v="#1774B9"/>
    <s v="990-0954"/>
    <n v="99100000"/>
    <s v="T-1000"/>
    <s v="C-1010"/>
    <s v="FI-992"/>
    <s v="M-1076"/>
  </r>
  <r>
    <x v="954"/>
    <n v="990"/>
    <x v="0"/>
    <x v="4"/>
    <n v="1"/>
    <x v="25"/>
    <x v="14"/>
    <x v="1"/>
    <x v="1"/>
    <s v="Ninguno"/>
    <s v="Población en control por región"/>
    <s v="Periodo 2012-2018"/>
    <s v="Personas"/>
    <s v="Departamento de Estadísticas e Información de la Salud (DEIS) - Ministerio de Salud"/>
    <x v="954"/>
    <m/>
    <s v="Gráfico de Evolución"/>
    <s v="Región de Tarapacá VIH SIDA enfermedad transmisión sexual casos personas población control programa"/>
    <x v="613"/>
    <s v="100-R-1"/>
    <s v="#1774B9"/>
    <s v="990-0955"/>
    <n v="99200001"/>
    <s v="T-1000"/>
    <s v="C-1010"/>
    <s v="FI-993"/>
    <s v="M-1076"/>
  </r>
  <r>
    <x v="955"/>
    <n v="990"/>
    <x v="0"/>
    <x v="4"/>
    <n v="2"/>
    <x v="25"/>
    <x v="14"/>
    <x v="1"/>
    <x v="2"/>
    <s v="Ninguno"/>
    <s v="Población en control por región"/>
    <s v="Periodo 2012-2018"/>
    <s v="Personas"/>
    <s v="Departamento de Estadísticas e Información de la Salud (DEIS) - Ministerio de Salud"/>
    <x v="955"/>
    <m/>
    <s v="Gráfico de Evolución"/>
    <s v="Región de Antofagasta VIH SIDA enfermedad transmisión sexual casos personas población control programa"/>
    <x v="614"/>
    <s v="100-R-2"/>
    <s v="#1774B9"/>
    <s v="990-0956"/>
    <n v="99200002"/>
    <s v="T-1000"/>
    <s v="C-1010"/>
    <s v="FI-993"/>
    <s v="M-1076"/>
  </r>
  <r>
    <x v="956"/>
    <n v="990"/>
    <x v="0"/>
    <x v="4"/>
    <n v="3"/>
    <x v="25"/>
    <x v="14"/>
    <x v="1"/>
    <x v="3"/>
    <s v="Ninguno"/>
    <s v="Población en control por región"/>
    <s v="Periodo 2012-2018"/>
    <s v="Personas"/>
    <s v="Departamento de Estadísticas e Información de la Salud (DEIS) - Ministerio de Salud"/>
    <x v="956"/>
    <m/>
    <s v="Gráfico de Evolución"/>
    <s v="Región de Atacama VIH SIDA enfermedad transmisión sexual casos personas población control programa"/>
    <x v="615"/>
    <s v="100-R-3"/>
    <s v="#1774B9"/>
    <s v="990-0957"/>
    <n v="99200003"/>
    <s v="T-1000"/>
    <s v="C-1010"/>
    <s v="FI-993"/>
    <s v="M-1076"/>
  </r>
  <r>
    <x v="957"/>
    <n v="990"/>
    <x v="0"/>
    <x v="4"/>
    <n v="4"/>
    <x v="25"/>
    <x v="14"/>
    <x v="1"/>
    <x v="4"/>
    <s v="Ninguno"/>
    <s v="Población en control por región"/>
    <s v="Periodo 2012-2018"/>
    <s v="Personas"/>
    <s v="Departamento de Estadísticas e Información de la Salud (DEIS) - Ministerio de Salud"/>
    <x v="957"/>
    <m/>
    <s v="Gráfico de Evolución"/>
    <s v="Región de Coquimbo VIH SIDA enfermedad transmisión sexual casos personas población control programa"/>
    <x v="616"/>
    <s v="100-R-4"/>
    <s v="#1774B9"/>
    <s v="990-0958"/>
    <n v="99200004"/>
    <s v="T-1000"/>
    <s v="C-1010"/>
    <s v="FI-993"/>
    <s v="M-1076"/>
  </r>
  <r>
    <x v="958"/>
    <n v="990"/>
    <x v="0"/>
    <x v="4"/>
    <n v="5"/>
    <x v="25"/>
    <x v="14"/>
    <x v="1"/>
    <x v="5"/>
    <s v="Ninguno"/>
    <s v="Población en control por región"/>
    <s v="Periodo 2012-2018"/>
    <s v="Personas"/>
    <s v="Departamento de Estadísticas e Información de la Salud (DEIS) - Ministerio de Salud"/>
    <x v="958"/>
    <m/>
    <s v="Gráfico de Evolución"/>
    <s v="Región de Valparaíso VIH SIDA enfermedad transmisión sexual casos personas población control programa"/>
    <x v="617"/>
    <s v="100-R-5"/>
    <s v="#1774B9"/>
    <s v="990-0959"/>
    <n v="99200005"/>
    <s v="T-1000"/>
    <s v="C-1010"/>
    <s v="FI-993"/>
    <s v="M-1076"/>
  </r>
  <r>
    <x v="959"/>
    <n v="990"/>
    <x v="0"/>
    <x v="4"/>
    <n v="6"/>
    <x v="25"/>
    <x v="14"/>
    <x v="1"/>
    <x v="6"/>
    <s v="Ninguno"/>
    <s v="Población en control por región"/>
    <s v="Periodo 2012-2018"/>
    <s v="Personas"/>
    <s v="Departamento de Estadísticas e Información de la Salud (DEIS) - Ministerio de Salud"/>
    <x v="959"/>
    <m/>
    <s v="Gráfico de Evolución"/>
    <s v="Región de O'Higgins VIH SIDA enfermedad transmisión sexual casos personas población control programa"/>
    <x v="618"/>
    <s v="100-R-6"/>
    <s v="#1774B9"/>
    <s v="990-0960"/>
    <n v="99200006"/>
    <s v="T-1000"/>
    <s v="C-1010"/>
    <s v="FI-993"/>
    <s v="M-1076"/>
  </r>
  <r>
    <x v="960"/>
    <n v="990"/>
    <x v="0"/>
    <x v="4"/>
    <n v="7"/>
    <x v="25"/>
    <x v="14"/>
    <x v="1"/>
    <x v="7"/>
    <s v="Ninguno"/>
    <s v="Población en control por región"/>
    <s v="Periodo 2012-2018"/>
    <s v="Personas"/>
    <s v="Departamento de Estadísticas e Información de la Salud (DEIS) - Ministerio de Salud"/>
    <x v="960"/>
    <m/>
    <s v="Gráfico de Evolución"/>
    <s v="Región de Maule VIH SIDA enfermedad transmisión sexual casos personas población control programa"/>
    <x v="619"/>
    <s v="100-R-7"/>
    <s v="#1774B9"/>
    <s v="990-0961"/>
    <n v="99200007"/>
    <s v="T-1000"/>
    <s v="C-1010"/>
    <s v="FI-993"/>
    <s v="M-1076"/>
  </r>
  <r>
    <x v="961"/>
    <n v="990"/>
    <x v="0"/>
    <x v="4"/>
    <n v="8"/>
    <x v="25"/>
    <x v="14"/>
    <x v="1"/>
    <x v="8"/>
    <s v="Ninguno"/>
    <s v="Población en control por región"/>
    <s v="Periodo 2012-2018"/>
    <s v="Personas"/>
    <s v="Departamento de Estadísticas e Información de la Salud (DEIS) - Ministerio de Salud"/>
    <x v="961"/>
    <m/>
    <s v="Gráfico de Evolución"/>
    <s v="Región del Biobío VIH SIDA enfermedad transmisión sexual casos personas población control programa"/>
    <x v="620"/>
    <s v="100-R-8"/>
    <s v="#1774B9"/>
    <s v="990-0962"/>
    <n v="99200008"/>
    <s v="T-1000"/>
    <s v="C-1010"/>
    <s v="FI-993"/>
    <s v="M-1076"/>
  </r>
  <r>
    <x v="962"/>
    <n v="990"/>
    <x v="0"/>
    <x v="4"/>
    <n v="9"/>
    <x v="25"/>
    <x v="14"/>
    <x v="1"/>
    <x v="9"/>
    <s v="Ninguno"/>
    <s v="Población en control por región"/>
    <s v="Periodo 2012-2018"/>
    <s v="Personas"/>
    <s v="Departamento de Estadísticas e Información de la Salud (DEIS) - Ministerio de Salud"/>
    <x v="962"/>
    <m/>
    <s v="Gráfico de Evolución"/>
    <s v="Región de La Araucanía VIH SIDA enfermedad transmisión sexual casos personas población control programa"/>
    <x v="621"/>
    <s v="100-R-9"/>
    <s v="#1774B9"/>
    <s v="990-0963"/>
    <n v="99200009"/>
    <s v="T-1000"/>
    <s v="C-1010"/>
    <s v="FI-993"/>
    <s v="M-1076"/>
  </r>
  <r>
    <x v="963"/>
    <n v="990"/>
    <x v="0"/>
    <x v="4"/>
    <n v="10"/>
    <x v="25"/>
    <x v="14"/>
    <x v="1"/>
    <x v="10"/>
    <s v="Ninguno"/>
    <s v="Población en control por región"/>
    <s v="Periodo 2012-2018"/>
    <s v="Personas"/>
    <s v="Departamento de Estadísticas e Información de la Salud (DEIS) - Ministerio de Salud"/>
    <x v="963"/>
    <m/>
    <s v="Gráfico de Evolución"/>
    <s v="Región de Los Lagos VIH SIDA enfermedad transmisión sexual casos personas población control programa"/>
    <x v="622"/>
    <s v="100-R-10"/>
    <s v="#1774B9"/>
    <s v="990-0964"/>
    <n v="99200010"/>
    <s v="T-1000"/>
    <s v="C-1010"/>
    <s v="FI-993"/>
    <s v="M-1076"/>
  </r>
  <r>
    <x v="964"/>
    <n v="990"/>
    <x v="0"/>
    <x v="4"/>
    <n v="11"/>
    <x v="25"/>
    <x v="14"/>
    <x v="1"/>
    <x v="11"/>
    <s v="Ninguno"/>
    <s v="Población en control por región"/>
    <s v="Periodo 2012-2018"/>
    <s v="Personas"/>
    <s v="Departamento de Estadísticas e Información de la Salud (DEIS) - Ministerio de Salud"/>
    <x v="964"/>
    <m/>
    <s v="Gráfico de Evolución"/>
    <s v="Región de Aysén VIH SIDA enfermedad transmisión sexual casos personas población control programa"/>
    <x v="623"/>
    <s v="100-R-11"/>
    <s v="#1774B9"/>
    <s v="990-0965"/>
    <n v="99200011"/>
    <s v="T-1000"/>
    <s v="C-1010"/>
    <s v="FI-993"/>
    <s v="M-1076"/>
  </r>
  <r>
    <x v="965"/>
    <n v="990"/>
    <x v="0"/>
    <x v="4"/>
    <n v="12"/>
    <x v="25"/>
    <x v="14"/>
    <x v="1"/>
    <x v="12"/>
    <s v="Ninguno"/>
    <s v="Población en control por región"/>
    <s v="Periodo 2012-2018"/>
    <s v="Personas"/>
    <s v="Departamento de Estadísticas e Información de la Salud (DEIS) - Ministerio de Salud"/>
    <x v="965"/>
    <m/>
    <s v="Gráfico de Evolución"/>
    <s v="Región de Magallanes VIH SIDA enfermedad transmisión sexual casos personas población control programa"/>
    <x v="624"/>
    <s v="100-R-12"/>
    <s v="#1774B9"/>
    <s v="990-0966"/>
    <n v="99200012"/>
    <s v="T-1000"/>
    <s v="C-1010"/>
    <s v="FI-993"/>
    <s v="M-1076"/>
  </r>
  <r>
    <x v="966"/>
    <n v="990"/>
    <x v="0"/>
    <x v="4"/>
    <n v="13"/>
    <x v="25"/>
    <x v="14"/>
    <x v="1"/>
    <x v="13"/>
    <s v="Ninguno"/>
    <s v="Población en control por región"/>
    <s v="Periodo 2012-2018"/>
    <s v="Personas"/>
    <s v="Departamento de Estadísticas e Información de la Salud (DEIS) - Ministerio de Salud"/>
    <x v="966"/>
    <m/>
    <s v="Gráfico de Evolución"/>
    <s v="Región Metropolitana VIH SIDA enfermedad transmisión sexual casos personas población control programa"/>
    <x v="625"/>
    <s v="200-R-13"/>
    <s v="#1774B9"/>
    <s v="990-0967"/>
    <n v="99200013"/>
    <s v="T-1000"/>
    <s v="C-1010"/>
    <s v="FI-993"/>
    <s v="M-1076"/>
  </r>
  <r>
    <x v="967"/>
    <n v="990"/>
    <x v="0"/>
    <x v="4"/>
    <n v="14"/>
    <x v="25"/>
    <x v="14"/>
    <x v="1"/>
    <x v="14"/>
    <s v="Ninguno"/>
    <s v="Población en control por región"/>
    <s v="Periodo 2012-2018"/>
    <s v="Personas"/>
    <s v="Departamento de Estadísticas e Información de la Salud (DEIS) - Ministerio de Salud"/>
    <x v="967"/>
    <m/>
    <s v="Gráfico de Evolución"/>
    <s v="Región de Los Ríos VIH SIDA enfermedad transmisión sexual casos personas población control programa"/>
    <x v="626"/>
    <s v="100-R-14"/>
    <s v="#1774B9"/>
    <s v="990-0968"/>
    <n v="99200014"/>
    <s v="T-1000"/>
    <s v="C-1010"/>
    <s v="FI-993"/>
    <s v="M-1076"/>
  </r>
  <r>
    <x v="968"/>
    <n v="990"/>
    <x v="0"/>
    <x v="4"/>
    <n v="15"/>
    <x v="25"/>
    <x v="14"/>
    <x v="1"/>
    <x v="15"/>
    <s v="Ninguno"/>
    <s v="Población en control por región"/>
    <s v="Periodo 2012-2018"/>
    <s v="Personas"/>
    <s v="Departamento de Estadísticas e Información de la Salud (DEIS) - Ministerio de Salud"/>
    <x v="968"/>
    <m/>
    <s v="Gráfico de Evolución"/>
    <s v="Región de Arica y Parinacota VIH SIDA enfermedad transmisión sexual casos personas población control programa"/>
    <x v="627"/>
    <s v="100-R-15"/>
    <s v="#1774B9"/>
    <s v="990-0969"/>
    <n v="99200015"/>
    <s v="T-1000"/>
    <s v="C-1010"/>
    <s v="FI-993"/>
    <s v="M-1076"/>
  </r>
  <r>
    <x v="969"/>
    <n v="990"/>
    <x v="0"/>
    <x v="4"/>
    <n v="16"/>
    <x v="25"/>
    <x v="14"/>
    <x v="1"/>
    <x v="16"/>
    <s v="Ninguno"/>
    <s v="Población en control por región"/>
    <s v="Periodo 2012-2018"/>
    <s v="Personas"/>
    <s v="Departamento de Estadísticas e Información de la Salud (DEIS) - Ministerio de Salud"/>
    <x v="969"/>
    <m/>
    <s v="Gráfico de Evolución"/>
    <s v="Región de Ñuble VIH SIDA enfermedad transmisión sexual casos personas población control programa"/>
    <x v="628"/>
    <s v="100-R-16"/>
    <s v="#1774B9"/>
    <s v="990-0970"/>
    <n v="99200016"/>
    <s v="T-1000"/>
    <s v="C-1010"/>
    <s v="FI-993"/>
    <s v="M-1076"/>
  </r>
  <r>
    <x v="970"/>
    <n v="990"/>
    <x v="0"/>
    <x v="4"/>
    <n v="0"/>
    <x v="25"/>
    <x v="14"/>
    <x v="0"/>
    <x v="0"/>
    <s v="Región"/>
    <s v="Población en control por rango etario"/>
    <s v="Periodo 2012-2018"/>
    <s v="Personas"/>
    <s v="Departamento de Estadísticas e Información de la Salud (DEIS) - Ministerio de Salud"/>
    <x v="970"/>
    <s v="A grandes rasgos, se observa que la Población en Control del Programa VIH/SIDA ha ido en aumento a través de los años, terminando el 2018 con más de 35 mil casos. Al observar la Población en Control de acuerdo a su edad, el rango etario 25-64 años se lleva el 80% de los casos de VIH/SIDA para el periodo 2012-2018. Por otro lado, el rango etario que tuvo menos casos fue &quot;menos de un año - 1 año&quot; que contó con 87 casos, lo que corresponde a un 0,1%."/>
    <s v="Gráfico de Evolución"/>
    <s v="Chile VIH SIDA enfermedad transmisión sexual casos personas población programa"/>
    <x v="629"/>
    <s v="300-R"/>
    <s v="#1774B9"/>
    <s v="990-0971"/>
    <n v="99100000"/>
    <s v="T-1000"/>
    <s v="C-1010"/>
    <s v="FI-992"/>
    <s v="M-1077"/>
  </r>
  <r>
    <x v="971"/>
    <n v="990"/>
    <x v="0"/>
    <x v="4"/>
    <n v="1"/>
    <x v="25"/>
    <x v="14"/>
    <x v="1"/>
    <x v="1"/>
    <s v="Ninguno"/>
    <s v="Población en control por rango etario"/>
    <s v="Periodo 2012-2018"/>
    <s v="Personas"/>
    <s v="Departamento de Estadísticas e Información de la Salud (DEIS) - Ministerio de Salud"/>
    <x v="971"/>
    <m/>
    <s v="Gráfico de Evolución"/>
    <s v="Región de Tarapacá VIH SIDA enfermedad transmisión sexual casos personas población programa"/>
    <x v="630"/>
    <s v="100-R-1"/>
    <s v="#1774B9"/>
    <s v="990-0972"/>
    <n v="99200001"/>
    <s v="T-1000"/>
    <s v="C-1010"/>
    <s v="FI-993"/>
    <s v="M-1077"/>
  </r>
  <r>
    <x v="972"/>
    <n v="990"/>
    <x v="0"/>
    <x v="4"/>
    <n v="2"/>
    <x v="25"/>
    <x v="14"/>
    <x v="1"/>
    <x v="2"/>
    <s v="Ninguno"/>
    <s v="Población en control por rango etario"/>
    <s v="Periodo 2012-2018"/>
    <s v="Personas"/>
    <s v="Departamento de Estadísticas e Información de la Salud (DEIS) - Ministerio de Salud"/>
    <x v="972"/>
    <m/>
    <s v="Gráfico de Evolución"/>
    <s v="Región de Antofagasta VIH SIDA enfermedad transmisión sexual casos personas población programa"/>
    <x v="631"/>
    <s v="100-R-2"/>
    <s v="#1774B9"/>
    <s v="990-0973"/>
    <n v="99200002"/>
    <s v="T-1000"/>
    <s v="C-1010"/>
    <s v="FI-993"/>
    <s v="M-1077"/>
  </r>
  <r>
    <x v="973"/>
    <n v="990"/>
    <x v="0"/>
    <x v="4"/>
    <n v="3"/>
    <x v="25"/>
    <x v="14"/>
    <x v="1"/>
    <x v="3"/>
    <s v="Ninguno"/>
    <s v="Población en control por rango etario"/>
    <s v="Periodo 2012-2018"/>
    <s v="Personas"/>
    <s v="Departamento de Estadísticas e Información de la Salud (DEIS) - Ministerio de Salud"/>
    <x v="973"/>
    <m/>
    <s v="Gráfico de Evolución"/>
    <s v="Región de Atacama VIH SIDA enfermedad transmisión sexual casos personas población programa"/>
    <x v="632"/>
    <s v="100-R-3"/>
    <s v="#1774B9"/>
    <s v="990-0974"/>
    <n v="99200003"/>
    <s v="T-1000"/>
    <s v="C-1010"/>
    <s v="FI-993"/>
    <s v="M-1077"/>
  </r>
  <r>
    <x v="974"/>
    <n v="990"/>
    <x v="0"/>
    <x v="4"/>
    <n v="4"/>
    <x v="25"/>
    <x v="14"/>
    <x v="1"/>
    <x v="4"/>
    <s v="Ninguno"/>
    <s v="Población en control por rango etario"/>
    <s v="Periodo 2012-2018"/>
    <s v="Personas"/>
    <s v="Departamento de Estadísticas e Información de la Salud (DEIS) - Ministerio de Salud"/>
    <x v="974"/>
    <m/>
    <s v="Gráfico de Evolución"/>
    <s v="Región de Coquimbo VIH SIDA enfermedad transmisión sexual casos personas población programa"/>
    <x v="633"/>
    <s v="100-R-4"/>
    <s v="#1774B9"/>
    <s v="990-0975"/>
    <n v="99200004"/>
    <s v="T-1000"/>
    <s v="C-1010"/>
    <s v="FI-993"/>
    <s v="M-1077"/>
  </r>
  <r>
    <x v="975"/>
    <n v="990"/>
    <x v="0"/>
    <x v="4"/>
    <n v="5"/>
    <x v="25"/>
    <x v="14"/>
    <x v="1"/>
    <x v="5"/>
    <s v="Ninguno"/>
    <s v="Población en control por rango etario"/>
    <s v="Periodo 2012-2018"/>
    <s v="Personas"/>
    <s v="Departamento de Estadísticas e Información de la Salud (DEIS) - Ministerio de Salud"/>
    <x v="975"/>
    <m/>
    <s v="Gráfico de Evolución"/>
    <s v="Región de Valparaíso VIH SIDA enfermedad transmisión sexual casos personas población programa"/>
    <x v="634"/>
    <s v="100-R-5"/>
    <s v="#1774B9"/>
    <s v="990-0976"/>
    <n v="99200005"/>
    <s v="T-1000"/>
    <s v="C-1010"/>
    <s v="FI-993"/>
    <s v="M-1077"/>
  </r>
  <r>
    <x v="976"/>
    <n v="990"/>
    <x v="0"/>
    <x v="4"/>
    <n v="6"/>
    <x v="25"/>
    <x v="14"/>
    <x v="1"/>
    <x v="6"/>
    <s v="Ninguno"/>
    <s v="Población en control por rango etario"/>
    <s v="Periodo 2012-2018"/>
    <s v="Personas"/>
    <s v="Departamento de Estadísticas e Información de la Salud (DEIS) - Ministerio de Salud"/>
    <x v="976"/>
    <m/>
    <s v="Gráfico de Evolución"/>
    <s v="Región de O'Higgins VIH SIDA enfermedad transmisión sexual casos personas población programa"/>
    <x v="635"/>
    <s v="100-R-6"/>
    <s v="#1774B9"/>
    <s v="990-0977"/>
    <n v="99200006"/>
    <s v="T-1000"/>
    <s v="C-1010"/>
    <s v="FI-993"/>
    <s v="M-1077"/>
  </r>
  <r>
    <x v="977"/>
    <n v="990"/>
    <x v="0"/>
    <x v="4"/>
    <n v="7"/>
    <x v="25"/>
    <x v="14"/>
    <x v="1"/>
    <x v="7"/>
    <s v="Ninguno"/>
    <s v="Población en control por rango etario"/>
    <s v="Periodo 2012-2018"/>
    <s v="Personas"/>
    <s v="Departamento de Estadísticas e Información de la Salud (DEIS) - Ministerio de Salud"/>
    <x v="977"/>
    <m/>
    <s v="Gráfico de Evolución"/>
    <s v="Región de Maule VIH SIDA enfermedad transmisión sexual casos personas población programa"/>
    <x v="636"/>
    <s v="100-R-7"/>
    <s v="#1774B9"/>
    <s v="990-0978"/>
    <n v="99200007"/>
    <s v="T-1000"/>
    <s v="C-1010"/>
    <s v="FI-993"/>
    <s v="M-1077"/>
  </r>
  <r>
    <x v="978"/>
    <n v="990"/>
    <x v="0"/>
    <x v="4"/>
    <n v="8"/>
    <x v="25"/>
    <x v="14"/>
    <x v="1"/>
    <x v="8"/>
    <s v="Ninguno"/>
    <s v="Población en control por rango etario"/>
    <s v="Periodo 2012-2018"/>
    <s v="Personas"/>
    <s v="Departamento de Estadísticas e Información de la Salud (DEIS) - Ministerio de Salud"/>
    <x v="978"/>
    <m/>
    <s v="Gráfico de Evolución"/>
    <s v="Región del Biobío VIH SIDA enfermedad transmisión sexual casos personas población programa"/>
    <x v="637"/>
    <s v="100-R-8"/>
    <s v="#1774B9"/>
    <s v="990-0979"/>
    <n v="99200008"/>
    <s v="T-1000"/>
    <s v="C-1010"/>
    <s v="FI-993"/>
    <s v="M-1077"/>
  </r>
  <r>
    <x v="979"/>
    <n v="990"/>
    <x v="0"/>
    <x v="4"/>
    <n v="9"/>
    <x v="25"/>
    <x v="14"/>
    <x v="1"/>
    <x v="9"/>
    <s v="Ninguno"/>
    <s v="Población en control por rango etario"/>
    <s v="Periodo 2012-2018"/>
    <s v="Personas"/>
    <s v="Departamento de Estadísticas e Información de la Salud (DEIS) - Ministerio de Salud"/>
    <x v="979"/>
    <m/>
    <s v="Gráfico de Evolución"/>
    <s v="Región de La Araucanía VIH SIDA enfermedad transmisión sexual casos personas población programa"/>
    <x v="638"/>
    <s v="100-R-9"/>
    <s v="#1774B9"/>
    <s v="990-0980"/>
    <n v="99200009"/>
    <s v="T-1000"/>
    <s v="C-1010"/>
    <s v="FI-993"/>
    <s v="M-1077"/>
  </r>
  <r>
    <x v="980"/>
    <n v="990"/>
    <x v="0"/>
    <x v="4"/>
    <n v="10"/>
    <x v="25"/>
    <x v="14"/>
    <x v="1"/>
    <x v="10"/>
    <s v="Ninguno"/>
    <s v="Población en control por rango etario"/>
    <s v="Periodo 2012-2018"/>
    <s v="Personas"/>
    <s v="Departamento de Estadísticas e Información de la Salud (DEIS) - Ministerio de Salud"/>
    <x v="980"/>
    <m/>
    <s v="Gráfico de Evolución"/>
    <s v="Región de Los Lagos VIH SIDA enfermedad transmisión sexual casos personas población programa"/>
    <x v="639"/>
    <s v="100-R-10"/>
    <s v="#1774B9"/>
    <s v="990-0981"/>
    <n v="99200010"/>
    <s v="T-1000"/>
    <s v="C-1010"/>
    <s v="FI-993"/>
    <s v="M-1077"/>
  </r>
  <r>
    <x v="981"/>
    <n v="990"/>
    <x v="0"/>
    <x v="4"/>
    <n v="11"/>
    <x v="25"/>
    <x v="14"/>
    <x v="1"/>
    <x v="11"/>
    <s v="Ninguno"/>
    <s v="Población en control por rango etario"/>
    <s v="Periodo 2012-2018"/>
    <s v="Personas"/>
    <s v="Departamento de Estadísticas e Información de la Salud (DEIS) - Ministerio de Salud"/>
    <x v="981"/>
    <m/>
    <s v="Gráfico de Evolución"/>
    <s v="Región de Aysén VIH SIDA enfermedad transmisión sexual casos personas población programa"/>
    <x v="640"/>
    <s v="100-R-11"/>
    <s v="#1774B9"/>
    <s v="990-0982"/>
    <n v="99200011"/>
    <s v="T-1000"/>
    <s v="C-1010"/>
    <s v="FI-993"/>
    <s v="M-1077"/>
  </r>
  <r>
    <x v="982"/>
    <n v="990"/>
    <x v="0"/>
    <x v="4"/>
    <n v="12"/>
    <x v="25"/>
    <x v="14"/>
    <x v="1"/>
    <x v="12"/>
    <s v="Ninguno"/>
    <s v="Población en control por rango etario"/>
    <s v="Periodo 2012-2018"/>
    <s v="Personas"/>
    <s v="Departamento de Estadísticas e Información de la Salud (DEIS) - Ministerio de Salud"/>
    <x v="982"/>
    <m/>
    <s v="Gráfico de Evolución"/>
    <s v="Región de Magallanes VIH SIDA enfermedad transmisión sexual casos personas población programa"/>
    <x v="641"/>
    <s v="100-R-12"/>
    <s v="#1774B9"/>
    <s v="990-0983"/>
    <n v="99200012"/>
    <s v="T-1000"/>
    <s v="C-1010"/>
    <s v="FI-993"/>
    <s v="M-1077"/>
  </r>
  <r>
    <x v="983"/>
    <n v="990"/>
    <x v="0"/>
    <x v="4"/>
    <n v="13"/>
    <x v="25"/>
    <x v="14"/>
    <x v="1"/>
    <x v="13"/>
    <s v="Ninguno"/>
    <s v="Población en control por rango etario"/>
    <s v="Periodo 2012-2018"/>
    <s v="Personas"/>
    <s v="Departamento de Estadísticas e Información de la Salud (DEIS) - Ministerio de Salud"/>
    <x v="983"/>
    <m/>
    <s v="Gráfico de Evolución"/>
    <s v="Región Metropolitana VIH SIDA enfermedad transmisión sexual casos personas población programa"/>
    <x v="642"/>
    <s v="200-R-13"/>
    <s v="#1774B9"/>
    <s v="990-0984"/>
    <n v="99200013"/>
    <s v="T-1000"/>
    <s v="C-1010"/>
    <s v="FI-993"/>
    <s v="M-1077"/>
  </r>
  <r>
    <x v="984"/>
    <n v="990"/>
    <x v="0"/>
    <x v="4"/>
    <n v="14"/>
    <x v="25"/>
    <x v="14"/>
    <x v="1"/>
    <x v="14"/>
    <s v="Ninguno"/>
    <s v="Población en control por rango etario"/>
    <s v="Periodo 2012-2018"/>
    <s v="Personas"/>
    <s v="Departamento de Estadísticas e Información de la Salud (DEIS) - Ministerio de Salud"/>
    <x v="984"/>
    <m/>
    <s v="Gráfico de Evolución"/>
    <s v="Región de Los Ríos VIH SIDA enfermedad transmisión sexual casos personas población programa"/>
    <x v="643"/>
    <s v="100-R-14"/>
    <s v="#1774B9"/>
    <s v="990-0985"/>
    <n v="99200014"/>
    <s v="T-1000"/>
    <s v="C-1010"/>
    <s v="FI-993"/>
    <s v="M-1077"/>
  </r>
  <r>
    <x v="985"/>
    <n v="990"/>
    <x v="0"/>
    <x v="4"/>
    <n v="15"/>
    <x v="25"/>
    <x v="14"/>
    <x v="1"/>
    <x v="15"/>
    <s v="Ninguno"/>
    <s v="Población en control por rango etario"/>
    <s v="Periodo 2012-2018"/>
    <s v="Personas"/>
    <s v="Departamento de Estadísticas e Información de la Salud (DEIS) - Ministerio de Salud"/>
    <x v="985"/>
    <m/>
    <s v="Gráfico de Evolución"/>
    <s v="Región de Arica y Parinacota VIH SIDA enfermedad transmisión sexual casos personas población programa"/>
    <x v="644"/>
    <s v="100-R-15"/>
    <s v="#1774B9"/>
    <s v="990-0986"/>
    <n v="99200015"/>
    <s v="T-1000"/>
    <s v="C-1010"/>
    <s v="FI-993"/>
    <s v="M-1077"/>
  </r>
  <r>
    <x v="986"/>
    <n v="990"/>
    <x v="0"/>
    <x v="4"/>
    <n v="16"/>
    <x v="25"/>
    <x v="14"/>
    <x v="1"/>
    <x v="16"/>
    <s v="Ninguno"/>
    <s v="Población en control por rango etario"/>
    <s v="Periodo 2012-2018"/>
    <s v="Personas"/>
    <s v="Departamento de Estadísticas e Información de la Salud (DEIS) - Ministerio de Salud"/>
    <x v="986"/>
    <m/>
    <s v="Gráfico de Evolución"/>
    <s v="Región de Ñuble VIH SIDA enfermedad transmisión sexual casos personas población programa"/>
    <x v="645"/>
    <s v="100-R-16"/>
    <s v="#1774B9"/>
    <s v="990-0987"/>
    <n v="99200016"/>
    <s v="T-1000"/>
    <s v="C-1010"/>
    <s v="FI-993"/>
    <s v="M-1077"/>
  </r>
  <r>
    <x v="987"/>
    <n v="990"/>
    <x v="0"/>
    <x v="7"/>
    <n v="0"/>
    <x v="56"/>
    <x v="8"/>
    <x v="0"/>
    <x v="0"/>
    <s v="Región"/>
    <s v="Cantidad de espacios culturales por comuna"/>
    <s v="Año 2021"/>
    <s v="Número de espacios culturales"/>
    <s v="Observatorio Cultural"/>
    <x v="987"/>
    <s v="Las comunas que tienen más de 50 espacios culturales son Santiago, Valparaíso y Providencia, con 104, 60 y 51 espacios, respectivamente."/>
    <s v="Mapa de calor"/>
    <s v="Chile espacio cultural cultura infraestructura número cantidad"/>
    <x v="646"/>
    <s v="300-C"/>
    <s v="#1774B9"/>
    <s v="990-0988"/>
    <n v="99100000"/>
    <s v="T-1024"/>
    <s v="C-1008"/>
    <s v="FI-992"/>
    <s v="M-1006"/>
  </r>
  <r>
    <x v="988"/>
    <n v="990"/>
    <x v="0"/>
    <x v="7"/>
    <n v="1"/>
    <x v="56"/>
    <x v="8"/>
    <x v="1"/>
    <x v="1"/>
    <s v="Ninguno"/>
    <s v="Cantidad de espacios culturales por comuna"/>
    <s v="Año 2021"/>
    <s v="Número de espacios culturales"/>
    <s v="Observatorio Cultural"/>
    <x v="988"/>
    <m/>
    <s v="Mapa de calor"/>
    <s v="Región de Tarapacá espacio cultural cultura infraestructura número cantidad"/>
    <x v="647"/>
    <s v="100-C-1"/>
    <s v="#1774B9"/>
    <s v="990-0989"/>
    <n v="99200001"/>
    <s v="T-1024"/>
    <s v="C-1008"/>
    <s v="FI-993"/>
    <s v="M-1006"/>
  </r>
  <r>
    <x v="989"/>
    <n v="990"/>
    <x v="0"/>
    <x v="7"/>
    <n v="2"/>
    <x v="56"/>
    <x v="8"/>
    <x v="1"/>
    <x v="2"/>
    <s v="Ninguno"/>
    <s v="Cantidad de espacios culturales por comuna"/>
    <s v="Año 2021"/>
    <s v="Número de espacios culturales"/>
    <s v="Observatorio Cultural"/>
    <x v="989"/>
    <m/>
    <s v="Mapa de calor"/>
    <s v="Región de Antofagasta espacio cultural cultura infraestructura número cantidad"/>
    <x v="648"/>
    <s v="100-C-2"/>
    <s v="#1774B9"/>
    <s v="990-0990"/>
    <n v="99200002"/>
    <s v="T-1024"/>
    <s v="C-1008"/>
    <s v="FI-993"/>
    <s v="M-1006"/>
  </r>
  <r>
    <x v="990"/>
    <n v="990"/>
    <x v="0"/>
    <x v="7"/>
    <n v="3"/>
    <x v="56"/>
    <x v="8"/>
    <x v="1"/>
    <x v="3"/>
    <s v="Ninguno"/>
    <s v="Cantidad de espacios culturales por comuna"/>
    <s v="Año 2021"/>
    <s v="Número de espacios culturales"/>
    <s v="Observatorio Cultural"/>
    <x v="990"/>
    <m/>
    <s v="Mapa de calor"/>
    <s v="Región de Atacama espacio cultural cultura infraestructura número cantidad"/>
    <x v="649"/>
    <s v="100-C-3"/>
    <s v="#1774B9"/>
    <s v="990-0991"/>
    <n v="99200003"/>
    <s v="T-1024"/>
    <s v="C-1008"/>
    <s v="FI-993"/>
    <s v="M-1006"/>
  </r>
  <r>
    <x v="991"/>
    <n v="990"/>
    <x v="0"/>
    <x v="7"/>
    <n v="4"/>
    <x v="56"/>
    <x v="8"/>
    <x v="1"/>
    <x v="4"/>
    <s v="Ninguno"/>
    <s v="Cantidad de espacios culturales por comuna"/>
    <s v="Año 2021"/>
    <s v="Número de espacios culturales"/>
    <s v="Observatorio Cultural"/>
    <x v="991"/>
    <m/>
    <s v="Mapa de calor"/>
    <s v="Región de Coquimbo espacio cultural cultura infraestructura número cantidad"/>
    <x v="650"/>
    <s v="100-C-4"/>
    <s v="#1774B9"/>
    <s v="990-0992"/>
    <n v="99200004"/>
    <s v="T-1024"/>
    <s v="C-1008"/>
    <s v="FI-993"/>
    <s v="M-1006"/>
  </r>
  <r>
    <x v="992"/>
    <n v="990"/>
    <x v="0"/>
    <x v="7"/>
    <n v="5"/>
    <x v="56"/>
    <x v="8"/>
    <x v="1"/>
    <x v="5"/>
    <s v="Ninguno"/>
    <s v="Cantidad de espacios culturales por comuna"/>
    <s v="Año 2021"/>
    <s v="Número de espacios culturales"/>
    <s v="Observatorio Cultural"/>
    <x v="992"/>
    <m/>
    <s v="Mapa de calor"/>
    <s v="Región de Valparaíso espacio cultural cultura infraestructura número cantidad"/>
    <x v="651"/>
    <s v="100-C-5"/>
    <s v="#1774B9"/>
    <s v="990-0993"/>
    <n v="99200005"/>
    <s v="T-1024"/>
    <s v="C-1008"/>
    <s v="FI-993"/>
    <s v="M-1006"/>
  </r>
  <r>
    <x v="993"/>
    <n v="990"/>
    <x v="0"/>
    <x v="7"/>
    <n v="6"/>
    <x v="56"/>
    <x v="8"/>
    <x v="1"/>
    <x v="6"/>
    <s v="Ninguno"/>
    <s v="Cantidad de espacios culturales por comuna"/>
    <s v="Año 2021"/>
    <s v="Número de espacios culturales"/>
    <s v="Observatorio Cultural"/>
    <x v="993"/>
    <m/>
    <s v="Mapa de calor"/>
    <s v="Región de O'Higgins espacio cultural cultura infraestructura número cantidad"/>
    <x v="652"/>
    <s v="100-C-6"/>
    <s v="#1774B9"/>
    <s v="990-0994"/>
    <n v="99200006"/>
    <s v="T-1024"/>
    <s v="C-1008"/>
    <s v="FI-993"/>
    <s v="M-1006"/>
  </r>
  <r>
    <x v="994"/>
    <n v="990"/>
    <x v="0"/>
    <x v="7"/>
    <n v="7"/>
    <x v="56"/>
    <x v="8"/>
    <x v="1"/>
    <x v="7"/>
    <s v="Ninguno"/>
    <s v="Cantidad de espacios culturales por comuna"/>
    <s v="Año 2021"/>
    <s v="Número de espacios culturales"/>
    <s v="Observatorio Cultural"/>
    <x v="994"/>
    <m/>
    <s v="Mapa de calor"/>
    <s v="Región de Maule espacio cultural cultura infraestructura número cantidad"/>
    <x v="653"/>
    <s v="100-C-7"/>
    <s v="#1774B9"/>
    <s v="990-0995"/>
    <n v="99200007"/>
    <s v="T-1024"/>
    <s v="C-1008"/>
    <s v="FI-993"/>
    <s v="M-1006"/>
  </r>
  <r>
    <x v="995"/>
    <n v="990"/>
    <x v="0"/>
    <x v="7"/>
    <n v="8"/>
    <x v="56"/>
    <x v="8"/>
    <x v="1"/>
    <x v="8"/>
    <s v="Ninguno"/>
    <s v="Cantidad de espacios culturales por comuna"/>
    <s v="Año 2021"/>
    <s v="Número de espacios culturales"/>
    <s v="Observatorio Cultural"/>
    <x v="995"/>
    <m/>
    <s v="Mapa de calor"/>
    <s v="Región del Biobío espacio cultural cultura infraestructura número cantidad"/>
    <x v="654"/>
    <s v="100-C-8"/>
    <s v="#1774B9"/>
    <s v="990-0996"/>
    <n v="99200008"/>
    <s v="T-1024"/>
    <s v="C-1008"/>
    <s v="FI-993"/>
    <s v="M-1006"/>
  </r>
  <r>
    <x v="996"/>
    <n v="990"/>
    <x v="0"/>
    <x v="7"/>
    <n v="9"/>
    <x v="56"/>
    <x v="8"/>
    <x v="1"/>
    <x v="9"/>
    <s v="Ninguno"/>
    <s v="Cantidad de espacios culturales por comuna"/>
    <s v="Año 2021"/>
    <s v="Número de espacios culturales"/>
    <s v="Observatorio Cultural"/>
    <x v="996"/>
    <m/>
    <s v="Mapa de calor"/>
    <s v="Región de La Araucanía espacio cultural cultura infraestructura número cantidad"/>
    <x v="655"/>
    <s v="100-C-9"/>
    <s v="#1774B9"/>
    <s v="990-0997"/>
    <n v="99200009"/>
    <s v="T-1024"/>
    <s v="C-1008"/>
    <s v="FI-993"/>
    <s v="M-1006"/>
  </r>
  <r>
    <x v="997"/>
    <n v="990"/>
    <x v="0"/>
    <x v="7"/>
    <n v="10"/>
    <x v="56"/>
    <x v="8"/>
    <x v="1"/>
    <x v="10"/>
    <s v="Ninguno"/>
    <s v="Cantidad de espacios culturales por comuna"/>
    <s v="Año 2021"/>
    <s v="Número de espacios culturales"/>
    <s v="Observatorio Cultural"/>
    <x v="997"/>
    <m/>
    <s v="Mapa de calor"/>
    <s v="Región de Los Lagos espacio cultural cultura infraestructura número cantidad"/>
    <x v="656"/>
    <s v="100-C-10"/>
    <s v="#1774B9"/>
    <s v="990-0998"/>
    <n v="99200010"/>
    <s v="T-1024"/>
    <s v="C-1008"/>
    <s v="FI-993"/>
    <s v="M-1006"/>
  </r>
  <r>
    <x v="998"/>
    <n v="990"/>
    <x v="0"/>
    <x v="7"/>
    <n v="11"/>
    <x v="56"/>
    <x v="8"/>
    <x v="1"/>
    <x v="11"/>
    <s v="Ninguno"/>
    <s v="Cantidad de espacios culturales por comuna"/>
    <s v="Año 2021"/>
    <s v="Número de espacios culturales"/>
    <s v="Observatorio Cultural"/>
    <x v="998"/>
    <m/>
    <s v="Mapa de calor"/>
    <s v="Región de Aysén espacio cultural cultura infraestructura número cantidad"/>
    <x v="657"/>
    <s v="100-C-11"/>
    <s v="#1774B9"/>
    <s v="990-0999"/>
    <n v="99200011"/>
    <s v="T-1024"/>
    <s v="C-1008"/>
    <s v="FI-993"/>
    <s v="M-1006"/>
  </r>
  <r>
    <x v="999"/>
    <n v="990"/>
    <x v="0"/>
    <x v="7"/>
    <n v="12"/>
    <x v="56"/>
    <x v="8"/>
    <x v="1"/>
    <x v="12"/>
    <s v="Ninguno"/>
    <s v="Cantidad de espacios culturales por comuna"/>
    <s v="Año 2021"/>
    <s v="Número de espacios culturales"/>
    <s v="Observatorio Cultural"/>
    <x v="999"/>
    <m/>
    <s v="Mapa de calor"/>
    <s v="Región de Magallanes espacio cultural cultura infraestructura número cantidad"/>
    <x v="658"/>
    <s v="100-C-12"/>
    <s v="#1774B9"/>
    <s v="990-1000"/>
    <n v="99200012"/>
    <s v="T-1024"/>
    <s v="C-1008"/>
    <s v="FI-993"/>
    <s v="M-1006"/>
  </r>
  <r>
    <x v="1000"/>
    <n v="990"/>
    <x v="0"/>
    <x v="7"/>
    <n v="13"/>
    <x v="56"/>
    <x v="8"/>
    <x v="1"/>
    <x v="13"/>
    <s v="Ninguno"/>
    <s v="Cantidad de espacios culturales por comuna"/>
    <s v="Año 2021"/>
    <s v="Número de espacios culturales"/>
    <s v="Observatorio Cultural"/>
    <x v="1000"/>
    <m/>
    <s v="Mapa de calor"/>
    <s v="Región Metropolitana espacio cultural cultura infraestructura número cantidad"/>
    <x v="659"/>
    <s v="200-C-13"/>
    <s v="#1774B9"/>
    <s v="990-1001"/>
    <n v="99200013"/>
    <s v="T-1024"/>
    <s v="C-1008"/>
    <s v="FI-993"/>
    <s v="M-1006"/>
  </r>
  <r>
    <x v="1001"/>
    <n v="990"/>
    <x v="0"/>
    <x v="7"/>
    <n v="14"/>
    <x v="56"/>
    <x v="8"/>
    <x v="1"/>
    <x v="14"/>
    <s v="Ninguno"/>
    <s v="Cantidad de espacios culturales por comuna"/>
    <s v="Año 2021"/>
    <s v="Número de espacios culturales"/>
    <s v="Observatorio Cultural"/>
    <x v="1001"/>
    <m/>
    <s v="Mapa de calor"/>
    <s v="Región de Los Ríos espacio cultural cultura infraestructura número cantidad"/>
    <x v="660"/>
    <s v="100-C-14"/>
    <s v="#1774B9"/>
    <s v="990-1002"/>
    <n v="99200014"/>
    <s v="T-1024"/>
    <s v="C-1008"/>
    <s v="FI-993"/>
    <s v="M-1006"/>
  </r>
  <r>
    <x v="1002"/>
    <n v="990"/>
    <x v="0"/>
    <x v="7"/>
    <n v="15"/>
    <x v="56"/>
    <x v="8"/>
    <x v="1"/>
    <x v="15"/>
    <s v="Ninguno"/>
    <s v="Cantidad de espacios culturales por comuna"/>
    <s v="Año 2021"/>
    <s v="Número de espacios culturales"/>
    <s v="Observatorio Cultural"/>
    <x v="1002"/>
    <m/>
    <s v="Mapa de calor"/>
    <s v="Región de Arica y Parinacota espacio cultural cultura infraestructura número cantidad"/>
    <x v="661"/>
    <s v="100-C-15"/>
    <s v="#1774B9"/>
    <s v="990-1003"/>
    <n v="99200015"/>
    <s v="T-1024"/>
    <s v="C-1008"/>
    <s v="FI-993"/>
    <s v="M-1006"/>
  </r>
  <r>
    <x v="1003"/>
    <n v="990"/>
    <x v="0"/>
    <x v="7"/>
    <n v="16"/>
    <x v="56"/>
    <x v="8"/>
    <x v="1"/>
    <x v="16"/>
    <s v="Ninguno"/>
    <s v="Cantidad de espacios culturales por comuna"/>
    <s v="Año 2021"/>
    <s v="Número de espacios culturales"/>
    <s v="Observatorio Cultural"/>
    <x v="1003"/>
    <m/>
    <s v="Mapa de calor"/>
    <s v="Región de Ñuble espacio cultural cultura infraestructura número cantidad"/>
    <x v="662"/>
    <s v="100-C-16"/>
    <s v="#1774B9"/>
    <s v="990-1004"/>
    <n v="99200016"/>
    <s v="T-1024"/>
    <s v="C-1008"/>
    <s v="FI-993"/>
    <s v="M-1006"/>
  </r>
  <r>
    <x v="1004"/>
    <n v="990"/>
    <x v="0"/>
    <x v="7"/>
    <n v="0"/>
    <x v="57"/>
    <x v="8"/>
    <x v="0"/>
    <x v="0"/>
    <s v="Comuna"/>
    <s v="Cantidad de espacios culturales por financiamiento por comuna"/>
    <s v="Año 2021"/>
    <s v="Número de espacios culturales"/>
    <s v="Observatorio Cultural"/>
    <x v="1004"/>
    <s v="La mayoría de los espacios culturales se financian por fuentes públicas, seguido por las fuentes privadas y las mixtas. La región que cuenta con más espacios financiados por fuentes públicas es la Metropolitana, con 146. Por otro lado, la que menos tiene es Arica y Parinacota, con 18."/>
    <s v="Gráfico"/>
    <s v="Chile espacio cultural cultura infraestructura fuente financiamiento pública privada mixta"/>
    <x v="663"/>
    <s v="300-C"/>
    <s v="#1774B9"/>
    <s v="990-1005"/>
    <n v="99100000"/>
    <s v="T-1025"/>
    <s v="C-1008"/>
    <s v="FI-991"/>
    <s v="M-1078"/>
  </r>
  <r>
    <x v="1005"/>
    <n v="990"/>
    <x v="0"/>
    <x v="7"/>
    <n v="1"/>
    <x v="57"/>
    <x v="8"/>
    <x v="1"/>
    <x v="1"/>
    <s v="Comuna"/>
    <s v="Cantidad de espacios culturales por financiamiento por comuna"/>
    <s v="Año 2021"/>
    <s v="Número de espacios culturales"/>
    <s v="Observatorio Cultural"/>
    <x v="1005"/>
    <m/>
    <s v="Gráfico"/>
    <s v="Región de Tarapacá espacio cultural cultura infraestructura fuente financiamiento pública privada mixta"/>
    <x v="664"/>
    <s v="100-C-1"/>
    <s v="#1774B9"/>
    <s v="990-1006"/>
    <n v="99200001"/>
    <s v="T-1025"/>
    <s v="C-1008"/>
    <s v="FI-991"/>
    <s v="M-1078"/>
  </r>
  <r>
    <x v="1006"/>
    <n v="990"/>
    <x v="0"/>
    <x v="7"/>
    <n v="2"/>
    <x v="57"/>
    <x v="8"/>
    <x v="1"/>
    <x v="2"/>
    <s v="Comuna"/>
    <s v="Cantidad de espacios culturales por financiamiento por comuna"/>
    <s v="Año 2021"/>
    <s v="Número de espacios culturales"/>
    <s v="Observatorio Cultural"/>
    <x v="1006"/>
    <m/>
    <s v="Gráfico"/>
    <s v="Región de Antofagasta espacio cultural cultura infraestructura fuente financiamiento pública privada mixta"/>
    <x v="665"/>
    <s v="100-C-2"/>
    <s v="#1774B9"/>
    <s v="990-1007"/>
    <n v="99200002"/>
    <s v="T-1025"/>
    <s v="C-1008"/>
    <s v="FI-991"/>
    <s v="M-1078"/>
  </r>
  <r>
    <x v="1007"/>
    <n v="990"/>
    <x v="0"/>
    <x v="7"/>
    <n v="3"/>
    <x v="57"/>
    <x v="8"/>
    <x v="1"/>
    <x v="3"/>
    <s v="Comuna"/>
    <s v="Cantidad de espacios culturales por financiamiento por comuna"/>
    <s v="Año 2021"/>
    <s v="Número de espacios culturales"/>
    <s v="Observatorio Cultural"/>
    <x v="1007"/>
    <m/>
    <s v="Gráfico"/>
    <s v="Región de Atacama espacio cultural cultura infraestructura fuente financiamiento pública privada mixta"/>
    <x v="666"/>
    <s v="100-C-3"/>
    <s v="#1774B9"/>
    <s v="990-1008"/>
    <n v="99200003"/>
    <s v="T-1025"/>
    <s v="C-1008"/>
    <s v="FI-991"/>
    <s v="M-1078"/>
  </r>
  <r>
    <x v="1008"/>
    <n v="990"/>
    <x v="0"/>
    <x v="7"/>
    <n v="4"/>
    <x v="57"/>
    <x v="8"/>
    <x v="1"/>
    <x v="4"/>
    <s v="Comuna"/>
    <s v="Cantidad de espacios culturales por financiamiento por comuna"/>
    <s v="Año 2021"/>
    <s v="Número de espacios culturales"/>
    <s v="Observatorio Cultural"/>
    <x v="1008"/>
    <m/>
    <s v="Gráfico"/>
    <s v="Región de Coquimbo espacio cultural cultura infraestructura fuente financiamiento pública privada mixta"/>
    <x v="667"/>
    <s v="100-C-4"/>
    <s v="#1774B9"/>
    <s v="990-1009"/>
    <n v="99200004"/>
    <s v="T-1025"/>
    <s v="C-1008"/>
    <s v="FI-991"/>
    <s v="M-1078"/>
  </r>
  <r>
    <x v="1009"/>
    <n v="990"/>
    <x v="0"/>
    <x v="7"/>
    <n v="5"/>
    <x v="57"/>
    <x v="8"/>
    <x v="1"/>
    <x v="5"/>
    <s v="Comuna"/>
    <s v="Cantidad de espacios culturales por financiamiento por comuna"/>
    <s v="Año 2021"/>
    <s v="Número de espacios culturales"/>
    <s v="Observatorio Cultural"/>
    <x v="1009"/>
    <m/>
    <s v="Gráfico"/>
    <s v="Región de Valparaíso espacio cultural cultura infraestructura fuente financiamiento pública privada mixta"/>
    <x v="668"/>
    <s v="100-C-5"/>
    <s v="#1774B9"/>
    <s v="990-1010"/>
    <n v="99200005"/>
    <s v="T-1025"/>
    <s v="C-1008"/>
    <s v="FI-991"/>
    <s v="M-1078"/>
  </r>
  <r>
    <x v="1010"/>
    <n v="990"/>
    <x v="0"/>
    <x v="7"/>
    <n v="6"/>
    <x v="57"/>
    <x v="8"/>
    <x v="1"/>
    <x v="6"/>
    <s v="Comuna"/>
    <s v="Cantidad de espacios culturales por financiamiento por comuna"/>
    <s v="Año 2021"/>
    <s v="Número de espacios culturales"/>
    <s v="Observatorio Cultural"/>
    <x v="1010"/>
    <m/>
    <s v="Gráfico"/>
    <s v="Región de O'Higgins espacio cultural cultura infraestructura fuente financiamiento pública privada mixta"/>
    <x v="669"/>
    <s v="100-C-6"/>
    <s v="#1774B9"/>
    <s v="990-1011"/>
    <n v="99200006"/>
    <s v="T-1025"/>
    <s v="C-1008"/>
    <s v="FI-991"/>
    <s v="M-1078"/>
  </r>
  <r>
    <x v="1011"/>
    <n v="990"/>
    <x v="0"/>
    <x v="7"/>
    <n v="7"/>
    <x v="57"/>
    <x v="8"/>
    <x v="1"/>
    <x v="7"/>
    <s v="Comuna"/>
    <s v="Cantidad de espacios culturales por financiamiento por comuna"/>
    <s v="Año 2021"/>
    <s v="Número de espacios culturales"/>
    <s v="Observatorio Cultural"/>
    <x v="1011"/>
    <m/>
    <s v="Gráfico"/>
    <s v="Región de Maule espacio cultural cultura infraestructura fuente financiamiento pública privada mixta"/>
    <x v="670"/>
    <s v="100-C-7"/>
    <s v="#1774B9"/>
    <s v="990-1012"/>
    <n v="99200007"/>
    <s v="T-1025"/>
    <s v="C-1008"/>
    <s v="FI-991"/>
    <s v="M-1078"/>
  </r>
  <r>
    <x v="1012"/>
    <n v="990"/>
    <x v="0"/>
    <x v="7"/>
    <n v="8"/>
    <x v="57"/>
    <x v="8"/>
    <x v="1"/>
    <x v="8"/>
    <s v="Comuna"/>
    <s v="Cantidad de espacios culturales por financiamiento por comuna"/>
    <s v="Año 2021"/>
    <s v="Número de espacios culturales"/>
    <s v="Observatorio Cultural"/>
    <x v="1012"/>
    <m/>
    <s v="Gráfico"/>
    <s v="Región del Biobío espacio cultural cultura infraestructura fuente financiamiento pública privada mixta"/>
    <x v="671"/>
    <s v="100-C-8"/>
    <s v="#1774B9"/>
    <s v="990-1013"/>
    <n v="99200008"/>
    <s v="T-1025"/>
    <s v="C-1008"/>
    <s v="FI-991"/>
    <s v="M-1078"/>
  </r>
  <r>
    <x v="1013"/>
    <n v="990"/>
    <x v="0"/>
    <x v="7"/>
    <n v="9"/>
    <x v="57"/>
    <x v="8"/>
    <x v="1"/>
    <x v="9"/>
    <s v="Comuna"/>
    <s v="Cantidad de espacios culturales por financiamiento por comuna"/>
    <s v="Año 2021"/>
    <s v="Número de espacios culturales"/>
    <s v="Observatorio Cultural"/>
    <x v="1013"/>
    <m/>
    <s v="Gráfico"/>
    <s v="Región de La Araucanía espacio cultural cultura infraestructura fuente financiamiento pública privada mixta"/>
    <x v="672"/>
    <s v="100-C-9"/>
    <s v="#1774B9"/>
    <s v="990-1014"/>
    <n v="99200009"/>
    <s v="T-1025"/>
    <s v="C-1008"/>
    <s v="FI-991"/>
    <s v="M-1078"/>
  </r>
  <r>
    <x v="1014"/>
    <n v="990"/>
    <x v="0"/>
    <x v="7"/>
    <n v="10"/>
    <x v="57"/>
    <x v="8"/>
    <x v="1"/>
    <x v="10"/>
    <s v="Comuna"/>
    <s v="Cantidad de espacios culturales por financiamiento por comuna"/>
    <s v="Año 2021"/>
    <s v="Número de espacios culturales"/>
    <s v="Observatorio Cultural"/>
    <x v="1014"/>
    <m/>
    <s v="Gráfico"/>
    <s v="Región de Los Lagos espacio cultural cultura infraestructura fuente financiamiento pública privada mixta"/>
    <x v="673"/>
    <s v="100-C-10"/>
    <s v="#1774B9"/>
    <s v="990-1015"/>
    <n v="99200010"/>
    <s v="T-1025"/>
    <s v="C-1008"/>
    <s v="FI-991"/>
    <s v="M-1078"/>
  </r>
  <r>
    <x v="1015"/>
    <n v="990"/>
    <x v="0"/>
    <x v="7"/>
    <n v="11"/>
    <x v="57"/>
    <x v="8"/>
    <x v="1"/>
    <x v="11"/>
    <s v="Comuna"/>
    <s v="Cantidad de espacios culturales por financiamiento por comuna"/>
    <s v="Año 2021"/>
    <s v="Número de espacios culturales"/>
    <s v="Observatorio Cultural"/>
    <x v="1015"/>
    <m/>
    <s v="Gráfico"/>
    <s v="Región de Aysén espacio cultural cultura infraestructura fuente financiamiento pública privada mixta"/>
    <x v="674"/>
    <s v="100-C-11"/>
    <s v="#1774B9"/>
    <s v="990-1016"/>
    <n v="99200011"/>
    <s v="T-1025"/>
    <s v="C-1008"/>
    <s v="FI-991"/>
    <s v="M-1078"/>
  </r>
  <r>
    <x v="1016"/>
    <n v="990"/>
    <x v="0"/>
    <x v="7"/>
    <n v="12"/>
    <x v="57"/>
    <x v="8"/>
    <x v="1"/>
    <x v="12"/>
    <s v="Comuna"/>
    <s v="Cantidad de espacios culturales por financiamiento por comuna"/>
    <s v="Año 2021"/>
    <s v="Número de espacios culturales"/>
    <s v="Observatorio Cultural"/>
    <x v="1016"/>
    <m/>
    <s v="Gráfico"/>
    <s v="Región de Magallanes espacio cultural cultura infraestructura fuente financiamiento pública privada mixta"/>
    <x v="675"/>
    <s v="100-C-12"/>
    <s v="#1774B9"/>
    <s v="990-1017"/>
    <n v="99200012"/>
    <s v="T-1025"/>
    <s v="C-1008"/>
    <s v="FI-991"/>
    <s v="M-1078"/>
  </r>
  <r>
    <x v="1017"/>
    <n v="990"/>
    <x v="0"/>
    <x v="7"/>
    <n v="13"/>
    <x v="57"/>
    <x v="8"/>
    <x v="1"/>
    <x v="13"/>
    <s v="Comuna"/>
    <s v="Cantidad de espacios culturales por financiamiento por comuna"/>
    <s v="Año 2021"/>
    <s v="Número de espacios culturales"/>
    <s v="Observatorio Cultural"/>
    <x v="1017"/>
    <m/>
    <s v="Gráfico"/>
    <s v="Región Metropolitana espacio cultural cultura infraestructura fuente financiamiento pública privada mixta"/>
    <x v="676"/>
    <s v="200-C-13"/>
    <s v="#1774B9"/>
    <s v="990-1018"/>
    <n v="99200013"/>
    <s v="T-1025"/>
    <s v="C-1008"/>
    <s v="FI-991"/>
    <s v="M-1078"/>
  </r>
  <r>
    <x v="1018"/>
    <n v="990"/>
    <x v="0"/>
    <x v="7"/>
    <n v="14"/>
    <x v="57"/>
    <x v="8"/>
    <x v="1"/>
    <x v="14"/>
    <s v="Comuna"/>
    <s v="Cantidad de espacios culturales por financiamiento por comuna"/>
    <s v="Año 2021"/>
    <s v="Número de espacios culturales"/>
    <s v="Observatorio Cultural"/>
    <x v="1018"/>
    <m/>
    <s v="Gráfico"/>
    <s v="Región de Los Ríos espacio cultural cultura infraestructura fuente financiamiento pública privada mixta"/>
    <x v="677"/>
    <s v="100-C-14"/>
    <s v="#1774B9"/>
    <s v="990-1019"/>
    <n v="99200014"/>
    <s v="T-1025"/>
    <s v="C-1008"/>
    <s v="FI-991"/>
    <s v="M-1078"/>
  </r>
  <r>
    <x v="1019"/>
    <n v="990"/>
    <x v="0"/>
    <x v="7"/>
    <n v="15"/>
    <x v="57"/>
    <x v="8"/>
    <x v="1"/>
    <x v="15"/>
    <s v="Comuna"/>
    <s v="Cantidad de espacios culturales por financiamiento por comuna"/>
    <s v="Año 2021"/>
    <s v="Número de espacios culturales"/>
    <s v="Observatorio Cultural"/>
    <x v="1019"/>
    <m/>
    <s v="Gráfico"/>
    <s v="Región de Arica y Parinacota espacio cultural cultura infraestructura fuente financiamiento pública privada mixta"/>
    <x v="678"/>
    <s v="100-C-15"/>
    <s v="#1774B9"/>
    <s v="990-1020"/>
    <n v="99200015"/>
    <s v="T-1025"/>
    <s v="C-1008"/>
    <s v="FI-991"/>
    <s v="M-1078"/>
  </r>
  <r>
    <x v="1020"/>
    <n v="990"/>
    <x v="0"/>
    <x v="7"/>
    <n v="16"/>
    <x v="57"/>
    <x v="8"/>
    <x v="1"/>
    <x v="16"/>
    <s v="Comuna"/>
    <s v="Cantidad de espacios culturales por financiamiento por comuna"/>
    <s v="Año 2021"/>
    <s v="Número de espacios culturales"/>
    <s v="Observatorio Cultural"/>
    <x v="1020"/>
    <m/>
    <s v="Gráfico"/>
    <s v="Región de Ñuble espacio cultural cultura infraestructura fuente financiamiento pública privada mixta"/>
    <x v="679"/>
    <s v="100-C-16"/>
    <s v="#1774B9"/>
    <s v="990-1021"/>
    <n v="99200016"/>
    <s v="T-1025"/>
    <s v="C-1008"/>
    <s v="FI-991"/>
    <s v="M-1078"/>
  </r>
  <r>
    <x v="1021"/>
    <n v="990"/>
    <x v="0"/>
    <x v="7"/>
    <n v="0"/>
    <x v="56"/>
    <x v="8"/>
    <x v="0"/>
    <x v="0"/>
    <s v="Comuna"/>
    <s v="Cantidad de espacios culturales por comuna"/>
    <s v="Año 2021"/>
    <s v="Número de espacios culturales"/>
    <s v="Observatorio Cultural"/>
    <x v="1021"/>
    <s v="La categoría de espacio cultural que predomina en Chile es &quot;Otros espacios con uso cultural&quot;. En ella, Valparaíso tiene 153 espacios. Por otro lado, la categoría menos habitual es &quot;Carpa de Circo&quot;, con solo 5 espacios, repartidos en Coquimbo, Valparaíso y Ñuble."/>
    <s v="Gráfico"/>
    <s v="Chile espacio cultural cultura infraestructura categoría tipo biblioteca museo archivo"/>
    <x v="629"/>
    <s v="300-C"/>
    <s v="#1774B9"/>
    <s v="990-1022"/>
    <n v="99100000"/>
    <s v="T-1024"/>
    <s v="C-1008"/>
    <s v="FI-991"/>
    <s v="M-1006"/>
  </r>
  <r>
    <x v="1022"/>
    <n v="990"/>
    <x v="0"/>
    <x v="7"/>
    <n v="1"/>
    <x v="56"/>
    <x v="8"/>
    <x v="1"/>
    <x v="1"/>
    <s v="Comuna"/>
    <s v="Cantidad de espacios culturales por comuna"/>
    <s v="Año 2021"/>
    <s v="Número de espacios culturales"/>
    <s v="Observatorio Cultural"/>
    <x v="1022"/>
    <m/>
    <s v="Gráfico"/>
    <s v="Región de Tarapacá espacio cultural cultura infraestructura categoría tipo biblioteca museo archivo"/>
    <x v="630"/>
    <s v="100-C-1"/>
    <s v="#1774B9"/>
    <s v="990-1023"/>
    <n v="99200001"/>
    <s v="T-1024"/>
    <s v="C-1008"/>
    <s v="FI-991"/>
    <s v="M-1006"/>
  </r>
  <r>
    <x v="1023"/>
    <n v="990"/>
    <x v="0"/>
    <x v="7"/>
    <n v="2"/>
    <x v="56"/>
    <x v="8"/>
    <x v="1"/>
    <x v="2"/>
    <s v="Comuna"/>
    <s v="Cantidad de espacios culturales por comuna"/>
    <s v="Año 2021"/>
    <s v="Número de espacios culturales"/>
    <s v="Observatorio Cultural"/>
    <x v="1023"/>
    <m/>
    <s v="Gráfico"/>
    <s v="Región de Antofagasta espacio cultural cultura infraestructura categoría tipo biblioteca museo archivo"/>
    <x v="631"/>
    <s v="100-C-2"/>
    <s v="#1774B9"/>
    <s v="990-1024"/>
    <n v="99200002"/>
    <s v="T-1024"/>
    <s v="C-1008"/>
    <s v="FI-991"/>
    <s v="M-1006"/>
  </r>
  <r>
    <x v="1024"/>
    <n v="990"/>
    <x v="0"/>
    <x v="7"/>
    <n v="3"/>
    <x v="56"/>
    <x v="8"/>
    <x v="1"/>
    <x v="3"/>
    <s v="Comuna"/>
    <s v="Cantidad de espacios culturales por comuna"/>
    <s v="Año 2021"/>
    <s v="Número de espacios culturales"/>
    <s v="Observatorio Cultural"/>
    <x v="1024"/>
    <m/>
    <s v="Gráfico"/>
    <s v="Región de Atacama espacio cultural cultura infraestructura categoría tipo biblioteca museo archivo"/>
    <x v="632"/>
    <s v="100-C-3"/>
    <s v="#1774B9"/>
    <s v="990-1025"/>
    <n v="99200003"/>
    <s v="T-1024"/>
    <s v="C-1008"/>
    <s v="FI-991"/>
    <s v="M-1006"/>
  </r>
  <r>
    <x v="1025"/>
    <n v="990"/>
    <x v="0"/>
    <x v="7"/>
    <n v="4"/>
    <x v="56"/>
    <x v="8"/>
    <x v="1"/>
    <x v="4"/>
    <s v="Comuna"/>
    <s v="Cantidad de espacios culturales por comuna"/>
    <s v="Año 2021"/>
    <s v="Número de espacios culturales"/>
    <s v="Observatorio Cultural"/>
    <x v="1025"/>
    <m/>
    <s v="Gráfico"/>
    <s v="Región de Coquimbo espacio cultural cultura infraestructura categoría tipo biblioteca museo archivo"/>
    <x v="633"/>
    <s v="100-C-4"/>
    <s v="#1774B9"/>
    <s v="990-1026"/>
    <n v="99200004"/>
    <s v="T-1024"/>
    <s v="C-1008"/>
    <s v="FI-991"/>
    <s v="M-1006"/>
  </r>
  <r>
    <x v="1026"/>
    <n v="990"/>
    <x v="0"/>
    <x v="7"/>
    <n v="5"/>
    <x v="56"/>
    <x v="8"/>
    <x v="1"/>
    <x v="5"/>
    <s v="Comuna"/>
    <s v="Cantidad de espacios culturales por comuna"/>
    <s v="Año 2021"/>
    <s v="Número de espacios culturales"/>
    <s v="Observatorio Cultural"/>
    <x v="1026"/>
    <m/>
    <s v="Gráfico"/>
    <s v="Región de Valparaíso espacio cultural cultura infraestructura categoría tipo biblioteca museo archivo"/>
    <x v="634"/>
    <s v="100-C-5"/>
    <s v="#1774B9"/>
    <s v="990-1027"/>
    <n v="99200005"/>
    <s v="T-1024"/>
    <s v="C-1008"/>
    <s v="FI-991"/>
    <s v="M-1006"/>
  </r>
  <r>
    <x v="1027"/>
    <n v="990"/>
    <x v="0"/>
    <x v="7"/>
    <n v="6"/>
    <x v="56"/>
    <x v="8"/>
    <x v="1"/>
    <x v="6"/>
    <s v="Comuna"/>
    <s v="Cantidad de espacios culturales por comuna"/>
    <s v="Año 2021"/>
    <s v="Número de espacios culturales"/>
    <s v="Observatorio Cultural"/>
    <x v="1027"/>
    <m/>
    <s v="Gráfico"/>
    <s v="Región de O'Higgins espacio cultural cultura infraestructura categoría tipo biblioteca museo archivo"/>
    <x v="635"/>
    <s v="100-C-6"/>
    <s v="#1774B9"/>
    <s v="990-1028"/>
    <n v="99200006"/>
    <s v="T-1024"/>
    <s v="C-1008"/>
    <s v="FI-991"/>
    <s v="M-1006"/>
  </r>
  <r>
    <x v="1028"/>
    <n v="990"/>
    <x v="0"/>
    <x v="7"/>
    <n v="7"/>
    <x v="56"/>
    <x v="8"/>
    <x v="1"/>
    <x v="7"/>
    <s v="Comuna"/>
    <s v="Cantidad de espacios culturales por comuna"/>
    <s v="Año 2021"/>
    <s v="Número de espacios culturales"/>
    <s v="Observatorio Cultural"/>
    <x v="1028"/>
    <m/>
    <s v="Gráfico"/>
    <s v="Región de Maule espacio cultural cultura infraestructura categoría tipo biblioteca museo archivo"/>
    <x v="636"/>
    <s v="100-C-7"/>
    <s v="#1774B9"/>
    <s v="990-1029"/>
    <n v="99200007"/>
    <s v="T-1024"/>
    <s v="C-1008"/>
    <s v="FI-991"/>
    <s v="M-1006"/>
  </r>
  <r>
    <x v="1029"/>
    <n v="990"/>
    <x v="0"/>
    <x v="7"/>
    <n v="8"/>
    <x v="56"/>
    <x v="8"/>
    <x v="1"/>
    <x v="8"/>
    <s v="Comuna"/>
    <s v="Cantidad de espacios culturales por comuna"/>
    <s v="Año 2021"/>
    <s v="Número de espacios culturales"/>
    <s v="Observatorio Cultural"/>
    <x v="1029"/>
    <m/>
    <s v="Gráfico"/>
    <s v="Región del Biobío espacio cultural cultura infraestructura categoría tipo biblioteca museo archivo"/>
    <x v="637"/>
    <s v="100-C-8"/>
    <s v="#1774B9"/>
    <s v="990-1030"/>
    <n v="99200008"/>
    <s v="T-1024"/>
    <s v="C-1008"/>
    <s v="FI-991"/>
    <s v="M-1006"/>
  </r>
  <r>
    <x v="1030"/>
    <n v="990"/>
    <x v="0"/>
    <x v="7"/>
    <n v="9"/>
    <x v="56"/>
    <x v="8"/>
    <x v="1"/>
    <x v="9"/>
    <s v="Comuna"/>
    <s v="Cantidad de espacios culturales por comuna"/>
    <s v="Año 2021"/>
    <s v="Número de espacios culturales"/>
    <s v="Observatorio Cultural"/>
    <x v="1030"/>
    <m/>
    <s v="Gráfico"/>
    <s v="Región de La Araucanía espacio cultural cultura infraestructura categoría tipo biblioteca museo archivo"/>
    <x v="638"/>
    <s v="100-C-9"/>
    <s v="#1774B9"/>
    <s v="990-1031"/>
    <n v="99200009"/>
    <s v="T-1024"/>
    <s v="C-1008"/>
    <s v="FI-991"/>
    <s v="M-1006"/>
  </r>
  <r>
    <x v="1031"/>
    <n v="990"/>
    <x v="0"/>
    <x v="7"/>
    <n v="10"/>
    <x v="56"/>
    <x v="8"/>
    <x v="1"/>
    <x v="10"/>
    <s v="Comuna"/>
    <s v="Cantidad de espacios culturales por comuna"/>
    <s v="Año 2021"/>
    <s v="Número de espacios culturales"/>
    <s v="Observatorio Cultural"/>
    <x v="1031"/>
    <m/>
    <s v="Gráfico"/>
    <s v="Región de Los Lagos espacio cultural cultura infraestructura categoría tipo biblioteca museo archivo"/>
    <x v="639"/>
    <s v="100-C-10"/>
    <s v="#1774B9"/>
    <s v="990-1032"/>
    <n v="99200010"/>
    <s v="T-1024"/>
    <s v="C-1008"/>
    <s v="FI-991"/>
    <s v="M-1006"/>
  </r>
  <r>
    <x v="1032"/>
    <n v="990"/>
    <x v="0"/>
    <x v="7"/>
    <n v="11"/>
    <x v="56"/>
    <x v="8"/>
    <x v="1"/>
    <x v="11"/>
    <s v="Comuna"/>
    <s v="Cantidad de espacios culturales por comuna"/>
    <s v="Año 2021"/>
    <s v="Número de espacios culturales"/>
    <s v="Observatorio Cultural"/>
    <x v="1032"/>
    <m/>
    <s v="Gráfico"/>
    <s v="Región de Aysén espacio cultural cultura infraestructura categoría tipo biblioteca museo archivo"/>
    <x v="640"/>
    <s v="100-C-11"/>
    <s v="#1774B9"/>
    <s v="990-1033"/>
    <n v="99200011"/>
    <s v="T-1024"/>
    <s v="C-1008"/>
    <s v="FI-991"/>
    <s v="M-1006"/>
  </r>
  <r>
    <x v="1033"/>
    <n v="990"/>
    <x v="0"/>
    <x v="7"/>
    <n v="12"/>
    <x v="56"/>
    <x v="8"/>
    <x v="1"/>
    <x v="12"/>
    <s v="Comuna"/>
    <s v="Cantidad de espacios culturales por comuna"/>
    <s v="Año 2021"/>
    <s v="Número de espacios culturales"/>
    <s v="Observatorio Cultural"/>
    <x v="1033"/>
    <m/>
    <s v="Gráfico"/>
    <s v="Región de Magallanes espacio cultural cultura infraestructura categoría tipo biblioteca museo archivo"/>
    <x v="641"/>
    <s v="100-C-12"/>
    <s v="#1774B9"/>
    <s v="990-1034"/>
    <n v="99200012"/>
    <s v="T-1024"/>
    <s v="C-1008"/>
    <s v="FI-991"/>
    <s v="M-1006"/>
  </r>
  <r>
    <x v="1034"/>
    <n v="990"/>
    <x v="0"/>
    <x v="7"/>
    <n v="13"/>
    <x v="56"/>
    <x v="8"/>
    <x v="1"/>
    <x v="13"/>
    <s v="Comuna"/>
    <s v="Cantidad de espacios culturales por comuna"/>
    <s v="Año 2021"/>
    <s v="Número de espacios culturales"/>
    <s v="Observatorio Cultural"/>
    <x v="1034"/>
    <m/>
    <s v="Gráfico"/>
    <s v="Región Metropolitana espacio cultural cultura infraestructura categoría tipo biblioteca museo archivo"/>
    <x v="642"/>
    <s v="200-C-13"/>
    <s v="#1774B9"/>
    <s v="990-1035"/>
    <n v="99200013"/>
    <s v="T-1024"/>
    <s v="C-1008"/>
    <s v="FI-991"/>
    <s v="M-1006"/>
  </r>
  <r>
    <x v="1035"/>
    <n v="990"/>
    <x v="0"/>
    <x v="7"/>
    <n v="14"/>
    <x v="56"/>
    <x v="8"/>
    <x v="1"/>
    <x v="14"/>
    <s v="Comuna"/>
    <s v="Cantidad de espacios culturales por comuna"/>
    <s v="Año 2021"/>
    <s v="Número de espacios culturales"/>
    <s v="Observatorio Cultural"/>
    <x v="1035"/>
    <m/>
    <s v="Gráfico"/>
    <s v="Región de Los Ríos espacio cultural cultura infraestructura categoría tipo biblioteca museo archivo"/>
    <x v="643"/>
    <s v="100-C-14"/>
    <s v="#1774B9"/>
    <s v="990-1036"/>
    <n v="99200014"/>
    <s v="T-1024"/>
    <s v="C-1008"/>
    <s v="FI-991"/>
    <s v="M-1006"/>
  </r>
  <r>
    <x v="1036"/>
    <n v="990"/>
    <x v="0"/>
    <x v="7"/>
    <n v="15"/>
    <x v="56"/>
    <x v="8"/>
    <x v="1"/>
    <x v="15"/>
    <s v="Comuna"/>
    <s v="Cantidad de espacios culturales por comuna"/>
    <s v="Año 2021"/>
    <s v="Número de espacios culturales"/>
    <s v="Observatorio Cultural"/>
    <x v="1036"/>
    <m/>
    <s v="Gráfico"/>
    <s v="Región de Arica y Parinacota espacio cultural cultura infraestructura categoría tipo biblioteca museo archivo"/>
    <x v="644"/>
    <s v="100-C-15"/>
    <s v="#1774B9"/>
    <s v="990-1037"/>
    <n v="99200015"/>
    <s v="T-1024"/>
    <s v="C-1008"/>
    <s v="FI-991"/>
    <s v="M-1006"/>
  </r>
  <r>
    <x v="1037"/>
    <n v="990"/>
    <x v="0"/>
    <x v="7"/>
    <n v="16"/>
    <x v="56"/>
    <x v="8"/>
    <x v="1"/>
    <x v="16"/>
    <s v="Comuna"/>
    <s v="Cantidad de espacios culturales por comuna"/>
    <s v="Año 2021"/>
    <s v="Número de espacios culturales"/>
    <s v="Observatorio Cultural"/>
    <x v="1037"/>
    <m/>
    <s v="Gráfico"/>
    <s v="Región de Ñuble espacio cultural cultura infraestructura categoría tipo biblioteca museo archivo"/>
    <x v="645"/>
    <s v="100-C-16"/>
    <s v="#1774B9"/>
    <s v="990-1038"/>
    <n v="99200016"/>
    <s v="T-1024"/>
    <s v="C-1008"/>
    <s v="FI-991"/>
    <s v="M-1006"/>
  </r>
  <r>
    <x v="1038"/>
    <n v="990"/>
    <x v="0"/>
    <x v="7"/>
    <n v="0"/>
    <x v="58"/>
    <x v="8"/>
    <x v="0"/>
    <x v="0"/>
    <s v="Comuna"/>
    <s v="Cantidad de espacios culturales por comuna"/>
    <s v="Año 2021"/>
    <s v="Número de espacios culturales"/>
    <s v="Observatorio Cultural"/>
    <x v="1038"/>
    <s v="La mayoría de los espacios culturales en el país, se encuentra en buen estado de mantención. La región Metropolitana tiene 281 espacios en buen estado, seguido de Valparaíso, con 208, sin embargo Valparaíso es la región que posee la mayor cantidad de espacios culturales en estado Regular, con 62 espacios culturales en esta categoría."/>
    <s v="Gráfico"/>
    <s v="Chile espacio cultural cultura infraestructura estado mantención"/>
    <x v="680"/>
    <s v="300-C"/>
    <s v="#1774B9"/>
    <s v="990-1039"/>
    <n v="99100000"/>
    <s v="T-1026"/>
    <s v="C-1008"/>
    <s v="FI-991"/>
    <s v="M-1006"/>
  </r>
  <r>
    <x v="1039"/>
    <n v="990"/>
    <x v="0"/>
    <x v="7"/>
    <n v="1"/>
    <x v="58"/>
    <x v="8"/>
    <x v="1"/>
    <x v="1"/>
    <s v="Comuna"/>
    <s v="Cantidad de espacios culturales por comuna"/>
    <s v="Año 2021"/>
    <s v="Número de espacios culturales"/>
    <s v="Observatorio Cultural"/>
    <x v="1039"/>
    <m/>
    <s v="Gráfico"/>
    <s v="Región de Tarapacá espacio cultural cultura infraestructura estado mantención"/>
    <x v="681"/>
    <s v="100-C-1"/>
    <s v="#1774B9"/>
    <s v="990-1040"/>
    <n v="99200001"/>
    <s v="T-1026"/>
    <s v="C-1008"/>
    <s v="FI-991"/>
    <s v="M-1006"/>
  </r>
  <r>
    <x v="1040"/>
    <n v="990"/>
    <x v="0"/>
    <x v="7"/>
    <n v="2"/>
    <x v="58"/>
    <x v="8"/>
    <x v="1"/>
    <x v="2"/>
    <s v="Comuna"/>
    <s v="Cantidad de espacios culturales por comuna"/>
    <s v="Año 2021"/>
    <s v="Número de espacios culturales"/>
    <s v="Observatorio Cultural"/>
    <x v="1040"/>
    <m/>
    <s v="Gráfico"/>
    <s v="Región de Antofagasta espacio cultural cultura infraestructura estado mantención"/>
    <x v="682"/>
    <s v="100-C-2"/>
    <s v="#1774B9"/>
    <s v="990-1041"/>
    <n v="99200002"/>
    <s v="T-1026"/>
    <s v="C-1008"/>
    <s v="FI-991"/>
    <s v="M-1006"/>
  </r>
  <r>
    <x v="1041"/>
    <n v="990"/>
    <x v="0"/>
    <x v="7"/>
    <n v="3"/>
    <x v="58"/>
    <x v="8"/>
    <x v="1"/>
    <x v="3"/>
    <s v="Comuna"/>
    <s v="Cantidad de espacios culturales por comuna"/>
    <s v="Año 2021"/>
    <s v="Número de espacios culturales"/>
    <s v="Observatorio Cultural"/>
    <x v="1041"/>
    <m/>
    <s v="Gráfico"/>
    <s v="Región de Atacama espacio cultural cultura infraestructura estado mantención"/>
    <x v="683"/>
    <s v="100-C-3"/>
    <s v="#1774B9"/>
    <s v="990-1042"/>
    <n v="99200003"/>
    <s v="T-1026"/>
    <s v="C-1008"/>
    <s v="FI-991"/>
    <s v="M-1006"/>
  </r>
  <r>
    <x v="1042"/>
    <n v="990"/>
    <x v="0"/>
    <x v="7"/>
    <n v="4"/>
    <x v="58"/>
    <x v="8"/>
    <x v="1"/>
    <x v="4"/>
    <s v="Comuna"/>
    <s v="Cantidad de espacios culturales por comuna"/>
    <s v="Año 2021"/>
    <s v="Número de espacios culturales"/>
    <s v="Observatorio Cultural"/>
    <x v="1042"/>
    <m/>
    <s v="Gráfico"/>
    <s v="Región de Coquimbo espacio cultural cultura infraestructura estado mantención"/>
    <x v="684"/>
    <s v="100-C-4"/>
    <s v="#1774B9"/>
    <s v="990-1043"/>
    <n v="99200004"/>
    <s v="T-1026"/>
    <s v="C-1008"/>
    <s v="FI-991"/>
    <s v="M-1006"/>
  </r>
  <r>
    <x v="1043"/>
    <n v="990"/>
    <x v="0"/>
    <x v="7"/>
    <n v="5"/>
    <x v="58"/>
    <x v="8"/>
    <x v="1"/>
    <x v="5"/>
    <s v="Comuna"/>
    <s v="Cantidad de espacios culturales por comuna"/>
    <s v="Año 2021"/>
    <s v="Número de espacios culturales"/>
    <s v="Observatorio Cultural"/>
    <x v="1043"/>
    <m/>
    <s v="Gráfico"/>
    <s v="Región de Valparaíso espacio cultural cultura infraestructura estado mantención"/>
    <x v="685"/>
    <s v="100-C-5"/>
    <s v="#1774B9"/>
    <s v="990-1044"/>
    <n v="99200005"/>
    <s v="T-1026"/>
    <s v="C-1008"/>
    <s v="FI-991"/>
    <s v="M-1006"/>
  </r>
  <r>
    <x v="1044"/>
    <n v="990"/>
    <x v="0"/>
    <x v="7"/>
    <n v="6"/>
    <x v="58"/>
    <x v="8"/>
    <x v="1"/>
    <x v="6"/>
    <s v="Comuna"/>
    <s v="Cantidad de espacios culturales por comuna"/>
    <s v="Año 2021"/>
    <s v="Número de espacios culturales"/>
    <s v="Observatorio Cultural"/>
    <x v="1044"/>
    <m/>
    <s v="Gráfico"/>
    <s v="Región de O'Higgins espacio cultural cultura infraestructura estado mantención"/>
    <x v="686"/>
    <s v="100-C-6"/>
    <s v="#1774B9"/>
    <s v="990-1045"/>
    <n v="99200006"/>
    <s v="T-1026"/>
    <s v="C-1008"/>
    <s v="FI-991"/>
    <s v="M-1006"/>
  </r>
  <r>
    <x v="1045"/>
    <n v="990"/>
    <x v="0"/>
    <x v="7"/>
    <n v="7"/>
    <x v="58"/>
    <x v="8"/>
    <x v="1"/>
    <x v="7"/>
    <s v="Comuna"/>
    <s v="Cantidad de espacios culturales por comuna"/>
    <s v="Año 2021"/>
    <s v="Número de espacios culturales"/>
    <s v="Observatorio Cultural"/>
    <x v="1045"/>
    <m/>
    <s v="Gráfico"/>
    <s v="Región de Maule espacio cultural cultura infraestructura estado mantención"/>
    <x v="687"/>
    <s v="100-C-7"/>
    <s v="#1774B9"/>
    <s v="990-1046"/>
    <n v="99200007"/>
    <s v="T-1026"/>
    <s v="C-1008"/>
    <s v="FI-991"/>
    <s v="M-1006"/>
  </r>
  <r>
    <x v="1046"/>
    <n v="990"/>
    <x v="0"/>
    <x v="7"/>
    <n v="8"/>
    <x v="58"/>
    <x v="8"/>
    <x v="1"/>
    <x v="8"/>
    <s v="Comuna"/>
    <s v="Cantidad de espacios culturales por comuna"/>
    <s v="Año 2021"/>
    <s v="Número de espacios culturales"/>
    <s v="Observatorio Cultural"/>
    <x v="1046"/>
    <m/>
    <s v="Gráfico"/>
    <s v="Región del Biobío espacio cultural cultura infraestructura estado mantención"/>
    <x v="688"/>
    <s v="100-C-8"/>
    <s v="#1774B9"/>
    <s v="990-1047"/>
    <n v="99200008"/>
    <s v="T-1026"/>
    <s v="C-1008"/>
    <s v="FI-991"/>
    <s v="M-1006"/>
  </r>
  <r>
    <x v="1047"/>
    <n v="990"/>
    <x v="0"/>
    <x v="7"/>
    <n v="9"/>
    <x v="58"/>
    <x v="8"/>
    <x v="1"/>
    <x v="9"/>
    <s v="Comuna"/>
    <s v="Cantidad de espacios culturales por comuna"/>
    <s v="Año 2021"/>
    <s v="Número de espacios culturales"/>
    <s v="Observatorio Cultural"/>
    <x v="1047"/>
    <m/>
    <s v="Gráfico"/>
    <s v="Región de La Araucanía espacio cultural cultura infraestructura estado mantención"/>
    <x v="689"/>
    <s v="100-C-9"/>
    <s v="#1774B9"/>
    <s v="990-1048"/>
    <n v="99200009"/>
    <s v="T-1026"/>
    <s v="C-1008"/>
    <s v="FI-991"/>
    <s v="M-1006"/>
  </r>
  <r>
    <x v="1048"/>
    <n v="990"/>
    <x v="0"/>
    <x v="7"/>
    <n v="10"/>
    <x v="58"/>
    <x v="8"/>
    <x v="1"/>
    <x v="10"/>
    <s v="Comuna"/>
    <s v="Cantidad de espacios culturales por comuna"/>
    <s v="Año 2021"/>
    <s v="Número de espacios culturales"/>
    <s v="Observatorio Cultural"/>
    <x v="1048"/>
    <m/>
    <s v="Gráfico"/>
    <s v="Región de Los Lagos espacio cultural cultura infraestructura estado mantención"/>
    <x v="690"/>
    <s v="100-C-10"/>
    <s v="#1774B9"/>
    <s v="990-1049"/>
    <n v="99200010"/>
    <s v="T-1026"/>
    <s v="C-1008"/>
    <s v="FI-991"/>
    <s v="M-1006"/>
  </r>
  <r>
    <x v="1049"/>
    <n v="990"/>
    <x v="0"/>
    <x v="7"/>
    <n v="11"/>
    <x v="58"/>
    <x v="8"/>
    <x v="1"/>
    <x v="11"/>
    <s v="Comuna"/>
    <s v="Cantidad de espacios culturales por comuna"/>
    <s v="Año 2021"/>
    <s v="Número de espacios culturales"/>
    <s v="Observatorio Cultural"/>
    <x v="1049"/>
    <m/>
    <s v="Gráfico"/>
    <s v="Región de Aysén espacio cultural cultura infraestructura estado mantención"/>
    <x v="691"/>
    <s v="100-C-11"/>
    <s v="#1774B9"/>
    <s v="990-1050"/>
    <n v="99200011"/>
    <s v="T-1026"/>
    <s v="C-1008"/>
    <s v="FI-991"/>
    <s v="M-1006"/>
  </r>
  <r>
    <x v="1050"/>
    <n v="990"/>
    <x v="0"/>
    <x v="7"/>
    <n v="12"/>
    <x v="58"/>
    <x v="8"/>
    <x v="1"/>
    <x v="12"/>
    <s v="Comuna"/>
    <s v="Cantidad de espacios culturales por comuna"/>
    <s v="Año 2021"/>
    <s v="Número de espacios culturales"/>
    <s v="Observatorio Cultural"/>
    <x v="1050"/>
    <m/>
    <s v="Gráfico"/>
    <s v="Región de Magallanes espacio cultural cultura infraestructura estado mantención"/>
    <x v="692"/>
    <s v="100-C-12"/>
    <s v="#1774B9"/>
    <s v="990-1051"/>
    <n v="99200012"/>
    <s v="T-1026"/>
    <s v="C-1008"/>
    <s v="FI-991"/>
    <s v="M-1006"/>
  </r>
  <r>
    <x v="1051"/>
    <n v="990"/>
    <x v="0"/>
    <x v="7"/>
    <n v="13"/>
    <x v="58"/>
    <x v="8"/>
    <x v="1"/>
    <x v="13"/>
    <s v="Comuna"/>
    <s v="Cantidad de espacios culturales por comuna"/>
    <s v="Año 2021"/>
    <s v="Número de espacios culturales"/>
    <s v="Observatorio Cultural"/>
    <x v="1051"/>
    <m/>
    <s v="Gráfico"/>
    <s v="Región Metropolitana espacio cultural cultura infraestructura estado mantención"/>
    <x v="693"/>
    <s v="200-C-13"/>
    <s v="#1774B9"/>
    <s v="990-1052"/>
    <n v="99200013"/>
    <s v="T-1026"/>
    <s v="C-1008"/>
    <s v="FI-991"/>
    <s v="M-1006"/>
  </r>
  <r>
    <x v="1052"/>
    <n v="990"/>
    <x v="0"/>
    <x v="7"/>
    <n v="14"/>
    <x v="58"/>
    <x v="8"/>
    <x v="1"/>
    <x v="14"/>
    <s v="Comuna"/>
    <s v="Cantidad de espacios culturales por comuna"/>
    <s v="Año 2021"/>
    <s v="Número de espacios culturales"/>
    <s v="Observatorio Cultural"/>
    <x v="1052"/>
    <m/>
    <s v="Gráfico"/>
    <s v="Región de Los Ríos espacio cultural cultura infraestructura estado mantención"/>
    <x v="694"/>
    <s v="100-C-14"/>
    <s v="#1774B9"/>
    <s v="990-1053"/>
    <n v="99200014"/>
    <s v="T-1026"/>
    <s v="C-1008"/>
    <s v="FI-991"/>
    <s v="M-1006"/>
  </r>
  <r>
    <x v="1053"/>
    <n v="990"/>
    <x v="0"/>
    <x v="7"/>
    <n v="15"/>
    <x v="58"/>
    <x v="8"/>
    <x v="1"/>
    <x v="15"/>
    <s v="Comuna"/>
    <s v="Cantidad de espacios culturales por comuna"/>
    <s v="Año 2021"/>
    <s v="Número de espacios culturales"/>
    <s v="Observatorio Cultural"/>
    <x v="1053"/>
    <m/>
    <s v="Gráfico"/>
    <s v="Región de Arica y Parinacota espacio cultural cultura infraestructura estado mantención"/>
    <x v="695"/>
    <s v="100-C-15"/>
    <s v="#1774B9"/>
    <s v="990-1054"/>
    <n v="99200015"/>
    <s v="T-1026"/>
    <s v="C-1008"/>
    <s v="FI-991"/>
    <s v="M-1006"/>
  </r>
  <r>
    <x v="1054"/>
    <n v="990"/>
    <x v="0"/>
    <x v="7"/>
    <n v="16"/>
    <x v="58"/>
    <x v="8"/>
    <x v="1"/>
    <x v="16"/>
    <s v="Comuna"/>
    <s v="Cantidad de espacios culturales por comuna"/>
    <s v="Año 2021"/>
    <s v="Número de espacios culturales"/>
    <s v="Observatorio Cultural"/>
    <x v="1054"/>
    <m/>
    <s v="Gráfico"/>
    <s v="Región de Ñuble espacio cultural cultura infraestructura estado mantención"/>
    <x v="696"/>
    <s v="100-C-16"/>
    <s v="#1774B9"/>
    <s v="990-1055"/>
    <n v="99200016"/>
    <s v="T-1026"/>
    <s v="C-1008"/>
    <s v="FI-991"/>
    <s v="M-1006"/>
  </r>
  <r>
    <x v="1055"/>
    <n v="990"/>
    <x v="0"/>
    <x v="7"/>
    <n v="0"/>
    <x v="59"/>
    <x v="8"/>
    <x v="0"/>
    <x v="0"/>
    <s v="Región-Comuna"/>
    <s v="Ubicación de espacios culturales por comuna"/>
    <s v="Año 2021"/>
    <s v="Lat-Long"/>
    <s v="Observatorio Cultural"/>
    <x v="1055"/>
    <m/>
    <s v="Mapa "/>
    <s v="Chile espacio cultural cultura infraestructura ubicación latitud longitud"/>
    <x v="697"/>
    <s v="300-C"/>
    <s v="#1774B9"/>
    <s v="990-1056"/>
    <n v="99100000"/>
    <s v="T-1027"/>
    <s v="C-1008"/>
    <s v="FI-995"/>
    <s v="M-1079"/>
  </r>
  <r>
    <x v="1056"/>
    <n v="990"/>
    <x v="0"/>
    <x v="7"/>
    <n v="1"/>
    <x v="59"/>
    <x v="8"/>
    <x v="1"/>
    <x v="1"/>
    <s v="Comuna"/>
    <s v="Ubicación de espacios culturales por comuna"/>
    <s v="Año 2021"/>
    <s v="Lat-Long"/>
    <s v="Observatorio Cultural"/>
    <x v="1056"/>
    <m/>
    <s v="Mapa "/>
    <s v="Región de Tarapacá espacio cultural cultura infraestructura ubicación latitud longitud"/>
    <x v="698"/>
    <s v="100-C-1"/>
    <s v="#1774B9"/>
    <s v="990-1057"/>
    <n v="99200001"/>
    <s v="T-1027"/>
    <s v="C-1008"/>
    <s v="FI-991"/>
    <s v="M-1079"/>
  </r>
  <r>
    <x v="1057"/>
    <n v="990"/>
    <x v="0"/>
    <x v="7"/>
    <n v="2"/>
    <x v="59"/>
    <x v="8"/>
    <x v="1"/>
    <x v="2"/>
    <s v="Comuna"/>
    <s v="Ubicación de espacios culturales por comuna"/>
    <s v="Año 2021"/>
    <s v="Lat-Long"/>
    <s v="Observatorio Cultural"/>
    <x v="1057"/>
    <m/>
    <s v="Mapa "/>
    <s v="Región de Antofagasta espacio cultural cultura infraestructura ubicación latitud longitud"/>
    <x v="699"/>
    <s v="100-C-2"/>
    <s v="#1774B9"/>
    <s v="990-1058"/>
    <n v="99200002"/>
    <s v="T-1027"/>
    <s v="C-1008"/>
    <s v="FI-991"/>
    <s v="M-1079"/>
  </r>
  <r>
    <x v="1058"/>
    <n v="990"/>
    <x v="0"/>
    <x v="7"/>
    <n v="3"/>
    <x v="59"/>
    <x v="8"/>
    <x v="1"/>
    <x v="3"/>
    <s v="Comuna"/>
    <s v="Ubicación de espacios culturales por comuna"/>
    <s v="Año 2021"/>
    <s v="Lat-Long"/>
    <s v="Observatorio Cultural"/>
    <x v="1058"/>
    <m/>
    <s v="Mapa "/>
    <s v="Región de Atacama espacio cultural cultura infraestructura ubicación latitud longitud"/>
    <x v="700"/>
    <s v="100-C-3"/>
    <s v="#1774B9"/>
    <s v="990-1059"/>
    <n v="99200003"/>
    <s v="T-1027"/>
    <s v="C-1008"/>
    <s v="FI-991"/>
    <s v="M-1079"/>
  </r>
  <r>
    <x v="1059"/>
    <n v="990"/>
    <x v="0"/>
    <x v="7"/>
    <n v="4"/>
    <x v="59"/>
    <x v="8"/>
    <x v="1"/>
    <x v="4"/>
    <s v="Comuna"/>
    <s v="Ubicación de espacios culturales por comuna"/>
    <s v="Año 2021"/>
    <s v="Lat-Long"/>
    <s v="Observatorio Cultural"/>
    <x v="1059"/>
    <m/>
    <s v="Mapa "/>
    <s v="Región de Coquimbo espacio cultural cultura infraestructura ubicación latitud longitud"/>
    <x v="701"/>
    <s v="100-C-4"/>
    <s v="#1774B9"/>
    <s v="990-1060"/>
    <n v="99200004"/>
    <s v="T-1027"/>
    <s v="C-1008"/>
    <s v="FI-991"/>
    <s v="M-1079"/>
  </r>
  <r>
    <x v="1060"/>
    <n v="990"/>
    <x v="0"/>
    <x v="7"/>
    <n v="5"/>
    <x v="59"/>
    <x v="8"/>
    <x v="1"/>
    <x v="5"/>
    <s v="Comuna"/>
    <s v="Ubicación de espacios culturales por comuna"/>
    <s v="Año 2021"/>
    <s v="Lat-Long"/>
    <s v="Observatorio Cultural"/>
    <x v="1060"/>
    <m/>
    <s v="Mapa "/>
    <s v="Región de Valparaíso espacio cultural cultura infraestructura ubicación latitud longitud"/>
    <x v="702"/>
    <s v="100-C-5"/>
    <s v="#1774B9"/>
    <s v="990-1061"/>
    <n v="99200005"/>
    <s v="T-1027"/>
    <s v="C-1008"/>
    <s v="FI-991"/>
    <s v="M-1079"/>
  </r>
  <r>
    <x v="1061"/>
    <n v="990"/>
    <x v="0"/>
    <x v="7"/>
    <n v="6"/>
    <x v="59"/>
    <x v="8"/>
    <x v="1"/>
    <x v="6"/>
    <s v="Comuna"/>
    <s v="Ubicación de espacios culturales por comuna"/>
    <s v="Año 2021"/>
    <s v="Lat-Long"/>
    <s v="Observatorio Cultural"/>
    <x v="1061"/>
    <m/>
    <s v="Mapa "/>
    <s v="Región de O'Higgins espacio cultural cultura infraestructura ubicación latitud longitud"/>
    <x v="703"/>
    <s v="100-C-6"/>
    <s v="#1774B9"/>
    <s v="990-1062"/>
    <n v="99200006"/>
    <s v="T-1027"/>
    <s v="C-1008"/>
    <s v="FI-991"/>
    <s v="M-1079"/>
  </r>
  <r>
    <x v="1062"/>
    <n v="990"/>
    <x v="0"/>
    <x v="7"/>
    <n v="7"/>
    <x v="59"/>
    <x v="8"/>
    <x v="1"/>
    <x v="7"/>
    <s v="Comuna"/>
    <s v="Ubicación de espacios culturales por comuna"/>
    <s v="Año 2021"/>
    <s v="Lat-Long"/>
    <s v="Observatorio Cultural"/>
    <x v="1062"/>
    <m/>
    <s v="Mapa "/>
    <s v="Región de Maule espacio cultural cultura infraestructura ubicación latitud longitud"/>
    <x v="704"/>
    <s v="100-C-7"/>
    <s v="#1774B9"/>
    <s v="990-1063"/>
    <n v="99200007"/>
    <s v="T-1027"/>
    <s v="C-1008"/>
    <s v="FI-991"/>
    <s v="M-1079"/>
  </r>
  <r>
    <x v="1063"/>
    <n v="990"/>
    <x v="0"/>
    <x v="7"/>
    <n v="8"/>
    <x v="59"/>
    <x v="8"/>
    <x v="1"/>
    <x v="8"/>
    <s v="Comuna"/>
    <s v="Ubicación de espacios culturales por comuna"/>
    <s v="Año 2021"/>
    <s v="Lat-Long"/>
    <s v="Observatorio Cultural"/>
    <x v="1063"/>
    <m/>
    <s v="Mapa "/>
    <s v="Región del Biobío espacio cultural cultura infraestructura ubicación latitud longitud"/>
    <x v="705"/>
    <s v="100-C-8"/>
    <s v="#1774B9"/>
    <s v="990-1064"/>
    <n v="99200008"/>
    <s v="T-1027"/>
    <s v="C-1008"/>
    <s v="FI-991"/>
    <s v="M-1079"/>
  </r>
  <r>
    <x v="1064"/>
    <n v="990"/>
    <x v="0"/>
    <x v="7"/>
    <n v="9"/>
    <x v="59"/>
    <x v="8"/>
    <x v="1"/>
    <x v="9"/>
    <s v="Comuna"/>
    <s v="Ubicación de espacios culturales por comuna"/>
    <s v="Año 2021"/>
    <s v="Lat-Long"/>
    <s v="Observatorio Cultural"/>
    <x v="1064"/>
    <m/>
    <s v="Mapa "/>
    <s v="Región de La Araucanía espacio cultural cultura infraestructura ubicación latitud longitud"/>
    <x v="706"/>
    <s v="100-C-9"/>
    <s v="#1774B9"/>
    <s v="990-1065"/>
    <n v="99200009"/>
    <s v="T-1027"/>
    <s v="C-1008"/>
    <s v="FI-991"/>
    <s v="M-1079"/>
  </r>
  <r>
    <x v="1065"/>
    <n v="990"/>
    <x v="0"/>
    <x v="7"/>
    <n v="10"/>
    <x v="59"/>
    <x v="8"/>
    <x v="1"/>
    <x v="10"/>
    <s v="Comuna"/>
    <s v="Ubicación de espacios culturales por comuna"/>
    <s v="Año 2021"/>
    <s v="Lat-Long"/>
    <s v="Observatorio Cultural"/>
    <x v="1065"/>
    <m/>
    <s v="Mapa "/>
    <s v="Región de Los Lagos espacio cultural cultura infraestructura ubicación latitud longitud"/>
    <x v="707"/>
    <s v="100-C-10"/>
    <s v="#1774B9"/>
    <s v="990-1066"/>
    <n v="99200010"/>
    <s v="T-1027"/>
    <s v="C-1008"/>
    <s v="FI-991"/>
    <s v="M-1079"/>
  </r>
  <r>
    <x v="1066"/>
    <n v="990"/>
    <x v="0"/>
    <x v="7"/>
    <n v="11"/>
    <x v="59"/>
    <x v="8"/>
    <x v="1"/>
    <x v="11"/>
    <s v="Comuna"/>
    <s v="Ubicación de espacios culturales por comuna"/>
    <s v="Año 2021"/>
    <s v="Lat-Long"/>
    <s v="Observatorio Cultural"/>
    <x v="1066"/>
    <m/>
    <s v="Mapa "/>
    <s v="Región de Aysén espacio cultural cultura infraestructura ubicación latitud longitud"/>
    <x v="708"/>
    <s v="100-C-11"/>
    <s v="#1774B9"/>
    <s v="990-1067"/>
    <n v="99200011"/>
    <s v="T-1027"/>
    <s v="C-1008"/>
    <s v="FI-991"/>
    <s v="M-1079"/>
  </r>
  <r>
    <x v="1067"/>
    <n v="990"/>
    <x v="0"/>
    <x v="7"/>
    <n v="12"/>
    <x v="59"/>
    <x v="8"/>
    <x v="1"/>
    <x v="12"/>
    <s v="Comuna"/>
    <s v="Ubicación de espacios culturales por comuna"/>
    <s v="Año 2021"/>
    <s v="Lat-Long"/>
    <s v="Observatorio Cultural"/>
    <x v="1067"/>
    <m/>
    <s v="Mapa "/>
    <s v="Región de Magallanes espacio cultural cultura infraestructura ubicación latitud longitud"/>
    <x v="709"/>
    <s v="100-C-12"/>
    <s v="#1774B9"/>
    <s v="990-1068"/>
    <n v="99200012"/>
    <s v="T-1027"/>
    <s v="C-1008"/>
    <s v="FI-991"/>
    <s v="M-1079"/>
  </r>
  <r>
    <x v="1068"/>
    <n v="990"/>
    <x v="0"/>
    <x v="7"/>
    <n v="13"/>
    <x v="59"/>
    <x v="8"/>
    <x v="1"/>
    <x v="13"/>
    <s v="Comuna"/>
    <s v="Ubicación de espacios culturales por comuna"/>
    <s v="Año 2021"/>
    <s v="Lat-Long"/>
    <s v="Observatorio Cultural"/>
    <x v="1068"/>
    <m/>
    <s v="Mapa "/>
    <s v="Región Metropolitana espacio cultural cultura infraestructura ubicación latitud longitud"/>
    <x v="710"/>
    <s v="200-C-13"/>
    <s v="#1774B9"/>
    <s v="990-1069"/>
    <n v="99200013"/>
    <s v="T-1027"/>
    <s v="C-1008"/>
    <s v="FI-991"/>
    <s v="M-1079"/>
  </r>
  <r>
    <x v="1069"/>
    <n v="990"/>
    <x v="0"/>
    <x v="7"/>
    <n v="14"/>
    <x v="59"/>
    <x v="8"/>
    <x v="1"/>
    <x v="14"/>
    <s v="Comuna"/>
    <s v="Ubicación de espacios culturales por comuna"/>
    <s v="Año 2021"/>
    <s v="Lat-Long"/>
    <s v="Observatorio Cultural"/>
    <x v="1069"/>
    <m/>
    <s v="Mapa "/>
    <s v="Región de Los Ríos espacio cultural cultura infraestructura ubicación latitud longitud"/>
    <x v="711"/>
    <s v="100-C-14"/>
    <s v="#1774B9"/>
    <s v="990-1070"/>
    <n v="99200014"/>
    <s v="T-1027"/>
    <s v="C-1008"/>
    <s v="FI-991"/>
    <s v="M-1079"/>
  </r>
  <r>
    <x v="1070"/>
    <n v="990"/>
    <x v="0"/>
    <x v="7"/>
    <n v="15"/>
    <x v="59"/>
    <x v="8"/>
    <x v="1"/>
    <x v="15"/>
    <s v="Comuna"/>
    <s v="Ubicación de espacios culturales por comuna"/>
    <s v="Año 2021"/>
    <s v="Lat-Long"/>
    <s v="Observatorio Cultural"/>
    <x v="1070"/>
    <m/>
    <s v="Mapa "/>
    <s v="Región de Arica y Parinacota espacio cultural cultura infraestructura ubicación latitud longitud"/>
    <x v="712"/>
    <s v="100-C-15"/>
    <s v="#1774B9"/>
    <s v="990-1071"/>
    <n v="99200015"/>
    <s v="T-1027"/>
    <s v="C-1008"/>
    <s v="FI-991"/>
    <s v="M-1079"/>
  </r>
  <r>
    <x v="1071"/>
    <n v="990"/>
    <x v="0"/>
    <x v="7"/>
    <n v="16"/>
    <x v="59"/>
    <x v="8"/>
    <x v="1"/>
    <x v="16"/>
    <s v="Comuna"/>
    <s v="Ubicación de espacios culturales por comuna"/>
    <s v="Año 2021"/>
    <s v="Lat-Long"/>
    <s v="Observatorio Cultural"/>
    <x v="1071"/>
    <m/>
    <s v="Mapa "/>
    <s v="Región de Ñuble espacio cultural cultura infraestructura ubicación latitud longitud"/>
    <x v="713"/>
    <s v="100-C-16"/>
    <s v="#1774B9"/>
    <s v="990-1072"/>
    <n v="99200016"/>
    <s v="T-1027"/>
    <s v="C-1008"/>
    <s v="FI-991"/>
    <s v="M-1079"/>
  </r>
  <r>
    <x v="1072"/>
    <n v="990"/>
    <x v="0"/>
    <x v="2"/>
    <n v="0"/>
    <x v="24"/>
    <x v="13"/>
    <x v="0"/>
    <x v="0"/>
    <s v="Región"/>
    <s v="Casos de cáncer por rango etáreo por región"/>
    <s v="Periodo 2011-2018"/>
    <s v="Número de Casos"/>
    <s v="Departamento de Estadísticas e Información de la Salud (DEIS) - Ministerio de Salud"/>
    <x v="1072"/>
    <s v="El rango etario que presentó la mayor cantidad de casos acumulados de Cáncer de cuello Uterino, en el periodo 2011 al 2018, fue el de &quot;65 y más años&quot;, con 293 casos , seguido del rango etario &quot;55-59&quot;. Por otro lado, el rango etario con la menor cantidad de casos fue el clasificados como &quot;menor de 25&quot;, alcanzando 72 casos para todo el periodo, sin embargo este rango etario, el año 2018, presenta un incremento considerable de casos."/>
    <s v="Gráfico de Evolución"/>
    <s v="Chile cáncer cuello uterino cérvico útero  salud PAP Papanicolaou casos control población edad rango etáreo"/>
    <x v="714"/>
    <s v="300-R"/>
    <s v="#1774B9"/>
    <s v="990-1073"/>
    <n v="99100000"/>
    <s v="T-999"/>
    <s v="C-1009"/>
    <s v="FI-992"/>
    <s v="M-1080"/>
  </r>
  <r>
    <x v="1073"/>
    <n v="990"/>
    <x v="0"/>
    <x v="2"/>
    <n v="1"/>
    <x v="24"/>
    <x v="13"/>
    <x v="1"/>
    <x v="1"/>
    <s v="Ninguno"/>
    <s v="Casos de cáncer por rango etáreo por región"/>
    <s v="Periodo 2011-2018"/>
    <s v="Número de Casos"/>
    <s v="Departamento de Estadísticas e Información de la Salud (DEIS) - Ministerio de Salud"/>
    <x v="1073"/>
    <m/>
    <s v="Gráfico de Evolución"/>
    <s v="Región de Tarapacá cáncer cuello uterino cérvico útero  salud PAP Papanicolaou casos control población edad rango etáreo"/>
    <x v="715"/>
    <s v="100-R-1"/>
    <s v="#1774B9"/>
    <s v="990-1074"/>
    <n v="99200001"/>
    <s v="T-999"/>
    <s v="C-1009"/>
    <s v="FI-993"/>
    <s v="M-1080"/>
  </r>
  <r>
    <x v="1074"/>
    <n v="990"/>
    <x v="0"/>
    <x v="2"/>
    <n v="2"/>
    <x v="24"/>
    <x v="13"/>
    <x v="1"/>
    <x v="2"/>
    <s v="Ninguno"/>
    <s v="Casos de cáncer por rango etáreo por región"/>
    <s v="Periodo 2011-2018"/>
    <s v="Número de Casos"/>
    <s v="Departamento de Estadísticas e Información de la Salud (DEIS) - Ministerio de Salud"/>
    <x v="1074"/>
    <m/>
    <s v="Gráfico de Evolución"/>
    <s v="Región de Antofagasta cáncer cuello uterino cérvico útero  salud PAP Papanicolaou casos control población edad rango etáreo"/>
    <x v="716"/>
    <s v="100-R-2"/>
    <s v="#1774B9"/>
    <s v="990-1075"/>
    <n v="99200002"/>
    <s v="T-999"/>
    <s v="C-1009"/>
    <s v="FI-993"/>
    <s v="M-1080"/>
  </r>
  <r>
    <x v="1075"/>
    <n v="990"/>
    <x v="0"/>
    <x v="2"/>
    <n v="3"/>
    <x v="24"/>
    <x v="13"/>
    <x v="1"/>
    <x v="3"/>
    <s v="Ninguno"/>
    <s v="Casos de cáncer por rango etáreo por región"/>
    <s v="Periodo 2011-2018"/>
    <s v="Número de Casos"/>
    <s v="Departamento de Estadísticas e Información de la Salud (DEIS) - Ministerio de Salud"/>
    <x v="1075"/>
    <m/>
    <s v="Gráfico de Evolución"/>
    <s v="Región de Atacama cáncer cuello uterino cérvico útero  salud PAP Papanicolaou casos control población edad rango etáreo"/>
    <x v="717"/>
    <s v="100-R-3"/>
    <s v="#1774B9"/>
    <s v="990-1076"/>
    <n v="99200003"/>
    <s v="T-999"/>
    <s v="C-1009"/>
    <s v="FI-993"/>
    <s v="M-1080"/>
  </r>
  <r>
    <x v="1076"/>
    <n v="990"/>
    <x v="0"/>
    <x v="2"/>
    <n v="4"/>
    <x v="24"/>
    <x v="13"/>
    <x v="1"/>
    <x v="4"/>
    <s v="Ninguno"/>
    <s v="Casos de cáncer por rango etáreo por región"/>
    <s v="Periodo 2011-2018"/>
    <s v="Número de Casos"/>
    <s v="Departamento de Estadísticas e Información de la Salud (DEIS) - Ministerio de Salud"/>
    <x v="1076"/>
    <m/>
    <s v="Gráfico de Evolución"/>
    <s v="Región de Coquimbo cáncer cuello uterino cérvico útero  salud PAP Papanicolaou casos control población edad rango etáreo"/>
    <x v="718"/>
    <s v="100-R-4"/>
    <s v="#1774B9"/>
    <s v="990-1077"/>
    <n v="99200004"/>
    <s v="T-999"/>
    <s v="C-1009"/>
    <s v="FI-993"/>
    <s v="M-1080"/>
  </r>
  <r>
    <x v="1077"/>
    <n v="990"/>
    <x v="0"/>
    <x v="2"/>
    <n v="5"/>
    <x v="24"/>
    <x v="13"/>
    <x v="1"/>
    <x v="5"/>
    <s v="Ninguno"/>
    <s v="Casos de cáncer por rango etáreo por región"/>
    <s v="Periodo 2011-2018"/>
    <s v="Número de Casos"/>
    <s v="Departamento de Estadísticas e Información de la Salud (DEIS) - Ministerio de Salud"/>
    <x v="1077"/>
    <m/>
    <s v="Gráfico de Evolución"/>
    <s v="Región de Valparaíso cáncer cuello uterino cérvico útero  salud PAP Papanicolaou casos control población edad rango etáreo"/>
    <x v="719"/>
    <s v="100-R-5"/>
    <s v="#1774B9"/>
    <s v="990-1078"/>
    <n v="99200005"/>
    <s v="T-999"/>
    <s v="C-1009"/>
    <s v="FI-993"/>
    <s v="M-1080"/>
  </r>
  <r>
    <x v="1078"/>
    <n v="990"/>
    <x v="0"/>
    <x v="2"/>
    <n v="6"/>
    <x v="24"/>
    <x v="13"/>
    <x v="1"/>
    <x v="6"/>
    <s v="Ninguno"/>
    <s v="Casos de cáncer por rango etáreo por región"/>
    <s v="Periodo 2011-2018"/>
    <s v="Número de Casos"/>
    <s v="Departamento de Estadísticas e Información de la Salud (DEIS) - Ministerio de Salud"/>
    <x v="1078"/>
    <m/>
    <s v="Gráfico de Evolución"/>
    <s v="Región de O'Higgins cáncer cuello uterino cérvico útero  salud PAP Papanicolaou casos control población edad rango etáreo"/>
    <x v="720"/>
    <s v="100-R-6"/>
    <s v="#1774B9"/>
    <s v="990-1079"/>
    <n v="99200006"/>
    <s v="T-999"/>
    <s v="C-1009"/>
    <s v="FI-993"/>
    <s v="M-1080"/>
  </r>
  <r>
    <x v="1079"/>
    <n v="990"/>
    <x v="0"/>
    <x v="2"/>
    <n v="7"/>
    <x v="24"/>
    <x v="13"/>
    <x v="1"/>
    <x v="7"/>
    <s v="Ninguno"/>
    <s v="Casos de cáncer por rango etáreo por región"/>
    <s v="Periodo 2011-2018"/>
    <s v="Número de Casos"/>
    <s v="Departamento de Estadísticas e Información de la Salud (DEIS) - Ministerio de Salud"/>
    <x v="1079"/>
    <m/>
    <s v="Gráfico de Evolución"/>
    <s v="Región de Maule cáncer cuello uterino cérvico útero  salud PAP Papanicolaou casos control población edad rango etáreo"/>
    <x v="721"/>
    <s v="100-R-7"/>
    <s v="#1774B9"/>
    <s v="990-1080"/>
    <n v="99200007"/>
    <s v="T-999"/>
    <s v="C-1009"/>
    <s v="FI-993"/>
    <s v="M-1080"/>
  </r>
  <r>
    <x v="1080"/>
    <n v="990"/>
    <x v="0"/>
    <x v="2"/>
    <n v="8"/>
    <x v="24"/>
    <x v="13"/>
    <x v="1"/>
    <x v="8"/>
    <s v="Ninguno"/>
    <s v="Casos de cáncer por rango etáreo por región"/>
    <s v="Periodo 2011-2018"/>
    <s v="Número de Casos"/>
    <s v="Departamento de Estadísticas e Información de la Salud (DEIS) - Ministerio de Salud"/>
    <x v="1080"/>
    <m/>
    <s v="Gráfico de Evolución"/>
    <s v="Región del Biobío cáncer cuello uterino cérvico útero  salud PAP Papanicolaou casos control población edad rango etáreo"/>
    <x v="722"/>
    <s v="100-R-8"/>
    <s v="#1774B9"/>
    <s v="990-1081"/>
    <n v="99200008"/>
    <s v="T-999"/>
    <s v="C-1009"/>
    <s v="FI-993"/>
    <s v="M-1080"/>
  </r>
  <r>
    <x v="1081"/>
    <n v="990"/>
    <x v="0"/>
    <x v="2"/>
    <n v="9"/>
    <x v="24"/>
    <x v="13"/>
    <x v="1"/>
    <x v="9"/>
    <s v="Ninguno"/>
    <s v="Casos de cáncer por rango etáreo por región"/>
    <s v="Periodo 2011-2018"/>
    <s v="Número de Casos"/>
    <s v="Departamento de Estadísticas e Información de la Salud (DEIS) - Ministerio de Salud"/>
    <x v="1081"/>
    <m/>
    <s v="Gráfico de Evolución"/>
    <s v="Región de La Araucanía cáncer cuello uterino cérvico útero  salud PAP Papanicolaou casos control población edad rango etáreo"/>
    <x v="723"/>
    <s v="100-R-9"/>
    <s v="#1774B9"/>
    <s v="990-1082"/>
    <n v="99200009"/>
    <s v="T-999"/>
    <s v="C-1009"/>
    <s v="FI-993"/>
    <s v="M-1080"/>
  </r>
  <r>
    <x v="1082"/>
    <n v="990"/>
    <x v="0"/>
    <x v="2"/>
    <n v="10"/>
    <x v="24"/>
    <x v="13"/>
    <x v="1"/>
    <x v="10"/>
    <s v="Ninguno"/>
    <s v="Casos de cáncer por rango etáreo por región"/>
    <s v="Periodo 2011-2018"/>
    <s v="Número de Casos"/>
    <s v="Departamento de Estadísticas e Información de la Salud (DEIS) - Ministerio de Salud"/>
    <x v="1082"/>
    <m/>
    <s v="Gráfico de Evolución"/>
    <s v="Región de Los Lagos cáncer cuello uterino cérvico útero  salud PAP Papanicolaou casos control población edad rango etáreo"/>
    <x v="724"/>
    <s v="100-R-10"/>
    <s v="#1774B9"/>
    <s v="990-1083"/>
    <n v="99200010"/>
    <s v="T-999"/>
    <s v="C-1009"/>
    <s v="FI-993"/>
    <s v="M-1080"/>
  </r>
  <r>
    <x v="1083"/>
    <n v="990"/>
    <x v="0"/>
    <x v="2"/>
    <n v="11"/>
    <x v="24"/>
    <x v="13"/>
    <x v="1"/>
    <x v="11"/>
    <s v="Ninguno"/>
    <s v="Casos de cáncer por rango etáreo por región"/>
    <s v="Periodo 2011-2018"/>
    <s v="Número de Casos"/>
    <s v="Departamento de Estadísticas e Información de la Salud (DEIS) - Ministerio de Salud"/>
    <x v="1083"/>
    <m/>
    <s v="Gráfico de Evolución"/>
    <s v="Región de Aysén cáncer cuello uterino cérvico útero  salud PAP Papanicolaou casos control población edad rango etáreo"/>
    <x v="725"/>
    <s v="100-R-11"/>
    <s v="#1774B9"/>
    <s v="990-1084"/>
    <n v="99200011"/>
    <s v="T-999"/>
    <s v="C-1009"/>
    <s v="FI-993"/>
    <s v="M-1080"/>
  </r>
  <r>
    <x v="1084"/>
    <n v="990"/>
    <x v="0"/>
    <x v="2"/>
    <n v="12"/>
    <x v="24"/>
    <x v="13"/>
    <x v="1"/>
    <x v="12"/>
    <s v="Ninguno"/>
    <s v="Casos de cáncer por rango etáreo por región"/>
    <s v="Periodo 2011-2018"/>
    <s v="Número de Casos"/>
    <s v="Departamento de Estadísticas e Información de la Salud (DEIS) - Ministerio de Salud"/>
    <x v="1084"/>
    <m/>
    <s v="Gráfico de Evolución"/>
    <s v="Región de Magallanes cáncer cuello uterino cérvico útero  salud PAP Papanicolaou casos control población edad rango etáreo"/>
    <x v="726"/>
    <s v="100-R-12"/>
    <s v="#1774B9"/>
    <s v="990-1085"/>
    <n v="99200012"/>
    <s v="T-999"/>
    <s v="C-1009"/>
    <s v="FI-993"/>
    <s v="M-1080"/>
  </r>
  <r>
    <x v="1085"/>
    <n v="990"/>
    <x v="0"/>
    <x v="2"/>
    <n v="13"/>
    <x v="24"/>
    <x v="13"/>
    <x v="1"/>
    <x v="13"/>
    <s v="Ninguno"/>
    <s v="Casos de cáncer por rango etáreo por región"/>
    <s v="Periodo 2011-2018"/>
    <s v="Número de Casos"/>
    <s v="Departamento de Estadísticas e Información de la Salud (DEIS) - Ministerio de Salud"/>
    <x v="1085"/>
    <m/>
    <s v="Gráfico de Evolución"/>
    <s v="Región Metropolitana cáncer cuello uterino cérvico útero  salud PAP Papanicolaou casos control población edad rango etáreo"/>
    <x v="727"/>
    <s v="200-R-13"/>
    <s v="#1774B9"/>
    <s v="990-1086"/>
    <n v="99200013"/>
    <s v="T-999"/>
    <s v="C-1009"/>
    <s v="FI-993"/>
    <s v="M-1080"/>
  </r>
  <r>
    <x v="1086"/>
    <n v="990"/>
    <x v="0"/>
    <x v="2"/>
    <n v="14"/>
    <x v="24"/>
    <x v="13"/>
    <x v="1"/>
    <x v="14"/>
    <s v="Ninguno"/>
    <s v="Casos de cáncer por rango etáreo por región"/>
    <s v="Periodo 2011-2018"/>
    <s v="Número de Casos"/>
    <s v="Departamento de Estadísticas e Información de la Salud (DEIS) - Ministerio de Salud"/>
    <x v="1086"/>
    <m/>
    <s v="Gráfico de Evolución"/>
    <s v="Región de Los Ríos cáncer cuello uterino cérvico útero  salud PAP Papanicolaou casos control población edad rango etáreo"/>
    <x v="728"/>
    <s v="100-R-14"/>
    <s v="#1774B9"/>
    <s v="990-1087"/>
    <n v="99200014"/>
    <s v="T-999"/>
    <s v="C-1009"/>
    <s v="FI-993"/>
    <s v="M-1080"/>
  </r>
  <r>
    <x v="1087"/>
    <n v="990"/>
    <x v="0"/>
    <x v="2"/>
    <n v="15"/>
    <x v="24"/>
    <x v="13"/>
    <x v="1"/>
    <x v="15"/>
    <s v="Ninguno"/>
    <s v="Casos de cáncer por rango etáreo por región"/>
    <s v="Periodo 2011-2018"/>
    <s v="Número de Casos"/>
    <s v="Departamento de Estadísticas e Información de la Salud (DEIS) - Ministerio de Salud"/>
    <x v="1087"/>
    <m/>
    <s v="Gráfico de Evolución"/>
    <s v="Región de Arica y Parinacota cáncer cuello uterino cérvico útero  salud PAP Papanicolaou casos control población edad rango etáreo"/>
    <x v="729"/>
    <s v="100-R-15"/>
    <s v="#1774B9"/>
    <s v="990-1088"/>
    <n v="99200015"/>
    <s v="T-999"/>
    <s v="C-1009"/>
    <s v="FI-993"/>
    <s v="M-1080"/>
  </r>
  <r>
    <x v="1088"/>
    <n v="990"/>
    <x v="0"/>
    <x v="2"/>
    <n v="16"/>
    <x v="24"/>
    <x v="13"/>
    <x v="1"/>
    <x v="16"/>
    <s v="Ninguno"/>
    <s v="Casos de cáncer por rango etáreo por región"/>
    <s v="Periodo 2011-2018"/>
    <s v="Número de Casos"/>
    <s v="Departamento de Estadísticas e Información de la Salud (DEIS) - Ministerio de Salud"/>
    <x v="1088"/>
    <m/>
    <s v="Gráfico de Evolución"/>
    <s v="Región de Ñuble cáncer cuello uterino cérvico útero  salud PAP Papanicolaou casos control población edad rango etáreo"/>
    <x v="730"/>
    <s v="100-R-16"/>
    <s v="#1774B9"/>
    <s v="990-1089"/>
    <n v="99200016"/>
    <s v="T-999"/>
    <s v="C-1009"/>
    <s v="FI-993"/>
    <s v="M-1080"/>
  </r>
  <r>
    <x v="1089"/>
    <n v="990"/>
    <x v="0"/>
    <x v="2"/>
    <n v="0"/>
    <x v="24"/>
    <x v="13"/>
    <x v="0"/>
    <x v="0"/>
    <s v="Ninguno"/>
    <s v="Casos de cáncer por región"/>
    <s v="Periodo 2011-2018"/>
    <s v="Número de Casos"/>
    <s v="Departamento de Estadísticas e Información de la Salud (DEIS) - Ministerio de Salud"/>
    <x v="1089"/>
    <m/>
    <s v="Gráfico de Evolución"/>
    <s v="Chile cáncer cuello uterino cérvico útero salud PAP papanicolaou casos control población"/>
    <x v="731"/>
    <s v="300-R"/>
    <s v="#1774B9"/>
    <s v="990-1090"/>
    <n v="99100000"/>
    <s v="T-999"/>
    <s v="C-1009"/>
    <s v="FI-993"/>
    <s v="M-1081"/>
  </r>
  <r>
    <x v="1090"/>
    <n v="990"/>
    <x v="0"/>
    <x v="2"/>
    <n v="1"/>
    <x v="24"/>
    <x v="13"/>
    <x v="1"/>
    <x v="1"/>
    <s v="Ninguno"/>
    <s v="Casos de cáncer por región"/>
    <s v="Periodo 2011-2018"/>
    <s v="Número de Casos"/>
    <s v="Departamento de Estadísticas e Información de la Salud (DEIS) - Ministerio de Salud"/>
    <x v="1090"/>
    <m/>
    <s v="Gráfico de Evolución"/>
    <s v="Región de Tarapacá cáncer cuello uterino cérvico útero salud PAP papanicolaou casos control población"/>
    <x v="732"/>
    <s v="100-R-1"/>
    <s v="#1774B9"/>
    <s v="990-1091"/>
    <n v="99200001"/>
    <s v="T-999"/>
    <s v="C-1009"/>
    <s v="FI-993"/>
    <s v="M-1081"/>
  </r>
  <r>
    <x v="1091"/>
    <n v="990"/>
    <x v="0"/>
    <x v="2"/>
    <n v="2"/>
    <x v="24"/>
    <x v="13"/>
    <x v="1"/>
    <x v="2"/>
    <s v="Ninguno"/>
    <s v="Casos de cáncer por región"/>
    <s v="Periodo 2011-2018"/>
    <s v="Número de Casos"/>
    <s v="Departamento de Estadísticas e Información de la Salud (DEIS) - Ministerio de Salud"/>
    <x v="1091"/>
    <m/>
    <s v="Gráfico de Evolución"/>
    <s v="Región de Antofagasta cáncer cuello uterino cérvico útero salud PAP papanicolaou casos control población"/>
    <x v="733"/>
    <s v="100-R-2"/>
    <s v="#1774B9"/>
    <s v="990-1092"/>
    <n v="99200002"/>
    <s v="T-999"/>
    <s v="C-1009"/>
    <s v="FI-993"/>
    <s v="M-1081"/>
  </r>
  <r>
    <x v="1092"/>
    <n v="990"/>
    <x v="0"/>
    <x v="2"/>
    <n v="3"/>
    <x v="24"/>
    <x v="13"/>
    <x v="1"/>
    <x v="3"/>
    <s v="Ninguno"/>
    <s v="Casos de cáncer por región"/>
    <s v="Periodo 2011-2018"/>
    <s v="Número de Casos"/>
    <s v="Departamento de Estadísticas e Información de la Salud (DEIS) - Ministerio de Salud"/>
    <x v="1092"/>
    <m/>
    <s v="Gráfico de Evolución"/>
    <s v="Región de Atacama cáncer cuello uterino cérvico útero salud PAP papanicolaou casos control población"/>
    <x v="734"/>
    <s v="100-R-3"/>
    <s v="#1774B9"/>
    <s v="990-1093"/>
    <n v="99200003"/>
    <s v="T-999"/>
    <s v="C-1009"/>
    <s v="FI-993"/>
    <s v="M-1081"/>
  </r>
  <r>
    <x v="1093"/>
    <n v="990"/>
    <x v="0"/>
    <x v="2"/>
    <n v="4"/>
    <x v="24"/>
    <x v="13"/>
    <x v="1"/>
    <x v="4"/>
    <s v="Ninguno"/>
    <s v="Casos de cáncer por región"/>
    <s v="Periodo 2011-2018"/>
    <s v="Número de Casos"/>
    <s v="Departamento de Estadísticas e Información de la Salud (DEIS) - Ministerio de Salud"/>
    <x v="1093"/>
    <m/>
    <s v="Gráfico de Evolución"/>
    <s v="Región de Coquimbo cáncer cuello uterino cérvico útero salud PAP papanicolaou casos control población"/>
    <x v="735"/>
    <s v="100-R-4"/>
    <s v="#1774B9"/>
    <s v="990-1094"/>
    <n v="99200004"/>
    <s v="T-999"/>
    <s v="C-1009"/>
    <s v="FI-993"/>
    <s v="M-1081"/>
  </r>
  <r>
    <x v="1094"/>
    <n v="990"/>
    <x v="0"/>
    <x v="2"/>
    <n v="5"/>
    <x v="24"/>
    <x v="13"/>
    <x v="1"/>
    <x v="5"/>
    <s v="Ninguno"/>
    <s v="Casos de cáncer por región"/>
    <s v="Periodo 2011-2018"/>
    <s v="Número de Casos"/>
    <s v="Departamento de Estadísticas e Información de la Salud (DEIS) - Ministerio de Salud"/>
    <x v="1094"/>
    <m/>
    <s v="Gráfico de Evolución"/>
    <s v="Región de Valparaíso cáncer cuello uterino cérvico útero salud PAP papanicolaou casos control población"/>
    <x v="736"/>
    <s v="100-R-5"/>
    <s v="#1774B9"/>
    <s v="990-1095"/>
    <n v="99200005"/>
    <s v="T-999"/>
    <s v="C-1009"/>
    <s v="FI-993"/>
    <s v="M-1081"/>
  </r>
  <r>
    <x v="1095"/>
    <n v="990"/>
    <x v="0"/>
    <x v="2"/>
    <n v="6"/>
    <x v="24"/>
    <x v="13"/>
    <x v="1"/>
    <x v="6"/>
    <s v="Ninguno"/>
    <s v="Casos de cáncer por región"/>
    <s v="Periodo 2011-2018"/>
    <s v="Número de Casos"/>
    <s v="Departamento de Estadísticas e Información de la Salud (DEIS) - Ministerio de Salud"/>
    <x v="1095"/>
    <m/>
    <s v="Gráfico de Evolución"/>
    <s v="Región de O'Higgins cáncer cuello uterino cérvico útero salud PAP papanicolaou casos control población"/>
    <x v="737"/>
    <s v="100-R-6"/>
    <s v="#1774B9"/>
    <s v="990-1096"/>
    <n v="99200006"/>
    <s v="T-999"/>
    <s v="C-1009"/>
    <s v="FI-993"/>
    <s v="M-1081"/>
  </r>
  <r>
    <x v="1096"/>
    <n v="990"/>
    <x v="0"/>
    <x v="2"/>
    <n v="7"/>
    <x v="24"/>
    <x v="13"/>
    <x v="1"/>
    <x v="7"/>
    <s v="Ninguno"/>
    <s v="Casos de cáncer por región"/>
    <s v="Periodo 2011-2018"/>
    <s v="Número de Casos"/>
    <s v="Departamento de Estadísticas e Información de la Salud (DEIS) - Ministerio de Salud"/>
    <x v="1096"/>
    <m/>
    <s v="Gráfico de Evolución"/>
    <s v="Región de Maule cáncer cuello uterino cérvico útero salud PAP papanicolaou casos control población"/>
    <x v="738"/>
    <s v="100-R-7"/>
    <s v="#1774B9"/>
    <s v="990-1097"/>
    <n v="99200007"/>
    <s v="T-999"/>
    <s v="C-1009"/>
    <s v="FI-993"/>
    <s v="M-1081"/>
  </r>
  <r>
    <x v="1097"/>
    <n v="990"/>
    <x v="0"/>
    <x v="2"/>
    <n v="8"/>
    <x v="24"/>
    <x v="13"/>
    <x v="1"/>
    <x v="8"/>
    <s v="Ninguno"/>
    <s v="Casos de cáncer por región"/>
    <s v="Periodo 2011-2018"/>
    <s v="Número de Casos"/>
    <s v="Departamento de Estadísticas e Información de la Salud (DEIS) - Ministerio de Salud"/>
    <x v="1097"/>
    <m/>
    <s v="Gráfico de Evolución"/>
    <s v="Región del Biobío cáncer cuello uterino cérvico útero salud PAP papanicolaou casos control población"/>
    <x v="739"/>
    <s v="100-R-8"/>
    <s v="#1774B9"/>
    <s v="990-1098"/>
    <n v="99200008"/>
    <s v="T-999"/>
    <s v="C-1009"/>
    <s v="FI-993"/>
    <s v="M-1081"/>
  </r>
  <r>
    <x v="1098"/>
    <n v="990"/>
    <x v="0"/>
    <x v="2"/>
    <n v="9"/>
    <x v="24"/>
    <x v="13"/>
    <x v="1"/>
    <x v="9"/>
    <s v="Ninguno"/>
    <s v="Casos de cáncer por región"/>
    <s v="Periodo 2011-2018"/>
    <s v="Número de Casos"/>
    <s v="Departamento de Estadísticas e Información de la Salud (DEIS) - Ministerio de Salud"/>
    <x v="1098"/>
    <m/>
    <s v="Gráfico de Evolución"/>
    <s v="Región de La Araucanía cáncer cuello uterino cérvico útero salud PAP papanicolaou casos control población"/>
    <x v="740"/>
    <s v="100-R-9"/>
    <s v="#1774B9"/>
    <s v="990-1099"/>
    <n v="99200009"/>
    <s v="T-999"/>
    <s v="C-1009"/>
    <s v="FI-993"/>
    <s v="M-1081"/>
  </r>
  <r>
    <x v="1099"/>
    <n v="990"/>
    <x v="0"/>
    <x v="2"/>
    <n v="10"/>
    <x v="24"/>
    <x v="13"/>
    <x v="1"/>
    <x v="10"/>
    <s v="Ninguno"/>
    <s v="Casos de cáncer por región"/>
    <s v="Periodo 2011-2018"/>
    <s v="Número de Casos"/>
    <s v="Departamento de Estadísticas e Información de la Salud (DEIS) - Ministerio de Salud"/>
    <x v="1099"/>
    <m/>
    <s v="Gráfico de Evolución"/>
    <s v="Región de Los Lagos cáncer cuello uterino cérvico útero salud PAP papanicolaou casos control población"/>
    <x v="741"/>
    <s v="100-R-10"/>
    <s v="#1774B9"/>
    <s v="990-1100"/>
    <n v="99200010"/>
    <s v="T-999"/>
    <s v="C-1009"/>
    <s v="FI-993"/>
    <s v="M-1081"/>
  </r>
  <r>
    <x v="1100"/>
    <n v="990"/>
    <x v="0"/>
    <x v="2"/>
    <n v="11"/>
    <x v="24"/>
    <x v="13"/>
    <x v="1"/>
    <x v="11"/>
    <s v="Ninguno"/>
    <s v="Casos de cáncer por región"/>
    <s v="Periodo 2011-2018"/>
    <s v="Número de Casos"/>
    <s v="Departamento de Estadísticas e Información de la Salud (DEIS) - Ministerio de Salud"/>
    <x v="1100"/>
    <m/>
    <s v="Gráfico de Evolución"/>
    <s v="Región de Aysén cáncer cuello uterino cérvico útero salud PAP papanicolaou casos control población"/>
    <x v="742"/>
    <s v="100-R-11"/>
    <s v="#1774B9"/>
    <s v="990-1101"/>
    <n v="99200011"/>
    <s v="T-999"/>
    <s v="C-1009"/>
    <s v="FI-993"/>
    <s v="M-1081"/>
  </r>
  <r>
    <x v="1101"/>
    <n v="990"/>
    <x v="0"/>
    <x v="2"/>
    <n v="12"/>
    <x v="24"/>
    <x v="13"/>
    <x v="1"/>
    <x v="12"/>
    <s v="Ninguno"/>
    <s v="Casos de cáncer por región"/>
    <s v="Periodo 2011-2018"/>
    <s v="Número de Casos"/>
    <s v="Departamento de Estadísticas e Información de la Salud (DEIS) - Ministerio de Salud"/>
    <x v="1101"/>
    <m/>
    <s v="Gráfico de Evolución"/>
    <s v="Región de Magallanes cáncer cuello uterino cérvico útero salud PAP papanicolaou casos control población"/>
    <x v="743"/>
    <s v="100-R-12"/>
    <s v="#1774B9"/>
    <s v="990-1102"/>
    <n v="99200012"/>
    <s v="T-999"/>
    <s v="C-1009"/>
    <s v="FI-993"/>
    <s v="M-1081"/>
  </r>
  <r>
    <x v="1102"/>
    <n v="990"/>
    <x v="0"/>
    <x v="2"/>
    <n v="13"/>
    <x v="24"/>
    <x v="13"/>
    <x v="1"/>
    <x v="13"/>
    <s v="Ninguno"/>
    <s v="Casos de cáncer por región"/>
    <s v="Periodo 2011-2018"/>
    <s v="Número de Casos"/>
    <s v="Departamento de Estadísticas e Información de la Salud (DEIS) - Ministerio de Salud"/>
    <x v="1102"/>
    <m/>
    <s v="Gráfico de Evolución"/>
    <s v="Región Metropolitana cáncer cuello uterino cérvico útero salud PAP papanicolaou casos control población"/>
    <x v="744"/>
    <s v="200-R-13"/>
    <s v="#1774B9"/>
    <s v="990-1103"/>
    <n v="99200013"/>
    <s v="T-999"/>
    <s v="C-1009"/>
    <s v="FI-993"/>
    <s v="M-1081"/>
  </r>
  <r>
    <x v="1103"/>
    <n v="990"/>
    <x v="0"/>
    <x v="2"/>
    <n v="14"/>
    <x v="24"/>
    <x v="13"/>
    <x v="1"/>
    <x v="14"/>
    <s v="Ninguno"/>
    <s v="Casos de cáncer por región"/>
    <s v="Periodo 2011-2018"/>
    <s v="Número de Casos"/>
    <s v="Departamento de Estadísticas e Información de la Salud (DEIS) - Ministerio de Salud"/>
    <x v="1103"/>
    <m/>
    <s v="Gráfico de Evolución"/>
    <s v="Región de Los Ríos cáncer cuello uterino cérvico útero salud PAP papanicolaou casos control población"/>
    <x v="745"/>
    <s v="100-R-14"/>
    <s v="#1774B9"/>
    <s v="990-1104"/>
    <n v="99200014"/>
    <s v="T-999"/>
    <s v="C-1009"/>
    <s v="FI-993"/>
    <s v="M-1081"/>
  </r>
  <r>
    <x v="1104"/>
    <n v="990"/>
    <x v="0"/>
    <x v="2"/>
    <n v="15"/>
    <x v="24"/>
    <x v="13"/>
    <x v="1"/>
    <x v="15"/>
    <s v="Ninguno"/>
    <s v="Casos de cáncer por región"/>
    <s v="Periodo 2011-2018"/>
    <s v="Número de Casos"/>
    <s v="Departamento de Estadísticas e Información de la Salud (DEIS) - Ministerio de Salud"/>
    <x v="1104"/>
    <m/>
    <s v="Gráfico de Evolución"/>
    <s v="Región de Arica y Parinacota cáncer cuello uterino cérvico útero salud PAP papanicolaou casos control población"/>
    <x v="746"/>
    <s v="100-R-15"/>
    <s v="#1774B9"/>
    <s v="990-1105"/>
    <n v="99200015"/>
    <s v="T-999"/>
    <s v="C-1009"/>
    <s v="FI-993"/>
    <s v="M-1081"/>
  </r>
  <r>
    <x v="1105"/>
    <n v="990"/>
    <x v="0"/>
    <x v="2"/>
    <n v="16"/>
    <x v="24"/>
    <x v="13"/>
    <x v="1"/>
    <x v="16"/>
    <s v="Ninguno"/>
    <s v="Casos de cáncer por región"/>
    <s v="Periodo 2011-2018"/>
    <s v="Número de Casos"/>
    <s v="Departamento de Estadísticas e Información de la Salud (DEIS) - Ministerio de Salud"/>
    <x v="1105"/>
    <m/>
    <s v="Gráfico de Evolución"/>
    <s v="Región de Ñuble cáncer cuello uterino cérvico útero salud PAP papanicolaou casos control población"/>
    <x v="747"/>
    <s v="100-R-16"/>
    <s v="#1774B9"/>
    <s v="990-1106"/>
    <n v="99200016"/>
    <s v="T-999"/>
    <s v="C-1009"/>
    <s v="FI-993"/>
    <s v="M-1081"/>
  </r>
  <r>
    <x v="1106"/>
    <n v="990"/>
    <x v="0"/>
    <x v="4"/>
    <n v="0"/>
    <x v="25"/>
    <x v="14"/>
    <x v="0"/>
    <x v="0"/>
    <s v="Ninguno"/>
    <s v="Población en control en Chile"/>
    <s v="Periodo 2012-2018"/>
    <s v="Número de Casos"/>
    <s v="Departamento de Estadísticas e Información de la Salud (DEIS) - Ministerio de Salud"/>
    <x v="1106"/>
    <s v="La Población en Control del Programa VIH/SIDA aumentó entre los años 2012 y 2018, superando los 35 mil casos para este último año, el doble de la cantidad vista al principio del periodo."/>
    <s v="Gráfico de Evolución"/>
    <s v="Chile VIH SIDA enfermedad transmisión sexual casos control población programa variación anual"/>
    <x v="748"/>
    <n v="0"/>
    <s v="#1774B9"/>
    <s v="990-1107"/>
    <n v="99100000"/>
    <s v="T-1000"/>
    <s v="C-1010"/>
    <s v="FI-993"/>
    <s v="M-1082"/>
  </r>
  <r>
    <x v="1107"/>
    <n v="990"/>
    <x v="0"/>
    <x v="4"/>
    <n v="1"/>
    <x v="25"/>
    <x v="14"/>
    <x v="1"/>
    <x v="1"/>
    <s v="Ninguno"/>
    <s v="Casos de cáncer por región"/>
    <s v="Periodo 2012-2018"/>
    <s v="Número de Casos"/>
    <s v="Departamento de Estadísticas e Información de la Salud (DEIS) - Ministerio de Salud"/>
    <x v="1107"/>
    <m/>
    <s v="Gráfico de Evolución"/>
    <s v="Región de Tarapacá cáncer cuello uterino cérvico útero salud PAP papanicolaou casos control población"/>
    <x v="732"/>
    <s v="100-R-1"/>
    <s v="#1774B9"/>
    <s v="990-1108"/>
    <n v="99200001"/>
    <s v="T-1000"/>
    <s v="C-1010"/>
    <s v="FI-993"/>
    <s v="M-1081"/>
  </r>
  <r>
    <x v="1108"/>
    <n v="990"/>
    <x v="0"/>
    <x v="4"/>
    <n v="2"/>
    <x v="25"/>
    <x v="14"/>
    <x v="1"/>
    <x v="2"/>
    <s v="Ninguno"/>
    <s v="Casos de cáncer por región"/>
    <s v="Periodo 2012-2018"/>
    <s v="Número de Casos"/>
    <s v="Departamento de Estadísticas e Información de la Salud (DEIS) - Ministerio de Salud"/>
    <x v="1108"/>
    <m/>
    <s v="Gráfico de Evolución"/>
    <s v="Región de Antofagasta cáncer cuello uterino cérvico útero salud PAP papanicolaou casos control población"/>
    <x v="733"/>
    <s v="100-R-2"/>
    <s v="#1774B9"/>
    <s v="990-1109"/>
    <n v="99200002"/>
    <s v="T-1000"/>
    <s v="C-1010"/>
    <s v="FI-993"/>
    <s v="M-1081"/>
  </r>
  <r>
    <x v="1109"/>
    <n v="990"/>
    <x v="0"/>
    <x v="4"/>
    <n v="3"/>
    <x v="25"/>
    <x v="14"/>
    <x v="1"/>
    <x v="3"/>
    <s v="Ninguno"/>
    <s v="Casos de cáncer por región"/>
    <s v="Periodo 2012-2018"/>
    <s v="Número de Casos"/>
    <s v="Departamento de Estadísticas e Información de la Salud (DEIS) - Ministerio de Salud"/>
    <x v="1109"/>
    <m/>
    <s v="Gráfico de Evolución"/>
    <s v="Región de Atacama cáncer cuello uterino cérvico útero salud PAP papanicolaou casos control población"/>
    <x v="734"/>
    <s v="100-R-3"/>
    <s v="#1774B9"/>
    <s v="990-1110"/>
    <n v="99200003"/>
    <s v="T-1000"/>
    <s v="C-1010"/>
    <s v="FI-993"/>
    <s v="M-1081"/>
  </r>
  <r>
    <x v="1110"/>
    <n v="990"/>
    <x v="0"/>
    <x v="4"/>
    <n v="4"/>
    <x v="25"/>
    <x v="14"/>
    <x v="1"/>
    <x v="4"/>
    <s v="Ninguno"/>
    <s v="Casos de cáncer por región"/>
    <s v="Periodo 2012-2018"/>
    <s v="Número de Casos"/>
    <s v="Departamento de Estadísticas e Información de la Salud (DEIS) - Ministerio de Salud"/>
    <x v="1110"/>
    <m/>
    <s v="Gráfico de Evolución"/>
    <s v="Región de Coquimbo cáncer cuello uterino cérvico útero salud PAP papanicolaou casos control población"/>
    <x v="735"/>
    <s v="100-R-4"/>
    <s v="#1774B9"/>
    <s v="990-1111"/>
    <n v="99200004"/>
    <s v="T-1000"/>
    <s v="C-1010"/>
    <s v="FI-993"/>
    <s v="M-1081"/>
  </r>
  <r>
    <x v="1111"/>
    <n v="990"/>
    <x v="0"/>
    <x v="4"/>
    <n v="5"/>
    <x v="25"/>
    <x v="14"/>
    <x v="1"/>
    <x v="5"/>
    <s v="Ninguno"/>
    <s v="Casos de cáncer por región"/>
    <s v="Periodo 2012-2018"/>
    <s v="Número de Casos"/>
    <s v="Departamento de Estadísticas e Información de la Salud (DEIS) - Ministerio de Salud"/>
    <x v="1111"/>
    <m/>
    <s v="Gráfico de Evolución"/>
    <s v="Región de Valparaíso cáncer cuello uterino cérvico útero salud PAP papanicolaou casos control población"/>
    <x v="736"/>
    <s v="100-R-5"/>
    <s v="#1774B9"/>
    <s v="990-1112"/>
    <n v="99200005"/>
    <s v="T-1000"/>
    <s v="C-1010"/>
    <s v="FI-993"/>
    <s v="M-1081"/>
  </r>
  <r>
    <x v="1112"/>
    <n v="990"/>
    <x v="0"/>
    <x v="4"/>
    <n v="6"/>
    <x v="25"/>
    <x v="14"/>
    <x v="1"/>
    <x v="6"/>
    <s v="Ninguno"/>
    <s v="Casos de cáncer por región"/>
    <s v="Periodo 2012-2018"/>
    <s v="Número de Casos"/>
    <s v="Departamento de Estadísticas e Información de la Salud (DEIS) - Ministerio de Salud"/>
    <x v="1112"/>
    <m/>
    <s v="Gráfico de Evolución"/>
    <s v="Región de O'Higgins cáncer cuello uterino cérvico útero salud PAP papanicolaou casos control población"/>
    <x v="737"/>
    <s v="100-R-6"/>
    <s v="#1774B9"/>
    <s v="990-1113"/>
    <n v="99200006"/>
    <s v="T-1000"/>
    <s v="C-1010"/>
    <s v="FI-993"/>
    <s v="M-1081"/>
  </r>
  <r>
    <x v="1113"/>
    <n v="990"/>
    <x v="0"/>
    <x v="4"/>
    <n v="7"/>
    <x v="25"/>
    <x v="14"/>
    <x v="1"/>
    <x v="7"/>
    <s v="Ninguno"/>
    <s v="Casos de cáncer por región"/>
    <s v="Periodo 2012-2018"/>
    <s v="Número de Casos"/>
    <s v="Departamento de Estadísticas e Información de la Salud (DEIS) - Ministerio de Salud"/>
    <x v="1113"/>
    <m/>
    <s v="Gráfico de Evolución"/>
    <s v="Región de Maule cáncer cuello uterino cérvico útero salud PAP papanicolaou casos control población"/>
    <x v="738"/>
    <s v="100-R-7"/>
    <s v="#1774B9"/>
    <s v="990-1114"/>
    <n v="99200007"/>
    <s v="T-1000"/>
    <s v="C-1010"/>
    <s v="FI-993"/>
    <s v="M-1081"/>
  </r>
  <r>
    <x v="1114"/>
    <n v="990"/>
    <x v="0"/>
    <x v="4"/>
    <n v="8"/>
    <x v="25"/>
    <x v="14"/>
    <x v="1"/>
    <x v="8"/>
    <s v="Ninguno"/>
    <s v="Casos de cáncer por región"/>
    <s v="Periodo 2012-2018"/>
    <s v="Número de Casos"/>
    <s v="Departamento de Estadísticas e Información de la Salud (DEIS) - Ministerio de Salud"/>
    <x v="1114"/>
    <m/>
    <s v="Gráfico de Evolución"/>
    <s v="Región del Biobío cáncer cuello uterino cérvico útero salud PAP papanicolaou casos control población"/>
    <x v="739"/>
    <s v="100-R-8"/>
    <s v="#1774B9"/>
    <s v="990-1115"/>
    <n v="99200008"/>
    <s v="T-1000"/>
    <s v="C-1010"/>
    <s v="FI-993"/>
    <s v="M-1081"/>
  </r>
  <r>
    <x v="1115"/>
    <n v="990"/>
    <x v="0"/>
    <x v="4"/>
    <n v="9"/>
    <x v="25"/>
    <x v="14"/>
    <x v="1"/>
    <x v="9"/>
    <s v="Ninguno"/>
    <s v="Casos de cáncer por región"/>
    <s v="Periodo 2012-2018"/>
    <s v="Número de Casos"/>
    <s v="Departamento de Estadísticas e Información de la Salud (DEIS) - Ministerio de Salud"/>
    <x v="1115"/>
    <m/>
    <s v="Gráfico de Evolución"/>
    <s v="Región de La Araucanía cáncer cuello uterino cérvico útero salud PAP papanicolaou casos control población"/>
    <x v="740"/>
    <s v="100-R-9"/>
    <s v="#1774B9"/>
    <s v="990-1116"/>
    <n v="99200009"/>
    <s v="T-1000"/>
    <s v="C-1010"/>
    <s v="FI-993"/>
    <s v="M-1081"/>
  </r>
  <r>
    <x v="1116"/>
    <n v="990"/>
    <x v="0"/>
    <x v="4"/>
    <n v="10"/>
    <x v="25"/>
    <x v="14"/>
    <x v="1"/>
    <x v="10"/>
    <s v="Ninguno"/>
    <s v="Casos de cáncer por región"/>
    <s v="Periodo 2012-2018"/>
    <s v="Número de Casos"/>
    <s v="Departamento de Estadísticas e Información de la Salud (DEIS) - Ministerio de Salud"/>
    <x v="1116"/>
    <m/>
    <s v="Gráfico de Evolución"/>
    <s v="Región de Los Lagos cáncer cuello uterino cérvico útero salud PAP papanicolaou casos control población"/>
    <x v="741"/>
    <s v="100-R-10"/>
    <s v="#1774B9"/>
    <s v="990-1117"/>
    <n v="99200010"/>
    <s v="T-1000"/>
    <s v="C-1010"/>
    <s v="FI-993"/>
    <s v="M-1081"/>
  </r>
  <r>
    <x v="1117"/>
    <n v="990"/>
    <x v="0"/>
    <x v="4"/>
    <n v="11"/>
    <x v="25"/>
    <x v="14"/>
    <x v="1"/>
    <x v="11"/>
    <s v="Ninguno"/>
    <s v="Casos de cáncer por región"/>
    <s v="Periodo 2012-2018"/>
    <s v="Número de Casos"/>
    <s v="Departamento de Estadísticas e Información de la Salud (DEIS) - Ministerio de Salud"/>
    <x v="1117"/>
    <m/>
    <s v="Gráfico de Evolución"/>
    <s v="Región de Aysén cáncer cuello uterino cérvico útero salud PAP papanicolaou casos control población"/>
    <x v="742"/>
    <s v="100-R-11"/>
    <s v="#1774B9"/>
    <s v="990-1118"/>
    <n v="99200011"/>
    <s v="T-1000"/>
    <s v="C-1010"/>
    <s v="FI-993"/>
    <s v="M-1081"/>
  </r>
  <r>
    <x v="1118"/>
    <n v="990"/>
    <x v="0"/>
    <x v="4"/>
    <n v="12"/>
    <x v="25"/>
    <x v="14"/>
    <x v="1"/>
    <x v="12"/>
    <s v="Ninguno"/>
    <s v="Casos de cáncer por región"/>
    <s v="Periodo 2012-2018"/>
    <s v="Número de Casos"/>
    <s v="Departamento de Estadísticas e Información de la Salud (DEIS) - Ministerio de Salud"/>
    <x v="1118"/>
    <m/>
    <s v="Gráfico de Evolución"/>
    <s v="Región de Magallanes cáncer cuello uterino cérvico útero salud PAP papanicolaou casos control población"/>
    <x v="743"/>
    <s v="100-R-12"/>
    <s v="#1774B9"/>
    <s v="990-1119"/>
    <n v="99200012"/>
    <s v="T-1000"/>
    <s v="C-1010"/>
    <s v="FI-993"/>
    <s v="M-1081"/>
  </r>
  <r>
    <x v="1119"/>
    <n v="990"/>
    <x v="0"/>
    <x v="4"/>
    <n v="13"/>
    <x v="25"/>
    <x v="14"/>
    <x v="1"/>
    <x v="13"/>
    <s v="Ninguno"/>
    <s v="Casos de cáncer por región"/>
    <s v="Periodo 2012-2018"/>
    <s v="Número de Casos"/>
    <s v="Departamento de Estadísticas e Información de la Salud (DEIS) - Ministerio de Salud"/>
    <x v="1119"/>
    <m/>
    <s v="Gráfico de Evolución"/>
    <s v="Región Metropolitana cáncer cuello uterino cérvico útero salud PAP papanicolaou casos control población"/>
    <x v="744"/>
    <s v="200-R-13"/>
    <s v="#1774B9"/>
    <s v="990-1120"/>
    <n v="99200013"/>
    <s v="T-1000"/>
    <s v="C-1010"/>
    <s v="FI-993"/>
    <s v="M-1081"/>
  </r>
  <r>
    <x v="1120"/>
    <n v="990"/>
    <x v="0"/>
    <x v="4"/>
    <n v="14"/>
    <x v="25"/>
    <x v="14"/>
    <x v="1"/>
    <x v="14"/>
    <s v="Ninguno"/>
    <s v="Casos de cáncer por región"/>
    <s v="Periodo 2012-2018"/>
    <s v="Número de Casos"/>
    <s v="Departamento de Estadísticas e Información de la Salud (DEIS) - Ministerio de Salud"/>
    <x v="1120"/>
    <m/>
    <s v="Gráfico de Evolución"/>
    <s v="Región de Los Ríos cáncer cuello uterino cérvico útero salud PAP papanicolaou casos control población"/>
    <x v="745"/>
    <s v="100-R-14"/>
    <s v="#1774B9"/>
    <s v="990-1121"/>
    <n v="99200014"/>
    <s v="T-1000"/>
    <s v="C-1010"/>
    <s v="FI-993"/>
    <s v="M-1081"/>
  </r>
  <r>
    <x v="1121"/>
    <n v="990"/>
    <x v="0"/>
    <x v="4"/>
    <n v="15"/>
    <x v="25"/>
    <x v="14"/>
    <x v="1"/>
    <x v="15"/>
    <s v="Ninguno"/>
    <s v="Casos de cáncer por región"/>
    <s v="Periodo 2012-2018"/>
    <s v="Número de Casos"/>
    <s v="Departamento de Estadísticas e Información de la Salud (DEIS) - Ministerio de Salud"/>
    <x v="1121"/>
    <m/>
    <s v="Gráfico de Evolución"/>
    <s v="Región de Arica y Parinacota cáncer cuello uterino cérvico útero salud PAP papanicolaou casos control población"/>
    <x v="746"/>
    <s v="100-R-15"/>
    <s v="#1774B9"/>
    <s v="990-1122"/>
    <n v="99200015"/>
    <s v="T-1000"/>
    <s v="C-1010"/>
    <s v="FI-993"/>
    <s v="M-1081"/>
  </r>
  <r>
    <x v="1122"/>
    <n v="990"/>
    <x v="0"/>
    <x v="4"/>
    <n v="16"/>
    <x v="25"/>
    <x v="14"/>
    <x v="1"/>
    <x v="16"/>
    <s v="Ninguno"/>
    <s v="Casos de cáncer por región"/>
    <s v="Periodo 2012-2018"/>
    <s v="Número de Casos"/>
    <s v="Departamento de Estadísticas e Información de la Salud (DEIS) - Ministerio de Salud"/>
    <x v="1122"/>
    <m/>
    <s v="Gráfico de Evolución"/>
    <s v="Región de Ñuble cáncer cuello uterino cérvico útero salud PAP papanicolaou casos control población"/>
    <x v="747"/>
    <s v="100-R-16"/>
    <s v="#1774B9"/>
    <s v="990-1123"/>
    <n v="99200016"/>
    <s v="T-1000"/>
    <s v="C-1010"/>
    <s v="FI-993"/>
    <s v="M-1081"/>
  </r>
  <r>
    <x v="1123"/>
    <n v="990"/>
    <x v="0"/>
    <x v="3"/>
    <n v="0"/>
    <x v="60"/>
    <x v="25"/>
    <x v="0"/>
    <x v="0"/>
    <s v="Ninguno"/>
    <s v="Cantidad de Predios Agrícolas por Comuna"/>
    <s v="Periodo 2006-2019"/>
    <s v="Número de Predios"/>
    <s v="Sistema Nacional de Información Municipal"/>
    <x v="1123"/>
    <s v="El pago de contribuciones de los predios agrícolas, permite a los diferentes municipios financiar bienes y servicios comunitarios. En el año 2019, la comuna que contó con la mayor cantidad de predios agrícolas fue Los Ángeles, con 20.378, seguido de Padre las Casas, con 12.219."/>
    <s v="Gráfico"/>
    <s v="Chile catastro predio municipal municipio agrícola territorio"/>
    <x v="749"/>
    <n v="0"/>
    <s v="#1774B9"/>
    <s v="990-1124"/>
    <n v="99100000"/>
    <s v="T-1056"/>
    <s v="C-1015"/>
    <s v="FI-993"/>
    <s v="M-1087"/>
  </r>
  <r>
    <x v="1124"/>
    <n v="990"/>
    <x v="0"/>
    <x v="3"/>
    <n v="1"/>
    <x v="60"/>
    <x v="25"/>
    <x v="1"/>
    <x v="1"/>
    <s v="Ninguno"/>
    <s v="Cantidad de Predios Agrícolas por Comuna"/>
    <s v="Periodo 2006-2019"/>
    <s v="Número de Predios"/>
    <s v="Sistema Nacional de Información Municipal"/>
    <x v="1124"/>
    <m/>
    <s v="Gráfico"/>
    <s v="Región de Tarapacá catastro predio municipal municipio agrícola territorio"/>
    <x v="750"/>
    <s v="100-C-1"/>
    <s v="#1774B9"/>
    <s v="990-1125"/>
    <n v="99200001"/>
    <s v="T-1056"/>
    <s v="C-1015"/>
    <s v="FI-993"/>
    <s v="M-1087"/>
  </r>
  <r>
    <x v="1125"/>
    <n v="990"/>
    <x v="0"/>
    <x v="3"/>
    <n v="2"/>
    <x v="60"/>
    <x v="25"/>
    <x v="1"/>
    <x v="2"/>
    <s v="Ninguno"/>
    <s v="Cantidad de Predios Agrícolas por Comuna"/>
    <s v="Periodo 2006-2019"/>
    <s v="Número de Predios"/>
    <s v="Sistema Nacional de Información Municipal"/>
    <x v="1125"/>
    <m/>
    <s v="Gráfico"/>
    <s v="Región de Antofagasta catastro predio municipal municipio agrícola territorio"/>
    <x v="751"/>
    <s v="100-C-2"/>
    <s v="#1774B9"/>
    <s v="990-1126"/>
    <n v="99200002"/>
    <s v="T-1056"/>
    <s v="C-1015"/>
    <s v="FI-993"/>
    <s v="M-1087"/>
  </r>
  <r>
    <x v="1126"/>
    <n v="990"/>
    <x v="0"/>
    <x v="3"/>
    <n v="3"/>
    <x v="60"/>
    <x v="25"/>
    <x v="1"/>
    <x v="3"/>
    <s v="Ninguno"/>
    <s v="Cantidad de Predios Agrícolas por Comuna"/>
    <s v="Periodo 2006-2019"/>
    <s v="Número de Predios"/>
    <s v="Sistema Nacional de Información Municipal"/>
    <x v="1126"/>
    <m/>
    <s v="Gráfico"/>
    <s v="Región de Atacama catastro predio municipal municipio agrícola territorio"/>
    <x v="752"/>
    <s v="100-C-3"/>
    <s v="#1774B9"/>
    <s v="990-1127"/>
    <n v="99200003"/>
    <s v="T-1056"/>
    <s v="C-1015"/>
    <s v="FI-993"/>
    <s v="M-1087"/>
  </r>
  <r>
    <x v="1127"/>
    <n v="990"/>
    <x v="0"/>
    <x v="3"/>
    <n v="4"/>
    <x v="60"/>
    <x v="25"/>
    <x v="1"/>
    <x v="4"/>
    <s v="Ninguno"/>
    <s v="Cantidad de Predios Agrícolas por Comuna"/>
    <s v="Periodo 2006-2019"/>
    <s v="Número de Predios"/>
    <s v="Sistema Nacional de Información Municipal"/>
    <x v="1127"/>
    <m/>
    <s v="Gráfico"/>
    <s v="Región de Coquimbo catastro predio municipal municipio agrícola territorio"/>
    <x v="753"/>
    <s v="100-C-4"/>
    <s v="#1774B9"/>
    <s v="990-1128"/>
    <n v="99200004"/>
    <s v="T-1056"/>
    <s v="C-1015"/>
    <s v="FI-993"/>
    <s v="M-1087"/>
  </r>
  <r>
    <x v="1128"/>
    <n v="990"/>
    <x v="0"/>
    <x v="3"/>
    <n v="5"/>
    <x v="60"/>
    <x v="25"/>
    <x v="1"/>
    <x v="5"/>
    <s v="Ninguno"/>
    <s v="Cantidad de Predios Agrícolas por Comuna"/>
    <s v="Periodo 2006-2019"/>
    <s v="Número de Predios"/>
    <s v="Sistema Nacional de Información Municipal"/>
    <x v="1128"/>
    <m/>
    <s v="Gráfico"/>
    <s v="Región de Valparaíso catastro predio municipal municipio agrícola territorio"/>
    <x v="754"/>
    <s v="100-C-5"/>
    <s v="#1774B9"/>
    <s v="990-1129"/>
    <n v="99200005"/>
    <s v="T-1056"/>
    <s v="C-1015"/>
    <s v="FI-993"/>
    <s v="M-1087"/>
  </r>
  <r>
    <x v="1129"/>
    <n v="990"/>
    <x v="0"/>
    <x v="3"/>
    <n v="6"/>
    <x v="60"/>
    <x v="25"/>
    <x v="1"/>
    <x v="6"/>
    <s v="Ninguno"/>
    <s v="Cantidad de Predios Agrícolas por Comuna"/>
    <s v="Periodo 2006-2019"/>
    <s v="Número de Predios"/>
    <s v="Sistema Nacional de Información Municipal"/>
    <x v="1129"/>
    <m/>
    <s v="Gráfico"/>
    <s v="Región de O'Higgins catastro predio municipal municipio agrícola territorio"/>
    <x v="755"/>
    <s v="100-C-6"/>
    <s v="#1774B9"/>
    <s v="990-1130"/>
    <n v="99200006"/>
    <s v="T-1056"/>
    <s v="C-1015"/>
    <s v="FI-993"/>
    <s v="M-1087"/>
  </r>
  <r>
    <x v="1130"/>
    <n v="990"/>
    <x v="0"/>
    <x v="3"/>
    <n v="7"/>
    <x v="60"/>
    <x v="25"/>
    <x v="1"/>
    <x v="7"/>
    <s v="Ninguno"/>
    <s v="Cantidad de Predios Agrícolas por Comuna"/>
    <s v="Periodo 2006-2019"/>
    <s v="Número de Predios"/>
    <s v="Sistema Nacional de Información Municipal"/>
    <x v="1130"/>
    <m/>
    <s v="Gráfico"/>
    <s v="Región de Maule catastro predio municipal municipio agrícola territorio"/>
    <x v="756"/>
    <s v="100-C-7"/>
    <s v="#1774B9"/>
    <s v="990-1131"/>
    <n v="99200007"/>
    <s v="T-1056"/>
    <s v="C-1015"/>
    <s v="FI-993"/>
    <s v="M-1087"/>
  </r>
  <r>
    <x v="1131"/>
    <n v="990"/>
    <x v="0"/>
    <x v="3"/>
    <n v="8"/>
    <x v="60"/>
    <x v="25"/>
    <x v="1"/>
    <x v="8"/>
    <s v="Ninguno"/>
    <s v="Cantidad de Predios Agrícolas por Comuna"/>
    <s v="Periodo 2006-2019"/>
    <s v="Número de Predios"/>
    <s v="Sistema Nacional de Información Municipal"/>
    <x v="1131"/>
    <m/>
    <s v="Gráfico"/>
    <s v="Región del Biobío catastro predio municipal municipio agrícola territorio"/>
    <x v="757"/>
    <s v="100-C-8"/>
    <s v="#1774B9"/>
    <s v="990-1132"/>
    <n v="99200008"/>
    <s v="T-1056"/>
    <s v="C-1015"/>
    <s v="FI-993"/>
    <s v="M-1087"/>
  </r>
  <r>
    <x v="1132"/>
    <n v="990"/>
    <x v="0"/>
    <x v="3"/>
    <n v="9"/>
    <x v="60"/>
    <x v="25"/>
    <x v="1"/>
    <x v="9"/>
    <s v="Ninguno"/>
    <s v="Cantidad de Predios Agrícolas por Comuna"/>
    <s v="Periodo 2006-2019"/>
    <s v="Número de Predios"/>
    <s v="Sistema Nacional de Información Municipal"/>
    <x v="1132"/>
    <m/>
    <s v="Gráfico"/>
    <s v="Región de La Araucanía catastro predio municipal municipio agrícola territorio"/>
    <x v="758"/>
    <s v="100-C-9"/>
    <s v="#1774B9"/>
    <s v="990-1133"/>
    <n v="99200009"/>
    <s v="T-1056"/>
    <s v="C-1015"/>
    <s v="FI-993"/>
    <s v="M-1087"/>
  </r>
  <r>
    <x v="1133"/>
    <n v="990"/>
    <x v="0"/>
    <x v="3"/>
    <n v="10"/>
    <x v="60"/>
    <x v="25"/>
    <x v="1"/>
    <x v="10"/>
    <s v="Ninguno"/>
    <s v="Cantidad de Predios Agrícolas por Comuna"/>
    <s v="Periodo 2006-2019"/>
    <s v="Número de Predios"/>
    <s v="Sistema Nacional de Información Municipal"/>
    <x v="1133"/>
    <m/>
    <s v="Gráfico"/>
    <s v="Región de Los Lagos catastro predio municipal municipio agrícola territorio"/>
    <x v="759"/>
    <s v="100-C-10"/>
    <s v="#1774B9"/>
    <s v="990-1134"/>
    <n v="99200010"/>
    <s v="T-1056"/>
    <s v="C-1015"/>
    <s v="FI-993"/>
    <s v="M-1087"/>
  </r>
  <r>
    <x v="1134"/>
    <n v="990"/>
    <x v="0"/>
    <x v="3"/>
    <n v="11"/>
    <x v="60"/>
    <x v="25"/>
    <x v="1"/>
    <x v="11"/>
    <s v="Ninguno"/>
    <s v="Cantidad de Predios Agrícolas por Comuna"/>
    <s v="Periodo 2006-2019"/>
    <s v="Número de Predios"/>
    <s v="Sistema Nacional de Información Municipal"/>
    <x v="1134"/>
    <m/>
    <s v="Gráfico"/>
    <s v="Región de Aysén catastro predio municipal municipio agrícola territorio"/>
    <x v="760"/>
    <s v="100-C-11"/>
    <s v="#1774B9"/>
    <s v="990-1135"/>
    <n v="99200011"/>
    <s v="T-1056"/>
    <s v="C-1015"/>
    <s v="FI-993"/>
    <s v="M-1087"/>
  </r>
  <r>
    <x v="1135"/>
    <n v="990"/>
    <x v="0"/>
    <x v="3"/>
    <n v="12"/>
    <x v="60"/>
    <x v="25"/>
    <x v="1"/>
    <x v="12"/>
    <s v="Ninguno"/>
    <s v="Cantidad de Predios Agrícolas por Comuna"/>
    <s v="Periodo 2006-2019"/>
    <s v="Número de Predios"/>
    <s v="Sistema Nacional de Información Municipal"/>
    <x v="1135"/>
    <m/>
    <s v="Gráfico"/>
    <s v="Región de Magallanes catastro predio municipal municipio agrícola territorio"/>
    <x v="761"/>
    <s v="100-C-12"/>
    <s v="#1774B9"/>
    <s v="990-1136"/>
    <n v="99200012"/>
    <s v="T-1056"/>
    <s v="C-1015"/>
    <s v="FI-993"/>
    <s v="M-1087"/>
  </r>
  <r>
    <x v="1136"/>
    <n v="990"/>
    <x v="0"/>
    <x v="3"/>
    <n v="13"/>
    <x v="60"/>
    <x v="25"/>
    <x v="1"/>
    <x v="13"/>
    <s v="Ninguno"/>
    <s v="Cantidad de Predios Agrícolas por Comuna"/>
    <s v="Periodo 2006-2019"/>
    <s v="Número de Predios"/>
    <s v="Sistema Nacional de Información Municipal"/>
    <x v="1136"/>
    <m/>
    <s v="Gráfico"/>
    <s v="Región Metropolitana catastro predio municipal municipio agrícola territorio"/>
    <x v="762"/>
    <s v="200-C-13"/>
    <s v="#1774B9"/>
    <s v="990-1137"/>
    <n v="99200013"/>
    <s v="T-1056"/>
    <s v="C-1015"/>
    <s v="FI-993"/>
    <s v="M-1087"/>
  </r>
  <r>
    <x v="1137"/>
    <n v="990"/>
    <x v="0"/>
    <x v="3"/>
    <n v="14"/>
    <x v="60"/>
    <x v="25"/>
    <x v="1"/>
    <x v="14"/>
    <s v="Ninguno"/>
    <s v="Cantidad de Predios Agrícolas por Comuna"/>
    <s v="Periodo 2006-2019"/>
    <s v="Número de Predios"/>
    <s v="Sistema Nacional de Información Municipal"/>
    <x v="1137"/>
    <m/>
    <s v="Gráfico"/>
    <s v="Región de Los Ríos catastro predio municipal municipio agrícola territorio"/>
    <x v="763"/>
    <s v="100-C-14"/>
    <s v="#1774B9"/>
    <s v="990-1138"/>
    <n v="99200014"/>
    <s v="T-1056"/>
    <s v="C-1015"/>
    <s v="FI-993"/>
    <s v="M-1087"/>
  </r>
  <r>
    <x v="1138"/>
    <n v="990"/>
    <x v="0"/>
    <x v="3"/>
    <n v="15"/>
    <x v="60"/>
    <x v="25"/>
    <x v="1"/>
    <x v="15"/>
    <s v="Ninguno"/>
    <s v="Cantidad de Predios Agrícolas por Comuna"/>
    <s v="Periodo 2006-2019"/>
    <s v="Número de Predios"/>
    <s v="Sistema Nacional de Información Municipal"/>
    <x v="1138"/>
    <m/>
    <s v="Gráfico"/>
    <s v="Región de Arica y Parinacota catastro predio municipal municipio agrícola territorio"/>
    <x v="764"/>
    <s v="100-C-15"/>
    <s v="#1774B9"/>
    <s v="990-1139"/>
    <n v="99200015"/>
    <s v="T-1056"/>
    <s v="C-1015"/>
    <s v="FI-993"/>
    <s v="M-1087"/>
  </r>
  <r>
    <x v="1139"/>
    <n v="990"/>
    <x v="0"/>
    <x v="3"/>
    <n v="16"/>
    <x v="60"/>
    <x v="25"/>
    <x v="1"/>
    <x v="16"/>
    <s v="Ninguno"/>
    <s v="Cantidad de Predios Agrícolas por Comuna"/>
    <s v="Periodo 2006-2019"/>
    <s v="Número de Predios"/>
    <s v="Sistema Nacional de Información Municipal"/>
    <x v="1139"/>
    <m/>
    <s v="Gráfico"/>
    <s v="Región de Ñuble catastro predio municipal municipio agrícola territorio"/>
    <x v="765"/>
    <s v="100-C-16"/>
    <s v="#1774B9"/>
    <s v="990-1140"/>
    <n v="99200016"/>
    <s v="T-1056"/>
    <s v="C-1015"/>
    <s v="FI-993"/>
    <s v="M-1087"/>
  </r>
  <r>
    <x v="1140"/>
    <n v="990"/>
    <x v="0"/>
    <x v="4"/>
    <n v="0"/>
    <x v="61"/>
    <x v="26"/>
    <x v="0"/>
    <x v="0"/>
    <s v="Región"/>
    <s v="Proporción y Cantidad  de Establecimientos de Salud "/>
    <s v="Año 2021"/>
    <s v="Número de Establecimientos"/>
    <s v="Departamento de Estadísticas e Información de la Salud (DEIS) - Ministerio de Salud"/>
    <x v="1140"/>
    <s v="La Región Metropolitana es la región con mayor cantidad de establecimientos de la salud, alcanzando en total 578. De estos, la mayoría corresponden a CESFAM, seguidos de SAPUs. En segundo lugar, le sigue la región de Los Lagos, que cuenta con 332 establecimientos. Por otro lado, la región con menor cantidad de establecimientos de la salud es Arica y Parinacota, con solo 36 establecimientos."/>
    <s v="Gráfico"/>
    <s v="Chile nacional región establecimientos salud proporción hospitales clínicas cesfam sapu postas laboratorios dentales clínicos alta baja media complejidad diálisis vacunatorios consultorio"/>
    <x v="766"/>
    <s v="300-R"/>
    <s v="#1774B9"/>
    <s v="990-1141"/>
    <n v="99100000"/>
    <s v="T-1047"/>
    <s v="C-1013"/>
    <s v="FI-992"/>
    <s v="M-1088"/>
  </r>
  <r>
    <x v="1141"/>
    <n v="990"/>
    <x v="0"/>
    <x v="4"/>
    <n v="1"/>
    <x v="61"/>
    <x v="26"/>
    <x v="1"/>
    <x v="1"/>
    <s v="Ninguno"/>
    <s v="Proporción y Cantidad  de Establecimientos de Salud "/>
    <s v="Año 2021"/>
    <s v="Número de Establecimientos"/>
    <s v="Departamento de Estadísticas e Información de la Salud (DEIS) - Ministerio de Salud"/>
    <x v="1141"/>
    <m/>
    <s v="Gráfico"/>
    <s v="Región de Tarapacá regional establecimientos salud proporción hospitales clínicas cesfam sapu postas laboratorios dentales clínicos alta baja media complejidad diálisis vacunatorios consultorio"/>
    <x v="767"/>
    <s v="100-R-1"/>
    <s v="#1774B9"/>
    <s v="990-1142"/>
    <n v="99200001"/>
    <s v="T-1047"/>
    <s v="C-1013"/>
    <s v="FI-993"/>
    <s v="M-1088"/>
  </r>
  <r>
    <x v="1142"/>
    <n v="990"/>
    <x v="0"/>
    <x v="4"/>
    <n v="2"/>
    <x v="61"/>
    <x v="26"/>
    <x v="1"/>
    <x v="2"/>
    <s v="Ninguno"/>
    <s v="Proporción y Cantidad  de Establecimientos de Salud "/>
    <s v="Año 2021"/>
    <s v="Número de Establecimientos"/>
    <s v="Departamento de Estadísticas e Información de la Salud (DEIS) - Ministerio de Salud"/>
    <x v="1142"/>
    <m/>
    <s v="Gráfico"/>
    <s v="Región de Antofagasta regional establecimientos salud proporción hospitales clínicas cesfam sapu postas laboratorios dentales clínicos alta baja media complejidad diálisis vacunatorios consultorio"/>
    <x v="768"/>
    <s v="100-R-2"/>
    <s v="#1774B9"/>
    <s v="990-1143"/>
    <n v="99200002"/>
    <s v="T-1047"/>
    <s v="C-1013"/>
    <s v="FI-993"/>
    <s v="M-1088"/>
  </r>
  <r>
    <x v="1143"/>
    <n v="990"/>
    <x v="0"/>
    <x v="4"/>
    <n v="3"/>
    <x v="61"/>
    <x v="26"/>
    <x v="1"/>
    <x v="3"/>
    <s v="Ninguno"/>
    <s v="Proporción y Cantidad  de Establecimientos de Salud "/>
    <s v="Año 2021"/>
    <s v="Número de Establecimientos"/>
    <s v="Departamento de Estadísticas e Información de la Salud (DEIS) - Ministerio de Salud"/>
    <x v="1143"/>
    <m/>
    <s v="Gráfico"/>
    <s v="Región de Atacama regional establecimientos salud proporción hospitales clínicas cesfam sapu postas laboratorios dentales clínicos alta baja media complejidad diálisis vacunatorios consultorio"/>
    <x v="769"/>
    <s v="100-R-3"/>
    <s v="#1774B9"/>
    <s v="990-1144"/>
    <n v="99200003"/>
    <s v="T-1047"/>
    <s v="C-1013"/>
    <s v="FI-993"/>
    <s v="M-1088"/>
  </r>
  <r>
    <x v="1144"/>
    <n v="990"/>
    <x v="0"/>
    <x v="4"/>
    <n v="4"/>
    <x v="61"/>
    <x v="26"/>
    <x v="1"/>
    <x v="4"/>
    <s v="Ninguno"/>
    <s v="Proporción y Cantidad  de Establecimientos de Salud "/>
    <s v="Año 2021"/>
    <s v="Número de Establecimientos"/>
    <s v="Departamento de Estadísticas e Información de la Salud (DEIS) - Ministerio de Salud"/>
    <x v="1144"/>
    <m/>
    <s v="Gráfico"/>
    <s v="Región de Coquimbo regional establecimientos salud proporción hospitales clínicas cesfam sapu postas laboratorios dentales clínicos alta baja media complejidad diálisis vacunatorios consultorio"/>
    <x v="770"/>
    <s v="100-R-4"/>
    <s v="#1774B9"/>
    <s v="990-1145"/>
    <n v="99200004"/>
    <s v="T-1047"/>
    <s v="C-1013"/>
    <s v="FI-993"/>
    <s v="M-1088"/>
  </r>
  <r>
    <x v="1145"/>
    <n v="990"/>
    <x v="0"/>
    <x v="4"/>
    <n v="5"/>
    <x v="61"/>
    <x v="26"/>
    <x v="1"/>
    <x v="5"/>
    <s v="Ninguno"/>
    <s v="Proporción y Cantidad  de Establecimientos de Salud "/>
    <s v="Año 2021"/>
    <s v="Número de Establecimientos"/>
    <s v="Departamento de Estadísticas e Información de la Salud (DEIS) - Ministerio de Salud"/>
    <x v="1145"/>
    <m/>
    <s v="Gráfico"/>
    <s v="Región de Valparaíso regional establecimientos salud proporción hospitales clínicas cesfam sapu postas laboratorios dentales clínicos alta baja media complejidad diálisis vacunatorios consultorio"/>
    <x v="771"/>
    <s v="100-R-5"/>
    <s v="#1774B9"/>
    <s v="990-1146"/>
    <n v="99200005"/>
    <s v="T-1047"/>
    <s v="C-1013"/>
    <s v="FI-993"/>
    <s v="M-1088"/>
  </r>
  <r>
    <x v="1146"/>
    <n v="990"/>
    <x v="0"/>
    <x v="4"/>
    <n v="6"/>
    <x v="61"/>
    <x v="26"/>
    <x v="1"/>
    <x v="6"/>
    <s v="Ninguno"/>
    <s v="Proporción y Cantidad  de Establecimientos de Salud "/>
    <s v="Año 2021"/>
    <s v="Número de Establecimientos"/>
    <s v="Departamento de Estadísticas e Información de la Salud (DEIS) - Ministerio de Salud"/>
    <x v="1146"/>
    <m/>
    <s v="Gráfico"/>
    <s v="Región de O'Higgins regional establecimientos salud proporción hospitales clínicas cesfam sapu postas laboratorios dentales clínicos alta baja media complejidad diálisis vacunatorios consultorio"/>
    <x v="772"/>
    <s v="100-R-6"/>
    <s v="#1774B9"/>
    <s v="990-1147"/>
    <n v="99200006"/>
    <s v="T-1047"/>
    <s v="C-1013"/>
    <s v="FI-993"/>
    <s v="M-1088"/>
  </r>
  <r>
    <x v="1147"/>
    <n v="990"/>
    <x v="0"/>
    <x v="4"/>
    <n v="7"/>
    <x v="61"/>
    <x v="26"/>
    <x v="1"/>
    <x v="7"/>
    <s v="Ninguno"/>
    <s v="Proporción y Cantidad  de Establecimientos de Salud "/>
    <s v="Año 2021"/>
    <s v="Número de Establecimientos"/>
    <s v="Departamento de Estadísticas e Información de la Salud (DEIS) - Ministerio de Salud"/>
    <x v="1147"/>
    <m/>
    <s v="Gráfico"/>
    <s v="Región de Maule regional establecimientos salud proporción hospitales clínicas cesfam sapu postas laboratorios dentales clínicos alta baja media complejidad diálisis vacunatorios consultorio"/>
    <x v="773"/>
    <s v="100-R-7"/>
    <s v="#1774B9"/>
    <s v="990-1148"/>
    <n v="99200007"/>
    <s v="T-1047"/>
    <s v="C-1013"/>
    <s v="FI-993"/>
    <s v="M-1088"/>
  </r>
  <r>
    <x v="1148"/>
    <n v="990"/>
    <x v="0"/>
    <x v="4"/>
    <n v="8"/>
    <x v="61"/>
    <x v="26"/>
    <x v="1"/>
    <x v="8"/>
    <s v="Ninguno"/>
    <s v="Proporción y Cantidad  de Establecimientos de Salud "/>
    <s v="Año 2021"/>
    <s v="Número de Establecimientos"/>
    <s v="Departamento de Estadísticas e Información de la Salud (DEIS) - Ministerio de Salud"/>
    <x v="1148"/>
    <m/>
    <s v="Gráfico"/>
    <s v="Región del Biobío regional establecimientos salud proporción hospitales clínicas cesfam sapu postas laboratorios dentales clínicos alta baja media complejidad diálisis vacunatorios consultorio"/>
    <x v="774"/>
    <s v="100-R-8"/>
    <s v="#1774B9"/>
    <s v="990-1149"/>
    <n v="99200008"/>
    <s v="T-1047"/>
    <s v="C-1013"/>
    <s v="FI-993"/>
    <s v="M-1088"/>
  </r>
  <r>
    <x v="1149"/>
    <n v="990"/>
    <x v="0"/>
    <x v="4"/>
    <n v="9"/>
    <x v="61"/>
    <x v="26"/>
    <x v="1"/>
    <x v="9"/>
    <s v="Ninguno"/>
    <s v="Proporción y Cantidad  de Establecimientos de Salud "/>
    <s v="Año 2021"/>
    <s v="Número de Establecimientos"/>
    <s v="Departamento de Estadísticas e Información de la Salud (DEIS) - Ministerio de Salud"/>
    <x v="1149"/>
    <m/>
    <s v="Gráfico"/>
    <s v="Región de La Araucanía regional establecimientos salud proporción hospitales clínicas cesfam sapu postas laboratorios dentales clínicos alta baja media complejidad diálisis vacunatorios consultorio"/>
    <x v="775"/>
    <s v="100-R-9"/>
    <s v="#1774B9"/>
    <s v="990-1150"/>
    <n v="99200009"/>
    <s v="T-1047"/>
    <s v="C-1013"/>
    <s v="FI-993"/>
    <s v="M-1088"/>
  </r>
  <r>
    <x v="1150"/>
    <n v="990"/>
    <x v="0"/>
    <x v="4"/>
    <n v="10"/>
    <x v="61"/>
    <x v="26"/>
    <x v="1"/>
    <x v="10"/>
    <s v="Ninguno"/>
    <s v="Proporción y Cantidad  de Establecimientos de Salud "/>
    <s v="Año 2021"/>
    <s v="Número de Establecimientos"/>
    <s v="Departamento de Estadísticas e Información de la Salud (DEIS) - Ministerio de Salud"/>
    <x v="1150"/>
    <m/>
    <s v="Gráfico"/>
    <s v="Región de Los Lagos regional establecimientos salud proporción hospitales clínicas cesfam sapu postas laboratorios dentales clínicos alta baja media complejidad diálisis vacunatorios consultorio"/>
    <x v="776"/>
    <s v="100-R-10"/>
    <s v="#1774B9"/>
    <s v="990-1151"/>
    <n v="99200010"/>
    <s v="T-1047"/>
    <s v="C-1013"/>
    <s v="FI-993"/>
    <s v="M-1088"/>
  </r>
  <r>
    <x v="1151"/>
    <n v="990"/>
    <x v="0"/>
    <x v="4"/>
    <n v="11"/>
    <x v="61"/>
    <x v="26"/>
    <x v="1"/>
    <x v="11"/>
    <s v="Ninguno"/>
    <s v="Proporción y Cantidad  de Establecimientos de Salud "/>
    <s v="Año 2021"/>
    <s v="Número de Establecimientos"/>
    <s v="Departamento de Estadísticas e Información de la Salud (DEIS) - Ministerio de Salud"/>
    <x v="1151"/>
    <m/>
    <s v="Gráfico"/>
    <s v="Región de Aysén regional establecimientos salud proporción hospitales clínicas cesfam sapu postas laboratorios dentales clínicos alta baja media complejidad diálisis vacunatorios consultorio"/>
    <x v="777"/>
    <s v="100-R-11"/>
    <s v="#1774B9"/>
    <s v="990-1152"/>
    <n v="99200011"/>
    <s v="T-1047"/>
    <s v="C-1013"/>
    <s v="FI-993"/>
    <s v="M-1088"/>
  </r>
  <r>
    <x v="1152"/>
    <n v="990"/>
    <x v="0"/>
    <x v="4"/>
    <n v="12"/>
    <x v="61"/>
    <x v="26"/>
    <x v="1"/>
    <x v="12"/>
    <s v="Ninguno"/>
    <s v="Proporción y Cantidad  de Establecimientos de Salud "/>
    <s v="Año 2021"/>
    <s v="Número de Establecimientos"/>
    <s v="Departamento de Estadísticas e Información de la Salud (DEIS) - Ministerio de Salud"/>
    <x v="1152"/>
    <m/>
    <s v="Gráfico"/>
    <s v="Región de Magallanes regional establecimientos salud proporción hospitales clínicas cesfam sapu postas laboratorios dentales clínicos alta baja media complejidad diálisis vacunatorios consultorio"/>
    <x v="778"/>
    <s v="100-R-12"/>
    <s v="#1774B9"/>
    <s v="990-1153"/>
    <n v="99200012"/>
    <s v="T-1047"/>
    <s v="C-1013"/>
    <s v="FI-993"/>
    <s v="M-1088"/>
  </r>
  <r>
    <x v="1153"/>
    <n v="990"/>
    <x v="0"/>
    <x v="4"/>
    <n v="13"/>
    <x v="61"/>
    <x v="26"/>
    <x v="1"/>
    <x v="13"/>
    <s v="Ninguno"/>
    <s v="Proporción y Cantidad  de Establecimientos de Salud "/>
    <s v="Año 2021"/>
    <s v="Número de Establecimientos"/>
    <s v="Departamento de Estadísticas e Información de la Salud (DEIS) - Ministerio de Salud"/>
    <x v="1153"/>
    <m/>
    <s v="Gráfico"/>
    <s v="Región Metropolitana regional establecimientos salud proporción hospitales clínicas cesfam sapu postas laboratorios dentales clínicos alta baja media complejidad diálisis vacunatorios consultorio"/>
    <x v="779"/>
    <s v="200-R-13"/>
    <s v="#1774B9"/>
    <s v="990-1154"/>
    <n v="99200013"/>
    <s v="T-1047"/>
    <s v="C-1013"/>
    <s v="FI-993"/>
    <s v="M-1088"/>
  </r>
  <r>
    <x v="1154"/>
    <n v="990"/>
    <x v="0"/>
    <x v="4"/>
    <n v="14"/>
    <x v="61"/>
    <x v="26"/>
    <x v="1"/>
    <x v="14"/>
    <s v="Ninguno"/>
    <s v="Proporción y Cantidad  de Establecimientos de Salud "/>
    <s v="Año 2021"/>
    <s v="Número de Establecimientos"/>
    <s v="Departamento de Estadísticas e Información de la Salud (DEIS) - Ministerio de Salud"/>
    <x v="1154"/>
    <m/>
    <s v="Gráfico"/>
    <s v="Región de Los Ríos regional establecimientos salud proporción hospitales clínicas cesfam sapu postas laboratorios dentales clínicos alta baja media complejidad diálisis vacunatorios consultorio"/>
    <x v="780"/>
    <s v="100-R-14"/>
    <s v="#1774B9"/>
    <s v="990-1155"/>
    <n v="99200014"/>
    <s v="T-1047"/>
    <s v="C-1013"/>
    <s v="FI-993"/>
    <s v="M-1088"/>
  </r>
  <r>
    <x v="1155"/>
    <n v="990"/>
    <x v="0"/>
    <x v="4"/>
    <n v="15"/>
    <x v="61"/>
    <x v="26"/>
    <x v="1"/>
    <x v="15"/>
    <s v="Ninguno"/>
    <s v="Proporción y Cantidad  de Establecimientos de Salud "/>
    <s v="Año 2021"/>
    <s v="Número de Establecimientos"/>
    <s v="Departamento de Estadísticas e Información de la Salud (DEIS) - Ministerio de Salud"/>
    <x v="1155"/>
    <m/>
    <s v="Gráfico"/>
    <s v="Región de Arica y Parinacota regional establecimientos salud proporción hospitales clínicas cesfam sapu postas laboratorios dentales clínicos alta baja media complejidad diálisis vacunatorios consultorio"/>
    <x v="781"/>
    <s v="100-R-15"/>
    <s v="#1774B9"/>
    <s v="990-1156"/>
    <n v="99200015"/>
    <s v="T-1047"/>
    <s v="C-1013"/>
    <s v="FI-993"/>
    <s v="M-1088"/>
  </r>
  <r>
    <x v="1156"/>
    <n v="990"/>
    <x v="0"/>
    <x v="4"/>
    <n v="16"/>
    <x v="61"/>
    <x v="26"/>
    <x v="1"/>
    <x v="16"/>
    <s v="Ninguno"/>
    <s v="Proporción y Cantidad  de Establecimientos de Salud "/>
    <s v="Año 2021"/>
    <s v="Número de Establecimientos"/>
    <s v="Departamento de Estadísticas e Información de la Salud (DEIS) - Ministerio de Salud"/>
    <x v="1156"/>
    <m/>
    <s v="Gráfico"/>
    <s v="Región de Ñuble regional establecimientos salud proporción hospitales clínicas cesfam sapu postas laboratorios dentales clínicos alta baja media complejidad diálisis vacunatorios consultorio"/>
    <x v="782"/>
    <s v="100-R-16"/>
    <s v="#1774B9"/>
    <s v="990-1157"/>
    <n v="99200016"/>
    <s v="T-1047"/>
    <s v="C-1013"/>
    <s v="FI-993"/>
    <s v="M-1088"/>
  </r>
  <r>
    <x v="1157"/>
    <n v="990"/>
    <x v="0"/>
    <x v="4"/>
    <n v="0"/>
    <x v="61"/>
    <x v="26"/>
    <x v="0"/>
    <x v="0"/>
    <s v="Región-Categoría"/>
    <s v="Cantidad  de Establecimientos de Salud "/>
    <s v="Año 2021"/>
    <s v="Número de Establecimientos"/>
    <s v="Departamento de Estadísticas e Información de la Salud (DEIS) - Ministerio de Salud"/>
    <x v="1157"/>
    <s v="La comuna de Antofagasta es la comuna con la mayor cantidad de establecimientos de la salud, alcanzando un total de 55. De estos, 22 son Laboratorios Clínicos o Dentales. Le sigue Puerto Montt con 51 establecimiento, entre estos 12 Postas y 12 CESFAM. Por otro lado, 21 comunas del país poseen solo 1 establecimientos de salud."/>
    <s v="Mapa de calor"/>
    <s v="Chile nacional región establecimientos salud tipo mapa hospitales clínicas cesfam sapu postas laboratorios dentales clínicos alta baja media complejidad diálisis vacunatorios consultorio"/>
    <x v="783"/>
    <s v="300-C"/>
    <s v="#1774B9"/>
    <s v="990-1158"/>
    <n v="99100000"/>
    <s v="T-1047"/>
    <s v="C-1013"/>
    <s v="FI-1004"/>
    <s v="M-1089"/>
  </r>
  <r>
    <x v="1158"/>
    <n v="990"/>
    <x v="0"/>
    <x v="4"/>
    <n v="1"/>
    <x v="61"/>
    <x v="26"/>
    <x v="1"/>
    <x v="1"/>
    <s v="Categoría"/>
    <s v="Cantidad  de Establecimientos de Salud "/>
    <s v="Año 2021"/>
    <s v="Número de Establecimientos"/>
    <s v="Departamento de Estadísticas e Información de la Salud (DEIS) - Ministerio de Salud"/>
    <x v="1158"/>
    <m/>
    <s v="Mapa de calor"/>
    <s v="Región de Tarapacá regional comuna establecimientos salud tipo mapa hospitales clínicas cesfam sapu postas laboratorios dentales clínicos alta baja media complejidad diálisis vacunatorios consultorio"/>
    <x v="784"/>
    <s v="100-C-1"/>
    <s v="#1774B9"/>
    <s v="990-1159"/>
    <n v="99200001"/>
    <s v="T-1047"/>
    <s v="C-1013"/>
    <s v="FI-1002"/>
    <s v="M-1089"/>
  </r>
  <r>
    <x v="1159"/>
    <n v="990"/>
    <x v="0"/>
    <x v="4"/>
    <n v="2"/>
    <x v="61"/>
    <x v="26"/>
    <x v="1"/>
    <x v="2"/>
    <s v="Categoría"/>
    <s v="Cantidad  de Establecimientos de Salud "/>
    <s v="Año 2021"/>
    <s v="Número de Establecimientos"/>
    <s v="Departamento de Estadísticas e Información de la Salud (DEIS) - Ministerio de Salud"/>
    <x v="1159"/>
    <m/>
    <s v="Mapa de calor"/>
    <s v="Región de Antofagasta regional comuna establecimientos salud tipo mapa hospitales clínicas cesfam sapu postas laboratorios dentales clínicos alta baja media complejidad diálisis vacunatorios consultorio"/>
    <x v="785"/>
    <s v="100-C-2"/>
    <s v="#1774B9"/>
    <s v="990-1160"/>
    <n v="99200002"/>
    <s v="T-1047"/>
    <s v="C-1013"/>
    <s v="FI-1002"/>
    <s v="M-1089"/>
  </r>
  <r>
    <x v="1160"/>
    <n v="990"/>
    <x v="0"/>
    <x v="4"/>
    <n v="3"/>
    <x v="61"/>
    <x v="26"/>
    <x v="1"/>
    <x v="3"/>
    <s v="Categoría"/>
    <s v="Cantidad  de Establecimientos de Salud "/>
    <s v="Año 2021"/>
    <s v="Número de Establecimientos"/>
    <s v="Departamento de Estadísticas e Información de la Salud (DEIS) - Ministerio de Salud"/>
    <x v="1160"/>
    <m/>
    <s v="Mapa de calor"/>
    <s v="Región de Atacama regional comuna establecimientos salud tipo mapa hospitales clínicas cesfam sapu postas laboratorios dentales clínicos alta baja media complejidad diálisis vacunatorios consultorio"/>
    <x v="786"/>
    <s v="100-C-3"/>
    <s v="#1774B9"/>
    <s v="990-1161"/>
    <n v="99200003"/>
    <s v="T-1047"/>
    <s v="C-1013"/>
    <s v="FI-1002"/>
    <s v="M-1089"/>
  </r>
  <r>
    <x v="1161"/>
    <n v="990"/>
    <x v="0"/>
    <x v="4"/>
    <n v="4"/>
    <x v="61"/>
    <x v="26"/>
    <x v="1"/>
    <x v="4"/>
    <s v="Categoría"/>
    <s v="Cantidad  de Establecimientos de Salud "/>
    <s v="Año 2021"/>
    <s v="Número de Establecimientos"/>
    <s v="Departamento de Estadísticas e Información de la Salud (DEIS) - Ministerio de Salud"/>
    <x v="1161"/>
    <m/>
    <s v="Mapa de calor"/>
    <s v="Región de Coquimbo regional comuna establecimientos salud tipo mapa hospitales clínicas cesfam sapu postas laboratorios dentales clínicos alta baja media complejidad diálisis vacunatorios consultorio"/>
    <x v="787"/>
    <s v="100-C-4"/>
    <s v="#1774B9"/>
    <s v="990-1162"/>
    <n v="99200004"/>
    <s v="T-1047"/>
    <s v="C-1013"/>
    <s v="FI-1002"/>
    <s v="M-1089"/>
  </r>
  <r>
    <x v="1162"/>
    <n v="990"/>
    <x v="0"/>
    <x v="4"/>
    <n v="5"/>
    <x v="61"/>
    <x v="26"/>
    <x v="1"/>
    <x v="5"/>
    <s v="Categoría"/>
    <s v="Cantidad  de Establecimientos de Salud "/>
    <s v="Año 2021"/>
    <s v="Número de Establecimientos"/>
    <s v="Departamento de Estadísticas e Información de la Salud (DEIS) - Ministerio de Salud"/>
    <x v="1162"/>
    <m/>
    <s v="Mapa de calor"/>
    <s v="Región de Valparaíso regional comuna establecimientos salud tipo mapa hospitales clínicas cesfam sapu postas laboratorios dentales clínicos alta baja media complejidad diálisis vacunatorios consultorio"/>
    <x v="788"/>
    <s v="100-C-5"/>
    <s v="#1774B9"/>
    <s v="990-1163"/>
    <n v="99200005"/>
    <s v="T-1047"/>
    <s v="C-1013"/>
    <s v="FI-1002"/>
    <s v="M-1089"/>
  </r>
  <r>
    <x v="1163"/>
    <n v="990"/>
    <x v="0"/>
    <x v="4"/>
    <n v="6"/>
    <x v="61"/>
    <x v="26"/>
    <x v="1"/>
    <x v="6"/>
    <s v="Categoría"/>
    <s v="Cantidad  de Establecimientos de Salud "/>
    <s v="Año 2021"/>
    <s v="Número de Establecimientos"/>
    <s v="Departamento de Estadísticas e Información de la Salud (DEIS) - Ministerio de Salud"/>
    <x v="1163"/>
    <m/>
    <s v="Mapa de calor"/>
    <s v="Región de O'Higgins regional comuna establecimientos salud tipo mapa hospitales clínicas cesfam sapu postas laboratorios dentales clínicos alta baja media complejidad diálisis vacunatorios consultorio"/>
    <x v="789"/>
    <s v="100-C-6"/>
    <s v="#1774B9"/>
    <s v="990-1164"/>
    <n v="99200006"/>
    <s v="T-1047"/>
    <s v="C-1013"/>
    <s v="FI-1002"/>
    <s v="M-1089"/>
  </r>
  <r>
    <x v="1164"/>
    <n v="990"/>
    <x v="0"/>
    <x v="4"/>
    <n v="7"/>
    <x v="61"/>
    <x v="26"/>
    <x v="1"/>
    <x v="7"/>
    <s v="Categoría"/>
    <s v="Cantidad  de Establecimientos de Salud "/>
    <s v="Año 2021"/>
    <s v="Número de Establecimientos"/>
    <s v="Departamento de Estadísticas e Información de la Salud (DEIS) - Ministerio de Salud"/>
    <x v="1164"/>
    <m/>
    <s v="Mapa de calor"/>
    <s v="Región de Maule regional comuna establecimientos salud tipo mapa hospitales clínicas cesfam sapu postas laboratorios dentales clínicos alta baja media complejidad diálisis vacunatorios consultorio"/>
    <x v="790"/>
    <s v="100-C-7"/>
    <s v="#1774B9"/>
    <s v="990-1165"/>
    <n v="99200007"/>
    <s v="T-1047"/>
    <s v="C-1013"/>
    <s v="FI-1002"/>
    <s v="M-1089"/>
  </r>
  <r>
    <x v="1165"/>
    <n v="990"/>
    <x v="0"/>
    <x v="4"/>
    <n v="8"/>
    <x v="61"/>
    <x v="26"/>
    <x v="1"/>
    <x v="8"/>
    <s v="Categoría"/>
    <s v="Cantidad  de Establecimientos de Salud "/>
    <s v="Año 2021"/>
    <s v="Número de Establecimientos"/>
    <s v="Departamento de Estadísticas e Información de la Salud (DEIS) - Ministerio de Salud"/>
    <x v="1165"/>
    <m/>
    <s v="Mapa de calor"/>
    <s v="Región del Biobío regional comuna establecimientos salud tipo mapa hospitales clínicas cesfam sapu postas laboratorios dentales clínicos alta baja media complejidad diálisis vacunatorios consultorio"/>
    <x v="791"/>
    <s v="100-C-8"/>
    <s v="#1774B9"/>
    <s v="990-1166"/>
    <n v="99200008"/>
    <s v="T-1047"/>
    <s v="C-1013"/>
    <s v="FI-1002"/>
    <s v="M-1089"/>
  </r>
  <r>
    <x v="1166"/>
    <n v="990"/>
    <x v="0"/>
    <x v="4"/>
    <n v="9"/>
    <x v="61"/>
    <x v="26"/>
    <x v="1"/>
    <x v="9"/>
    <s v="Categoría"/>
    <s v="Cantidad  de Establecimientos de Salud "/>
    <s v="Año 2021"/>
    <s v="Número de Establecimientos"/>
    <s v="Departamento de Estadísticas e Información de la Salud (DEIS) - Ministerio de Salud"/>
    <x v="1166"/>
    <m/>
    <s v="Mapa de calor"/>
    <s v="Región de La Araucanía regional comuna establecimientos salud tipo mapa hospitales clínicas cesfam sapu postas laboratorios dentales clínicos alta baja media complejidad diálisis vacunatorios consultorio"/>
    <x v="792"/>
    <s v="100-C-9"/>
    <s v="#1774B9"/>
    <s v="990-1167"/>
    <n v="99200009"/>
    <s v="T-1047"/>
    <s v="C-1013"/>
    <s v="FI-1002"/>
    <s v="M-1089"/>
  </r>
  <r>
    <x v="1167"/>
    <n v="990"/>
    <x v="0"/>
    <x v="4"/>
    <n v="10"/>
    <x v="61"/>
    <x v="26"/>
    <x v="1"/>
    <x v="10"/>
    <s v="Categoría"/>
    <s v="Cantidad  de Establecimientos de Salud "/>
    <s v="Año 2021"/>
    <s v="Número de Establecimientos"/>
    <s v="Departamento de Estadísticas e Información de la Salud (DEIS) - Ministerio de Salud"/>
    <x v="1167"/>
    <m/>
    <s v="Mapa de calor"/>
    <s v="Región de Los Lagos regional comuna establecimientos salud tipo mapa hospitales clínicas cesfam sapu postas laboratorios dentales clínicos alta baja media complejidad diálisis vacunatorios consultorio"/>
    <x v="793"/>
    <s v="100-C-10"/>
    <s v="#1774B9"/>
    <s v="990-1168"/>
    <n v="99200010"/>
    <s v="T-1047"/>
    <s v="C-1013"/>
    <s v="FI-1002"/>
    <s v="M-1089"/>
  </r>
  <r>
    <x v="1168"/>
    <n v="990"/>
    <x v="0"/>
    <x v="4"/>
    <n v="11"/>
    <x v="61"/>
    <x v="26"/>
    <x v="1"/>
    <x v="11"/>
    <s v="Categoría"/>
    <s v="Cantidad  de Establecimientos de Salud "/>
    <s v="Año 2021"/>
    <s v="Número de Establecimientos"/>
    <s v="Departamento de Estadísticas e Información de la Salud (DEIS) - Ministerio de Salud"/>
    <x v="1168"/>
    <m/>
    <s v="Mapa de calor"/>
    <s v="Región de Aysén regional comuna establecimientos salud tipo mapa hospitales clínicas cesfam sapu postas laboratorios dentales clínicos alta baja media complejidad diálisis vacunatorios consultorio"/>
    <x v="794"/>
    <s v="100-C-11"/>
    <s v="#1774B9"/>
    <s v="990-1169"/>
    <n v="99200011"/>
    <s v="T-1047"/>
    <s v="C-1013"/>
    <s v="FI-1002"/>
    <s v="M-1089"/>
  </r>
  <r>
    <x v="1169"/>
    <n v="990"/>
    <x v="0"/>
    <x v="4"/>
    <n v="12"/>
    <x v="61"/>
    <x v="26"/>
    <x v="1"/>
    <x v="12"/>
    <s v="Categoría"/>
    <s v="Cantidad  de Establecimientos de Salud "/>
    <s v="Año 2021"/>
    <s v="Número de Establecimientos"/>
    <s v="Departamento de Estadísticas e Información de la Salud (DEIS) - Ministerio de Salud"/>
    <x v="1169"/>
    <m/>
    <s v="Mapa de calor"/>
    <s v="Región de Magallanes regional comuna establecimientos salud tipo mapa hospitales clínicas cesfam sapu postas laboratorios dentales clínicos alta baja media complejidad diálisis vacunatorios consultorio"/>
    <x v="795"/>
    <s v="100-C-12"/>
    <s v="#1774B9"/>
    <s v="990-1170"/>
    <n v="99200012"/>
    <s v="T-1047"/>
    <s v="C-1013"/>
    <s v="FI-1002"/>
    <s v="M-1089"/>
  </r>
  <r>
    <x v="1170"/>
    <n v="990"/>
    <x v="0"/>
    <x v="4"/>
    <n v="13"/>
    <x v="61"/>
    <x v="26"/>
    <x v="1"/>
    <x v="13"/>
    <s v="Categoría"/>
    <s v="Cantidad  de Establecimientos de Salud "/>
    <s v="Año 2021"/>
    <s v="Número de Establecimientos"/>
    <s v="Departamento de Estadísticas e Información de la Salud (DEIS) - Ministerio de Salud"/>
    <x v="1170"/>
    <m/>
    <s v="Mapa de calor"/>
    <s v="Región Metropolitana regional comuna establecimientos salud tipo mapa hospitales clínicas cesfam sapu postas laboratorios dentales clínicos alta baja media complejidad diálisis vacunatorios consultorio"/>
    <x v="796"/>
    <s v="200-C-13"/>
    <s v="#1774B9"/>
    <s v="990-1171"/>
    <n v="99200013"/>
    <s v="T-1047"/>
    <s v="C-1013"/>
    <s v="FI-1002"/>
    <s v="M-1089"/>
  </r>
  <r>
    <x v="1171"/>
    <n v="990"/>
    <x v="0"/>
    <x v="4"/>
    <n v="14"/>
    <x v="61"/>
    <x v="26"/>
    <x v="1"/>
    <x v="14"/>
    <s v="Categoría"/>
    <s v="Cantidad  de Establecimientos de Salud "/>
    <s v="Año 2021"/>
    <s v="Número de Establecimientos"/>
    <s v="Departamento de Estadísticas e Información de la Salud (DEIS) - Ministerio de Salud"/>
    <x v="1171"/>
    <m/>
    <s v="Mapa de calor"/>
    <s v="Región de Los Ríos regional comuna establecimientos salud tipo mapa hospitales clínicas cesfam sapu postas laboratorios dentales clínicos alta baja media complejidad diálisis vacunatorios consultorio"/>
    <x v="797"/>
    <s v="100-C-14"/>
    <s v="#1774B9"/>
    <s v="990-1172"/>
    <n v="99200014"/>
    <s v="T-1047"/>
    <s v="C-1013"/>
    <s v="FI-1002"/>
    <s v="M-1089"/>
  </r>
  <r>
    <x v="1172"/>
    <n v="990"/>
    <x v="0"/>
    <x v="4"/>
    <n v="15"/>
    <x v="61"/>
    <x v="26"/>
    <x v="1"/>
    <x v="15"/>
    <s v="Categoría"/>
    <s v="Cantidad  de Establecimientos de Salud "/>
    <s v="Año 2021"/>
    <s v="Número de Establecimientos"/>
    <s v="Departamento de Estadísticas e Información de la Salud (DEIS) - Ministerio de Salud"/>
    <x v="1172"/>
    <m/>
    <s v="Mapa de calor"/>
    <s v="Región de Arica y Parinacota regional comuna establecimientos salud tipo mapa hospitales clínicas cesfam sapu postas laboratorios dentales clínicos alta baja media complejidad diálisis vacunatorios consultorio"/>
    <x v="798"/>
    <s v="100-C-15"/>
    <s v="#1774B9"/>
    <s v="990-1173"/>
    <n v="99200015"/>
    <s v="T-1047"/>
    <s v="C-1013"/>
    <s v="FI-1002"/>
    <s v="M-1089"/>
  </r>
  <r>
    <x v="1173"/>
    <n v="990"/>
    <x v="0"/>
    <x v="4"/>
    <n v="16"/>
    <x v="61"/>
    <x v="26"/>
    <x v="1"/>
    <x v="16"/>
    <s v="Categoría"/>
    <s v="Cantidad  de Establecimientos de Salud "/>
    <s v="Año 2021"/>
    <s v="Número de Establecimientos"/>
    <s v="Departamento de Estadísticas e Información de la Salud (DEIS) - Ministerio de Salud"/>
    <x v="1173"/>
    <m/>
    <s v="Mapa de calor"/>
    <s v="Región de Ñuble regional comuna establecimientos salud tipo mapa hospitales clínicas cesfam sapu postas laboratorios dentales clínicos alta baja media complejidad diálisis vacunatorios consultorio"/>
    <x v="799"/>
    <s v="100-C-16"/>
    <s v="#1774B9"/>
    <s v="990-1174"/>
    <n v="99200016"/>
    <s v="T-1047"/>
    <s v="C-1013"/>
    <s v="FI-1002"/>
    <s v="M-1089"/>
  </r>
  <r>
    <x v="1174"/>
    <n v="990"/>
    <x v="0"/>
    <x v="4"/>
    <n v="0"/>
    <x v="61"/>
    <x v="26"/>
    <x v="0"/>
    <x v="0"/>
    <s v="Región"/>
    <s v="Proporción y Cantidad  de Establecimientos de Salud "/>
    <s v="Año 2021"/>
    <s v="Número de Establecimientos"/>
    <s v="Departamento de Estadísticas e Información de la Salud (DEIS) - Ministerio de Salud"/>
    <x v="1174"/>
    <s v="A nivel nacional, Chile cuenta con 2.457 establecimientos públicos de la salud, lo que corresponde al 78% de todos los establecimientos de la salud. A su vez, existen 691 establecimientos privados correspondientes al 22% restante. Arica y Parinacota es la única región que cuenta con la misma cantidad de establecimientos privados y públicos, 18 de cada uno."/>
    <s v="Gráfico"/>
    <s v="Chile nacional región establecimientos salud tipo proporción privados públicos"/>
    <x v="800"/>
    <s v="300-R"/>
    <s v="#1774B9"/>
    <s v="990-1175"/>
    <n v="99100000"/>
    <s v="T-1047"/>
    <s v="C-1013"/>
    <s v="FI-992"/>
    <s v="M-1088"/>
  </r>
  <r>
    <x v="1175"/>
    <n v="990"/>
    <x v="0"/>
    <x v="4"/>
    <n v="1"/>
    <x v="61"/>
    <x v="26"/>
    <x v="1"/>
    <x v="1"/>
    <s v="Ninguno"/>
    <s v="Proporción y Cantidad  de Establecimientos de Salud "/>
    <s v="Año 2021"/>
    <s v="Número de Establecimientos"/>
    <s v="Departamento de Estadísticas e Información de la Salud (DEIS) - Ministerio de Salud"/>
    <x v="1175"/>
    <m/>
    <s v="Gráfico"/>
    <s v="Región de Tarapacá regional establecimientos salud tipo proporción privados públicos"/>
    <x v="801"/>
    <s v="100-R-1"/>
    <s v="#1774B9"/>
    <s v="990-1176"/>
    <n v="99200001"/>
    <s v="T-1047"/>
    <s v="C-1013"/>
    <s v="FI-993"/>
    <s v="M-1088"/>
  </r>
  <r>
    <x v="1176"/>
    <n v="990"/>
    <x v="0"/>
    <x v="4"/>
    <n v="2"/>
    <x v="61"/>
    <x v="26"/>
    <x v="1"/>
    <x v="2"/>
    <s v="Ninguno"/>
    <s v="Proporción y Cantidad  de Establecimientos de Salud "/>
    <s v="Año 2021"/>
    <s v="Número de Establecimientos"/>
    <s v="Departamento de Estadísticas e Información de la Salud (DEIS) - Ministerio de Salud"/>
    <x v="1176"/>
    <m/>
    <s v="Gráfico"/>
    <s v="Región de Antofagasta regional establecimientos salud tipo proporción privados públicos"/>
    <x v="802"/>
    <s v="100-R-2"/>
    <s v="#1774B9"/>
    <s v="990-1177"/>
    <n v="99200002"/>
    <s v="T-1047"/>
    <s v="C-1013"/>
    <s v="FI-993"/>
    <s v="M-1088"/>
  </r>
  <r>
    <x v="1177"/>
    <n v="990"/>
    <x v="0"/>
    <x v="4"/>
    <n v="3"/>
    <x v="61"/>
    <x v="26"/>
    <x v="1"/>
    <x v="3"/>
    <s v="Ninguno"/>
    <s v="Proporción y Cantidad  de Establecimientos de Salud "/>
    <s v="Año 2021"/>
    <s v="Número de Establecimientos"/>
    <s v="Departamento de Estadísticas e Información de la Salud (DEIS) - Ministerio de Salud"/>
    <x v="1177"/>
    <m/>
    <s v="Gráfico"/>
    <s v="Región de Atacama regional establecimientos salud tipo proporción privados públicos"/>
    <x v="803"/>
    <s v="100-R-3"/>
    <s v="#1774B9"/>
    <s v="990-1178"/>
    <n v="99200003"/>
    <s v="T-1047"/>
    <s v="C-1013"/>
    <s v="FI-993"/>
    <s v="M-1088"/>
  </r>
  <r>
    <x v="1178"/>
    <n v="990"/>
    <x v="0"/>
    <x v="4"/>
    <n v="4"/>
    <x v="61"/>
    <x v="26"/>
    <x v="1"/>
    <x v="4"/>
    <s v="Ninguno"/>
    <s v="Proporción y Cantidad  de Establecimientos de Salud "/>
    <s v="Año 2021"/>
    <s v="Número de Establecimientos"/>
    <s v="Departamento de Estadísticas e Información de la Salud (DEIS) - Ministerio de Salud"/>
    <x v="1178"/>
    <m/>
    <s v="Gráfico"/>
    <s v="Región de Coquimbo regional establecimientos salud tipo proporción privados públicos"/>
    <x v="804"/>
    <s v="100-R-4"/>
    <s v="#1774B9"/>
    <s v="990-1179"/>
    <n v="99200004"/>
    <s v="T-1047"/>
    <s v="C-1013"/>
    <s v="FI-993"/>
    <s v="M-1088"/>
  </r>
  <r>
    <x v="1179"/>
    <n v="990"/>
    <x v="0"/>
    <x v="4"/>
    <n v="5"/>
    <x v="61"/>
    <x v="26"/>
    <x v="1"/>
    <x v="5"/>
    <s v="Ninguno"/>
    <s v="Proporción y Cantidad  de Establecimientos de Salud "/>
    <s v="Año 2021"/>
    <s v="Número de Establecimientos"/>
    <s v="Departamento de Estadísticas e Información de la Salud (DEIS) - Ministerio de Salud"/>
    <x v="1179"/>
    <m/>
    <s v="Gráfico"/>
    <s v="Región de Valparaíso regional establecimientos salud tipo proporción privados públicos"/>
    <x v="805"/>
    <s v="100-R-5"/>
    <s v="#1774B9"/>
    <s v="990-1180"/>
    <n v="99200005"/>
    <s v="T-1047"/>
    <s v="C-1013"/>
    <s v="FI-993"/>
    <s v="M-1088"/>
  </r>
  <r>
    <x v="1180"/>
    <n v="990"/>
    <x v="0"/>
    <x v="4"/>
    <n v="6"/>
    <x v="61"/>
    <x v="26"/>
    <x v="1"/>
    <x v="6"/>
    <s v="Ninguno"/>
    <s v="Proporción y Cantidad  de Establecimientos de Salud "/>
    <s v="Año 2021"/>
    <s v="Número de Establecimientos"/>
    <s v="Departamento de Estadísticas e Información de la Salud (DEIS) - Ministerio de Salud"/>
    <x v="1180"/>
    <m/>
    <s v="Gráfico"/>
    <s v="Región de O'Higgins regional establecimientos salud tipo proporción privados públicos"/>
    <x v="806"/>
    <s v="100-R-6"/>
    <s v="#1774B9"/>
    <s v="990-1181"/>
    <n v="99200006"/>
    <s v="T-1047"/>
    <s v="C-1013"/>
    <s v="FI-993"/>
    <s v="M-1088"/>
  </r>
  <r>
    <x v="1181"/>
    <n v="990"/>
    <x v="0"/>
    <x v="4"/>
    <n v="7"/>
    <x v="61"/>
    <x v="26"/>
    <x v="1"/>
    <x v="7"/>
    <s v="Ninguno"/>
    <s v="Proporción y Cantidad  de Establecimientos de Salud "/>
    <s v="Año 2021"/>
    <s v="Número de Establecimientos"/>
    <s v="Departamento de Estadísticas e Información de la Salud (DEIS) - Ministerio de Salud"/>
    <x v="1181"/>
    <m/>
    <s v="Gráfico"/>
    <s v="Región de Maule regional establecimientos salud tipo proporción privados públicos"/>
    <x v="807"/>
    <s v="100-R-7"/>
    <s v="#1774B9"/>
    <s v="990-1182"/>
    <n v="99200007"/>
    <s v="T-1047"/>
    <s v="C-1013"/>
    <s v="FI-993"/>
    <s v="M-1088"/>
  </r>
  <r>
    <x v="1182"/>
    <n v="990"/>
    <x v="0"/>
    <x v="4"/>
    <n v="8"/>
    <x v="61"/>
    <x v="26"/>
    <x v="1"/>
    <x v="8"/>
    <s v="Ninguno"/>
    <s v="Proporción y Cantidad  de Establecimientos de Salud "/>
    <s v="Año 2021"/>
    <s v="Número de Establecimientos"/>
    <s v="Departamento de Estadísticas e Información de la Salud (DEIS) - Ministerio de Salud"/>
    <x v="1182"/>
    <m/>
    <s v="Gráfico"/>
    <s v="Región del Biobío regional establecimientos salud tipo proporción privados públicos"/>
    <x v="808"/>
    <s v="100-R-8"/>
    <s v="#1774B9"/>
    <s v="990-1183"/>
    <n v="99200008"/>
    <s v="T-1047"/>
    <s v="C-1013"/>
    <s v="FI-993"/>
    <s v="M-1088"/>
  </r>
  <r>
    <x v="1183"/>
    <n v="990"/>
    <x v="0"/>
    <x v="4"/>
    <n v="9"/>
    <x v="61"/>
    <x v="26"/>
    <x v="1"/>
    <x v="9"/>
    <s v="Ninguno"/>
    <s v="Proporción y Cantidad  de Establecimientos de Salud "/>
    <s v="Año 2021"/>
    <s v="Número de Establecimientos"/>
    <s v="Departamento de Estadísticas e Información de la Salud (DEIS) - Ministerio de Salud"/>
    <x v="1183"/>
    <m/>
    <s v="Gráfico"/>
    <s v="Región de La Araucanía regional establecimientos salud tipo proporción privados públicos"/>
    <x v="809"/>
    <s v="100-R-9"/>
    <s v="#1774B9"/>
    <s v="990-1184"/>
    <n v="99200009"/>
    <s v="T-1047"/>
    <s v="C-1013"/>
    <s v="FI-993"/>
    <s v="M-1088"/>
  </r>
  <r>
    <x v="1184"/>
    <n v="990"/>
    <x v="0"/>
    <x v="4"/>
    <n v="10"/>
    <x v="61"/>
    <x v="26"/>
    <x v="1"/>
    <x v="10"/>
    <s v="Ninguno"/>
    <s v="Proporción y Cantidad  de Establecimientos de Salud "/>
    <s v="Año 2021"/>
    <s v="Número de Establecimientos"/>
    <s v="Departamento de Estadísticas e Información de la Salud (DEIS) - Ministerio de Salud"/>
    <x v="1184"/>
    <m/>
    <s v="Gráfico"/>
    <s v="Región de Los Lagos regional establecimientos salud tipo proporción privados públicos"/>
    <x v="810"/>
    <s v="100-R-10"/>
    <s v="#1774B9"/>
    <s v="990-1185"/>
    <n v="99200010"/>
    <s v="T-1047"/>
    <s v="C-1013"/>
    <s v="FI-993"/>
    <s v="M-1088"/>
  </r>
  <r>
    <x v="1185"/>
    <n v="990"/>
    <x v="0"/>
    <x v="4"/>
    <n v="11"/>
    <x v="61"/>
    <x v="26"/>
    <x v="1"/>
    <x v="11"/>
    <s v="Ninguno"/>
    <s v="Proporción y Cantidad  de Establecimientos de Salud "/>
    <s v="Año 2021"/>
    <s v="Número de Establecimientos"/>
    <s v="Departamento de Estadísticas e Información de la Salud (DEIS) - Ministerio de Salud"/>
    <x v="1185"/>
    <m/>
    <s v="Gráfico"/>
    <s v="Región de Aysén regional establecimientos salud tipo proporción privados públicos"/>
    <x v="811"/>
    <s v="100-R-11"/>
    <s v="#1774B9"/>
    <s v="990-1186"/>
    <n v="99200011"/>
    <s v="T-1047"/>
    <s v="C-1013"/>
    <s v="FI-993"/>
    <s v="M-1088"/>
  </r>
  <r>
    <x v="1186"/>
    <n v="990"/>
    <x v="0"/>
    <x v="4"/>
    <n v="12"/>
    <x v="61"/>
    <x v="26"/>
    <x v="1"/>
    <x v="12"/>
    <s v="Ninguno"/>
    <s v="Proporción y Cantidad  de Establecimientos de Salud "/>
    <s v="Año 2021"/>
    <s v="Número de Establecimientos"/>
    <s v="Departamento de Estadísticas e Información de la Salud (DEIS) - Ministerio de Salud"/>
    <x v="1186"/>
    <m/>
    <s v="Gráfico"/>
    <s v="Región de Magallanes regional establecimientos salud tipo proporción privados públicos"/>
    <x v="812"/>
    <s v="100-R-12"/>
    <s v="#1774B9"/>
    <s v="990-1187"/>
    <n v="99200012"/>
    <s v="T-1047"/>
    <s v="C-1013"/>
    <s v="FI-993"/>
    <s v="M-1088"/>
  </r>
  <r>
    <x v="1187"/>
    <n v="990"/>
    <x v="0"/>
    <x v="4"/>
    <n v="13"/>
    <x v="61"/>
    <x v="26"/>
    <x v="1"/>
    <x v="13"/>
    <s v="Ninguno"/>
    <s v="Proporción y Cantidad  de Establecimientos de Salud "/>
    <s v="Año 2021"/>
    <s v="Número de Establecimientos"/>
    <s v="Departamento de Estadísticas e Información de la Salud (DEIS) - Ministerio de Salud"/>
    <x v="1187"/>
    <m/>
    <s v="Gráfico"/>
    <s v="Región Metropolitana regional establecimientos salud tipo proporción privados públicos"/>
    <x v="813"/>
    <s v="200-R-13"/>
    <s v="#1774B9"/>
    <s v="990-1188"/>
    <n v="99200013"/>
    <s v="T-1047"/>
    <s v="C-1013"/>
    <s v="FI-993"/>
    <s v="M-1088"/>
  </r>
  <r>
    <x v="1188"/>
    <n v="990"/>
    <x v="0"/>
    <x v="4"/>
    <n v="14"/>
    <x v="61"/>
    <x v="26"/>
    <x v="1"/>
    <x v="14"/>
    <s v="Ninguno"/>
    <s v="Proporción y Cantidad  de Establecimientos de Salud "/>
    <s v="Año 2021"/>
    <s v="Número de Establecimientos"/>
    <s v="Departamento de Estadísticas e Información de la Salud (DEIS) - Ministerio de Salud"/>
    <x v="1188"/>
    <m/>
    <s v="Gráfico"/>
    <s v="Región de Los Ríos regional establecimientos salud tipo proporción privados públicos"/>
    <x v="814"/>
    <s v="100-R-14"/>
    <s v="#1774B9"/>
    <s v="990-1189"/>
    <n v="99200014"/>
    <s v="T-1047"/>
    <s v="C-1013"/>
    <s v="FI-993"/>
    <s v="M-1088"/>
  </r>
  <r>
    <x v="1189"/>
    <n v="990"/>
    <x v="0"/>
    <x v="4"/>
    <n v="15"/>
    <x v="61"/>
    <x v="26"/>
    <x v="1"/>
    <x v="15"/>
    <s v="Ninguno"/>
    <s v="Proporción y Cantidad  de Establecimientos de Salud "/>
    <s v="Año 2021"/>
    <s v="Número de Establecimientos"/>
    <s v="Departamento de Estadísticas e Información de la Salud (DEIS) - Ministerio de Salud"/>
    <x v="1189"/>
    <m/>
    <s v="Gráfico"/>
    <s v="Región de Arica y Parinacota regional establecimientos salud tipo proporción privados públicos"/>
    <x v="815"/>
    <s v="100-R-15"/>
    <s v="#1774B9"/>
    <s v="990-1190"/>
    <n v="99200015"/>
    <s v="T-1047"/>
    <s v="C-1013"/>
    <s v="FI-993"/>
    <s v="M-1088"/>
  </r>
  <r>
    <x v="1190"/>
    <n v="990"/>
    <x v="0"/>
    <x v="4"/>
    <n v="16"/>
    <x v="61"/>
    <x v="26"/>
    <x v="1"/>
    <x v="16"/>
    <s v="Ninguno"/>
    <s v="Proporción y Cantidad  de Establecimientos de Salud "/>
    <s v="Año 2021"/>
    <s v="Número de Establecimientos"/>
    <s v="Departamento de Estadísticas e Información de la Salud (DEIS) - Ministerio de Salud"/>
    <x v="1190"/>
    <m/>
    <s v="Gráfico"/>
    <s v="Región de Ñuble regional establecimientos salud tipo proporción privados públicos"/>
    <x v="816"/>
    <s v="100-R-16"/>
    <s v="#1774B9"/>
    <s v="990-1191"/>
    <n v="99200016"/>
    <s v="T-1047"/>
    <s v="C-1013"/>
    <s v="FI-993"/>
    <s v="M-1088"/>
  </r>
  <r>
    <x v="1191"/>
    <n v="990"/>
    <x v="0"/>
    <x v="2"/>
    <n v="0"/>
    <x v="21"/>
    <x v="2"/>
    <x v="0"/>
    <x v="0"/>
    <s v="Región"/>
    <s v="Cantidad de atenciones por concepto de urgencia y región"/>
    <s v="Periodo 2010-2016"/>
    <s v="Número de atenciones médicas"/>
    <s v="Departamento de Estadísticas e Información de la Salud (DEIS) - Ministerio de Salud"/>
    <x v="1191"/>
    <s v="Las Atenciones en Salud por Violencia de Género se califican de acuerdo al concepto bajo el cual fue ingresada la urgencia. El concepto &quot;Otra Violencia&quot; fue el más común durante el periodo 2010-2016, seguido por &quot;Violencia Intrafamiliar&quot; para el año 2016."/>
    <s v="Gráfico"/>
    <s v="Chile nacional región atenciones médicas salud violencia género concepto urgencia abuso sexual violación anticonceptivo anticoncepción estupro física intrafamiliar emergencia"/>
    <x v="817"/>
    <s v="300-R"/>
    <s v="#1774B9"/>
    <s v="990-1192"/>
    <n v="99100000"/>
    <s v="T-1040"/>
    <s v="C-996"/>
    <s v="FI-992"/>
    <s v="M-1090"/>
  </r>
  <r>
    <x v="1192"/>
    <n v="990"/>
    <x v="0"/>
    <x v="2"/>
    <n v="1"/>
    <x v="21"/>
    <x v="2"/>
    <x v="1"/>
    <x v="1"/>
    <s v="Ninguno"/>
    <s v="Cantidad de atenciones por concepto de urgencia"/>
    <s v="Periodo 2010-2016"/>
    <s v="Número de atenciones médicas"/>
    <s v="Departamento de Estadísticas e Información de la Salud (DEIS) - Ministerio de Salud"/>
    <x v="1192"/>
    <m/>
    <s v="Gráfico"/>
    <s v="Región de Tarapacá regional atenciones médicas salud violencia género concepto urgencia abuso sexual violación anticonceptivo anticoncepción estupro física intrafamiliar emergencia"/>
    <x v="818"/>
    <s v="100-R-1"/>
    <s v="#1774B9"/>
    <s v="990-1193"/>
    <n v="99200001"/>
    <s v="T-1040"/>
    <s v="C-996"/>
    <s v="FI-993"/>
    <s v="M-1091"/>
  </r>
  <r>
    <x v="1193"/>
    <n v="990"/>
    <x v="0"/>
    <x v="2"/>
    <n v="2"/>
    <x v="21"/>
    <x v="2"/>
    <x v="1"/>
    <x v="2"/>
    <s v="Ninguno"/>
    <s v="Cantidad de atenciones por concepto de urgencia"/>
    <s v="Periodo 2010-2016"/>
    <s v="Número de atenciones médicas"/>
    <s v="Departamento de Estadísticas e Información de la Salud (DEIS) - Ministerio de Salud"/>
    <x v="1193"/>
    <m/>
    <s v="Gráfico"/>
    <s v="Región de Antofagasta regional atenciones médicas salud violencia género concepto urgencia abuso sexual violación anticonceptivo anticoncepción estupro física intrafamiliar emergencia"/>
    <x v="819"/>
    <s v="100-R-2"/>
    <s v="#1774B9"/>
    <s v="990-1194"/>
    <n v="99200002"/>
    <s v="T-1040"/>
    <s v="C-996"/>
    <s v="FI-993"/>
    <s v="M-1091"/>
  </r>
  <r>
    <x v="1194"/>
    <n v="990"/>
    <x v="0"/>
    <x v="2"/>
    <n v="3"/>
    <x v="21"/>
    <x v="2"/>
    <x v="1"/>
    <x v="3"/>
    <s v="Ninguno"/>
    <s v="Cantidad de atenciones por concepto de urgencia"/>
    <s v="Periodo 2010-2016"/>
    <s v="Número de atenciones médicas"/>
    <s v="Departamento de Estadísticas e Información de la Salud (DEIS) - Ministerio de Salud"/>
    <x v="1194"/>
    <m/>
    <s v="Gráfico"/>
    <s v="Región de Atacama regional atenciones médicas salud violencia género concepto urgencia abuso sexual violación anticonceptivo anticoncepción estupro física intrafamiliar emergencia"/>
    <x v="820"/>
    <s v="100-R-3"/>
    <s v="#1774B9"/>
    <s v="990-1195"/>
    <n v="99200003"/>
    <s v="T-1040"/>
    <s v="C-996"/>
    <s v="FI-993"/>
    <s v="M-1091"/>
  </r>
  <r>
    <x v="1195"/>
    <n v="990"/>
    <x v="0"/>
    <x v="2"/>
    <n v="4"/>
    <x v="21"/>
    <x v="2"/>
    <x v="1"/>
    <x v="4"/>
    <s v="Ninguno"/>
    <s v="Cantidad de atenciones por concepto de urgencia"/>
    <s v="Periodo 2010-2016"/>
    <s v="Número de atenciones médicas"/>
    <s v="Departamento de Estadísticas e Información de la Salud (DEIS) - Ministerio de Salud"/>
    <x v="1195"/>
    <m/>
    <s v="Gráfico"/>
    <s v="Región de Coquimbo regional atenciones médicas salud violencia género concepto urgencia abuso sexual violación anticonceptivo anticoncepción estupro física intrafamiliar emergencia"/>
    <x v="821"/>
    <s v="100-R-4"/>
    <s v="#1774B9"/>
    <s v="990-1196"/>
    <n v="99200004"/>
    <s v="T-1040"/>
    <s v="C-996"/>
    <s v="FI-993"/>
    <s v="M-1091"/>
  </r>
  <r>
    <x v="1196"/>
    <n v="990"/>
    <x v="0"/>
    <x v="2"/>
    <n v="5"/>
    <x v="21"/>
    <x v="2"/>
    <x v="1"/>
    <x v="5"/>
    <s v="Ninguno"/>
    <s v="Cantidad de atenciones por concepto de urgencia"/>
    <s v="Periodo 2010-2016"/>
    <s v="Número de atenciones médicas"/>
    <s v="Departamento de Estadísticas e Información de la Salud (DEIS) - Ministerio de Salud"/>
    <x v="1196"/>
    <m/>
    <s v="Gráfico"/>
    <s v="Región de Valparaíso regional atenciones médicas salud violencia género concepto urgencia abuso sexual violación anticonceptivo anticoncepción estupro física intrafamiliar emergencia"/>
    <x v="822"/>
    <s v="100-R-5"/>
    <s v="#1774B9"/>
    <s v="990-1197"/>
    <n v="99200005"/>
    <s v="T-1040"/>
    <s v="C-996"/>
    <s v="FI-993"/>
    <s v="M-1091"/>
  </r>
  <r>
    <x v="1197"/>
    <n v="990"/>
    <x v="0"/>
    <x v="2"/>
    <n v="6"/>
    <x v="21"/>
    <x v="2"/>
    <x v="1"/>
    <x v="6"/>
    <s v="Ninguno"/>
    <s v="Cantidad de atenciones por concepto de urgencia"/>
    <s v="Periodo 2010-2016"/>
    <s v="Número de atenciones médicas"/>
    <s v="Departamento de Estadísticas e Información de la Salud (DEIS) - Ministerio de Salud"/>
    <x v="1197"/>
    <m/>
    <s v="Gráfico"/>
    <s v="Región de O'Higgins regional atenciones médicas salud violencia género concepto urgencia abuso sexual violación anticonceptivo anticoncepción estupro física intrafamiliar emergencia"/>
    <x v="823"/>
    <s v="100-R-6"/>
    <s v="#1774B9"/>
    <s v="990-1198"/>
    <n v="99200006"/>
    <s v="T-1040"/>
    <s v="C-996"/>
    <s v="FI-993"/>
    <s v="M-1091"/>
  </r>
  <r>
    <x v="1198"/>
    <n v="990"/>
    <x v="0"/>
    <x v="2"/>
    <n v="7"/>
    <x v="21"/>
    <x v="2"/>
    <x v="1"/>
    <x v="7"/>
    <s v="Ninguno"/>
    <s v="Cantidad de atenciones por concepto de urgencia"/>
    <s v="Periodo 2010-2016"/>
    <s v="Número de atenciones médicas"/>
    <s v="Departamento de Estadísticas e Información de la Salud (DEIS) - Ministerio de Salud"/>
    <x v="1198"/>
    <m/>
    <s v="Gráfico"/>
    <s v="Región de Maule regional atenciones médicas salud violencia género concepto urgencia abuso sexual violación anticonceptivo anticoncepción estupro física intrafamiliar emergencia"/>
    <x v="824"/>
    <s v="100-R-7"/>
    <s v="#1774B9"/>
    <s v="990-1199"/>
    <n v="99200007"/>
    <s v="T-1040"/>
    <s v="C-996"/>
    <s v="FI-993"/>
    <s v="M-1091"/>
  </r>
  <r>
    <x v="1199"/>
    <n v="990"/>
    <x v="0"/>
    <x v="2"/>
    <n v="8"/>
    <x v="21"/>
    <x v="2"/>
    <x v="1"/>
    <x v="8"/>
    <s v="Ninguno"/>
    <s v="Cantidad de atenciones por concepto de urgencia"/>
    <s v="Periodo 2010-2016"/>
    <s v="Número de atenciones médicas"/>
    <s v="Departamento de Estadísticas e Información de la Salud (DEIS) - Ministerio de Salud"/>
    <x v="1199"/>
    <m/>
    <s v="Gráfico"/>
    <s v="Región del Biobío regional atenciones médicas salud violencia género concepto urgencia abuso sexual violación anticonceptivo anticoncepción estupro física intrafamiliar emergencia"/>
    <x v="825"/>
    <s v="100-R-8"/>
    <s v="#1774B9"/>
    <s v="990-1200"/>
    <n v="99200008"/>
    <s v="T-1040"/>
    <s v="C-996"/>
    <s v="FI-993"/>
    <s v="M-1091"/>
  </r>
  <r>
    <x v="1200"/>
    <n v="990"/>
    <x v="0"/>
    <x v="2"/>
    <n v="9"/>
    <x v="21"/>
    <x v="2"/>
    <x v="1"/>
    <x v="9"/>
    <s v="Ninguno"/>
    <s v="Cantidad de atenciones por concepto de urgencia"/>
    <s v="Periodo 2010-2016"/>
    <s v="Número de atenciones médicas"/>
    <s v="Departamento de Estadísticas e Información de la Salud (DEIS) - Ministerio de Salud"/>
    <x v="1200"/>
    <m/>
    <s v="Gráfico"/>
    <s v="Región de La Araucanía regional atenciones médicas salud violencia género concepto urgencia abuso sexual violación anticonceptivo anticoncepción estupro física intrafamiliar emergencia"/>
    <x v="826"/>
    <s v="100-R-9"/>
    <s v="#1774B9"/>
    <s v="990-1201"/>
    <n v="99200009"/>
    <s v="T-1040"/>
    <s v="C-996"/>
    <s v="FI-993"/>
    <s v="M-1091"/>
  </r>
  <r>
    <x v="1201"/>
    <n v="990"/>
    <x v="0"/>
    <x v="2"/>
    <n v="10"/>
    <x v="21"/>
    <x v="2"/>
    <x v="1"/>
    <x v="10"/>
    <s v="Ninguno"/>
    <s v="Cantidad de atenciones por concepto de urgencia"/>
    <s v="Periodo 2010-2016"/>
    <s v="Número de atenciones médicas"/>
    <s v="Departamento de Estadísticas e Información de la Salud (DEIS) - Ministerio de Salud"/>
    <x v="1201"/>
    <m/>
    <s v="Gráfico"/>
    <s v="Región de Los Lagos regional atenciones médicas salud violencia género concepto urgencia abuso sexual violación anticonceptivo anticoncepción estupro física intrafamiliar emergencia"/>
    <x v="827"/>
    <s v="100-R-10"/>
    <s v="#1774B9"/>
    <s v="990-1202"/>
    <n v="99200010"/>
    <s v="T-1040"/>
    <s v="C-996"/>
    <s v="FI-993"/>
    <s v="M-1091"/>
  </r>
  <r>
    <x v="1202"/>
    <n v="990"/>
    <x v="0"/>
    <x v="2"/>
    <n v="11"/>
    <x v="21"/>
    <x v="2"/>
    <x v="1"/>
    <x v="11"/>
    <s v="Ninguno"/>
    <s v="Cantidad de atenciones por concepto de urgencia"/>
    <s v="Periodo 2010-2016"/>
    <s v="Número de atenciones médicas"/>
    <s v="Departamento de Estadísticas e Información de la Salud (DEIS) - Ministerio de Salud"/>
    <x v="1202"/>
    <m/>
    <s v="Gráfico"/>
    <s v="Región de Aysén regional atenciones médicas salud violencia género concepto urgencia abuso sexual violación anticonceptivo anticoncepción estupro física intrafamiliar emergencia"/>
    <x v="828"/>
    <s v="100-R-11"/>
    <s v="#1774B9"/>
    <s v="990-1203"/>
    <n v="99200011"/>
    <s v="T-1040"/>
    <s v="C-996"/>
    <s v="FI-993"/>
    <s v="M-1091"/>
  </r>
  <r>
    <x v="1203"/>
    <n v="990"/>
    <x v="0"/>
    <x v="2"/>
    <n v="12"/>
    <x v="21"/>
    <x v="2"/>
    <x v="1"/>
    <x v="12"/>
    <s v="Ninguno"/>
    <s v="Cantidad de atenciones por concepto de urgencia"/>
    <s v="Periodo 2010-2016"/>
    <s v="Número de atenciones médicas"/>
    <s v="Departamento de Estadísticas e Información de la Salud (DEIS) - Ministerio de Salud"/>
    <x v="1203"/>
    <m/>
    <s v="Gráfico"/>
    <s v="Región de Magallanes regional atenciones médicas salud violencia género concepto urgencia abuso sexual violación anticonceptivo anticoncepción estupro física intrafamiliar emergencia"/>
    <x v="829"/>
    <s v="100-R-12"/>
    <s v="#1774B9"/>
    <s v="990-1204"/>
    <n v="99200012"/>
    <s v="T-1040"/>
    <s v="C-996"/>
    <s v="FI-993"/>
    <s v="M-1091"/>
  </r>
  <r>
    <x v="1204"/>
    <n v="990"/>
    <x v="0"/>
    <x v="2"/>
    <n v="13"/>
    <x v="21"/>
    <x v="2"/>
    <x v="1"/>
    <x v="13"/>
    <s v="Ninguno"/>
    <s v="Cantidad de atenciones por concepto de urgencia"/>
    <s v="Periodo 2010-2016"/>
    <s v="Número de atenciones médicas"/>
    <s v="Departamento de Estadísticas e Información de la Salud (DEIS) - Ministerio de Salud"/>
    <x v="1204"/>
    <m/>
    <s v="Gráfico"/>
    <s v="Región Metropolitana regional atenciones médicas salud violencia género concepto urgencia abuso sexual violación anticonceptivo anticoncepción estupro física intrafamiliar emergencia"/>
    <x v="830"/>
    <s v="200-R-13"/>
    <s v="#1774B9"/>
    <s v="990-1205"/>
    <n v="99200013"/>
    <s v="T-1040"/>
    <s v="C-996"/>
    <s v="FI-993"/>
    <s v="M-1091"/>
  </r>
  <r>
    <x v="1205"/>
    <n v="990"/>
    <x v="0"/>
    <x v="2"/>
    <n v="14"/>
    <x v="21"/>
    <x v="2"/>
    <x v="1"/>
    <x v="14"/>
    <s v="Ninguno"/>
    <s v="Cantidad de atenciones por concepto de urgencia"/>
    <s v="Periodo 2010-2016"/>
    <s v="Número de atenciones médicas"/>
    <s v="Departamento de Estadísticas e Información de la Salud (DEIS) - Ministerio de Salud"/>
    <x v="1205"/>
    <m/>
    <s v="Gráfico"/>
    <s v="Región de Los Ríos regional atenciones médicas salud violencia género concepto urgencia abuso sexual violación anticonceptivo anticoncepción estupro física intrafamiliar emergencia"/>
    <x v="831"/>
    <s v="100-R-14"/>
    <s v="#1774B9"/>
    <s v="990-1206"/>
    <n v="99200014"/>
    <s v="T-1040"/>
    <s v="C-996"/>
    <s v="FI-993"/>
    <s v="M-1091"/>
  </r>
  <r>
    <x v="1206"/>
    <n v="990"/>
    <x v="0"/>
    <x v="2"/>
    <n v="15"/>
    <x v="21"/>
    <x v="2"/>
    <x v="1"/>
    <x v="15"/>
    <s v="Ninguno"/>
    <s v="Cantidad de atenciones por concepto de urgencia"/>
    <s v="Periodo 2010-2016"/>
    <s v="Número de atenciones médicas"/>
    <s v="Departamento de Estadísticas e Información de la Salud (DEIS) - Ministerio de Salud"/>
    <x v="1206"/>
    <m/>
    <s v="Gráfico"/>
    <s v="Región de Arica y Parinacota regional atenciones médicas salud violencia género concepto urgencia abuso sexual violación anticonceptivo anticoncepción estupro física intrafamiliar emergencia"/>
    <x v="832"/>
    <s v="100-R-15"/>
    <s v="#1774B9"/>
    <s v="990-1207"/>
    <n v="99200015"/>
    <s v="T-1040"/>
    <s v="C-996"/>
    <s v="FI-993"/>
    <s v="M-1091"/>
  </r>
  <r>
    <x v="1207"/>
    <n v="990"/>
    <x v="0"/>
    <x v="2"/>
    <n v="16"/>
    <x v="21"/>
    <x v="2"/>
    <x v="1"/>
    <x v="16"/>
    <s v="Ninguno"/>
    <s v="Cantidad de atenciones por concepto de urgencia"/>
    <s v="Periodo 2010-2016"/>
    <s v="Número de atenciones médicas"/>
    <s v="Departamento de Estadísticas e Información de la Salud (DEIS) - Ministerio de Salud"/>
    <x v="1207"/>
    <m/>
    <s v="Gráfico"/>
    <s v="Región de Ñuble regional atenciones médicas salud violencia género concepto urgencia abuso sexual violación anticonceptivo anticoncepción estupro física intrafamiliar emergencia"/>
    <x v="833"/>
    <s v="100-R-16"/>
    <s v="#1774B9"/>
    <s v="990-1208"/>
    <n v="99200016"/>
    <s v="T-1040"/>
    <s v="C-996"/>
    <s v="FI-993"/>
    <s v="M-1091"/>
  </r>
  <r>
    <x v="1208"/>
    <n v="990"/>
    <x v="0"/>
    <x v="4"/>
    <n v="0"/>
    <x v="61"/>
    <x v="26"/>
    <x v="0"/>
    <x v="0"/>
    <s v="Región"/>
    <s v="Cantidad  de Establecimientos de Salud "/>
    <s v="Año 2021"/>
    <s v="Número de Establecimientos"/>
    <s v="Departamento de Estadísticas e Información de la Salud (DEIS) - Ministerio de Salud"/>
    <x v="1208"/>
    <s v="Las Postas son los establecimientos de la salud que más prevalecen en Chile, alcanzando un total de 1.128. Le siguen los CESFAM, con un total de 863 establecimientos. Entre los establecimientos privados, la mayoría corresponden a Laboratorios clínicos o dentales, seguidos de Clínicas."/>
    <s v="Gráfico"/>
    <s v="Chile nacional región establecimientos salud tipo privados públicos hospitales clínicas cesfam sapu postas laboratorios dentales clínicos alta baja media complejidad diálisis vacunatorios consultorio"/>
    <x v="834"/>
    <s v="300-R"/>
    <s v="#1774B9"/>
    <s v="990-1209"/>
    <n v="99100000"/>
    <s v="T-1047"/>
    <s v="C-1013"/>
    <s v="FI-992"/>
    <s v="M-1089"/>
  </r>
  <r>
    <x v="1209"/>
    <n v="990"/>
    <x v="0"/>
    <x v="4"/>
    <n v="1"/>
    <x v="61"/>
    <x v="26"/>
    <x v="1"/>
    <x v="1"/>
    <s v="Ninguno"/>
    <s v="Cantidad  de Establecimientos de Salud "/>
    <s v="Año 2021"/>
    <s v="Número de Establecimientos"/>
    <s v="Departamento de Estadísticas e Información de la Salud (DEIS) - Ministerio de Salud"/>
    <x v="1209"/>
    <m/>
    <s v="Gráfico"/>
    <s v="Región de Tarapacá regional establecimientos salud tipo privados públicos hospitales clínicas cesfam sapu postas laboratorios dentales clínicos alta baja media complejidad diálisis vacunatorios consultorio"/>
    <x v="835"/>
    <s v="100-R-1"/>
    <s v="#1774B9"/>
    <s v="990-1210"/>
    <n v="99200001"/>
    <s v="T-1047"/>
    <s v="C-1013"/>
    <s v="FI-993"/>
    <s v="M-1089"/>
  </r>
  <r>
    <x v="1210"/>
    <n v="990"/>
    <x v="0"/>
    <x v="4"/>
    <n v="2"/>
    <x v="61"/>
    <x v="26"/>
    <x v="1"/>
    <x v="2"/>
    <s v="Ninguno"/>
    <s v="Cantidad  de Establecimientos de Salud "/>
    <s v="Año 2021"/>
    <s v="Número de Establecimientos"/>
    <s v="Departamento de Estadísticas e Información de la Salud (DEIS) - Ministerio de Salud"/>
    <x v="1210"/>
    <m/>
    <s v="Gráfico"/>
    <s v="Región de Antofagasta regional establecimientos salud tipo privados públicos hospitales clínicas cesfam sapu postas laboratorios dentales clínicos alta baja media complejidad diálisis vacunatorios consultorio"/>
    <x v="836"/>
    <s v="100-R-2"/>
    <s v="#1774B9"/>
    <s v="990-1211"/>
    <n v="99200002"/>
    <s v="T-1047"/>
    <s v="C-1013"/>
    <s v="FI-993"/>
    <s v="M-1089"/>
  </r>
  <r>
    <x v="1211"/>
    <n v="990"/>
    <x v="0"/>
    <x v="4"/>
    <n v="3"/>
    <x v="61"/>
    <x v="26"/>
    <x v="1"/>
    <x v="3"/>
    <s v="Ninguno"/>
    <s v="Cantidad  de Establecimientos de Salud "/>
    <s v="Año 2021"/>
    <s v="Número de Establecimientos"/>
    <s v="Departamento de Estadísticas e Información de la Salud (DEIS) - Ministerio de Salud"/>
    <x v="1211"/>
    <m/>
    <s v="Gráfico"/>
    <s v="Región de Atacama regional establecimientos salud tipo privados públicos hospitales clínicas cesfam sapu postas laboratorios dentales clínicos alta baja media complejidad diálisis vacunatorios consultorio"/>
    <x v="837"/>
    <s v="100-R-3"/>
    <s v="#1774B9"/>
    <s v="990-1212"/>
    <n v="99200003"/>
    <s v="T-1047"/>
    <s v="C-1013"/>
    <s v="FI-993"/>
    <s v="M-1089"/>
  </r>
  <r>
    <x v="1212"/>
    <n v="990"/>
    <x v="0"/>
    <x v="4"/>
    <n v="4"/>
    <x v="61"/>
    <x v="26"/>
    <x v="1"/>
    <x v="4"/>
    <s v="Ninguno"/>
    <s v="Cantidad  de Establecimientos de Salud "/>
    <s v="Año 2021"/>
    <s v="Número de Establecimientos"/>
    <s v="Departamento de Estadísticas e Información de la Salud (DEIS) - Ministerio de Salud"/>
    <x v="1212"/>
    <m/>
    <s v="Gráfico"/>
    <s v="Región de Coquimbo regional establecimientos salud tipo privados públicos hospitales clínicas cesfam sapu postas laboratorios dentales clínicos alta baja media complejidad diálisis vacunatorios consultorio"/>
    <x v="838"/>
    <s v="100-R-4"/>
    <s v="#1774B9"/>
    <s v="990-1213"/>
    <n v="99200004"/>
    <s v="T-1047"/>
    <s v="C-1013"/>
    <s v="FI-993"/>
    <s v="M-1089"/>
  </r>
  <r>
    <x v="1213"/>
    <n v="990"/>
    <x v="0"/>
    <x v="4"/>
    <n v="5"/>
    <x v="61"/>
    <x v="26"/>
    <x v="1"/>
    <x v="5"/>
    <s v="Ninguno"/>
    <s v="Cantidad  de Establecimientos de Salud "/>
    <s v="Año 2021"/>
    <s v="Número de Establecimientos"/>
    <s v="Departamento de Estadísticas e Información de la Salud (DEIS) - Ministerio de Salud"/>
    <x v="1213"/>
    <m/>
    <s v="Gráfico"/>
    <s v="Región de Valparaíso regional establecimientos salud tipo privados públicos hospitales clínicas cesfam sapu postas laboratorios dentales clínicos alta baja media complejidad diálisis vacunatorios consultorio"/>
    <x v="839"/>
    <s v="100-R-5"/>
    <s v="#1774B9"/>
    <s v="990-1214"/>
    <n v="99200005"/>
    <s v="T-1047"/>
    <s v="C-1013"/>
    <s v="FI-993"/>
    <s v="M-1089"/>
  </r>
  <r>
    <x v="1214"/>
    <n v="990"/>
    <x v="0"/>
    <x v="4"/>
    <n v="6"/>
    <x v="61"/>
    <x v="26"/>
    <x v="1"/>
    <x v="6"/>
    <s v="Ninguno"/>
    <s v="Cantidad  de Establecimientos de Salud "/>
    <s v="Año 2021"/>
    <s v="Número de Establecimientos"/>
    <s v="Departamento de Estadísticas e Información de la Salud (DEIS) - Ministerio de Salud"/>
    <x v="1214"/>
    <m/>
    <s v="Gráfico"/>
    <s v="Región de O'Higgins regional establecimientos salud tipo privados públicos hospitales clínicas cesfam sapu postas laboratorios dentales clínicos alta baja media complejidad diálisis vacunatorios consultorio"/>
    <x v="840"/>
    <s v="100-R-6"/>
    <s v="#1774B9"/>
    <s v="990-1215"/>
    <n v="99200006"/>
    <s v="T-1047"/>
    <s v="C-1013"/>
    <s v="FI-993"/>
    <s v="M-1089"/>
  </r>
  <r>
    <x v="1215"/>
    <n v="990"/>
    <x v="0"/>
    <x v="4"/>
    <n v="7"/>
    <x v="61"/>
    <x v="26"/>
    <x v="1"/>
    <x v="7"/>
    <s v="Ninguno"/>
    <s v="Cantidad  de Establecimientos de Salud "/>
    <s v="Año 2021"/>
    <s v="Número de Establecimientos"/>
    <s v="Departamento de Estadísticas e Información de la Salud (DEIS) - Ministerio de Salud"/>
    <x v="1215"/>
    <m/>
    <s v="Gráfico"/>
    <s v="Región de Maule regional establecimientos salud tipo privados públicos hospitales clínicas cesfam sapu postas laboratorios dentales clínicos alta baja media complejidad diálisis vacunatorios consultorio"/>
    <x v="841"/>
    <s v="100-R-7"/>
    <s v="#1774B9"/>
    <s v="990-1216"/>
    <n v="99200007"/>
    <s v="T-1047"/>
    <s v="C-1013"/>
    <s v="FI-993"/>
    <s v="M-1089"/>
  </r>
  <r>
    <x v="1216"/>
    <n v="990"/>
    <x v="0"/>
    <x v="4"/>
    <n v="8"/>
    <x v="61"/>
    <x v="26"/>
    <x v="1"/>
    <x v="8"/>
    <s v="Ninguno"/>
    <s v="Cantidad  de Establecimientos de Salud "/>
    <s v="Año 2021"/>
    <s v="Número de Establecimientos"/>
    <s v="Departamento de Estadísticas e Información de la Salud (DEIS) - Ministerio de Salud"/>
    <x v="1216"/>
    <m/>
    <s v="Gráfico"/>
    <s v="Región del Biobío regional establecimientos salud tipo privados públicos hospitales clínicas cesfam sapu postas laboratorios dentales clínicos alta baja media complejidad diálisis vacunatorios consultorio"/>
    <x v="842"/>
    <s v="100-R-8"/>
    <s v="#1774B9"/>
    <s v="990-1217"/>
    <n v="99200008"/>
    <s v="T-1047"/>
    <s v="C-1013"/>
    <s v="FI-993"/>
    <s v="M-1089"/>
  </r>
  <r>
    <x v="1217"/>
    <n v="990"/>
    <x v="0"/>
    <x v="4"/>
    <n v="9"/>
    <x v="61"/>
    <x v="26"/>
    <x v="1"/>
    <x v="9"/>
    <s v="Ninguno"/>
    <s v="Cantidad  de Establecimientos de Salud "/>
    <s v="Año 2021"/>
    <s v="Número de Establecimientos"/>
    <s v="Departamento de Estadísticas e Información de la Salud (DEIS) - Ministerio de Salud"/>
    <x v="1217"/>
    <m/>
    <s v="Gráfico"/>
    <s v="Región de La Araucanía regional establecimientos salud tipo privados públicos hospitales clínicas cesfam sapu postas laboratorios dentales clínicos alta baja media complejidad diálisis vacunatorios consultorio"/>
    <x v="843"/>
    <s v="100-R-9"/>
    <s v="#1774B9"/>
    <s v="990-1218"/>
    <n v="99200009"/>
    <s v="T-1047"/>
    <s v="C-1013"/>
    <s v="FI-993"/>
    <s v="M-1089"/>
  </r>
  <r>
    <x v="1218"/>
    <n v="990"/>
    <x v="0"/>
    <x v="4"/>
    <n v="10"/>
    <x v="61"/>
    <x v="26"/>
    <x v="1"/>
    <x v="10"/>
    <s v="Ninguno"/>
    <s v="Cantidad  de Establecimientos de Salud "/>
    <s v="Año 2021"/>
    <s v="Número de Establecimientos"/>
    <s v="Departamento de Estadísticas e Información de la Salud (DEIS) - Ministerio de Salud"/>
    <x v="1218"/>
    <m/>
    <s v="Gráfico"/>
    <s v="Región de Los Lagos regional establecimientos salud tipo privados públicos hospitales clínicas cesfam sapu postas laboratorios dentales clínicos alta baja media complejidad diálisis vacunatorios consultorio"/>
    <x v="844"/>
    <s v="100-R-10"/>
    <s v="#1774B9"/>
    <s v="990-1219"/>
    <n v="99200010"/>
    <s v="T-1047"/>
    <s v="C-1013"/>
    <s v="FI-993"/>
    <s v="M-1089"/>
  </r>
  <r>
    <x v="1219"/>
    <n v="990"/>
    <x v="0"/>
    <x v="4"/>
    <n v="11"/>
    <x v="61"/>
    <x v="26"/>
    <x v="1"/>
    <x v="11"/>
    <s v="Ninguno"/>
    <s v="Cantidad  de Establecimientos de Salud "/>
    <s v="Año 2021"/>
    <s v="Número de Establecimientos"/>
    <s v="Departamento de Estadísticas e Información de la Salud (DEIS) - Ministerio de Salud"/>
    <x v="1219"/>
    <m/>
    <s v="Gráfico"/>
    <s v="Región de Aysén regional establecimientos salud tipo privados públicos hospitales clínicas cesfam sapu postas laboratorios dentales clínicos alta baja media complejidad diálisis vacunatorios consultorio"/>
    <x v="845"/>
    <s v="100-R-11"/>
    <s v="#1774B9"/>
    <s v="990-1220"/>
    <n v="99200011"/>
    <s v="T-1047"/>
    <s v="C-1013"/>
    <s v="FI-993"/>
    <s v="M-1089"/>
  </r>
  <r>
    <x v="1220"/>
    <n v="990"/>
    <x v="0"/>
    <x v="4"/>
    <n v="12"/>
    <x v="61"/>
    <x v="26"/>
    <x v="1"/>
    <x v="12"/>
    <s v="Ninguno"/>
    <s v="Cantidad  de Establecimientos de Salud "/>
    <s v="Año 2021"/>
    <s v="Número de Establecimientos"/>
    <s v="Departamento de Estadísticas e Información de la Salud (DEIS) - Ministerio de Salud"/>
    <x v="1220"/>
    <m/>
    <s v="Gráfico"/>
    <s v="Región de Magallanes regional establecimientos salud tipo privados públicos hospitales clínicas cesfam sapu postas laboratorios dentales clínicos alta baja media complejidad diálisis vacunatorios consultorio"/>
    <x v="846"/>
    <s v="100-R-12"/>
    <s v="#1774B9"/>
    <s v="990-1221"/>
    <n v="99200012"/>
    <s v="T-1047"/>
    <s v="C-1013"/>
    <s v="FI-993"/>
    <s v="M-1089"/>
  </r>
  <r>
    <x v="1221"/>
    <n v="990"/>
    <x v="0"/>
    <x v="4"/>
    <n v="13"/>
    <x v="61"/>
    <x v="26"/>
    <x v="1"/>
    <x v="13"/>
    <s v="Ninguno"/>
    <s v="Cantidad  de Establecimientos de Salud "/>
    <s v="Año 2021"/>
    <s v="Número de Establecimientos"/>
    <s v="Departamento de Estadísticas e Información de la Salud (DEIS) - Ministerio de Salud"/>
    <x v="1221"/>
    <m/>
    <s v="Gráfico"/>
    <s v="Región Metropolitana regional establecimientos salud tipo privados públicos hospitales clínicas cesfam sapu postas laboratorios dentales clínicos alta baja media complejidad diálisis vacunatorios consultorio"/>
    <x v="847"/>
    <s v="200-R-13"/>
    <s v="#1774B9"/>
    <s v="990-1222"/>
    <n v="99200013"/>
    <s v="T-1047"/>
    <s v="C-1013"/>
    <s v="FI-993"/>
    <s v="M-1089"/>
  </r>
  <r>
    <x v="1222"/>
    <n v="990"/>
    <x v="0"/>
    <x v="4"/>
    <n v="14"/>
    <x v="61"/>
    <x v="26"/>
    <x v="1"/>
    <x v="14"/>
    <s v="Ninguno"/>
    <s v="Cantidad  de Establecimientos de Salud "/>
    <s v="Año 2021"/>
    <s v="Número de Establecimientos"/>
    <s v="Departamento de Estadísticas e Información de la Salud (DEIS) - Ministerio de Salud"/>
    <x v="1222"/>
    <m/>
    <s v="Gráfico"/>
    <s v="Región de Los Ríos regional establecimientos salud tipo privados públicos hospitales clínicas cesfam sapu postas laboratorios dentales clínicos alta baja media complejidad diálisis vacunatorios consultorio"/>
    <x v="848"/>
    <s v="100-R-14"/>
    <s v="#1774B9"/>
    <s v="990-1223"/>
    <n v="99200014"/>
    <s v="T-1047"/>
    <s v="C-1013"/>
    <s v="FI-993"/>
    <s v="M-1089"/>
  </r>
  <r>
    <x v="1223"/>
    <n v="990"/>
    <x v="0"/>
    <x v="4"/>
    <n v="15"/>
    <x v="61"/>
    <x v="26"/>
    <x v="1"/>
    <x v="15"/>
    <s v="Ninguno"/>
    <s v="Cantidad  de Establecimientos de Salud "/>
    <s v="Año 2021"/>
    <s v="Número de Establecimientos"/>
    <s v="Departamento de Estadísticas e Información de la Salud (DEIS) - Ministerio de Salud"/>
    <x v="1223"/>
    <m/>
    <s v="Gráfico"/>
    <s v="Región de Arica y Parinacota regional establecimientos salud tipo privados públicos hospitales clínicas cesfam sapu postas laboratorios dentales clínicos alta baja media complejidad diálisis vacunatorios consultorio"/>
    <x v="849"/>
    <s v="100-R-15"/>
    <s v="#1774B9"/>
    <s v="990-1224"/>
    <n v="99200015"/>
    <s v="T-1047"/>
    <s v="C-1013"/>
    <s v="FI-993"/>
    <s v="M-1089"/>
  </r>
  <r>
    <x v="1224"/>
    <n v="990"/>
    <x v="0"/>
    <x v="4"/>
    <n v="16"/>
    <x v="61"/>
    <x v="26"/>
    <x v="1"/>
    <x v="16"/>
    <s v="Ninguno"/>
    <s v="Cantidad  de Establecimientos de Salud "/>
    <s v="Año 2021"/>
    <s v="Número de Establecimientos"/>
    <s v="Departamento de Estadísticas e Información de la Salud (DEIS) - Ministerio de Salud"/>
    <x v="1224"/>
    <m/>
    <s v="Gráfico"/>
    <s v="Región de Ñuble regional establecimientos salud tipo privados públicos hospitales clínicas cesfam sapu postas laboratorios dentales clínicos alta baja media complejidad diálisis vacunatorios consultorio"/>
    <x v="850"/>
    <s v="100-R-16"/>
    <s v="#1774B9"/>
    <s v="990-1225"/>
    <n v="99200016"/>
    <s v="T-1047"/>
    <s v="C-1013"/>
    <s v="FI-993"/>
    <s v="M-1089"/>
  </r>
  <r>
    <x v="1225"/>
    <n v="990"/>
    <x v="0"/>
    <x v="13"/>
    <n v="0"/>
    <x v="62"/>
    <x v="20"/>
    <x v="0"/>
    <x v="0"/>
    <s v="Región"/>
    <s v="Cantidad  de Licencias de Conducir profesionales por tipo"/>
    <s v="Periodo 2011-2017"/>
    <s v="Número de Licencias de Conducir"/>
    <s v="Instituto Nacional de Estadísticas (INE)"/>
    <x v="1225"/>
    <s v="La licencia de conducir profesional clase A2 para &quot;taxis, ambulancias o vehículos motorizados de transporte público y privado de personas con capacidad de 10 a 17 pasajeros, sin contar al conductor&quot;, es la más común a los largo de los años, siendo su peak el año 2011 con 168.401 licencias."/>
    <s v="Gráfico de Evolución"/>
    <s v="Chile nacional región licencias conducir tipo profesional profesionales clase a1 a2 a3 a4 a5"/>
    <x v="851"/>
    <s v="300-R"/>
    <s v="#1774B9"/>
    <s v="990-1226"/>
    <n v="99100000"/>
    <s v="T-1048"/>
    <s v="C-1017"/>
    <s v="FI-992"/>
    <s v="M-1092"/>
  </r>
  <r>
    <x v="1226"/>
    <n v="990"/>
    <x v="0"/>
    <x v="13"/>
    <n v="1"/>
    <x v="62"/>
    <x v="20"/>
    <x v="1"/>
    <x v="1"/>
    <s v="Ninguno"/>
    <s v="Cantidad  de Licencias de Conducir profesionales por tipo"/>
    <s v="Periodo 2011-2017"/>
    <s v="Número de Licencias de Conducir"/>
    <s v="Instituto Nacional de Estadísticas (INE)"/>
    <x v="1226"/>
    <m/>
    <s v="Gráfico de Evolución"/>
    <s v="Región de Tarapacá regional licencias conducir tipo profesional profesionales clase a1 a2 a3 a4 a5"/>
    <x v="852"/>
    <s v="100-R-1"/>
    <s v="#1774B9"/>
    <s v="990-1227"/>
    <n v="99200001"/>
    <s v="T-1048"/>
    <s v="C-1017"/>
    <s v="FI-993"/>
    <s v="M-1092"/>
  </r>
  <r>
    <x v="1227"/>
    <n v="990"/>
    <x v="0"/>
    <x v="13"/>
    <n v="2"/>
    <x v="62"/>
    <x v="20"/>
    <x v="1"/>
    <x v="2"/>
    <s v="Ninguno"/>
    <s v="Cantidad  de Licencias de Conducir profesionales por tipo"/>
    <s v="Periodo 2011-2017"/>
    <s v="Número de Licencias de Conducir"/>
    <s v="Instituto Nacional de Estadísticas (INE)"/>
    <x v="1227"/>
    <m/>
    <s v="Gráfico de Evolución"/>
    <s v="Región de Antofagasta regional licencias conducir tipo profesional profesionales clase a1 a2 a3 a4 a5"/>
    <x v="853"/>
    <s v="100-R-2"/>
    <s v="#1774B9"/>
    <s v="990-1228"/>
    <n v="99200002"/>
    <s v="T-1048"/>
    <s v="C-1017"/>
    <s v="FI-993"/>
    <s v="M-1092"/>
  </r>
  <r>
    <x v="1228"/>
    <n v="990"/>
    <x v="0"/>
    <x v="13"/>
    <n v="3"/>
    <x v="62"/>
    <x v="20"/>
    <x v="1"/>
    <x v="3"/>
    <s v="Ninguno"/>
    <s v="Cantidad  de Licencias de Conducir profesionales por tipo"/>
    <s v="Periodo 2011-2017"/>
    <s v="Número de Licencias de Conducir"/>
    <s v="Instituto Nacional de Estadísticas (INE)"/>
    <x v="1228"/>
    <m/>
    <s v="Gráfico de Evolución"/>
    <s v="Región de Atacama regional licencias conducir tipo profesional profesionales clase a1 a2 a3 a4 a5"/>
    <x v="854"/>
    <s v="100-R-3"/>
    <s v="#1774B9"/>
    <s v="990-1229"/>
    <n v="99200003"/>
    <s v="T-1048"/>
    <s v="C-1017"/>
    <s v="FI-993"/>
    <s v="M-1092"/>
  </r>
  <r>
    <x v="1229"/>
    <n v="990"/>
    <x v="0"/>
    <x v="13"/>
    <n v="4"/>
    <x v="62"/>
    <x v="20"/>
    <x v="1"/>
    <x v="4"/>
    <s v="Ninguno"/>
    <s v="Cantidad  de Licencias de Conducir profesionales por tipo"/>
    <s v="Periodo 2011-2017"/>
    <s v="Número de Licencias de Conducir"/>
    <s v="Instituto Nacional de Estadísticas (INE)"/>
    <x v="1229"/>
    <m/>
    <s v="Gráfico de Evolución"/>
    <s v="Región de Coquimbo regional licencias conducir tipo profesional profesionales clase a1 a2 a3 a4 a5"/>
    <x v="855"/>
    <s v="100-R-4"/>
    <s v="#1774B9"/>
    <s v="990-1230"/>
    <n v="99200004"/>
    <s v="T-1048"/>
    <s v="C-1017"/>
    <s v="FI-993"/>
    <s v="M-1092"/>
  </r>
  <r>
    <x v="1230"/>
    <n v="990"/>
    <x v="0"/>
    <x v="13"/>
    <n v="5"/>
    <x v="62"/>
    <x v="20"/>
    <x v="1"/>
    <x v="5"/>
    <s v="Ninguno"/>
    <s v="Cantidad  de Licencias de Conducir profesionales por tipo"/>
    <s v="Periodo 2011-2017"/>
    <s v="Número de Licencias de Conducir"/>
    <s v="Instituto Nacional de Estadísticas (INE)"/>
    <x v="1230"/>
    <m/>
    <s v="Gráfico de Evolución"/>
    <s v="Región de Valparaíso regional licencias conducir tipo profesional profesionales clase a1 a2 a3 a4 a5"/>
    <x v="856"/>
    <s v="100-R-5"/>
    <s v="#1774B9"/>
    <s v="990-1231"/>
    <n v="99200005"/>
    <s v="T-1048"/>
    <s v="C-1017"/>
    <s v="FI-993"/>
    <s v="M-1092"/>
  </r>
  <r>
    <x v="1231"/>
    <n v="990"/>
    <x v="0"/>
    <x v="13"/>
    <n v="6"/>
    <x v="62"/>
    <x v="20"/>
    <x v="1"/>
    <x v="6"/>
    <s v="Ninguno"/>
    <s v="Cantidad  de Licencias de Conducir profesionales por tipo"/>
    <s v="Periodo 2011-2017"/>
    <s v="Número de Licencias de Conducir"/>
    <s v="Instituto Nacional de Estadísticas (INE)"/>
    <x v="1231"/>
    <m/>
    <s v="Gráfico de Evolución"/>
    <s v="Región de O'Higgins regional licencias conducir tipo profesional profesionales clase a1 a2 a3 a4 a5"/>
    <x v="857"/>
    <s v="100-R-6"/>
    <s v="#1774B9"/>
    <s v="990-1232"/>
    <n v="99200006"/>
    <s v="T-1048"/>
    <s v="C-1017"/>
    <s v="FI-993"/>
    <s v="M-1092"/>
  </r>
  <r>
    <x v="1232"/>
    <n v="990"/>
    <x v="0"/>
    <x v="13"/>
    <n v="7"/>
    <x v="62"/>
    <x v="20"/>
    <x v="1"/>
    <x v="7"/>
    <s v="Ninguno"/>
    <s v="Cantidad  de Licencias de Conducir profesionales por tipo"/>
    <s v="Periodo 2011-2017"/>
    <s v="Número de Licencias de Conducir"/>
    <s v="Instituto Nacional de Estadísticas (INE)"/>
    <x v="1232"/>
    <m/>
    <s v="Gráfico de Evolución"/>
    <s v="Región de Maule regional licencias conducir tipo profesional profesionales clase a1 a2 a3 a4 a5"/>
    <x v="858"/>
    <s v="100-R-7"/>
    <s v="#1774B9"/>
    <s v="990-1233"/>
    <n v="99200007"/>
    <s v="T-1048"/>
    <s v="C-1017"/>
    <s v="FI-993"/>
    <s v="M-1092"/>
  </r>
  <r>
    <x v="1233"/>
    <n v="990"/>
    <x v="0"/>
    <x v="13"/>
    <n v="8"/>
    <x v="62"/>
    <x v="20"/>
    <x v="1"/>
    <x v="8"/>
    <s v="Ninguno"/>
    <s v="Cantidad  de Licencias de Conducir profesionales por tipo"/>
    <s v="Periodo 2011-2017"/>
    <s v="Número de Licencias de Conducir"/>
    <s v="Instituto Nacional de Estadísticas (INE)"/>
    <x v="1233"/>
    <m/>
    <s v="Gráfico de Evolución"/>
    <s v="Región del Biobío regional licencias conducir tipo profesional profesionales clase a1 a2 a3 a4 a5"/>
    <x v="859"/>
    <s v="100-R-8"/>
    <s v="#1774B9"/>
    <s v="990-1234"/>
    <n v="99200008"/>
    <s v="T-1048"/>
    <s v="C-1017"/>
    <s v="FI-993"/>
    <s v="M-1092"/>
  </r>
  <r>
    <x v="1234"/>
    <n v="990"/>
    <x v="0"/>
    <x v="13"/>
    <n v="9"/>
    <x v="62"/>
    <x v="20"/>
    <x v="1"/>
    <x v="9"/>
    <s v="Ninguno"/>
    <s v="Cantidad  de Licencias de Conducir profesionales por tipo"/>
    <s v="Periodo 2011-2017"/>
    <s v="Número de Licencias de Conducir"/>
    <s v="Instituto Nacional de Estadísticas (INE)"/>
    <x v="1234"/>
    <m/>
    <s v="Gráfico de Evolución"/>
    <s v="Región de La Araucanía regional licencias conducir tipo profesional profesionales clase a1 a2 a3 a4 a5"/>
    <x v="860"/>
    <s v="100-R-9"/>
    <s v="#1774B9"/>
    <s v="990-1235"/>
    <n v="99200009"/>
    <s v="T-1048"/>
    <s v="C-1017"/>
    <s v="FI-993"/>
    <s v="M-1092"/>
  </r>
  <r>
    <x v="1235"/>
    <n v="990"/>
    <x v="0"/>
    <x v="13"/>
    <n v="10"/>
    <x v="62"/>
    <x v="20"/>
    <x v="1"/>
    <x v="10"/>
    <s v="Ninguno"/>
    <s v="Cantidad  de Licencias de Conducir profesionales por tipo"/>
    <s v="Periodo 2011-2017"/>
    <s v="Número de Licencias de Conducir"/>
    <s v="Instituto Nacional de Estadísticas (INE)"/>
    <x v="1235"/>
    <m/>
    <s v="Gráfico de Evolución"/>
    <s v="Región de Los Lagos regional licencias conducir tipo profesional profesionales clase a1 a2 a3 a4 a5"/>
    <x v="861"/>
    <s v="100-R-10"/>
    <s v="#1774B9"/>
    <s v="990-1236"/>
    <n v="99200010"/>
    <s v="T-1048"/>
    <s v="C-1017"/>
    <s v="FI-993"/>
    <s v="M-1092"/>
  </r>
  <r>
    <x v="1236"/>
    <n v="990"/>
    <x v="0"/>
    <x v="13"/>
    <n v="11"/>
    <x v="62"/>
    <x v="20"/>
    <x v="1"/>
    <x v="11"/>
    <s v="Ninguno"/>
    <s v="Cantidad  de Licencias de Conducir profesionales por tipo"/>
    <s v="Periodo 2011-2017"/>
    <s v="Número de Licencias de Conducir"/>
    <s v="Instituto Nacional de Estadísticas (INE)"/>
    <x v="1236"/>
    <m/>
    <s v="Gráfico de Evolución"/>
    <s v="Región de Aysén regional licencias conducir tipo profesional profesionales clase a1 a2 a3 a4 a5"/>
    <x v="862"/>
    <s v="100-R-11"/>
    <s v="#1774B9"/>
    <s v="990-1237"/>
    <n v="99200011"/>
    <s v="T-1048"/>
    <s v="C-1017"/>
    <s v="FI-993"/>
    <s v="M-1092"/>
  </r>
  <r>
    <x v="1237"/>
    <n v="990"/>
    <x v="0"/>
    <x v="13"/>
    <n v="12"/>
    <x v="62"/>
    <x v="20"/>
    <x v="1"/>
    <x v="12"/>
    <s v="Ninguno"/>
    <s v="Cantidad  de Licencias de Conducir profesionales por tipo"/>
    <s v="Periodo 2011-2017"/>
    <s v="Número de Licencias de Conducir"/>
    <s v="Instituto Nacional de Estadísticas (INE)"/>
    <x v="1237"/>
    <m/>
    <s v="Gráfico de Evolución"/>
    <s v="Región de Magallanes regional licencias conducir tipo profesional profesionales clase a1 a2 a3 a4 a5"/>
    <x v="863"/>
    <s v="100-R-12"/>
    <s v="#1774B9"/>
    <s v="990-1238"/>
    <n v="99200012"/>
    <s v="T-1048"/>
    <s v="C-1017"/>
    <s v="FI-993"/>
    <s v="M-1092"/>
  </r>
  <r>
    <x v="1238"/>
    <n v="990"/>
    <x v="0"/>
    <x v="13"/>
    <n v="13"/>
    <x v="62"/>
    <x v="20"/>
    <x v="1"/>
    <x v="13"/>
    <s v="Ninguno"/>
    <s v="Cantidad  de Licencias de Conducir profesionales por tipo"/>
    <s v="Periodo 2011-2017"/>
    <s v="Número de Licencias de Conducir"/>
    <s v="Instituto Nacional de Estadísticas (INE)"/>
    <x v="1238"/>
    <m/>
    <s v="Gráfico de Evolución"/>
    <s v="Región Metropolitana regional licencias conducir tipo profesional profesionales clase a1 a2 a3 a4 a5"/>
    <x v="864"/>
    <s v="200-R-13"/>
    <s v="#1774B9"/>
    <s v="990-1239"/>
    <n v="99200013"/>
    <s v="T-1048"/>
    <s v="C-1017"/>
    <s v="FI-993"/>
    <s v="M-1092"/>
  </r>
  <r>
    <x v="1239"/>
    <n v="990"/>
    <x v="0"/>
    <x v="13"/>
    <n v="14"/>
    <x v="62"/>
    <x v="20"/>
    <x v="1"/>
    <x v="14"/>
    <s v="Ninguno"/>
    <s v="Cantidad  de Licencias de Conducir profesionales por tipo"/>
    <s v="Periodo 2011-2017"/>
    <s v="Número de Licencias de Conducir"/>
    <s v="Instituto Nacional de Estadísticas (INE)"/>
    <x v="1239"/>
    <m/>
    <s v="Gráfico de Evolución"/>
    <s v="Región de Los Ríos regional licencias conducir tipo profesional profesionales clase a1 a2 a3 a4 a5"/>
    <x v="865"/>
    <s v="100-R-14"/>
    <s v="#1774B9"/>
    <s v="990-1240"/>
    <n v="99200014"/>
    <s v="T-1048"/>
    <s v="C-1017"/>
    <s v="FI-993"/>
    <s v="M-1092"/>
  </r>
  <r>
    <x v="1240"/>
    <n v="990"/>
    <x v="0"/>
    <x v="13"/>
    <n v="15"/>
    <x v="62"/>
    <x v="20"/>
    <x v="1"/>
    <x v="15"/>
    <s v="Ninguno"/>
    <s v="Cantidad  de Licencias de Conducir profesionales por tipo"/>
    <s v="Periodo 2011-2017"/>
    <s v="Número de Licencias de Conducir"/>
    <s v="Instituto Nacional de Estadísticas (INE)"/>
    <x v="1240"/>
    <m/>
    <s v="Gráfico de Evolución"/>
    <s v="Región de Arica y Parinacota regional licencias conducir tipo profesional profesionales clase a1 a2 a3 a4 a5"/>
    <x v="866"/>
    <s v="100-R-15"/>
    <s v="#1774B9"/>
    <s v="990-1241"/>
    <n v="99200015"/>
    <s v="T-1048"/>
    <s v="C-1017"/>
    <s v="FI-993"/>
    <s v="M-1092"/>
  </r>
  <r>
    <x v="1241"/>
    <n v="990"/>
    <x v="0"/>
    <x v="13"/>
    <n v="16"/>
    <x v="62"/>
    <x v="20"/>
    <x v="1"/>
    <x v="16"/>
    <s v="Ninguno"/>
    <s v="Cantidad  de Licencias de Conducir profesionales por tipo"/>
    <s v="Periodo 2011-2017"/>
    <s v="Número de Licencias de Conducir"/>
    <s v="Instituto Nacional de Estadísticas (INE)"/>
    <x v="1241"/>
    <m/>
    <s v="Gráfico de Evolución"/>
    <s v="Región de Ñuble regional licencias conducir tipo profesional profesionales clase a1 a2 a3 a4 a5"/>
    <x v="867"/>
    <s v="100-R-16"/>
    <s v="#1774B9"/>
    <s v="990-1242"/>
    <n v="99200016"/>
    <s v="T-1048"/>
    <s v="C-1017"/>
    <s v="FI-993"/>
    <s v="M-1092"/>
  </r>
  <r>
    <x v="1242"/>
    <n v="990"/>
    <x v="0"/>
    <x v="13"/>
    <n v="0"/>
    <x v="32"/>
    <x v="20"/>
    <x v="0"/>
    <x v="0"/>
    <s v="Región"/>
    <s v="Permisos de circulación anuales por tipo de transporte"/>
    <s v="Periodo 2008-2019"/>
    <s v="Número de permisos de circulación"/>
    <s v="Instituto Nacional de Estadísticas (INE)"/>
    <x v="1242"/>
    <m/>
    <s v="Gráfico de Evolución"/>
    <s v="Chile nacional región permiso circulación evolución tipo transporte colectivo particular carga"/>
    <x v="868"/>
    <s v="300-R"/>
    <s v="#1774B9"/>
    <s v="990-1243"/>
    <n v="99100000"/>
    <s v="T-1007"/>
    <s v="C-1017"/>
    <s v="FI-992"/>
    <s v="M-1093"/>
  </r>
  <r>
    <x v="1243"/>
    <n v="990"/>
    <x v="0"/>
    <x v="13"/>
    <n v="1"/>
    <x v="32"/>
    <x v="20"/>
    <x v="1"/>
    <x v="1"/>
    <s v="Ninguno"/>
    <s v="Permisos de circulación anuales por tipo de transporte"/>
    <s v="Periodo 2008-2019"/>
    <s v="Número de permisos de circulación"/>
    <s v="Instituto Nacional de Estadísticas (INE)"/>
    <x v="1243"/>
    <m/>
    <s v="Gráfico de Evolución"/>
    <s v="Región de Tarapacá regional permiso circulación evolución tipo transporte colectivo particular carga"/>
    <x v="869"/>
    <s v="100-R-1"/>
    <s v="#1774B9"/>
    <s v="990-1244"/>
    <n v="99200001"/>
    <s v="T-1007"/>
    <s v="C-1017"/>
    <s v="FI-993"/>
    <s v="M-1093"/>
  </r>
  <r>
    <x v="1244"/>
    <n v="990"/>
    <x v="0"/>
    <x v="13"/>
    <n v="2"/>
    <x v="32"/>
    <x v="20"/>
    <x v="1"/>
    <x v="2"/>
    <s v="Ninguno"/>
    <s v="Permisos de circulación anuales por tipo de transporte"/>
    <s v="Periodo 2008-2019"/>
    <s v="Número de permisos de circulación"/>
    <s v="Instituto Nacional de Estadísticas (INE)"/>
    <x v="1244"/>
    <m/>
    <s v="Gráfico de Evolución"/>
    <s v="Región de Antofagasta regional permiso circulación evolución tipo transporte colectivo particular carga"/>
    <x v="870"/>
    <s v="100-R-2"/>
    <s v="#1774B9"/>
    <s v="990-1245"/>
    <n v="99200002"/>
    <s v="T-1007"/>
    <s v="C-1017"/>
    <s v="FI-993"/>
    <s v="M-1093"/>
  </r>
  <r>
    <x v="1245"/>
    <n v="990"/>
    <x v="0"/>
    <x v="13"/>
    <n v="3"/>
    <x v="32"/>
    <x v="20"/>
    <x v="1"/>
    <x v="3"/>
    <s v="Ninguno"/>
    <s v="Permisos de circulación anuales por tipo de transporte"/>
    <s v="Periodo 2008-2019"/>
    <s v="Número de permisos de circulación"/>
    <s v="Instituto Nacional de Estadísticas (INE)"/>
    <x v="1245"/>
    <m/>
    <s v="Gráfico de Evolución"/>
    <s v="Región de Atacama regional permiso circulación evolución tipo transporte colectivo particular carga"/>
    <x v="871"/>
    <s v="100-R-3"/>
    <s v="#1774B9"/>
    <s v="990-1246"/>
    <n v="99200003"/>
    <s v="T-1007"/>
    <s v="C-1017"/>
    <s v="FI-993"/>
    <s v="M-1093"/>
  </r>
  <r>
    <x v="1246"/>
    <n v="990"/>
    <x v="0"/>
    <x v="13"/>
    <n v="4"/>
    <x v="32"/>
    <x v="20"/>
    <x v="1"/>
    <x v="4"/>
    <s v="Ninguno"/>
    <s v="Permisos de circulación anuales por tipo de transporte"/>
    <s v="Periodo 2008-2019"/>
    <s v="Número de permisos de circulación"/>
    <s v="Instituto Nacional de Estadísticas (INE)"/>
    <x v="1246"/>
    <m/>
    <s v="Gráfico de Evolución"/>
    <s v="Región de Coquimbo regional permiso circulación evolución tipo transporte colectivo particular carga"/>
    <x v="872"/>
    <s v="100-R-4"/>
    <s v="#1774B9"/>
    <s v="990-1247"/>
    <n v="99200004"/>
    <s v="T-1007"/>
    <s v="C-1017"/>
    <s v="FI-993"/>
    <s v="M-1093"/>
  </r>
  <r>
    <x v="1247"/>
    <n v="990"/>
    <x v="0"/>
    <x v="13"/>
    <n v="5"/>
    <x v="32"/>
    <x v="20"/>
    <x v="1"/>
    <x v="5"/>
    <s v="Ninguno"/>
    <s v="Permisos de circulación anuales por tipo de transporte"/>
    <s v="Periodo 2008-2019"/>
    <s v="Número de permisos de circulación"/>
    <s v="Instituto Nacional de Estadísticas (INE)"/>
    <x v="1247"/>
    <m/>
    <s v="Gráfico de Evolución"/>
    <s v="Región de Valparaíso regional permiso circulación evolución tipo transporte colectivo particular carga"/>
    <x v="873"/>
    <s v="100-R-5"/>
    <s v="#1774B9"/>
    <s v="990-1248"/>
    <n v="99200005"/>
    <s v="T-1007"/>
    <s v="C-1017"/>
    <s v="FI-993"/>
    <s v="M-1093"/>
  </r>
  <r>
    <x v="1248"/>
    <n v="990"/>
    <x v="0"/>
    <x v="13"/>
    <n v="6"/>
    <x v="32"/>
    <x v="20"/>
    <x v="1"/>
    <x v="6"/>
    <s v="Ninguno"/>
    <s v="Permisos de circulación anuales por tipo de transporte"/>
    <s v="Periodo 2008-2019"/>
    <s v="Número de permisos de circulación"/>
    <s v="Instituto Nacional de Estadísticas (INE)"/>
    <x v="1248"/>
    <m/>
    <s v="Gráfico de Evolución"/>
    <s v="Región de O'Higgins regional permiso circulación evolución tipo transporte colectivo particular carga"/>
    <x v="874"/>
    <s v="100-R-6"/>
    <s v="#1774B9"/>
    <s v="990-1249"/>
    <n v="99200006"/>
    <s v="T-1007"/>
    <s v="C-1017"/>
    <s v="FI-993"/>
    <s v="M-1093"/>
  </r>
  <r>
    <x v="1249"/>
    <n v="990"/>
    <x v="0"/>
    <x v="13"/>
    <n v="7"/>
    <x v="32"/>
    <x v="20"/>
    <x v="1"/>
    <x v="7"/>
    <s v="Ninguno"/>
    <s v="Permisos de circulación anuales por tipo de transporte"/>
    <s v="Periodo 2008-2019"/>
    <s v="Número de permisos de circulación"/>
    <s v="Instituto Nacional de Estadísticas (INE)"/>
    <x v="1249"/>
    <m/>
    <s v="Gráfico de Evolución"/>
    <s v="Región de Maule regional permiso circulación evolución tipo transporte colectivo particular carga"/>
    <x v="875"/>
    <s v="100-R-7"/>
    <s v="#1774B9"/>
    <s v="990-1250"/>
    <n v="99200007"/>
    <s v="T-1007"/>
    <s v="C-1017"/>
    <s v="FI-993"/>
    <s v="M-1093"/>
  </r>
  <r>
    <x v="1250"/>
    <n v="990"/>
    <x v="0"/>
    <x v="13"/>
    <n v="8"/>
    <x v="32"/>
    <x v="20"/>
    <x v="1"/>
    <x v="8"/>
    <s v="Ninguno"/>
    <s v="Permisos de circulación anuales por tipo de transporte"/>
    <s v="Periodo 2008-2019"/>
    <s v="Número de permisos de circulación"/>
    <s v="Instituto Nacional de Estadísticas (INE)"/>
    <x v="1250"/>
    <m/>
    <s v="Gráfico de Evolución"/>
    <s v="Región del Biobío regional permiso circulación evolución tipo transporte colectivo particular carga"/>
    <x v="876"/>
    <s v="100-R-8"/>
    <s v="#1774B9"/>
    <s v="990-1251"/>
    <n v="99200008"/>
    <s v="T-1007"/>
    <s v="C-1017"/>
    <s v="FI-993"/>
    <s v="M-1093"/>
  </r>
  <r>
    <x v="1251"/>
    <n v="990"/>
    <x v="0"/>
    <x v="13"/>
    <n v="9"/>
    <x v="32"/>
    <x v="20"/>
    <x v="1"/>
    <x v="9"/>
    <s v="Ninguno"/>
    <s v="Permisos de circulación anuales por tipo de transporte"/>
    <s v="Periodo 2008-2019"/>
    <s v="Número de permisos de circulación"/>
    <s v="Instituto Nacional de Estadísticas (INE)"/>
    <x v="1251"/>
    <m/>
    <s v="Gráfico de Evolución"/>
    <s v="Región de La Araucanía regional permiso circulación evolución tipo transporte colectivo particular carga"/>
    <x v="877"/>
    <s v="100-R-9"/>
    <s v="#1774B9"/>
    <s v="990-1252"/>
    <n v="99200009"/>
    <s v="T-1007"/>
    <s v="C-1017"/>
    <s v="FI-993"/>
    <s v="M-1093"/>
  </r>
  <r>
    <x v="1252"/>
    <n v="990"/>
    <x v="0"/>
    <x v="13"/>
    <n v="10"/>
    <x v="32"/>
    <x v="20"/>
    <x v="1"/>
    <x v="10"/>
    <s v="Ninguno"/>
    <s v="Permisos de circulación anuales por tipo de transporte"/>
    <s v="Periodo 2008-2019"/>
    <s v="Número de permisos de circulación"/>
    <s v="Instituto Nacional de Estadísticas (INE)"/>
    <x v="1252"/>
    <m/>
    <s v="Gráfico de Evolución"/>
    <s v="Región de Los Lagos regional permiso circulación evolución tipo transporte colectivo particular carga"/>
    <x v="878"/>
    <s v="100-R-10"/>
    <s v="#1774B9"/>
    <s v="990-1253"/>
    <n v="99200010"/>
    <s v="T-1007"/>
    <s v="C-1017"/>
    <s v="FI-993"/>
    <s v="M-1093"/>
  </r>
  <r>
    <x v="1253"/>
    <n v="990"/>
    <x v="0"/>
    <x v="13"/>
    <n v="11"/>
    <x v="32"/>
    <x v="20"/>
    <x v="1"/>
    <x v="11"/>
    <s v="Ninguno"/>
    <s v="Permisos de circulación anuales por tipo de transporte"/>
    <s v="Periodo 2008-2019"/>
    <s v="Número de permisos de circulación"/>
    <s v="Instituto Nacional de Estadísticas (INE)"/>
    <x v="1253"/>
    <m/>
    <s v="Gráfico de Evolución"/>
    <s v="Región de Aysén regional permiso circulación evolución tipo transporte colectivo particular carga"/>
    <x v="879"/>
    <s v="100-R-11"/>
    <s v="#1774B9"/>
    <s v="990-1254"/>
    <n v="99200011"/>
    <s v="T-1007"/>
    <s v="C-1017"/>
    <s v="FI-993"/>
    <s v="M-1093"/>
  </r>
  <r>
    <x v="1254"/>
    <n v="990"/>
    <x v="0"/>
    <x v="13"/>
    <n v="12"/>
    <x v="32"/>
    <x v="20"/>
    <x v="1"/>
    <x v="12"/>
    <s v="Ninguno"/>
    <s v="Permisos de circulación anuales por tipo de transporte"/>
    <s v="Periodo 2008-2019"/>
    <s v="Número de permisos de circulación"/>
    <s v="Instituto Nacional de Estadísticas (INE)"/>
    <x v="1254"/>
    <m/>
    <s v="Gráfico de Evolución"/>
    <s v="Región de Magallanes regional permiso circulación evolución tipo transporte colectivo particular carga"/>
    <x v="880"/>
    <s v="100-R-12"/>
    <s v="#1774B9"/>
    <s v="990-1255"/>
    <n v="99200012"/>
    <s v="T-1007"/>
    <s v="C-1017"/>
    <s v="FI-993"/>
    <s v="M-1093"/>
  </r>
  <r>
    <x v="1255"/>
    <n v="990"/>
    <x v="0"/>
    <x v="13"/>
    <n v="13"/>
    <x v="32"/>
    <x v="20"/>
    <x v="1"/>
    <x v="13"/>
    <s v="Ninguno"/>
    <s v="Permisos de circulación anuales por tipo de transporte"/>
    <s v="Periodo 2008-2019"/>
    <s v="Número de permisos de circulación"/>
    <s v="Instituto Nacional de Estadísticas (INE)"/>
    <x v="1255"/>
    <s v="Para la región Metropolitana, los permisos de circulación para vehículos con tipo de uso Transporte Particular, son los que se ven con mayor cantidad, teniendo un crecimiento constante a lo largo de los años, terminando el año 2019 con 4.124.864 permisos."/>
    <s v="Gráfico de Evolución"/>
    <s v="Región Metropolitana regional permiso circulación evolución tipo transporte colectivo particular carga"/>
    <x v="881"/>
    <s v="200-R-13"/>
    <s v="#1774B9"/>
    <s v="990-1256"/>
    <n v="99200013"/>
    <s v="T-1007"/>
    <s v="C-1017"/>
    <s v="FI-993"/>
    <s v="M-1093"/>
  </r>
  <r>
    <x v="1256"/>
    <n v="990"/>
    <x v="0"/>
    <x v="13"/>
    <n v="14"/>
    <x v="32"/>
    <x v="20"/>
    <x v="1"/>
    <x v="14"/>
    <s v="Ninguno"/>
    <s v="Permisos de circulación anuales por tipo de transporte"/>
    <s v="Periodo 2008-2019"/>
    <s v="Número de permisos de circulación"/>
    <s v="Instituto Nacional de Estadísticas (INE)"/>
    <x v="1256"/>
    <m/>
    <s v="Gráfico de Evolución"/>
    <s v="Región de Los Ríos regional permiso circulación evolución tipo transporte colectivo particular carga"/>
    <x v="882"/>
    <s v="100-R-14"/>
    <s v="#1774B9"/>
    <s v="990-1257"/>
    <n v="99200014"/>
    <s v="T-1007"/>
    <s v="C-1017"/>
    <s v="FI-993"/>
    <s v="M-1093"/>
  </r>
  <r>
    <x v="1257"/>
    <n v="990"/>
    <x v="0"/>
    <x v="13"/>
    <n v="15"/>
    <x v="32"/>
    <x v="20"/>
    <x v="1"/>
    <x v="15"/>
    <s v="Ninguno"/>
    <s v="Permisos de circulación anuales por tipo de transporte"/>
    <s v="Periodo 2008-2019"/>
    <s v="Número de permisos de circulación"/>
    <s v="Instituto Nacional de Estadísticas (INE)"/>
    <x v="1257"/>
    <m/>
    <s v="Gráfico de Evolución"/>
    <s v="Región de Arica y Parinacota regional permiso circulación evolución tipo transporte colectivo particular carga"/>
    <x v="883"/>
    <s v="100-R-15"/>
    <s v="#1774B9"/>
    <s v="990-1258"/>
    <n v="99200015"/>
    <s v="T-1007"/>
    <s v="C-1017"/>
    <s v="FI-993"/>
    <s v="M-1093"/>
  </r>
  <r>
    <x v="1258"/>
    <n v="990"/>
    <x v="0"/>
    <x v="13"/>
    <n v="16"/>
    <x v="32"/>
    <x v="20"/>
    <x v="1"/>
    <x v="16"/>
    <s v="Ninguno"/>
    <s v="Permisos de circulación anuales por tipo de transporte"/>
    <s v="Periodo 2008-2019"/>
    <s v="Número de permisos de circulación"/>
    <s v="Instituto Nacional de Estadísticas (INE)"/>
    <x v="1258"/>
    <m/>
    <s v="Gráfico de Evolución"/>
    <s v="Región de Ñuble regional permiso circulación evolución tipo transporte colectivo particular carga"/>
    <x v="884"/>
    <s v="100-R-16"/>
    <s v="#1774B9"/>
    <s v="990-1259"/>
    <n v="99200016"/>
    <s v="T-1007"/>
    <s v="C-1017"/>
    <s v="FI-993"/>
    <s v="M-1093"/>
  </r>
  <r>
    <x v="1259"/>
    <n v="990"/>
    <x v="0"/>
    <x v="13"/>
    <n v="0"/>
    <x v="63"/>
    <x v="20"/>
    <x v="0"/>
    <x v="0"/>
    <s v="Región-Año"/>
    <s v="Cantidad  de Licencias de Conducir no profesionales"/>
    <s v="Periodo 2011-2017"/>
    <s v="Número de Licencias de Conducir"/>
    <s v="Instituto Nacional de Estadísticas (INE)"/>
    <x v="1259"/>
    <m/>
    <s v="Mapa de calor"/>
    <s v="Chile nacional región comuna licencia de conducir mapa no profesional"/>
    <x v="885"/>
    <s v="300-C"/>
    <s v="#1774B9"/>
    <s v="990-1260"/>
    <n v="99100000"/>
    <s v="T-1049"/>
    <s v="C-1017"/>
    <s v="FI-1005"/>
    <s v="M-1094"/>
  </r>
  <r>
    <x v="1260"/>
    <n v="990"/>
    <x v="0"/>
    <x v="13"/>
    <n v="1"/>
    <x v="63"/>
    <x v="20"/>
    <x v="1"/>
    <x v="1"/>
    <s v="Región"/>
    <s v="Cantidad  de Licencias de Conducir no profesionales"/>
    <s v="Periodo 2011-2017"/>
    <s v="Número de Licencias de Conducir"/>
    <s v="Instituto Nacional de Estadísticas (INE)"/>
    <x v="1260"/>
    <m/>
    <s v="Mapa de calor"/>
    <s v="Región de Tarapacá regional comuna licencia de conducir mapa no profesional"/>
    <x v="886"/>
    <s v="100-C-1"/>
    <s v="#1774B9"/>
    <s v="990-1261"/>
    <n v="99200001"/>
    <s v="T-1049"/>
    <s v="C-1017"/>
    <s v="FI-992"/>
    <s v="M-1094"/>
  </r>
  <r>
    <x v="1261"/>
    <n v="990"/>
    <x v="0"/>
    <x v="13"/>
    <n v="2"/>
    <x v="63"/>
    <x v="20"/>
    <x v="1"/>
    <x v="2"/>
    <s v="Región"/>
    <s v="Cantidad  de Licencias de Conducir no profesionales"/>
    <s v="Periodo 2011-2017"/>
    <s v="Número de Licencias de Conducir"/>
    <s v="Instituto Nacional de Estadísticas (INE)"/>
    <x v="1261"/>
    <m/>
    <s v="Mapa de calor"/>
    <s v="Región de Antofagasta regional comuna licencia de conducir mapa no profesional"/>
    <x v="887"/>
    <s v="100-C-2"/>
    <s v="#1774B9"/>
    <s v="990-1262"/>
    <n v="99200002"/>
    <s v="T-1049"/>
    <s v="C-1017"/>
    <s v="FI-992"/>
    <s v="M-1094"/>
  </r>
  <r>
    <x v="1262"/>
    <n v="990"/>
    <x v="0"/>
    <x v="13"/>
    <n v="3"/>
    <x v="63"/>
    <x v="20"/>
    <x v="1"/>
    <x v="3"/>
    <s v="Región"/>
    <s v="Cantidad  de Licencias de Conducir no profesionales"/>
    <s v="Periodo 2011-2017"/>
    <s v="Número de Licencias de Conducir"/>
    <s v="Instituto Nacional de Estadísticas (INE)"/>
    <x v="1262"/>
    <m/>
    <s v="Mapa de calor"/>
    <s v="Región de Atacama regional comuna licencia de conducir mapa no profesional"/>
    <x v="888"/>
    <s v="100-C-3"/>
    <s v="#1774B9"/>
    <s v="990-1263"/>
    <n v="99200003"/>
    <s v="T-1049"/>
    <s v="C-1017"/>
    <s v="FI-992"/>
    <s v="M-1094"/>
  </r>
  <r>
    <x v="1263"/>
    <n v="990"/>
    <x v="0"/>
    <x v="13"/>
    <n v="4"/>
    <x v="63"/>
    <x v="20"/>
    <x v="1"/>
    <x v="4"/>
    <s v="Región"/>
    <s v="Cantidad  de Licencias de Conducir no profesionales"/>
    <s v="Periodo 2011-2017"/>
    <s v="Número de Licencias de Conducir"/>
    <s v="Instituto Nacional de Estadísticas (INE)"/>
    <x v="1263"/>
    <m/>
    <s v="Mapa de calor"/>
    <s v="Región de Coquimbo regional comuna licencia de conducir mapa no profesional"/>
    <x v="889"/>
    <s v="100-C-4"/>
    <s v="#1774B9"/>
    <s v="990-1264"/>
    <n v="99200004"/>
    <s v="T-1049"/>
    <s v="C-1017"/>
    <s v="FI-992"/>
    <s v="M-1094"/>
  </r>
  <r>
    <x v="1264"/>
    <n v="990"/>
    <x v="0"/>
    <x v="13"/>
    <n v="5"/>
    <x v="63"/>
    <x v="20"/>
    <x v="1"/>
    <x v="5"/>
    <s v="Región"/>
    <s v="Cantidad  de Licencias de Conducir no profesionales"/>
    <s v="Periodo 2011-2017"/>
    <s v="Número de Licencias de Conducir"/>
    <s v="Instituto Nacional de Estadísticas (INE)"/>
    <x v="1264"/>
    <m/>
    <s v="Mapa de calor"/>
    <s v="Región de Valparaíso regional comuna licencia de conducir mapa no profesional"/>
    <x v="890"/>
    <s v="100-C-5"/>
    <s v="#1774B9"/>
    <s v="990-1265"/>
    <n v="99200005"/>
    <s v="T-1049"/>
    <s v="C-1017"/>
    <s v="FI-992"/>
    <s v="M-1094"/>
  </r>
  <r>
    <x v="1265"/>
    <n v="990"/>
    <x v="0"/>
    <x v="13"/>
    <n v="6"/>
    <x v="63"/>
    <x v="20"/>
    <x v="1"/>
    <x v="6"/>
    <s v="Región"/>
    <s v="Cantidad  de Licencias de Conducir no profesionales"/>
    <s v="Periodo 2011-2017"/>
    <s v="Número de Licencias de Conducir"/>
    <s v="Instituto Nacional de Estadísticas (INE)"/>
    <x v="1265"/>
    <m/>
    <s v="Mapa de calor"/>
    <s v="Región de O'Higgins regional comuna licencia de conducir mapa no profesional"/>
    <x v="891"/>
    <s v="100-C-6"/>
    <s v="#1774B9"/>
    <s v="990-1266"/>
    <n v="99200006"/>
    <s v="T-1049"/>
    <s v="C-1017"/>
    <s v="FI-992"/>
    <s v="M-1094"/>
  </r>
  <r>
    <x v="1266"/>
    <n v="990"/>
    <x v="0"/>
    <x v="13"/>
    <n v="7"/>
    <x v="63"/>
    <x v="20"/>
    <x v="1"/>
    <x v="7"/>
    <s v="Región"/>
    <s v="Cantidad  de Licencias de Conducir no profesionales"/>
    <s v="Periodo 2011-2017"/>
    <s v="Número de Licencias de Conducir"/>
    <s v="Instituto Nacional de Estadísticas (INE)"/>
    <x v="1266"/>
    <m/>
    <s v="Mapa de calor"/>
    <s v="Región de Maule regional comuna licencia de conducir mapa no profesional"/>
    <x v="892"/>
    <s v="100-C-7"/>
    <s v="#1774B9"/>
    <s v="990-1267"/>
    <n v="99200007"/>
    <s v="T-1049"/>
    <s v="C-1017"/>
    <s v="FI-992"/>
    <s v="M-1094"/>
  </r>
  <r>
    <x v="1267"/>
    <n v="990"/>
    <x v="0"/>
    <x v="13"/>
    <n v="8"/>
    <x v="63"/>
    <x v="20"/>
    <x v="1"/>
    <x v="8"/>
    <s v="Región"/>
    <s v="Cantidad  de Licencias de Conducir no profesionales"/>
    <s v="Periodo 2011-2017"/>
    <s v="Número de Licencias de Conducir"/>
    <s v="Instituto Nacional de Estadísticas (INE)"/>
    <x v="1267"/>
    <m/>
    <s v="Mapa de calor"/>
    <s v="Región del Biobío regional comuna licencia de conducir mapa no profesional"/>
    <x v="893"/>
    <s v="100-C-8"/>
    <s v="#1774B9"/>
    <s v="990-1268"/>
    <n v="99200008"/>
    <s v="T-1049"/>
    <s v="C-1017"/>
    <s v="FI-992"/>
    <s v="M-1094"/>
  </r>
  <r>
    <x v="1268"/>
    <n v="990"/>
    <x v="0"/>
    <x v="13"/>
    <n v="9"/>
    <x v="63"/>
    <x v="20"/>
    <x v="1"/>
    <x v="9"/>
    <s v="Región"/>
    <s v="Cantidad  de Licencias de Conducir no profesionales"/>
    <s v="Periodo 2011-2017"/>
    <s v="Número de Licencias de Conducir"/>
    <s v="Instituto Nacional de Estadísticas (INE)"/>
    <x v="1268"/>
    <m/>
    <s v="Mapa de calor"/>
    <s v="Región de La Araucanía regional comuna licencia de conducir mapa no profesional"/>
    <x v="894"/>
    <s v="100-C-9"/>
    <s v="#1774B9"/>
    <s v="990-1269"/>
    <n v="99200009"/>
    <s v="T-1049"/>
    <s v="C-1017"/>
    <s v="FI-992"/>
    <s v="M-1094"/>
  </r>
  <r>
    <x v="1269"/>
    <n v="990"/>
    <x v="0"/>
    <x v="13"/>
    <n v="10"/>
    <x v="63"/>
    <x v="20"/>
    <x v="1"/>
    <x v="10"/>
    <s v="Región"/>
    <s v="Cantidad  de Licencias de Conducir no profesionales"/>
    <s v="Periodo 2011-2017"/>
    <s v="Número de Licencias de Conducir"/>
    <s v="Instituto Nacional de Estadísticas (INE)"/>
    <x v="1269"/>
    <m/>
    <s v="Mapa de calor"/>
    <s v="Región de Los Lagos regional comuna licencia de conducir mapa no profesional"/>
    <x v="895"/>
    <s v="100-C-10"/>
    <s v="#1774B9"/>
    <s v="990-1270"/>
    <n v="99200010"/>
    <s v="T-1049"/>
    <s v="C-1017"/>
    <s v="FI-992"/>
    <s v="M-1094"/>
  </r>
  <r>
    <x v="1270"/>
    <n v="990"/>
    <x v="0"/>
    <x v="13"/>
    <n v="11"/>
    <x v="63"/>
    <x v="20"/>
    <x v="1"/>
    <x v="11"/>
    <s v="Región"/>
    <s v="Cantidad  de Licencias de Conducir no profesionales"/>
    <s v="Periodo 2011-2017"/>
    <s v="Número de Licencias de Conducir"/>
    <s v="Instituto Nacional de Estadísticas (INE)"/>
    <x v="1270"/>
    <m/>
    <s v="Mapa de calor"/>
    <s v="Región de Aysén regional comuna licencia de conducir mapa no profesional"/>
    <x v="896"/>
    <s v="100-C-11"/>
    <s v="#1774B9"/>
    <s v="990-1271"/>
    <n v="99200011"/>
    <s v="T-1049"/>
    <s v="C-1017"/>
    <s v="FI-992"/>
    <s v="M-1094"/>
  </r>
  <r>
    <x v="1271"/>
    <n v="990"/>
    <x v="0"/>
    <x v="13"/>
    <n v="12"/>
    <x v="63"/>
    <x v="20"/>
    <x v="1"/>
    <x v="12"/>
    <s v="Región"/>
    <s v="Cantidad  de Licencias de Conducir no profesionales"/>
    <s v="Periodo 2011-2017"/>
    <s v="Número de Licencias de Conducir"/>
    <s v="Instituto Nacional de Estadísticas (INE)"/>
    <x v="1271"/>
    <m/>
    <s v="Mapa de calor"/>
    <s v="Región de Magallanes regional comuna licencia de conducir mapa no profesional"/>
    <x v="897"/>
    <s v="100-C-12"/>
    <s v="#1774B9"/>
    <s v="990-1272"/>
    <n v="99200012"/>
    <s v="T-1049"/>
    <s v="C-1017"/>
    <s v="FI-992"/>
    <s v="M-1094"/>
  </r>
  <r>
    <x v="1272"/>
    <n v="990"/>
    <x v="0"/>
    <x v="13"/>
    <n v="13"/>
    <x v="63"/>
    <x v="20"/>
    <x v="1"/>
    <x v="13"/>
    <s v="Región"/>
    <s v="Cantidad  de Licencias de Conducir no profesionales"/>
    <s v="Periodo 2011-2017"/>
    <s v="Número de Licencias de Conducir"/>
    <s v="Instituto Nacional de Estadísticas (INE)"/>
    <x v="1272"/>
    <m/>
    <s v="Mapa de calor"/>
    <s v="Región Metropolitana regional comuna licencia de conducir mapa no profesional"/>
    <x v="898"/>
    <s v="200-C-13"/>
    <s v="#1774B9"/>
    <s v="990-1273"/>
    <n v="99200013"/>
    <s v="T-1049"/>
    <s v="C-1017"/>
    <s v="FI-992"/>
    <s v="M-1094"/>
  </r>
  <r>
    <x v="1273"/>
    <n v="990"/>
    <x v="0"/>
    <x v="13"/>
    <n v="14"/>
    <x v="63"/>
    <x v="20"/>
    <x v="1"/>
    <x v="14"/>
    <s v="Región"/>
    <s v="Cantidad  de Licencias de Conducir no profesionales"/>
    <s v="Periodo 2011-2017"/>
    <s v="Número de Licencias de Conducir"/>
    <s v="Instituto Nacional de Estadísticas (INE)"/>
    <x v="1273"/>
    <s v="Para la región de Los Ríos, en el año 2017, es la comuna de Valdivia la que cuenta con mayor cantidad de licencias de conducir del tipo No profesional con 9.038 licencias. Se debe tener en consideración que las comunas no coloreadas en el mapa no presentan datos."/>
    <s v="Mapa de calor"/>
    <s v="Región de Los Ríos regional comuna licencia de conducir mapa no profesional"/>
    <x v="899"/>
    <s v="100-C-14"/>
    <s v="#1774B9"/>
    <s v="990-1274"/>
    <n v="99200014"/>
    <s v="T-1049"/>
    <s v="C-1017"/>
    <s v="FI-992"/>
    <s v="M-1094"/>
  </r>
  <r>
    <x v="1274"/>
    <n v="990"/>
    <x v="0"/>
    <x v="13"/>
    <n v="15"/>
    <x v="63"/>
    <x v="20"/>
    <x v="1"/>
    <x v="15"/>
    <s v="Región"/>
    <s v="Cantidad  de Licencias de Conducir no profesionales"/>
    <s v="Periodo 2011-2017"/>
    <s v="Número de Licencias de Conducir"/>
    <s v="Instituto Nacional de Estadísticas (INE)"/>
    <x v="1274"/>
    <m/>
    <s v="Mapa de calor"/>
    <s v="Región de Arica y Parinacota regional comuna licencia de conducir mapa no profesional"/>
    <x v="900"/>
    <s v="100-C-15"/>
    <s v="#1774B9"/>
    <s v="990-1275"/>
    <n v="99200015"/>
    <s v="T-1049"/>
    <s v="C-1017"/>
    <s v="FI-992"/>
    <s v="M-1094"/>
  </r>
  <r>
    <x v="1275"/>
    <n v="990"/>
    <x v="0"/>
    <x v="13"/>
    <n v="16"/>
    <x v="63"/>
    <x v="20"/>
    <x v="1"/>
    <x v="16"/>
    <s v="Región"/>
    <s v="Cantidad  de Licencias de Conducir no profesionales"/>
    <s v="Periodo 2011-2017"/>
    <s v="Número de Licencias de Conducir"/>
    <s v="Instituto Nacional de Estadísticas (INE)"/>
    <x v="1275"/>
    <m/>
    <s v="Mapa de calor"/>
    <s v="Región de Ñuble regional comuna licencia de conducir mapa no profesional"/>
    <x v="901"/>
    <s v="100-C-16"/>
    <s v="#1774B9"/>
    <s v="990-1276"/>
    <n v="99200016"/>
    <s v="T-1049"/>
    <s v="C-1017"/>
    <s v="FI-992"/>
    <s v="M-1094"/>
  </r>
  <r>
    <x v="1276"/>
    <n v="990"/>
    <x v="0"/>
    <x v="13"/>
    <n v="0"/>
    <x v="32"/>
    <x v="20"/>
    <x v="0"/>
    <x v="0"/>
    <s v="Región-Año"/>
    <s v="Permisos de circulación anuales de tipo de transporte colectivo"/>
    <s v="Periodo 2008-2019"/>
    <s v="Número de permisos de circulación"/>
    <s v="Instituto Nacional de Estadísticas (INE)"/>
    <x v="1276"/>
    <m/>
    <s v="Mapa de calor"/>
    <s v="Chile nacional región comuna permiso circulación mapa tipo transporte colectivo"/>
    <x v="902"/>
    <s v="300-C"/>
    <s v="#1774B9"/>
    <s v="990-1277"/>
    <n v="99100000"/>
    <s v="T-1007"/>
    <s v="C-1017"/>
    <s v="FI-1005"/>
    <s v="M-1095"/>
  </r>
  <r>
    <x v="1277"/>
    <n v="990"/>
    <x v="0"/>
    <x v="13"/>
    <n v="1"/>
    <x v="32"/>
    <x v="20"/>
    <x v="1"/>
    <x v="1"/>
    <s v="Año"/>
    <s v="Permisos de circulación anuales de tipo de transporte colectivo"/>
    <s v="Periodo 2008-2019"/>
    <s v="Número de permisos de circulación"/>
    <s v="Instituto Nacional de Estadísticas (INE)"/>
    <x v="1277"/>
    <m/>
    <s v="Mapa de calor"/>
    <s v="Región de Tarapacá regional comuna permiso circulación mapa tipo transporte colectivo"/>
    <x v="903"/>
    <s v="100-C-1"/>
    <s v="#1774B9"/>
    <s v="990-1278"/>
    <n v="99200001"/>
    <s v="T-1007"/>
    <s v="C-1017"/>
    <s v="FI-1006"/>
    <s v="M-1095"/>
  </r>
  <r>
    <x v="1278"/>
    <n v="990"/>
    <x v="0"/>
    <x v="13"/>
    <n v="2"/>
    <x v="32"/>
    <x v="20"/>
    <x v="1"/>
    <x v="2"/>
    <s v="Año"/>
    <s v="Permisos de circulación anuales de tipo de transporte colectivo"/>
    <s v="Periodo 2008-2019"/>
    <s v="Número de permisos de circulación"/>
    <s v="Instituto Nacional de Estadísticas (INE)"/>
    <x v="1278"/>
    <s v="Para la región de Antofagasta en el año 2019 fue la comuna de Antofagasta la que contaba con la mayor cantidad de permisos de circulación otorgados para el uso de transportes colectivos, siendo de 9.698 permisos, por su parte la comuna de Ollague en Antofagasta, para el mismo año contaba con solo 22 permisos de circulación para uso de transportes colectivos."/>
    <s v="Mapa de calor"/>
    <s v="Región de Antofagasta regional comuna permiso circulación mapa tipo transporte colectivo"/>
    <x v="904"/>
    <s v="100-C-2"/>
    <s v="#1774B9"/>
    <s v="990-1279"/>
    <n v="99200002"/>
    <s v="T-1007"/>
    <s v="C-1017"/>
    <s v="FI-1006"/>
    <s v="M-1095"/>
  </r>
  <r>
    <x v="1279"/>
    <n v="990"/>
    <x v="0"/>
    <x v="13"/>
    <n v="3"/>
    <x v="32"/>
    <x v="20"/>
    <x v="1"/>
    <x v="3"/>
    <s v="Año"/>
    <s v="Permisos de circulación anuales de tipo de transporte colectivo"/>
    <s v="Periodo 2008-2019"/>
    <s v="Número de permisos de circulación"/>
    <s v="Instituto Nacional de Estadísticas (INE)"/>
    <x v="1279"/>
    <m/>
    <s v="Mapa de calor"/>
    <s v="Región de Atacama regional comuna permiso circulación mapa tipo transporte colectivo"/>
    <x v="905"/>
    <s v="100-C-3"/>
    <s v="#1774B9"/>
    <s v="990-1280"/>
    <n v="99200003"/>
    <s v="T-1007"/>
    <s v="C-1017"/>
    <s v="FI-1006"/>
    <s v="M-1095"/>
  </r>
  <r>
    <x v="1280"/>
    <n v="990"/>
    <x v="0"/>
    <x v="13"/>
    <n v="4"/>
    <x v="32"/>
    <x v="20"/>
    <x v="1"/>
    <x v="4"/>
    <s v="Año"/>
    <s v="Permisos de circulación anuales de tipo de transporte colectivo"/>
    <s v="Periodo 2008-2019"/>
    <s v="Número de permisos de circulación"/>
    <s v="Instituto Nacional de Estadísticas (INE)"/>
    <x v="1280"/>
    <m/>
    <s v="Mapa de calor"/>
    <s v="Región de Coquimbo regional comuna permiso circulación mapa tipo transporte colectivo"/>
    <x v="906"/>
    <s v="100-C-4"/>
    <s v="#1774B9"/>
    <s v="990-1281"/>
    <n v="99200004"/>
    <s v="T-1007"/>
    <s v="C-1017"/>
    <s v="FI-1006"/>
    <s v="M-1095"/>
  </r>
  <r>
    <x v="1281"/>
    <n v="990"/>
    <x v="0"/>
    <x v="13"/>
    <n v="5"/>
    <x v="32"/>
    <x v="20"/>
    <x v="1"/>
    <x v="5"/>
    <s v="Año"/>
    <s v="Permisos de circulación anuales de tipo de transporte colectivo"/>
    <s v="Periodo 2008-2019"/>
    <s v="Número de permisos de circulación"/>
    <s v="Instituto Nacional de Estadísticas (INE)"/>
    <x v="1281"/>
    <m/>
    <s v="Mapa de calor"/>
    <s v="Región de Valparaíso regional comuna permiso circulación mapa tipo transporte colectivo"/>
    <x v="907"/>
    <s v="100-C-5"/>
    <s v="#1774B9"/>
    <s v="990-1282"/>
    <n v="99200005"/>
    <s v="T-1007"/>
    <s v="C-1017"/>
    <s v="FI-1006"/>
    <s v="M-1095"/>
  </r>
  <r>
    <x v="1282"/>
    <n v="990"/>
    <x v="0"/>
    <x v="13"/>
    <n v="6"/>
    <x v="32"/>
    <x v="20"/>
    <x v="1"/>
    <x v="6"/>
    <s v="Año"/>
    <s v="Permisos de circulación anuales de tipo de transporte colectivo"/>
    <s v="Periodo 2008-2019"/>
    <s v="Número de permisos de circulación"/>
    <s v="Instituto Nacional de Estadísticas (INE)"/>
    <x v="1282"/>
    <m/>
    <s v="Mapa de calor"/>
    <s v="Región de O'Higgins regional comuna permiso circulación mapa tipo transporte colectivo"/>
    <x v="908"/>
    <s v="100-C-6"/>
    <s v="#1774B9"/>
    <s v="990-1283"/>
    <n v="99200006"/>
    <s v="T-1007"/>
    <s v="C-1017"/>
    <s v="FI-1006"/>
    <s v="M-1095"/>
  </r>
  <r>
    <x v="1283"/>
    <n v="990"/>
    <x v="0"/>
    <x v="13"/>
    <n v="7"/>
    <x v="32"/>
    <x v="20"/>
    <x v="1"/>
    <x v="7"/>
    <s v="Año"/>
    <s v="Permisos de circulación anuales de tipo de transporte colectivo"/>
    <s v="Periodo 2008-2019"/>
    <s v="Número de permisos de circulación"/>
    <s v="Instituto Nacional de Estadísticas (INE)"/>
    <x v="1283"/>
    <m/>
    <s v="Mapa de calor"/>
    <s v="Región de Maule regional comuna permiso circulación mapa tipo transporte colectivo"/>
    <x v="909"/>
    <s v="100-C-7"/>
    <s v="#1774B9"/>
    <s v="990-1284"/>
    <n v="99200007"/>
    <s v="T-1007"/>
    <s v="C-1017"/>
    <s v="FI-1006"/>
    <s v="M-1095"/>
  </r>
  <r>
    <x v="1284"/>
    <n v="990"/>
    <x v="0"/>
    <x v="13"/>
    <n v="8"/>
    <x v="32"/>
    <x v="20"/>
    <x v="1"/>
    <x v="8"/>
    <s v="Año"/>
    <s v="Permisos de circulación anuales de tipo de transporte colectivo"/>
    <s v="Periodo 2008-2019"/>
    <s v="Número de permisos de circulación"/>
    <s v="Instituto Nacional de Estadísticas (INE)"/>
    <x v="1284"/>
    <m/>
    <s v="Mapa de calor"/>
    <s v="Región del Biobío regional comuna permiso circulación mapa tipo transporte colectivo"/>
    <x v="910"/>
    <s v="100-C-8"/>
    <s v="#1774B9"/>
    <s v="990-1285"/>
    <n v="99200008"/>
    <s v="T-1007"/>
    <s v="C-1017"/>
    <s v="FI-1006"/>
    <s v="M-1095"/>
  </r>
  <r>
    <x v="1285"/>
    <n v="990"/>
    <x v="0"/>
    <x v="13"/>
    <n v="9"/>
    <x v="32"/>
    <x v="20"/>
    <x v="1"/>
    <x v="9"/>
    <s v="Año"/>
    <s v="Permisos de circulación anuales de tipo de transporte colectivo"/>
    <s v="Periodo 2008-2019"/>
    <s v="Número de permisos de circulación"/>
    <s v="Instituto Nacional de Estadísticas (INE)"/>
    <x v="1285"/>
    <m/>
    <s v="Mapa de calor"/>
    <s v="Región de La Araucanía regional comuna permiso circulación mapa tipo transporte colectivo"/>
    <x v="911"/>
    <s v="100-C-9"/>
    <s v="#1774B9"/>
    <s v="990-1286"/>
    <n v="99200009"/>
    <s v="T-1007"/>
    <s v="C-1017"/>
    <s v="FI-1006"/>
    <s v="M-1095"/>
  </r>
  <r>
    <x v="1286"/>
    <n v="990"/>
    <x v="0"/>
    <x v="13"/>
    <n v="10"/>
    <x v="32"/>
    <x v="20"/>
    <x v="1"/>
    <x v="10"/>
    <s v="Año"/>
    <s v="Permisos de circulación anuales de tipo de transporte colectivo"/>
    <s v="Periodo 2008-2019"/>
    <s v="Número de permisos de circulación"/>
    <s v="Instituto Nacional de Estadísticas (INE)"/>
    <x v="1286"/>
    <m/>
    <s v="Mapa de calor"/>
    <s v="Región de Los Lagos regional comuna permiso circulación mapa tipo transporte colectivo"/>
    <x v="912"/>
    <s v="100-C-10"/>
    <s v="#1774B9"/>
    <s v="990-1287"/>
    <n v="99200010"/>
    <s v="T-1007"/>
    <s v="C-1017"/>
    <s v="FI-1006"/>
    <s v="M-1095"/>
  </r>
  <r>
    <x v="1287"/>
    <n v="990"/>
    <x v="0"/>
    <x v="13"/>
    <n v="11"/>
    <x v="32"/>
    <x v="20"/>
    <x v="1"/>
    <x v="11"/>
    <s v="Año"/>
    <s v="Permisos de circulación anuales de tipo de transporte colectivo"/>
    <s v="Periodo 2008-2019"/>
    <s v="Número de permisos de circulación"/>
    <s v="Instituto Nacional de Estadísticas (INE)"/>
    <x v="1287"/>
    <m/>
    <s v="Mapa de calor"/>
    <s v="Región de Aysén regional comuna permiso circulación mapa tipo transporte colectivo"/>
    <x v="913"/>
    <s v="100-C-11"/>
    <s v="#1774B9"/>
    <s v="990-1288"/>
    <n v="99200011"/>
    <s v="T-1007"/>
    <s v="C-1017"/>
    <s v="FI-1006"/>
    <s v="M-1095"/>
  </r>
  <r>
    <x v="1288"/>
    <n v="990"/>
    <x v="0"/>
    <x v="13"/>
    <n v="12"/>
    <x v="32"/>
    <x v="20"/>
    <x v="1"/>
    <x v="12"/>
    <s v="Año"/>
    <s v="Permisos de circulación anuales de tipo de transporte colectivo"/>
    <s v="Periodo 2008-2019"/>
    <s v="Número de permisos de circulación"/>
    <s v="Instituto Nacional de Estadísticas (INE)"/>
    <x v="1288"/>
    <m/>
    <s v="Mapa de calor"/>
    <s v="Región de Magallanes regional comuna permiso circulación mapa tipo transporte colectivo"/>
    <x v="914"/>
    <s v="100-C-12"/>
    <s v="#1774B9"/>
    <s v="990-1289"/>
    <n v="99200012"/>
    <s v="T-1007"/>
    <s v="C-1017"/>
    <s v="FI-1006"/>
    <s v="M-1095"/>
  </r>
  <r>
    <x v="1289"/>
    <n v="990"/>
    <x v="0"/>
    <x v="13"/>
    <n v="13"/>
    <x v="32"/>
    <x v="20"/>
    <x v="1"/>
    <x v="13"/>
    <s v="Año"/>
    <s v="Permisos de circulación anuales de tipo de transporte colectivo"/>
    <s v="Periodo 2008-2019"/>
    <s v="Número de permisos de circulación"/>
    <s v="Instituto Nacional de Estadísticas (INE)"/>
    <x v="1289"/>
    <m/>
    <s v="Mapa de calor"/>
    <s v="Región Metropolitana regional comuna permiso circulación mapa tipo transporte colectivo"/>
    <x v="915"/>
    <s v="200-C-13"/>
    <s v="#1774B9"/>
    <s v="990-1290"/>
    <n v="99200013"/>
    <s v="T-1007"/>
    <s v="C-1017"/>
    <s v="FI-1006"/>
    <s v="M-1095"/>
  </r>
  <r>
    <x v="1290"/>
    <n v="990"/>
    <x v="0"/>
    <x v="13"/>
    <n v="14"/>
    <x v="32"/>
    <x v="20"/>
    <x v="1"/>
    <x v="14"/>
    <s v="Año"/>
    <s v="Permisos de circulación anuales de tipo de transporte colectivo"/>
    <s v="Periodo 2008-2019"/>
    <s v="Número de permisos de circulación"/>
    <s v="Instituto Nacional de Estadísticas (INE)"/>
    <x v="1290"/>
    <m/>
    <s v="Mapa de calor"/>
    <s v="Región de Los Ríos regional comuna permiso circulación mapa tipo transporte colectivo"/>
    <x v="916"/>
    <s v="100-C-14"/>
    <s v="#1774B9"/>
    <s v="990-1291"/>
    <n v="99200014"/>
    <s v="T-1007"/>
    <s v="C-1017"/>
    <s v="FI-1006"/>
    <s v="M-1095"/>
  </r>
  <r>
    <x v="1291"/>
    <n v="990"/>
    <x v="0"/>
    <x v="13"/>
    <n v="15"/>
    <x v="32"/>
    <x v="20"/>
    <x v="1"/>
    <x v="15"/>
    <s v="Año"/>
    <s v="Permisos de circulación anuales de tipo de transporte colectivo"/>
    <s v="Periodo 2008-2019"/>
    <s v="Número de permisos de circulación"/>
    <s v="Instituto Nacional de Estadísticas (INE)"/>
    <x v="1291"/>
    <m/>
    <s v="Mapa de calor"/>
    <s v="Región de Arica y Parinacota regional comuna permiso circulación mapa tipo transporte colectivo"/>
    <x v="917"/>
    <s v="100-C-15"/>
    <s v="#1774B9"/>
    <s v="990-1292"/>
    <n v="99200015"/>
    <s v="T-1007"/>
    <s v="C-1017"/>
    <s v="FI-1006"/>
    <s v="M-1095"/>
  </r>
  <r>
    <x v="1292"/>
    <n v="990"/>
    <x v="0"/>
    <x v="13"/>
    <n v="16"/>
    <x v="32"/>
    <x v="20"/>
    <x v="1"/>
    <x v="16"/>
    <s v="Año"/>
    <s v="Permisos de circulación anuales de tipo de transporte colectivo"/>
    <s v="Periodo 2008-2019"/>
    <s v="Número de permisos de circulación"/>
    <s v="Instituto Nacional de Estadísticas (INE)"/>
    <x v="1292"/>
    <m/>
    <s v="Mapa de calor"/>
    <s v="Región de Ñuble regional comuna permiso circulación mapa tipo transporte colectivo"/>
    <x v="918"/>
    <s v="100-C-16"/>
    <s v="#1774B9"/>
    <s v="990-1293"/>
    <n v="99200016"/>
    <s v="T-1007"/>
    <s v="C-1017"/>
    <s v="FI-1006"/>
    <s v="M-1095"/>
  </r>
  <r>
    <x v="1293"/>
    <n v="990"/>
    <x v="0"/>
    <x v="13"/>
    <n v="0"/>
    <x v="63"/>
    <x v="20"/>
    <x v="0"/>
    <x v="0"/>
    <s v="Región-Comuna"/>
    <s v="Cantidad de Licencias de Conducir por clase"/>
    <s v="Periodo 2011-2017"/>
    <s v="Número de Licencias de Conducir"/>
    <s v="Instituto Nacional de Estadísticas (INE)"/>
    <x v="1293"/>
    <m/>
    <s v="Gráfico de Evolución"/>
    <s v="Chile nacional región comuna licencia de conducir clase evolución profesional no profesional especial A1 A2 A3 A4 A5 B C D E F"/>
    <x v="919"/>
    <s v="300-C"/>
    <s v="#1774B9"/>
    <s v="990-1294"/>
    <n v="99100000"/>
    <s v="T-1049"/>
    <s v="C-1017"/>
    <s v="FI-995"/>
    <s v="M-1114"/>
  </r>
  <r>
    <x v="1294"/>
    <n v="990"/>
    <x v="0"/>
    <x v="13"/>
    <n v="1"/>
    <x v="63"/>
    <x v="20"/>
    <x v="1"/>
    <x v="1"/>
    <s v="Región"/>
    <s v="Cantidad de Licencias de Conducir por clase"/>
    <s v="Periodo 2011-2017"/>
    <s v="Número de Licencias de Conducir"/>
    <s v="Instituto Nacional de Estadísticas (INE)"/>
    <x v="1294"/>
    <m/>
    <s v="Gráfico de Evolución"/>
    <s v="Región de Tarapacá regional comuna licencia de conducir clase evolución profesional no profesional especial A1 A2 A3 A4 A5 B C D E F"/>
    <x v="920"/>
    <s v="100-C-1"/>
    <s v="#1774B9"/>
    <s v="990-1295"/>
    <n v="99200001"/>
    <s v="T-1049"/>
    <s v="C-1017"/>
    <s v="FI-992"/>
    <s v="M-1114"/>
  </r>
  <r>
    <x v="1295"/>
    <n v="990"/>
    <x v="0"/>
    <x v="13"/>
    <n v="2"/>
    <x v="63"/>
    <x v="20"/>
    <x v="1"/>
    <x v="2"/>
    <s v="Región"/>
    <s v="Cantidad de Licencias de Conducir por clase"/>
    <s v="Periodo 2011-2017"/>
    <s v="Número de Licencias de Conducir"/>
    <s v="Instituto Nacional de Estadísticas (INE)"/>
    <x v="1295"/>
    <m/>
    <s v="Gráfico de Evolución"/>
    <s v="Región de Antofagasta regional comuna licencia de conducir clase evolución profesional no profesional especial A1 A2 A3 A4 A5 B C D E F"/>
    <x v="921"/>
    <s v="100-C-2"/>
    <s v="#1774B9"/>
    <s v="990-1296"/>
    <n v="99200002"/>
    <s v="T-1049"/>
    <s v="C-1017"/>
    <s v="FI-992"/>
    <s v="M-1114"/>
  </r>
  <r>
    <x v="1296"/>
    <n v="990"/>
    <x v="0"/>
    <x v="13"/>
    <n v="3"/>
    <x v="63"/>
    <x v="20"/>
    <x v="1"/>
    <x v="3"/>
    <s v="Región"/>
    <s v="Cantidad de Licencias de Conducir por clase"/>
    <s v="Periodo 2011-2017"/>
    <s v="Número de Licencias de Conducir"/>
    <s v="Instituto Nacional de Estadísticas (INE)"/>
    <x v="1296"/>
    <m/>
    <s v="Gráfico de Evolución"/>
    <s v="Región de Atacama regional comuna licencia de conducir clase evolución profesional no profesional especial A1 A2 A3 A4 A5 B C D E F"/>
    <x v="922"/>
    <s v="100-C-3"/>
    <s v="#1774B9"/>
    <s v="990-1297"/>
    <n v="99200003"/>
    <s v="T-1049"/>
    <s v="C-1017"/>
    <s v="FI-992"/>
    <s v="M-1114"/>
  </r>
  <r>
    <x v="1297"/>
    <n v="990"/>
    <x v="0"/>
    <x v="13"/>
    <n v="4"/>
    <x v="63"/>
    <x v="20"/>
    <x v="1"/>
    <x v="4"/>
    <s v="Región"/>
    <s v="Cantidad de Licencias de Conducir por clase"/>
    <s v="Periodo 2011-2017"/>
    <s v="Número de Licencias de Conducir"/>
    <s v="Instituto Nacional de Estadísticas (INE)"/>
    <x v="1297"/>
    <s v="Para la comuna de Vicuña, en la región de Coquimbo, la clase que cuenta con mayor cantidad de licencias de conducir otorgadas es la clase B definida como &quot;Autorización para que personas de 18 años o más puedan conducir vehículos motorizados de tres o cuatro ruedas, para el transporte: Particular de personas: con capacidad de hasta nueve asientos, sin incluir el del conductor. De carga: con un peso vehicular máximo permitido de 3.500 kilogramos.&quot; con 2.194 licencias para el año 2017"/>
    <s v="Gráfico de Evolución"/>
    <s v="Región de Coquimbo regional comuna licencia de conducir clase evolución profesional no profesional especial A1 A2 A3 A4 A5 B C D E F"/>
    <x v="923"/>
    <s v="100-C-4"/>
    <s v="#1774B9"/>
    <s v="990-1298"/>
    <n v="99200004"/>
    <s v="T-1049"/>
    <s v="C-1017"/>
    <s v="FI-992"/>
    <s v="M-1114"/>
  </r>
  <r>
    <x v="1298"/>
    <n v="990"/>
    <x v="0"/>
    <x v="13"/>
    <n v="5"/>
    <x v="63"/>
    <x v="20"/>
    <x v="1"/>
    <x v="5"/>
    <s v="Región"/>
    <s v="Cantidad de Licencias de Conducir por clase"/>
    <s v="Periodo 2011-2017"/>
    <s v="Número de Licencias de Conducir"/>
    <s v="Instituto Nacional de Estadísticas (INE)"/>
    <x v="1298"/>
    <m/>
    <s v="Gráfico de Evolución"/>
    <s v="Región de Valparaíso regional comuna licencia de conducir clase evolución profesional no profesional especial A1 A2 A3 A4 A5 B C D E F"/>
    <x v="924"/>
    <s v="100-C-5"/>
    <s v="#1774B9"/>
    <s v="990-1299"/>
    <n v="99200005"/>
    <s v="T-1049"/>
    <s v="C-1017"/>
    <s v="FI-992"/>
    <s v="M-1114"/>
  </r>
  <r>
    <x v="1299"/>
    <n v="990"/>
    <x v="0"/>
    <x v="13"/>
    <n v="6"/>
    <x v="63"/>
    <x v="20"/>
    <x v="1"/>
    <x v="6"/>
    <s v="Región"/>
    <s v="Cantidad de Licencias de Conducir por clase"/>
    <s v="Periodo 2011-2017"/>
    <s v="Número de Licencias de Conducir"/>
    <s v="Instituto Nacional de Estadísticas (INE)"/>
    <x v="1299"/>
    <m/>
    <s v="Gráfico de Evolución"/>
    <s v="Región de O'Higgins regional comuna licencia de conducir clase evolución profesional no profesional especial A1 A2 A3 A4 A5 B C D E F"/>
    <x v="925"/>
    <s v="100-C-6"/>
    <s v="#1774B9"/>
    <s v="990-1300"/>
    <n v="99200006"/>
    <s v="T-1049"/>
    <s v="C-1017"/>
    <s v="FI-992"/>
    <s v="M-1114"/>
  </r>
  <r>
    <x v="1300"/>
    <n v="990"/>
    <x v="0"/>
    <x v="13"/>
    <n v="7"/>
    <x v="63"/>
    <x v="20"/>
    <x v="1"/>
    <x v="7"/>
    <s v="Región"/>
    <s v="Cantidad de Licencias de Conducir por clase"/>
    <s v="Periodo 2011-2017"/>
    <s v="Número de Licencias de Conducir"/>
    <s v="Instituto Nacional de Estadísticas (INE)"/>
    <x v="1300"/>
    <m/>
    <s v="Gráfico de Evolución"/>
    <s v="Región de Maule regional comuna licencia de conducir clase evolución profesional no profesional especial A1 A2 A3 A4 A5 B C D E F"/>
    <x v="926"/>
    <s v="100-C-7"/>
    <s v="#1774B9"/>
    <s v="990-1301"/>
    <n v="99200007"/>
    <s v="T-1049"/>
    <s v="C-1017"/>
    <s v="FI-992"/>
    <s v="M-1114"/>
  </r>
  <r>
    <x v="1301"/>
    <n v="990"/>
    <x v="0"/>
    <x v="13"/>
    <n v="8"/>
    <x v="63"/>
    <x v="20"/>
    <x v="1"/>
    <x v="8"/>
    <s v="Región"/>
    <s v="Cantidad de Licencias de Conducir por clase"/>
    <s v="Periodo 2011-2017"/>
    <s v="Número de Licencias de Conducir"/>
    <s v="Instituto Nacional de Estadísticas (INE)"/>
    <x v="1301"/>
    <m/>
    <s v="Gráfico de Evolución"/>
    <s v="Región del Biobío regional comuna licencia de conducir clase evolución profesional no profesional especial A1 A2 A3 A4 A5 B C D E F"/>
    <x v="927"/>
    <s v="100-C-8"/>
    <s v="#1774B9"/>
    <s v="990-1302"/>
    <n v="99200008"/>
    <s v="T-1049"/>
    <s v="C-1017"/>
    <s v="FI-992"/>
    <s v="M-1114"/>
  </r>
  <r>
    <x v="1302"/>
    <n v="990"/>
    <x v="0"/>
    <x v="13"/>
    <n v="9"/>
    <x v="63"/>
    <x v="20"/>
    <x v="1"/>
    <x v="9"/>
    <s v="Región"/>
    <s v="Cantidad de Licencias de Conducir por clase"/>
    <s v="Periodo 2011-2017"/>
    <s v="Número de Licencias de Conducir"/>
    <s v="Instituto Nacional de Estadísticas (INE)"/>
    <x v="1302"/>
    <m/>
    <s v="Gráfico de Evolución"/>
    <s v="Región de La Araucanía regional comuna licencia de conducir clase evolución profesional no profesional especial A1 A2 A3 A4 A5 B C D E F"/>
    <x v="928"/>
    <s v="100-C-9"/>
    <s v="#1774B9"/>
    <s v="990-1303"/>
    <n v="99200009"/>
    <s v="T-1049"/>
    <s v="C-1017"/>
    <s v="FI-992"/>
    <s v="M-1114"/>
  </r>
  <r>
    <x v="1303"/>
    <n v="990"/>
    <x v="0"/>
    <x v="13"/>
    <n v="10"/>
    <x v="63"/>
    <x v="20"/>
    <x v="1"/>
    <x v="10"/>
    <s v="Región"/>
    <s v="Cantidad de Licencias de Conducir por clase"/>
    <s v="Periodo 2011-2017"/>
    <s v="Número de Licencias de Conducir"/>
    <s v="Instituto Nacional de Estadísticas (INE)"/>
    <x v="1303"/>
    <m/>
    <s v="Gráfico de Evolución"/>
    <s v="Región de Los Lagos regional comuna licencia de conducir clase evolución profesional no profesional especial A1 A2 A3 A4 A5 B C D E F"/>
    <x v="929"/>
    <s v="100-C-10"/>
    <s v="#1774B9"/>
    <s v="990-1304"/>
    <n v="99200010"/>
    <s v="T-1049"/>
    <s v="C-1017"/>
    <s v="FI-992"/>
    <s v="M-1114"/>
  </r>
  <r>
    <x v="1304"/>
    <n v="990"/>
    <x v="0"/>
    <x v="13"/>
    <n v="11"/>
    <x v="63"/>
    <x v="20"/>
    <x v="1"/>
    <x v="11"/>
    <s v="Región"/>
    <s v="Cantidad de Licencias de Conducir por clase"/>
    <s v="Periodo 2011-2017"/>
    <s v="Número de Licencias de Conducir"/>
    <s v="Instituto Nacional de Estadísticas (INE)"/>
    <x v="1304"/>
    <m/>
    <s v="Gráfico de Evolución"/>
    <s v="Región de Aysén regional comuna licencia de conducir clase evolución profesional no profesional especial A1 A2 A3 A4 A5 B C D E F"/>
    <x v="930"/>
    <s v="100-C-11"/>
    <s v="#1774B9"/>
    <s v="990-1305"/>
    <n v="99200011"/>
    <s v="T-1049"/>
    <s v="C-1017"/>
    <s v="FI-992"/>
    <s v="M-1114"/>
  </r>
  <r>
    <x v="1305"/>
    <n v="990"/>
    <x v="0"/>
    <x v="13"/>
    <n v="12"/>
    <x v="63"/>
    <x v="20"/>
    <x v="1"/>
    <x v="12"/>
    <s v="Región"/>
    <s v="Cantidad de Licencias de Conducir por clase"/>
    <s v="Periodo 2011-2017"/>
    <s v="Número de Licencias de Conducir"/>
    <s v="Instituto Nacional de Estadísticas (INE)"/>
    <x v="1305"/>
    <m/>
    <s v="Gráfico de Evolución"/>
    <s v="Región de Magallanes regional comuna licencia de conducir clase evolución profesional no profesional especial A1 A2 A3 A4 A5 B C D E F"/>
    <x v="931"/>
    <s v="100-C-12"/>
    <s v="#1774B9"/>
    <s v="990-1306"/>
    <n v="99200012"/>
    <s v="T-1049"/>
    <s v="C-1017"/>
    <s v="FI-992"/>
    <s v="M-1114"/>
  </r>
  <r>
    <x v="1306"/>
    <n v="990"/>
    <x v="0"/>
    <x v="13"/>
    <n v="13"/>
    <x v="63"/>
    <x v="20"/>
    <x v="1"/>
    <x v="13"/>
    <s v="Región"/>
    <s v="Cantidad de Licencias de Conducir por clase"/>
    <s v="Periodo 2011-2017"/>
    <s v="Número de Licencias de Conducir"/>
    <s v="Instituto Nacional de Estadísticas (INE)"/>
    <x v="1306"/>
    <m/>
    <s v="Gráfico de Evolución"/>
    <s v="Región Metropolitana regional comuna licencia de conducir clase evolución profesional no profesional especial A1 A2 A3 A4 A5 B C D E F"/>
    <x v="932"/>
    <s v="200-C-13"/>
    <s v="#1774B9"/>
    <s v="990-1307"/>
    <n v="99200013"/>
    <s v="T-1049"/>
    <s v="C-1017"/>
    <s v="FI-992"/>
    <s v="M-1114"/>
  </r>
  <r>
    <x v="1307"/>
    <n v="990"/>
    <x v="0"/>
    <x v="13"/>
    <n v="14"/>
    <x v="63"/>
    <x v="20"/>
    <x v="1"/>
    <x v="14"/>
    <s v="Región"/>
    <s v="Cantidad de Licencias de Conducir por clase"/>
    <s v="Periodo 2011-2017"/>
    <s v="Número de Licencias de Conducir"/>
    <s v="Instituto Nacional de Estadísticas (INE)"/>
    <x v="1307"/>
    <m/>
    <s v="Gráfico de Evolución"/>
    <s v="Región de Los Ríos regional comuna licencia de conducir clase evolución profesional no profesional especial A1 A2 A3 A4 A5 B C D E F"/>
    <x v="933"/>
    <s v="100-C-14"/>
    <s v="#1774B9"/>
    <s v="990-1308"/>
    <n v="99200014"/>
    <s v="T-1049"/>
    <s v="C-1017"/>
    <s v="FI-992"/>
    <s v="M-1114"/>
  </r>
  <r>
    <x v="1308"/>
    <n v="990"/>
    <x v="0"/>
    <x v="13"/>
    <n v="15"/>
    <x v="63"/>
    <x v="20"/>
    <x v="1"/>
    <x v="15"/>
    <s v="Región"/>
    <s v="Cantidad de Licencias de Conducir por clase"/>
    <s v="Periodo 2011-2017"/>
    <s v="Número de Licencias de Conducir"/>
    <s v="Instituto Nacional de Estadísticas (INE)"/>
    <x v="1308"/>
    <m/>
    <s v="Gráfico de Evolución"/>
    <s v="Región de Arica y Parinacota regional comuna licencia de conducir clase evolución profesional no profesional especial A1 A2 A3 A4 A5 B C D E F"/>
    <x v="934"/>
    <s v="100-C-15"/>
    <s v="#1774B9"/>
    <s v="990-1309"/>
    <n v="99200015"/>
    <s v="T-1049"/>
    <s v="C-1017"/>
    <s v="FI-992"/>
    <s v="M-1114"/>
  </r>
  <r>
    <x v="1309"/>
    <n v="990"/>
    <x v="0"/>
    <x v="13"/>
    <n v="16"/>
    <x v="63"/>
    <x v="20"/>
    <x v="1"/>
    <x v="16"/>
    <s v="Región"/>
    <s v="Cantidad de Licencias de Conducir por clase"/>
    <s v="Periodo 2011-2017"/>
    <s v="Número de Licencias de Conducir"/>
    <s v="Instituto Nacional de Estadísticas (INE)"/>
    <x v="1309"/>
    <m/>
    <s v="Gráfico de Evolución"/>
    <s v="Región de Ñuble regional comuna licencia de conducir clase evolución profesional no profesional especial A1 A2 A3 A4 A5 B C D E F"/>
    <x v="935"/>
    <s v="100-C-16"/>
    <s v="#1774B9"/>
    <s v="990-1310"/>
    <n v="99200016"/>
    <s v="T-1049"/>
    <s v="C-1017"/>
    <s v="FI-992"/>
    <s v="M-1114"/>
  </r>
  <r>
    <x v="1310"/>
    <n v="990"/>
    <x v="0"/>
    <x v="11"/>
    <n v="0"/>
    <x v="22"/>
    <x v="12"/>
    <x v="0"/>
    <x v="0"/>
    <s v="Ninguno"/>
    <s v="Capacidad instalada de generación por Tipo de Energía"/>
    <s v="Año 2021"/>
    <s v="MW"/>
    <s v="Comisión Nacional de Energía (CNE)"/>
    <x v="1310"/>
    <s v="En Chile, las centrales eléctricas con mayor capacidad instalada (sobre 1.200 MW) son principalmente hidráulicas de embalse (en las regiones del Maule y Biobío), a carbón (en la Región de Antofagasta) y a gas natural (en las regiones de Antofagasta y Valparaíso). Las que lideran esta lista son las centrales a carbón en Antofagasta con 2.303 MW de capacidad instalada."/>
    <s v="Gráfico"/>
    <s v="Chile nacional región capacidad instalada potencia neta mw ernc tipo energía gas natural solar geotérmica mini hidráulica pasada petróleo diesel biogas"/>
    <x v="936"/>
    <s v="300-R"/>
    <s v="#1774B9"/>
    <s v="990-1311"/>
    <n v="99100000"/>
    <s v="T-1041"/>
    <s v="C-1000"/>
    <s v="FI-993"/>
    <s v="M-1096"/>
  </r>
  <r>
    <x v="1311"/>
    <n v="990"/>
    <x v="0"/>
    <x v="11"/>
    <n v="1"/>
    <x v="22"/>
    <x v="12"/>
    <x v="1"/>
    <x v="1"/>
    <s v="Ninguno"/>
    <s v="Capacidad instalada de generación por Tipo de Energía"/>
    <s v="Año 2021"/>
    <s v="MW"/>
    <s v="Comisión Nacional de Energía (CNE)"/>
    <x v="1311"/>
    <m/>
    <s v="Gráfico"/>
    <s v="Región de Tarapacá regional capacidad instalada potencia neta mw ernc tipo energía gas natural solar geotérmica mini hidráulica pasada petróleo diesel biogas"/>
    <x v="937"/>
    <s v="100-R-1"/>
    <s v="#1774B9"/>
    <s v="990-1312"/>
    <n v="99200001"/>
    <s v="T-1041"/>
    <s v="C-1000"/>
    <s v="FI-993"/>
    <s v="M-1096"/>
  </r>
  <r>
    <x v="1312"/>
    <n v="990"/>
    <x v="0"/>
    <x v="11"/>
    <n v="2"/>
    <x v="22"/>
    <x v="12"/>
    <x v="1"/>
    <x v="2"/>
    <s v="Ninguno"/>
    <s v="Capacidad instalada de generación por Tipo de Energía"/>
    <s v="Año 2021"/>
    <s v="MW"/>
    <s v="Comisión Nacional de Energía (CNE)"/>
    <x v="1312"/>
    <m/>
    <s v="Gráfico"/>
    <s v="Región de Antofagasta regional capacidad instalada potencia neta mw ernc tipo energía gas natural solar geotérmica mini hidráulica pasada petróleo diesel biogas"/>
    <x v="938"/>
    <s v="100-R-2"/>
    <s v="#1774B9"/>
    <s v="990-1313"/>
    <n v="99200002"/>
    <s v="T-1041"/>
    <s v="C-1000"/>
    <s v="FI-993"/>
    <s v="M-1096"/>
  </r>
  <r>
    <x v="1313"/>
    <n v="990"/>
    <x v="0"/>
    <x v="11"/>
    <n v="3"/>
    <x v="22"/>
    <x v="12"/>
    <x v="1"/>
    <x v="3"/>
    <s v="Ninguno"/>
    <s v="Capacidad instalada de generación por Tipo de Energía"/>
    <s v="Año 2021"/>
    <s v="MW"/>
    <s v="Comisión Nacional de Energía (CNE)"/>
    <x v="1313"/>
    <m/>
    <s v="Gráfico"/>
    <s v="Región de Atacama regional capacidad instalada potencia neta mw ernc tipo energía gas natural solar geotérmica mini hidráulica pasada petróleo diesel biogas"/>
    <x v="939"/>
    <s v="100-R-3"/>
    <s v="#1774B9"/>
    <s v="990-1314"/>
    <n v="99200003"/>
    <s v="T-1041"/>
    <s v="C-1000"/>
    <s v="FI-993"/>
    <s v="M-1096"/>
  </r>
  <r>
    <x v="1314"/>
    <n v="990"/>
    <x v="0"/>
    <x v="11"/>
    <n v="4"/>
    <x v="22"/>
    <x v="12"/>
    <x v="1"/>
    <x v="4"/>
    <s v="Ninguno"/>
    <s v="Capacidad instalada de generación por Tipo de Energía"/>
    <s v="Año 2021"/>
    <s v="MW"/>
    <s v="Comisión Nacional de Energía (CNE)"/>
    <x v="1314"/>
    <m/>
    <s v="Gráfico"/>
    <s v="Región de Coquimbo regional capacidad instalada potencia neta mw ernc tipo energía gas natural solar geotérmica mini hidráulica pasada petróleo diesel biogas"/>
    <x v="940"/>
    <s v="100-R-4"/>
    <s v="#1774B9"/>
    <s v="990-1315"/>
    <n v="99200004"/>
    <s v="T-1041"/>
    <s v="C-1000"/>
    <s v="FI-993"/>
    <s v="M-1096"/>
  </r>
  <r>
    <x v="1315"/>
    <n v="990"/>
    <x v="0"/>
    <x v="11"/>
    <n v="5"/>
    <x v="22"/>
    <x v="12"/>
    <x v="1"/>
    <x v="5"/>
    <s v="Ninguno"/>
    <s v="Capacidad instalada de generación por Tipo de Energía"/>
    <s v="Año 2021"/>
    <s v="MW"/>
    <s v="Comisión Nacional de Energía (CNE)"/>
    <x v="1315"/>
    <m/>
    <s v="Gráfico"/>
    <s v="Región de Valparaíso regional capacidad instalada potencia neta mw ernc tipo energía gas natural solar geotérmica mini hidráulica pasada petróleo diesel biogas"/>
    <x v="941"/>
    <s v="100-R-5"/>
    <s v="#1774B9"/>
    <s v="990-1316"/>
    <n v="99200005"/>
    <s v="T-1041"/>
    <s v="C-1000"/>
    <s v="FI-993"/>
    <s v="M-1096"/>
  </r>
  <r>
    <x v="1316"/>
    <n v="990"/>
    <x v="0"/>
    <x v="11"/>
    <n v="6"/>
    <x v="22"/>
    <x v="12"/>
    <x v="1"/>
    <x v="6"/>
    <s v="Ninguno"/>
    <s v="Capacidad instalada de generación por Tipo de Energía"/>
    <s v="Año 2021"/>
    <s v="MW"/>
    <s v="Comisión Nacional de Energía (CNE)"/>
    <x v="1316"/>
    <m/>
    <s v="Gráfico"/>
    <s v="Región de O'Higgins regional capacidad instalada potencia neta mw ernc tipo energía gas natural solar geotérmica mini hidráulica pasada petróleo diesel biogas"/>
    <x v="942"/>
    <s v="100-R-6"/>
    <s v="#1774B9"/>
    <s v="990-1317"/>
    <n v="99200006"/>
    <s v="T-1041"/>
    <s v="C-1000"/>
    <s v="FI-993"/>
    <s v="M-1096"/>
  </r>
  <r>
    <x v="1317"/>
    <n v="990"/>
    <x v="0"/>
    <x v="11"/>
    <n v="7"/>
    <x v="22"/>
    <x v="12"/>
    <x v="1"/>
    <x v="7"/>
    <s v="Ninguno"/>
    <s v="Capacidad instalada de generación por Tipo de Energía"/>
    <s v="Año 2021"/>
    <s v="MW"/>
    <s v="Comisión Nacional de Energía (CNE)"/>
    <x v="1317"/>
    <m/>
    <s v="Gráfico"/>
    <s v="Región de Maule regional capacidad instalada potencia neta mw ernc tipo energía gas natural solar geotérmica mini hidráulica pasada petróleo diesel biogas"/>
    <x v="943"/>
    <s v="100-R-7"/>
    <s v="#1774B9"/>
    <s v="990-1318"/>
    <n v="99200007"/>
    <s v="T-1041"/>
    <s v="C-1000"/>
    <s v="FI-993"/>
    <s v="M-1096"/>
  </r>
  <r>
    <x v="1318"/>
    <n v="990"/>
    <x v="0"/>
    <x v="11"/>
    <n v="8"/>
    <x v="22"/>
    <x v="12"/>
    <x v="1"/>
    <x v="8"/>
    <s v="Ninguno"/>
    <s v="Capacidad instalada de generación por Tipo de Energía"/>
    <s v="Año 2021"/>
    <s v="MW"/>
    <s v="Comisión Nacional de Energía (CNE)"/>
    <x v="1318"/>
    <m/>
    <s v="Gráfico"/>
    <s v="Región del Biobío regional capacidad instalada potencia neta mw ernc tipo energía gas natural solar geotérmica mini hidráulica pasada petróleo diesel biogas"/>
    <x v="944"/>
    <s v="100-R-8"/>
    <s v="#1774B9"/>
    <s v="990-1319"/>
    <n v="99200008"/>
    <s v="T-1041"/>
    <s v="C-1000"/>
    <s v="FI-993"/>
    <s v="M-1096"/>
  </r>
  <r>
    <x v="1319"/>
    <n v="990"/>
    <x v="0"/>
    <x v="11"/>
    <n v="9"/>
    <x v="22"/>
    <x v="12"/>
    <x v="1"/>
    <x v="9"/>
    <s v="Ninguno"/>
    <s v="Capacidad instalada de generación por Tipo de Energía"/>
    <s v="Año 2021"/>
    <s v="MW"/>
    <s v="Comisión Nacional de Energía (CNE)"/>
    <x v="1319"/>
    <m/>
    <s v="Gráfico"/>
    <s v="Región de La Araucanía regional capacidad instalada potencia neta mw ernc tipo energía gas natural solar geotérmica mini hidráulica pasada petróleo diesel biogas"/>
    <x v="945"/>
    <s v="100-R-9"/>
    <s v="#1774B9"/>
    <s v="990-1320"/>
    <n v="99200009"/>
    <s v="T-1041"/>
    <s v="C-1000"/>
    <s v="FI-993"/>
    <s v="M-1096"/>
  </r>
  <r>
    <x v="1320"/>
    <n v="990"/>
    <x v="0"/>
    <x v="11"/>
    <n v="10"/>
    <x v="22"/>
    <x v="12"/>
    <x v="1"/>
    <x v="10"/>
    <s v="Ninguno"/>
    <s v="Capacidad instalada de generación por Tipo de Energía"/>
    <s v="Año 2021"/>
    <s v="MW"/>
    <s v="Comisión Nacional de Energía (CNE)"/>
    <x v="1320"/>
    <m/>
    <s v="Gráfico"/>
    <s v="Región de Los Lagos regional capacidad instalada potencia neta mw ernc tipo energía gas natural solar geotérmica mini hidráulica pasada petróleo diesel biogas"/>
    <x v="946"/>
    <s v="100-R-10"/>
    <s v="#1774B9"/>
    <s v="990-1321"/>
    <n v="99200010"/>
    <s v="T-1041"/>
    <s v="C-1000"/>
    <s v="FI-993"/>
    <s v="M-1096"/>
  </r>
  <r>
    <x v="1321"/>
    <n v="990"/>
    <x v="0"/>
    <x v="11"/>
    <n v="11"/>
    <x v="22"/>
    <x v="12"/>
    <x v="1"/>
    <x v="11"/>
    <s v="Ninguno"/>
    <s v="Capacidad instalada de generación por Tipo de Energía"/>
    <s v="Año 2021"/>
    <s v="MW"/>
    <s v="Comisión Nacional de Energía (CNE)"/>
    <x v="1321"/>
    <m/>
    <s v="Gráfico"/>
    <s v="Región de Aysén regional capacidad instalada potencia neta mw ernc tipo energía gas natural solar geotérmica mini hidráulica pasada petróleo diesel biogas"/>
    <x v="947"/>
    <s v="100-R-11"/>
    <s v="#1774B9"/>
    <s v="990-1322"/>
    <n v="99200011"/>
    <s v="T-1041"/>
    <s v="C-1000"/>
    <s v="FI-993"/>
    <s v="M-1096"/>
  </r>
  <r>
    <x v="1322"/>
    <n v="990"/>
    <x v="0"/>
    <x v="11"/>
    <n v="12"/>
    <x v="22"/>
    <x v="12"/>
    <x v="1"/>
    <x v="12"/>
    <s v="Ninguno"/>
    <s v="Capacidad instalada de generación por Tipo de Energía"/>
    <s v="Año 2021"/>
    <s v="MW"/>
    <s v="Comisión Nacional de Energía (CNE)"/>
    <x v="1322"/>
    <m/>
    <s v="Gráfico"/>
    <s v="Región de Magallanes regional capacidad instalada potencia neta mw ernc tipo energía gas natural solar geotérmica mini hidráulica pasada petróleo diesel biogas"/>
    <x v="948"/>
    <s v="100-R-12"/>
    <s v="#1774B9"/>
    <s v="990-1323"/>
    <n v="99200012"/>
    <s v="T-1041"/>
    <s v="C-1000"/>
    <s v="FI-993"/>
    <s v="M-1096"/>
  </r>
  <r>
    <x v="1323"/>
    <n v="990"/>
    <x v="0"/>
    <x v="11"/>
    <n v="13"/>
    <x v="22"/>
    <x v="12"/>
    <x v="1"/>
    <x v="13"/>
    <s v="Ninguno"/>
    <s v="Capacidad instalada de generación por Tipo de Energía"/>
    <s v="Año 2021"/>
    <s v="MW"/>
    <s v="Comisión Nacional de Energía (CNE)"/>
    <x v="1323"/>
    <m/>
    <s v="Gráfico"/>
    <s v="Región Metropolitana regional capacidad instalada potencia neta mw ernc tipo energía gas natural solar geotérmica mini hidráulica pasada petróleo diesel biogas"/>
    <x v="949"/>
    <s v="200-R-13"/>
    <s v="#1774B9"/>
    <s v="990-1324"/>
    <n v="99200013"/>
    <s v="T-1041"/>
    <s v="C-1000"/>
    <s v="FI-993"/>
    <s v="M-1096"/>
  </r>
  <r>
    <x v="1324"/>
    <n v="990"/>
    <x v="0"/>
    <x v="11"/>
    <n v="14"/>
    <x v="22"/>
    <x v="12"/>
    <x v="1"/>
    <x v="14"/>
    <s v="Ninguno"/>
    <s v="Capacidad instalada de generación por Tipo de Energía"/>
    <s v="Año 2021"/>
    <s v="MW"/>
    <s v="Comisión Nacional de Energía (CNE)"/>
    <x v="1324"/>
    <m/>
    <s v="Gráfico"/>
    <s v="Región de Los Ríos regional capacidad instalada potencia neta mw ernc tipo energía gas natural solar geotérmica mini hidráulica pasada petróleo diesel biogas"/>
    <x v="950"/>
    <s v="100-R-14"/>
    <s v="#1774B9"/>
    <s v="990-1325"/>
    <n v="99200014"/>
    <s v="T-1041"/>
    <s v="C-1000"/>
    <s v="FI-993"/>
    <s v="M-1096"/>
  </r>
  <r>
    <x v="1325"/>
    <n v="990"/>
    <x v="0"/>
    <x v="11"/>
    <n v="15"/>
    <x v="22"/>
    <x v="12"/>
    <x v="1"/>
    <x v="15"/>
    <s v="Ninguno"/>
    <s v="Capacidad instalada de generación por Tipo de Energía"/>
    <s v="Año 2021"/>
    <s v="MW"/>
    <s v="Comisión Nacional de Energía (CNE)"/>
    <x v="1325"/>
    <m/>
    <s v="Gráfico"/>
    <s v="Región de Arica y Parinacota regional capacidad instalada potencia neta mw ernc tipo energía gas natural solar geotérmica mini hidráulica pasada petróleo diesel biogas"/>
    <x v="951"/>
    <s v="100-R-15"/>
    <s v="#1774B9"/>
    <s v="990-1326"/>
    <n v="99200015"/>
    <s v="T-1041"/>
    <s v="C-1000"/>
    <s v="FI-993"/>
    <s v="M-1096"/>
  </r>
  <r>
    <x v="1326"/>
    <n v="990"/>
    <x v="0"/>
    <x v="11"/>
    <n v="16"/>
    <x v="22"/>
    <x v="12"/>
    <x v="1"/>
    <x v="16"/>
    <s v="Ninguno"/>
    <s v="Capacidad instalada de generación por Tipo de Energía"/>
    <s v="Año 2021"/>
    <s v="MW"/>
    <s v="Comisión Nacional de Energía (CNE)"/>
    <x v="1326"/>
    <m/>
    <s v="Gráfico"/>
    <s v="Región de Ñuble regional capacidad instalada potencia neta mw ernc tipo energía gas natural solar geotérmica mini hidráulica pasada petróleo diesel biogas"/>
    <x v="952"/>
    <s v="100-R-16"/>
    <s v="#1774B9"/>
    <s v="990-1327"/>
    <n v="99200016"/>
    <s v="T-1041"/>
    <s v="C-1000"/>
    <s v="FI-993"/>
    <s v="M-1096"/>
  </r>
  <r>
    <x v="1327"/>
    <n v="990"/>
    <x v="0"/>
    <x v="11"/>
    <n v="0"/>
    <x v="64"/>
    <x v="12"/>
    <x v="0"/>
    <x v="0"/>
    <s v="Ninguno"/>
    <s v="Top 10 Propietarios con mayor capacidad instalada"/>
    <s v="Año 2021"/>
    <s v="MW"/>
    <s v="Comisión Nacional de Energía (CNE)"/>
    <x v="1327"/>
    <s v="En Chile, ENEL GENERACIÓN CHILE es la empresa que tiene la mayor capacidad instalada, con 5.176 (MW). Le siguen COLBÚN y ENGIE, con 3.092 y 1.606 (MW), respectivamente."/>
    <s v="Ranking"/>
    <s v="Chile nacional centrales energía capacidad instalada dueños propietarios mayor"/>
    <x v="953"/>
    <n v="0"/>
    <s v="#1774B9"/>
    <s v="990-1328"/>
    <n v="99100000"/>
    <s v="T-1057"/>
    <s v="C-1000"/>
    <s v="FI-993"/>
    <s v="M-1097"/>
  </r>
  <r>
    <x v="1328"/>
    <n v="990"/>
    <x v="0"/>
    <x v="11"/>
    <n v="0"/>
    <x v="65"/>
    <x v="12"/>
    <x v="0"/>
    <x v="0"/>
    <s v="Ninguno"/>
    <s v="Cantidad de Centrales de Energía Renovable No Convencional por Comuna"/>
    <s v="Año 2021"/>
    <s v="Número de Centrales"/>
    <s v="Comisión Nacional de Energía (CNE)"/>
    <x v="1328"/>
    <s v="La región Metropolitana tiene más centrales eléctricas de energía renovable, alcanzando 73. Por otro lado, la región de Los Lagos es la que cuenta con más centrales eléctricas de energía no renovable, con 43."/>
    <s v="Gráfico"/>
    <s v="Chile nacional región centrales energía renovable no comparación"/>
    <x v="954"/>
    <n v="0"/>
    <s v="#1774B9"/>
    <s v="990-1329"/>
    <n v="99100000"/>
    <s v="T-1058"/>
    <s v="C-1000"/>
    <s v="FI-993"/>
    <s v="M-1098"/>
  </r>
  <r>
    <x v="1329"/>
    <n v="990"/>
    <x v="0"/>
    <x v="11"/>
    <n v="0"/>
    <x v="66"/>
    <x v="12"/>
    <x v="0"/>
    <x v="0"/>
    <s v="Región-Comuna"/>
    <s v="Cantidad de Centrales de Energía Renovable No Convencional por Comuna"/>
    <s v="Año 2021"/>
    <s v="Número de Centrales"/>
    <s v="Comisión Nacional de Energía (CNE)"/>
    <x v="1328"/>
    <s v="Existen 215 comunas que tienen centrales eléctricas de energía renovable no convencional (ERNC). Las comunas que tienen la mayor cantidad de centrales eléctricas ERNC son Ovalle, Mulchén, San Pedro, Río Bueno, Tiltil, Copiapó, Calama y Pozo Almonte, con 16, 11, 11, 10, 9, 8, 8 y 8 centrales, respectivamente."/>
    <s v="Mapa de calor"/>
    <s v="Chile nacional región comuna centrales energía renovable no convencional"/>
    <x v="955"/>
    <s v="300-C"/>
    <s v="#1774B9"/>
    <s v="990-1330"/>
    <n v="99100000"/>
    <s v="T-1050"/>
    <s v="C-1000"/>
    <s v="FI-995"/>
    <s v="M-1098"/>
  </r>
  <r>
    <x v="1330"/>
    <n v="990"/>
    <x v="0"/>
    <x v="11"/>
    <n v="1"/>
    <x v="66"/>
    <x v="12"/>
    <x v="1"/>
    <x v="1"/>
    <s v="Comuna"/>
    <s v="Cantidad de Centrales de Energía Renovable No Convencional por Comuna"/>
    <s v="Año 2021"/>
    <s v="Número de Centrales"/>
    <s v="Comisión Nacional de Energía (CNE)"/>
    <x v="1329"/>
    <m/>
    <s v="Mapa de calor"/>
    <s v="Región de Tarapacá regional comuna centrales energía renovable no convencional"/>
    <x v="956"/>
    <s v="100-C-1"/>
    <s v="#1774B9"/>
    <s v="990-1331"/>
    <n v="99200001"/>
    <s v="T-1050"/>
    <s v="C-1000"/>
    <s v="FI-991"/>
    <s v="M-1098"/>
  </r>
  <r>
    <x v="1331"/>
    <n v="990"/>
    <x v="0"/>
    <x v="11"/>
    <n v="2"/>
    <x v="66"/>
    <x v="12"/>
    <x v="1"/>
    <x v="2"/>
    <s v="Comuna"/>
    <s v="Cantidad de Centrales de Energía Renovable No Convencional por Comuna"/>
    <s v="Año 2021"/>
    <s v="Número de Centrales"/>
    <s v="Comisión Nacional de Energía (CNE)"/>
    <x v="1330"/>
    <m/>
    <s v="Mapa de calor"/>
    <s v="Región de Antofagasta regional comuna centrales energía renovable no convencional"/>
    <x v="957"/>
    <s v="100-C-2"/>
    <s v="#1774B9"/>
    <s v="990-1332"/>
    <n v="99200002"/>
    <s v="T-1050"/>
    <s v="C-1000"/>
    <s v="FI-991"/>
    <s v="M-1098"/>
  </r>
  <r>
    <x v="1332"/>
    <n v="990"/>
    <x v="0"/>
    <x v="11"/>
    <n v="3"/>
    <x v="66"/>
    <x v="12"/>
    <x v="1"/>
    <x v="3"/>
    <s v="Comuna"/>
    <s v="Cantidad de Centrales de Energía Renovable No Convencional por Comuna"/>
    <s v="Año 2021"/>
    <s v="Número de Centrales"/>
    <s v="Comisión Nacional de Energía (CNE)"/>
    <x v="1331"/>
    <m/>
    <s v="Mapa de calor"/>
    <s v="Región de Atacama regional comuna centrales energía renovable no convencional"/>
    <x v="958"/>
    <s v="100-C-3"/>
    <s v="#1774B9"/>
    <s v="990-1333"/>
    <n v="99200003"/>
    <s v="T-1050"/>
    <s v="C-1000"/>
    <s v="FI-991"/>
    <s v="M-1098"/>
  </r>
  <r>
    <x v="1333"/>
    <n v="990"/>
    <x v="0"/>
    <x v="11"/>
    <n v="4"/>
    <x v="66"/>
    <x v="12"/>
    <x v="1"/>
    <x v="4"/>
    <s v="Comuna"/>
    <s v="Cantidad de Centrales de Energía Renovable No Convencional por Comuna"/>
    <s v="Año 2021"/>
    <s v="Número de Centrales"/>
    <s v="Comisión Nacional de Energía (CNE)"/>
    <x v="1332"/>
    <m/>
    <s v="Mapa de calor"/>
    <s v="Región de Coquimbo regional comuna centrales energía renovable no convencional"/>
    <x v="959"/>
    <s v="100-C-4"/>
    <s v="#1774B9"/>
    <s v="990-1334"/>
    <n v="99200004"/>
    <s v="T-1050"/>
    <s v="C-1000"/>
    <s v="FI-991"/>
    <s v="M-1098"/>
  </r>
  <r>
    <x v="1334"/>
    <n v="990"/>
    <x v="0"/>
    <x v="11"/>
    <n v="5"/>
    <x v="66"/>
    <x v="12"/>
    <x v="1"/>
    <x v="5"/>
    <s v="Comuna"/>
    <s v="Cantidad de Centrales de Energía Renovable No Convencional por Comuna"/>
    <s v="Año 2021"/>
    <s v="Número de Centrales"/>
    <s v="Comisión Nacional de Energía (CNE)"/>
    <x v="1333"/>
    <m/>
    <s v="Mapa de calor"/>
    <s v="Región de Valparaíso regional comuna centrales energía renovable no convencional"/>
    <x v="960"/>
    <s v="100-C-5"/>
    <s v="#1774B9"/>
    <s v="990-1335"/>
    <n v="99200005"/>
    <s v="T-1050"/>
    <s v="C-1000"/>
    <s v="FI-991"/>
    <s v="M-1098"/>
  </r>
  <r>
    <x v="1335"/>
    <n v="990"/>
    <x v="0"/>
    <x v="11"/>
    <n v="6"/>
    <x v="66"/>
    <x v="12"/>
    <x v="1"/>
    <x v="6"/>
    <s v="Comuna"/>
    <s v="Cantidad de Centrales de Energía Renovable No Convencional por Comuna"/>
    <s v="Año 2021"/>
    <s v="Número de Centrales"/>
    <s v="Comisión Nacional de Energía (CNE)"/>
    <x v="1334"/>
    <m/>
    <s v="Mapa de calor"/>
    <s v="Región de O'Higgins regional comuna centrales energía renovable no convencional"/>
    <x v="961"/>
    <s v="100-C-6"/>
    <s v="#1774B9"/>
    <s v="990-1336"/>
    <n v="99200006"/>
    <s v="T-1050"/>
    <s v="C-1000"/>
    <s v="FI-991"/>
    <s v="M-1098"/>
  </r>
  <r>
    <x v="1336"/>
    <n v="990"/>
    <x v="0"/>
    <x v="11"/>
    <n v="7"/>
    <x v="66"/>
    <x v="12"/>
    <x v="1"/>
    <x v="7"/>
    <s v="Comuna"/>
    <s v="Cantidad de Centrales de Energía Renovable No Convencional por Comuna"/>
    <s v="Año 2021"/>
    <s v="Número de Centrales"/>
    <s v="Comisión Nacional de Energía (CNE)"/>
    <x v="1335"/>
    <m/>
    <s v="Mapa de calor"/>
    <s v="Región de Maule regional comuna centrales energía renovable no convencional"/>
    <x v="962"/>
    <s v="100-C-7"/>
    <s v="#1774B9"/>
    <s v="990-1337"/>
    <n v="99200007"/>
    <s v="T-1050"/>
    <s v="C-1000"/>
    <s v="FI-991"/>
    <s v="M-1098"/>
  </r>
  <r>
    <x v="1337"/>
    <n v="990"/>
    <x v="0"/>
    <x v="11"/>
    <n v="8"/>
    <x v="66"/>
    <x v="12"/>
    <x v="1"/>
    <x v="8"/>
    <s v="Comuna"/>
    <s v="Cantidad de Centrales de Energía Renovable No Convencional por Comuna"/>
    <s v="Año 2021"/>
    <s v="Número de Centrales"/>
    <s v="Comisión Nacional de Energía (CNE)"/>
    <x v="1336"/>
    <m/>
    <s v="Mapa de calor"/>
    <s v="Región del Biobío regional comuna centrales energía renovable no convencional"/>
    <x v="963"/>
    <s v="100-C-8"/>
    <s v="#1774B9"/>
    <s v="990-1338"/>
    <n v="99200008"/>
    <s v="T-1050"/>
    <s v="C-1000"/>
    <s v="FI-991"/>
    <s v="M-1098"/>
  </r>
  <r>
    <x v="1338"/>
    <n v="990"/>
    <x v="0"/>
    <x v="11"/>
    <n v="9"/>
    <x v="66"/>
    <x v="12"/>
    <x v="1"/>
    <x v="9"/>
    <s v="Comuna"/>
    <s v="Cantidad de Centrales de Energía Renovable No Convencional por Comuna"/>
    <s v="Año 2021"/>
    <s v="Número de Centrales"/>
    <s v="Comisión Nacional de Energía (CNE)"/>
    <x v="1337"/>
    <m/>
    <s v="Mapa de calor"/>
    <s v="Región de La Araucanía regional comuna centrales energía renovable no convencional"/>
    <x v="964"/>
    <s v="100-C-9"/>
    <s v="#1774B9"/>
    <s v="990-1339"/>
    <n v="99200009"/>
    <s v="T-1050"/>
    <s v="C-1000"/>
    <s v="FI-991"/>
    <s v="M-1098"/>
  </r>
  <r>
    <x v="1339"/>
    <n v="990"/>
    <x v="0"/>
    <x v="11"/>
    <n v="10"/>
    <x v="66"/>
    <x v="12"/>
    <x v="1"/>
    <x v="10"/>
    <s v="Comuna"/>
    <s v="Cantidad de Centrales de Energía Renovable No Convencional por Comuna"/>
    <s v="Año 2021"/>
    <s v="Número de Centrales"/>
    <s v="Comisión Nacional de Energía (CNE)"/>
    <x v="1338"/>
    <m/>
    <s v="Mapa de calor"/>
    <s v="Región de Los Lagos regional comuna centrales energía renovable no convencional"/>
    <x v="965"/>
    <s v="100-C-10"/>
    <s v="#1774B9"/>
    <s v="990-1340"/>
    <n v="99200010"/>
    <s v="T-1050"/>
    <s v="C-1000"/>
    <s v="FI-991"/>
    <s v="M-1098"/>
  </r>
  <r>
    <x v="1340"/>
    <n v="990"/>
    <x v="0"/>
    <x v="11"/>
    <n v="11"/>
    <x v="66"/>
    <x v="12"/>
    <x v="1"/>
    <x v="11"/>
    <s v="Comuna"/>
    <s v="Cantidad de Centrales de Energía Renovable No Convencional por Comuna"/>
    <s v="Año 2021"/>
    <s v="Número de Centrales"/>
    <s v="Comisión Nacional de Energía (CNE)"/>
    <x v="1339"/>
    <m/>
    <s v="Mapa de calor"/>
    <s v="Región de Aysén regional comuna centrales energía renovable no convencional"/>
    <x v="966"/>
    <s v="100-C-11"/>
    <s v="#1774B9"/>
    <s v="990-1341"/>
    <n v="99200011"/>
    <s v="T-1050"/>
    <s v="C-1000"/>
    <s v="FI-991"/>
    <s v="M-1098"/>
  </r>
  <r>
    <x v="1341"/>
    <n v="990"/>
    <x v="0"/>
    <x v="11"/>
    <n v="12"/>
    <x v="66"/>
    <x v="12"/>
    <x v="1"/>
    <x v="12"/>
    <s v="Comuna"/>
    <s v="Cantidad de Centrales de Energía Renovable No Convencional por Comuna"/>
    <s v="Año 2021"/>
    <s v="Número de Centrales"/>
    <s v="Comisión Nacional de Energía (CNE)"/>
    <x v="1340"/>
    <m/>
    <s v="Mapa de calor"/>
    <s v="Región de Magallanes regional comuna centrales energía renovable no convencional"/>
    <x v="967"/>
    <s v="100-C-12"/>
    <s v="#1774B9"/>
    <s v="990-1342"/>
    <n v="99200012"/>
    <s v="T-1050"/>
    <s v="C-1000"/>
    <s v="FI-991"/>
    <s v="M-1098"/>
  </r>
  <r>
    <x v="1342"/>
    <n v="990"/>
    <x v="0"/>
    <x v="11"/>
    <n v="13"/>
    <x v="66"/>
    <x v="12"/>
    <x v="1"/>
    <x v="13"/>
    <s v="Comuna"/>
    <s v="Cantidad de Centrales de Energía Renovable No Convencional por Comuna"/>
    <s v="Año 2021"/>
    <s v="Número de Centrales"/>
    <s v="Comisión Nacional de Energía (CNE)"/>
    <x v="1341"/>
    <m/>
    <s v="Mapa de calor"/>
    <s v="Región Metropolitana regional comuna centrales energía renovable no convencional"/>
    <x v="968"/>
    <s v="200-C-13"/>
    <s v="#1774B9"/>
    <s v="990-1343"/>
    <n v="99200013"/>
    <s v="T-1050"/>
    <s v="C-1000"/>
    <s v="FI-991"/>
    <s v="M-1098"/>
  </r>
  <r>
    <x v="1343"/>
    <n v="990"/>
    <x v="0"/>
    <x v="11"/>
    <n v="14"/>
    <x v="66"/>
    <x v="12"/>
    <x v="1"/>
    <x v="14"/>
    <s v="Comuna"/>
    <s v="Cantidad de Centrales de Energía Renovable No Convencional por Comuna"/>
    <s v="Año 2021"/>
    <s v="Número de Centrales"/>
    <s v="Comisión Nacional de Energía (CNE)"/>
    <x v="1342"/>
    <m/>
    <s v="Mapa de calor"/>
    <s v="Región de Los Ríos regional comuna centrales energía renovable no convencional"/>
    <x v="969"/>
    <s v="100-C-14"/>
    <s v="#1774B9"/>
    <s v="990-1344"/>
    <n v="99200014"/>
    <s v="T-1050"/>
    <s v="C-1000"/>
    <s v="FI-991"/>
    <s v="M-1098"/>
  </r>
  <r>
    <x v="1344"/>
    <n v="990"/>
    <x v="0"/>
    <x v="11"/>
    <n v="15"/>
    <x v="66"/>
    <x v="12"/>
    <x v="1"/>
    <x v="15"/>
    <s v="Comuna"/>
    <s v="Cantidad de Centrales de Energía Renovable No Convencional por Comuna"/>
    <s v="Año 2021"/>
    <s v="Número de Centrales"/>
    <s v="Comisión Nacional de Energía (CNE)"/>
    <x v="1343"/>
    <m/>
    <s v="Mapa de calor"/>
    <s v="Región de Arica y Parinacota regional comuna centrales energía renovable no convencional"/>
    <x v="970"/>
    <s v="100-C-15"/>
    <s v="#1774B9"/>
    <s v="990-1345"/>
    <n v="99200015"/>
    <s v="T-1050"/>
    <s v="C-1000"/>
    <s v="FI-991"/>
    <s v="M-1098"/>
  </r>
  <r>
    <x v="1345"/>
    <n v="990"/>
    <x v="0"/>
    <x v="11"/>
    <n v="16"/>
    <x v="66"/>
    <x v="12"/>
    <x v="1"/>
    <x v="16"/>
    <s v="Comuna"/>
    <s v="Cantidad de Centrales de Energía Renovable No Convencional por Comuna"/>
    <s v="Año 2021"/>
    <s v="Número de Centrales"/>
    <s v="Comisión Nacional de Energía (CNE)"/>
    <x v="1344"/>
    <m/>
    <s v="Mapa de calor"/>
    <s v="Región de Ñuble regional comuna centrales energía renovable no convencional"/>
    <x v="971"/>
    <s v="100-C-16"/>
    <s v="#1774B9"/>
    <s v="990-1346"/>
    <n v="99200016"/>
    <s v="T-1050"/>
    <s v="C-1000"/>
    <s v="FI-991"/>
    <s v="M-1098"/>
  </r>
  <r>
    <x v="1346"/>
    <n v="990"/>
    <x v="0"/>
    <x v="11"/>
    <n v="0"/>
    <x v="22"/>
    <x v="12"/>
    <x v="0"/>
    <x v="0"/>
    <s v="Ninguno"/>
    <s v="Capacidad instalada de generación por Región"/>
    <s v="Año 2021"/>
    <s v="MW"/>
    <s v="Comisión Nacional de Energía (CNE)"/>
    <x v="1345"/>
    <s v="La región que cuenta con la mayor capacidad instalada es Antofagasta, con 6.097,4 (MW), lo cual representa el 23,7% del total nacional. Al contrario, Arica y Parinacota tiene la capacidad instalada más baja, alcanzando 32,69 (MW), es decir, un 0,1% del total. La capacidad instalada incluye a centrales eléctricas de energía renovable y no renovable."/>
    <s v="Gráfico"/>
    <s v="Chile nacional región capacidad instalada MW centrales generación energía proporción"/>
    <x v="972"/>
    <n v="0"/>
    <s v="#1774B9"/>
    <s v="990-1347"/>
    <n v="99100000"/>
    <s v="T-1041"/>
    <s v="C-1000"/>
    <s v="FI-993"/>
    <s v="M-1023"/>
  </r>
  <r>
    <x v="1347"/>
    <n v="990"/>
    <x v="0"/>
    <x v="4"/>
    <n v="0"/>
    <x v="67"/>
    <x v="26"/>
    <x v="0"/>
    <x v="0"/>
    <s v="Ninguno"/>
    <s v="Top 10 Comunas con más farmacias"/>
    <s v="Año 2021"/>
    <s v="Número de Farmacias"/>
    <s v="Ministerio de Salud"/>
    <x v="1346"/>
    <s v="Las 10 comunas con la mayor cantidad de farmacias cuentan con 89"/>
    <s v="Ranking"/>
    <s v="Chile nacional región establecimientos salud farmacias número cantidad salud ranking top 10"/>
    <x v="973"/>
    <n v="0"/>
    <s v="#1774B9"/>
    <s v="990-1348"/>
    <n v="99100000"/>
    <s v="T-1051"/>
    <s v="C-1013"/>
    <s v="FI-993"/>
    <s v="M-1099"/>
  </r>
  <r>
    <x v="1348"/>
    <n v="990"/>
    <x v="0"/>
    <x v="4"/>
    <n v="0"/>
    <x v="67"/>
    <x v="26"/>
    <x v="0"/>
    <x v="0"/>
    <s v="Región"/>
    <s v="Cantidad  de Farmacias por Región"/>
    <s v="Año 2021"/>
    <s v="Número de Farmacias"/>
    <s v="Ministerio de Salud"/>
    <x v="1347"/>
    <s v="El extremo sur de Chile, cuenta con las regiones con menos farmacias del país, llegando a un máximo de 23 farmacias en Magallanes. Por otro lado, la Región Metropolitana y Valparaíso, son las regiones que cuentan con la mayor cantidad de establecimientos, con 1882 y 609 farmacias respectivamente."/>
    <s v="Mapa de calor"/>
    <s v="Chile nacional región establecimientos salud farmacias número cantidad salud"/>
    <x v="974"/>
    <n v="0"/>
    <s v="#1774B9"/>
    <s v="990-1349"/>
    <n v="99100000"/>
    <s v="T-1051"/>
    <s v="C-1013"/>
    <s v="FI-992"/>
    <s v="M-1100"/>
  </r>
  <r>
    <x v="1349"/>
    <n v="990"/>
    <x v="0"/>
    <x v="4"/>
    <n v="0"/>
    <x v="67"/>
    <x v="26"/>
    <x v="0"/>
    <x v="0"/>
    <s v="Región-Comuna"/>
    <s v="Cantidad  de Farmacias de Turno por Comuna"/>
    <s v="Año 2021"/>
    <s v="Número de Farmacias"/>
    <s v="Ministerio de Salud"/>
    <x v="1348"/>
    <s v="Las farmacias de turno, son farmacias que abren en horario nocturno por orden del SEREMI. Actualmente, todas las regiones deberían contar con comunas con farmacias de turno."/>
    <s v="Mapa de calor"/>
    <s v="Chile nacional región comuna establecimientos salud farmacias turno urgencias salud"/>
    <x v="975"/>
    <s v="300-C"/>
    <s v="#1774B9"/>
    <s v="990-1350"/>
    <n v="99100000"/>
    <s v="T-1051"/>
    <s v="C-1013"/>
    <s v="FI-995"/>
    <s v="M-1101"/>
  </r>
  <r>
    <x v="1350"/>
    <n v="990"/>
    <x v="0"/>
    <x v="4"/>
    <n v="1"/>
    <x v="67"/>
    <x v="26"/>
    <x v="1"/>
    <x v="1"/>
    <s v="Región"/>
    <s v="Cantidad  de Farmacias de Turno por Comuna"/>
    <s v="Año 2021"/>
    <s v="Número de Farmacias"/>
    <s v="Ministerio de Salud"/>
    <x v="1349"/>
    <m/>
    <s v="Mapa de calor"/>
    <s v="Región de Tarapacá regional comuna establecimientos salud farmacias turno urgencias salud"/>
    <x v="976"/>
    <s v="100-C-1"/>
    <s v="#1774B9"/>
    <s v="990-1351"/>
    <n v="99200001"/>
    <s v="T-1051"/>
    <s v="C-1013"/>
    <s v="FI-992"/>
    <s v="M-1101"/>
  </r>
  <r>
    <x v="1351"/>
    <n v="990"/>
    <x v="0"/>
    <x v="4"/>
    <n v="2"/>
    <x v="67"/>
    <x v="26"/>
    <x v="1"/>
    <x v="2"/>
    <s v="Región"/>
    <s v="Cantidad  de Farmacias de Turno por Comuna"/>
    <s v="Año 2021"/>
    <s v="Número de Farmacias"/>
    <s v="Ministerio de Salud"/>
    <x v="1350"/>
    <m/>
    <s v="Mapa de calor"/>
    <s v="Región de Antofagasta regional comuna establecimientos salud farmacias turno urgencias salud"/>
    <x v="977"/>
    <s v="100-C-2"/>
    <s v="#1774B9"/>
    <s v="990-1352"/>
    <n v="99200002"/>
    <s v="T-1051"/>
    <s v="C-1013"/>
    <s v="FI-992"/>
    <s v="M-1101"/>
  </r>
  <r>
    <x v="1352"/>
    <n v="990"/>
    <x v="0"/>
    <x v="4"/>
    <n v="3"/>
    <x v="67"/>
    <x v="26"/>
    <x v="1"/>
    <x v="3"/>
    <s v="Región"/>
    <s v="Cantidad  de Farmacias de Turno por Comuna"/>
    <s v="Año 2021"/>
    <s v="Número de Farmacias"/>
    <s v="Ministerio de Salud"/>
    <x v="1351"/>
    <m/>
    <s v="Mapa de calor"/>
    <s v="Región de Atacama regional comuna establecimientos salud farmacias turno urgencias salud"/>
    <x v="978"/>
    <s v="100-C-3"/>
    <s v="#1774B9"/>
    <s v="990-1353"/>
    <n v="99200003"/>
    <s v="T-1051"/>
    <s v="C-1013"/>
    <s v="FI-992"/>
    <s v="M-1101"/>
  </r>
  <r>
    <x v="1353"/>
    <n v="990"/>
    <x v="0"/>
    <x v="4"/>
    <n v="4"/>
    <x v="67"/>
    <x v="26"/>
    <x v="1"/>
    <x v="4"/>
    <s v="Región"/>
    <s v="Cantidad  de Farmacias de Turno por Comuna"/>
    <s v="Año 2021"/>
    <s v="Número de Farmacias"/>
    <s v="Ministerio de Salud"/>
    <x v="1352"/>
    <m/>
    <s v="Mapa de calor"/>
    <s v="Región de Coquimbo regional comuna establecimientos salud farmacias turno urgencias salud"/>
    <x v="979"/>
    <s v="100-C-4"/>
    <s v="#1774B9"/>
    <s v="990-1354"/>
    <n v="99200004"/>
    <s v="T-1051"/>
    <s v="C-1013"/>
    <s v="FI-992"/>
    <s v="M-1101"/>
  </r>
  <r>
    <x v="1354"/>
    <n v="990"/>
    <x v="0"/>
    <x v="4"/>
    <n v="5"/>
    <x v="67"/>
    <x v="26"/>
    <x v="1"/>
    <x v="5"/>
    <s v="Región"/>
    <s v="Cantidad  de Farmacias de Turno por Comuna"/>
    <s v="Año 2021"/>
    <s v="Número de Farmacias"/>
    <s v="Ministerio de Salud"/>
    <x v="1353"/>
    <m/>
    <s v="Mapa de calor"/>
    <s v="Región de Valparaíso regional comuna establecimientos salud farmacias turno urgencias salud"/>
    <x v="980"/>
    <s v="100-C-5"/>
    <s v="#1774B9"/>
    <s v="990-1355"/>
    <n v="99200005"/>
    <s v="T-1051"/>
    <s v="C-1013"/>
    <s v="FI-992"/>
    <s v="M-1101"/>
  </r>
  <r>
    <x v="1355"/>
    <n v="990"/>
    <x v="0"/>
    <x v="4"/>
    <n v="6"/>
    <x v="67"/>
    <x v="26"/>
    <x v="1"/>
    <x v="6"/>
    <s v="Región"/>
    <s v="Cantidad  de Farmacias de Turno por Comuna"/>
    <s v="Año 2021"/>
    <s v="Número de Farmacias"/>
    <s v="Ministerio de Salud"/>
    <x v="1354"/>
    <m/>
    <s v="Mapa de calor"/>
    <s v="Región de O'Higgins regional comuna establecimientos salud farmacias turno urgencias salud"/>
    <x v="981"/>
    <s v="100-C-6"/>
    <s v="#1774B9"/>
    <s v="990-1356"/>
    <n v="99200006"/>
    <s v="T-1051"/>
    <s v="C-1013"/>
    <s v="FI-992"/>
    <s v="M-1101"/>
  </r>
  <r>
    <x v="1356"/>
    <n v="990"/>
    <x v="0"/>
    <x v="4"/>
    <n v="7"/>
    <x v="67"/>
    <x v="26"/>
    <x v="1"/>
    <x v="7"/>
    <s v="Región"/>
    <s v="Cantidad  de Farmacias de Turno por Comuna"/>
    <s v="Año 2021"/>
    <s v="Número de Farmacias"/>
    <s v="Ministerio de Salud"/>
    <x v="1355"/>
    <m/>
    <s v="Mapa de calor"/>
    <s v="Región de Maule regional comuna establecimientos salud farmacias turno urgencias salud"/>
    <x v="982"/>
    <s v="100-C-7"/>
    <s v="#1774B9"/>
    <s v="990-1357"/>
    <n v="99200007"/>
    <s v="T-1051"/>
    <s v="C-1013"/>
    <s v="FI-992"/>
    <s v="M-1101"/>
  </r>
  <r>
    <x v="1357"/>
    <n v="990"/>
    <x v="0"/>
    <x v="4"/>
    <n v="8"/>
    <x v="67"/>
    <x v="26"/>
    <x v="1"/>
    <x v="8"/>
    <s v="Región"/>
    <s v="Cantidad  de Farmacias de Turno por Comuna"/>
    <s v="Año 2021"/>
    <s v="Número de Farmacias"/>
    <s v="Ministerio de Salud"/>
    <x v="1356"/>
    <m/>
    <s v="Mapa de calor"/>
    <s v="Región del Biobío regional comuna establecimientos salud farmacias turno urgencias salud"/>
    <x v="983"/>
    <s v="100-C-8"/>
    <s v="#1774B9"/>
    <s v="990-1358"/>
    <n v="99200008"/>
    <s v="T-1051"/>
    <s v="C-1013"/>
    <s v="FI-992"/>
    <s v="M-1101"/>
  </r>
  <r>
    <x v="1358"/>
    <n v="990"/>
    <x v="0"/>
    <x v="4"/>
    <n v="9"/>
    <x v="67"/>
    <x v="26"/>
    <x v="1"/>
    <x v="9"/>
    <s v="Región"/>
    <s v="Cantidad  de Farmacias de Turno por Comuna"/>
    <s v="Año 2021"/>
    <s v="Número de Farmacias"/>
    <s v="Ministerio de Salud"/>
    <x v="1357"/>
    <m/>
    <s v="Mapa de calor"/>
    <s v="Región de La Araucanía regional comuna establecimientos salud farmacias turno urgencias salud"/>
    <x v="984"/>
    <s v="100-C-9"/>
    <s v="#1774B9"/>
    <s v="990-1359"/>
    <n v="99200009"/>
    <s v="T-1051"/>
    <s v="C-1013"/>
    <s v="FI-992"/>
    <s v="M-1101"/>
  </r>
  <r>
    <x v="1359"/>
    <n v="990"/>
    <x v="0"/>
    <x v="4"/>
    <n v="10"/>
    <x v="67"/>
    <x v="26"/>
    <x v="1"/>
    <x v="10"/>
    <s v="Región"/>
    <s v="Cantidad  de Farmacias de Turno por Comuna"/>
    <s v="Año 2021"/>
    <s v="Número de Farmacias"/>
    <s v="Ministerio de Salud"/>
    <x v="1358"/>
    <m/>
    <s v="Mapa de calor"/>
    <s v="Región de Los Lagos regional comuna establecimientos salud farmacias turno urgencias salud"/>
    <x v="985"/>
    <s v="100-C-10"/>
    <s v="#1774B9"/>
    <s v="990-1360"/>
    <n v="99200010"/>
    <s v="T-1051"/>
    <s v="C-1013"/>
    <s v="FI-992"/>
    <s v="M-1101"/>
  </r>
  <r>
    <x v="1360"/>
    <n v="990"/>
    <x v="0"/>
    <x v="4"/>
    <n v="11"/>
    <x v="67"/>
    <x v="26"/>
    <x v="1"/>
    <x v="11"/>
    <s v="Región"/>
    <s v="Cantidad  de Farmacias de Turno por Comuna"/>
    <s v="Año 2021"/>
    <s v="Número de Farmacias"/>
    <s v="Ministerio de Salud"/>
    <x v="1359"/>
    <m/>
    <s v="Mapa de calor"/>
    <s v="Región de Aysén regional comuna establecimientos salud farmacias turno urgencias salud"/>
    <x v="986"/>
    <s v="100-C-11"/>
    <s v="#1774B9"/>
    <s v="990-1361"/>
    <n v="99200011"/>
    <s v="T-1051"/>
    <s v="C-1013"/>
    <s v="FI-992"/>
    <s v="M-1101"/>
  </r>
  <r>
    <x v="1361"/>
    <n v="990"/>
    <x v="0"/>
    <x v="4"/>
    <n v="12"/>
    <x v="67"/>
    <x v="26"/>
    <x v="1"/>
    <x v="12"/>
    <s v="Región"/>
    <s v="Cantidad  de Farmacias de Turno por Comuna"/>
    <s v="Año 2021"/>
    <s v="Número de Farmacias"/>
    <s v="Ministerio de Salud"/>
    <x v="1360"/>
    <m/>
    <s v="Mapa de calor"/>
    <s v="Región de Magallanes regional comuna establecimientos salud farmacias turno urgencias salud"/>
    <x v="987"/>
    <s v="100-C-12"/>
    <s v="#1774B9"/>
    <s v="990-1362"/>
    <n v="99200012"/>
    <s v="T-1051"/>
    <s v="C-1013"/>
    <s v="FI-992"/>
    <s v="M-1101"/>
  </r>
  <r>
    <x v="1362"/>
    <n v="990"/>
    <x v="0"/>
    <x v="4"/>
    <n v="13"/>
    <x v="67"/>
    <x v="26"/>
    <x v="1"/>
    <x v="13"/>
    <s v="Región"/>
    <s v="Cantidad  de Farmacias de Turno por Comuna"/>
    <s v="Año 2021"/>
    <s v="Número de Farmacias"/>
    <s v="Ministerio de Salud"/>
    <x v="1361"/>
    <m/>
    <s v="Mapa de calor"/>
    <s v="Región Metropolitana regional comuna establecimientos salud farmacias turno urgencias salud"/>
    <x v="988"/>
    <s v="200-C-13"/>
    <s v="#1774B9"/>
    <s v="990-1363"/>
    <n v="99200013"/>
    <s v="T-1051"/>
    <s v="C-1013"/>
    <s v="FI-992"/>
    <s v="M-1101"/>
  </r>
  <r>
    <x v="1363"/>
    <n v="990"/>
    <x v="0"/>
    <x v="4"/>
    <n v="14"/>
    <x v="67"/>
    <x v="26"/>
    <x v="1"/>
    <x v="14"/>
    <s v="Región"/>
    <s v="Cantidad  de Farmacias de Turno por Comuna"/>
    <s v="Año 2021"/>
    <s v="Número de Farmacias"/>
    <s v="Ministerio de Salud"/>
    <x v="1362"/>
    <m/>
    <s v="Mapa de calor"/>
    <s v="Región de Los Ríos regional comuna establecimientos salud farmacias turno urgencias salud"/>
    <x v="989"/>
    <s v="100-C-14"/>
    <s v="#1774B9"/>
    <s v="990-1364"/>
    <n v="99200014"/>
    <s v="T-1051"/>
    <s v="C-1013"/>
    <s v="FI-992"/>
    <s v="M-1101"/>
  </r>
  <r>
    <x v="1364"/>
    <n v="990"/>
    <x v="0"/>
    <x v="4"/>
    <n v="15"/>
    <x v="67"/>
    <x v="26"/>
    <x v="1"/>
    <x v="15"/>
    <s v="Región"/>
    <s v="Cantidad  de Farmacias de Turno por Comuna"/>
    <s v="Año 2021"/>
    <s v="Número de Farmacias"/>
    <s v="Ministerio de Salud"/>
    <x v="1363"/>
    <m/>
    <s v="Mapa de calor"/>
    <s v="Región de Arica y Parinacota regional comuna establecimientos salud farmacias turno urgencias salud"/>
    <x v="990"/>
    <s v="100-C-15"/>
    <s v="#1774B9"/>
    <s v="990-1365"/>
    <n v="99200015"/>
    <s v="T-1051"/>
    <s v="C-1013"/>
    <s v="FI-992"/>
    <s v="M-1101"/>
  </r>
  <r>
    <x v="1365"/>
    <n v="990"/>
    <x v="0"/>
    <x v="4"/>
    <n v="16"/>
    <x v="67"/>
    <x v="26"/>
    <x v="1"/>
    <x v="16"/>
    <s v="Región"/>
    <s v="Cantidad  de Farmacias de Turno por Comuna"/>
    <s v="Año 2021"/>
    <s v="Número de Farmacias"/>
    <s v="Ministerio de Salud"/>
    <x v="1364"/>
    <m/>
    <s v="Mapa de calor"/>
    <s v="Región de Ñuble regional comuna establecimientos salud farmacias turno urgencias salud"/>
    <x v="991"/>
    <s v="100-C-16"/>
    <s v="#1774B9"/>
    <s v="990-1366"/>
    <n v="99200016"/>
    <s v="T-1051"/>
    <s v="C-1013"/>
    <s v="FI-992"/>
    <s v="M-1101"/>
  </r>
  <r>
    <x v="1366"/>
    <n v="990"/>
    <x v="0"/>
    <x v="4"/>
    <n v="0"/>
    <x v="67"/>
    <x v="26"/>
    <x v="0"/>
    <x v="0"/>
    <s v="Región"/>
    <s v="Cantidad  de Farmacias de Turno por Región"/>
    <s v="Año 2021"/>
    <s v="Número de Farmacias"/>
    <s v="Ministerio de Salud"/>
    <x v="1365"/>
    <s v="La cantidad de farmacias de turno por región, varía de acuerdo a la cantidad de comunas que conforman dicha región, dicho esto, podemos ver que el centro de nuestro país concentra la mayor cantidad de farmacias de turno, llegando a un máximo de 18 farmacias en la región del Biobío. Por otro lado, en Tarapacá se alcanza el mínimo con solo 1 farmacia de turno abierta."/>
    <s v="Mapa de calor"/>
    <s v="Chile nacional región establecimientos salud farmacias turno urgencias salud"/>
    <x v="992"/>
    <n v="0"/>
    <s v="#1774B9"/>
    <s v="990-1367"/>
    <n v="99100000"/>
    <s v="T-1051"/>
    <s v="C-1013"/>
    <s v="FI-992"/>
    <s v="M-1102"/>
  </r>
  <r>
    <x v="1367"/>
    <n v="990"/>
    <x v="0"/>
    <x v="10"/>
    <n v="0"/>
    <x v="7"/>
    <x v="27"/>
    <x v="0"/>
    <x v="0"/>
    <s v="Detalle"/>
    <s v="Valor (USD) de Exportaciones de Productos del Mar"/>
    <s v="Periodo 2018-2021"/>
    <s v="USD"/>
    <s v="Servicio Nacional de Aduanas"/>
    <x v="1366"/>
    <s v="En el segundo semestre del año 2021, la exportación de salmones y truchas, es por lejos la exportación de productos del mar con mayor valor en dólares, terminando en más de un millón de dólares."/>
    <s v="Gráfico de Evolución"/>
    <s v="Chile nacional comercio exterior exportaciones usd valor dólar productos del mar mariscos salmón truchas"/>
    <x v="993"/>
    <n v="0"/>
    <s v="#1774B9"/>
    <s v="990-1368"/>
    <n v="99100000"/>
    <s v="T-1031"/>
    <s v="C-1014"/>
    <s v="FI-1007"/>
    <s v="M-1103"/>
  </r>
  <r>
    <x v="1368"/>
    <n v="990"/>
    <x v="0"/>
    <x v="10"/>
    <n v="0"/>
    <x v="7"/>
    <x v="27"/>
    <x v="0"/>
    <x v="0"/>
    <s v="Tipo de Producto"/>
    <s v="Valor (USD) de Exportaciones según Tipo de Producto"/>
    <s v="Periodo 2015-2021"/>
    <s v="USD"/>
    <s v="Servicio Nacional de Aduanas"/>
    <x v="1367"/>
    <s v="En el período comprendido desde el primer semestre del año 2015 hasta el segundo semestre del año 2021, se puede apreciar que la acumulación en exportaciones de productos de minería es más de 238 miles de millones de dólares."/>
    <s v="Gráfico de Evolución"/>
    <s v="Chile nacional comercio exterior exportaciones usd valor dólar productos tipo minería mar salmón cobre fruta"/>
    <x v="994"/>
    <n v="0"/>
    <s v="#1774B9"/>
    <s v="990-1369"/>
    <n v="99100000"/>
    <s v="T-1031"/>
    <s v="C-1014"/>
    <s v="FI-1008"/>
    <s v="M-1104"/>
  </r>
  <r>
    <x v="1369"/>
    <n v="990"/>
    <x v="0"/>
    <x v="10"/>
    <n v="0"/>
    <x v="23"/>
    <x v="27"/>
    <x v="0"/>
    <x v="0"/>
    <s v="Ninguno"/>
    <s v="Valor (USD) de Importaciones por Región"/>
    <s v="Año 2021"/>
    <s v="USD"/>
    <s v="Servicio Nacional de Aduanas"/>
    <x v="1368"/>
    <s v="Hasta junio del 2021, la región que ha alcanzado el mayor valor en dólares por importaciones ha sido la región de Valparaíso, con USD 822.866.845.194. En el otro extremo, se encuentra la Región de Los Ríos, cuyas importaciones levemente superan los 2 millones de dólares."/>
    <s v="Mapa de calor"/>
    <s v="Chile nacional región importación calor dólar usd comercio exterior mapa"/>
    <x v="995"/>
    <n v="0"/>
    <s v="#1774B9"/>
    <s v="990-1370"/>
    <n v="99100000"/>
    <s v="T-1042"/>
    <s v="C-1014"/>
    <s v="FI-993"/>
    <s v="M-1105"/>
  </r>
  <r>
    <x v="1370"/>
    <n v="990"/>
    <x v="0"/>
    <x v="10"/>
    <n v="0"/>
    <x v="23"/>
    <x v="27"/>
    <x v="0"/>
    <x v="0"/>
    <s v="Región"/>
    <s v="Peso (kg) de Importaciones por Región"/>
    <s v="Periodo 2015-2021"/>
    <s v="Kilogramo"/>
    <s v="Servicio Nacional de Aduanas"/>
    <x v="1369"/>
    <s v="A nivel nacional, los terminales de tipo marítimo ingresan el volumen más alto de importaciones en kilogramos cada año, superando los 10.900.000.000 kg. A nivel regional, sólo las regiones del Maule, la Araucanía y Metropolitana, no presentan importaciones por este tipo de transporte."/>
    <s v="Gráfico de Evolución"/>
    <s v="Chile nacional región comercio exterior economía importaciones volúmen kilogramo entrada terminal transporte marítimo aéreo terrestre otro"/>
    <x v="996"/>
    <s v="300-R"/>
    <s v="#1774B9"/>
    <s v="990-1371"/>
    <n v="99100000"/>
    <s v="T-1042"/>
    <s v="C-1014"/>
    <s v="FI-992"/>
    <s v="M-1106"/>
  </r>
  <r>
    <x v="1371"/>
    <n v="990"/>
    <x v="0"/>
    <x v="10"/>
    <n v="1"/>
    <x v="23"/>
    <x v="27"/>
    <x v="1"/>
    <x v="1"/>
    <s v="Ninguno"/>
    <s v="Peso (kg) de Importaciones por Región"/>
    <s v="Periodo 2015-2021"/>
    <s v="Kilogramo"/>
    <s v="Servicio Nacional de Aduanas"/>
    <x v="1370"/>
    <m/>
    <s v="Gráfico de Evolución"/>
    <s v="Región de Tarapacá regional comercio exterior economía importaciones volúmen kilogramo entrada terminal transporte marítimo aéreo terrestre otro"/>
    <x v="997"/>
    <s v="100-R-1"/>
    <s v="#1774B9"/>
    <s v="990-1372"/>
    <n v="99200001"/>
    <s v="T-1042"/>
    <s v="C-1014"/>
    <s v="FI-993"/>
    <s v="M-1106"/>
  </r>
  <r>
    <x v="1372"/>
    <n v="990"/>
    <x v="0"/>
    <x v="10"/>
    <n v="2"/>
    <x v="23"/>
    <x v="27"/>
    <x v="1"/>
    <x v="2"/>
    <s v="Ninguno"/>
    <s v="Peso (kg) de Importaciones por Región"/>
    <s v="Periodo 2015-2021"/>
    <s v="Kilogramo"/>
    <s v="Servicio Nacional de Aduanas"/>
    <x v="1371"/>
    <m/>
    <s v="Gráfico de Evolución"/>
    <s v="Región de Antofagasta regional comercio exterior economía importaciones volúmen kilogramo entrada terminal transporte marítimo aéreo terrestre otro"/>
    <x v="998"/>
    <s v="100-R-2"/>
    <s v="#1774B9"/>
    <s v="990-1373"/>
    <n v="99200002"/>
    <s v="T-1042"/>
    <s v="C-1014"/>
    <s v="FI-993"/>
    <s v="M-1106"/>
  </r>
  <r>
    <x v="1373"/>
    <n v="990"/>
    <x v="0"/>
    <x v="10"/>
    <n v="3"/>
    <x v="23"/>
    <x v="27"/>
    <x v="1"/>
    <x v="3"/>
    <s v="Ninguno"/>
    <s v="Peso (kg) de Importaciones por Región"/>
    <s v="Periodo 2015-2021"/>
    <s v="Kilogramo"/>
    <s v="Servicio Nacional de Aduanas"/>
    <x v="1372"/>
    <m/>
    <s v="Gráfico de Evolución"/>
    <s v="Región de Atacama regional comercio exterior economía importaciones volúmen kilogramo entrada terminal transporte marítimo aéreo terrestre otro"/>
    <x v="999"/>
    <s v="100-R-3"/>
    <s v="#1774B9"/>
    <s v="990-1374"/>
    <n v="99200003"/>
    <s v="T-1042"/>
    <s v="C-1014"/>
    <s v="FI-993"/>
    <s v="M-1106"/>
  </r>
  <r>
    <x v="1374"/>
    <n v="990"/>
    <x v="0"/>
    <x v="10"/>
    <n v="4"/>
    <x v="23"/>
    <x v="27"/>
    <x v="1"/>
    <x v="4"/>
    <s v="Ninguno"/>
    <s v="Peso (kg) de Importaciones por Región"/>
    <s v="Periodo 2015-2021"/>
    <s v="Kilogramo"/>
    <s v="Servicio Nacional de Aduanas"/>
    <x v="1373"/>
    <m/>
    <s v="Gráfico de Evolución"/>
    <s v="Región de Coquimbo regional comercio exterior economía importaciones volúmen kilogramo entrada terminal transporte marítimo aéreo terrestre otro"/>
    <x v="1000"/>
    <s v="100-R-4"/>
    <s v="#1774B9"/>
    <s v="990-1375"/>
    <n v="99200004"/>
    <s v="T-1042"/>
    <s v="C-1014"/>
    <s v="FI-993"/>
    <s v="M-1106"/>
  </r>
  <r>
    <x v="1375"/>
    <n v="990"/>
    <x v="0"/>
    <x v="10"/>
    <n v="5"/>
    <x v="23"/>
    <x v="27"/>
    <x v="1"/>
    <x v="5"/>
    <s v="Ninguno"/>
    <s v="Peso (kg) de Importaciones por Región"/>
    <s v="Periodo 2015-2021"/>
    <s v="Kilogramo"/>
    <s v="Servicio Nacional de Aduanas"/>
    <x v="1374"/>
    <m/>
    <s v="Gráfico de Evolución"/>
    <s v="Región de Valparaíso regional comercio exterior economía importaciones volúmen kilogramo entrada terminal transporte marítimo aéreo terrestre otro"/>
    <x v="1001"/>
    <s v="100-R-5"/>
    <s v="#1774B9"/>
    <s v="990-1376"/>
    <n v="99200005"/>
    <s v="T-1042"/>
    <s v="C-1014"/>
    <s v="FI-993"/>
    <s v="M-1106"/>
  </r>
  <r>
    <x v="1376"/>
    <n v="990"/>
    <x v="0"/>
    <x v="10"/>
    <n v="6"/>
    <x v="23"/>
    <x v="27"/>
    <x v="1"/>
    <x v="6"/>
    <s v="Ninguno"/>
    <s v="Peso (kg) de Importaciones por Región"/>
    <s v="Periodo 2015-2021"/>
    <s v="Kilogramo"/>
    <s v="Servicio Nacional de Aduanas"/>
    <x v="1375"/>
    <m/>
    <s v="Gráfico de Evolución"/>
    <s v="Región de O'Higgins regional comercio exterior economía importaciones volúmen kilogramo entrada terminal transporte marítimo aéreo terrestre otro"/>
    <x v="1002"/>
    <s v="100-R-6"/>
    <s v="#1774B9"/>
    <s v="990-1377"/>
    <n v="99200006"/>
    <s v="T-1042"/>
    <s v="C-1014"/>
    <s v="FI-993"/>
    <s v="M-1106"/>
  </r>
  <r>
    <x v="1377"/>
    <n v="990"/>
    <x v="0"/>
    <x v="10"/>
    <n v="7"/>
    <x v="23"/>
    <x v="27"/>
    <x v="1"/>
    <x v="7"/>
    <s v="Ninguno"/>
    <s v="Peso (kg) de Importaciones por Región"/>
    <s v="Periodo 2015-2021"/>
    <s v="Kilogramo"/>
    <s v="Servicio Nacional de Aduanas"/>
    <x v="1376"/>
    <m/>
    <s v="Gráfico de Evolución"/>
    <s v="Región de Maule regional comercio exterior economía importaciones volúmen kilogramo entrada terminal transporte marítimo aéreo terrestre otro"/>
    <x v="1003"/>
    <s v="100-R-7"/>
    <s v="#1774B9"/>
    <s v="990-1378"/>
    <n v="99200007"/>
    <s v="T-1042"/>
    <s v="C-1014"/>
    <s v="FI-993"/>
    <s v="M-1106"/>
  </r>
  <r>
    <x v="1378"/>
    <n v="990"/>
    <x v="0"/>
    <x v="10"/>
    <n v="8"/>
    <x v="23"/>
    <x v="27"/>
    <x v="1"/>
    <x v="8"/>
    <s v="Ninguno"/>
    <s v="Peso (kg) de Importaciones por Región"/>
    <s v="Periodo 2015-2021"/>
    <s v="Kilogramo"/>
    <s v="Servicio Nacional de Aduanas"/>
    <x v="1377"/>
    <m/>
    <s v="Gráfico de Evolución"/>
    <s v="Región del Biobío regional comercio exterior economía importaciones volúmen kilogramo entrada terminal transporte marítimo aéreo terrestre otro"/>
    <x v="1004"/>
    <s v="100-R-8"/>
    <s v="#1774B9"/>
    <s v="990-1379"/>
    <n v="99200008"/>
    <s v="T-1042"/>
    <s v="C-1014"/>
    <s v="FI-993"/>
    <s v="M-1106"/>
  </r>
  <r>
    <x v="1379"/>
    <n v="990"/>
    <x v="0"/>
    <x v="10"/>
    <n v="9"/>
    <x v="23"/>
    <x v="27"/>
    <x v="1"/>
    <x v="9"/>
    <s v="Ninguno"/>
    <s v="Peso (kg) de Importaciones por Región"/>
    <s v="Periodo 2015-2021"/>
    <s v="Kilogramo"/>
    <s v="Servicio Nacional de Aduanas"/>
    <x v="1378"/>
    <m/>
    <s v="Gráfico de Evolución"/>
    <s v="Región de La Araucanía regional comercio exterior economía importaciones volúmen kilogramo entrada terminal transporte marítimo aéreo terrestre otro"/>
    <x v="1005"/>
    <s v="100-R-9"/>
    <s v="#1774B9"/>
    <s v="990-1380"/>
    <n v="99200009"/>
    <s v="T-1042"/>
    <s v="C-1014"/>
    <s v="FI-993"/>
    <s v="M-1106"/>
  </r>
  <r>
    <x v="1380"/>
    <n v="990"/>
    <x v="0"/>
    <x v="10"/>
    <n v="10"/>
    <x v="23"/>
    <x v="27"/>
    <x v="1"/>
    <x v="10"/>
    <s v="Ninguno"/>
    <s v="Peso (kg) de Importaciones por Región"/>
    <s v="Periodo 2015-2021"/>
    <s v="Kilogramo"/>
    <s v="Servicio Nacional de Aduanas"/>
    <x v="1379"/>
    <m/>
    <s v="Gráfico de Evolución"/>
    <s v="Región de Los Lagos regional comercio exterior economía importaciones volúmen kilogramo entrada terminal transporte marítimo aéreo terrestre otro"/>
    <x v="1006"/>
    <s v="100-R-10"/>
    <s v="#1774B9"/>
    <s v="990-1381"/>
    <n v="99200010"/>
    <s v="T-1042"/>
    <s v="C-1014"/>
    <s v="FI-993"/>
    <s v="M-1106"/>
  </r>
  <r>
    <x v="1381"/>
    <n v="990"/>
    <x v="0"/>
    <x v="10"/>
    <n v="11"/>
    <x v="23"/>
    <x v="27"/>
    <x v="1"/>
    <x v="11"/>
    <s v="Ninguno"/>
    <s v="Peso (kg) de Importaciones por Región"/>
    <s v="Periodo 2015-2021"/>
    <s v="Kilogramo"/>
    <s v="Servicio Nacional de Aduanas"/>
    <x v="1380"/>
    <m/>
    <s v="Gráfico de Evolución"/>
    <s v="Región de Aysén regional comercio exterior economía importaciones volúmen kilogramo entrada terminal transporte marítimo aéreo terrestre otro"/>
    <x v="1007"/>
    <s v="100-R-11"/>
    <s v="#1774B9"/>
    <s v="990-1382"/>
    <n v="99200011"/>
    <s v="T-1042"/>
    <s v="C-1014"/>
    <s v="FI-993"/>
    <s v="M-1106"/>
  </r>
  <r>
    <x v="1382"/>
    <n v="990"/>
    <x v="0"/>
    <x v="10"/>
    <n v="12"/>
    <x v="23"/>
    <x v="27"/>
    <x v="1"/>
    <x v="12"/>
    <s v="Ninguno"/>
    <s v="Peso (kg) de Importaciones por Región"/>
    <s v="Periodo 2015-2021"/>
    <s v="Kilogramo"/>
    <s v="Servicio Nacional de Aduanas"/>
    <x v="1381"/>
    <m/>
    <s v="Gráfico de Evolución"/>
    <s v="Región de Magallanes regional comercio exterior economía importaciones volúmen kilogramo entrada terminal transporte marítimo aéreo terrestre otro"/>
    <x v="1008"/>
    <s v="100-R-12"/>
    <s v="#1774B9"/>
    <s v="990-1383"/>
    <n v="99200012"/>
    <s v="T-1042"/>
    <s v="C-1014"/>
    <s v="FI-993"/>
    <s v="M-1106"/>
  </r>
  <r>
    <x v="1383"/>
    <n v="990"/>
    <x v="0"/>
    <x v="10"/>
    <n v="13"/>
    <x v="23"/>
    <x v="27"/>
    <x v="1"/>
    <x v="13"/>
    <s v="Ninguno"/>
    <s v="Peso (kg) de Importaciones por Región"/>
    <s v="Periodo 2015-2021"/>
    <s v="Kilogramo"/>
    <s v="Servicio Nacional de Aduanas"/>
    <x v="1382"/>
    <m/>
    <s v="Gráfico de Evolución"/>
    <s v="Región Metropolitana regional comercio exterior economía importaciones volúmen kilogramo entrada terminal transporte marítimo aéreo terrestre otro"/>
    <x v="1009"/>
    <s v="200-R-13"/>
    <s v="#1774B9"/>
    <s v="990-1384"/>
    <n v="99200013"/>
    <s v="T-1042"/>
    <s v="C-1014"/>
    <s v="FI-993"/>
    <s v="M-1106"/>
  </r>
  <r>
    <x v="1384"/>
    <n v="990"/>
    <x v="0"/>
    <x v="10"/>
    <n v="14"/>
    <x v="23"/>
    <x v="27"/>
    <x v="1"/>
    <x v="14"/>
    <s v="Ninguno"/>
    <s v="Peso (kg) de Importaciones por Región"/>
    <s v="Periodo 2015-2021"/>
    <s v="Kilogramo"/>
    <s v="Servicio Nacional de Aduanas"/>
    <x v="1383"/>
    <m/>
    <s v="Gráfico de Evolución"/>
    <s v="Región de Los Ríos regional comercio exterior economía importaciones volúmen kilogramo entrada terminal transporte marítimo aéreo terrestre otro"/>
    <x v="1010"/>
    <s v="100-R-14"/>
    <s v="#1774B9"/>
    <s v="990-1385"/>
    <n v="99200014"/>
    <s v="T-1042"/>
    <s v="C-1014"/>
    <s v="FI-993"/>
    <s v="M-1106"/>
  </r>
  <r>
    <x v="1385"/>
    <n v="990"/>
    <x v="0"/>
    <x v="10"/>
    <n v="15"/>
    <x v="23"/>
    <x v="27"/>
    <x v="1"/>
    <x v="15"/>
    <s v="Ninguno"/>
    <s v="Peso (kg) de Importaciones por Región"/>
    <s v="Periodo 2015-2021"/>
    <s v="Kilogramo"/>
    <s v="Servicio Nacional de Aduanas"/>
    <x v="1384"/>
    <m/>
    <s v="Gráfico de Evolución"/>
    <s v="Región de Arica y Parinacota regional comercio exterior economía importaciones volúmen kilogramo entrada terminal transporte marítimo aéreo terrestre otro"/>
    <x v="1011"/>
    <s v="100-R-15"/>
    <s v="#1774B9"/>
    <s v="990-1386"/>
    <n v="99200015"/>
    <s v="T-1042"/>
    <s v="C-1014"/>
    <s v="FI-993"/>
    <s v="M-1106"/>
  </r>
  <r>
    <x v="1386"/>
    <n v="990"/>
    <x v="0"/>
    <x v="10"/>
    <n v="0"/>
    <x v="7"/>
    <x v="27"/>
    <x v="0"/>
    <x v="0"/>
    <s v="Región"/>
    <s v="Valor (USD) de Exportaciones por Región"/>
    <s v="Periodo 2015-2021"/>
    <s v="USD"/>
    <s v="Servicio Nacional de Aduanas"/>
    <x v="1385"/>
    <s v="El segundo trimestre del año 2015 fue el período que acumuló el mayor valor en dólares por exportación en la región de Arica y Parinacota, alcanzando los USD 225.004.463. Durante este mismo periodo, el puerto de Arica fue el terminal que presentó la mayor cantidad de ingresos con USD 113.735.223."/>
    <s v="Gráfico de Evolución"/>
    <s v="Chile nacional región comercio exterior economía exportaciones valor dólar usd salida lugar terminal"/>
    <x v="1012"/>
    <s v="300-R"/>
    <s v="#1774B9"/>
    <s v="990-1387"/>
    <n v="99100000"/>
    <s v="T-1031"/>
    <s v="C-1014"/>
    <s v="FI-992"/>
    <s v="M-1107"/>
  </r>
  <r>
    <x v="1387"/>
    <n v="990"/>
    <x v="0"/>
    <x v="10"/>
    <n v="1"/>
    <x v="7"/>
    <x v="27"/>
    <x v="1"/>
    <x v="1"/>
    <s v="Ninguno"/>
    <s v="Valor (USD) de Exportaciones por Región"/>
    <s v="Periodo 2015-2021"/>
    <s v="USD"/>
    <s v="Servicio Nacional de Aduanas"/>
    <x v="1386"/>
    <m/>
    <s v="Gráfico de Evolución"/>
    <s v="Región de Tarapacá regional comercio exterior economía exportaciones valor dólar usd salida lugar terminal"/>
    <x v="1013"/>
    <s v="100-R-1"/>
    <s v="#1774B9"/>
    <s v="990-1388"/>
    <n v="99200001"/>
    <s v="T-1031"/>
    <s v="C-1014"/>
    <s v="FI-993"/>
    <s v="M-1107"/>
  </r>
  <r>
    <x v="1388"/>
    <n v="990"/>
    <x v="0"/>
    <x v="10"/>
    <n v="2"/>
    <x v="7"/>
    <x v="27"/>
    <x v="1"/>
    <x v="2"/>
    <s v="Ninguno"/>
    <s v="Valor (USD) de Exportaciones por Región"/>
    <s v="Periodo 2015-2021"/>
    <s v="USD"/>
    <s v="Servicio Nacional de Aduanas"/>
    <x v="1387"/>
    <m/>
    <s v="Gráfico de Evolución"/>
    <s v="Región de Antofagasta regional comercio exterior economía exportaciones valor dólar usd salida lugar terminal"/>
    <x v="1014"/>
    <s v="100-R-2"/>
    <s v="#1774B9"/>
    <s v="990-1389"/>
    <n v="99200002"/>
    <s v="T-1031"/>
    <s v="C-1014"/>
    <s v="FI-993"/>
    <s v="M-1107"/>
  </r>
  <r>
    <x v="1389"/>
    <n v="990"/>
    <x v="0"/>
    <x v="10"/>
    <n v="3"/>
    <x v="7"/>
    <x v="27"/>
    <x v="1"/>
    <x v="3"/>
    <s v="Ninguno"/>
    <s v="Valor (USD) de Exportaciones por Región"/>
    <s v="Periodo 2015-2021"/>
    <s v="USD"/>
    <s v="Servicio Nacional de Aduanas"/>
    <x v="1388"/>
    <m/>
    <s v="Gráfico de Evolución"/>
    <s v="Región de Atacama regional comercio exterior economía exportaciones valor dólar usd salida lugar terminal"/>
    <x v="1015"/>
    <s v="100-R-3"/>
    <s v="#1774B9"/>
    <s v="990-1390"/>
    <n v="99200003"/>
    <s v="T-1031"/>
    <s v="C-1014"/>
    <s v="FI-993"/>
    <s v="M-1107"/>
  </r>
  <r>
    <x v="1390"/>
    <n v="990"/>
    <x v="0"/>
    <x v="10"/>
    <n v="4"/>
    <x v="7"/>
    <x v="27"/>
    <x v="1"/>
    <x v="4"/>
    <s v="Ninguno"/>
    <s v="Valor (USD) de Exportaciones por Región"/>
    <s v="Periodo 2015-2021"/>
    <s v="USD"/>
    <s v="Servicio Nacional de Aduanas"/>
    <x v="1389"/>
    <m/>
    <s v="Gráfico de Evolución"/>
    <s v="Región de Coquimbo regional comercio exterior economía exportaciones valor dólar usd salida lugar terminal"/>
    <x v="1016"/>
    <s v="100-R-4"/>
    <s v="#1774B9"/>
    <s v="990-1391"/>
    <n v="99200004"/>
    <s v="T-1031"/>
    <s v="C-1014"/>
    <s v="FI-993"/>
    <s v="M-1107"/>
  </r>
  <r>
    <x v="1391"/>
    <n v="990"/>
    <x v="0"/>
    <x v="10"/>
    <n v="5"/>
    <x v="7"/>
    <x v="27"/>
    <x v="1"/>
    <x v="5"/>
    <s v="Ninguno"/>
    <s v="Valor (USD) de Exportaciones por Región"/>
    <s v="Periodo 2015-2021"/>
    <s v="USD"/>
    <s v="Servicio Nacional de Aduanas"/>
    <x v="1390"/>
    <m/>
    <s v="Gráfico de Evolución"/>
    <s v="Región de Valparaíso regional comercio exterior economía exportaciones valor dólar usd salida lugar terminal"/>
    <x v="1017"/>
    <s v="100-R-5"/>
    <s v="#1774B9"/>
    <s v="990-1392"/>
    <n v="99200005"/>
    <s v="T-1031"/>
    <s v="C-1014"/>
    <s v="FI-993"/>
    <s v="M-1107"/>
  </r>
  <r>
    <x v="1392"/>
    <n v="990"/>
    <x v="0"/>
    <x v="10"/>
    <n v="6"/>
    <x v="7"/>
    <x v="27"/>
    <x v="1"/>
    <x v="6"/>
    <s v="Ninguno"/>
    <s v="Valor (USD) de Exportaciones por Región"/>
    <s v="Periodo 2015-2021"/>
    <s v="USD"/>
    <s v="Servicio Nacional de Aduanas"/>
    <x v="1391"/>
    <m/>
    <s v="Gráfico de Evolución"/>
    <s v="Región de O'Higgins regional comercio exterior economía exportaciones valor dólar usd salida lugar terminal"/>
    <x v="1018"/>
    <s v="100-R-6"/>
    <s v="#1774B9"/>
    <s v="990-1393"/>
    <n v="99200006"/>
    <s v="T-1031"/>
    <s v="C-1014"/>
    <s v="FI-993"/>
    <s v="M-1107"/>
  </r>
  <r>
    <x v="1393"/>
    <n v="990"/>
    <x v="0"/>
    <x v="10"/>
    <n v="7"/>
    <x v="7"/>
    <x v="27"/>
    <x v="1"/>
    <x v="7"/>
    <s v="Ninguno"/>
    <s v="Valor (USD) de Exportaciones por Región"/>
    <s v="Periodo 2015-2021"/>
    <s v="USD"/>
    <s v="Servicio Nacional de Aduanas"/>
    <x v="1392"/>
    <m/>
    <s v="Gráfico de Evolución"/>
    <s v="Región de Maule regional comercio exterior economía exportaciones valor dólar usd salida lugar terminal"/>
    <x v="1019"/>
    <s v="100-R-7"/>
    <s v="#1774B9"/>
    <s v="990-1394"/>
    <n v="99200007"/>
    <s v="T-1031"/>
    <s v="C-1014"/>
    <s v="FI-993"/>
    <s v="M-1107"/>
  </r>
  <r>
    <x v="1394"/>
    <n v="990"/>
    <x v="0"/>
    <x v="10"/>
    <n v="8"/>
    <x v="7"/>
    <x v="27"/>
    <x v="1"/>
    <x v="8"/>
    <s v="Ninguno"/>
    <s v="Valor (USD) de Exportaciones por Región"/>
    <s v="Periodo 2015-2021"/>
    <s v="USD"/>
    <s v="Servicio Nacional de Aduanas"/>
    <x v="1393"/>
    <m/>
    <s v="Gráfico de Evolución"/>
    <s v="Región del Biobío regional comercio exterior economía exportaciones valor dólar usd salida lugar terminal"/>
    <x v="1020"/>
    <s v="100-R-8"/>
    <s v="#1774B9"/>
    <s v="990-1395"/>
    <n v="99200008"/>
    <s v="T-1031"/>
    <s v="C-1014"/>
    <s v="FI-993"/>
    <s v="M-1107"/>
  </r>
  <r>
    <x v="1395"/>
    <n v="990"/>
    <x v="0"/>
    <x v="10"/>
    <n v="9"/>
    <x v="7"/>
    <x v="27"/>
    <x v="1"/>
    <x v="9"/>
    <s v="Ninguno"/>
    <s v="Valor (USD) de Exportaciones por Región"/>
    <s v="Periodo 2015-2021"/>
    <s v="USD"/>
    <s v="Servicio Nacional de Aduanas"/>
    <x v="1394"/>
    <m/>
    <s v="Gráfico de Evolución"/>
    <s v="Región de La Araucanía regional comercio exterior economía exportaciones valor dólar usd salida lugar terminal"/>
    <x v="1021"/>
    <s v="100-R-9"/>
    <s v="#1774B9"/>
    <s v="990-1396"/>
    <n v="99200009"/>
    <s v="T-1031"/>
    <s v="C-1014"/>
    <s v="FI-993"/>
    <s v="M-1107"/>
  </r>
  <r>
    <x v="1396"/>
    <n v="990"/>
    <x v="0"/>
    <x v="10"/>
    <n v="10"/>
    <x v="7"/>
    <x v="27"/>
    <x v="1"/>
    <x v="10"/>
    <s v="Ninguno"/>
    <s v="Valor (USD) de Exportaciones por Región"/>
    <s v="Periodo 2015-2021"/>
    <s v="USD"/>
    <s v="Servicio Nacional de Aduanas"/>
    <x v="1395"/>
    <m/>
    <s v="Gráfico de Evolución"/>
    <s v="Región de Los Lagos regional comercio exterior economía exportaciones valor dólar usd salida lugar terminal"/>
    <x v="1022"/>
    <s v="100-R-10"/>
    <s v="#1774B9"/>
    <s v="990-1397"/>
    <n v="99200010"/>
    <s v="T-1031"/>
    <s v="C-1014"/>
    <s v="FI-993"/>
    <s v="M-1107"/>
  </r>
  <r>
    <x v="1397"/>
    <n v="990"/>
    <x v="0"/>
    <x v="10"/>
    <n v="11"/>
    <x v="7"/>
    <x v="27"/>
    <x v="1"/>
    <x v="11"/>
    <s v="Ninguno"/>
    <s v="Valor (USD) de Exportaciones por Región"/>
    <s v="Periodo 2015-2021"/>
    <s v="USD"/>
    <s v="Servicio Nacional de Aduanas"/>
    <x v="1396"/>
    <m/>
    <s v="Gráfico de Evolución"/>
    <s v="Región de Aysén regional comercio exterior economía exportaciones valor dólar usd salida lugar terminal"/>
    <x v="1023"/>
    <s v="100-R-11"/>
    <s v="#1774B9"/>
    <s v="990-1398"/>
    <n v="99200011"/>
    <s v="T-1031"/>
    <s v="C-1014"/>
    <s v="FI-993"/>
    <s v="M-1107"/>
  </r>
  <r>
    <x v="1398"/>
    <n v="990"/>
    <x v="0"/>
    <x v="10"/>
    <n v="12"/>
    <x v="7"/>
    <x v="27"/>
    <x v="1"/>
    <x v="12"/>
    <s v="Ninguno"/>
    <s v="Valor (USD) de Exportaciones por Región"/>
    <s v="Periodo 2015-2021"/>
    <s v="USD"/>
    <s v="Servicio Nacional de Aduanas"/>
    <x v="1397"/>
    <m/>
    <s v="Gráfico de Evolución"/>
    <s v="Región de Magallanes regional comercio exterior economía exportaciones valor dólar usd salida lugar terminal"/>
    <x v="1024"/>
    <s v="100-R-12"/>
    <s v="#1774B9"/>
    <s v="990-1399"/>
    <n v="99200012"/>
    <s v="T-1031"/>
    <s v="C-1014"/>
    <s v="FI-993"/>
    <s v="M-1107"/>
  </r>
  <r>
    <x v="1399"/>
    <n v="990"/>
    <x v="0"/>
    <x v="10"/>
    <n v="13"/>
    <x v="7"/>
    <x v="27"/>
    <x v="1"/>
    <x v="13"/>
    <s v="Ninguno"/>
    <s v="Valor (USD) de Exportaciones por Región"/>
    <s v="Periodo 2015-2021"/>
    <s v="USD"/>
    <s v="Servicio Nacional de Aduanas"/>
    <x v="1398"/>
    <m/>
    <s v="Gráfico de Evolución"/>
    <s v="Región Metropolitana regional comercio exterior economía exportaciones valor dólar usd salida lugar terminal"/>
    <x v="1025"/>
    <s v="200-R-13"/>
    <s v="#1774B9"/>
    <s v="990-1400"/>
    <n v="99200013"/>
    <s v="T-1031"/>
    <s v="C-1014"/>
    <s v="FI-993"/>
    <s v="M-1107"/>
  </r>
  <r>
    <x v="1400"/>
    <n v="990"/>
    <x v="0"/>
    <x v="10"/>
    <n v="14"/>
    <x v="7"/>
    <x v="27"/>
    <x v="1"/>
    <x v="14"/>
    <s v="Ninguno"/>
    <s v="Valor (USD) de Exportaciones por Región"/>
    <s v="Periodo 2015-2021"/>
    <s v="USD"/>
    <s v="Servicio Nacional de Aduanas"/>
    <x v="1399"/>
    <m/>
    <s v="Gráfico de Evolución"/>
    <s v="Región de Los Ríos regional comercio exterior economía exportaciones valor dólar usd salida lugar terminal"/>
    <x v="1026"/>
    <s v="100-R-14"/>
    <s v="#1774B9"/>
    <s v="990-1401"/>
    <n v="99200014"/>
    <s v="T-1031"/>
    <s v="C-1014"/>
    <s v="FI-993"/>
    <s v="M-1107"/>
  </r>
  <r>
    <x v="1401"/>
    <n v="990"/>
    <x v="0"/>
    <x v="10"/>
    <n v="15"/>
    <x v="7"/>
    <x v="27"/>
    <x v="1"/>
    <x v="15"/>
    <s v="Ninguno"/>
    <s v="Valor (USD) de Exportaciones por Región"/>
    <s v="Periodo 2015-2021"/>
    <s v="USD"/>
    <s v="Servicio Nacional de Aduanas"/>
    <x v="1400"/>
    <m/>
    <s v="Gráfico de Evolución"/>
    <s v="Región de Arica y Parinacota regional comercio exterior economía exportaciones valor dólar usd salida lugar terminal"/>
    <x v="1027"/>
    <s v="100-R-15"/>
    <s v="#1774B9"/>
    <s v="990-1402"/>
    <n v="99200015"/>
    <s v="T-1031"/>
    <s v="C-1014"/>
    <s v="FI-993"/>
    <s v="M-1107"/>
  </r>
  <r>
    <x v="1402"/>
    <n v="990"/>
    <x v="0"/>
    <x v="10"/>
    <n v="0"/>
    <x v="7"/>
    <x v="27"/>
    <x v="0"/>
    <x v="0"/>
    <s v="Región"/>
    <s v="Peso (kg) de Exportaciones por Región"/>
    <s v="Periodo 2015-2021"/>
    <s v="Kilogramo"/>
    <s v="Servicio Nacional de Aduanas"/>
    <x v="1401"/>
    <s v="La región de Valparaíso presentó el mayor volumen de exportación en kilogramos en cada periodo. Durante el segundo trimestre del año 2021, la magnitud de las exportaciones de este territorio fue cercana a los 93 mil millones de kilogramos. A considerar que hasta hoy, no hay terminales o datos sobre importaciones/exportaciones para terminales de la región del Ñuble"/>
    <s v="Gráfico de Evolución"/>
    <s v="Chile nacional región comercio exterior economía exportaciones peso volumen kilogramo kg evolución"/>
    <x v="1028"/>
    <s v="300-R"/>
    <s v="#1774B9"/>
    <s v="990-1403"/>
    <n v="99100000"/>
    <s v="T-1031"/>
    <s v="C-1014"/>
    <s v="FI-992"/>
    <s v="M-1108"/>
  </r>
  <r>
    <x v="1403"/>
    <n v="990"/>
    <x v="0"/>
    <x v="10"/>
    <n v="0"/>
    <x v="68"/>
    <x v="27"/>
    <x v="0"/>
    <x v="0"/>
    <s v="Región"/>
    <s v="Peso (kg) de Exportaciones e Importaciones por Región"/>
    <s v="Periodo 2015-2021"/>
    <s v="Kilogramo"/>
    <s v="Servicio Nacional de Aduanas"/>
    <x v="1402"/>
    <s v="Dada la evolución nacional de las importaciones y exportaciones hasta el segundo trimestre del año 2021, el volumen de estas dos actividades llegó a su punto más alto durante el cuarto trimestre del año 2018, con un poco mas de 17.500 millones de kilogramos cada una."/>
    <s v="Gráfico de Evolución"/>
    <s v="Chile nacional región comercio exterior economía exportaciones importaciones peso volumen kilogramos kg evolución diferencia balanza"/>
    <x v="1029"/>
    <s v="300-R"/>
    <s v="#1774B9"/>
    <s v="990-1404"/>
    <n v="99100000"/>
    <s v="T-1052"/>
    <s v="C-1014"/>
    <s v="FI-992"/>
    <s v="M-1109"/>
  </r>
  <r>
    <x v="1404"/>
    <n v="990"/>
    <x v="0"/>
    <x v="10"/>
    <n v="1"/>
    <x v="68"/>
    <x v="27"/>
    <x v="1"/>
    <x v="1"/>
    <s v="Ninguno"/>
    <s v="Peso (kg) de Exportaciones e Importaciones por Región"/>
    <s v="Periodo 2015-2021"/>
    <s v="Kilogramo"/>
    <s v="Servicio Nacional de Aduanas"/>
    <x v="1403"/>
    <m/>
    <s v="Gráfico de Evolución"/>
    <s v="Región de Tarapacá regional comercio exterior economía exportaciones importaciones peso volumen kilogramos kg evolución diferencia balanza"/>
    <x v="1030"/>
    <s v="100-R-1"/>
    <s v="#1774B9"/>
    <s v="990-1405"/>
    <n v="99200001"/>
    <s v="T-1052"/>
    <s v="C-1014"/>
    <s v="FI-993"/>
    <s v="M-1109"/>
  </r>
  <r>
    <x v="1405"/>
    <n v="990"/>
    <x v="0"/>
    <x v="10"/>
    <n v="2"/>
    <x v="68"/>
    <x v="27"/>
    <x v="1"/>
    <x v="2"/>
    <s v="Ninguno"/>
    <s v="Peso (kg) de Exportaciones e Importaciones por Región"/>
    <s v="Periodo 2015-2021"/>
    <s v="Kilogramo"/>
    <s v="Servicio Nacional de Aduanas"/>
    <x v="1404"/>
    <m/>
    <s v="Gráfico de Evolución"/>
    <s v="Región de Antofagasta regional comercio exterior economía exportaciones importaciones peso volumen kilogramos kg evolución diferencia balanza"/>
    <x v="1031"/>
    <s v="100-R-2"/>
    <s v="#1774B9"/>
    <s v="990-1406"/>
    <n v="99200002"/>
    <s v="T-1052"/>
    <s v="C-1014"/>
    <s v="FI-993"/>
    <s v="M-1109"/>
  </r>
  <r>
    <x v="1406"/>
    <n v="990"/>
    <x v="0"/>
    <x v="10"/>
    <n v="3"/>
    <x v="68"/>
    <x v="27"/>
    <x v="1"/>
    <x v="3"/>
    <s v="Ninguno"/>
    <s v="Peso (kg) de Exportaciones e Importaciones por Región"/>
    <s v="Periodo 2015-2021"/>
    <s v="Kilogramo"/>
    <s v="Servicio Nacional de Aduanas"/>
    <x v="1405"/>
    <m/>
    <s v="Gráfico de Evolución"/>
    <s v="Región de Atacama regional comercio exterior economía exportaciones importaciones peso volumen kilogramos kg evolución diferencia balanza"/>
    <x v="1032"/>
    <s v="100-R-3"/>
    <s v="#1774B9"/>
    <s v="990-1407"/>
    <n v="99200003"/>
    <s v="T-1052"/>
    <s v="C-1014"/>
    <s v="FI-993"/>
    <s v="M-1109"/>
  </r>
  <r>
    <x v="1407"/>
    <n v="990"/>
    <x v="0"/>
    <x v="10"/>
    <n v="4"/>
    <x v="68"/>
    <x v="27"/>
    <x v="1"/>
    <x v="4"/>
    <s v="Ninguno"/>
    <s v="Peso (kg) de Exportaciones e Importaciones por Región"/>
    <s v="Periodo 2015-2021"/>
    <s v="Kilogramo"/>
    <s v="Servicio Nacional de Aduanas"/>
    <x v="1406"/>
    <m/>
    <s v="Gráfico de Evolución"/>
    <s v="Región de Coquimbo regional comercio exterior economía exportaciones importaciones peso volumen kilogramos kg evolución diferencia balanza"/>
    <x v="1033"/>
    <s v="100-R-4"/>
    <s v="#1774B9"/>
    <s v="990-1408"/>
    <n v="99200004"/>
    <s v="T-1052"/>
    <s v="C-1014"/>
    <s v="FI-993"/>
    <s v="M-1109"/>
  </r>
  <r>
    <x v="1408"/>
    <n v="990"/>
    <x v="0"/>
    <x v="10"/>
    <n v="5"/>
    <x v="68"/>
    <x v="27"/>
    <x v="1"/>
    <x v="5"/>
    <s v="Ninguno"/>
    <s v="Peso (kg) de Exportaciones e Importaciones por Región"/>
    <s v="Periodo 2015-2021"/>
    <s v="Kilogramo"/>
    <s v="Servicio Nacional de Aduanas"/>
    <x v="1407"/>
    <m/>
    <s v="Gráfico de Evolución"/>
    <s v="Región de Valparaíso regional comercio exterior economía exportaciones importaciones peso volumen kilogramos kg evolución diferencia balanza"/>
    <x v="1034"/>
    <s v="100-R-5"/>
    <s v="#1774B9"/>
    <s v="990-1409"/>
    <n v="99200005"/>
    <s v="T-1052"/>
    <s v="C-1014"/>
    <s v="FI-993"/>
    <s v="M-1109"/>
  </r>
  <r>
    <x v="1409"/>
    <n v="990"/>
    <x v="0"/>
    <x v="10"/>
    <n v="6"/>
    <x v="68"/>
    <x v="27"/>
    <x v="1"/>
    <x v="6"/>
    <s v="Ninguno"/>
    <s v="Peso (kg) de Exportaciones e Importaciones por Región"/>
    <s v="Periodo 2015-2021"/>
    <s v="Kilogramo"/>
    <s v="Servicio Nacional de Aduanas"/>
    <x v="1408"/>
    <m/>
    <s v="Gráfico de Evolución"/>
    <s v="Región de O'Higgins regional comercio exterior economía exportaciones importaciones peso volumen kilogramos kg evolución diferencia balanza"/>
    <x v="1035"/>
    <s v="100-R-6"/>
    <s v="#1774B9"/>
    <s v="990-1410"/>
    <n v="99200006"/>
    <s v="T-1052"/>
    <s v="C-1014"/>
    <s v="FI-993"/>
    <s v="M-1109"/>
  </r>
  <r>
    <x v="1410"/>
    <n v="990"/>
    <x v="0"/>
    <x v="10"/>
    <n v="7"/>
    <x v="68"/>
    <x v="27"/>
    <x v="1"/>
    <x v="7"/>
    <s v="Ninguno"/>
    <s v="Peso (kg) de Exportaciones e Importaciones por Región"/>
    <s v="Periodo 2015-2021"/>
    <s v="Kilogramo"/>
    <s v="Servicio Nacional de Aduanas"/>
    <x v="1409"/>
    <m/>
    <s v="Gráfico de Evolución"/>
    <s v="Región de Maule regional comercio exterior economía exportaciones importaciones peso volumen kilogramos kg evolución diferencia balanza"/>
    <x v="1036"/>
    <s v="100-R-7"/>
    <s v="#1774B9"/>
    <s v="990-1411"/>
    <n v="99200007"/>
    <s v="T-1052"/>
    <s v="C-1014"/>
    <s v="FI-993"/>
    <s v="M-1109"/>
  </r>
  <r>
    <x v="1411"/>
    <n v="990"/>
    <x v="0"/>
    <x v="10"/>
    <n v="8"/>
    <x v="68"/>
    <x v="27"/>
    <x v="1"/>
    <x v="8"/>
    <s v="Ninguno"/>
    <s v="Peso (kg) de Exportaciones e Importaciones por Región"/>
    <s v="Periodo 2015-2021"/>
    <s v="Kilogramo"/>
    <s v="Servicio Nacional de Aduanas"/>
    <x v="1410"/>
    <m/>
    <s v="Gráfico de Evolución"/>
    <s v="Región del Biobío regional comercio exterior economía exportaciones importaciones peso volumen kilogramos kg evolución diferencia balanza"/>
    <x v="1037"/>
    <s v="100-R-8"/>
    <s v="#1774B9"/>
    <s v="990-1412"/>
    <n v="99200008"/>
    <s v="T-1052"/>
    <s v="C-1014"/>
    <s v="FI-993"/>
    <s v="M-1109"/>
  </r>
  <r>
    <x v="1412"/>
    <n v="990"/>
    <x v="0"/>
    <x v="10"/>
    <n v="9"/>
    <x v="68"/>
    <x v="27"/>
    <x v="1"/>
    <x v="9"/>
    <s v="Ninguno"/>
    <s v="Peso (kg) de Exportaciones e Importaciones por Región"/>
    <s v="Periodo 2015-2021"/>
    <s v="Kilogramo"/>
    <s v="Servicio Nacional de Aduanas"/>
    <x v="1411"/>
    <m/>
    <s v="Gráfico de Evolución"/>
    <s v="Región de La Araucanía regional comercio exterior economía exportaciones importaciones peso volumen kilogramos kg evolución diferencia balanza"/>
    <x v="1038"/>
    <s v="100-R-9"/>
    <s v="#1774B9"/>
    <s v="990-1413"/>
    <n v="99200009"/>
    <s v="T-1052"/>
    <s v="C-1014"/>
    <s v="FI-993"/>
    <s v="M-1109"/>
  </r>
  <r>
    <x v="1413"/>
    <n v="990"/>
    <x v="0"/>
    <x v="10"/>
    <n v="10"/>
    <x v="68"/>
    <x v="27"/>
    <x v="1"/>
    <x v="10"/>
    <s v="Ninguno"/>
    <s v="Peso (kg) de Exportaciones e Importaciones por Región"/>
    <s v="Periodo 2015-2021"/>
    <s v="Kilogramo"/>
    <s v="Servicio Nacional de Aduanas"/>
    <x v="1412"/>
    <m/>
    <s v="Gráfico de Evolución"/>
    <s v="Región de Los Lagos regional comercio exterior economía exportaciones importaciones peso volumen kilogramos kg evolución diferencia balanza"/>
    <x v="1039"/>
    <s v="100-R-10"/>
    <s v="#1774B9"/>
    <s v="990-1414"/>
    <n v="99200010"/>
    <s v="T-1052"/>
    <s v="C-1014"/>
    <s v="FI-993"/>
    <s v="M-1109"/>
  </r>
  <r>
    <x v="1414"/>
    <n v="990"/>
    <x v="0"/>
    <x v="10"/>
    <n v="11"/>
    <x v="68"/>
    <x v="27"/>
    <x v="1"/>
    <x v="11"/>
    <s v="Ninguno"/>
    <s v="Peso (kg) de Exportaciones e Importaciones por Región"/>
    <s v="Periodo 2015-2021"/>
    <s v="Kilogramo"/>
    <s v="Servicio Nacional de Aduanas"/>
    <x v="1413"/>
    <m/>
    <s v="Gráfico de Evolución"/>
    <s v="Región de Aysén regional comercio exterior economía exportaciones importaciones peso volumen kilogramos kg evolución diferencia balanza"/>
    <x v="1040"/>
    <s v="100-R-11"/>
    <s v="#1774B9"/>
    <s v="990-1415"/>
    <n v="99200011"/>
    <s v="T-1052"/>
    <s v="C-1014"/>
    <s v="FI-993"/>
    <s v="M-1109"/>
  </r>
  <r>
    <x v="1415"/>
    <n v="990"/>
    <x v="0"/>
    <x v="10"/>
    <n v="12"/>
    <x v="68"/>
    <x v="27"/>
    <x v="1"/>
    <x v="12"/>
    <s v="Ninguno"/>
    <s v="Peso (kg) de Exportaciones e Importaciones por Región"/>
    <s v="Periodo 2015-2021"/>
    <s v="Kilogramo"/>
    <s v="Servicio Nacional de Aduanas"/>
    <x v="1414"/>
    <m/>
    <s v="Gráfico de Evolución"/>
    <s v="Región de Magallanes regional comercio exterior economía exportaciones importaciones peso volumen kilogramos kg evolución diferencia balanza"/>
    <x v="1041"/>
    <s v="100-R-12"/>
    <s v="#1774B9"/>
    <s v="990-1416"/>
    <n v="99200012"/>
    <s v="T-1052"/>
    <s v="C-1014"/>
    <s v="FI-993"/>
    <s v="M-1109"/>
  </r>
  <r>
    <x v="1416"/>
    <n v="990"/>
    <x v="0"/>
    <x v="10"/>
    <n v="13"/>
    <x v="68"/>
    <x v="27"/>
    <x v="1"/>
    <x v="13"/>
    <s v="Ninguno"/>
    <s v="Peso (kg) de Exportaciones e Importaciones por Región"/>
    <s v="Periodo 2015-2021"/>
    <s v="Kilogramo"/>
    <s v="Servicio Nacional de Aduanas"/>
    <x v="1415"/>
    <m/>
    <s v="Gráfico de Evolución"/>
    <s v="Región Metropolitana regional comercio exterior economía exportaciones importaciones peso volumen kilogramos kg evolución diferencia balanza"/>
    <x v="1042"/>
    <s v="200-R-13"/>
    <s v="#1774B9"/>
    <s v="990-1417"/>
    <n v="99200013"/>
    <s v="T-1052"/>
    <s v="C-1014"/>
    <s v="FI-993"/>
    <s v="M-1109"/>
  </r>
  <r>
    <x v="1417"/>
    <n v="990"/>
    <x v="0"/>
    <x v="10"/>
    <n v="14"/>
    <x v="68"/>
    <x v="27"/>
    <x v="1"/>
    <x v="14"/>
    <s v="Ninguno"/>
    <s v="Peso (kg) de Exportaciones e Importaciones por Región"/>
    <s v="Periodo 2015-2021"/>
    <s v="Kilogramo"/>
    <s v="Servicio Nacional de Aduanas"/>
    <x v="1416"/>
    <m/>
    <s v="Gráfico de Evolución"/>
    <s v="Región de Los Ríos regional comercio exterior economía exportaciones importaciones peso volumen kilogramos kg evolución diferencia balanza"/>
    <x v="1043"/>
    <s v="100-R-14"/>
    <s v="#1774B9"/>
    <s v="990-1418"/>
    <n v="99200014"/>
    <s v="T-1052"/>
    <s v="C-1014"/>
    <s v="FI-993"/>
    <s v="M-1109"/>
  </r>
  <r>
    <x v="1418"/>
    <n v="990"/>
    <x v="0"/>
    <x v="10"/>
    <n v="15"/>
    <x v="68"/>
    <x v="27"/>
    <x v="1"/>
    <x v="15"/>
    <s v="Ninguno"/>
    <s v="Peso (kg) de Exportaciones e Importaciones por Región"/>
    <s v="Periodo 2015-2021"/>
    <s v="Kilogramo"/>
    <s v="Servicio Nacional de Aduanas"/>
    <x v="1417"/>
    <m/>
    <s v="Gráfico de Evolución"/>
    <s v="Región de Arica y Parinacota regional comercio exterior economía exportaciones importaciones peso volumen kilogramos kg evolución diferencia balanza"/>
    <x v="1044"/>
    <s v="100-R-15"/>
    <s v="#1774B9"/>
    <s v="990-1419"/>
    <n v="99200015"/>
    <s v="T-1052"/>
    <s v="C-1014"/>
    <s v="FI-993"/>
    <s v="M-1109"/>
  </r>
  <r>
    <x v="1419"/>
    <n v="990"/>
    <x v="0"/>
    <x v="3"/>
    <n v="0"/>
    <x v="69"/>
    <x v="25"/>
    <x v="0"/>
    <x v="0"/>
    <s v="Región-Comuna"/>
    <s v="Cantidad de Parques Urbanos por Comuna"/>
    <s v="Año 2020"/>
    <s v="Número de Parques Urbanos"/>
    <s v="Sistema Nacional de Información Municipal"/>
    <x v="1418"/>
    <s v="En el año 2020, las comunas que registraron más de 20 parques urbanos fueron Antofagasta, Aysén y Llaillay, con 40, 25 y 22 parques respectivamente. *(Las comunas que aparecen en color negro dentro del mapa, corresponden a municipios que no entregaron información para el año 2020)."/>
    <s v="Mapa de calor"/>
    <s v="Chile nacional región comuna parques urbanos gestión municipal territorial gobierno regional municipal municipalidad"/>
    <x v="1045"/>
    <s v="300-C"/>
    <s v="#1774B9"/>
    <s v="990-1420"/>
    <n v="99100000"/>
    <s v="T-1053"/>
    <s v="C-1015"/>
    <s v="FI-995"/>
    <s v="M-1110"/>
  </r>
  <r>
    <x v="1420"/>
    <n v="990"/>
    <x v="0"/>
    <x v="3"/>
    <n v="1"/>
    <x v="69"/>
    <x v="25"/>
    <x v="1"/>
    <x v="1"/>
    <s v="Comuna"/>
    <s v="Cantidad de Parques Urbanos por Comuna"/>
    <s v="Año 2020"/>
    <s v="Número de Parques Urbanos"/>
    <s v="Sistema Nacional de Información Municipal"/>
    <x v="1419"/>
    <m/>
    <s v="Mapa de calor"/>
    <s v="Región de Tarapacá regional comuna establecimientos salud farmacias turno urgencias salud"/>
    <x v="1046"/>
    <s v="100-C-1"/>
    <s v="#1774B9"/>
    <s v="990-1421"/>
    <n v="99200001"/>
    <s v="T-1053"/>
    <s v="C-1015"/>
    <s v="FI-991"/>
    <s v="M-1110"/>
  </r>
  <r>
    <x v="1421"/>
    <n v="990"/>
    <x v="0"/>
    <x v="3"/>
    <n v="2"/>
    <x v="69"/>
    <x v="25"/>
    <x v="1"/>
    <x v="2"/>
    <s v="Comuna"/>
    <s v="Cantidad de Parques Urbanos por Comuna"/>
    <s v="Año 2020"/>
    <s v="Número de Parques Urbanos"/>
    <s v="Sistema Nacional de Información Municipal"/>
    <x v="1420"/>
    <m/>
    <s v="Mapa de calor"/>
    <s v="Región de Antofagasta regional comuna establecimientos salud farmacias turno urgencias salud"/>
    <x v="1047"/>
    <s v="100-C-2"/>
    <s v="#1774B9"/>
    <s v="990-1422"/>
    <n v="99200002"/>
    <s v="T-1053"/>
    <s v="C-1015"/>
    <s v="FI-991"/>
    <s v="M-1110"/>
  </r>
  <r>
    <x v="1422"/>
    <n v="990"/>
    <x v="0"/>
    <x v="3"/>
    <n v="3"/>
    <x v="69"/>
    <x v="25"/>
    <x v="1"/>
    <x v="3"/>
    <s v="Comuna"/>
    <s v="Cantidad de Parques Urbanos por Comuna"/>
    <s v="Año 2020"/>
    <s v="Número de Parques Urbanos"/>
    <s v="Sistema Nacional de Información Municipal"/>
    <x v="1421"/>
    <m/>
    <s v="Mapa de calor"/>
    <s v="Región de Atacama regional comuna establecimientos salud farmacias turno urgencias salud"/>
    <x v="1048"/>
    <s v="100-C-3"/>
    <s v="#1774B9"/>
    <s v="990-1423"/>
    <n v="99200003"/>
    <s v="T-1053"/>
    <s v="C-1015"/>
    <s v="FI-991"/>
    <s v="M-1110"/>
  </r>
  <r>
    <x v="1423"/>
    <n v="990"/>
    <x v="0"/>
    <x v="3"/>
    <n v="4"/>
    <x v="69"/>
    <x v="25"/>
    <x v="1"/>
    <x v="4"/>
    <s v="Comuna"/>
    <s v="Cantidad de Parques Urbanos por Comuna"/>
    <s v="Año 2020"/>
    <s v="Número de Parques Urbanos"/>
    <s v="Sistema Nacional de Información Municipal"/>
    <x v="1422"/>
    <m/>
    <s v="Mapa de calor"/>
    <s v="Región de Coquimbo regional comuna establecimientos salud farmacias turno urgencias salud"/>
    <x v="1049"/>
    <s v="100-C-4"/>
    <s v="#1774B9"/>
    <s v="990-1424"/>
    <n v="99200004"/>
    <s v="T-1053"/>
    <s v="C-1015"/>
    <s v="FI-991"/>
    <s v="M-1110"/>
  </r>
  <r>
    <x v="1424"/>
    <n v="990"/>
    <x v="0"/>
    <x v="3"/>
    <n v="5"/>
    <x v="69"/>
    <x v="25"/>
    <x v="1"/>
    <x v="5"/>
    <s v="Comuna"/>
    <s v="Cantidad de Parques Urbanos por Comuna"/>
    <s v="Año 2020"/>
    <s v="Número de Parques Urbanos"/>
    <s v="Sistema Nacional de Información Municipal"/>
    <x v="1423"/>
    <m/>
    <s v="Mapa de calor"/>
    <s v="Región de Valparaíso regional comuna establecimientos salud farmacias turno urgencias salud"/>
    <x v="1050"/>
    <s v="100-C-5"/>
    <s v="#1774B9"/>
    <s v="990-1425"/>
    <n v="99200005"/>
    <s v="T-1053"/>
    <s v="C-1015"/>
    <s v="FI-991"/>
    <s v="M-1110"/>
  </r>
  <r>
    <x v="1425"/>
    <n v="990"/>
    <x v="0"/>
    <x v="3"/>
    <n v="6"/>
    <x v="69"/>
    <x v="25"/>
    <x v="1"/>
    <x v="6"/>
    <s v="Comuna"/>
    <s v="Cantidad de Parques Urbanos por Comuna"/>
    <s v="Año 2020"/>
    <s v="Número de Parques Urbanos"/>
    <s v="Sistema Nacional de Información Municipal"/>
    <x v="1424"/>
    <m/>
    <s v="Mapa de calor"/>
    <s v="Región de O'Higgins regional comuna establecimientos salud farmacias turno urgencias salud"/>
    <x v="1051"/>
    <s v="100-C-6"/>
    <s v="#1774B9"/>
    <s v="990-1426"/>
    <n v="99200006"/>
    <s v="T-1053"/>
    <s v="C-1015"/>
    <s v="FI-991"/>
    <s v="M-1110"/>
  </r>
  <r>
    <x v="1426"/>
    <n v="990"/>
    <x v="0"/>
    <x v="3"/>
    <n v="7"/>
    <x v="69"/>
    <x v="25"/>
    <x v="1"/>
    <x v="7"/>
    <s v="Comuna"/>
    <s v="Cantidad de Parques Urbanos por Comuna"/>
    <s v="Año 2020"/>
    <s v="Número de Parques Urbanos"/>
    <s v="Sistema Nacional de Información Municipal"/>
    <x v="1425"/>
    <m/>
    <s v="Mapa de calor"/>
    <s v="Región de Maule regional comuna establecimientos salud farmacias turno urgencias salud"/>
    <x v="1052"/>
    <s v="100-C-7"/>
    <s v="#1774B9"/>
    <s v="990-1427"/>
    <n v="99200007"/>
    <s v="T-1053"/>
    <s v="C-1015"/>
    <s v="FI-991"/>
    <s v="M-1110"/>
  </r>
  <r>
    <x v="1427"/>
    <n v="990"/>
    <x v="0"/>
    <x v="3"/>
    <n v="8"/>
    <x v="69"/>
    <x v="25"/>
    <x v="1"/>
    <x v="8"/>
    <s v="Comuna"/>
    <s v="Cantidad de Parques Urbanos por Comuna"/>
    <s v="Año 2020"/>
    <s v="Número de Parques Urbanos"/>
    <s v="Sistema Nacional de Información Municipal"/>
    <x v="1426"/>
    <m/>
    <s v="Mapa de calor"/>
    <s v="Región del Biobío regional comuna establecimientos salud farmacias turno urgencias salud"/>
    <x v="1053"/>
    <s v="100-C-8"/>
    <s v="#1774B9"/>
    <s v="990-1428"/>
    <n v="99200008"/>
    <s v="T-1053"/>
    <s v="C-1015"/>
    <s v="FI-991"/>
    <s v="M-1110"/>
  </r>
  <r>
    <x v="1428"/>
    <n v="990"/>
    <x v="0"/>
    <x v="3"/>
    <n v="9"/>
    <x v="69"/>
    <x v="25"/>
    <x v="1"/>
    <x v="9"/>
    <s v="Comuna"/>
    <s v="Cantidad de Parques Urbanos por Comuna"/>
    <s v="Año 2020"/>
    <s v="Número de Parques Urbanos"/>
    <s v="Sistema Nacional de Información Municipal"/>
    <x v="1427"/>
    <m/>
    <s v="Mapa de calor"/>
    <s v="Región de La Araucanía regional comuna establecimientos salud farmacias turno urgencias salud"/>
    <x v="1054"/>
    <s v="100-C-9"/>
    <s v="#1774B9"/>
    <s v="990-1429"/>
    <n v="99200009"/>
    <s v="T-1053"/>
    <s v="C-1015"/>
    <s v="FI-991"/>
    <s v="M-1110"/>
  </r>
  <r>
    <x v="1429"/>
    <n v="990"/>
    <x v="0"/>
    <x v="3"/>
    <n v="10"/>
    <x v="69"/>
    <x v="25"/>
    <x v="1"/>
    <x v="10"/>
    <s v="Comuna"/>
    <s v="Cantidad de Parques Urbanos por Comuna"/>
    <s v="Año 2020"/>
    <s v="Número de Parques Urbanos"/>
    <s v="Sistema Nacional de Información Municipal"/>
    <x v="1428"/>
    <m/>
    <s v="Mapa de calor"/>
    <s v="Región de Los Lagos regional comuna establecimientos salud farmacias turno urgencias salud"/>
    <x v="1055"/>
    <s v="100-C-10"/>
    <s v="#1774B9"/>
    <s v="990-1430"/>
    <n v="99200010"/>
    <s v="T-1053"/>
    <s v="C-1015"/>
    <s v="FI-991"/>
    <s v="M-1110"/>
  </r>
  <r>
    <x v="1430"/>
    <n v="990"/>
    <x v="0"/>
    <x v="3"/>
    <n v="11"/>
    <x v="69"/>
    <x v="25"/>
    <x v="1"/>
    <x v="11"/>
    <s v="Comuna"/>
    <s v="Cantidad de Parques Urbanos por Comuna"/>
    <s v="Año 2020"/>
    <s v="Número de Parques Urbanos"/>
    <s v="Sistema Nacional de Información Municipal"/>
    <x v="1429"/>
    <m/>
    <s v="Mapa de calor"/>
    <s v="Región de Aysén regional comuna establecimientos salud farmacias turno urgencias salud"/>
    <x v="1056"/>
    <s v="100-C-11"/>
    <s v="#1774B9"/>
    <s v="990-1431"/>
    <n v="99200011"/>
    <s v="T-1053"/>
    <s v="C-1015"/>
    <s v="FI-991"/>
    <s v="M-1110"/>
  </r>
  <r>
    <x v="1431"/>
    <n v="990"/>
    <x v="0"/>
    <x v="3"/>
    <n v="12"/>
    <x v="69"/>
    <x v="25"/>
    <x v="1"/>
    <x v="12"/>
    <s v="Comuna"/>
    <s v="Cantidad de Parques Urbanos por Comuna"/>
    <s v="Año 2020"/>
    <s v="Número de Parques Urbanos"/>
    <s v="Sistema Nacional de Información Municipal"/>
    <x v="1430"/>
    <m/>
    <s v="Mapa de calor"/>
    <s v="Región de Magallanes regional comuna establecimientos salud farmacias turno urgencias salud"/>
    <x v="1057"/>
    <s v="100-C-12"/>
    <s v="#1774B9"/>
    <s v="990-1432"/>
    <n v="99200012"/>
    <s v="T-1053"/>
    <s v="C-1015"/>
    <s v="FI-991"/>
    <s v="M-1110"/>
  </r>
  <r>
    <x v="1432"/>
    <n v="990"/>
    <x v="0"/>
    <x v="3"/>
    <n v="13"/>
    <x v="69"/>
    <x v="25"/>
    <x v="1"/>
    <x v="13"/>
    <s v="Comuna"/>
    <s v="Cantidad de Parques Urbanos por Comuna"/>
    <s v="Año 2020"/>
    <s v="Número de Parques Urbanos"/>
    <s v="Sistema Nacional de Información Municipal"/>
    <x v="1431"/>
    <m/>
    <s v="Mapa de calor"/>
    <s v="Región Metropolitana regional comuna establecimientos salud farmacias turno urgencias salud"/>
    <x v="1058"/>
    <s v="200-C-13"/>
    <s v="#1774B9"/>
    <s v="990-1433"/>
    <n v="99200013"/>
    <s v="T-1053"/>
    <s v="C-1015"/>
    <s v="FI-991"/>
    <s v="M-1110"/>
  </r>
  <r>
    <x v="1433"/>
    <n v="990"/>
    <x v="0"/>
    <x v="3"/>
    <n v="14"/>
    <x v="69"/>
    <x v="25"/>
    <x v="1"/>
    <x v="14"/>
    <s v="Comuna"/>
    <s v="Cantidad de Parques Urbanos por Comuna"/>
    <s v="Año 2020"/>
    <s v="Número de Parques Urbanos"/>
    <s v="Sistema Nacional de Información Municipal"/>
    <x v="1432"/>
    <m/>
    <s v="Mapa de calor"/>
    <s v="Región de Los Ríos regional comuna establecimientos salud farmacias turno urgencias salud"/>
    <x v="1059"/>
    <s v="100-C-14"/>
    <s v="#1774B9"/>
    <s v="990-1434"/>
    <n v="99200014"/>
    <s v="T-1053"/>
    <s v="C-1015"/>
    <s v="FI-991"/>
    <s v="M-1110"/>
  </r>
  <r>
    <x v="1434"/>
    <n v="990"/>
    <x v="0"/>
    <x v="3"/>
    <n v="15"/>
    <x v="69"/>
    <x v="25"/>
    <x v="1"/>
    <x v="15"/>
    <s v="Comuna"/>
    <s v="Cantidad de Parques Urbanos por Comuna"/>
    <s v="Año 2020"/>
    <s v="Número de Parques Urbanos"/>
    <s v="Sistema Nacional de Información Municipal"/>
    <x v="1433"/>
    <m/>
    <s v="Mapa de calor"/>
    <s v="Región de Arica y Parinacota regional comuna establecimientos salud farmacias turno urgencias salud"/>
    <x v="1060"/>
    <s v="100-C-15"/>
    <s v="#1774B9"/>
    <s v="990-1435"/>
    <n v="99200015"/>
    <s v="T-1053"/>
    <s v="C-1015"/>
    <s v="FI-991"/>
    <s v="M-1110"/>
  </r>
  <r>
    <x v="1435"/>
    <n v="990"/>
    <x v="0"/>
    <x v="3"/>
    <n v="16"/>
    <x v="69"/>
    <x v="25"/>
    <x v="1"/>
    <x v="16"/>
    <s v="Comuna"/>
    <s v="Cantidad de Parques Urbanos por Comuna"/>
    <s v="Año 2020"/>
    <s v="Número de Parques Urbanos"/>
    <s v="Sistema Nacional de Información Municipal"/>
    <x v="1434"/>
    <m/>
    <s v="Mapa de calor"/>
    <s v="Región de Ñuble regional comuna establecimientos salud farmacias turno urgencias salud"/>
    <x v="1061"/>
    <s v="100-C-16"/>
    <s v="#1774B9"/>
    <s v="990-1436"/>
    <n v="99200016"/>
    <s v="T-1053"/>
    <s v="C-1015"/>
    <s v="FI-991"/>
    <s v="M-1110"/>
  </r>
  <r>
    <x v="1436"/>
    <n v="990"/>
    <x v="0"/>
    <x v="3"/>
    <n v="0"/>
    <x v="70"/>
    <x v="25"/>
    <x v="0"/>
    <x v="0"/>
    <s v="Región-Comuna"/>
    <s v="Cantidad de Plazas Públicas por Comuna"/>
    <s v="Año 2020"/>
    <s v="Número de Plazas Públicas"/>
    <s v="Sistema Nacional de Información Municipal"/>
    <x v="1435"/>
    <s v="En el año 2020, las comunas que tuvieron más de 700 plazas públicas fueron Puente Alto, Maipú, Puerto Montt, Rancagua, Talca, San Pedro de la Paz, Coquimbo, La Serena, San Bernardo, Quilicura, La Florida, y Los Ángeles, con 1.714, 1.652, 1.382, 1.023, 998, 997, 945, 917, 855, 821, 740, 704 plazas, respectivamente. *(Las comunas que aparecen en color negro dentro del mapa, corresponden a municipios que no entregaron información para el año 2020)."/>
    <s v="Mapa de calor"/>
    <s v="Chile nacional región comuna plazas públicas gestión municipal territorial gobierno regional municipal municipalidad"/>
    <x v="1062"/>
    <s v="300-C"/>
    <s v="#1774B9"/>
    <s v="990-1437"/>
    <n v="99100000"/>
    <s v="T-1054"/>
    <s v="C-1015"/>
    <s v="FI-995"/>
    <s v="M-1111"/>
  </r>
  <r>
    <x v="1437"/>
    <n v="990"/>
    <x v="0"/>
    <x v="3"/>
    <n v="1"/>
    <x v="70"/>
    <x v="25"/>
    <x v="1"/>
    <x v="1"/>
    <s v="Comuna"/>
    <s v="Cantidad de Plazas Públicas por Comuna"/>
    <s v="Año 2020"/>
    <s v="Número de Plazas Públicas"/>
    <s v="Sistema Nacional de Información Municipal"/>
    <x v="1436"/>
    <m/>
    <s v="Mapa de calor"/>
    <s v="Región de Tarapacá regional comuna plazas públicas gestión municipal territorial gobierno regional municipal municipalidad"/>
    <x v="1063"/>
    <s v="100-C-1"/>
    <s v="#1774B9"/>
    <s v="990-1438"/>
    <n v="99200001"/>
    <s v="T-1054"/>
    <s v="C-1015"/>
    <s v="FI-991"/>
    <s v="M-1111"/>
  </r>
  <r>
    <x v="1438"/>
    <n v="990"/>
    <x v="0"/>
    <x v="3"/>
    <n v="2"/>
    <x v="70"/>
    <x v="25"/>
    <x v="1"/>
    <x v="2"/>
    <s v="Comuna"/>
    <s v="Cantidad de Plazas Públicas por Comuna"/>
    <s v="Año 2020"/>
    <s v="Número de Plazas Públicas"/>
    <s v="Sistema Nacional de Información Municipal"/>
    <x v="1437"/>
    <m/>
    <s v="Mapa de calor"/>
    <s v="Región de Antofagasta regional comuna plazas públicas gestión municipal territorial gobierno regional municipal municipalidad"/>
    <x v="1064"/>
    <s v="100-C-2"/>
    <s v="#1774B9"/>
    <s v="990-1439"/>
    <n v="99200002"/>
    <s v="T-1054"/>
    <s v="C-1015"/>
    <s v="FI-991"/>
    <s v="M-1111"/>
  </r>
  <r>
    <x v="1439"/>
    <n v="990"/>
    <x v="0"/>
    <x v="3"/>
    <n v="3"/>
    <x v="70"/>
    <x v="25"/>
    <x v="1"/>
    <x v="3"/>
    <s v="Comuna"/>
    <s v="Cantidad de Plazas Públicas por Comuna"/>
    <s v="Año 2020"/>
    <s v="Número de Plazas Públicas"/>
    <s v="Sistema Nacional de Información Municipal"/>
    <x v="1438"/>
    <m/>
    <s v="Mapa de calor"/>
    <s v="Región de Atacama regional comuna plazas públicas gestión municipal territorial gobierno regional municipal municipalidad"/>
    <x v="1065"/>
    <s v="100-C-3"/>
    <s v="#1774B9"/>
    <s v="990-1440"/>
    <n v="99200003"/>
    <s v="T-1054"/>
    <s v="C-1015"/>
    <s v="FI-991"/>
    <s v="M-1111"/>
  </r>
  <r>
    <x v="1440"/>
    <n v="990"/>
    <x v="0"/>
    <x v="3"/>
    <n v="4"/>
    <x v="70"/>
    <x v="25"/>
    <x v="1"/>
    <x v="4"/>
    <s v="Comuna"/>
    <s v="Cantidad de Plazas Públicas por Comuna"/>
    <s v="Año 2020"/>
    <s v="Número de Plazas Públicas"/>
    <s v="Sistema Nacional de Información Municipal"/>
    <x v="1439"/>
    <m/>
    <s v="Mapa de calor"/>
    <s v="Región de Coquimbo regional comuna plazas públicas gestión municipal territorial gobierno regional municipal municipalidad"/>
    <x v="1066"/>
    <s v="100-C-4"/>
    <s v="#1774B9"/>
    <s v="990-1441"/>
    <n v="99200004"/>
    <s v="T-1054"/>
    <s v="C-1015"/>
    <s v="FI-991"/>
    <s v="M-1111"/>
  </r>
  <r>
    <x v="1441"/>
    <n v="990"/>
    <x v="0"/>
    <x v="3"/>
    <n v="5"/>
    <x v="70"/>
    <x v="25"/>
    <x v="1"/>
    <x v="5"/>
    <s v="Comuna"/>
    <s v="Cantidad de Plazas Públicas por Comuna"/>
    <s v="Año 2020"/>
    <s v="Número de Plazas Públicas"/>
    <s v="Sistema Nacional de Información Municipal"/>
    <x v="1440"/>
    <m/>
    <s v="Mapa de calor"/>
    <s v="Región de Valparaíso regional comuna plazas públicas gestión municipal territorial gobierno regional municipal municipalidad"/>
    <x v="1067"/>
    <s v="100-C-5"/>
    <s v="#1774B9"/>
    <s v="990-1442"/>
    <n v="99200005"/>
    <s v="T-1054"/>
    <s v="C-1015"/>
    <s v="FI-991"/>
    <s v="M-1111"/>
  </r>
  <r>
    <x v="1442"/>
    <n v="990"/>
    <x v="0"/>
    <x v="3"/>
    <n v="6"/>
    <x v="70"/>
    <x v="25"/>
    <x v="1"/>
    <x v="6"/>
    <s v="Comuna"/>
    <s v="Cantidad de Plazas Públicas por Comuna"/>
    <s v="Año 2020"/>
    <s v="Número de Plazas Públicas"/>
    <s v="Sistema Nacional de Información Municipal"/>
    <x v="1441"/>
    <m/>
    <s v="Mapa de calor"/>
    <s v="Región de O'Higgins regional comuna plazas públicas gestión municipal territorial gobierno regional municipal municipalidad"/>
    <x v="1068"/>
    <s v="100-C-6"/>
    <s v="#1774B9"/>
    <s v="990-1443"/>
    <n v="99200006"/>
    <s v="T-1054"/>
    <s v="C-1015"/>
    <s v="FI-991"/>
    <s v="M-1111"/>
  </r>
  <r>
    <x v="1443"/>
    <n v="990"/>
    <x v="0"/>
    <x v="3"/>
    <n v="7"/>
    <x v="70"/>
    <x v="25"/>
    <x v="1"/>
    <x v="7"/>
    <s v="Comuna"/>
    <s v="Cantidad de Plazas Públicas por Comuna"/>
    <s v="Año 2020"/>
    <s v="Número de Plazas Públicas"/>
    <s v="Sistema Nacional de Información Municipal"/>
    <x v="1442"/>
    <m/>
    <s v="Mapa de calor"/>
    <s v="Región de Maule regional comuna plazas públicas gestión municipal territorial gobierno regional municipal municipalidad"/>
    <x v="1069"/>
    <s v="100-C-7"/>
    <s v="#1774B9"/>
    <s v="990-1444"/>
    <n v="99200007"/>
    <s v="T-1054"/>
    <s v="C-1015"/>
    <s v="FI-991"/>
    <s v="M-1111"/>
  </r>
  <r>
    <x v="1444"/>
    <n v="990"/>
    <x v="0"/>
    <x v="3"/>
    <n v="8"/>
    <x v="70"/>
    <x v="25"/>
    <x v="1"/>
    <x v="8"/>
    <s v="Comuna"/>
    <s v="Cantidad de Plazas Públicas por Comuna"/>
    <s v="Año 2020"/>
    <s v="Número de Plazas Públicas"/>
    <s v="Sistema Nacional de Información Municipal"/>
    <x v="1443"/>
    <m/>
    <s v="Mapa de calor"/>
    <s v="Región del Biobío regional comuna plazas públicas gestión municipal territorial gobierno regional municipal municipalidad"/>
    <x v="1070"/>
    <s v="100-C-8"/>
    <s v="#1774B9"/>
    <s v="990-1445"/>
    <n v="99200008"/>
    <s v="T-1054"/>
    <s v="C-1015"/>
    <s v="FI-991"/>
    <s v="M-1111"/>
  </r>
  <r>
    <x v="1445"/>
    <n v="990"/>
    <x v="0"/>
    <x v="3"/>
    <n v="9"/>
    <x v="70"/>
    <x v="25"/>
    <x v="1"/>
    <x v="9"/>
    <s v="Comuna"/>
    <s v="Cantidad de Plazas Públicas por Comuna"/>
    <s v="Año 2020"/>
    <s v="Número de Plazas Públicas"/>
    <s v="Sistema Nacional de Información Municipal"/>
    <x v="1444"/>
    <m/>
    <s v="Mapa de calor"/>
    <s v="Región de La Araucanía regional comuna plazas públicas gestión municipal territorial gobierno regional municipal municipalidad"/>
    <x v="1071"/>
    <s v="100-C-9"/>
    <s v="#1774B9"/>
    <s v="990-1446"/>
    <n v="99200009"/>
    <s v="T-1054"/>
    <s v="C-1015"/>
    <s v="FI-991"/>
    <s v="M-1111"/>
  </r>
  <r>
    <x v="1446"/>
    <n v="990"/>
    <x v="0"/>
    <x v="3"/>
    <n v="10"/>
    <x v="70"/>
    <x v="25"/>
    <x v="1"/>
    <x v="10"/>
    <s v="Comuna"/>
    <s v="Cantidad de Plazas Públicas por Comuna"/>
    <s v="Año 2020"/>
    <s v="Número de Plazas Públicas"/>
    <s v="Sistema Nacional de Información Municipal"/>
    <x v="1445"/>
    <m/>
    <s v="Mapa de calor"/>
    <s v="Región de Los Lagos regional comuna plazas públicas gestión municipal territorial gobierno regional municipal municipalidad"/>
    <x v="1072"/>
    <s v="100-C-10"/>
    <s v="#1774B9"/>
    <s v="990-1447"/>
    <n v="99200010"/>
    <s v="T-1054"/>
    <s v="C-1015"/>
    <s v="FI-991"/>
    <s v="M-1111"/>
  </r>
  <r>
    <x v="1447"/>
    <n v="990"/>
    <x v="0"/>
    <x v="3"/>
    <n v="11"/>
    <x v="70"/>
    <x v="25"/>
    <x v="1"/>
    <x v="11"/>
    <s v="Comuna"/>
    <s v="Cantidad de Plazas Públicas por Comuna"/>
    <s v="Año 2020"/>
    <s v="Número de Plazas Públicas"/>
    <s v="Sistema Nacional de Información Municipal"/>
    <x v="1446"/>
    <m/>
    <s v="Mapa de calor"/>
    <s v="Región de Aysén regional comuna plazas públicas gestión municipal territorial gobierno regional municipal municipalidad"/>
    <x v="1073"/>
    <s v="100-C-11"/>
    <s v="#1774B9"/>
    <s v="990-1448"/>
    <n v="99200011"/>
    <s v="T-1054"/>
    <s v="C-1015"/>
    <s v="FI-991"/>
    <s v="M-1111"/>
  </r>
  <r>
    <x v="1448"/>
    <n v="990"/>
    <x v="0"/>
    <x v="3"/>
    <n v="12"/>
    <x v="70"/>
    <x v="25"/>
    <x v="1"/>
    <x v="12"/>
    <s v="Comuna"/>
    <s v="Cantidad de Plazas Públicas por Comuna"/>
    <s v="Año 2020"/>
    <s v="Número de Plazas Públicas"/>
    <s v="Sistema Nacional de Información Municipal"/>
    <x v="1447"/>
    <m/>
    <s v="Mapa de calor"/>
    <s v="Región de Magallanes regional comuna plazas públicas gestión municipal territorial gobierno regional municipal municipalidad"/>
    <x v="1074"/>
    <s v="100-C-12"/>
    <s v="#1774B9"/>
    <s v="990-1449"/>
    <n v="99200012"/>
    <s v="T-1054"/>
    <s v="C-1015"/>
    <s v="FI-991"/>
    <s v="M-1111"/>
  </r>
  <r>
    <x v="1449"/>
    <n v="990"/>
    <x v="0"/>
    <x v="3"/>
    <n v="13"/>
    <x v="70"/>
    <x v="25"/>
    <x v="1"/>
    <x v="13"/>
    <s v="Comuna"/>
    <s v="Cantidad de Plazas Públicas por Comuna"/>
    <s v="Año 2020"/>
    <s v="Número de Plazas Públicas"/>
    <s v="Sistema Nacional de Información Municipal"/>
    <x v="1448"/>
    <m/>
    <s v="Mapa de calor"/>
    <s v="Región Metropolitana regional comuna plazas públicas gestión municipal territorial gobierno regional municipal municipalidad"/>
    <x v="1075"/>
    <s v="200-C-13"/>
    <s v="#1774B9"/>
    <s v="990-1450"/>
    <n v="99200013"/>
    <s v="T-1054"/>
    <s v="C-1015"/>
    <s v="FI-991"/>
    <s v="M-1111"/>
  </r>
  <r>
    <x v="1450"/>
    <n v="990"/>
    <x v="0"/>
    <x v="3"/>
    <n v="14"/>
    <x v="70"/>
    <x v="25"/>
    <x v="1"/>
    <x v="14"/>
    <s v="Comuna"/>
    <s v="Cantidad de Plazas Públicas por Comuna"/>
    <s v="Año 2020"/>
    <s v="Número de Plazas Públicas"/>
    <s v="Sistema Nacional de Información Municipal"/>
    <x v="1449"/>
    <m/>
    <s v="Mapa de calor"/>
    <s v="Región de Los Ríos regional comuna plazas públicas gestión municipal territorial gobierno regional municipal municipalidad"/>
    <x v="1076"/>
    <s v="100-C-14"/>
    <s v="#1774B9"/>
    <s v="990-1451"/>
    <n v="99200014"/>
    <s v="T-1054"/>
    <s v="C-1015"/>
    <s v="FI-991"/>
    <s v="M-1111"/>
  </r>
  <r>
    <x v="1451"/>
    <n v="990"/>
    <x v="0"/>
    <x v="3"/>
    <n v="15"/>
    <x v="70"/>
    <x v="25"/>
    <x v="1"/>
    <x v="15"/>
    <s v="Comuna"/>
    <s v="Cantidad de Plazas Públicas por Comuna"/>
    <s v="Año 2020"/>
    <s v="Número de Plazas Públicas"/>
    <s v="Sistema Nacional de Información Municipal"/>
    <x v="1450"/>
    <m/>
    <s v="Mapa de calor"/>
    <s v="Región de Arica y Parinacota regional comuna plazas públicas gestión municipal territorial gobierno regional municipal municipalidad"/>
    <x v="1077"/>
    <s v="100-C-15"/>
    <s v="#1774B9"/>
    <s v="990-1452"/>
    <n v="99200015"/>
    <s v="T-1054"/>
    <s v="C-1015"/>
    <s v="FI-991"/>
    <s v="M-1111"/>
  </r>
  <r>
    <x v="1452"/>
    <n v="990"/>
    <x v="0"/>
    <x v="3"/>
    <n v="16"/>
    <x v="70"/>
    <x v="25"/>
    <x v="1"/>
    <x v="16"/>
    <s v="Comuna"/>
    <s v="Cantidad de Plazas Públicas por Comuna"/>
    <s v="Año 2020"/>
    <s v="Número de Plazas Públicas"/>
    <s v="Sistema Nacional de Información Municipal"/>
    <x v="1451"/>
    <m/>
    <s v="Mapa de calor"/>
    <s v="Región de Ñuble regional comuna plazas públicas gestión municipal territorial gobierno regional municipal municipalidad"/>
    <x v="1078"/>
    <s v="100-C-16"/>
    <s v="#1774B9"/>
    <s v="990-1453"/>
    <n v="99200016"/>
    <s v="T-1054"/>
    <s v="C-1015"/>
    <s v="FI-991"/>
    <s v="M-1111"/>
  </r>
  <r>
    <x v="1453"/>
    <n v="990"/>
    <x v="0"/>
    <x v="3"/>
    <n v="0"/>
    <x v="71"/>
    <x v="25"/>
    <x v="0"/>
    <x v="0"/>
    <s v="Región"/>
    <s v="Superficie (m2)"/>
    <s v="Periodo 2001-2020"/>
    <s v="m2"/>
    <s v="Sistema Nacional de Información Municipal"/>
    <x v="1452"/>
    <s v="En el año 2020, la comuna informada con más áreas verdes mantenidas por habitante fue Futaleufú, con 85 (m2). Le siguió Tortel, con 77,33 (m2), y Primavera, con 56,02 (m2). *(La interrupción en una línea significa que para ese año la información no fue entregada por parte del municipio)."/>
    <s v="Gráfico de Evolución"/>
    <s v="Chile regional comuna plazas públicas gestión municipal territorial gobierno regional municipal municipalidad"/>
    <x v="1079"/>
    <s v="300-C"/>
    <s v="#1774B9"/>
    <s v="990-1454"/>
    <n v="99100000"/>
    <s v="T-1059"/>
    <s v="C-1015"/>
    <s v="FI-992"/>
    <s v="M-1112"/>
  </r>
  <r>
    <x v="1454"/>
    <n v="990"/>
    <x v="0"/>
    <x v="3"/>
    <n v="1"/>
    <x v="71"/>
    <x v="25"/>
    <x v="1"/>
    <x v="1"/>
    <s v="Ninguno"/>
    <s v="Superficie (m2)"/>
    <s v="Periodo 2001-2020"/>
    <s v="m2"/>
    <s v="Sistema Nacional de Información Municipal"/>
    <x v="1453"/>
    <m/>
    <s v="Gráfico de Evolución"/>
    <s v="Región de Tarapacá regional comuna plazas públicas gestión municipal territorial gobierno regional municipal municipalidad"/>
    <x v="1080"/>
    <s v="100-C-1"/>
    <s v="#1774B9"/>
    <s v="990-1455"/>
    <n v="99200001"/>
    <s v="T-1059"/>
    <s v="C-1015"/>
    <s v="FI-993"/>
    <s v="M-1112"/>
  </r>
  <r>
    <x v="1455"/>
    <n v="990"/>
    <x v="0"/>
    <x v="3"/>
    <n v="2"/>
    <x v="71"/>
    <x v="25"/>
    <x v="1"/>
    <x v="2"/>
    <s v="Ninguno"/>
    <s v="Superficie (m2)"/>
    <s v="Periodo 2001-2020"/>
    <s v="m2"/>
    <s v="Sistema Nacional de Información Municipal"/>
    <x v="1454"/>
    <m/>
    <s v="Gráfico de Evolución"/>
    <s v="Región de Antofagasta regional comuna plazas públicas gestión municipal territorial gobierno regional municipal municipalidad"/>
    <x v="1081"/>
    <s v="100-C-2"/>
    <s v="#1774B9"/>
    <s v="990-1456"/>
    <n v="99200002"/>
    <s v="T-1059"/>
    <s v="C-1015"/>
    <s v="FI-993"/>
    <s v="M-1112"/>
  </r>
  <r>
    <x v="1456"/>
    <n v="990"/>
    <x v="0"/>
    <x v="3"/>
    <n v="3"/>
    <x v="71"/>
    <x v="25"/>
    <x v="1"/>
    <x v="3"/>
    <s v="Ninguno"/>
    <s v="Superficie (m2)"/>
    <s v="Periodo 2001-2020"/>
    <s v="m2"/>
    <s v="Sistema Nacional de Información Municipal"/>
    <x v="1455"/>
    <m/>
    <s v="Gráfico de Evolución"/>
    <s v="Región de Atacama regional comuna plazas públicas gestión municipal territorial gobierno regional municipal municipalidad"/>
    <x v="1082"/>
    <s v="100-C-3"/>
    <s v="#1774B9"/>
    <s v="990-1457"/>
    <n v="99200003"/>
    <s v="T-1059"/>
    <s v="C-1015"/>
    <s v="FI-993"/>
    <s v="M-1112"/>
  </r>
  <r>
    <x v="1457"/>
    <n v="990"/>
    <x v="0"/>
    <x v="3"/>
    <n v="4"/>
    <x v="71"/>
    <x v="25"/>
    <x v="1"/>
    <x v="4"/>
    <s v="Ninguno"/>
    <s v="Superficie (m2)"/>
    <s v="Periodo 2001-2020"/>
    <s v="m2"/>
    <s v="Sistema Nacional de Información Municipal"/>
    <x v="1456"/>
    <m/>
    <s v="Gráfico de Evolución"/>
    <s v="Región de Coquimbo regional comuna plazas públicas gestión municipal territorial gobierno regional municipal municipalidad"/>
    <x v="1083"/>
    <s v="100-C-4"/>
    <s v="#1774B9"/>
    <s v="990-1458"/>
    <n v="99200004"/>
    <s v="T-1059"/>
    <s v="C-1015"/>
    <s v="FI-993"/>
    <s v="M-1112"/>
  </r>
  <r>
    <x v="1458"/>
    <n v="990"/>
    <x v="0"/>
    <x v="3"/>
    <n v="5"/>
    <x v="71"/>
    <x v="25"/>
    <x v="1"/>
    <x v="5"/>
    <s v="Ninguno"/>
    <s v="Superficie (m2)"/>
    <s v="Periodo 2001-2020"/>
    <s v="m2"/>
    <s v="Sistema Nacional de Información Municipal"/>
    <x v="1457"/>
    <m/>
    <s v="Gráfico de Evolución"/>
    <s v="Región de Valparaíso regional comuna plazas públicas gestión municipal territorial gobierno regional municipal municipalidad"/>
    <x v="1084"/>
    <s v="100-C-5"/>
    <s v="#1774B9"/>
    <s v="990-1459"/>
    <n v="99200005"/>
    <s v="T-1059"/>
    <s v="C-1015"/>
    <s v="FI-993"/>
    <s v="M-1112"/>
  </r>
  <r>
    <x v="1459"/>
    <n v="990"/>
    <x v="0"/>
    <x v="3"/>
    <n v="6"/>
    <x v="71"/>
    <x v="25"/>
    <x v="1"/>
    <x v="6"/>
    <s v="Ninguno"/>
    <s v="Superficie (m2)"/>
    <s v="Periodo 2001-2020"/>
    <s v="m2"/>
    <s v="Sistema Nacional de Información Municipal"/>
    <x v="1458"/>
    <m/>
    <s v="Gráfico de Evolución"/>
    <s v="Región de O'Higgins regional comuna plazas públicas gestión municipal territorial gobierno regional municipal municipalidad"/>
    <x v="1085"/>
    <s v="100-C-6"/>
    <s v="#1774B9"/>
    <s v="990-1460"/>
    <n v="99200006"/>
    <s v="T-1059"/>
    <s v="C-1015"/>
    <s v="FI-993"/>
    <s v="M-1112"/>
  </r>
  <r>
    <x v="1460"/>
    <n v="990"/>
    <x v="0"/>
    <x v="3"/>
    <n v="7"/>
    <x v="71"/>
    <x v="25"/>
    <x v="1"/>
    <x v="7"/>
    <s v="Ninguno"/>
    <s v="Superficie (m2)"/>
    <s v="Periodo 2001-2020"/>
    <s v="m2"/>
    <s v="Sistema Nacional de Información Municipal"/>
    <x v="1459"/>
    <m/>
    <s v="Gráfico de Evolución"/>
    <s v="Región de Maule regional comuna plazas públicas gestión municipal territorial gobierno regional municipal municipalidad"/>
    <x v="1086"/>
    <s v="100-C-7"/>
    <s v="#1774B9"/>
    <s v="990-1461"/>
    <n v="99200007"/>
    <s v="T-1059"/>
    <s v="C-1015"/>
    <s v="FI-993"/>
    <s v="M-1112"/>
  </r>
  <r>
    <x v="1461"/>
    <n v="990"/>
    <x v="0"/>
    <x v="3"/>
    <n v="8"/>
    <x v="71"/>
    <x v="25"/>
    <x v="1"/>
    <x v="8"/>
    <s v="Ninguno"/>
    <s v="Superficie (m2)"/>
    <s v="Periodo 2001-2020"/>
    <s v="m2"/>
    <s v="Sistema Nacional de Información Municipal"/>
    <x v="1460"/>
    <m/>
    <s v="Gráfico de Evolución"/>
    <s v="Región del Biobío regional comuna plazas públicas gestión municipal territorial gobierno regional municipal municipalidad"/>
    <x v="1087"/>
    <s v="100-C-8"/>
    <s v="#1774B9"/>
    <s v="990-1462"/>
    <n v="99200008"/>
    <s v="T-1059"/>
    <s v="C-1015"/>
    <s v="FI-993"/>
    <s v="M-1112"/>
  </r>
  <r>
    <x v="1462"/>
    <n v="990"/>
    <x v="0"/>
    <x v="3"/>
    <n v="9"/>
    <x v="71"/>
    <x v="25"/>
    <x v="1"/>
    <x v="9"/>
    <s v="Ninguno"/>
    <s v="Superficie (m2)"/>
    <s v="Periodo 2001-2020"/>
    <s v="m2"/>
    <s v="Sistema Nacional de Información Municipal"/>
    <x v="1461"/>
    <m/>
    <s v="Gráfico de Evolución"/>
    <s v="Región de La Araucanía regional comuna plazas públicas gestión municipal territorial gobierno regional municipal municipalidad"/>
    <x v="1088"/>
    <s v="100-C-9"/>
    <s v="#1774B9"/>
    <s v="990-1463"/>
    <n v="99200009"/>
    <s v="T-1059"/>
    <s v="C-1015"/>
    <s v="FI-993"/>
    <s v="M-1112"/>
  </r>
  <r>
    <x v="1463"/>
    <n v="990"/>
    <x v="0"/>
    <x v="3"/>
    <n v="10"/>
    <x v="71"/>
    <x v="25"/>
    <x v="1"/>
    <x v="10"/>
    <s v="Ninguno"/>
    <s v="Superficie (m2)"/>
    <s v="Periodo 2001-2020"/>
    <s v="m2"/>
    <s v="Sistema Nacional de Información Municipal"/>
    <x v="1462"/>
    <m/>
    <s v="Gráfico de Evolución"/>
    <s v="Región de Los Lagos regional comuna plazas públicas gestión municipal territorial gobierno regional municipal municipalidad"/>
    <x v="1089"/>
    <s v="100-C-10"/>
    <s v="#1774B9"/>
    <s v="990-1464"/>
    <n v="99200010"/>
    <s v="T-1059"/>
    <s v="C-1015"/>
    <s v="FI-993"/>
    <s v="M-1112"/>
  </r>
  <r>
    <x v="1464"/>
    <n v="990"/>
    <x v="0"/>
    <x v="3"/>
    <n v="11"/>
    <x v="71"/>
    <x v="25"/>
    <x v="1"/>
    <x v="11"/>
    <s v="Ninguno"/>
    <s v="Superficie (m2)"/>
    <s v="Periodo 2001-2020"/>
    <s v="m2"/>
    <s v="Sistema Nacional de Información Municipal"/>
    <x v="1463"/>
    <m/>
    <s v="Gráfico de Evolución"/>
    <s v="Región de Aysén regional comuna plazas públicas gestión municipal territorial gobierno regional municipal municipalidad"/>
    <x v="1090"/>
    <s v="100-C-11"/>
    <s v="#1774B9"/>
    <s v="990-1465"/>
    <n v="99200011"/>
    <s v="T-1059"/>
    <s v="C-1015"/>
    <s v="FI-993"/>
    <s v="M-1112"/>
  </r>
  <r>
    <x v="1465"/>
    <n v="990"/>
    <x v="0"/>
    <x v="3"/>
    <n v="12"/>
    <x v="71"/>
    <x v="25"/>
    <x v="1"/>
    <x v="12"/>
    <s v="Ninguno"/>
    <s v="Superficie (m2)"/>
    <s v="Periodo 2001-2020"/>
    <s v="m2"/>
    <s v="Sistema Nacional de Información Municipal"/>
    <x v="1464"/>
    <m/>
    <s v="Gráfico de Evolución"/>
    <s v="Región de Magallanes regional comuna plazas públicas gestión municipal territorial gobierno regional municipal municipalidad"/>
    <x v="1091"/>
    <s v="100-C-12"/>
    <s v="#1774B9"/>
    <s v="990-1466"/>
    <n v="99200012"/>
    <s v="T-1059"/>
    <s v="C-1015"/>
    <s v="FI-993"/>
    <s v="M-1112"/>
  </r>
  <r>
    <x v="1466"/>
    <n v="990"/>
    <x v="0"/>
    <x v="3"/>
    <n v="13"/>
    <x v="71"/>
    <x v="25"/>
    <x v="1"/>
    <x v="13"/>
    <s v="Ninguno"/>
    <s v="Superficie (m2)"/>
    <s v="Periodo 2001-2020"/>
    <s v="m2"/>
    <s v="Sistema Nacional de Información Municipal"/>
    <x v="1465"/>
    <m/>
    <s v="Gráfico de Evolución"/>
    <s v="Región Metropolitana regional comuna plazas públicas gestión municipal territorial gobierno regional municipal municipalidad"/>
    <x v="1092"/>
    <s v="200-C-13"/>
    <s v="#1774B9"/>
    <s v="990-1467"/>
    <n v="99200013"/>
    <s v="T-1059"/>
    <s v="C-1015"/>
    <s v="FI-993"/>
    <s v="M-1112"/>
  </r>
  <r>
    <x v="1467"/>
    <n v="990"/>
    <x v="0"/>
    <x v="3"/>
    <n v="14"/>
    <x v="71"/>
    <x v="25"/>
    <x v="1"/>
    <x v="14"/>
    <s v="Ninguno"/>
    <s v="Superficie (m2)"/>
    <s v="Periodo 2001-2020"/>
    <s v="m2"/>
    <s v="Sistema Nacional de Información Municipal"/>
    <x v="1466"/>
    <m/>
    <s v="Gráfico de Evolución"/>
    <s v="Región de Los Ríos regional comuna plazas públicas gestión municipal territorial gobierno regional municipal municipalidad"/>
    <x v="1093"/>
    <s v="100-C-14"/>
    <s v="#1774B9"/>
    <s v="990-1468"/>
    <n v="99200014"/>
    <s v="T-1059"/>
    <s v="C-1015"/>
    <s v="FI-993"/>
    <s v="M-1112"/>
  </r>
  <r>
    <x v="1468"/>
    <n v="990"/>
    <x v="0"/>
    <x v="3"/>
    <n v="15"/>
    <x v="71"/>
    <x v="25"/>
    <x v="1"/>
    <x v="15"/>
    <s v="Ninguno"/>
    <s v="Superficie (m2)"/>
    <s v="Periodo 2001-2020"/>
    <s v="m2"/>
    <s v="Sistema Nacional de Información Municipal"/>
    <x v="1467"/>
    <m/>
    <s v="Gráfico de Evolución"/>
    <s v="Región de Arica y Parinacota regional comuna plazas públicas gestión municipal territorial gobierno regional municipal municipalidad"/>
    <x v="1094"/>
    <s v="100-C-15"/>
    <s v="#1774B9"/>
    <s v="990-1469"/>
    <n v="99200015"/>
    <s v="T-1059"/>
    <s v="C-1015"/>
    <s v="FI-993"/>
    <s v="M-1112"/>
  </r>
  <r>
    <x v="1469"/>
    <n v="990"/>
    <x v="0"/>
    <x v="3"/>
    <n v="16"/>
    <x v="71"/>
    <x v="25"/>
    <x v="1"/>
    <x v="16"/>
    <s v="Ninguno"/>
    <s v="Superficie (m2)"/>
    <s v="Periodo 2001-2020"/>
    <s v="m2"/>
    <s v="Sistema Nacional de Información Municipal"/>
    <x v="1468"/>
    <m/>
    <s v="Gráfico de Evolución"/>
    <s v="Región de Ñuble regional comuna plazas públicas gestión municipal territorial gobierno regional municipal municipalidad"/>
    <x v="1095"/>
    <s v="100-C-16"/>
    <s v="#1774B9"/>
    <s v="990-1470"/>
    <n v="99200016"/>
    <s v="T-1059"/>
    <s v="C-1015"/>
    <s v="FI-993"/>
    <s v="M-1112"/>
  </r>
  <r>
    <x v="1470"/>
    <n v="990"/>
    <x v="0"/>
    <x v="4"/>
    <n v="0"/>
    <x v="72"/>
    <x v="28"/>
    <x v="0"/>
    <x v="0"/>
    <s v="Ninguno"/>
    <s v="Proproción (%) de la población que tuvo Consultas Mentales"/>
    <s v="Periodo 2009-2017"/>
    <s v="Porcentaje (%)"/>
    <s v="Encuestas CASEN"/>
    <x v="1469"/>
    <s v="El porcentaje de la población que ha tenido consultas médicas por salud mental entre el 2009 y 2017 se ha mantenido constantemente en un rango entre el 2,2 y 2,8%."/>
    <s v="Gráfico de Evolución"/>
    <s v="Chile nacional salud mental consultas porcentaje proporción población evolución"/>
    <x v="1096"/>
    <n v="0"/>
    <s v="#1774B9"/>
    <s v="990-1471"/>
    <n v="99100000"/>
    <s v="T-1060"/>
    <s v="C-1018"/>
    <s v="FI-993"/>
    <s v="M-1113"/>
  </r>
  <r>
    <x v="1471"/>
    <n v="990"/>
    <x v="0"/>
    <x v="4"/>
    <n v="0"/>
    <x v="72"/>
    <x v="28"/>
    <x v="0"/>
    <x v="0"/>
    <s v="Ninguno"/>
    <s v="Tasa Cada 100 mil habitantes"/>
    <s v="Periodo 2009-2017"/>
    <s v="Tasa"/>
    <s v="Encuestas CASEN"/>
    <x v="1470"/>
    <s v="La mayor tasa de atenciones de consultas mentales fue de 3.384 el año 2015 para la Región Metropolitana"/>
    <s v="Gráfico de Evolución"/>
    <s v="Chile nacional región salud mental consultas tasa cada 100 cien mil habitantes evolución"/>
    <x v="1097"/>
    <s v="300-R"/>
    <s v="#1774B9"/>
    <s v="990-1472"/>
    <n v="99100000"/>
    <s v="T-1060"/>
    <s v="C-1018"/>
    <s v="FI-993"/>
    <s v="M-1115"/>
  </r>
  <r>
    <x v="1472"/>
    <n v="990"/>
    <x v="0"/>
    <x v="4"/>
    <n v="0"/>
    <x v="72"/>
    <x v="28"/>
    <x v="0"/>
    <x v="0"/>
    <s v="Región"/>
    <s v="Tasa Cada 100 mil habitantes"/>
    <s v="Periodo 2009-2017"/>
    <s v="Tasa"/>
    <s v="Encuestas CASEN"/>
    <x v="1471"/>
    <s v="Para la región del Biobío fue la comuna de Chiguayante la que presentó la mayor tasa de consultas de salud mental con 5.151 atenciones cada 100 mil habitantes para el año 2017"/>
    <s v="Gráfico de Evolución"/>
    <s v="Chile nacional región comuna salud mental consultas tasa cada 100 cien mil habitantes evolución"/>
    <x v="1098"/>
    <s v="300-C"/>
    <s v="#1774B9"/>
    <s v="990-1473"/>
    <n v="99100000"/>
    <s v="T-1060"/>
    <s v="C-1018"/>
    <s v="FI-992"/>
    <s v="M-1115"/>
  </r>
  <r>
    <x v="1473"/>
    <n v="990"/>
    <x v="0"/>
    <x v="4"/>
    <n v="1"/>
    <x v="72"/>
    <x v="28"/>
    <x v="1"/>
    <x v="1"/>
    <s v="Ninguno"/>
    <s v="Tasa Cada 100 mil habitantes"/>
    <s v="Periodo 2009-2017"/>
    <s v="Tasa"/>
    <s v="Encuestas CASEN"/>
    <x v="1472"/>
    <m/>
    <s v="Gráfico de Evolución"/>
    <s v="Región de Tarapacá regional comuna salud mental consultas tasa cada 100 cien mil habitantes evolución"/>
    <x v="1099"/>
    <s v="100-C-1"/>
    <s v="#1774B9"/>
    <s v="990-1474"/>
    <n v="99200001"/>
    <s v="T-1060"/>
    <s v="C-1018"/>
    <s v="FI-993"/>
    <s v="M-1115"/>
  </r>
  <r>
    <x v="1474"/>
    <n v="990"/>
    <x v="0"/>
    <x v="4"/>
    <n v="2"/>
    <x v="72"/>
    <x v="28"/>
    <x v="1"/>
    <x v="2"/>
    <s v="Ninguno"/>
    <s v="Tasa Cada 100 mil habitantes"/>
    <s v="Periodo 2009-2017"/>
    <s v="Tasa"/>
    <s v="Encuestas CASEN"/>
    <x v="1473"/>
    <m/>
    <s v="Gráfico de Evolución"/>
    <s v="Región de Antofagasta regional comuna salud mental consultas tasa cada 100 cien mil habitantes evolución"/>
    <x v="1100"/>
    <s v="100-C-2"/>
    <s v="#1774B9"/>
    <s v="990-1475"/>
    <n v="99200002"/>
    <s v="T-1060"/>
    <s v="C-1018"/>
    <s v="FI-993"/>
    <s v="M-1115"/>
  </r>
  <r>
    <x v="1475"/>
    <n v="990"/>
    <x v="0"/>
    <x v="4"/>
    <n v="3"/>
    <x v="72"/>
    <x v="28"/>
    <x v="1"/>
    <x v="3"/>
    <s v="Ninguno"/>
    <s v="Tasa Cada 100 mil habitantes"/>
    <s v="Periodo 2009-2017"/>
    <s v="Tasa"/>
    <s v="Encuestas CASEN"/>
    <x v="1474"/>
    <m/>
    <s v="Gráfico de Evolución"/>
    <s v="Región de Atacama regional comuna salud mental consultas tasa cada 100 cien mil habitantes evolución"/>
    <x v="1101"/>
    <s v="100-C-3"/>
    <s v="#1774B9"/>
    <s v="990-1476"/>
    <n v="99200003"/>
    <s v="T-1060"/>
    <s v="C-1018"/>
    <s v="FI-993"/>
    <s v="M-1115"/>
  </r>
  <r>
    <x v="1476"/>
    <n v="990"/>
    <x v="0"/>
    <x v="4"/>
    <n v="4"/>
    <x v="72"/>
    <x v="28"/>
    <x v="1"/>
    <x v="4"/>
    <s v="Ninguno"/>
    <s v="Tasa Cada 100 mil habitantes"/>
    <s v="Periodo 2009-2017"/>
    <s v="Tasa"/>
    <s v="Encuestas CASEN"/>
    <x v="1475"/>
    <m/>
    <s v="Gráfico de Evolución"/>
    <s v="Región de Coquimbo regional comuna salud mental consultas tasa cada 100 cien mil habitantes evolución"/>
    <x v="1102"/>
    <s v="100-C-4"/>
    <s v="#1774B9"/>
    <s v="990-1477"/>
    <n v="99200004"/>
    <s v="T-1060"/>
    <s v="C-1018"/>
    <s v="FI-993"/>
    <s v="M-1115"/>
  </r>
  <r>
    <x v="1477"/>
    <n v="990"/>
    <x v="0"/>
    <x v="4"/>
    <n v="5"/>
    <x v="72"/>
    <x v="28"/>
    <x v="1"/>
    <x v="5"/>
    <s v="Ninguno"/>
    <s v="Tasa Cada 100 mil habitantes"/>
    <s v="Periodo 2009-2017"/>
    <s v="Tasa"/>
    <s v="Encuestas CASEN"/>
    <x v="1476"/>
    <m/>
    <s v="Gráfico de Evolución"/>
    <s v="Región de Valparaíso regional comuna salud mental consultas tasa cada 100 cien mil habitantes evolución"/>
    <x v="1103"/>
    <s v="100-C-5"/>
    <s v="#1774B9"/>
    <s v="990-1478"/>
    <n v="99200005"/>
    <s v="T-1060"/>
    <s v="C-1018"/>
    <s v="FI-993"/>
    <s v="M-1115"/>
  </r>
  <r>
    <x v="1478"/>
    <n v="990"/>
    <x v="0"/>
    <x v="4"/>
    <n v="6"/>
    <x v="72"/>
    <x v="28"/>
    <x v="1"/>
    <x v="6"/>
    <s v="Ninguno"/>
    <s v="Tasa Cada 100 mil habitantes"/>
    <s v="Periodo 2009-2017"/>
    <s v="Tasa"/>
    <s v="Encuestas CASEN"/>
    <x v="1477"/>
    <m/>
    <s v="Gráfico de Evolución"/>
    <s v="Región de O'Higgins regional comuna salud mental consultas tasa cada 100 cien mil habitantes evolución"/>
    <x v="1104"/>
    <s v="100-C-6"/>
    <s v="#1774B9"/>
    <s v="990-1479"/>
    <n v="99200006"/>
    <s v="T-1060"/>
    <s v="C-1018"/>
    <s v="FI-993"/>
    <s v="M-1115"/>
  </r>
  <r>
    <x v="1479"/>
    <n v="990"/>
    <x v="0"/>
    <x v="4"/>
    <n v="7"/>
    <x v="72"/>
    <x v="28"/>
    <x v="1"/>
    <x v="7"/>
    <s v="Ninguno"/>
    <s v="Tasa Cada 100 mil habitantes"/>
    <s v="Periodo 2009-2017"/>
    <s v="Tasa"/>
    <s v="Encuestas CASEN"/>
    <x v="1478"/>
    <m/>
    <s v="Gráfico de Evolución"/>
    <s v="Región de Maule regional comuna salud mental consultas tasa cada 100 cien mil habitantes evolución"/>
    <x v="1105"/>
    <s v="100-C-7"/>
    <s v="#1774B9"/>
    <s v="990-1480"/>
    <n v="99200007"/>
    <s v="T-1060"/>
    <s v="C-1018"/>
    <s v="FI-993"/>
    <s v="M-1115"/>
  </r>
  <r>
    <x v="1480"/>
    <n v="990"/>
    <x v="0"/>
    <x v="4"/>
    <n v="8"/>
    <x v="72"/>
    <x v="28"/>
    <x v="1"/>
    <x v="8"/>
    <s v="Ninguno"/>
    <s v="Tasa Cada 100 mil habitantes"/>
    <s v="Periodo 2009-2017"/>
    <s v="Tasa"/>
    <s v="Encuestas CASEN"/>
    <x v="1479"/>
    <m/>
    <s v="Gráfico de Evolución"/>
    <s v="Región del Biobío regional comuna salud mental consultas tasa cada 100 cien mil habitantes evolución"/>
    <x v="1106"/>
    <s v="100-C-8"/>
    <s v="#1774B9"/>
    <s v="990-1481"/>
    <n v="99200008"/>
    <s v="T-1060"/>
    <s v="C-1018"/>
    <s v="FI-993"/>
    <s v="M-1115"/>
  </r>
  <r>
    <x v="1481"/>
    <n v="990"/>
    <x v="0"/>
    <x v="4"/>
    <n v="9"/>
    <x v="72"/>
    <x v="28"/>
    <x v="1"/>
    <x v="9"/>
    <s v="Ninguno"/>
    <s v="Tasa Cada 100 mil habitantes"/>
    <s v="Periodo 2009-2017"/>
    <s v="Tasa"/>
    <s v="Encuestas CASEN"/>
    <x v="1480"/>
    <m/>
    <s v="Gráfico de Evolución"/>
    <s v="Región de La Araucanía regional comuna salud mental consultas tasa cada 100 cien mil habitantes evolución"/>
    <x v="1107"/>
    <s v="100-C-9"/>
    <s v="#1774B9"/>
    <s v="990-1482"/>
    <n v="99200009"/>
    <s v="T-1060"/>
    <s v="C-1018"/>
    <s v="FI-993"/>
    <s v="M-1115"/>
  </r>
  <r>
    <x v="1482"/>
    <n v="990"/>
    <x v="0"/>
    <x v="4"/>
    <n v="10"/>
    <x v="72"/>
    <x v="28"/>
    <x v="1"/>
    <x v="10"/>
    <s v="Ninguno"/>
    <s v="Tasa Cada 100 mil habitantes"/>
    <s v="Periodo 2009-2017"/>
    <s v="Tasa"/>
    <s v="Encuestas CASEN"/>
    <x v="1481"/>
    <m/>
    <s v="Gráfico de Evolución"/>
    <s v="Región de Los Lagos regional comuna salud mental consultas tasa cada 100 cien mil habitantes evolución"/>
    <x v="1108"/>
    <s v="100-C-10"/>
    <s v="#1774B9"/>
    <s v="990-1483"/>
    <n v="99200010"/>
    <s v="T-1060"/>
    <s v="C-1018"/>
    <s v="FI-993"/>
    <s v="M-1115"/>
  </r>
  <r>
    <x v="1483"/>
    <n v="990"/>
    <x v="0"/>
    <x v="4"/>
    <n v="11"/>
    <x v="72"/>
    <x v="28"/>
    <x v="1"/>
    <x v="11"/>
    <s v="Ninguno"/>
    <s v="Tasa Cada 100 mil habitantes"/>
    <s v="Periodo 2009-2017"/>
    <s v="Tasa"/>
    <s v="Encuestas CASEN"/>
    <x v="1482"/>
    <m/>
    <s v="Gráfico de Evolución"/>
    <s v="Región de Aysén regional comuna salud mental consultas tasa cada 100 cien mil habitantes evolución"/>
    <x v="1109"/>
    <s v="100-C-11"/>
    <s v="#1774B9"/>
    <s v="990-1484"/>
    <n v="99200011"/>
    <s v="T-1060"/>
    <s v="C-1018"/>
    <s v="FI-993"/>
    <s v="M-1115"/>
  </r>
  <r>
    <x v="1484"/>
    <n v="990"/>
    <x v="0"/>
    <x v="4"/>
    <n v="12"/>
    <x v="72"/>
    <x v="28"/>
    <x v="1"/>
    <x v="12"/>
    <s v="Ninguno"/>
    <s v="Tasa Cada 100 mil habitantes"/>
    <s v="Periodo 2009-2017"/>
    <s v="Tasa"/>
    <s v="Encuestas CASEN"/>
    <x v="1483"/>
    <m/>
    <s v="Gráfico de Evolución"/>
    <s v="Región de Magallanes regional comuna salud mental consultas tasa cada 100 cien mil habitantes evolución"/>
    <x v="1110"/>
    <s v="100-C-12"/>
    <s v="#1774B9"/>
    <s v="990-1485"/>
    <n v="99200012"/>
    <s v="T-1060"/>
    <s v="C-1018"/>
    <s v="FI-993"/>
    <s v="M-1115"/>
  </r>
  <r>
    <x v="1485"/>
    <n v="990"/>
    <x v="0"/>
    <x v="4"/>
    <n v="13"/>
    <x v="72"/>
    <x v="28"/>
    <x v="1"/>
    <x v="13"/>
    <s v="Ninguno"/>
    <s v="Tasa Cada 100 mil habitantes"/>
    <s v="Periodo 2009-2017"/>
    <s v="Tasa"/>
    <s v="Encuestas CASEN"/>
    <x v="1484"/>
    <m/>
    <s v="Gráfico de Evolución"/>
    <s v="Región Metropolitana regional comuna salud mental consultas tasa cada 100 cien mil habitantes evolución"/>
    <x v="1111"/>
    <s v="200-C-13"/>
    <s v="#1774B9"/>
    <s v="990-1486"/>
    <n v="99200013"/>
    <s v="T-1060"/>
    <s v="C-1018"/>
    <s v="FI-993"/>
    <s v="M-1115"/>
  </r>
  <r>
    <x v="1486"/>
    <n v="990"/>
    <x v="0"/>
    <x v="4"/>
    <n v="14"/>
    <x v="72"/>
    <x v="28"/>
    <x v="1"/>
    <x v="14"/>
    <s v="Ninguno"/>
    <s v="Tasa Cada 100 mil habitantes"/>
    <s v="Periodo 2009-2017"/>
    <s v="Tasa"/>
    <s v="Encuestas CASEN"/>
    <x v="1485"/>
    <m/>
    <s v="Gráfico de Evolución"/>
    <s v="Región de Los Ríos regional comuna salud mental consultas tasa cada 100 cien mil habitantes evolución"/>
    <x v="1112"/>
    <s v="100-C-14"/>
    <s v="#1774B9"/>
    <s v="990-1487"/>
    <n v="99200014"/>
    <s v="T-1060"/>
    <s v="C-1018"/>
    <s v="FI-993"/>
    <s v="M-1115"/>
  </r>
  <r>
    <x v="1487"/>
    <n v="990"/>
    <x v="0"/>
    <x v="4"/>
    <n v="15"/>
    <x v="72"/>
    <x v="28"/>
    <x v="1"/>
    <x v="15"/>
    <s v="Ninguno"/>
    <s v="Tasa Cada 100 mil habitantes"/>
    <s v="Periodo 2009-2017"/>
    <s v="Tasa"/>
    <s v="Encuestas CASEN"/>
    <x v="1486"/>
    <m/>
    <s v="Gráfico de Evolución"/>
    <s v="Región de Arica y Parinacota regional comuna salud mental consultas tasa cada 100 cien mil habitantes evolución"/>
    <x v="1113"/>
    <s v="100-C-15"/>
    <s v="#1774B10"/>
    <s v="990-1488"/>
    <n v="99200015"/>
    <s v="T-1060"/>
    <s v="C-1018"/>
    <s v="FI-993"/>
    <s v="M-1115"/>
  </r>
  <r>
    <x v="1488"/>
    <n v="990"/>
    <x v="0"/>
    <x v="4"/>
    <n v="16"/>
    <x v="72"/>
    <x v="28"/>
    <x v="1"/>
    <x v="16"/>
    <s v="Ninguno"/>
    <s v="Tasa Cada 100 mil habitantes"/>
    <s v="Periodo 2009-2017"/>
    <s v="Tasa"/>
    <s v="Encuestas CASEN"/>
    <x v="1487"/>
    <m/>
    <s v="Gráfico de Evolución"/>
    <s v="Región de Ñuble regional comuna salud mental consultas tasa cada 100 cien mil habitantes evolución"/>
    <x v="1114"/>
    <s v="100-C-16"/>
    <s v="#1774B11"/>
    <s v="990-1489"/>
    <n v="99200016"/>
    <s v="T-1060"/>
    <s v="C-1018"/>
    <s v="FI-993"/>
    <s v="M-1115"/>
  </r>
  <r>
    <x v="1489"/>
    <n v="990"/>
    <x v="0"/>
    <x v="14"/>
    <n v="0"/>
    <x v="73"/>
    <x v="29"/>
    <x v="0"/>
    <x v="0"/>
    <s v="Año"/>
    <s v="Cantidad de conexiones de internet fija por comuna"/>
    <s v="Periodo 2007-2019"/>
    <s v="Número de suscripciones"/>
    <s v="Biblioteca del Congreso Nacional"/>
    <x v="1488"/>
    <s v="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
    <s v="Ranking"/>
    <s v="ranking conexiones internet fija chile país suscripciones comunas cantidad"/>
    <x v="1115"/>
    <s v="300-C"/>
    <s v="#1774B12"/>
    <s v="990-1490"/>
    <n v="99100000"/>
    <s v="T-1065"/>
    <s v="C-1022"/>
    <s v="FI-1006"/>
    <s v="M-1116"/>
  </r>
  <r>
    <x v="1490"/>
    <n v="990"/>
    <x v="0"/>
    <x v="14"/>
    <n v="0"/>
    <x v="73"/>
    <x v="29"/>
    <x v="0"/>
    <x v="0"/>
    <s v="Región"/>
    <s v="Cantidad de conexiones de internet fija por comuna"/>
    <s v="Año 2019"/>
    <s v="Número de suscripciones"/>
    <s v="Biblioteca del Congreso Nacional"/>
    <x v="1489"/>
    <s v="En el año 2019, la comuna de la región de Coquimbo que poseía la mayor cantidad de conexiones internet fija, fue la comuna de Combarbalá, con 70.319 conexiones, mientras por su lado en segundo lugar viene la comuna de La Serena, con 60,752 conexiones."/>
    <s v="Mapa de calor"/>
    <s v="Chile conexión internet fija comuna región conexiones suscripciones país"/>
    <x v="1116"/>
    <s v="300-R"/>
    <s v="#1774B13"/>
    <s v="990-1491"/>
    <n v="99100000"/>
    <s v="T-1065"/>
    <s v="C-1022"/>
    <s v="FI-992"/>
    <s v="M-1116"/>
  </r>
  <r>
    <x v="1491"/>
    <n v="990"/>
    <x v="0"/>
    <x v="14"/>
    <n v="1"/>
    <x v="73"/>
    <x v="29"/>
    <x v="1"/>
    <x v="1"/>
    <s v="Ninguno"/>
    <s v="Cantidad de conexiones de internet fija por comuna"/>
    <s v="Año 2019"/>
    <s v="Número de suscripciones"/>
    <s v="Biblioteca del Congreso Nacional"/>
    <x v="1490"/>
    <m/>
    <s v="Mapa de calor"/>
    <s v="Región de Tarapacá conexión internet fija comuna región conexiones suscripciones "/>
    <x v="1117"/>
    <s v="100-C-1"/>
    <s v="#1774B14"/>
    <s v="990-1492"/>
    <n v="99200001"/>
    <s v="T-1065"/>
    <s v="C-1022"/>
    <s v="FI-993"/>
    <s v="M-1116"/>
  </r>
  <r>
    <x v="1492"/>
    <n v="990"/>
    <x v="0"/>
    <x v="14"/>
    <n v="2"/>
    <x v="73"/>
    <x v="29"/>
    <x v="1"/>
    <x v="2"/>
    <s v="Ninguno"/>
    <s v="Cantidad de conexiones de internet fija por comuna"/>
    <s v="Año 2019"/>
    <s v="Número de suscripciones"/>
    <s v="Biblioteca del Congreso Nacional"/>
    <x v="1491"/>
    <m/>
    <s v="Mapa de calor"/>
    <s v="Región de Antofagasta conexión internet fija comuna región conexiones suscripciones "/>
    <x v="1118"/>
    <s v="100-C-2"/>
    <s v="#1774B15"/>
    <s v="990-1493"/>
    <n v="99200002"/>
    <s v="T-1065"/>
    <s v="C-1022"/>
    <s v="FI-993"/>
    <s v="M-1116"/>
  </r>
  <r>
    <x v="1493"/>
    <n v="990"/>
    <x v="0"/>
    <x v="14"/>
    <n v="3"/>
    <x v="73"/>
    <x v="29"/>
    <x v="1"/>
    <x v="3"/>
    <s v="Ninguno"/>
    <s v="Cantidad de conexiones de internet fija por comuna"/>
    <s v="Año 2019"/>
    <s v="Número de suscripciones"/>
    <s v="Biblioteca del Congreso Nacional"/>
    <x v="1492"/>
    <m/>
    <s v="Mapa de calor"/>
    <s v="Región de Atacama conexión internet fija comuna región conexiones suscripciones "/>
    <x v="1119"/>
    <s v="100-C-3"/>
    <s v="#1774B16"/>
    <s v="990-1494"/>
    <n v="99200003"/>
    <s v="T-1065"/>
    <s v="C-1022"/>
    <s v="FI-993"/>
    <s v="M-1116"/>
  </r>
  <r>
    <x v="1494"/>
    <n v="990"/>
    <x v="0"/>
    <x v="14"/>
    <n v="4"/>
    <x v="73"/>
    <x v="29"/>
    <x v="1"/>
    <x v="4"/>
    <s v="Ninguno"/>
    <s v="Cantidad de conexiones de internet fija por comuna"/>
    <s v="Año 2019"/>
    <s v="Número de suscripciones"/>
    <s v="Biblioteca del Congreso Nacional"/>
    <x v="1493"/>
    <m/>
    <s v="Mapa de calor"/>
    <s v="Región de Coquimbo conexión internet fija comuna región conexiones suscripciones "/>
    <x v="1120"/>
    <s v="100-C-4"/>
    <s v="#1774B17"/>
    <s v="990-1495"/>
    <n v="99200004"/>
    <s v="T-1065"/>
    <s v="C-1022"/>
    <s v="FI-993"/>
    <s v="M-1116"/>
  </r>
  <r>
    <x v="1495"/>
    <n v="990"/>
    <x v="0"/>
    <x v="14"/>
    <n v="5"/>
    <x v="73"/>
    <x v="29"/>
    <x v="1"/>
    <x v="5"/>
    <s v="Ninguno"/>
    <s v="Cantidad de conexiones de internet fija por comuna"/>
    <s v="Año 2019"/>
    <s v="Número de suscripciones"/>
    <s v="Biblioteca del Congreso Nacional"/>
    <x v="1494"/>
    <m/>
    <s v="Mapa de calor"/>
    <s v="Región de Valparaíso conexión internet fija comuna región conexiones suscripciones "/>
    <x v="1121"/>
    <s v="100-C-5"/>
    <s v="#1774B18"/>
    <s v="990-1496"/>
    <n v="99200005"/>
    <s v="T-1065"/>
    <s v="C-1022"/>
    <s v="FI-993"/>
    <s v="M-1116"/>
  </r>
  <r>
    <x v="1496"/>
    <n v="990"/>
    <x v="0"/>
    <x v="14"/>
    <n v="6"/>
    <x v="73"/>
    <x v="29"/>
    <x v="1"/>
    <x v="6"/>
    <s v="Ninguno"/>
    <s v="Cantidad de conexiones de internet fija por comuna"/>
    <s v="Año 2019"/>
    <s v="Número de suscripciones"/>
    <s v="Biblioteca del Congreso Nacional"/>
    <x v="1495"/>
    <m/>
    <s v="Mapa de calor"/>
    <s v="Región de O'Higgins conexión internet fija comuna región conexiones suscripciones "/>
    <x v="1122"/>
    <s v="100-C-6"/>
    <s v="#1774B19"/>
    <s v="990-1497"/>
    <n v="99200006"/>
    <s v="T-1065"/>
    <s v="C-1022"/>
    <s v="FI-993"/>
    <s v="M-1116"/>
  </r>
  <r>
    <x v="1497"/>
    <n v="990"/>
    <x v="0"/>
    <x v="14"/>
    <n v="7"/>
    <x v="73"/>
    <x v="29"/>
    <x v="1"/>
    <x v="7"/>
    <s v="Ninguno"/>
    <s v="Cantidad de conexiones de internet fija por comuna"/>
    <s v="Año 2019"/>
    <s v="Número de suscripciones"/>
    <s v="Biblioteca del Congreso Nacional"/>
    <x v="1496"/>
    <m/>
    <s v="Mapa de calor"/>
    <s v="Región de Maule conexión internet fija comuna región conexiones suscripciones "/>
    <x v="1123"/>
    <s v="100-C-7"/>
    <s v="#1774B20"/>
    <s v="990-1498"/>
    <n v="99200007"/>
    <s v="T-1065"/>
    <s v="C-1022"/>
    <s v="FI-993"/>
    <s v="M-1116"/>
  </r>
  <r>
    <x v="1498"/>
    <n v="990"/>
    <x v="0"/>
    <x v="14"/>
    <n v="8"/>
    <x v="73"/>
    <x v="29"/>
    <x v="1"/>
    <x v="8"/>
    <s v="Ninguno"/>
    <s v="Cantidad de conexiones de internet fija por comuna"/>
    <s v="Año 2019"/>
    <s v="Número de suscripciones"/>
    <s v="Biblioteca del Congreso Nacional"/>
    <x v="1497"/>
    <m/>
    <s v="Mapa de calor"/>
    <s v="Región del Biobío conexión internet fija comuna región conexiones suscripciones "/>
    <x v="1124"/>
    <s v="100-C-8"/>
    <s v="#1774B21"/>
    <s v="990-1499"/>
    <n v="99200008"/>
    <s v="T-1065"/>
    <s v="C-1022"/>
    <s v="FI-993"/>
    <s v="M-1116"/>
  </r>
  <r>
    <x v="1499"/>
    <n v="990"/>
    <x v="0"/>
    <x v="14"/>
    <n v="9"/>
    <x v="73"/>
    <x v="29"/>
    <x v="1"/>
    <x v="9"/>
    <s v="Ninguno"/>
    <s v="Cantidad de conexiones de internet fija por comuna"/>
    <s v="Año 2019"/>
    <s v="Número de suscripciones"/>
    <s v="Biblioteca del Congreso Nacional"/>
    <x v="1498"/>
    <m/>
    <s v="Mapa de calor"/>
    <s v="Región de La Araucanía conexión internet fija comuna región conexiones suscripciones "/>
    <x v="1125"/>
    <s v="100-C-9"/>
    <s v="#1774B22"/>
    <s v="990-1500"/>
    <n v="99200009"/>
    <s v="T-1065"/>
    <s v="C-1022"/>
    <s v="FI-993"/>
    <s v="M-1116"/>
  </r>
  <r>
    <x v="1500"/>
    <n v="990"/>
    <x v="0"/>
    <x v="14"/>
    <n v="10"/>
    <x v="73"/>
    <x v="29"/>
    <x v="1"/>
    <x v="10"/>
    <s v="Ninguno"/>
    <s v="Cantidad de conexiones de internet fija por comuna"/>
    <s v="Año 2019"/>
    <s v="Número de suscripciones"/>
    <s v="Biblioteca del Congreso Nacional"/>
    <x v="1499"/>
    <m/>
    <s v="Mapa de calor"/>
    <s v="Región de Los Lagos conexión internet fija comuna región conexiones suscripciones "/>
    <x v="1126"/>
    <s v="100-C-10"/>
    <s v="#1774B23"/>
    <s v="990-1501"/>
    <n v="99200010"/>
    <s v="T-1065"/>
    <s v="C-1022"/>
    <s v="FI-993"/>
    <s v="M-1116"/>
  </r>
  <r>
    <x v="1501"/>
    <n v="990"/>
    <x v="0"/>
    <x v="14"/>
    <n v="11"/>
    <x v="73"/>
    <x v="29"/>
    <x v="1"/>
    <x v="11"/>
    <s v="Ninguno"/>
    <s v="Cantidad de conexiones de internet fija por comuna"/>
    <s v="Año 2019"/>
    <s v="Número de suscripciones"/>
    <s v="Biblioteca del Congreso Nacional"/>
    <x v="1500"/>
    <m/>
    <s v="Mapa de calor"/>
    <s v="Región de Aysén conexión internet fija comuna región conexiones suscripciones "/>
    <x v="1127"/>
    <s v="100-C-11"/>
    <s v="#1774B24"/>
    <s v="990-1502"/>
    <n v="99200011"/>
    <s v="T-1065"/>
    <s v="C-1022"/>
    <s v="FI-993"/>
    <s v="M-1116"/>
  </r>
  <r>
    <x v="1502"/>
    <n v="990"/>
    <x v="0"/>
    <x v="14"/>
    <n v="12"/>
    <x v="73"/>
    <x v="29"/>
    <x v="1"/>
    <x v="12"/>
    <s v="Ninguno"/>
    <s v="Cantidad de conexiones de internet fija por comuna"/>
    <s v="Año 2019"/>
    <s v="Número de suscripciones"/>
    <s v="Biblioteca del Congreso Nacional"/>
    <x v="1501"/>
    <m/>
    <s v="Mapa de calor"/>
    <s v="Región de Magallanes conexión internet fija comuna región conexiones suscripciones "/>
    <x v="1128"/>
    <s v="100-C-12"/>
    <s v="#1774B25"/>
    <s v="990-1503"/>
    <n v="99200012"/>
    <s v="T-1065"/>
    <s v="C-1022"/>
    <s v="FI-993"/>
    <s v="M-1116"/>
  </r>
  <r>
    <x v="1503"/>
    <n v="990"/>
    <x v="0"/>
    <x v="14"/>
    <n v="13"/>
    <x v="73"/>
    <x v="29"/>
    <x v="1"/>
    <x v="13"/>
    <s v="Ninguno"/>
    <s v="Cantidad de conexiones de internet fija por comuna"/>
    <s v="Año 2019"/>
    <s v="Número de suscripciones"/>
    <s v="Biblioteca del Congreso Nacional"/>
    <x v="1502"/>
    <m/>
    <s v="Mapa de calor"/>
    <s v="Región Metropolitana conexión internet fija comuna región conexiones suscripciones "/>
    <x v="1129"/>
    <s v="200-C-13"/>
    <s v="#1774B26"/>
    <s v="990-1504"/>
    <n v="99200013"/>
    <s v="T-1065"/>
    <s v="C-1022"/>
    <s v="FI-993"/>
    <s v="M-1116"/>
  </r>
  <r>
    <x v="1504"/>
    <n v="990"/>
    <x v="0"/>
    <x v="14"/>
    <n v="14"/>
    <x v="73"/>
    <x v="29"/>
    <x v="1"/>
    <x v="14"/>
    <s v="Ninguno"/>
    <s v="Cantidad de conexiones de internet fija por comuna"/>
    <s v="Año 2019"/>
    <s v="Número de suscripciones"/>
    <s v="Biblioteca del Congreso Nacional"/>
    <x v="1503"/>
    <m/>
    <s v="Mapa de calor"/>
    <s v="Región de Los Ríos conexión internet fija comuna región conexiones suscripciones "/>
    <x v="1130"/>
    <s v="100-C-14"/>
    <s v="#1774B27"/>
    <s v="990-1505"/>
    <n v="99200014"/>
    <s v="T-1065"/>
    <s v="C-1022"/>
    <s v="FI-993"/>
    <s v="M-1116"/>
  </r>
  <r>
    <x v="1505"/>
    <n v="990"/>
    <x v="0"/>
    <x v="14"/>
    <n v="15"/>
    <x v="73"/>
    <x v="29"/>
    <x v="1"/>
    <x v="15"/>
    <s v="Ninguno"/>
    <s v="Cantidad de conexiones de internet fija por comuna"/>
    <s v="Año 2019"/>
    <s v="Número de suscripciones"/>
    <s v="Biblioteca del Congreso Nacional"/>
    <x v="1504"/>
    <m/>
    <s v="Mapa de calor"/>
    <s v="Región de Arica y Parinacota conexión internet fija comuna región conexiones suscripciones "/>
    <x v="1131"/>
    <s v="100-C-15"/>
    <s v="#1774B28"/>
    <s v="990-1506"/>
    <n v="99200015"/>
    <s v="T-1065"/>
    <s v="C-1022"/>
    <s v="FI-993"/>
    <s v="M-1116"/>
  </r>
  <r>
    <x v="1506"/>
    <n v="990"/>
    <x v="0"/>
    <x v="14"/>
    <n v="16"/>
    <x v="73"/>
    <x v="29"/>
    <x v="1"/>
    <x v="16"/>
    <s v="Ninguno"/>
    <s v="Cantidad de conexiones de internet fija por comuna"/>
    <s v="Año 2019"/>
    <s v="Número de suscripciones"/>
    <s v="Biblioteca del Congreso Nacional"/>
    <x v="1505"/>
    <m/>
    <s v="Mapa de calor"/>
    <s v="Región de Ñuble conexión internet fija comuna región conexiones suscripciones "/>
    <x v="1132"/>
    <s v="100-C-16"/>
    <s v="#1774B29"/>
    <s v="990-1507"/>
    <n v="99200016"/>
    <s v="T-1065"/>
    <s v="C-1022"/>
    <s v="FI-993"/>
    <s v="M-1116"/>
  </r>
  <r>
    <x v="1507"/>
    <n v="990"/>
    <x v="0"/>
    <x v="14"/>
    <n v="0"/>
    <x v="74"/>
    <x v="30"/>
    <x v="0"/>
    <x v="0"/>
    <s v="Región-Comuna"/>
    <s v="Cantidad suscriptores a televisión de pago por región y comuna"/>
    <s v="Periodo 2007-2019"/>
    <s v="Número de suscripciones"/>
    <s v="Biblioteca del Congreso Nacional"/>
    <x v="1506"/>
    <s v="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
    <s v="Gráfico de Evolución"/>
    <s v="cantidad suscripciones televisión pago regional región comuna Chile"/>
    <x v="1133"/>
    <s v="300-C"/>
    <s v="#1774B30"/>
    <s v="990-1508"/>
    <n v="99100000"/>
    <s v="T-1066"/>
    <s v="C-1023"/>
    <s v="FI-995"/>
    <s v="M-1117"/>
  </r>
  <r>
    <x v="1508"/>
    <n v="990"/>
    <x v="0"/>
    <x v="14"/>
    <n v="1"/>
    <x v="74"/>
    <x v="30"/>
    <x v="1"/>
    <x v="1"/>
    <s v="Comuna"/>
    <s v="Cantidad suscriptores a televisión de pago por comuna"/>
    <s v="Periodo 2007-2019"/>
    <s v="Número de suscripciones"/>
    <s v="Biblioteca del Congreso Nacional"/>
    <x v="1507"/>
    <m/>
    <s v="Gráfico de Evolución"/>
    <s v="región de Tarapacá cantidad suscripciones televisión pago regional comuna Chile"/>
    <x v="1134"/>
    <s v="100-C-1"/>
    <s v="#1774B31"/>
    <s v="990-1509"/>
    <n v="99200001"/>
    <s v="T-1066"/>
    <s v="C-1023"/>
    <s v="FI-991"/>
    <s v="M-1118"/>
  </r>
  <r>
    <x v="1509"/>
    <n v="990"/>
    <x v="0"/>
    <x v="14"/>
    <n v="2"/>
    <x v="74"/>
    <x v="30"/>
    <x v="1"/>
    <x v="2"/>
    <s v="Comuna"/>
    <s v="Cantidad suscriptores a televisión de pago por comuna"/>
    <s v="Periodo 2007-2019"/>
    <s v="Número de suscripciones"/>
    <s v="Biblioteca del Congreso Nacional"/>
    <x v="1508"/>
    <m/>
    <s v="Gráfico de Evolución"/>
    <s v="región de Antofagasta cantidad suscripciones televisión pago regional comuna Chile"/>
    <x v="1135"/>
    <s v="100-C-2"/>
    <s v="#1774B32"/>
    <s v="990-1510"/>
    <n v="99200002"/>
    <s v="T-1066"/>
    <s v="C-1023"/>
    <s v="FI-991"/>
    <s v="M-1118"/>
  </r>
  <r>
    <x v="1510"/>
    <n v="990"/>
    <x v="0"/>
    <x v="14"/>
    <n v="3"/>
    <x v="74"/>
    <x v="30"/>
    <x v="1"/>
    <x v="3"/>
    <s v="Comuna"/>
    <s v="Cantidad suscriptores a televisión de pago por comuna"/>
    <s v="Periodo 2007-2019"/>
    <s v="Número de suscripciones"/>
    <s v="Biblioteca del Congreso Nacional"/>
    <x v="1509"/>
    <m/>
    <s v="Gráfico de Evolución"/>
    <s v="región de Atacama cantidad suscripciones televisión pago regional comuna Chile"/>
    <x v="1136"/>
    <s v="100-C-3"/>
    <s v="#1774B33"/>
    <s v="990-1511"/>
    <n v="99200003"/>
    <s v="T-1066"/>
    <s v="C-1023"/>
    <s v="FI-991"/>
    <s v="M-1118"/>
  </r>
  <r>
    <x v="1511"/>
    <n v="990"/>
    <x v="0"/>
    <x v="14"/>
    <n v="4"/>
    <x v="74"/>
    <x v="30"/>
    <x v="1"/>
    <x v="4"/>
    <s v="Comuna"/>
    <s v="Cantidad suscriptores a televisión de pago por comuna"/>
    <s v="Periodo 2007-2019"/>
    <s v="Número de suscripciones"/>
    <s v="Biblioteca del Congreso Nacional"/>
    <x v="1510"/>
    <m/>
    <s v="Gráfico de Evolución"/>
    <s v="región de Coquimbo cantidad suscripciones televisión pago regional comuna Chile"/>
    <x v="1137"/>
    <s v="100-C-4"/>
    <s v="#1774B34"/>
    <s v="990-1512"/>
    <n v="99200004"/>
    <s v="T-1066"/>
    <s v="C-1023"/>
    <s v="FI-991"/>
    <s v="M-1118"/>
  </r>
  <r>
    <x v="1512"/>
    <n v="990"/>
    <x v="0"/>
    <x v="14"/>
    <n v="5"/>
    <x v="74"/>
    <x v="30"/>
    <x v="1"/>
    <x v="5"/>
    <s v="Comuna"/>
    <s v="Cantidad suscriptores a televisión de pago por comuna"/>
    <s v="Periodo 2007-2019"/>
    <s v="Número de suscripciones"/>
    <s v="Biblioteca del Congreso Nacional"/>
    <x v="1511"/>
    <m/>
    <s v="Gráfico de Evolución"/>
    <s v="región de Valparaíso cantidad suscripciones televisión pago regional comuna Chile"/>
    <x v="1138"/>
    <s v="100-C-5"/>
    <s v="#1774B35"/>
    <s v="990-1513"/>
    <n v="99200005"/>
    <s v="T-1066"/>
    <s v="C-1023"/>
    <s v="FI-991"/>
    <s v="M-1118"/>
  </r>
  <r>
    <x v="1513"/>
    <n v="990"/>
    <x v="0"/>
    <x v="14"/>
    <n v="6"/>
    <x v="74"/>
    <x v="30"/>
    <x v="1"/>
    <x v="6"/>
    <s v="Comuna"/>
    <s v="Cantidad suscriptores a televisión de pago por comuna"/>
    <s v="Periodo 2007-2019"/>
    <s v="Número de suscripciones"/>
    <s v="Biblioteca del Congreso Nacional"/>
    <x v="1512"/>
    <m/>
    <s v="Gráfico de Evolución"/>
    <s v="región de O'Higgins cantidad suscripciones televisión pago regional comuna Chile"/>
    <x v="1139"/>
    <s v="100-C-6"/>
    <s v="#1774B36"/>
    <s v="990-1514"/>
    <n v="99200006"/>
    <s v="T-1066"/>
    <s v="C-1023"/>
    <s v="FI-991"/>
    <s v="M-1118"/>
  </r>
  <r>
    <x v="1514"/>
    <n v="990"/>
    <x v="0"/>
    <x v="14"/>
    <n v="7"/>
    <x v="74"/>
    <x v="30"/>
    <x v="1"/>
    <x v="7"/>
    <s v="Comuna"/>
    <s v="Cantidad suscriptores a televisión de pago por comuna"/>
    <s v="Periodo 2007-2019"/>
    <s v="Número de suscripciones"/>
    <s v="Biblioteca del Congreso Nacional"/>
    <x v="1513"/>
    <m/>
    <s v="Gráfico de Evolución"/>
    <s v="región de Maule cantidad suscripciones televisión pago regional comuna Chile"/>
    <x v="1140"/>
    <s v="100-C-7"/>
    <s v="#1774B37"/>
    <s v="990-1515"/>
    <n v="99200007"/>
    <s v="T-1066"/>
    <s v="C-1023"/>
    <s v="FI-991"/>
    <s v="M-1118"/>
  </r>
  <r>
    <x v="1515"/>
    <n v="990"/>
    <x v="0"/>
    <x v="14"/>
    <n v="8"/>
    <x v="74"/>
    <x v="30"/>
    <x v="1"/>
    <x v="8"/>
    <s v="Comuna"/>
    <s v="Cantidad suscriptores a televisión de pago por comuna"/>
    <s v="Periodo 2007-2019"/>
    <s v="Número de suscripciones"/>
    <s v="Biblioteca del Congreso Nacional"/>
    <x v="1514"/>
    <m/>
    <s v="Gráfico de Evolución"/>
    <s v="región del Biobío cantidad suscripciones televisión pago regional comuna Chile"/>
    <x v="1141"/>
    <s v="100-C-8"/>
    <s v="#1774B38"/>
    <s v="990-1516"/>
    <n v="99200008"/>
    <s v="T-1066"/>
    <s v="C-1023"/>
    <s v="FI-991"/>
    <s v="M-1118"/>
  </r>
  <r>
    <x v="1516"/>
    <n v="990"/>
    <x v="0"/>
    <x v="14"/>
    <n v="9"/>
    <x v="74"/>
    <x v="30"/>
    <x v="1"/>
    <x v="9"/>
    <s v="Comuna"/>
    <s v="Cantidad suscriptores a televisión de pago por comuna"/>
    <s v="Periodo 2007-2019"/>
    <s v="Número de suscripciones"/>
    <s v="Biblioteca del Congreso Nacional"/>
    <x v="1515"/>
    <m/>
    <s v="Gráfico de Evolución"/>
    <s v="región de La Araucanía cantidad suscripciones televisión pago regional comuna Chile"/>
    <x v="1142"/>
    <s v="100-C-9"/>
    <s v="#1774B39"/>
    <s v="990-1517"/>
    <n v="99200009"/>
    <s v="T-1066"/>
    <s v="C-1023"/>
    <s v="FI-991"/>
    <s v="M-1118"/>
  </r>
  <r>
    <x v="1517"/>
    <n v="990"/>
    <x v="0"/>
    <x v="14"/>
    <n v="10"/>
    <x v="74"/>
    <x v="30"/>
    <x v="1"/>
    <x v="10"/>
    <s v="Comuna"/>
    <s v="Cantidad suscriptores a televisión de pago por comuna"/>
    <s v="Periodo 2007-2019"/>
    <s v="Número de suscripciones"/>
    <s v="Biblioteca del Congreso Nacional"/>
    <x v="1516"/>
    <m/>
    <s v="Gráfico de Evolución"/>
    <s v="región de Los Lagos cantidad suscripciones televisión pago regional comuna Chile"/>
    <x v="1143"/>
    <s v="100-C-10"/>
    <s v="#1774B40"/>
    <s v="990-1518"/>
    <n v="99200010"/>
    <s v="T-1066"/>
    <s v="C-1023"/>
    <s v="FI-991"/>
    <s v="M-1118"/>
  </r>
  <r>
    <x v="1518"/>
    <n v="990"/>
    <x v="0"/>
    <x v="14"/>
    <n v="11"/>
    <x v="74"/>
    <x v="30"/>
    <x v="1"/>
    <x v="11"/>
    <s v="Comuna"/>
    <s v="Cantidad suscriptores a televisión de pago por comuna"/>
    <s v="Periodo 2007-2019"/>
    <s v="Número de suscripciones"/>
    <s v="Biblioteca del Congreso Nacional"/>
    <x v="1517"/>
    <m/>
    <s v="Gráfico de Evolución"/>
    <s v="región de Aysén cantidad suscripciones televisión pago regional comuna Chile"/>
    <x v="1144"/>
    <s v="100-C-11"/>
    <s v="#1774B41"/>
    <s v="990-1519"/>
    <n v="99200011"/>
    <s v="T-1066"/>
    <s v="C-1023"/>
    <s v="FI-991"/>
    <s v="M-1118"/>
  </r>
  <r>
    <x v="1519"/>
    <n v="990"/>
    <x v="0"/>
    <x v="14"/>
    <n v="12"/>
    <x v="74"/>
    <x v="30"/>
    <x v="1"/>
    <x v="12"/>
    <s v="Comuna"/>
    <s v="Cantidad suscriptores a televisión de pago por comuna"/>
    <s v="Periodo 2007-2019"/>
    <s v="Número de suscripciones"/>
    <s v="Biblioteca del Congreso Nacional"/>
    <x v="1518"/>
    <m/>
    <s v="Gráfico de Evolución"/>
    <s v="región de Magallanes cantidad suscripciones televisión pago regional comuna Chile"/>
    <x v="1145"/>
    <s v="100-C-12"/>
    <s v="#1774B42"/>
    <s v="990-1520"/>
    <n v="99200012"/>
    <s v="T-1066"/>
    <s v="C-1023"/>
    <s v="FI-991"/>
    <s v="M-1118"/>
  </r>
  <r>
    <x v="1520"/>
    <n v="990"/>
    <x v="0"/>
    <x v="14"/>
    <n v="13"/>
    <x v="74"/>
    <x v="30"/>
    <x v="1"/>
    <x v="13"/>
    <s v="Comuna"/>
    <s v="Cantidad suscriptores a televisión de pago por comuna"/>
    <s v="Periodo 2007-2019"/>
    <s v="Número de suscripciones"/>
    <s v="Biblioteca del Congreso Nacional"/>
    <x v="1519"/>
    <m/>
    <s v="Gráfico de Evolución"/>
    <s v="región Metropolitana cantidad suscripciones televisión pago regional comuna Chile"/>
    <x v="1146"/>
    <s v="200-C-13"/>
    <s v="#1774B43"/>
    <s v="990-1521"/>
    <n v="99200013"/>
    <s v="T-1066"/>
    <s v="C-1023"/>
    <s v="FI-991"/>
    <s v="M-1118"/>
  </r>
  <r>
    <x v="1521"/>
    <n v="990"/>
    <x v="0"/>
    <x v="14"/>
    <n v="14"/>
    <x v="74"/>
    <x v="30"/>
    <x v="1"/>
    <x v="14"/>
    <s v="Comuna"/>
    <s v="Cantidad suscriptores a televisión de pago por comuna"/>
    <s v="Periodo 2007-2019"/>
    <s v="Número de suscripciones"/>
    <s v="Biblioteca del Congreso Nacional"/>
    <x v="1520"/>
    <m/>
    <s v="Gráfico de Evolución"/>
    <s v="región de Los Ríos cantidad suscripciones televisión pago regional comuna Chile"/>
    <x v="1147"/>
    <s v="100-C-14"/>
    <s v="#1774B44"/>
    <s v="990-1522"/>
    <n v="99200014"/>
    <s v="T-1066"/>
    <s v="C-1023"/>
    <s v="FI-991"/>
    <s v="M-1118"/>
  </r>
  <r>
    <x v="1522"/>
    <n v="990"/>
    <x v="0"/>
    <x v="14"/>
    <n v="15"/>
    <x v="74"/>
    <x v="30"/>
    <x v="1"/>
    <x v="15"/>
    <s v="Comuna"/>
    <s v="Cantidad suscriptores a televisión de pago por comuna"/>
    <s v="Periodo 2007-2019"/>
    <s v="Número de suscripciones"/>
    <s v="Biblioteca del Congreso Nacional"/>
    <x v="1521"/>
    <m/>
    <s v="Gráfico de Evolución"/>
    <s v="región de Arica y Parinacota cantidad suscripciones televisión pago regional comuna Chile"/>
    <x v="1148"/>
    <s v="100-C-15"/>
    <s v="#1774B45"/>
    <s v="990-1523"/>
    <n v="99200015"/>
    <s v="T-1066"/>
    <s v="C-1023"/>
    <s v="FI-991"/>
    <s v="M-1118"/>
  </r>
  <r>
    <x v="1523"/>
    <n v="990"/>
    <x v="0"/>
    <x v="14"/>
    <n v="16"/>
    <x v="74"/>
    <x v="30"/>
    <x v="1"/>
    <x v="16"/>
    <s v="Comuna"/>
    <s v="Cantidad suscriptores a televisión de pago por comuna"/>
    <s v="Periodo 2007-2019"/>
    <s v="Número de suscripciones"/>
    <s v="Biblioteca del Congreso Nacional"/>
    <x v="1522"/>
    <m/>
    <s v="Gráfico de Evolución"/>
    <s v="región de Ñuble cantidad suscripciones televisión pago regional comuna Chile"/>
    <x v="1149"/>
    <s v="100-C-16"/>
    <s v="#1774B46"/>
    <s v="990-1524"/>
    <n v="99200016"/>
    <s v="T-1066"/>
    <s v="C-1023"/>
    <s v="FI-991"/>
    <s v="M-1118"/>
  </r>
  <r>
    <x v="1524"/>
    <n v="990"/>
    <x v="0"/>
    <x v="14"/>
    <n v="0"/>
    <x v="74"/>
    <x v="30"/>
    <x v="0"/>
    <x v="0"/>
    <s v="Región"/>
    <s v="Cantidad suscriptores a televisión de pago por región y comuna"/>
    <s v="Año 2019"/>
    <s v="Número de suscripciones"/>
    <s v="Biblioteca del Congreso Nacional"/>
    <x v="1523"/>
    <s v="En el año 2019, en la región de Magallanes, la comuna con mayor cantidad de suscripciones a televisión de pago, fue la de Punta Arenas, con 26.196 suscripciones. mientras que en segundo lugar viene la comuna de Natales con 4.562 suscripciones. "/>
    <s v="Nube de palabras"/>
    <s v="ranking suscripciones televisión pago regional comuna año 2019 país Chile"/>
    <x v="1150"/>
    <s v="300-R"/>
    <s v="#1774B47"/>
    <s v="990-1525"/>
    <n v="99100000"/>
    <s v="T-1066"/>
    <s v="C-1023"/>
    <s v="FI-992"/>
    <s v="M-1117"/>
  </r>
  <r>
    <x v="1525"/>
    <n v="990"/>
    <x v="0"/>
    <x v="14"/>
    <n v="1"/>
    <x v="74"/>
    <x v="30"/>
    <x v="1"/>
    <x v="1"/>
    <s v="Ninguno"/>
    <s v="Cantidad suscriptores a televisión de pago por comuna"/>
    <s v="Año 2019"/>
    <s v="Número de suscripciones"/>
    <s v="Biblioteca del Congreso Nacional"/>
    <x v="1524"/>
    <m/>
    <s v="Nube de palabras"/>
    <s v="región de Tarapacá ranking suscripciones televisión pago comuna año 2019 país Chile"/>
    <x v="1151"/>
    <s v="100-C-1"/>
    <s v="#1774B48"/>
    <s v="990-1526"/>
    <n v="99200001"/>
    <s v="T-1066"/>
    <s v="C-1023"/>
    <s v="FI-993"/>
    <s v="M-1118"/>
  </r>
  <r>
    <x v="1526"/>
    <n v="990"/>
    <x v="0"/>
    <x v="14"/>
    <n v="2"/>
    <x v="74"/>
    <x v="30"/>
    <x v="1"/>
    <x v="2"/>
    <s v="Ninguno"/>
    <s v="Cantidad suscriptores a televisión de pago por comuna"/>
    <s v="Año 2019"/>
    <s v="Número de suscripciones"/>
    <s v="Biblioteca del Congreso Nacional"/>
    <x v="1525"/>
    <m/>
    <s v="Nube de palabras"/>
    <s v="región de Antofagasta ranking suscripciones televisión pago comuna año 2019 país Chile"/>
    <x v="1152"/>
    <s v="100-C-2"/>
    <s v="#1774B49"/>
    <s v="990-1527"/>
    <n v="99200002"/>
    <s v="T-1066"/>
    <s v="C-1023"/>
    <s v="FI-993"/>
    <s v="M-1118"/>
  </r>
  <r>
    <x v="1527"/>
    <n v="990"/>
    <x v="0"/>
    <x v="14"/>
    <n v="3"/>
    <x v="74"/>
    <x v="30"/>
    <x v="1"/>
    <x v="3"/>
    <s v="Ninguno"/>
    <s v="Cantidad suscriptores a televisión de pago por comuna"/>
    <s v="Año 2019"/>
    <s v="Número de suscripciones"/>
    <s v="Biblioteca del Congreso Nacional"/>
    <x v="1526"/>
    <m/>
    <s v="Nube de palabras"/>
    <s v="región de Atacama ranking suscripciones televisión pago comuna año 2019 país Chile"/>
    <x v="1153"/>
    <s v="100-C-3"/>
    <s v="#1774B50"/>
    <s v="990-1528"/>
    <n v="99200003"/>
    <s v="T-1066"/>
    <s v="C-1023"/>
    <s v="FI-993"/>
    <s v="M-1118"/>
  </r>
  <r>
    <x v="1528"/>
    <n v="990"/>
    <x v="0"/>
    <x v="14"/>
    <n v="4"/>
    <x v="74"/>
    <x v="30"/>
    <x v="1"/>
    <x v="4"/>
    <s v="Ninguno"/>
    <s v="Cantidad suscriptores a televisión de pago por comuna"/>
    <s v="Año 2019"/>
    <s v="Número de suscripciones"/>
    <s v="Biblioteca del Congreso Nacional"/>
    <x v="1527"/>
    <m/>
    <s v="Nube de palabras"/>
    <s v="región de Coquimbo ranking suscripciones televisión pago comuna año 2019 país Chile"/>
    <x v="1154"/>
    <s v="100-C-4"/>
    <s v="#1774B51"/>
    <s v="990-1529"/>
    <n v="99200004"/>
    <s v="T-1066"/>
    <s v="C-1023"/>
    <s v="FI-993"/>
    <s v="M-1118"/>
  </r>
  <r>
    <x v="1529"/>
    <n v="990"/>
    <x v="0"/>
    <x v="14"/>
    <n v="5"/>
    <x v="74"/>
    <x v="30"/>
    <x v="1"/>
    <x v="5"/>
    <s v="Ninguno"/>
    <s v="Cantidad suscriptores a televisión de pago por comuna"/>
    <s v="Año 2019"/>
    <s v="Número de suscripciones"/>
    <s v="Biblioteca del Congreso Nacional"/>
    <x v="1528"/>
    <m/>
    <s v="Nube de palabras"/>
    <s v="región de Valparaíso ranking suscripciones televisión pago comuna año 2019 país Chile"/>
    <x v="1155"/>
    <s v="100-C-5"/>
    <s v="#1774B52"/>
    <s v="990-1530"/>
    <n v="99200005"/>
    <s v="T-1066"/>
    <s v="C-1023"/>
    <s v="FI-993"/>
    <s v="M-1118"/>
  </r>
  <r>
    <x v="1530"/>
    <n v="990"/>
    <x v="0"/>
    <x v="14"/>
    <n v="6"/>
    <x v="74"/>
    <x v="30"/>
    <x v="1"/>
    <x v="6"/>
    <s v="Ninguno"/>
    <s v="Cantidad suscriptores a televisión de pago por comuna"/>
    <s v="Año 2019"/>
    <s v="Número de suscripciones"/>
    <s v="Biblioteca del Congreso Nacional"/>
    <x v="1529"/>
    <m/>
    <s v="Nube de palabras"/>
    <s v="región de O'Higgins ranking suscripciones televisión pago comuna año 2019 país Chile"/>
    <x v="1156"/>
    <s v="100-C-6"/>
    <s v="#1774B53"/>
    <s v="990-1531"/>
    <n v="99200006"/>
    <s v="T-1066"/>
    <s v="C-1023"/>
    <s v="FI-993"/>
    <s v="M-1118"/>
  </r>
  <r>
    <x v="1531"/>
    <n v="990"/>
    <x v="0"/>
    <x v="14"/>
    <n v="7"/>
    <x v="74"/>
    <x v="30"/>
    <x v="1"/>
    <x v="7"/>
    <s v="Ninguno"/>
    <s v="Cantidad suscriptores a televisión de pago por comuna"/>
    <s v="Año 2019"/>
    <s v="Número de suscripciones"/>
    <s v="Biblioteca del Congreso Nacional"/>
    <x v="1530"/>
    <m/>
    <s v="Nube de palabras"/>
    <s v="región de Maule ranking suscripciones televisión pago comuna año 2019 país Chile"/>
    <x v="1157"/>
    <s v="100-C-7"/>
    <s v="#1774B54"/>
    <s v="990-1532"/>
    <n v="99200007"/>
    <s v="T-1066"/>
    <s v="C-1023"/>
    <s v="FI-993"/>
    <s v="M-1118"/>
  </r>
  <r>
    <x v="1532"/>
    <n v="990"/>
    <x v="0"/>
    <x v="14"/>
    <n v="8"/>
    <x v="74"/>
    <x v="30"/>
    <x v="1"/>
    <x v="8"/>
    <s v="Ninguno"/>
    <s v="Cantidad suscriptores a televisión de pago por comuna"/>
    <s v="Año 2019"/>
    <s v="Número de suscripciones"/>
    <s v="Biblioteca del Congreso Nacional"/>
    <x v="1531"/>
    <m/>
    <s v="Nube de palabras"/>
    <s v="región del Biobío ranking suscripciones televisión pago comuna año 2019 país Chile"/>
    <x v="1158"/>
    <s v="100-C-8"/>
    <s v="#1774B55"/>
    <s v="990-1533"/>
    <n v="99200008"/>
    <s v="T-1066"/>
    <s v="C-1023"/>
    <s v="FI-993"/>
    <s v="M-1118"/>
  </r>
  <r>
    <x v="1533"/>
    <n v="990"/>
    <x v="0"/>
    <x v="14"/>
    <n v="9"/>
    <x v="74"/>
    <x v="30"/>
    <x v="1"/>
    <x v="9"/>
    <s v="Ninguno"/>
    <s v="Cantidad suscriptores a televisión de pago por comuna"/>
    <s v="Año 2019"/>
    <s v="Número de suscripciones"/>
    <s v="Biblioteca del Congreso Nacional"/>
    <x v="1532"/>
    <m/>
    <s v="Nube de palabras"/>
    <s v="región de La Araucanía ranking suscripciones televisión pago comuna año 2019 país Chile"/>
    <x v="1159"/>
    <s v="100-C-9"/>
    <s v="#1774B56"/>
    <s v="990-1534"/>
    <n v="99200009"/>
    <s v="T-1066"/>
    <s v="C-1023"/>
    <s v="FI-993"/>
    <s v="M-1118"/>
  </r>
  <r>
    <x v="1534"/>
    <n v="990"/>
    <x v="0"/>
    <x v="14"/>
    <n v="10"/>
    <x v="74"/>
    <x v="30"/>
    <x v="1"/>
    <x v="10"/>
    <s v="Ninguno"/>
    <s v="Cantidad suscriptores a televisión de pago por comuna"/>
    <s v="Año 2019"/>
    <s v="Número de suscripciones"/>
    <s v="Biblioteca del Congreso Nacional"/>
    <x v="1533"/>
    <m/>
    <s v="Nube de palabras"/>
    <s v="región de Los Lagos ranking suscripciones televisión pago comuna año 2019 país Chile"/>
    <x v="1160"/>
    <s v="100-C-10"/>
    <s v="#1774B57"/>
    <s v="990-1535"/>
    <n v="99200010"/>
    <s v="T-1066"/>
    <s v="C-1023"/>
    <s v="FI-993"/>
    <s v="M-1118"/>
  </r>
  <r>
    <x v="1535"/>
    <n v="990"/>
    <x v="0"/>
    <x v="14"/>
    <n v="11"/>
    <x v="74"/>
    <x v="30"/>
    <x v="1"/>
    <x v="11"/>
    <s v="Ninguno"/>
    <s v="Cantidad suscriptores a televisión de pago por comuna"/>
    <s v="Año 2019"/>
    <s v="Número de suscripciones"/>
    <s v="Biblioteca del Congreso Nacional"/>
    <x v="1534"/>
    <m/>
    <s v="Nube de palabras"/>
    <s v="región de Aysén ranking suscripciones televisión pago comuna año 2019 país Chile"/>
    <x v="1161"/>
    <s v="100-C-11"/>
    <s v="#1774B58"/>
    <s v="990-1536"/>
    <n v="99200011"/>
    <s v="T-1066"/>
    <s v="C-1023"/>
    <s v="FI-993"/>
    <s v="M-1118"/>
  </r>
  <r>
    <x v="1536"/>
    <n v="990"/>
    <x v="0"/>
    <x v="14"/>
    <n v="12"/>
    <x v="74"/>
    <x v="30"/>
    <x v="1"/>
    <x v="12"/>
    <s v="Ninguno"/>
    <s v="Cantidad suscriptores a televisión de pago por comuna"/>
    <s v="Año 2019"/>
    <s v="Número de suscripciones"/>
    <s v="Biblioteca del Congreso Nacional"/>
    <x v="1535"/>
    <m/>
    <s v="Nube de palabras"/>
    <s v="región de Magallanes ranking suscripciones televisión pago comuna año 2019 país Chile"/>
    <x v="1162"/>
    <s v="100-C-12"/>
    <s v="#1774B59"/>
    <s v="990-1537"/>
    <n v="99200012"/>
    <s v="T-1066"/>
    <s v="C-1023"/>
    <s v="FI-993"/>
    <s v="M-1118"/>
  </r>
  <r>
    <x v="1537"/>
    <n v="990"/>
    <x v="0"/>
    <x v="14"/>
    <n v="13"/>
    <x v="74"/>
    <x v="30"/>
    <x v="1"/>
    <x v="13"/>
    <s v="Ninguno"/>
    <s v="Cantidad suscriptores a televisión de pago por comuna"/>
    <s v="Año 2019"/>
    <s v="Número de suscripciones"/>
    <s v="Biblioteca del Congreso Nacional"/>
    <x v="1536"/>
    <m/>
    <s v="Nube de palabras"/>
    <s v="región Metropolitana ranking suscripciones televisión pago comuna año 2019 país Chile"/>
    <x v="1163"/>
    <s v="200-C-13"/>
    <s v="#1774B60"/>
    <s v="990-1538"/>
    <n v="99200013"/>
    <s v="T-1066"/>
    <s v="C-1023"/>
    <s v="FI-993"/>
    <s v="M-1118"/>
  </r>
  <r>
    <x v="1538"/>
    <n v="990"/>
    <x v="0"/>
    <x v="14"/>
    <n v="14"/>
    <x v="74"/>
    <x v="30"/>
    <x v="1"/>
    <x v="14"/>
    <s v="Ninguno"/>
    <s v="Cantidad suscriptores a televisión de pago por comuna"/>
    <s v="Año 2019"/>
    <s v="Número de suscripciones"/>
    <s v="Biblioteca del Congreso Nacional"/>
    <x v="1537"/>
    <m/>
    <s v="Nube de palabras"/>
    <s v="región de Los Ríos ranking suscripciones televisión pago comuna año 2019 país Chile"/>
    <x v="1164"/>
    <s v="100-C-14"/>
    <s v="#1774B61"/>
    <s v="990-1539"/>
    <n v="99200014"/>
    <s v="T-1066"/>
    <s v="C-1023"/>
    <s v="FI-993"/>
    <s v="M-1118"/>
  </r>
  <r>
    <x v="1539"/>
    <n v="990"/>
    <x v="0"/>
    <x v="14"/>
    <n v="15"/>
    <x v="74"/>
    <x v="30"/>
    <x v="1"/>
    <x v="15"/>
    <s v="Ninguno"/>
    <s v="Cantidad suscriptores a televisión de pago por comuna"/>
    <s v="Año 2019"/>
    <s v="Número de suscripciones"/>
    <s v="Biblioteca del Congreso Nacional"/>
    <x v="1538"/>
    <m/>
    <s v="Nube de palabras"/>
    <s v="región de Arica y Parinacota ranking suscripciones televisión pago comuna año 2019 país Chile"/>
    <x v="1165"/>
    <s v="100-C-15"/>
    <s v="#1774B62"/>
    <s v="990-1540"/>
    <n v="99200015"/>
    <s v="T-1066"/>
    <s v="C-1023"/>
    <s v="FI-993"/>
    <s v="M-1118"/>
  </r>
  <r>
    <x v="1540"/>
    <n v="990"/>
    <x v="0"/>
    <x v="14"/>
    <n v="16"/>
    <x v="74"/>
    <x v="30"/>
    <x v="1"/>
    <x v="16"/>
    <s v="Ninguno"/>
    <s v="Cantidad suscriptores a televisión de pago por comuna"/>
    <s v="Año 2019"/>
    <s v="Número de suscripciones"/>
    <s v="Biblioteca del Congreso Nacional"/>
    <x v="1539"/>
    <m/>
    <s v="Nube de palabras"/>
    <s v="región de Ñuble ranking suscripciones televisión pago comuna año 2019 país Chile"/>
    <x v="1166"/>
    <s v="100-C-16"/>
    <s v="#1774B63"/>
    <s v="990-1541"/>
    <n v="99200016"/>
    <s v="T-1066"/>
    <s v="C-1023"/>
    <s v="FI-993"/>
    <s v="M-1118"/>
  </r>
  <r>
    <x v="1541"/>
    <n v="990"/>
    <x v="0"/>
    <x v="8"/>
    <n v="0"/>
    <x v="75"/>
    <x v="18"/>
    <x v="0"/>
    <x v="0"/>
    <s v="Región-Comuna"/>
    <s v="Cantidad de personas por región y comuna"/>
    <s v="Año 2017"/>
    <s v="Personas"/>
    <s v="Instituto Nacional de Estadísticas (INE)"/>
    <x v="1540"/>
    <s v="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
    <s v="Mapa de calor"/>
    <s v="población pueblos originarios indígenas etnia comunal Chile año 2017"/>
    <x v="1167"/>
    <s v="300-C"/>
    <s v="#1774B64"/>
    <s v="990-1542"/>
    <n v="99100000"/>
    <s v="T-1067"/>
    <s v="C-1012"/>
    <s v="FI-995"/>
    <s v="M-1119"/>
  </r>
  <r>
    <x v="1542"/>
    <n v="990"/>
    <x v="0"/>
    <x v="8"/>
    <n v="1"/>
    <x v="75"/>
    <x v="18"/>
    <x v="1"/>
    <x v="1"/>
    <s v="Comuna"/>
    <s v="Cantidad de personas por comuna"/>
    <s v="Año 2017"/>
    <s v="Personas"/>
    <s v="Instituto Nacional de Estadísticas (INE)"/>
    <x v="1541"/>
    <m/>
    <s v="Mapa de calor"/>
    <s v="región de Tarapacá población pueblos originarios indígenas etnia comunal Chile año 2017"/>
    <x v="1168"/>
    <s v="100-C-1"/>
    <s v="#1774B65"/>
    <s v="990-1543"/>
    <n v="99200001"/>
    <s v="T-1067"/>
    <s v="C-1012"/>
    <s v="FI-991"/>
    <s v="M-1120"/>
  </r>
  <r>
    <x v="1543"/>
    <n v="990"/>
    <x v="0"/>
    <x v="8"/>
    <n v="2"/>
    <x v="75"/>
    <x v="18"/>
    <x v="1"/>
    <x v="2"/>
    <s v="Comuna"/>
    <s v="Cantidad de personas por comuna"/>
    <s v="Año 2017"/>
    <s v="Personas"/>
    <s v="Instituto Nacional de Estadísticas (INE)"/>
    <x v="1542"/>
    <m/>
    <s v="Mapa de calor"/>
    <s v="región de Antofagasta población pueblos originarios indígenas etnia comunal Chile año 2017"/>
    <x v="1169"/>
    <s v="100-C-2"/>
    <s v="#1774B66"/>
    <s v="990-1544"/>
    <n v="99200002"/>
    <s v="T-1067"/>
    <s v="C-1012"/>
    <s v="FI-991"/>
    <s v="M-1120"/>
  </r>
  <r>
    <x v="1544"/>
    <n v="990"/>
    <x v="0"/>
    <x v="8"/>
    <n v="3"/>
    <x v="75"/>
    <x v="18"/>
    <x v="1"/>
    <x v="3"/>
    <s v="Comuna"/>
    <s v="Cantidad de personas por comuna"/>
    <s v="Año 2017"/>
    <s v="Personas"/>
    <s v="Instituto Nacional de Estadísticas (INE)"/>
    <x v="1543"/>
    <m/>
    <s v="Mapa de calor"/>
    <s v="región de Atacama población pueblos originarios indígenas etnia comunal Chile año 2017"/>
    <x v="1170"/>
    <s v="100-C-3"/>
    <s v="#1774B67"/>
    <s v="990-1545"/>
    <n v="99200003"/>
    <s v="T-1067"/>
    <s v="C-1012"/>
    <s v="FI-991"/>
    <s v="M-1120"/>
  </r>
  <r>
    <x v="1545"/>
    <n v="990"/>
    <x v="0"/>
    <x v="8"/>
    <n v="4"/>
    <x v="75"/>
    <x v="18"/>
    <x v="1"/>
    <x v="4"/>
    <s v="Comuna"/>
    <s v="Cantidad de personas por comuna"/>
    <s v="Año 2017"/>
    <s v="Personas"/>
    <s v="Instituto Nacional de Estadísticas (INE)"/>
    <x v="1544"/>
    <m/>
    <s v="Mapa de calor"/>
    <s v="región de Coquimbo población pueblos originarios indígenas etnia comunal Chile año 2017"/>
    <x v="1171"/>
    <s v="100-C-4"/>
    <s v="#1774B68"/>
    <s v="990-1546"/>
    <n v="99200004"/>
    <s v="T-1067"/>
    <s v="C-1012"/>
    <s v="FI-991"/>
    <s v="M-1120"/>
  </r>
  <r>
    <x v="1546"/>
    <n v="990"/>
    <x v="0"/>
    <x v="8"/>
    <n v="5"/>
    <x v="75"/>
    <x v="18"/>
    <x v="1"/>
    <x v="5"/>
    <s v="Comuna"/>
    <s v="Cantidad de personas por comuna"/>
    <s v="Año 2017"/>
    <s v="Personas"/>
    <s v="Instituto Nacional de Estadísticas (INE)"/>
    <x v="1545"/>
    <m/>
    <s v="Mapa de calor"/>
    <s v="región de Valparaíso población pueblos originarios indígenas etnia comunal Chile año 2017"/>
    <x v="1172"/>
    <s v="100-C-5"/>
    <s v="#1774B69"/>
    <s v="990-1547"/>
    <n v="99200005"/>
    <s v="T-1067"/>
    <s v="C-1012"/>
    <s v="FI-991"/>
    <s v="M-1120"/>
  </r>
  <r>
    <x v="1547"/>
    <n v="990"/>
    <x v="0"/>
    <x v="8"/>
    <n v="6"/>
    <x v="75"/>
    <x v="18"/>
    <x v="1"/>
    <x v="6"/>
    <s v="Comuna"/>
    <s v="Cantidad de personas por comuna"/>
    <s v="Año 2017"/>
    <s v="Personas"/>
    <s v="Instituto Nacional de Estadísticas (INE)"/>
    <x v="1546"/>
    <m/>
    <s v="Mapa de calor"/>
    <s v="región de O'Higgins población pueblos originarios indígenas etnia comunal Chile año 2017"/>
    <x v="1173"/>
    <s v="100-C-6"/>
    <s v="#1774B70"/>
    <s v="990-1548"/>
    <n v="99200006"/>
    <s v="T-1067"/>
    <s v="C-1012"/>
    <s v="FI-991"/>
    <s v="M-1120"/>
  </r>
  <r>
    <x v="1548"/>
    <n v="990"/>
    <x v="0"/>
    <x v="8"/>
    <n v="7"/>
    <x v="75"/>
    <x v="18"/>
    <x v="1"/>
    <x v="7"/>
    <s v="Comuna"/>
    <s v="Cantidad de personas por comuna"/>
    <s v="Año 2017"/>
    <s v="Personas"/>
    <s v="Instituto Nacional de Estadísticas (INE)"/>
    <x v="1547"/>
    <m/>
    <s v="Mapa de calor"/>
    <s v="región de Maule población pueblos originarios indígenas etnia comunal Chile año 2017"/>
    <x v="1174"/>
    <s v="100-C-7"/>
    <s v="#1774B71"/>
    <s v="990-1549"/>
    <n v="99200007"/>
    <s v="T-1067"/>
    <s v="C-1012"/>
    <s v="FI-991"/>
    <s v="M-1120"/>
  </r>
  <r>
    <x v="1549"/>
    <n v="990"/>
    <x v="0"/>
    <x v="8"/>
    <n v="8"/>
    <x v="75"/>
    <x v="18"/>
    <x v="1"/>
    <x v="8"/>
    <s v="Comuna"/>
    <s v="Cantidad de personas por comuna"/>
    <s v="Año 2017"/>
    <s v="Personas"/>
    <s v="Instituto Nacional de Estadísticas (INE)"/>
    <x v="1548"/>
    <m/>
    <s v="Mapa de calor"/>
    <s v="región del Biobío población pueblos originarios indígenas etnia comunal Chile año 2017"/>
    <x v="1175"/>
    <s v="100-C-8"/>
    <s v="#1774B72"/>
    <s v="990-1550"/>
    <n v="99200008"/>
    <s v="T-1067"/>
    <s v="C-1012"/>
    <s v="FI-991"/>
    <s v="M-1120"/>
  </r>
  <r>
    <x v="1550"/>
    <n v="990"/>
    <x v="0"/>
    <x v="8"/>
    <n v="9"/>
    <x v="75"/>
    <x v="18"/>
    <x v="1"/>
    <x v="9"/>
    <s v="Comuna"/>
    <s v="Cantidad de personas por comuna"/>
    <s v="Año 2017"/>
    <s v="Personas"/>
    <s v="Instituto Nacional de Estadísticas (INE)"/>
    <x v="1549"/>
    <m/>
    <s v="Mapa de calor"/>
    <s v="región de La Araucanía población pueblos originarios indígenas etnia comunal Chile año 2017"/>
    <x v="1176"/>
    <s v="100-C-9"/>
    <s v="#1774B73"/>
    <s v="990-1551"/>
    <n v="99200009"/>
    <s v="T-1067"/>
    <s v="C-1012"/>
    <s v="FI-991"/>
    <s v="M-1120"/>
  </r>
  <r>
    <x v="1551"/>
    <n v="990"/>
    <x v="0"/>
    <x v="8"/>
    <n v="10"/>
    <x v="75"/>
    <x v="18"/>
    <x v="1"/>
    <x v="10"/>
    <s v="Comuna"/>
    <s v="Cantidad de personas por comuna"/>
    <s v="Año 2017"/>
    <s v="Personas"/>
    <s v="Instituto Nacional de Estadísticas (INE)"/>
    <x v="1550"/>
    <m/>
    <s v="Mapa de calor"/>
    <s v="región de Los Lagos población pueblos originarios indígenas etnia comunal Chile año 2017"/>
    <x v="1177"/>
    <s v="100-C-10"/>
    <s v="#1774B74"/>
    <s v="990-1552"/>
    <n v="99200010"/>
    <s v="T-1067"/>
    <s v="C-1012"/>
    <s v="FI-991"/>
    <s v="M-1120"/>
  </r>
  <r>
    <x v="1552"/>
    <n v="990"/>
    <x v="0"/>
    <x v="8"/>
    <n v="11"/>
    <x v="75"/>
    <x v="18"/>
    <x v="1"/>
    <x v="11"/>
    <s v="Comuna"/>
    <s v="Cantidad de personas por comuna"/>
    <s v="Año 2017"/>
    <s v="Personas"/>
    <s v="Instituto Nacional de Estadísticas (INE)"/>
    <x v="1551"/>
    <m/>
    <s v="Mapa de calor"/>
    <s v="región de Aysén población pueblos originarios indígenas etnia comunal Chile año 2017"/>
    <x v="1178"/>
    <s v="100-C-11"/>
    <s v="#1774B75"/>
    <s v="990-1553"/>
    <n v="99200011"/>
    <s v="T-1067"/>
    <s v="C-1012"/>
    <s v="FI-991"/>
    <s v="M-1120"/>
  </r>
  <r>
    <x v="1553"/>
    <n v="990"/>
    <x v="0"/>
    <x v="8"/>
    <n v="12"/>
    <x v="75"/>
    <x v="18"/>
    <x v="1"/>
    <x v="12"/>
    <s v="Comuna"/>
    <s v="Cantidad de personas por comuna"/>
    <s v="Año 2017"/>
    <s v="Personas"/>
    <s v="Instituto Nacional de Estadísticas (INE)"/>
    <x v="1552"/>
    <m/>
    <s v="Mapa de calor"/>
    <s v="región de Magallanes población pueblos originarios indígenas etnia comunal Chile año 2017"/>
    <x v="1179"/>
    <s v="100-C-12"/>
    <s v="#1774B76"/>
    <s v="990-1554"/>
    <n v="99200012"/>
    <s v="T-1067"/>
    <s v="C-1012"/>
    <s v="FI-991"/>
    <s v="M-1120"/>
  </r>
  <r>
    <x v="1554"/>
    <n v="990"/>
    <x v="0"/>
    <x v="8"/>
    <n v="13"/>
    <x v="75"/>
    <x v="18"/>
    <x v="1"/>
    <x v="13"/>
    <s v="Comuna"/>
    <s v="Cantidad de personas por comuna"/>
    <s v="Año 2017"/>
    <s v="Personas"/>
    <s v="Instituto Nacional de Estadísticas (INE)"/>
    <x v="1553"/>
    <m/>
    <s v="Mapa de calor"/>
    <s v="región Metropolitana población pueblos originarios indígenas etnia comunal Chile año 2017"/>
    <x v="1180"/>
    <s v="200-C-13"/>
    <s v="#1774B77"/>
    <s v="990-1555"/>
    <n v="99200013"/>
    <s v="T-1067"/>
    <s v="C-1012"/>
    <s v="FI-991"/>
    <s v="M-1120"/>
  </r>
  <r>
    <x v="1555"/>
    <n v="990"/>
    <x v="0"/>
    <x v="8"/>
    <n v="14"/>
    <x v="75"/>
    <x v="18"/>
    <x v="1"/>
    <x v="14"/>
    <s v="Comuna"/>
    <s v="Cantidad de personas por comuna"/>
    <s v="Año 2017"/>
    <s v="Personas"/>
    <s v="Instituto Nacional de Estadísticas (INE)"/>
    <x v="1554"/>
    <m/>
    <s v="Mapa de calor"/>
    <s v="región de Los Ríos población pueblos originarios indígenas etnia comunal Chile año 2017"/>
    <x v="1181"/>
    <s v="100-C-14"/>
    <s v="#1774B78"/>
    <s v="990-1556"/>
    <n v="99200014"/>
    <s v="T-1067"/>
    <s v="C-1012"/>
    <s v="FI-991"/>
    <s v="M-1120"/>
  </r>
  <r>
    <x v="1556"/>
    <n v="990"/>
    <x v="0"/>
    <x v="8"/>
    <n v="15"/>
    <x v="75"/>
    <x v="18"/>
    <x v="1"/>
    <x v="15"/>
    <s v="Comuna"/>
    <s v="Cantidad de personas por comuna"/>
    <s v="Año 2017"/>
    <s v="Personas"/>
    <s v="Instituto Nacional de Estadísticas (INE)"/>
    <x v="1555"/>
    <m/>
    <s v="Mapa de calor"/>
    <s v="región de Arica y Parinacota población pueblos originarios indígenas etnia comunal Chile año 2017"/>
    <x v="1182"/>
    <s v="100-C-15"/>
    <s v="#1774B79"/>
    <s v="990-1557"/>
    <n v="99200015"/>
    <s v="T-1067"/>
    <s v="C-1012"/>
    <s v="FI-991"/>
    <s v="M-1120"/>
  </r>
  <r>
    <x v="1557"/>
    <n v="990"/>
    <x v="0"/>
    <x v="8"/>
    <n v="16"/>
    <x v="75"/>
    <x v="18"/>
    <x v="1"/>
    <x v="16"/>
    <s v="Comuna"/>
    <s v="Cantidad de personas por comuna"/>
    <s v="Año 2017"/>
    <s v="Personas"/>
    <s v="Instituto Nacional de Estadísticas (INE)"/>
    <x v="1556"/>
    <m/>
    <s v="Mapa de calor"/>
    <s v="región de Ñuble población pueblos originarios indígenas etnia comunal Chile año 2017"/>
    <x v="1183"/>
    <s v="100-C-16"/>
    <s v="#1774B80"/>
    <s v="990-1558"/>
    <n v="99200016"/>
    <s v="T-1067"/>
    <s v="C-1012"/>
    <s v="FI-991"/>
    <s v="M-1120"/>
  </r>
  <r>
    <x v="1558"/>
    <n v="990"/>
    <x v="0"/>
    <x v="8"/>
    <n v="0"/>
    <x v="75"/>
    <x v="18"/>
    <x v="0"/>
    <x v="0"/>
    <s v="Región-Comuna"/>
    <s v="Cantidad de personas por región y comuna "/>
    <s v="Año 2017"/>
    <s v="Personas"/>
    <s v="Instituto Nacional de Estadísticas (INE)"/>
    <x v="1557"/>
    <s v="La región que tiene la más alta cantidad de personas pertenecientes a un pueblo indígena sobre los 100 años es la Metropolitana, con 141 habitantes. Le siguen La Araucanía y Los Lagos, con 85 y 38 habitantes, respectivamente."/>
    <s v="Gráfico"/>
    <s v="población pueblos originarios indígenas etnia edad regional año 2017 Chile gráfico"/>
    <x v="1184"/>
    <s v="300-C"/>
    <s v="#1774B81"/>
    <s v="990-1559"/>
    <n v="99100000"/>
    <s v="T-1067"/>
    <s v="C-1012"/>
    <s v="FI-995"/>
    <s v="M-1121"/>
  </r>
  <r>
    <x v="1559"/>
    <n v="990"/>
    <x v="0"/>
    <x v="8"/>
    <n v="1"/>
    <x v="75"/>
    <x v="18"/>
    <x v="1"/>
    <x v="1"/>
    <s v="Ninguno"/>
    <s v="Cantidad de personas por rango etario"/>
    <s v="Año 2017"/>
    <s v="Personas"/>
    <s v="Instituto Nacional de Estadísticas (INE)"/>
    <x v="1558"/>
    <m/>
    <s v="Gráfico"/>
    <s v="región de Tarapacá población pueblos originarios indígenas etnia edad año 2017 Chile gráfico"/>
    <x v="1185"/>
    <s v="100-R-1"/>
    <s v="#1774B82"/>
    <s v="990-1560"/>
    <n v="99200001"/>
    <s v="T-1067"/>
    <s v="C-1012"/>
    <s v="FI-993"/>
    <s v="M-1122"/>
  </r>
  <r>
    <x v="1560"/>
    <n v="990"/>
    <x v="0"/>
    <x v="8"/>
    <n v="2"/>
    <x v="75"/>
    <x v="18"/>
    <x v="1"/>
    <x v="2"/>
    <s v="Ninguno"/>
    <s v="Cantidad de personas por rango etario"/>
    <s v="Año 2017"/>
    <s v="Personas"/>
    <s v="Instituto Nacional de Estadísticas (INE)"/>
    <x v="1558"/>
    <m/>
    <s v="Gráfico"/>
    <s v="región de Antofagasta población pueblos originarios indígenas etnia edad año 2017 Chile gráfico"/>
    <x v="1186"/>
    <s v="100-R-2"/>
    <s v="#1774B83"/>
    <s v="990-1561"/>
    <n v="99200002"/>
    <s v="T-1067"/>
    <s v="C-1012"/>
    <s v="FI-993"/>
    <s v="M-1122"/>
  </r>
  <r>
    <x v="1561"/>
    <n v="990"/>
    <x v="0"/>
    <x v="8"/>
    <n v="3"/>
    <x v="75"/>
    <x v="18"/>
    <x v="1"/>
    <x v="3"/>
    <s v="Ninguno"/>
    <s v="Cantidad de personas por rango etario"/>
    <s v="Año 2017"/>
    <s v="Personas"/>
    <s v="Instituto Nacional de Estadísticas (INE)"/>
    <x v="1558"/>
    <m/>
    <s v="Gráfico"/>
    <s v="región de Atacama población pueblos originarios indígenas etnia edad año 2017 Chile gráfico"/>
    <x v="1187"/>
    <s v="100-R-3"/>
    <s v="#1774B84"/>
    <s v="990-1562"/>
    <n v="99200003"/>
    <s v="T-1067"/>
    <s v="C-1012"/>
    <s v="FI-993"/>
    <s v="M-1122"/>
  </r>
  <r>
    <x v="1562"/>
    <n v="990"/>
    <x v="0"/>
    <x v="8"/>
    <n v="4"/>
    <x v="75"/>
    <x v="18"/>
    <x v="1"/>
    <x v="4"/>
    <s v="Ninguno"/>
    <s v="Cantidad de personas por rango etario"/>
    <s v="Año 2017"/>
    <s v="Personas"/>
    <s v="Instituto Nacional de Estadísticas (INE)"/>
    <x v="1558"/>
    <m/>
    <s v="Gráfico"/>
    <s v="región de Coquimbo población pueblos originarios indígenas etnia edad año 2017 Chile gráfico"/>
    <x v="1188"/>
    <s v="100-R-4"/>
    <s v="#1774B85"/>
    <s v="990-1563"/>
    <n v="99200004"/>
    <s v="T-1067"/>
    <s v="C-1012"/>
    <s v="FI-993"/>
    <s v="M-1122"/>
  </r>
  <r>
    <x v="1563"/>
    <n v="990"/>
    <x v="0"/>
    <x v="8"/>
    <n v="5"/>
    <x v="75"/>
    <x v="18"/>
    <x v="1"/>
    <x v="5"/>
    <s v="Ninguno"/>
    <s v="Cantidad de personas por rango etario"/>
    <s v="Año 2017"/>
    <s v="Personas"/>
    <s v="Instituto Nacional de Estadísticas (INE)"/>
    <x v="1558"/>
    <m/>
    <s v="Gráfico"/>
    <s v="región de Valparaíso población pueblos originarios indígenas etnia edad año 2017 Chile gráfico"/>
    <x v="1189"/>
    <s v="100-R-5"/>
    <s v="#1774B86"/>
    <s v="990-1564"/>
    <n v="99200005"/>
    <s v="T-1067"/>
    <s v="C-1012"/>
    <s v="FI-993"/>
    <s v="M-1122"/>
  </r>
  <r>
    <x v="1564"/>
    <n v="990"/>
    <x v="0"/>
    <x v="8"/>
    <n v="6"/>
    <x v="75"/>
    <x v="18"/>
    <x v="1"/>
    <x v="6"/>
    <s v="Ninguno"/>
    <s v="Cantidad de personas por rango etario"/>
    <s v="Año 2017"/>
    <s v="Personas"/>
    <s v="Instituto Nacional de Estadísticas (INE)"/>
    <x v="1558"/>
    <m/>
    <s v="Gráfico"/>
    <s v="región de O'Higgins población pueblos originarios indígenas etnia edad año 2017 Chile gráfico"/>
    <x v="1190"/>
    <s v="100-R-6"/>
    <s v="#1774B87"/>
    <s v="990-1565"/>
    <n v="99200006"/>
    <s v="T-1067"/>
    <s v="C-1012"/>
    <s v="FI-993"/>
    <s v="M-1122"/>
  </r>
  <r>
    <x v="1565"/>
    <n v="990"/>
    <x v="0"/>
    <x v="8"/>
    <n v="7"/>
    <x v="75"/>
    <x v="18"/>
    <x v="1"/>
    <x v="7"/>
    <s v="Ninguno"/>
    <s v="Cantidad de personas por rango etario"/>
    <s v="Año 2017"/>
    <s v="Personas"/>
    <s v="Instituto Nacional de Estadísticas (INE)"/>
    <x v="1558"/>
    <m/>
    <s v="Gráfico"/>
    <s v="región de Maule población pueblos originarios indígenas etnia edad año 2017 Chile gráfico"/>
    <x v="1191"/>
    <s v="100-R-7"/>
    <s v="#1774B88"/>
    <s v="990-1566"/>
    <n v="99200007"/>
    <s v="T-1067"/>
    <s v="C-1012"/>
    <s v="FI-993"/>
    <s v="M-1122"/>
  </r>
  <r>
    <x v="1566"/>
    <n v="990"/>
    <x v="0"/>
    <x v="8"/>
    <n v="8"/>
    <x v="75"/>
    <x v="18"/>
    <x v="1"/>
    <x v="8"/>
    <s v="Ninguno"/>
    <s v="Cantidad de personas por rango etario"/>
    <s v="Año 2017"/>
    <s v="Personas"/>
    <s v="Instituto Nacional de Estadísticas (INE)"/>
    <x v="1558"/>
    <m/>
    <s v="Gráfico"/>
    <s v="región del Biobío población pueblos originarios indígenas etnia edad año 2017 Chile gráfico"/>
    <x v="1192"/>
    <s v="100-R-8"/>
    <s v="#1774B89"/>
    <s v="990-1567"/>
    <n v="99200008"/>
    <s v="T-1067"/>
    <s v="C-1012"/>
    <s v="FI-993"/>
    <s v="M-1122"/>
  </r>
  <r>
    <x v="1567"/>
    <n v="990"/>
    <x v="0"/>
    <x v="8"/>
    <n v="9"/>
    <x v="75"/>
    <x v="18"/>
    <x v="1"/>
    <x v="9"/>
    <s v="Ninguno"/>
    <s v="Cantidad de personas por rango etario"/>
    <s v="Año 2017"/>
    <s v="Personas"/>
    <s v="Instituto Nacional de Estadísticas (INE)"/>
    <x v="1558"/>
    <m/>
    <s v="Gráfico"/>
    <s v="región de La Araucanía población pueblos originarios indígenas etnia edad año 2017 Chile gráfico"/>
    <x v="1193"/>
    <s v="100-R-9"/>
    <s v="#1774B90"/>
    <s v="990-1568"/>
    <n v="99200009"/>
    <s v="T-1067"/>
    <s v="C-1012"/>
    <s v="FI-993"/>
    <s v="M-1122"/>
  </r>
  <r>
    <x v="1568"/>
    <n v="990"/>
    <x v="0"/>
    <x v="8"/>
    <n v="10"/>
    <x v="75"/>
    <x v="18"/>
    <x v="1"/>
    <x v="10"/>
    <s v="Ninguno"/>
    <s v="Cantidad de personas por rango etario"/>
    <s v="Año 2017"/>
    <s v="Personas"/>
    <s v="Instituto Nacional de Estadísticas (INE)"/>
    <x v="1558"/>
    <m/>
    <s v="Gráfico"/>
    <s v="región de Los Lagos población pueblos originarios indígenas etnia edad año 2017 Chile gráfico"/>
    <x v="1194"/>
    <s v="100-R-10"/>
    <s v="#1774B91"/>
    <s v="990-1569"/>
    <n v="99200010"/>
    <s v="T-1067"/>
    <s v="C-1012"/>
    <s v="FI-993"/>
    <s v="M-1122"/>
  </r>
  <r>
    <x v="1569"/>
    <n v="990"/>
    <x v="0"/>
    <x v="8"/>
    <n v="11"/>
    <x v="75"/>
    <x v="18"/>
    <x v="1"/>
    <x v="11"/>
    <s v="Ninguno"/>
    <s v="Cantidad de personas por rango etario"/>
    <s v="Año 2017"/>
    <s v="Personas"/>
    <s v="Instituto Nacional de Estadísticas (INE)"/>
    <x v="1558"/>
    <m/>
    <s v="Gráfico"/>
    <s v="región de Aysén población pueblos originarios indígenas etnia edad año 2017 Chile gráfico"/>
    <x v="1195"/>
    <s v="100-R-11"/>
    <s v="#1774B92"/>
    <s v="990-1570"/>
    <n v="99200011"/>
    <s v="T-1067"/>
    <s v="C-1012"/>
    <s v="FI-993"/>
    <s v="M-1122"/>
  </r>
  <r>
    <x v="1570"/>
    <n v="990"/>
    <x v="0"/>
    <x v="8"/>
    <n v="12"/>
    <x v="75"/>
    <x v="18"/>
    <x v="1"/>
    <x v="12"/>
    <s v="Ninguno"/>
    <s v="Cantidad de personas por rango etario"/>
    <s v="Año 2017"/>
    <s v="Personas"/>
    <s v="Instituto Nacional de Estadísticas (INE)"/>
    <x v="1558"/>
    <m/>
    <s v="Gráfico"/>
    <s v="región de Magallanes población pueblos originarios indígenas etnia edad año 2017 Chile gráfico"/>
    <x v="1196"/>
    <s v="100-R-12"/>
    <s v="#1774B93"/>
    <s v="990-1571"/>
    <n v="99200012"/>
    <s v="T-1067"/>
    <s v="C-1012"/>
    <s v="FI-993"/>
    <s v="M-1122"/>
  </r>
  <r>
    <x v="1571"/>
    <n v="990"/>
    <x v="0"/>
    <x v="8"/>
    <n v="13"/>
    <x v="75"/>
    <x v="18"/>
    <x v="1"/>
    <x v="13"/>
    <s v="Ninguno"/>
    <s v="Cantidad de personas por rango etario"/>
    <s v="Año 2017"/>
    <s v="Personas"/>
    <s v="Instituto Nacional de Estadísticas (INE)"/>
    <x v="1558"/>
    <m/>
    <s v="Gráfico"/>
    <s v="región Metropolitana población pueblos originarios indígenas etnia edad año 2017 Chile gráfico"/>
    <x v="1197"/>
    <s v="200-R-13"/>
    <s v="#1774B94"/>
    <s v="990-1572"/>
    <n v="99200013"/>
    <s v="T-1067"/>
    <s v="C-1012"/>
    <s v="FI-993"/>
    <s v="M-1122"/>
  </r>
  <r>
    <x v="1572"/>
    <n v="990"/>
    <x v="0"/>
    <x v="8"/>
    <n v="14"/>
    <x v="75"/>
    <x v="18"/>
    <x v="1"/>
    <x v="14"/>
    <s v="Ninguno"/>
    <s v="Cantidad de personas por rango etario"/>
    <s v="Año 2017"/>
    <s v="Personas"/>
    <s v="Instituto Nacional de Estadísticas (INE)"/>
    <x v="1558"/>
    <m/>
    <s v="Gráfico"/>
    <s v="región de Los Ríos población pueblos originarios indígenas etnia edad año 2017 Chile gráfico"/>
    <x v="1198"/>
    <s v="100-R-14"/>
    <s v="#1774B95"/>
    <s v="990-1573"/>
    <n v="99200014"/>
    <s v="T-1067"/>
    <s v="C-1012"/>
    <s v="FI-993"/>
    <s v="M-1122"/>
  </r>
  <r>
    <x v="1573"/>
    <n v="990"/>
    <x v="0"/>
    <x v="8"/>
    <n v="15"/>
    <x v="75"/>
    <x v="18"/>
    <x v="1"/>
    <x v="15"/>
    <s v="Ninguno"/>
    <s v="Cantidad de personas por rango etario"/>
    <s v="Año 2017"/>
    <s v="Personas"/>
    <s v="Instituto Nacional de Estadísticas (INE)"/>
    <x v="1558"/>
    <m/>
    <s v="Gráfico"/>
    <s v="región de Arica y Parinacota población pueblos originarios indígenas etnia edad año 2017 Chile gráfico"/>
    <x v="1199"/>
    <s v="100-R-15"/>
    <s v="#1774B96"/>
    <s v="990-1574"/>
    <n v="99200015"/>
    <s v="T-1067"/>
    <s v="C-1012"/>
    <s v="FI-993"/>
    <s v="M-1122"/>
  </r>
  <r>
    <x v="1574"/>
    <n v="990"/>
    <x v="0"/>
    <x v="8"/>
    <n v="16"/>
    <x v="75"/>
    <x v="18"/>
    <x v="1"/>
    <x v="16"/>
    <s v="Ninguno"/>
    <s v="Cantidad de personas por rango etario"/>
    <s v="Año 2017"/>
    <s v="Personas"/>
    <s v="Instituto Nacional de Estadísticas (INE)"/>
    <x v="1558"/>
    <m/>
    <s v="Gráfico"/>
    <s v="región de Ñuble población pueblos originarios indígenas etnia edad año 2017 Chile gráfico"/>
    <x v="1200"/>
    <s v="100-R-16"/>
    <s v="#1774B97"/>
    <s v="990-1575"/>
    <n v="99200016"/>
    <s v="T-1067"/>
    <s v="C-1012"/>
    <s v="FI-993"/>
    <s v="M-1122"/>
  </r>
  <r>
    <x v="1575"/>
    <n v="990"/>
    <x v="0"/>
    <x v="8"/>
    <n v="0"/>
    <x v="75"/>
    <x v="18"/>
    <x v="0"/>
    <x v="0"/>
    <s v="Ninguno"/>
    <s v="Cantidad de personas por pueblo indígena"/>
    <s v="Año 2017"/>
    <s v="Personas"/>
    <s v="Instituto Nacional de Estadísticas (INE)"/>
    <x v="1559"/>
    <m/>
    <s v="Nube de palabras"/>
    <s v="población pueblos originarios indígenas etnia nube de palabras Chile año 2017"/>
    <x v="1201"/>
    <n v="0"/>
    <s v="#1774B98"/>
    <s v="990-1576"/>
    <n v="99100000"/>
    <s v="T-1067"/>
    <s v="C-1012"/>
    <s v="FI-993"/>
    <s v="M-1123"/>
  </r>
  <r>
    <x v="1576"/>
    <n v="990"/>
    <x v="0"/>
    <x v="8"/>
    <n v="0"/>
    <x v="75"/>
    <x v="18"/>
    <x v="0"/>
    <x v="0"/>
    <s v="Ninguno"/>
    <s v="Cantidad de personas por pueblo indígena por región"/>
    <s v="Año 2017"/>
    <s v="Personas"/>
    <s v="Instituto Nacional de Estadísticas (INE)"/>
    <x v="1560"/>
    <s v="La región más habitada con población mapuche es la Metropolitana, con 614.881 personas. Por otro lado, la más habitada con población diaguita es Coquimbo, con 26.470 habitantes. Según el Instituto Nacional de Estadísticas, el pueblo &quot;Otro&quot; considera a otros pueblos indígenas, originarios, tribales u otras etnias declaradas por la población censada, y el &quot;Pueblo Ignorado&quot; considera a la población que se declaró perteneciente a un pueblo indígena u originario pero cuyo pueblo específico no fue declarado o posible de clasificar."/>
    <s v="Gráfico"/>
    <s v="Chile gráfico población pueblos originarios indígenas etnia regional año 2017"/>
    <x v="1202"/>
    <s v="300-R"/>
    <s v="#1774B99"/>
    <s v="990-1577"/>
    <n v="99100000"/>
    <s v="T-1067"/>
    <s v="C-1012"/>
    <s v="FI-993"/>
    <s v="M-1124"/>
  </r>
  <r>
    <x v="1577"/>
    <n v="990"/>
    <x v="0"/>
    <x v="8"/>
    <n v="1"/>
    <x v="75"/>
    <x v="18"/>
    <x v="1"/>
    <x v="1"/>
    <s v="Ninguno"/>
    <s v="Cantidad de personas por pueblo indígena"/>
    <s v="Año 2017"/>
    <s v="Personas"/>
    <s v="Instituto Nacional de Estadísticas (INE)"/>
    <x v="1561"/>
    <m/>
    <s v="Gráfico"/>
    <s v="región de Tarapacá gráfico población pueblos originarios indígenas etnia año 2017"/>
    <x v="1203"/>
    <s v="100-R-1"/>
    <s v="#1774B100"/>
    <s v="990-1578"/>
    <n v="99200001"/>
    <s v="T-1067"/>
    <s v="C-1012"/>
    <s v="FI-993"/>
    <s v="M-1123"/>
  </r>
  <r>
    <x v="1578"/>
    <n v="990"/>
    <x v="0"/>
    <x v="8"/>
    <n v="2"/>
    <x v="75"/>
    <x v="18"/>
    <x v="1"/>
    <x v="2"/>
    <s v="Ninguno"/>
    <s v="Cantidad de personas por pueblo indígena"/>
    <s v="Año 2017"/>
    <s v="Personas"/>
    <s v="Instituto Nacional de Estadísticas (INE)"/>
    <x v="1562"/>
    <m/>
    <s v="Gráfico"/>
    <s v="región de Antofagasta gráfico población pueblos originarios indígenas etnia año 2017"/>
    <x v="1204"/>
    <s v="100-R-2"/>
    <s v="#1774B101"/>
    <s v="990-1579"/>
    <n v="99200002"/>
    <s v="T-1067"/>
    <s v="C-1012"/>
    <s v="FI-993"/>
    <s v="M-1123"/>
  </r>
  <r>
    <x v="1579"/>
    <n v="990"/>
    <x v="0"/>
    <x v="8"/>
    <n v="3"/>
    <x v="75"/>
    <x v="18"/>
    <x v="1"/>
    <x v="3"/>
    <s v="Ninguno"/>
    <s v="Cantidad de personas por pueblo indígena"/>
    <s v="Año 2017"/>
    <s v="Personas"/>
    <s v="Instituto Nacional de Estadísticas (INE)"/>
    <x v="1563"/>
    <m/>
    <s v="Gráfico"/>
    <s v="región de Atacama gráfico población pueblos originarios indígenas etnia año 2017"/>
    <x v="1205"/>
    <s v="100-R-3"/>
    <s v="#1774B102"/>
    <s v="990-1580"/>
    <n v="99200003"/>
    <s v="T-1067"/>
    <s v="C-1012"/>
    <s v="FI-993"/>
    <s v="M-1123"/>
  </r>
  <r>
    <x v="1580"/>
    <n v="990"/>
    <x v="0"/>
    <x v="8"/>
    <n v="4"/>
    <x v="75"/>
    <x v="18"/>
    <x v="1"/>
    <x v="4"/>
    <s v="Ninguno"/>
    <s v="Cantidad de personas por pueblo indígena"/>
    <s v="Año 2017"/>
    <s v="Personas"/>
    <s v="Instituto Nacional de Estadísticas (INE)"/>
    <x v="1564"/>
    <m/>
    <s v="Gráfico"/>
    <s v="región de Coquimbo gráfico población pueblos originarios indígenas etnia año 2017"/>
    <x v="1206"/>
    <s v="100-R-4"/>
    <s v="#1774B103"/>
    <s v="990-1581"/>
    <n v="99200004"/>
    <s v="T-1067"/>
    <s v="C-1012"/>
    <s v="FI-993"/>
    <s v="M-1123"/>
  </r>
  <r>
    <x v="1581"/>
    <n v="990"/>
    <x v="0"/>
    <x v="8"/>
    <n v="5"/>
    <x v="75"/>
    <x v="18"/>
    <x v="1"/>
    <x v="5"/>
    <s v="Ninguno"/>
    <s v="Cantidad de personas por pueblo indígena"/>
    <s v="Año 2017"/>
    <s v="Personas"/>
    <s v="Instituto Nacional de Estadísticas (INE)"/>
    <x v="1565"/>
    <m/>
    <s v="Gráfico"/>
    <s v="región de Valparaíso gráfico población pueblos originarios indígenas etnia año 2017"/>
    <x v="1207"/>
    <s v="100-R-5"/>
    <s v="#1774B104"/>
    <s v="990-1582"/>
    <n v="99200005"/>
    <s v="T-1067"/>
    <s v="C-1012"/>
    <s v="FI-993"/>
    <s v="M-1123"/>
  </r>
  <r>
    <x v="1582"/>
    <n v="990"/>
    <x v="0"/>
    <x v="8"/>
    <n v="6"/>
    <x v="75"/>
    <x v="18"/>
    <x v="1"/>
    <x v="6"/>
    <s v="Ninguno"/>
    <s v="Cantidad de personas por pueblo indígena"/>
    <s v="Año 2017"/>
    <s v="Personas"/>
    <s v="Instituto Nacional de Estadísticas (INE)"/>
    <x v="1566"/>
    <m/>
    <s v="Gráfico"/>
    <s v="región de O'Higgins gráfico población pueblos originarios indígenas etnia año 2017"/>
    <x v="1208"/>
    <s v="100-R-6"/>
    <s v="#1774B105"/>
    <s v="990-1583"/>
    <n v="99200006"/>
    <s v="T-1067"/>
    <s v="C-1012"/>
    <s v="FI-993"/>
    <s v="M-1123"/>
  </r>
  <r>
    <x v="1583"/>
    <n v="990"/>
    <x v="0"/>
    <x v="8"/>
    <n v="7"/>
    <x v="75"/>
    <x v="18"/>
    <x v="1"/>
    <x v="7"/>
    <s v="Ninguno"/>
    <s v="Cantidad de personas por pueblo indígena"/>
    <s v="Año 2017"/>
    <s v="Personas"/>
    <s v="Instituto Nacional de Estadísticas (INE)"/>
    <x v="1567"/>
    <m/>
    <s v="Gráfico"/>
    <s v="región de Maule gráfico población pueblos originarios indígenas etnia año 2017"/>
    <x v="1209"/>
    <s v="100-R-7"/>
    <s v="#1774B106"/>
    <s v="990-1584"/>
    <n v="99200007"/>
    <s v="T-1067"/>
    <s v="C-1012"/>
    <s v="FI-993"/>
    <s v="M-1123"/>
  </r>
  <r>
    <x v="1584"/>
    <n v="990"/>
    <x v="0"/>
    <x v="8"/>
    <n v="8"/>
    <x v="75"/>
    <x v="18"/>
    <x v="1"/>
    <x v="8"/>
    <s v="Ninguno"/>
    <s v="Cantidad de personas por pueblo indígena"/>
    <s v="Año 2017"/>
    <s v="Personas"/>
    <s v="Instituto Nacional de Estadísticas (INE)"/>
    <x v="1568"/>
    <m/>
    <s v="Gráfico"/>
    <s v="región de Biobío gráfico población pueblos originarios indígenas etnia año 2017"/>
    <x v="1210"/>
    <s v="100-R-8"/>
    <s v="#1774B107"/>
    <s v="990-1585"/>
    <n v="99200008"/>
    <s v="T-1067"/>
    <s v="C-1012"/>
    <s v="FI-993"/>
    <s v="M-1123"/>
  </r>
  <r>
    <x v="1585"/>
    <n v="990"/>
    <x v="0"/>
    <x v="8"/>
    <n v="9"/>
    <x v="75"/>
    <x v="18"/>
    <x v="1"/>
    <x v="9"/>
    <s v="Ninguno"/>
    <s v="Cantidad de personas por pueblo indígena"/>
    <s v="Año 2017"/>
    <s v="Personas"/>
    <s v="Instituto Nacional de Estadísticas (INE)"/>
    <x v="1569"/>
    <m/>
    <s v="Gráfico"/>
    <s v="región de La Araucanía gráfico población pueblos originarios indígenas etnia año 2017"/>
    <x v="1211"/>
    <s v="100-R-9"/>
    <s v="#1774B108"/>
    <s v="990-1586"/>
    <n v="99200009"/>
    <s v="T-1067"/>
    <s v="C-1012"/>
    <s v="FI-993"/>
    <s v="M-1123"/>
  </r>
  <r>
    <x v="1586"/>
    <n v="990"/>
    <x v="0"/>
    <x v="8"/>
    <n v="10"/>
    <x v="75"/>
    <x v="18"/>
    <x v="1"/>
    <x v="10"/>
    <s v="Ninguno"/>
    <s v="Cantidad de personas por pueblo indígena"/>
    <s v="Año 2017"/>
    <s v="Personas"/>
    <s v="Instituto Nacional de Estadísticas (INE)"/>
    <x v="1570"/>
    <m/>
    <s v="Gráfico"/>
    <s v="región de Los Lagos gráfico población pueblos originarios indígenas etnia año 2017"/>
    <x v="1212"/>
    <s v="100-R-10"/>
    <s v="#1774B109"/>
    <s v="990-1587"/>
    <n v="99200010"/>
    <s v="T-1067"/>
    <s v="C-1012"/>
    <s v="FI-993"/>
    <s v="M-1123"/>
  </r>
  <r>
    <x v="1587"/>
    <n v="990"/>
    <x v="0"/>
    <x v="8"/>
    <n v="11"/>
    <x v="75"/>
    <x v="18"/>
    <x v="1"/>
    <x v="11"/>
    <s v="Ninguno"/>
    <s v="Cantidad de personas por pueblo indígena"/>
    <s v="Año 2017"/>
    <s v="Personas"/>
    <s v="Instituto Nacional de Estadísticas (INE)"/>
    <x v="1571"/>
    <m/>
    <s v="Gráfico"/>
    <s v="región de Aysén gráfico población pueblos originarios indígenas etnia año 2017"/>
    <x v="1213"/>
    <s v="100-R-11"/>
    <s v="#1774B110"/>
    <s v="990-1588"/>
    <n v="99200011"/>
    <s v="T-1067"/>
    <s v="C-1012"/>
    <s v="FI-993"/>
    <s v="M-1123"/>
  </r>
  <r>
    <x v="1588"/>
    <n v="990"/>
    <x v="0"/>
    <x v="8"/>
    <n v="12"/>
    <x v="75"/>
    <x v="18"/>
    <x v="1"/>
    <x v="12"/>
    <s v="Ninguno"/>
    <s v="Cantidad de personas por pueblo indígena"/>
    <s v="Año 2017"/>
    <s v="Personas"/>
    <s v="Instituto Nacional de Estadísticas (INE)"/>
    <x v="1572"/>
    <m/>
    <s v="Gráfico"/>
    <s v="región de Magallanes gráfico población pueblos originarios indígenas etnia año 2017"/>
    <x v="1214"/>
    <s v="100-R-12"/>
    <s v="#1774B111"/>
    <s v="990-1589"/>
    <n v="99200012"/>
    <s v="T-1067"/>
    <s v="C-1012"/>
    <s v="FI-993"/>
    <s v="M-1123"/>
  </r>
  <r>
    <x v="1589"/>
    <n v="990"/>
    <x v="0"/>
    <x v="8"/>
    <n v="13"/>
    <x v="75"/>
    <x v="18"/>
    <x v="1"/>
    <x v="13"/>
    <s v="Ninguno"/>
    <s v="Cantidad de personas por pueblo indígena"/>
    <s v="Año 2017"/>
    <s v="Personas"/>
    <s v="Instituto Nacional de Estadísticas (INE)"/>
    <x v="1573"/>
    <m/>
    <s v="Gráfico"/>
    <s v="región Metropolitana gráfico población pueblos originarios indígenas etnia año 2017"/>
    <x v="1215"/>
    <s v="200-R-13"/>
    <s v="#1774B112"/>
    <s v="990-1590"/>
    <n v="99200013"/>
    <s v="T-1067"/>
    <s v="C-1012"/>
    <s v="FI-993"/>
    <s v="M-1123"/>
  </r>
  <r>
    <x v="1590"/>
    <n v="990"/>
    <x v="0"/>
    <x v="8"/>
    <n v="14"/>
    <x v="75"/>
    <x v="18"/>
    <x v="1"/>
    <x v="14"/>
    <s v="Ninguno"/>
    <s v="Cantidad de personas por pueblo indígena"/>
    <s v="Año 2017"/>
    <s v="Personas"/>
    <s v="Instituto Nacional de Estadísticas (INE)"/>
    <x v="1574"/>
    <m/>
    <s v="Gráfico"/>
    <s v="región de Los Ríos gráfico población pueblos originarios indígenas etnia año 2017"/>
    <x v="1216"/>
    <s v="100-R-14"/>
    <s v="#1774B113"/>
    <s v="990-1591"/>
    <n v="99200014"/>
    <s v="T-1067"/>
    <s v="C-1012"/>
    <s v="FI-993"/>
    <s v="M-1123"/>
  </r>
  <r>
    <x v="1591"/>
    <n v="990"/>
    <x v="0"/>
    <x v="8"/>
    <n v="15"/>
    <x v="75"/>
    <x v="18"/>
    <x v="1"/>
    <x v="15"/>
    <s v="Ninguno"/>
    <s v="Cantidad de personas por pueblo indígena"/>
    <s v="Año 2017"/>
    <s v="Personas"/>
    <s v="Instituto Nacional de Estadísticas (INE)"/>
    <x v="1575"/>
    <m/>
    <s v="Gráfico"/>
    <s v="región de Arica y Parinacota gráfico población pueblos originarios indígenas etnia año 2017"/>
    <x v="1217"/>
    <s v="100-R-15"/>
    <s v="#1774B114"/>
    <s v="990-1592"/>
    <n v="99200015"/>
    <s v="T-1067"/>
    <s v="C-1012"/>
    <s v="FI-993"/>
    <s v="M-1123"/>
  </r>
  <r>
    <x v="1592"/>
    <n v="990"/>
    <x v="0"/>
    <x v="8"/>
    <n v="16"/>
    <x v="75"/>
    <x v="18"/>
    <x v="1"/>
    <x v="16"/>
    <s v="Ninguno"/>
    <s v="Cantidad de personas por pueblo indígena"/>
    <s v="Año 2017"/>
    <s v="Personas"/>
    <s v="Instituto Nacional de Estadísticas (INE)"/>
    <x v="1576"/>
    <m/>
    <s v="Gráfico"/>
    <s v="región de Ñuble gráfico población pueblos originarios indígenas etnia año 2017"/>
    <x v="1218"/>
    <s v="100-R-16"/>
    <s v="#1774B115"/>
    <s v="990-1593"/>
    <n v="99200016"/>
    <s v="T-1067"/>
    <s v="C-1012"/>
    <s v="FI-993"/>
    <s v="M-1123"/>
  </r>
  <r>
    <x v="1593"/>
    <n v="990"/>
    <x v="0"/>
    <x v="8"/>
    <n v="0"/>
    <x v="75"/>
    <x v="18"/>
    <x v="0"/>
    <x v="0"/>
    <s v="Ninguno"/>
    <s v="Cantidad de personas por región por sexo"/>
    <s v="Año 2017"/>
    <s v="Personas"/>
    <s v="Instituto Nacional de Estadísticas (INE)"/>
    <x v="1577"/>
    <s v="La presencia de mujeres pertenecientes a pueblos indígenas es más notoria en la región Metropolitana, alcanzando 352.651 mujeres. Al contrario, la región que tiene menos mujeres pertenecientes a pueblos indígenas es Arica y Parinacota, con 11.128 habitantes."/>
    <s v="Gráfico"/>
    <s v="Chile gráfico población pueblos originarios indígenas etnia sexo hombre mujer año 2017"/>
    <x v="1219"/>
    <s v="300-R"/>
    <s v="#1774B116"/>
    <s v="990-1594"/>
    <n v="99100000"/>
    <s v="T-1067"/>
    <s v="C-1012"/>
    <s v="FI-993"/>
    <s v="M-1125"/>
  </r>
  <r>
    <x v="1594"/>
    <n v="990"/>
    <x v="0"/>
    <x v="8"/>
    <n v="1"/>
    <x v="75"/>
    <x v="18"/>
    <x v="1"/>
    <x v="1"/>
    <s v="Ninguno"/>
    <s v="Cantidad de personas por región por sexo"/>
    <s v="Año 2017"/>
    <s v="Personas"/>
    <s v="Instituto Nacional de Estadísticas (INE)"/>
    <x v="1578"/>
    <m/>
    <s v="Gráfico"/>
    <s v="Región de Tarapacá gráfico población pueblos originarios indígenas etnia sexo hombre mujer año 2017"/>
    <x v="1220"/>
    <s v="100-R-1"/>
    <s v="#1774B117"/>
    <s v="990-1595"/>
    <n v="99200001"/>
    <s v="T-1067"/>
    <s v="C-1012"/>
    <s v="FI-993"/>
    <s v="M-1125"/>
  </r>
  <r>
    <x v="1595"/>
    <n v="990"/>
    <x v="0"/>
    <x v="8"/>
    <n v="2"/>
    <x v="75"/>
    <x v="18"/>
    <x v="1"/>
    <x v="2"/>
    <s v="Ninguno"/>
    <s v="Cantidad de personas por región por sexo"/>
    <s v="Año 2017"/>
    <s v="Personas"/>
    <s v="Instituto Nacional de Estadísticas (INE)"/>
    <x v="1579"/>
    <m/>
    <s v="Gráfico"/>
    <s v="Región de Antofagasta gráfico población pueblos originarios indígenas etnia sexo hombre mujer año 2017"/>
    <x v="1221"/>
    <s v="100-R-2"/>
    <s v="#1774B118"/>
    <s v="990-1596"/>
    <n v="99200002"/>
    <s v="T-1067"/>
    <s v="C-1012"/>
    <s v="FI-993"/>
    <s v="M-1125"/>
  </r>
  <r>
    <x v="1596"/>
    <n v="990"/>
    <x v="0"/>
    <x v="8"/>
    <n v="3"/>
    <x v="75"/>
    <x v="18"/>
    <x v="1"/>
    <x v="3"/>
    <s v="Ninguno"/>
    <s v="Cantidad de personas por región por sexo"/>
    <s v="Año 2017"/>
    <s v="Personas"/>
    <s v="Instituto Nacional de Estadísticas (INE)"/>
    <x v="1580"/>
    <m/>
    <s v="Gráfico"/>
    <s v="Región de Atacama gráfico población pueblos originarios indígenas etnia sexo hombre mujer año 2017"/>
    <x v="1222"/>
    <s v="100-R-3"/>
    <s v="#1774B119"/>
    <s v="990-1597"/>
    <n v="99200003"/>
    <s v="T-1067"/>
    <s v="C-1012"/>
    <s v="FI-993"/>
    <s v="M-1125"/>
  </r>
  <r>
    <x v="1597"/>
    <n v="990"/>
    <x v="0"/>
    <x v="8"/>
    <n v="4"/>
    <x v="75"/>
    <x v="18"/>
    <x v="1"/>
    <x v="4"/>
    <s v="Ninguno"/>
    <s v="Cantidad de personas por región por sexo"/>
    <s v="Año 2017"/>
    <s v="Personas"/>
    <s v="Instituto Nacional de Estadísticas (INE)"/>
    <x v="1581"/>
    <m/>
    <s v="Gráfico"/>
    <s v="Región de Coquimbo gráfico población pueblos originarios indígenas etnia sexo hombre mujer año 2017"/>
    <x v="1223"/>
    <s v="100-R-4"/>
    <s v="#1774B120"/>
    <s v="990-1598"/>
    <n v="99200004"/>
    <s v="T-1067"/>
    <s v="C-1012"/>
    <s v="FI-993"/>
    <s v="M-1125"/>
  </r>
  <r>
    <x v="1598"/>
    <n v="990"/>
    <x v="0"/>
    <x v="8"/>
    <n v="5"/>
    <x v="75"/>
    <x v="18"/>
    <x v="1"/>
    <x v="5"/>
    <s v="Ninguno"/>
    <s v="Cantidad de personas por región por sexo"/>
    <s v="Año 2017"/>
    <s v="Personas"/>
    <s v="Instituto Nacional de Estadísticas (INE)"/>
    <x v="1582"/>
    <m/>
    <s v="Gráfico"/>
    <s v="Región de Valparaíso gráfico población pueblos originarios indígenas etnia sexo hombre mujer año 2017"/>
    <x v="1224"/>
    <s v="100-R-5"/>
    <s v="#1774B121"/>
    <s v="990-1599"/>
    <n v="99200005"/>
    <s v="T-1067"/>
    <s v="C-1012"/>
    <s v="FI-993"/>
    <s v="M-1125"/>
  </r>
  <r>
    <x v="1599"/>
    <n v="990"/>
    <x v="0"/>
    <x v="8"/>
    <n v="6"/>
    <x v="75"/>
    <x v="18"/>
    <x v="1"/>
    <x v="6"/>
    <s v="Ninguno"/>
    <s v="Cantidad de personas por región por sexo"/>
    <s v="Año 2017"/>
    <s v="Personas"/>
    <s v="Instituto Nacional de Estadísticas (INE)"/>
    <x v="1583"/>
    <m/>
    <s v="Gráfico"/>
    <s v="Región de O'Higgins gráfico población pueblos originarios indígenas etnia sexo hombre mujer año 2017"/>
    <x v="1225"/>
    <s v="100-R-6"/>
    <s v="#1774B122"/>
    <s v="990-1600"/>
    <n v="99200006"/>
    <s v="T-1067"/>
    <s v="C-1012"/>
    <s v="FI-993"/>
    <s v="M-1125"/>
  </r>
  <r>
    <x v="1600"/>
    <n v="990"/>
    <x v="0"/>
    <x v="8"/>
    <n v="7"/>
    <x v="75"/>
    <x v="18"/>
    <x v="1"/>
    <x v="7"/>
    <s v="Ninguno"/>
    <s v="Cantidad de personas por región por sexo"/>
    <s v="Año 2017"/>
    <s v="Personas"/>
    <s v="Instituto Nacional de Estadísticas (INE)"/>
    <x v="1584"/>
    <m/>
    <s v="Gráfico"/>
    <s v="Región de Maule gráfico población pueblos originarios indígenas etnia sexo hombre mujer año 2017"/>
    <x v="1226"/>
    <s v="100-R-7"/>
    <s v="#1774B123"/>
    <s v="990-1601"/>
    <n v="99200007"/>
    <s v="T-1067"/>
    <s v="C-1012"/>
    <s v="FI-993"/>
    <s v="M-1125"/>
  </r>
  <r>
    <x v="1601"/>
    <n v="990"/>
    <x v="0"/>
    <x v="8"/>
    <n v="8"/>
    <x v="75"/>
    <x v="18"/>
    <x v="1"/>
    <x v="8"/>
    <s v="Ninguno"/>
    <s v="Cantidad de personas por región por sexo"/>
    <s v="Año 2017"/>
    <s v="Personas"/>
    <s v="Instituto Nacional de Estadísticas (INE)"/>
    <x v="1585"/>
    <m/>
    <s v="Gráfico"/>
    <s v="Región del Biobío gráfico población pueblos originarios indígenas etnia sexo hombre mujer año 2017"/>
    <x v="1227"/>
    <s v="100-R-8"/>
    <s v="#1774B124"/>
    <s v="990-1602"/>
    <n v="99200008"/>
    <s v="T-1067"/>
    <s v="C-1012"/>
    <s v="FI-993"/>
    <s v="M-1125"/>
  </r>
  <r>
    <x v="1602"/>
    <n v="990"/>
    <x v="0"/>
    <x v="8"/>
    <n v="9"/>
    <x v="75"/>
    <x v="18"/>
    <x v="1"/>
    <x v="9"/>
    <s v="Ninguno"/>
    <s v="Cantidad de personas por región por sexo"/>
    <s v="Año 2017"/>
    <s v="Personas"/>
    <s v="Instituto Nacional de Estadísticas (INE)"/>
    <x v="1586"/>
    <m/>
    <s v="Gráfico"/>
    <s v="Región de La Araucanía gráfico población pueblos originarios indígenas etnia sexo hombre mujer año 2017"/>
    <x v="1228"/>
    <s v="100-R-9"/>
    <s v="#1774B125"/>
    <s v="990-1603"/>
    <n v="99200009"/>
    <s v="T-1067"/>
    <s v="C-1012"/>
    <s v="FI-993"/>
    <s v="M-1125"/>
  </r>
  <r>
    <x v="1603"/>
    <n v="990"/>
    <x v="0"/>
    <x v="8"/>
    <n v="10"/>
    <x v="75"/>
    <x v="18"/>
    <x v="1"/>
    <x v="10"/>
    <s v="Ninguno"/>
    <s v="Cantidad de personas por región por sexo"/>
    <s v="Año 2017"/>
    <s v="Personas"/>
    <s v="Instituto Nacional de Estadísticas (INE)"/>
    <x v="1587"/>
    <m/>
    <s v="Gráfico"/>
    <s v="Región de Los Lagos gráfico población pueblos originarios indígenas etnia sexo hombre mujer año 2017"/>
    <x v="1229"/>
    <s v="100-R-10"/>
    <s v="#1774B126"/>
    <s v="990-1604"/>
    <n v="99200010"/>
    <s v="T-1067"/>
    <s v="C-1012"/>
    <s v="FI-993"/>
    <s v="M-1125"/>
  </r>
  <r>
    <x v="1604"/>
    <n v="990"/>
    <x v="0"/>
    <x v="8"/>
    <n v="11"/>
    <x v="75"/>
    <x v="18"/>
    <x v="1"/>
    <x v="11"/>
    <s v="Ninguno"/>
    <s v="Cantidad de personas por región por sexo"/>
    <s v="Año 2017"/>
    <s v="Personas"/>
    <s v="Instituto Nacional de Estadísticas (INE)"/>
    <x v="1588"/>
    <m/>
    <s v="Gráfico"/>
    <s v="Región de Aysén gráfico población pueblos originarios indígenas etnia sexo hombre mujer año 2017"/>
    <x v="1230"/>
    <s v="100-R-11"/>
    <s v="#1774B127"/>
    <s v="990-1605"/>
    <n v="99200011"/>
    <s v="T-1067"/>
    <s v="C-1012"/>
    <s v="FI-993"/>
    <s v="M-1125"/>
  </r>
  <r>
    <x v="1605"/>
    <n v="990"/>
    <x v="0"/>
    <x v="8"/>
    <n v="12"/>
    <x v="75"/>
    <x v="18"/>
    <x v="1"/>
    <x v="12"/>
    <s v="Ninguno"/>
    <s v="Cantidad de personas por región por sexo"/>
    <s v="Año 2017"/>
    <s v="Personas"/>
    <s v="Instituto Nacional de Estadísticas (INE)"/>
    <x v="1589"/>
    <m/>
    <s v="Gráfico"/>
    <s v="Región de Magallanes gráfico población pueblos originarios indígenas etnia sexo hombre mujer año 2017"/>
    <x v="1231"/>
    <s v="100-R-12"/>
    <s v="#1774B128"/>
    <s v="990-1606"/>
    <n v="99200012"/>
    <s v="T-1067"/>
    <s v="C-1012"/>
    <s v="FI-993"/>
    <s v="M-1125"/>
  </r>
  <r>
    <x v="1606"/>
    <n v="990"/>
    <x v="0"/>
    <x v="8"/>
    <n v="13"/>
    <x v="75"/>
    <x v="18"/>
    <x v="1"/>
    <x v="13"/>
    <s v="Ninguno"/>
    <s v="Cantidad de personas por región por sexo"/>
    <s v="Año 2017"/>
    <s v="Personas"/>
    <s v="Instituto Nacional de Estadísticas (INE)"/>
    <x v="1590"/>
    <m/>
    <s v="Gráfico"/>
    <s v="Región Metropolitana gráfico población pueblos originarios indígenas etnia sexo hombre mujer año 2017"/>
    <x v="1232"/>
    <s v="200-R-13"/>
    <s v="#1774B129"/>
    <s v="990-1607"/>
    <n v="99200013"/>
    <s v="T-1067"/>
    <s v="C-1012"/>
    <s v="FI-993"/>
    <s v="M-1125"/>
  </r>
  <r>
    <x v="1607"/>
    <n v="990"/>
    <x v="0"/>
    <x v="8"/>
    <n v="14"/>
    <x v="75"/>
    <x v="18"/>
    <x v="1"/>
    <x v="14"/>
    <s v="Ninguno"/>
    <s v="Cantidad de personas por región por sexo"/>
    <s v="Año 2017"/>
    <s v="Personas"/>
    <s v="Instituto Nacional de Estadísticas (INE)"/>
    <x v="1591"/>
    <m/>
    <s v="Gráfico"/>
    <s v="Región de Los Ríos gráfico población pueblos originarios indígenas etnia sexo hombre mujer año 2017"/>
    <x v="1233"/>
    <s v="100-R-14"/>
    <s v="#1774B130"/>
    <s v="990-1608"/>
    <n v="99200014"/>
    <s v="T-1067"/>
    <s v="C-1012"/>
    <s v="FI-993"/>
    <s v="M-1125"/>
  </r>
  <r>
    <x v="1608"/>
    <n v="990"/>
    <x v="0"/>
    <x v="8"/>
    <n v="15"/>
    <x v="75"/>
    <x v="18"/>
    <x v="1"/>
    <x v="15"/>
    <s v="Ninguno"/>
    <s v="Cantidad de personas por región por sexo"/>
    <s v="Año 2017"/>
    <s v="Personas"/>
    <s v="Instituto Nacional de Estadísticas (INE)"/>
    <x v="1592"/>
    <m/>
    <s v="Gráfico"/>
    <s v="Región de Arica y Parinacota gráfico población pueblos originarios indígenas etnia sexo hombre mujer año 2017"/>
    <x v="1234"/>
    <s v="100-R-15"/>
    <s v="#1774B131"/>
    <s v="990-1609"/>
    <n v="99200015"/>
    <s v="T-1067"/>
    <s v="C-1012"/>
    <s v="FI-993"/>
    <s v="M-1125"/>
  </r>
  <r>
    <x v="1609"/>
    <n v="990"/>
    <x v="0"/>
    <x v="8"/>
    <n v="16"/>
    <x v="75"/>
    <x v="18"/>
    <x v="1"/>
    <x v="16"/>
    <s v="Ninguno"/>
    <s v="Cantidad de personas por región por sexo"/>
    <s v="Año 2017"/>
    <s v="Personas"/>
    <s v="Instituto Nacional de Estadísticas (INE)"/>
    <x v="1593"/>
    <m/>
    <s v="Gráfico"/>
    <s v="Región de Ñuble gráfico población pueblos originarios indígenas etnia sexo hombre mujer año 2017"/>
    <x v="1235"/>
    <s v="100-R-16"/>
    <s v="#1774B132"/>
    <s v="990-1610"/>
    <n v="99200016"/>
    <s v="T-1067"/>
    <s v="C-1012"/>
    <s v="FI-993"/>
    <s v="M-1125"/>
  </r>
  <r>
    <x v="1610"/>
    <n v="990"/>
    <x v="0"/>
    <x v="0"/>
    <n v="0"/>
    <x v="76"/>
    <x v="31"/>
    <x v="0"/>
    <x v="0"/>
    <s v="Fecha"/>
    <s v="Tasa de desocupación nacional por fecha"/>
    <s v="Periodo 1986-2021"/>
    <s v="Tasa "/>
    <s v="Banco Central"/>
    <x v="1594"/>
    <s v="En Chile, la tasa de desocupación alcanzó su máximo en febrero de 1986 con un valor de 13,5. Luego, comienza a disminuir gradualmente hasta febrero de 1998, alcanzando su valor más bajo en todo el periodo observado con 5,1."/>
    <s v="Gráfico de Evolución"/>
    <s v="tasa de desocupación nacional  mensual Chile trabajo gráfico evolución periodo 1986 2021"/>
    <x v="1236"/>
    <n v="0"/>
    <s v="#1774B133"/>
    <s v="990-1611"/>
    <n v="99100000"/>
    <s v="T-1068"/>
    <s v="C-1005"/>
    <s v="FI-1010"/>
    <s v="M-1126"/>
  </r>
  <r>
    <x v="1611"/>
    <n v="990"/>
    <x v="0"/>
    <x v="0"/>
    <n v="0"/>
    <x v="77"/>
    <x v="31"/>
    <x v="0"/>
    <x v="0"/>
    <s v="Fecha"/>
    <s v="Variación de la fuerza de trabajo por fecha"/>
    <s v="Periodo 1986-2021"/>
    <s v="Porcentaje (%)"/>
    <s v="Banco Central"/>
    <x v="1595"/>
    <s v="La fuerza de trabajo integra a las personas ocupadas, desocupadas, que buscan trabajo por primera vez y cesantes. Entre febrero de 1987 y marzo del 2020, la variación de la fuerza de trabajo fluctuó entre -0,7% y 6,9%, siendo este último su máximo en todo el periodo observado. En julio de 2020 alcanza su valor mínimo con -15,6%, para luego comenzar a aumentar."/>
    <s v="Gráfico de Evolución"/>
    <s v="gráfico evolución variación porcentaje fuerza de trabajo Chile mensual año anterior periodo 1986 2021"/>
    <x v="1237"/>
    <n v="0"/>
    <s v="#1774B134"/>
    <s v="990-1612"/>
    <n v="99100000"/>
    <s v="T-1069"/>
    <s v="C-1005"/>
    <s v="FI-1010"/>
    <s v="M-1127"/>
  </r>
  <r>
    <x v="1612"/>
    <n v="990"/>
    <x v="0"/>
    <x v="0"/>
    <n v="0"/>
    <x v="78"/>
    <x v="31"/>
    <x v="0"/>
    <x v="0"/>
    <s v="Fecha"/>
    <s v="Variación de desocupados por fecha"/>
    <s v="Periodo 1986-2021"/>
    <s v="Porcentaje (%)"/>
    <s v="Banco Central"/>
    <x v="1596"/>
    <s v="La variación en la cantidad de desocupados a nivel nacional encontró su máximo en junio de 1999, con un valor de 83,5%. En noviembre de 2012, se observó el valor mínimo de esta variación con -29,5%."/>
    <s v="Gráfico de Evolución"/>
    <s v="gráfico evolución variación porcentaje desocupados Chile mensual año anterior periodo 1986 2021"/>
    <x v="1238"/>
    <n v="0"/>
    <s v="#1774B135"/>
    <s v="990-1613"/>
    <n v="99100000"/>
    <s v="T-1070"/>
    <s v="C-1005"/>
    <s v="FI-1010"/>
    <s v="M-1128"/>
  </r>
  <r>
    <x v="1613"/>
    <n v="990"/>
    <x v="0"/>
    <x v="10"/>
    <n v="0"/>
    <x v="79"/>
    <x v="32"/>
    <x v="0"/>
    <x v="0"/>
    <s v="Región-Fecha"/>
    <s v="Índice de producción minera por fecha"/>
    <s v="Periodo 2014-2021"/>
    <s v="Índice de producción minera"/>
    <s v="Instituto Nacional de Estadísticas (INE)"/>
    <x v="1597"/>
    <s v="Según el INE, el índice de producción minera (IPMin) entrega, mediante el análisis de variaciones interanuales y mensuales, una aproximación de la evolución en el corto plazo de la actividad minera. Este índice alcanzó su mínimo en febrero de 2019 con un valor de 82,3. En mayo de 2020 alcanzó su máximo dentro del periodo observado con un valor de 113,3."/>
    <s v="Gráfico de Evolución"/>
    <s v="gráfico evolución Chile nacional índice de producción minera minería periodo 2014 2021 IPMin"/>
    <x v="1239"/>
    <s v="300-R"/>
    <s v="#1774B136"/>
    <s v="990-1614"/>
    <n v="99100000"/>
    <s v="T-1071"/>
    <s v="C-1024"/>
    <s v="FI-1011"/>
    <s v="M-1129"/>
  </r>
  <r>
    <x v="1614"/>
    <n v="990"/>
    <x v="0"/>
    <x v="10"/>
    <n v="1"/>
    <x v="79"/>
    <x v="32"/>
    <x v="1"/>
    <x v="1"/>
    <s v="Fecha"/>
    <s v="Índice de producción minera por fecha"/>
    <s v="Periodo 2014-2021"/>
    <s v="Índice de producción minera"/>
    <s v="Instituto Nacional de Estadísticas (INE)"/>
    <x v="1598"/>
    <m/>
    <s v="Gráfico de Evolución"/>
    <s v="Región de Tarapacá gráfico evolución Chile índice de producción minera minería periodo 2014 2021 IPMin"/>
    <x v="1240"/>
    <s v="100-R-1"/>
    <s v="#1774B137"/>
    <s v="990-1615"/>
    <n v="99200001"/>
    <s v="T-1071"/>
    <s v="C-1024"/>
    <s v="FI-1010"/>
    <s v="M-1129"/>
  </r>
  <r>
    <x v="1615"/>
    <n v="990"/>
    <x v="0"/>
    <x v="10"/>
    <n v="2"/>
    <x v="79"/>
    <x v="32"/>
    <x v="1"/>
    <x v="2"/>
    <s v="Fecha"/>
    <s v="Índice de producción minera por fecha"/>
    <s v="Periodo 2014-2021"/>
    <s v="Índice de producción minera"/>
    <s v="Instituto Nacional de Estadísticas (INE)"/>
    <x v="1599"/>
    <m/>
    <s v="Gráfico de Evolución"/>
    <s v="Región de Antofagasta gráfico evolución Chile índice de producción minera minería periodo 2014 2021 IPMin"/>
    <x v="1241"/>
    <s v="100-R-2"/>
    <s v="#1774B138"/>
    <s v="990-1616"/>
    <n v="99200002"/>
    <s v="T-1071"/>
    <s v="C-1024"/>
    <s v="FI-1010"/>
    <s v="M-1129"/>
  </r>
  <r>
    <x v="1616"/>
    <n v="990"/>
    <x v="0"/>
    <x v="10"/>
    <n v="3"/>
    <x v="79"/>
    <x v="32"/>
    <x v="1"/>
    <x v="3"/>
    <s v="Fecha"/>
    <s v="Índice de producción minera por fecha"/>
    <s v="Periodo 2014-2021"/>
    <s v="Índice de producción minera"/>
    <s v="Instituto Nacional de Estadísticas (INE)"/>
    <x v="1600"/>
    <m/>
    <s v="Gráfico de Evolución"/>
    <s v="Región de Atacama gráfico evolución Chile índice de producción minera minería periodo 2014 2021 IPMin"/>
    <x v="1242"/>
    <s v="100-R-3"/>
    <s v="#1774B139"/>
    <s v="990-1617"/>
    <n v="99200003"/>
    <s v="T-1071"/>
    <s v="C-1024"/>
    <s v="FI-1010"/>
    <s v="M-1129"/>
  </r>
  <r>
    <x v="1617"/>
    <n v="990"/>
    <x v="0"/>
    <x v="10"/>
    <n v="4"/>
    <x v="79"/>
    <x v="32"/>
    <x v="1"/>
    <x v="4"/>
    <s v="Fecha"/>
    <s v="Índice de producción minera por fecha"/>
    <s v="Periodo 2014-2021"/>
    <s v="Índice de producción minera"/>
    <s v="Instituto Nacional de Estadísticas (INE)"/>
    <x v="1601"/>
    <m/>
    <s v="Gráfico de Evolución"/>
    <s v="Región de Coquimbo gráfico evolución Chile índice de producción minera minería periodo 2014 2021 IPMin"/>
    <x v="1243"/>
    <s v="100-R-4"/>
    <s v="#1774B140"/>
    <s v="990-1618"/>
    <n v="99200004"/>
    <s v="T-1071"/>
    <s v="C-1024"/>
    <s v="FI-1010"/>
    <s v="M-1129"/>
  </r>
  <r>
    <x v="1618"/>
    <n v="990"/>
    <x v="0"/>
    <x v="10"/>
    <n v="0"/>
    <x v="79"/>
    <x v="32"/>
    <x v="0"/>
    <x v="0"/>
    <s v="Región-Fecha"/>
    <s v="Producción de cobre por fecha"/>
    <s v="Periodo 2014-2021"/>
    <s v="Toneladas métricas de contenido fino (tmf)"/>
    <s v="Instituto Nacional de Estadísticas (INE)"/>
    <x v="1602"/>
    <s v="La producción de cobre en toneladas métricas de contenido fino (tmf) alcanzó su máximo en diciembre de 2018, con una producción de 568.394 toneladas métricas. La producción más baja, dentro del periodo observado, se dio en febrero de 2017 con 277.690 tmf."/>
    <s v="Gráfico de Evolución"/>
    <s v="gráfico evolución Chile toneladas méticas contenido fino producción cobre minería tmf periodo 2014 2021"/>
    <x v="1244"/>
    <s v="300-R"/>
    <s v="#1774B141"/>
    <s v="990-1619"/>
    <n v="99100000"/>
    <s v="T-1071"/>
    <s v="C-1024"/>
    <s v="FI-1011"/>
    <s v="M-1130"/>
  </r>
  <r>
    <x v="1619"/>
    <n v="990"/>
    <x v="0"/>
    <x v="10"/>
    <n v="1"/>
    <x v="79"/>
    <x v="32"/>
    <x v="1"/>
    <x v="1"/>
    <s v="Región-Fecha"/>
    <s v="Producción de cobre por fecha"/>
    <s v="Periodo 2014-2021"/>
    <s v="Toneladas métricas de contenido fino (tmf)"/>
    <s v="Instituto Nacional de Estadísticas (INE)"/>
    <x v="1603"/>
    <m/>
    <s v="Gráfico de Evolución"/>
    <s v="gráfico evolución región de Tarapacá producción cobre toneladas contenido fino tmf periodo 2014 2021"/>
    <x v="1245"/>
    <s v="100-R-1"/>
    <s v="#1774B142"/>
    <s v="990-1620"/>
    <n v="99200001"/>
    <s v="T-1071"/>
    <s v="C-1024"/>
    <s v="FI-1011"/>
    <s v="M-1130"/>
  </r>
  <r>
    <x v="1620"/>
    <n v="990"/>
    <x v="0"/>
    <x v="10"/>
    <n v="2"/>
    <x v="79"/>
    <x v="32"/>
    <x v="1"/>
    <x v="2"/>
    <s v="Región-Fecha"/>
    <s v="Producción de cobre por fecha"/>
    <s v="Periodo 2014-2021"/>
    <s v="Toneladas métricas de contenido fino (tmf)"/>
    <s v="Instituto Nacional de Estadísticas (INE)"/>
    <x v="1604"/>
    <m/>
    <s v="Gráfico de Evolución"/>
    <s v="gráfico evolución región de Antofagasta producción cobre toneladas contenido fino tmf periodo 2014 2021"/>
    <x v="1246"/>
    <s v="100-R-2"/>
    <s v="#1774B143"/>
    <s v="990-1621"/>
    <n v="99200002"/>
    <s v="T-1071"/>
    <s v="C-1024"/>
    <s v="FI-1011"/>
    <s v="M-1130"/>
  </r>
  <r>
    <x v="1621"/>
    <n v="990"/>
    <x v="0"/>
    <x v="10"/>
    <n v="3"/>
    <x v="79"/>
    <x v="32"/>
    <x v="1"/>
    <x v="3"/>
    <s v="Región-Fecha"/>
    <s v="Producción de cobre por fecha"/>
    <s v="Periodo 2014-2021"/>
    <s v="Toneladas métricas de contenido fino (tmf)"/>
    <s v="Instituto Nacional de Estadísticas (INE)"/>
    <x v="1605"/>
    <m/>
    <s v="Gráfico de Evolución"/>
    <s v="gráfico evolución región de Atacama producción cobre toneladas contenido fino tmf periodo 2014 2021"/>
    <x v="1247"/>
    <s v="100-R-3"/>
    <s v="#1774B144"/>
    <s v="990-1622"/>
    <n v="99200003"/>
    <s v="T-1071"/>
    <s v="C-1024"/>
    <s v="FI-1011"/>
    <s v="M-1130"/>
  </r>
  <r>
    <x v="1622"/>
    <n v="990"/>
    <x v="0"/>
    <x v="10"/>
    <n v="4"/>
    <x v="79"/>
    <x v="32"/>
    <x v="1"/>
    <x v="4"/>
    <s v="Región-Fecha"/>
    <s v="Producción de cobre por fecha"/>
    <s v="Periodo 2014-2021"/>
    <s v="Toneladas métricas de contenido fino (tmf)"/>
    <s v="Instituto Nacional de Estadísticas (INE)"/>
    <x v="1602"/>
    <m/>
    <s v="Gráfico de Evolución"/>
    <s v="gráfico evolución región de Coquimbo producción cobre toneladas contenido fino tmf periodo 2014 2021"/>
    <x v="1248"/>
    <s v="100-R-4"/>
    <s v="#1774B145"/>
    <s v="990-1623"/>
    <n v="99200004"/>
    <s v="T-1071"/>
    <s v="C-1024"/>
    <s v="FI-1011"/>
    <s v="M-1130"/>
  </r>
  <r>
    <x v="1623"/>
    <n v="990"/>
    <x v="0"/>
    <x v="10"/>
    <n v="5"/>
    <x v="79"/>
    <x v="32"/>
    <x v="1"/>
    <x v="5"/>
    <s v="Región-Fecha"/>
    <s v="Producción de cobre por fecha"/>
    <s v="Periodo 2014-2021"/>
    <s v="Toneladas métricas de contenido fino (tmf)"/>
    <s v="Instituto Nacional de Estadísticas (INE)"/>
    <x v="1606"/>
    <m/>
    <s v="Gráfico de Evolución"/>
    <s v="gráfico evolución región de Valparaíso producción cobre toneladas contenido fino tmf periodo 2014 2021"/>
    <x v="1249"/>
    <s v="100-R-5"/>
    <s v="#1774B146"/>
    <s v="990-1624"/>
    <n v="99200005"/>
    <s v="T-1071"/>
    <s v="C-1024"/>
    <s v="FI-1011"/>
    <s v="M-1130"/>
  </r>
  <r>
    <x v="1624"/>
    <n v="990"/>
    <x v="0"/>
    <x v="10"/>
    <n v="0"/>
    <x v="79"/>
    <x v="32"/>
    <x v="0"/>
    <x v="0"/>
    <s v="Región-Fecha"/>
    <s v="Producción de cloruro de sodio por fecha"/>
    <s v="Periodo 2014-2021"/>
    <s v="Toneladas"/>
    <s v="Instituto Nacional de Estadísticas (INE)"/>
    <x v="1607"/>
    <s v="La producción cloruro de sodio en toneladas (t) alcanzó su máximo en julio de 2015, con una producción de 1.153.490 toneladas. La producción más baja, dentro del periodo observado, se dio en enero de 2014 con 431.393 toneladas."/>
    <s v="Gráfico de Evolución"/>
    <s v="gráfico evolución chile producción de cloruro sodio toneladas minería mensual periodo 2014 2021"/>
    <x v="1250"/>
    <n v="0"/>
    <s v="#1774B147"/>
    <s v="990-1625"/>
    <n v="99100000"/>
    <s v="T-1071"/>
    <s v="C-1024"/>
    <s v="FI-1011"/>
    <s v="M-1131"/>
  </r>
  <r>
    <x v="1625"/>
    <n v="990"/>
    <x v="0"/>
    <x v="10"/>
    <n v="0"/>
    <x v="79"/>
    <x v="32"/>
    <x v="0"/>
    <x v="0"/>
    <s v="Región-Fecha"/>
    <s v="Producción de hierro por fecha"/>
    <s v="Periodo 2014-2021"/>
    <s v="Toneladas métricas (tm) "/>
    <s v="Instituto Nacional de Estadísticas (INE)"/>
    <x v="1608"/>
    <s v="La producción de hierro en toneladas métricas (tm) alcanzó su máximo en septiembre de 2020, con una producción de 890.000 toneladas métricas. La producción más baja, dentro del periodo observado, se dio en marzo de 2015 con 120,172 tm."/>
    <s v="Gráfico de Evolución"/>
    <s v="gráfico evolución chile producción de hierro toneladas métricas tm minería mensual periodo 2014 2021"/>
    <x v="1251"/>
    <n v="0"/>
    <s v="#1774B148"/>
    <s v="990-1626"/>
    <n v="99100000"/>
    <s v="T-1071"/>
    <s v="C-1024"/>
    <s v="FI-1011"/>
    <s v="M-1132"/>
  </r>
  <r>
    <x v="1626"/>
    <n v="990"/>
    <x v="0"/>
    <x v="15"/>
    <n v="0"/>
    <x v="80"/>
    <x v="33"/>
    <x v="0"/>
    <x v="0"/>
    <s v="Región-Fecha"/>
    <s v="Número de pernoctaciones por fecha"/>
    <s v="Periodo 2016-2021"/>
    <s v="Número de pernoctaciones"/>
    <s v="Instituto Nacional de Estadísticas (INE)"/>
    <x v="1609"/>
    <s v="Entre julio de 2016 y febrero de 2020, el número de pernoctaciones en Chile fluctuó entre las 1.509.923 y las 3.055.234 por mes. Luego, en abril de 2020, este número presenta su mínimo para todo el periodo observado con 150.982 pernoctaciones durante ese mes."/>
    <s v="Gráfico de Evolución"/>
    <s v="gráfico evolucion chile número pernoctaciones mensual región periodo 2016 2021"/>
    <x v="1252"/>
    <s v="300-R"/>
    <s v="#1774B149"/>
    <s v="990-1627"/>
    <n v="99100000"/>
    <s v="T-1072"/>
    <s v="C-1025"/>
    <s v="FI-1011"/>
    <s v="M-1133"/>
  </r>
  <r>
    <x v="1627"/>
    <n v="990"/>
    <x v="0"/>
    <x v="15"/>
    <n v="1"/>
    <x v="80"/>
    <x v="33"/>
    <x v="1"/>
    <x v="1"/>
    <s v="Fecha"/>
    <s v="Número de pernoctaciones por fecha"/>
    <s v="Periodo 2016-2021"/>
    <s v="Número de pernoctaciones"/>
    <s v="Instituto Nacional de Estadísticas (INE)"/>
    <x v="1610"/>
    <m/>
    <s v="Gráfico de Evolución"/>
    <s v="Región de Tarapacá gráfico evolucion chile número pernoctaciones mensual periodo 2016 2021"/>
    <x v="1253"/>
    <s v="100-R-1"/>
    <s v="#1774B150"/>
    <s v="990-1628"/>
    <n v="99200001"/>
    <s v="T-1072"/>
    <s v="C-1025"/>
    <s v="FI-1010"/>
    <s v="M-1133"/>
  </r>
  <r>
    <x v="1628"/>
    <n v="990"/>
    <x v="0"/>
    <x v="15"/>
    <n v="2"/>
    <x v="80"/>
    <x v="33"/>
    <x v="1"/>
    <x v="2"/>
    <s v="Fecha"/>
    <s v="Número de pernoctaciones por fecha"/>
    <s v="Periodo 2016-2021"/>
    <s v="Número de pernoctaciones"/>
    <s v="Instituto Nacional de Estadísticas (INE)"/>
    <x v="1611"/>
    <m/>
    <s v="Gráfico de Evolución"/>
    <s v="Región de Antofagasta gráfico evolucion chile número pernoctaciones mensual periodo 2016 2021"/>
    <x v="1254"/>
    <s v="100-R-2"/>
    <s v="#1774B151"/>
    <s v="990-1629"/>
    <n v="99200002"/>
    <s v="T-1072"/>
    <s v="C-1025"/>
    <s v="FI-1010"/>
    <s v="M-1133"/>
  </r>
  <r>
    <x v="1629"/>
    <n v="990"/>
    <x v="0"/>
    <x v="15"/>
    <n v="3"/>
    <x v="80"/>
    <x v="33"/>
    <x v="1"/>
    <x v="3"/>
    <s v="Fecha"/>
    <s v="Número de pernoctaciones por fecha"/>
    <s v="Periodo 2016-2021"/>
    <s v="Número de pernoctaciones"/>
    <s v="Instituto Nacional de Estadísticas (INE)"/>
    <x v="1612"/>
    <m/>
    <s v="Gráfico de Evolución"/>
    <s v="Región de Atacama gráfico evolucion chile número pernoctaciones mensual periodo 2016 2021"/>
    <x v="1255"/>
    <s v="100-R-3"/>
    <s v="#1774B152"/>
    <s v="990-1630"/>
    <n v="99200003"/>
    <s v="T-1072"/>
    <s v="C-1025"/>
    <s v="FI-1010"/>
    <s v="M-1133"/>
  </r>
  <r>
    <x v="1630"/>
    <n v="990"/>
    <x v="0"/>
    <x v="15"/>
    <n v="4"/>
    <x v="80"/>
    <x v="33"/>
    <x v="1"/>
    <x v="4"/>
    <s v="Fecha"/>
    <s v="Número de pernoctaciones por fecha"/>
    <s v="Periodo 2016-2021"/>
    <s v="Número de pernoctaciones"/>
    <s v="Instituto Nacional de Estadísticas (INE)"/>
    <x v="1613"/>
    <m/>
    <s v="Gráfico de Evolución"/>
    <s v="Región de Coquimbo gráfico evolucion chile número pernoctaciones mensual periodo 2016 2021"/>
    <x v="1256"/>
    <s v="100-R-4"/>
    <s v="#1774B153"/>
    <s v="990-1631"/>
    <n v="99200004"/>
    <s v="T-1072"/>
    <s v="C-1025"/>
    <s v="FI-1010"/>
    <s v="M-1133"/>
  </r>
  <r>
    <x v="1631"/>
    <n v="990"/>
    <x v="0"/>
    <x v="15"/>
    <n v="5"/>
    <x v="80"/>
    <x v="33"/>
    <x v="1"/>
    <x v="5"/>
    <s v="Fecha"/>
    <s v="Número de pernoctaciones por fecha"/>
    <s v="Periodo 2016-2021"/>
    <s v="Número de pernoctaciones"/>
    <s v="Instituto Nacional de Estadísticas (INE)"/>
    <x v="1614"/>
    <m/>
    <s v="Gráfico de Evolución"/>
    <s v="Región de Valparaíso gráfico evolucion chile número pernoctaciones mensual periodo 2016 2021"/>
    <x v="1257"/>
    <s v="100-R-5"/>
    <s v="#1774B154"/>
    <s v="990-1632"/>
    <n v="99200005"/>
    <s v="T-1072"/>
    <s v="C-1025"/>
    <s v="FI-1010"/>
    <s v="M-1133"/>
  </r>
  <r>
    <x v="1632"/>
    <n v="990"/>
    <x v="0"/>
    <x v="15"/>
    <n v="6"/>
    <x v="80"/>
    <x v="33"/>
    <x v="1"/>
    <x v="6"/>
    <s v="Fecha"/>
    <s v="Número de pernoctaciones por fecha"/>
    <s v="Periodo 2016-2021"/>
    <s v="Número de pernoctaciones"/>
    <s v="Instituto Nacional de Estadísticas (INE)"/>
    <x v="1615"/>
    <m/>
    <s v="Gráfico de Evolución"/>
    <s v="Región de O'Higgins gráfico evolucion chile número pernoctaciones mensual periodo 2016 2021"/>
    <x v="1258"/>
    <s v="100-R-6"/>
    <s v="#1774B155"/>
    <s v="990-1633"/>
    <n v="99200006"/>
    <s v="T-1072"/>
    <s v="C-1025"/>
    <s v="FI-1010"/>
    <s v="M-1133"/>
  </r>
  <r>
    <x v="1633"/>
    <n v="990"/>
    <x v="0"/>
    <x v="15"/>
    <n v="7"/>
    <x v="80"/>
    <x v="33"/>
    <x v="1"/>
    <x v="7"/>
    <s v="Fecha"/>
    <s v="Número de pernoctaciones por fecha"/>
    <s v="Periodo 2016-2021"/>
    <s v="Número de pernoctaciones"/>
    <s v="Instituto Nacional de Estadísticas (INE)"/>
    <x v="1616"/>
    <m/>
    <s v="Gráfico de Evolución"/>
    <s v="Región de Maule gráfico evolucion chile número pernoctaciones mensual periodo 2016 2021"/>
    <x v="1259"/>
    <s v="100-R-7"/>
    <s v="#1774B156"/>
    <s v="990-1634"/>
    <n v="99200007"/>
    <s v="T-1072"/>
    <s v="C-1025"/>
    <s v="FI-1010"/>
    <s v="M-1133"/>
  </r>
  <r>
    <x v="1634"/>
    <n v="990"/>
    <x v="0"/>
    <x v="15"/>
    <n v="8"/>
    <x v="80"/>
    <x v="33"/>
    <x v="1"/>
    <x v="8"/>
    <s v="Fecha"/>
    <s v="Número de pernoctaciones por fecha"/>
    <s v="Periodo 2016-2021"/>
    <s v="Número de pernoctaciones"/>
    <s v="Instituto Nacional de Estadísticas (INE)"/>
    <x v="1617"/>
    <m/>
    <s v="Gráfico de Evolución"/>
    <s v="Región del Biobío gráfico evolucion chile número pernoctaciones mensual periodo 2016 2021"/>
    <x v="1260"/>
    <s v="100-R-8"/>
    <s v="#1774B157"/>
    <s v="990-1635"/>
    <n v="99200008"/>
    <s v="T-1072"/>
    <s v="C-1025"/>
    <s v="FI-1010"/>
    <s v="M-1133"/>
  </r>
  <r>
    <x v="1635"/>
    <n v="990"/>
    <x v="0"/>
    <x v="15"/>
    <n v="9"/>
    <x v="80"/>
    <x v="33"/>
    <x v="1"/>
    <x v="9"/>
    <s v="Fecha"/>
    <s v="Número de pernoctaciones por fecha"/>
    <s v="Periodo 2016-2021"/>
    <s v="Número de pernoctaciones"/>
    <s v="Instituto Nacional de Estadísticas (INE)"/>
    <x v="1618"/>
    <m/>
    <s v="Gráfico de Evolución"/>
    <s v="Región de La Araucanía gráfico evolucion chile número pernoctaciones mensual periodo 2016 2021"/>
    <x v="1261"/>
    <s v="100-R-9"/>
    <s v="#1774B158"/>
    <s v="990-1636"/>
    <n v="99200009"/>
    <s v="T-1072"/>
    <s v="C-1025"/>
    <s v="FI-1010"/>
    <s v="M-1133"/>
  </r>
  <r>
    <x v="1636"/>
    <n v="990"/>
    <x v="0"/>
    <x v="15"/>
    <n v="10"/>
    <x v="80"/>
    <x v="33"/>
    <x v="1"/>
    <x v="10"/>
    <s v="Fecha"/>
    <s v="Número de pernoctaciones por fecha"/>
    <s v="Periodo 2016-2021"/>
    <s v="Número de pernoctaciones"/>
    <s v="Instituto Nacional de Estadísticas (INE)"/>
    <x v="1619"/>
    <m/>
    <s v="Gráfico de Evolución"/>
    <s v="Región de Los Lagos gráfico evolucion chile número pernoctaciones mensual periodo 2016 2021"/>
    <x v="1262"/>
    <s v="100-R-10"/>
    <s v="#1774B159"/>
    <s v="990-1637"/>
    <n v="99200010"/>
    <s v="T-1072"/>
    <s v="C-1025"/>
    <s v="FI-1010"/>
    <s v="M-1133"/>
  </r>
  <r>
    <x v="1637"/>
    <n v="990"/>
    <x v="0"/>
    <x v="15"/>
    <n v="11"/>
    <x v="80"/>
    <x v="33"/>
    <x v="1"/>
    <x v="11"/>
    <s v="Fecha"/>
    <s v="Número de pernoctaciones por fecha"/>
    <s v="Periodo 2016-2021"/>
    <s v="Número de pernoctaciones"/>
    <s v="Instituto Nacional de Estadísticas (INE)"/>
    <x v="1620"/>
    <m/>
    <s v="Gráfico de Evolución"/>
    <s v="Región de Aysén gráfico evolucion chile número pernoctaciones mensual periodo 2016 2021"/>
    <x v="1263"/>
    <s v="100-R-11"/>
    <s v="#1774B160"/>
    <s v="990-1638"/>
    <n v="99200011"/>
    <s v="T-1072"/>
    <s v="C-1025"/>
    <s v="FI-1010"/>
    <s v="M-1133"/>
  </r>
  <r>
    <x v="1638"/>
    <n v="990"/>
    <x v="0"/>
    <x v="15"/>
    <n v="12"/>
    <x v="80"/>
    <x v="33"/>
    <x v="1"/>
    <x v="12"/>
    <s v="Fecha"/>
    <s v="Número de pernoctaciones por fecha"/>
    <s v="Periodo 2016-2021"/>
    <s v="Número de pernoctaciones"/>
    <s v="Instituto Nacional de Estadísticas (INE)"/>
    <x v="1621"/>
    <m/>
    <s v="Gráfico de Evolución"/>
    <s v="Región de Magallanes gráfico evolucion chile número pernoctaciones mensual periodo 2016 2021"/>
    <x v="1264"/>
    <s v="100-R-12"/>
    <s v="#1774B161"/>
    <s v="990-1639"/>
    <n v="99200012"/>
    <s v="T-1072"/>
    <s v="C-1025"/>
    <s v="FI-1010"/>
    <s v="M-1133"/>
  </r>
  <r>
    <x v="1639"/>
    <n v="990"/>
    <x v="0"/>
    <x v="15"/>
    <n v="13"/>
    <x v="80"/>
    <x v="33"/>
    <x v="1"/>
    <x v="13"/>
    <s v="Fecha"/>
    <s v="Número de pernoctaciones por fecha"/>
    <s v="Periodo 2016-2021"/>
    <s v="Número de pernoctaciones"/>
    <s v="Instituto Nacional de Estadísticas (INE)"/>
    <x v="1622"/>
    <m/>
    <s v="Gráfico de Evolución"/>
    <s v="Región Metropolitana gráfico evolucion chile número pernoctaciones mensual periodo 2016 2021"/>
    <x v="1265"/>
    <s v="200-R-13"/>
    <s v="#1774B162"/>
    <s v="990-1640"/>
    <n v="99200013"/>
    <s v="T-1072"/>
    <s v="C-1025"/>
    <s v="FI-1010"/>
    <s v="M-1133"/>
  </r>
  <r>
    <x v="1640"/>
    <n v="990"/>
    <x v="0"/>
    <x v="15"/>
    <n v="14"/>
    <x v="80"/>
    <x v="33"/>
    <x v="1"/>
    <x v="14"/>
    <s v="Fecha"/>
    <s v="Número de pernoctaciones por fecha"/>
    <s v="Periodo 2016-2021"/>
    <s v="Número de pernoctaciones"/>
    <s v="Instituto Nacional de Estadísticas (INE)"/>
    <x v="1623"/>
    <m/>
    <s v="Gráfico de Evolución"/>
    <s v="Región de Los Ríos gráfico evolucion chile número pernoctaciones mensual periodo 2016 2021"/>
    <x v="1266"/>
    <s v="100-R-14"/>
    <s v="#1774B163"/>
    <s v="990-1641"/>
    <n v="99200014"/>
    <s v="T-1072"/>
    <s v="C-1025"/>
    <s v="FI-1010"/>
    <s v="M-1133"/>
  </r>
  <r>
    <x v="1641"/>
    <n v="990"/>
    <x v="0"/>
    <x v="15"/>
    <n v="15"/>
    <x v="80"/>
    <x v="33"/>
    <x v="1"/>
    <x v="15"/>
    <s v="Fecha"/>
    <s v="Número de pernoctaciones por fecha"/>
    <s v="Periodo 2016-2021"/>
    <s v="Número de pernoctaciones"/>
    <s v="Instituto Nacional de Estadísticas (INE)"/>
    <x v="1624"/>
    <m/>
    <s v="Gráfico de Evolución"/>
    <s v="Región de Arica y Parinacota gráfico evolucion chile número pernoctaciones mensual periodo 2016 2021"/>
    <x v="1267"/>
    <s v="100-R-15"/>
    <s v="#1774B164"/>
    <s v="990-1642"/>
    <n v="99200015"/>
    <s v="T-1072"/>
    <s v="C-1025"/>
    <s v="FI-1010"/>
    <s v="M-1133"/>
  </r>
  <r>
    <x v="1642"/>
    <n v="990"/>
    <x v="0"/>
    <x v="15"/>
    <n v="16"/>
    <x v="80"/>
    <x v="33"/>
    <x v="1"/>
    <x v="16"/>
    <s v="Fecha"/>
    <s v="Número de pernoctaciones por fecha"/>
    <s v="Periodo 2016-2021"/>
    <s v="Número de pernoctaciones"/>
    <s v="Instituto Nacional de Estadísticas (INE)"/>
    <x v="1625"/>
    <m/>
    <s v="Gráfico de Evolución"/>
    <s v="Región de Ñuble gráfico evolucion chile número pernoctaciones mensual periodo 2016 2021"/>
    <x v="1268"/>
    <s v="100-R-16"/>
    <s v="#1774B165"/>
    <s v="990-1643"/>
    <n v="99200016"/>
    <s v="T-1072"/>
    <s v="C-1025"/>
    <s v="FI-1010"/>
    <s v="M-1133"/>
  </r>
  <r>
    <x v="1643"/>
    <n v="990"/>
    <x v="0"/>
    <x v="15"/>
    <n v="0"/>
    <x v="81"/>
    <x v="33"/>
    <x v="0"/>
    <x v="0"/>
    <s v="Región-Fecha"/>
    <s v="Precio promedio de habitación ocupada por fecha"/>
    <s v="Periodo 2016-2021"/>
    <s v="CLP"/>
    <s v="Instituto Nacional de Estadísticas (INE)"/>
    <x v="1626"/>
    <s v="Entre julio de 2016 y febrero de 2020, el precio promedio por habitación ocupada fluctuó entre los 45.054 y los 56.719 pesos chilenos por mes. Luego, en mayo de 2020, este número presenta su mínimo para todo el periodo observado con un precio promedio de 36.138 pesos chilenos."/>
    <s v="Gráfico de Evolución"/>
    <s v="Chile nacional gráfico evolución precio promedio clp habitación ocupada mensual periodo 2016 2021"/>
    <x v="1269"/>
    <s v="300-R"/>
    <s v="#1774B166"/>
    <s v="990-1644"/>
    <n v="99100000"/>
    <s v="T-1073"/>
    <s v="C-1025"/>
    <s v="FI-1011"/>
    <s v="M-1134"/>
  </r>
  <r>
    <x v="1644"/>
    <n v="990"/>
    <x v="0"/>
    <x v="15"/>
    <n v="1"/>
    <x v="81"/>
    <x v="33"/>
    <x v="1"/>
    <x v="1"/>
    <s v="Fecha"/>
    <s v="Precio promedio de habitación ocupada por fecha"/>
    <s v="Periodo 2016-2021"/>
    <s v="CLP"/>
    <s v="Instituto Nacional de Estadísticas (INE)"/>
    <x v="1627"/>
    <m/>
    <s v="Gráfico de Evolución"/>
    <s v="Región de Tarapacá gráfico evolución precio promedio clp habitación ocupada mensual periodo 2016 2021"/>
    <x v="1270"/>
    <s v="100-R-1"/>
    <s v="#1774B167"/>
    <s v="990-1645"/>
    <n v="99200001"/>
    <s v="T-1073"/>
    <s v="C-1025"/>
    <s v="FI-1010"/>
    <s v="M-1134"/>
  </r>
  <r>
    <x v="1645"/>
    <n v="990"/>
    <x v="0"/>
    <x v="15"/>
    <n v="2"/>
    <x v="81"/>
    <x v="33"/>
    <x v="1"/>
    <x v="2"/>
    <s v="Fecha"/>
    <s v="Precio promedio de habitación ocupada por fecha"/>
    <s v="Periodo 2016-2021"/>
    <s v="CLP"/>
    <s v="Instituto Nacional de Estadísticas (INE)"/>
    <x v="1628"/>
    <m/>
    <s v="Gráfico de Evolución"/>
    <s v="Región de Antofagasta gráfico evolución precio promedio clp habitación ocupada mensual periodo 2016 2021"/>
    <x v="1271"/>
    <s v="100-R-2"/>
    <s v="#1774B168"/>
    <s v="990-1646"/>
    <n v="99200002"/>
    <s v="T-1073"/>
    <s v="C-1025"/>
    <s v="FI-1010"/>
    <s v="M-1134"/>
  </r>
  <r>
    <x v="1646"/>
    <n v="990"/>
    <x v="0"/>
    <x v="15"/>
    <n v="3"/>
    <x v="81"/>
    <x v="33"/>
    <x v="1"/>
    <x v="3"/>
    <s v="Fecha"/>
    <s v="Precio promedio de habitación ocupada por fecha"/>
    <s v="Periodo 2016-2021"/>
    <s v="CLP"/>
    <s v="Instituto Nacional de Estadísticas (INE)"/>
    <x v="1629"/>
    <m/>
    <s v="Gráfico de Evolución"/>
    <s v="Región de Atacama gráfico evolución precio promedio clp habitación ocupada mensual periodo 2016 2021"/>
    <x v="1272"/>
    <s v="100-R-3"/>
    <s v="#1774B169"/>
    <s v="990-1647"/>
    <n v="99200003"/>
    <s v="T-1073"/>
    <s v="C-1025"/>
    <s v="FI-1010"/>
    <s v="M-1134"/>
  </r>
  <r>
    <x v="1647"/>
    <n v="990"/>
    <x v="0"/>
    <x v="15"/>
    <n v="4"/>
    <x v="81"/>
    <x v="33"/>
    <x v="1"/>
    <x v="4"/>
    <s v="Fecha"/>
    <s v="Precio promedio de habitación ocupada por fecha"/>
    <s v="Periodo 2016-2021"/>
    <s v="CLP"/>
    <s v="Instituto Nacional de Estadísticas (INE)"/>
    <x v="1630"/>
    <m/>
    <s v="Gráfico de Evolución"/>
    <s v="Región de Coquimbo gráfico evolución precio promedio clp habitación ocupada mensual periodo 2016 2021"/>
    <x v="1273"/>
    <s v="100-R-4"/>
    <s v="#1774B170"/>
    <s v="990-1648"/>
    <n v="99200004"/>
    <s v="T-1073"/>
    <s v="C-1025"/>
    <s v="FI-1010"/>
    <s v="M-1134"/>
  </r>
  <r>
    <x v="1648"/>
    <n v="990"/>
    <x v="0"/>
    <x v="15"/>
    <n v="5"/>
    <x v="81"/>
    <x v="33"/>
    <x v="1"/>
    <x v="5"/>
    <s v="Fecha"/>
    <s v="Precio promedio de habitación ocupada por fecha"/>
    <s v="Periodo 2016-2021"/>
    <s v="CLP"/>
    <s v="Instituto Nacional de Estadísticas (INE)"/>
    <x v="1631"/>
    <m/>
    <s v="Gráfico de Evolución"/>
    <s v="Región de Valparaíso gráfico evolución precio promedio clp habitación ocupada mensual periodo 2016 2021"/>
    <x v="1274"/>
    <s v="100-R-5"/>
    <s v="#1774B171"/>
    <s v="990-1649"/>
    <n v="99200005"/>
    <s v="T-1073"/>
    <s v="C-1025"/>
    <s v="FI-1010"/>
    <s v="M-1134"/>
  </r>
  <r>
    <x v="1649"/>
    <n v="990"/>
    <x v="0"/>
    <x v="15"/>
    <n v="6"/>
    <x v="81"/>
    <x v="33"/>
    <x v="1"/>
    <x v="6"/>
    <s v="Fecha"/>
    <s v="Precio promedio de habitación ocupada por fecha"/>
    <s v="Periodo 2016-2021"/>
    <s v="CLP"/>
    <s v="Instituto Nacional de Estadísticas (INE)"/>
    <x v="1632"/>
    <m/>
    <s v="Gráfico de Evolución"/>
    <s v="Región de O'Higgins gráfico evolución precio promedio clp habitación ocupada mensual periodo 2016 2021"/>
    <x v="1275"/>
    <s v="100-R-6"/>
    <s v="#1774B172"/>
    <s v="990-1650"/>
    <n v="99200006"/>
    <s v="T-1073"/>
    <s v="C-1025"/>
    <s v="FI-1010"/>
    <s v="M-1134"/>
  </r>
  <r>
    <x v="1650"/>
    <n v="990"/>
    <x v="0"/>
    <x v="15"/>
    <n v="7"/>
    <x v="81"/>
    <x v="33"/>
    <x v="1"/>
    <x v="7"/>
    <s v="Fecha"/>
    <s v="Precio promedio de habitación ocupada por fecha"/>
    <s v="Periodo 2016-2021"/>
    <s v="CLP"/>
    <s v="Instituto Nacional de Estadísticas (INE)"/>
    <x v="1633"/>
    <m/>
    <s v="Gráfico de Evolución"/>
    <s v="Región de Maule gráfico evolución precio promedio clp habitación ocupada mensual periodo 2016 2021"/>
    <x v="1276"/>
    <s v="100-R-7"/>
    <s v="#1774B173"/>
    <s v="990-1651"/>
    <n v="99200007"/>
    <s v="T-1073"/>
    <s v="C-1025"/>
    <s v="FI-1010"/>
    <s v="M-1134"/>
  </r>
  <r>
    <x v="1651"/>
    <n v="990"/>
    <x v="0"/>
    <x v="15"/>
    <n v="8"/>
    <x v="81"/>
    <x v="33"/>
    <x v="1"/>
    <x v="8"/>
    <s v="Fecha"/>
    <s v="Precio promedio de habitación ocupada por fecha"/>
    <s v="Periodo 2016-2021"/>
    <s v="CLP"/>
    <s v="Instituto Nacional de Estadísticas (INE)"/>
    <x v="1634"/>
    <m/>
    <s v="Gráfico de Evolución"/>
    <s v="Región del Biobío gráfico evolución precio promedio clp habitación ocupada mensual periodo 2016 2021"/>
    <x v="1277"/>
    <s v="100-R-8"/>
    <s v="#1774B174"/>
    <s v="990-1652"/>
    <n v="99200008"/>
    <s v="T-1073"/>
    <s v="C-1025"/>
    <s v="FI-1010"/>
    <s v="M-1134"/>
  </r>
  <r>
    <x v="1652"/>
    <n v="990"/>
    <x v="0"/>
    <x v="15"/>
    <n v="9"/>
    <x v="81"/>
    <x v="33"/>
    <x v="1"/>
    <x v="9"/>
    <s v="Fecha"/>
    <s v="Precio promedio de habitación ocupada por fecha"/>
    <s v="Periodo 2016-2021"/>
    <s v="CLP"/>
    <s v="Instituto Nacional de Estadísticas (INE)"/>
    <x v="1635"/>
    <m/>
    <s v="Gráfico de Evolución"/>
    <s v="Región de La Araucanía gráfico evolución precio promedio clp habitación ocupada mensual periodo 2016 2021"/>
    <x v="1278"/>
    <s v="100-R-9"/>
    <s v="#1774B175"/>
    <s v="990-1653"/>
    <n v="99200009"/>
    <s v="T-1073"/>
    <s v="C-1025"/>
    <s v="FI-1010"/>
    <s v="M-1134"/>
  </r>
  <r>
    <x v="1653"/>
    <n v="990"/>
    <x v="0"/>
    <x v="15"/>
    <n v="10"/>
    <x v="81"/>
    <x v="33"/>
    <x v="1"/>
    <x v="10"/>
    <s v="Fecha"/>
    <s v="Precio promedio de habitación ocupada por fecha"/>
    <s v="Periodo 2016-2021"/>
    <s v="CLP"/>
    <s v="Instituto Nacional de Estadísticas (INE)"/>
    <x v="1636"/>
    <m/>
    <s v="Gráfico de Evolución"/>
    <s v="Región de Los Lagos gráfico evolución precio promedio clp habitación ocupada mensual periodo 2016 2021"/>
    <x v="1279"/>
    <s v="100-R-10"/>
    <s v="#1774B176"/>
    <s v="990-1654"/>
    <n v="99200010"/>
    <s v="T-1073"/>
    <s v="C-1025"/>
    <s v="FI-1010"/>
    <s v="M-1134"/>
  </r>
  <r>
    <x v="1654"/>
    <n v="990"/>
    <x v="0"/>
    <x v="15"/>
    <n v="11"/>
    <x v="81"/>
    <x v="33"/>
    <x v="1"/>
    <x v="11"/>
    <s v="Fecha"/>
    <s v="Precio promedio de habitación ocupada por fecha"/>
    <s v="Periodo 2016-2021"/>
    <s v="CLP"/>
    <s v="Instituto Nacional de Estadísticas (INE)"/>
    <x v="1637"/>
    <m/>
    <s v="Gráfico de Evolución"/>
    <s v="Región de Aysén gráfico evolución precio promedio clp habitación ocupada mensual periodo 2016 2021"/>
    <x v="1280"/>
    <s v="100-R-11"/>
    <s v="#1774B177"/>
    <s v="990-1655"/>
    <n v="99200011"/>
    <s v="T-1073"/>
    <s v="C-1025"/>
    <s v="FI-1010"/>
    <s v="M-1134"/>
  </r>
  <r>
    <x v="1655"/>
    <n v="990"/>
    <x v="0"/>
    <x v="15"/>
    <n v="12"/>
    <x v="81"/>
    <x v="33"/>
    <x v="1"/>
    <x v="12"/>
    <s v="Fecha"/>
    <s v="Precio promedio de habitación ocupada por fecha"/>
    <s v="Periodo 2016-2021"/>
    <s v="CLP"/>
    <s v="Instituto Nacional de Estadísticas (INE)"/>
    <x v="1638"/>
    <m/>
    <s v="Gráfico de Evolución"/>
    <s v="Región de Magallanes gráfico evolución precio promedio clp habitación ocupada mensual periodo 2016 2021"/>
    <x v="1281"/>
    <s v="100-R-12"/>
    <s v="#1774B178"/>
    <s v="990-1656"/>
    <n v="99200012"/>
    <s v="T-1073"/>
    <s v="C-1025"/>
    <s v="FI-1010"/>
    <s v="M-1134"/>
  </r>
  <r>
    <x v="1656"/>
    <n v="990"/>
    <x v="0"/>
    <x v="15"/>
    <n v="13"/>
    <x v="81"/>
    <x v="33"/>
    <x v="1"/>
    <x v="13"/>
    <s v="Fecha"/>
    <s v="Precio promedio de habitación ocupada por fecha"/>
    <s v="Periodo 2016-2021"/>
    <s v="CLP"/>
    <s v="Instituto Nacional de Estadísticas (INE)"/>
    <x v="1639"/>
    <m/>
    <s v="Gráfico de Evolución"/>
    <s v="Región Metropolitana gráfico evolución precio promedio clp habitación ocupada mensual periodo 2016 2021"/>
    <x v="1282"/>
    <s v="200-R-13"/>
    <s v="#1774B179"/>
    <s v="990-1657"/>
    <n v="99200013"/>
    <s v="T-1073"/>
    <s v="C-1025"/>
    <s v="FI-1010"/>
    <s v="M-1134"/>
  </r>
  <r>
    <x v="1657"/>
    <n v="990"/>
    <x v="0"/>
    <x v="15"/>
    <n v="14"/>
    <x v="81"/>
    <x v="33"/>
    <x v="1"/>
    <x v="14"/>
    <s v="Fecha"/>
    <s v="Precio promedio de habitación ocupada por fecha"/>
    <s v="Periodo 2016-2021"/>
    <s v="CLP"/>
    <s v="Instituto Nacional de Estadísticas (INE)"/>
    <x v="1640"/>
    <m/>
    <s v="Gráfico de Evolución"/>
    <s v="Región de Los Ríos gráfico evolución precio promedio clp habitación ocupada mensual periodo 2016 2021"/>
    <x v="1283"/>
    <s v="100-R-14"/>
    <s v="#1774B180"/>
    <s v="990-1658"/>
    <n v="99200014"/>
    <s v="T-1073"/>
    <s v="C-1025"/>
    <s v="FI-1010"/>
    <s v="M-1134"/>
  </r>
  <r>
    <x v="1658"/>
    <n v="990"/>
    <x v="0"/>
    <x v="15"/>
    <n v="15"/>
    <x v="81"/>
    <x v="33"/>
    <x v="1"/>
    <x v="15"/>
    <s v="Fecha"/>
    <s v="Precio promedio de habitación ocupada por fecha"/>
    <s v="Periodo 2016-2021"/>
    <s v="CLP"/>
    <s v="Instituto Nacional de Estadísticas (INE)"/>
    <x v="1641"/>
    <m/>
    <s v="Gráfico de Evolución"/>
    <s v="Región de Arica y Parinacota gráfico evolución precio promedio clp habitación ocupada mensual periodo 2016 2021"/>
    <x v="1284"/>
    <s v="100-R-15"/>
    <s v="#1774B181"/>
    <s v="990-1659"/>
    <n v="99200015"/>
    <s v="T-1073"/>
    <s v="C-1025"/>
    <s v="FI-1010"/>
    <s v="M-1134"/>
  </r>
  <r>
    <x v="1659"/>
    <n v="990"/>
    <x v="0"/>
    <x v="15"/>
    <n v="16"/>
    <x v="81"/>
    <x v="33"/>
    <x v="1"/>
    <x v="16"/>
    <s v="Fecha"/>
    <s v="Precio promedio de habitación ocupada por fecha"/>
    <s v="Periodo 2016-2021"/>
    <s v="CLP"/>
    <s v="Instituto Nacional de Estadísticas (INE)"/>
    <x v="1642"/>
    <m/>
    <s v="Gráfico de Evolución"/>
    <s v="Región de Ñuble gráfico evolución precio promedio clp habitación ocupada mensual periodo 2016 2021"/>
    <x v="1285"/>
    <s v="100-R-16"/>
    <s v="#1774B182"/>
    <s v="990-1660"/>
    <n v="99200016"/>
    <s v="T-1073"/>
    <s v="C-1025"/>
    <s v="FI-1010"/>
    <s v="M-1134"/>
  </r>
  <r>
    <x v="1660"/>
    <n v="990"/>
    <x v="0"/>
    <x v="5"/>
    <n v="0"/>
    <x v="82"/>
    <x v="17"/>
    <x v="0"/>
    <x v="0"/>
    <s v="Región-Fecha"/>
    <s v="Desembarque industrial por fecha"/>
    <s v="Periodo 2014-2021"/>
    <s v="Toneladas"/>
    <s v="Servicio Nacional de Pesca y Acuicultura (SERNAPESCA)"/>
    <x v="1643"/>
    <s v="Entre enero de 2014 y marzo de 2021, la pesca industrial alcanzó un máximo en febrero de 2020 con un desembarco de 104.563 toneladas. En septiembre de 2015 alcanzó las 1.653 toneladas, siendo esta la menor cifra registrada."/>
    <s v="Gráfico de Evolución"/>
    <s v="Chile gráfico pesca industrial evolución mensual pesquero desembarco toneladas periodo 2014 2021 región regional"/>
    <x v="1286"/>
    <s v="300-R"/>
    <s v="#1774B183"/>
    <s v="990-1661"/>
    <n v="99100000"/>
    <s v="T-1074"/>
    <s v="C-1021"/>
    <s v="FI-1011"/>
    <s v="M-1135"/>
  </r>
  <r>
    <x v="1661"/>
    <n v="990"/>
    <x v="0"/>
    <x v="5"/>
    <n v="0"/>
    <x v="83"/>
    <x v="17"/>
    <x v="0"/>
    <x v="0"/>
    <s v="Fecha"/>
    <s v="Desembarque artesanal por fecha"/>
    <s v="Periodo 2014-2021"/>
    <s v="Toneladas"/>
    <s v="Servicio Nacional de Pesca y Acuicultura (SERNAPESCA)"/>
    <x v="1644"/>
    <s v="Se observa que el desembarque de la pesca artesanal alcanzó sus cifras más altas entre los meses de diciembre a marzo. Con 19.841 toneladas, febrero de 2019 fue el mes con el mayor desembarco registrado durante este periodo. "/>
    <s v="Gráfico de Evolución"/>
    <s v="Chile gráfico pesca artesanal evolución mensual pesquero desembarco toneladas periodo 2014 2021 región regional"/>
    <x v="1287"/>
    <n v="0"/>
    <s v="#1774B184"/>
    <s v="990-1662"/>
    <n v="99100000"/>
    <s v="T-1075"/>
    <s v="C-1021"/>
    <s v="FI-1010"/>
    <s v="M-1136"/>
  </r>
  <r>
    <x v="1662"/>
    <n v="990"/>
    <x v="0"/>
    <x v="5"/>
    <n v="0"/>
    <x v="84"/>
    <x v="17"/>
    <x v="0"/>
    <x v="0"/>
    <s v="Fecha"/>
    <s v="Cosecha acuícola por fecha"/>
    <s v="Periodo 2014-2021"/>
    <s v="Toneladas"/>
    <s v="Servicio Nacional de Pesca y Acuicultura (SERNAPESCA)"/>
    <x v="1645"/>
    <s v="Dentro del periodo observado y con un promedio de 49.067 toneladas mensuales, el salmón del atlántico fue la especie con las cifras más altas de cosecha para el sector acuícola. Por su parte, se cosecharon 13.216 toneladas de salmón plateado al mes, con las cifras más altas durante los meses de noviembre y diciembre. La cosecha de trucha arcoíris disminuyó con el tiempo, con una cosecha media de 7.159 toneladas."/>
    <s v="Gráfico de Evolución"/>
    <s v="Chile gráfico de evolución salmón atlántico plateado coho trucha arcoiris cosecha toneladas periodo 2014 2021 mensual"/>
    <x v="1288"/>
    <n v="0"/>
    <s v="#1774B185"/>
    <s v="990-1663"/>
    <n v="99100000"/>
    <s v="T-1076"/>
    <s v="C-1021"/>
    <s v="FI-1010"/>
    <s v="M-1137"/>
  </r>
  <r>
    <x v="1663"/>
    <n v="990"/>
    <x v="0"/>
    <x v="3"/>
    <n v="0"/>
    <x v="69"/>
    <x v="25"/>
    <x v="0"/>
    <x v="0"/>
    <s v="Región-Comuna"/>
    <s v="Superficie de parques urbanos por comuna"/>
    <s v="Año 2019"/>
    <s v="Hectáreas"/>
    <s v="Sistema Nacional de Información Municipal"/>
    <x v="1646"/>
    <s v="En el año 2019, la única comuna con más de 190 hectáreas de parques urbanos fue Cabo de Hornos, con 1.687,9 (ha). Por otro lado, 181 comunas solo tienen entre 0 y 1 (ha) de parques urbanos. Según el Ministerio de Vivienda y Urbanismo, se considera parque urbano a un espacio público, en donde predominan los elementos paisajísticos y naturales acorde con la respectiva zona geográfica de más de 2 hectáreas que se ubica dentro o contiguo a los límites urbanos de una ciudad o comuna, que alberga actividades para los distintos grupo etarios relacionados con lo educativo, deportivo, cultural, de culto o de esparcimiento al aire libre, con un ancho mínimo promedio de 30 metros."/>
    <s v="Mapa de calor"/>
    <s v="mapa calor Chile nacional comunas comunal año 2019 parques urbanos municipal municipio superficie hectáreas"/>
    <x v="1289"/>
    <s v="300-C"/>
    <s v="#1774B186"/>
    <s v="990-1664"/>
    <n v="99100000"/>
    <s v="T-1053"/>
    <s v="C-1015"/>
    <s v="FI-995"/>
    <s v="M-1138"/>
  </r>
  <r>
    <x v="1664"/>
    <n v="990"/>
    <x v="0"/>
    <x v="3"/>
    <n v="1"/>
    <x v="69"/>
    <x v="25"/>
    <x v="1"/>
    <x v="1"/>
    <s v="Comuna"/>
    <s v="Superficie de parques urbanos por comuna"/>
    <s v="Año 2019"/>
    <s v="Hectáreas"/>
    <s v="Sistema Nacional de Información Municipal"/>
    <x v="1647"/>
    <m/>
    <s v="Mapa de calor"/>
    <s v="Región de Tarapacá mapa calor Chile comunas comunal año 2019 parques urbanos municipal municipio superficie hectáreas"/>
    <x v="1290"/>
    <s v="100-C-1"/>
    <s v="#1774B187"/>
    <s v="990-1665"/>
    <n v="99200001"/>
    <s v="T-1053"/>
    <s v="C-1015"/>
    <s v="FI-991"/>
    <s v="M-1138"/>
  </r>
  <r>
    <x v="1665"/>
    <n v="990"/>
    <x v="0"/>
    <x v="3"/>
    <n v="2"/>
    <x v="69"/>
    <x v="25"/>
    <x v="1"/>
    <x v="2"/>
    <s v="Comuna"/>
    <s v="Superficie de parques urbanos por comuna"/>
    <s v="Año 2019"/>
    <s v="Hectáreas"/>
    <s v="Sistema Nacional de Información Municipal"/>
    <x v="1648"/>
    <m/>
    <m/>
    <s v="Región de Antofagasta mapa calor Chile comunas comunal año 2019 parques urbanos municipal municipio superficie hectáreas"/>
    <x v="1291"/>
    <s v="100-C-2"/>
    <s v="#1774B188"/>
    <s v="990-1666"/>
    <n v="99200002"/>
    <s v="T-1053"/>
    <s v="C-1015"/>
    <s v="FI-991"/>
    <s v="M-1138"/>
  </r>
  <r>
    <x v="1666"/>
    <n v="990"/>
    <x v="0"/>
    <x v="3"/>
    <n v="3"/>
    <x v="69"/>
    <x v="25"/>
    <x v="1"/>
    <x v="3"/>
    <s v="Comuna"/>
    <s v="Superficie de parques urbanos por comuna"/>
    <s v="Año 2019"/>
    <s v="Hectáreas"/>
    <s v="Sistema Nacional de Información Municipal"/>
    <x v="1649"/>
    <m/>
    <m/>
    <s v="Región de Atacama mapa calor Chile comunas comunal año 2019 parques urbanos municipal municipio superficie hectáreas"/>
    <x v="1292"/>
    <s v="100-C-3"/>
    <s v="#1774B189"/>
    <s v="990-1667"/>
    <n v="99200003"/>
    <s v="T-1053"/>
    <s v="C-1015"/>
    <s v="FI-991"/>
    <s v="M-1138"/>
  </r>
  <r>
    <x v="1667"/>
    <n v="990"/>
    <x v="0"/>
    <x v="3"/>
    <n v="4"/>
    <x v="69"/>
    <x v="25"/>
    <x v="1"/>
    <x v="4"/>
    <s v="Comuna"/>
    <s v="Superficie de parques urbanos por comuna"/>
    <s v="Año 2019"/>
    <s v="Hectáreas"/>
    <s v="Sistema Nacional de Información Municipal"/>
    <x v="1650"/>
    <m/>
    <m/>
    <s v="Región de Coquimbo mapa calor Chile comunas comunal año 2019 parques urbanos municipal municipio superficie hectáreas"/>
    <x v="1293"/>
    <s v="100-C-4"/>
    <s v="#1774B190"/>
    <s v="990-1668"/>
    <n v="99200004"/>
    <s v="T-1053"/>
    <s v="C-1015"/>
    <s v="FI-991"/>
    <s v="M-1138"/>
  </r>
  <r>
    <x v="1668"/>
    <n v="990"/>
    <x v="0"/>
    <x v="3"/>
    <n v="5"/>
    <x v="69"/>
    <x v="25"/>
    <x v="1"/>
    <x v="5"/>
    <s v="Comuna"/>
    <s v="Superficie de parques urbanos por comuna"/>
    <s v="Año 2019"/>
    <s v="Hectáreas"/>
    <s v="Sistema Nacional de Información Municipal"/>
    <x v="1651"/>
    <m/>
    <m/>
    <s v="Región de Valparaíso mapa calor Chile comunas comunal año 2019 parques urbanos municipal municipio superficie hectáreas"/>
    <x v="1294"/>
    <s v="100-C-5"/>
    <s v="#1774B191"/>
    <s v="990-1669"/>
    <n v="99200005"/>
    <s v="T-1053"/>
    <s v="C-1015"/>
    <s v="FI-991"/>
    <s v="M-1138"/>
  </r>
  <r>
    <x v="1669"/>
    <n v="990"/>
    <x v="0"/>
    <x v="3"/>
    <n v="6"/>
    <x v="69"/>
    <x v="25"/>
    <x v="1"/>
    <x v="6"/>
    <s v="Comuna"/>
    <s v="Superficie de parques urbanos por comuna"/>
    <s v="Año 2019"/>
    <s v="Hectáreas"/>
    <s v="Sistema Nacional de Información Municipal"/>
    <x v="1652"/>
    <m/>
    <m/>
    <s v="Región de O'Higgins mapa calor Chile comunas comunal año 2019 parques urbanos municipal municipio superficie hectáreas"/>
    <x v="1295"/>
    <s v="100-C-6"/>
    <s v="#1774B192"/>
    <s v="990-1670"/>
    <n v="99200006"/>
    <s v="T-1053"/>
    <s v="C-1015"/>
    <s v="FI-991"/>
    <s v="M-1138"/>
  </r>
  <r>
    <x v="1670"/>
    <n v="990"/>
    <x v="0"/>
    <x v="3"/>
    <n v="7"/>
    <x v="69"/>
    <x v="25"/>
    <x v="1"/>
    <x v="7"/>
    <s v="Comuna"/>
    <s v="Superficie de parques urbanos por comuna"/>
    <s v="Año 2019"/>
    <s v="Hectáreas"/>
    <s v="Sistema Nacional de Información Municipal"/>
    <x v="1653"/>
    <m/>
    <m/>
    <s v="Región de Maule mapa calor Chile comunas comunal año 2019 parques urbanos municipal municipio superficie hectáreas"/>
    <x v="1296"/>
    <s v="100-C-7"/>
    <s v="#1774B193"/>
    <s v="990-1671"/>
    <n v="99200007"/>
    <s v="T-1053"/>
    <s v="C-1015"/>
    <s v="FI-991"/>
    <s v="M-1138"/>
  </r>
  <r>
    <x v="1671"/>
    <n v="990"/>
    <x v="0"/>
    <x v="3"/>
    <n v="8"/>
    <x v="69"/>
    <x v="25"/>
    <x v="1"/>
    <x v="8"/>
    <s v="Comuna"/>
    <s v="Superficie de parques urbanos por comuna"/>
    <s v="Año 2019"/>
    <s v="Hectáreas"/>
    <s v="Sistema Nacional de Información Municipal"/>
    <x v="1654"/>
    <m/>
    <m/>
    <s v="Región del Biobío mapa calor Chile comunas comunal año 2019 parques urbanos municipal municipio superficie hectáreas"/>
    <x v="1297"/>
    <s v="100-C-8"/>
    <s v="#1774B194"/>
    <s v="990-1672"/>
    <n v="99200008"/>
    <s v="T-1053"/>
    <s v="C-1015"/>
    <s v="FI-991"/>
    <s v="M-1138"/>
  </r>
  <r>
    <x v="1672"/>
    <n v="990"/>
    <x v="0"/>
    <x v="3"/>
    <n v="9"/>
    <x v="69"/>
    <x v="25"/>
    <x v="1"/>
    <x v="9"/>
    <s v="Comuna"/>
    <s v="Superficie de parques urbanos por comuna"/>
    <s v="Año 2019"/>
    <s v="Hectáreas"/>
    <s v="Sistema Nacional de Información Municipal"/>
    <x v="1655"/>
    <m/>
    <m/>
    <s v="Región de La Araucanía mapa calor Chile comunas comunal año 2019 parques urbanos municipal municipio superficie hectáreas"/>
    <x v="1298"/>
    <s v="100-C-9"/>
    <s v="#1774B195"/>
    <s v="990-1673"/>
    <n v="99200009"/>
    <s v="T-1053"/>
    <s v="C-1015"/>
    <s v="FI-991"/>
    <s v="M-1138"/>
  </r>
  <r>
    <x v="1673"/>
    <n v="990"/>
    <x v="0"/>
    <x v="3"/>
    <n v="10"/>
    <x v="69"/>
    <x v="25"/>
    <x v="1"/>
    <x v="10"/>
    <s v="Comuna"/>
    <s v="Superficie de parques urbanos por comuna"/>
    <s v="Año 2019"/>
    <s v="Hectáreas"/>
    <s v="Sistema Nacional de Información Municipal"/>
    <x v="1656"/>
    <m/>
    <m/>
    <s v="Región de Los Lagos mapa calor Chile comunas comunal año 2019 parques urbanos municipal municipio superficie hectáreas"/>
    <x v="1299"/>
    <s v="100-C-10"/>
    <s v="#1774B196"/>
    <s v="990-1674"/>
    <n v="99200010"/>
    <s v="T-1053"/>
    <s v="C-1015"/>
    <s v="FI-991"/>
    <s v="M-1138"/>
  </r>
  <r>
    <x v="1674"/>
    <n v="990"/>
    <x v="0"/>
    <x v="3"/>
    <n v="11"/>
    <x v="69"/>
    <x v="25"/>
    <x v="1"/>
    <x v="11"/>
    <s v="Comuna"/>
    <s v="Superficie de parques urbanos por comuna"/>
    <s v="Año 2019"/>
    <s v="Hectáreas"/>
    <s v="Sistema Nacional de Información Municipal"/>
    <x v="1657"/>
    <m/>
    <m/>
    <s v="Región de Aysén mapa calor Chile comunas comunal año 2019 parques urbanos municipal municipio superficie hectáreas"/>
    <x v="1300"/>
    <s v="100-C-11"/>
    <s v="#1774B197"/>
    <s v="990-1675"/>
    <n v="99200011"/>
    <s v="T-1053"/>
    <s v="C-1015"/>
    <s v="FI-991"/>
    <s v="M-1138"/>
  </r>
  <r>
    <x v="1675"/>
    <n v="990"/>
    <x v="0"/>
    <x v="3"/>
    <n v="12"/>
    <x v="69"/>
    <x v="25"/>
    <x v="1"/>
    <x v="12"/>
    <s v="Comuna"/>
    <s v="Superficie de parques urbanos por comuna"/>
    <s v="Año 2019"/>
    <s v="Hectáreas"/>
    <s v="Sistema Nacional de Información Municipal"/>
    <x v="1658"/>
    <m/>
    <m/>
    <s v="Región de Magallanes mapa calor Chile comunas comunal año 2019 parques urbanos municipal municipio superficie hectáreas"/>
    <x v="1301"/>
    <s v="100-C-12"/>
    <s v="#1774B198"/>
    <s v="990-1676"/>
    <n v="99200012"/>
    <s v="T-1053"/>
    <s v="C-1015"/>
    <s v="FI-991"/>
    <s v="M-1138"/>
  </r>
  <r>
    <x v="1676"/>
    <n v="990"/>
    <x v="0"/>
    <x v="3"/>
    <n v="13"/>
    <x v="69"/>
    <x v="25"/>
    <x v="1"/>
    <x v="13"/>
    <s v="Comuna"/>
    <s v="Superficie de parques urbanos por comuna"/>
    <s v="Año 2019"/>
    <s v="Hectáreas"/>
    <s v="Sistema Nacional de Información Municipal"/>
    <x v="1659"/>
    <m/>
    <m/>
    <s v="Región Metropolitana mapa calor Chile comunas comunal año 2019 parques urbanos municipal municipio superficie hectáreas"/>
    <x v="1302"/>
    <s v="200-C-13"/>
    <s v="#1774B199"/>
    <s v="990-1677"/>
    <n v="99200013"/>
    <s v="T-1053"/>
    <s v="C-1015"/>
    <s v="FI-991"/>
    <s v="M-1138"/>
  </r>
  <r>
    <x v="1677"/>
    <n v="990"/>
    <x v="0"/>
    <x v="3"/>
    <n v="14"/>
    <x v="69"/>
    <x v="25"/>
    <x v="1"/>
    <x v="14"/>
    <s v="Comuna"/>
    <s v="Superficie de parques urbanos por comuna"/>
    <s v="Año 2019"/>
    <s v="Hectáreas"/>
    <s v="Sistema Nacional de Información Municipal"/>
    <x v="1660"/>
    <m/>
    <m/>
    <s v="Región de Los Ríos mapa calor Chile comunas comunal año 2019 parques urbanos municipal municipio superficie hectáreas"/>
    <x v="1303"/>
    <s v="100-C-14"/>
    <s v="#1774B200"/>
    <s v="990-1678"/>
    <n v="99200014"/>
    <s v="T-1053"/>
    <s v="C-1015"/>
    <s v="FI-991"/>
    <s v="M-1138"/>
  </r>
  <r>
    <x v="1678"/>
    <n v="990"/>
    <x v="0"/>
    <x v="3"/>
    <n v="15"/>
    <x v="69"/>
    <x v="25"/>
    <x v="1"/>
    <x v="15"/>
    <s v="Comuna"/>
    <s v="Superficie de parques urbanos por comuna"/>
    <s v="Año 2019"/>
    <s v="Hectáreas"/>
    <s v="Sistema Nacional de Información Municipal"/>
    <x v="1661"/>
    <m/>
    <m/>
    <s v="Región de Arica y Parinacota mapa calor Chile comunas comunal año 2019 parques urbanos municipal municipio superficie hectáreas"/>
    <x v="1304"/>
    <s v="100-C-15"/>
    <s v="#1774B201"/>
    <s v="990-1679"/>
    <n v="99200015"/>
    <s v="T-1053"/>
    <s v="C-1015"/>
    <s v="FI-991"/>
    <s v="M-1138"/>
  </r>
  <r>
    <x v="1679"/>
    <n v="990"/>
    <x v="0"/>
    <x v="3"/>
    <n v="16"/>
    <x v="69"/>
    <x v="25"/>
    <x v="1"/>
    <x v="16"/>
    <s v="Comuna"/>
    <s v="Superficie de parques urbanos por comuna"/>
    <s v="Año 2019"/>
    <s v="Hectáreas"/>
    <s v="Sistema Nacional de Información Municipal"/>
    <x v="1662"/>
    <m/>
    <m/>
    <s v="Región de Ñuble mapa calor Chile comunas comunal año 2019 parques urbanos municipal municipio superficie hectáreas"/>
    <x v="1305"/>
    <s v="100-C-16"/>
    <s v="#1774B202"/>
    <s v="990-1680"/>
    <n v="99200016"/>
    <s v="T-1053"/>
    <s v="C-1015"/>
    <s v="FI-991"/>
    <s v="M-1138"/>
  </r>
  <r>
    <x v="1680"/>
    <n v="990"/>
    <x v="0"/>
    <x v="3"/>
    <n v="0"/>
    <x v="70"/>
    <x v="25"/>
    <x v="0"/>
    <x v="0"/>
    <s v="Región-Comuna"/>
    <s v="Superficie de plazas públicas por comuna"/>
    <s v="Año 2019"/>
    <s v="Hectáreas"/>
    <s v="Sistema Nacional de Información Municipal"/>
    <x v="1663"/>
    <s v="En el año 2019, las comunas con más de 130 hectáreas de plazas públicas fueron Puente Alto, Maipú, Las Condes, La Florida, Coquimbo, San Bernardo, Talca y Rancagua, con 257,67 (ha), 266,11 (ha), 163,68 (ha), 151,82 (ha), 149,92 (ha), 137,22 (ha), 132,96 (ha) y 162,89 (ha), respectivamente."/>
    <s v="Mapa de calor"/>
    <s v="mapa calor Chile nacional comunas comunal año 2019 plazas públicas municipal municipio superficie hectáreas"/>
    <x v="1306"/>
    <s v="300-C"/>
    <s v="#1774B203"/>
    <s v="990-1681"/>
    <n v="99100000"/>
    <s v="T-1054"/>
    <s v="C-1015"/>
    <s v="FI-995"/>
    <s v="M-1139"/>
  </r>
  <r>
    <x v="1681"/>
    <n v="990"/>
    <x v="0"/>
    <x v="3"/>
    <n v="1"/>
    <x v="70"/>
    <x v="25"/>
    <x v="1"/>
    <x v="1"/>
    <s v="Comuna"/>
    <s v="Superficie de plazas públicas por comuna"/>
    <s v="Año 2019"/>
    <s v="Hectáreas"/>
    <s v="Sistema Nacional de Información Municipal"/>
    <x v="1664"/>
    <m/>
    <s v="Mapa de calor"/>
    <s v="Región de Tarapacá mapa calor Chile comunas comunal año 2019 plazas públicas municipal municipio superficie hectáreas"/>
    <x v="1307"/>
    <s v="100-C-1"/>
    <s v="#1774B204"/>
    <s v="990-1682"/>
    <n v="99200001"/>
    <s v="T-1054"/>
    <s v="C-1015"/>
    <s v="FI-991"/>
    <s v="M-1139"/>
  </r>
  <r>
    <x v="1682"/>
    <n v="990"/>
    <x v="0"/>
    <x v="3"/>
    <n v="2"/>
    <x v="70"/>
    <x v="25"/>
    <x v="1"/>
    <x v="2"/>
    <s v="Comuna"/>
    <s v="Superficie de plazas públicas por comuna"/>
    <s v="Año 2019"/>
    <s v="Hectáreas"/>
    <s v="Sistema Nacional de Información Municipal"/>
    <x v="1665"/>
    <m/>
    <s v="Mapa de calor"/>
    <s v="Región de Antofagasta mapa calor Chile comunas comunal año 2019 plazas públicas municipal municipio superficie hectáreas"/>
    <x v="1308"/>
    <s v="100-C-2"/>
    <s v="#1774B205"/>
    <s v="990-1683"/>
    <n v="99200002"/>
    <s v="T-1054"/>
    <s v="C-1015"/>
    <s v="FI-991"/>
    <s v="M-1139"/>
  </r>
  <r>
    <x v="1683"/>
    <n v="990"/>
    <x v="0"/>
    <x v="3"/>
    <n v="3"/>
    <x v="70"/>
    <x v="25"/>
    <x v="1"/>
    <x v="3"/>
    <s v="Comuna"/>
    <s v="Superficie de plazas públicas por comuna"/>
    <s v="Año 2019"/>
    <s v="Hectáreas"/>
    <s v="Sistema Nacional de Información Municipal"/>
    <x v="1666"/>
    <m/>
    <s v="Mapa de calor"/>
    <s v="Región de Atacama mapa calor Chile comunas comunal año 2019 plazas públicas municipal municipio superficie hectáreas"/>
    <x v="1309"/>
    <s v="100-C-3"/>
    <s v="#1774B206"/>
    <s v="990-1684"/>
    <n v="99200003"/>
    <s v="T-1054"/>
    <s v="C-1015"/>
    <s v="FI-991"/>
    <s v="M-1139"/>
  </r>
  <r>
    <x v="1684"/>
    <n v="990"/>
    <x v="0"/>
    <x v="3"/>
    <n v="4"/>
    <x v="70"/>
    <x v="25"/>
    <x v="1"/>
    <x v="4"/>
    <s v="Comuna"/>
    <s v="Superficie de plazas públicas por comuna"/>
    <s v="Año 2019"/>
    <s v="Hectáreas"/>
    <s v="Sistema Nacional de Información Municipal"/>
    <x v="1667"/>
    <m/>
    <s v="Mapa de calor"/>
    <s v="Región de Coquimbo mapa calor Chile comunas comunal año 2019 plazas públicas municipal municipio superficie hectáreas"/>
    <x v="1310"/>
    <s v="100-C-4"/>
    <s v="#1774B207"/>
    <s v="990-1685"/>
    <n v="99200004"/>
    <s v="T-1054"/>
    <s v="C-1015"/>
    <s v="FI-991"/>
    <s v="M-1139"/>
  </r>
  <r>
    <x v="1685"/>
    <n v="990"/>
    <x v="0"/>
    <x v="3"/>
    <n v="5"/>
    <x v="70"/>
    <x v="25"/>
    <x v="1"/>
    <x v="5"/>
    <s v="Comuna"/>
    <s v="Superficie de plazas públicas por comuna"/>
    <s v="Año 2019"/>
    <s v="Hectáreas"/>
    <s v="Sistema Nacional de Información Municipal"/>
    <x v="1668"/>
    <m/>
    <s v="Mapa de calor"/>
    <s v="Región de Valparaíso mapa calor Chile comunas comunal año 2019 plazas públicas municipal municipio superficie hectáreas"/>
    <x v="1311"/>
    <s v="100-C-5"/>
    <s v="#1774B208"/>
    <s v="990-1686"/>
    <n v="99200005"/>
    <s v="T-1054"/>
    <s v="C-1015"/>
    <s v="FI-991"/>
    <s v="M-1139"/>
  </r>
  <r>
    <x v="1686"/>
    <n v="990"/>
    <x v="0"/>
    <x v="3"/>
    <n v="6"/>
    <x v="70"/>
    <x v="25"/>
    <x v="1"/>
    <x v="6"/>
    <s v="Comuna"/>
    <s v="Superficie de plazas públicas por comuna"/>
    <s v="Año 2019"/>
    <s v="Hectáreas"/>
    <s v="Sistema Nacional de Información Municipal"/>
    <x v="1669"/>
    <m/>
    <s v="Mapa de calor"/>
    <s v="Región de O'Higgins mapa calor Chile comunas comunal año 2019 plazas públicas municipal municipio superficie hectáreas"/>
    <x v="1312"/>
    <s v="100-C-6"/>
    <s v="#1774B209"/>
    <s v="990-1687"/>
    <n v="99200006"/>
    <s v="T-1054"/>
    <s v="C-1015"/>
    <s v="FI-991"/>
    <s v="M-1139"/>
  </r>
  <r>
    <x v="1687"/>
    <n v="990"/>
    <x v="0"/>
    <x v="3"/>
    <n v="7"/>
    <x v="70"/>
    <x v="25"/>
    <x v="1"/>
    <x v="7"/>
    <s v="Comuna"/>
    <s v="Superficie de plazas públicas por comuna"/>
    <s v="Año 2019"/>
    <s v="Hectáreas"/>
    <s v="Sistema Nacional de Información Municipal"/>
    <x v="1670"/>
    <m/>
    <s v="Mapa de calor"/>
    <s v="Región de Maule mapa calor Chile comunas comunal año 2019 plazas públicas municipal municipio superficie hectáreas"/>
    <x v="1313"/>
    <s v="100-C-7"/>
    <s v="#1774B210"/>
    <s v="990-1688"/>
    <n v="99200007"/>
    <s v="T-1054"/>
    <s v="C-1015"/>
    <s v="FI-991"/>
    <s v="M-1139"/>
  </r>
  <r>
    <x v="1688"/>
    <n v="990"/>
    <x v="0"/>
    <x v="3"/>
    <n v="8"/>
    <x v="70"/>
    <x v="25"/>
    <x v="1"/>
    <x v="8"/>
    <s v="Comuna"/>
    <s v="Superficie de plazas públicas por comuna"/>
    <s v="Año 2019"/>
    <s v="Hectáreas"/>
    <s v="Sistema Nacional de Información Municipal"/>
    <x v="1671"/>
    <m/>
    <s v="Mapa de calor"/>
    <s v="Región del Biobío mapa calor Chile comunas comunal año 2019 plazas públicas municipal municipio superficie hectáreas"/>
    <x v="1314"/>
    <s v="100-C-8"/>
    <s v="#1774B211"/>
    <s v="990-1689"/>
    <n v="99200008"/>
    <s v="T-1054"/>
    <s v="C-1015"/>
    <s v="FI-991"/>
    <s v="M-1139"/>
  </r>
  <r>
    <x v="1689"/>
    <n v="990"/>
    <x v="0"/>
    <x v="3"/>
    <n v="9"/>
    <x v="70"/>
    <x v="25"/>
    <x v="1"/>
    <x v="9"/>
    <s v="Comuna"/>
    <s v="Superficie de plazas públicas por comuna"/>
    <s v="Año 2019"/>
    <s v="Hectáreas"/>
    <s v="Sistema Nacional de Información Municipal"/>
    <x v="1672"/>
    <m/>
    <s v="Mapa de calor"/>
    <s v="Región de La Araucanía mapa calor Chile comunas comunal año 2019 plazas públicas municipal municipio superficie hectáreas"/>
    <x v="1315"/>
    <s v="100-C-9"/>
    <s v="#1774B212"/>
    <s v="990-1690"/>
    <n v="99200009"/>
    <s v="T-1054"/>
    <s v="C-1015"/>
    <s v="FI-991"/>
    <s v="M-1139"/>
  </r>
  <r>
    <x v="1690"/>
    <n v="990"/>
    <x v="0"/>
    <x v="3"/>
    <n v="10"/>
    <x v="70"/>
    <x v="25"/>
    <x v="1"/>
    <x v="10"/>
    <s v="Comuna"/>
    <s v="Superficie de plazas públicas por comuna"/>
    <s v="Año 2019"/>
    <s v="Hectáreas"/>
    <s v="Sistema Nacional de Información Municipal"/>
    <x v="1673"/>
    <m/>
    <s v="Mapa de calor"/>
    <s v="Región de Los Lagos mapa calor Chile comunas comunal año 2019 plazas públicas municipal municipio superficie hectáreas"/>
    <x v="1316"/>
    <s v="100-C-10"/>
    <s v="#1774B213"/>
    <s v="990-1691"/>
    <n v="99200010"/>
    <s v="T-1054"/>
    <s v="C-1015"/>
    <s v="FI-991"/>
    <s v="M-1139"/>
  </r>
  <r>
    <x v="1691"/>
    <n v="990"/>
    <x v="0"/>
    <x v="3"/>
    <n v="11"/>
    <x v="70"/>
    <x v="25"/>
    <x v="1"/>
    <x v="11"/>
    <s v="Comuna"/>
    <s v="Superficie de plazas públicas por comuna"/>
    <s v="Año 2019"/>
    <s v="Hectáreas"/>
    <s v="Sistema Nacional de Información Municipal"/>
    <x v="1674"/>
    <m/>
    <s v="Mapa de calor"/>
    <s v="Región de Aysén mapa calor Chile comunas comunal año 2019 plazas públicas municipal municipio superficie hectáreas"/>
    <x v="1317"/>
    <s v="100-C-11"/>
    <s v="#1774B214"/>
    <s v="990-1692"/>
    <n v="99200011"/>
    <s v="T-1054"/>
    <s v="C-1015"/>
    <s v="FI-991"/>
    <s v="M-1139"/>
  </r>
  <r>
    <x v="1692"/>
    <n v="990"/>
    <x v="0"/>
    <x v="3"/>
    <n v="12"/>
    <x v="70"/>
    <x v="25"/>
    <x v="1"/>
    <x v="12"/>
    <s v="Comuna"/>
    <s v="Superficie de plazas públicas por comuna"/>
    <s v="Año 2019"/>
    <s v="Hectáreas"/>
    <s v="Sistema Nacional de Información Municipal"/>
    <x v="1675"/>
    <m/>
    <s v="Mapa de calor"/>
    <s v="Región de Magallanes mapa calor Chile comunas comunal año 2019 plazas públicas municipal municipio superficie hectáreas"/>
    <x v="1318"/>
    <s v="100-C-12"/>
    <s v="#1774B215"/>
    <s v="990-1693"/>
    <n v="99200012"/>
    <s v="T-1054"/>
    <s v="C-1015"/>
    <s v="FI-991"/>
    <s v="M-1139"/>
  </r>
  <r>
    <x v="1693"/>
    <n v="990"/>
    <x v="0"/>
    <x v="3"/>
    <n v="13"/>
    <x v="70"/>
    <x v="25"/>
    <x v="1"/>
    <x v="13"/>
    <s v="Comuna"/>
    <s v="Superficie de plazas públicas por comuna"/>
    <s v="Año 2019"/>
    <s v="Hectáreas"/>
    <s v="Sistema Nacional de Información Municipal"/>
    <x v="1676"/>
    <m/>
    <s v="Mapa de calor"/>
    <s v="Región Metropolitana mapa calor Chile comunas comunal año 2019 plazas públicas municipal municipio superficie hectáreas"/>
    <x v="1319"/>
    <s v="200-C-13"/>
    <s v="#1774B216"/>
    <s v="990-1694"/>
    <n v="99200013"/>
    <s v="T-1054"/>
    <s v="C-1015"/>
    <s v="FI-991"/>
    <s v="M-1139"/>
  </r>
  <r>
    <x v="1694"/>
    <n v="990"/>
    <x v="0"/>
    <x v="3"/>
    <n v="14"/>
    <x v="70"/>
    <x v="25"/>
    <x v="1"/>
    <x v="14"/>
    <s v="Comuna"/>
    <s v="Superficie de plazas públicas por comuna"/>
    <s v="Año 2019"/>
    <s v="Hectáreas"/>
    <s v="Sistema Nacional de Información Municipal"/>
    <x v="1677"/>
    <m/>
    <s v="Mapa de calor"/>
    <s v="Región de Los Ríos mapa calor Chile comunas comunal año 2019 plazas públicas municipal municipio superficie hectáreas"/>
    <x v="1320"/>
    <s v="100-C-14"/>
    <s v="#1774B217"/>
    <s v="990-1695"/>
    <n v="99200014"/>
    <s v="T-1054"/>
    <s v="C-1015"/>
    <s v="FI-991"/>
    <s v="M-1139"/>
  </r>
  <r>
    <x v="1695"/>
    <n v="990"/>
    <x v="0"/>
    <x v="3"/>
    <n v="15"/>
    <x v="70"/>
    <x v="25"/>
    <x v="1"/>
    <x v="15"/>
    <s v="Comuna"/>
    <s v="Superficie de plazas públicas por comuna"/>
    <s v="Año 2019"/>
    <s v="Hectáreas"/>
    <s v="Sistema Nacional de Información Municipal"/>
    <x v="1678"/>
    <m/>
    <s v="Mapa de calor"/>
    <s v="Región de Arica y Parinacota mapa calor Chile comunas comunal año 2019 plazas públicas municipal municipio superficie hectáreas"/>
    <x v="1321"/>
    <s v="100-C-15"/>
    <s v="#1774B218"/>
    <s v="990-1696"/>
    <n v="99200015"/>
    <s v="T-1054"/>
    <s v="C-1015"/>
    <s v="FI-991"/>
    <s v="M-1139"/>
  </r>
  <r>
    <x v="1696"/>
    <n v="990"/>
    <x v="0"/>
    <x v="3"/>
    <n v="16"/>
    <x v="70"/>
    <x v="25"/>
    <x v="1"/>
    <x v="16"/>
    <s v="Comuna"/>
    <s v="Superficie de plazas públicas por comuna"/>
    <s v="Año 2019"/>
    <s v="Hectáreas"/>
    <s v="Sistema Nacional de Información Municipal"/>
    <x v="1679"/>
    <m/>
    <m/>
    <s v="Región de Ñuble mapa calor Chile comunas comunal año 2019 plazas públicas municipal municipio superficie hectáreas"/>
    <x v="1322"/>
    <s v="100-C-16"/>
    <s v="#1774B219"/>
    <s v="990-1697"/>
    <n v="99200016"/>
    <s v="T-1054"/>
    <s v="C-1015"/>
    <s v="FI-991"/>
    <s v="M-1139"/>
  </r>
  <r>
    <x v="1697"/>
    <n v="990"/>
    <x v="0"/>
    <x v="10"/>
    <n v="0"/>
    <x v="23"/>
    <x v="27"/>
    <x v="0"/>
    <x v="0"/>
    <s v="Fecha"/>
    <s v="Valor de importaciones por fecha"/>
    <s v="Periodo 2015-2021"/>
    <s v="USD"/>
    <s v="Aduana de Chile"/>
    <x v="1680"/>
    <s v="Al comparar las importaciones en el mes de marzo desde el año 2015 al 2021, se observa que, luego del 2018, hubo una caída en el crecimiento del valor en USD de las importaciones. Este valor repuntó en marzo del año 2021, mostrando un incremento desde los 4.400 millones de dólares en el año 2020 a  7.000 millones de dólares en el año 2021."/>
    <s v="Gráfico de Evolución"/>
    <s v="gráfico de evolución Chile nacional periodo 2015 2021 producto importado importación comercio exterior internacional valor USD mundial minería alimentos fruta"/>
    <x v="1323"/>
    <n v="0"/>
    <s v="#1774B220"/>
    <s v="990-1698"/>
    <n v="99100000"/>
    <s v="T-1042"/>
    <s v="C-1014"/>
    <s v="FI-1010"/>
    <s v="M-1140"/>
  </r>
  <r>
    <x v="1698"/>
    <n v="990"/>
    <x v="0"/>
    <x v="10"/>
    <n v="0"/>
    <x v="85"/>
    <x v="27"/>
    <x v="0"/>
    <x v="0"/>
    <s v="Fecha"/>
    <s v="Valor de importaciones y exportaciones por fecha"/>
    <s v="Periodo 2015-2021"/>
    <s v="USD"/>
    <s v="Aduana de Chile"/>
    <x v="1681"/>
    <s v="Al observar las importaciones y exportaciones hechas por Suiza, el peak para ambas fue en el tercer trimestre del año 2018, periodo en el que las importaciones ascienden aproximadamente a 71 millones de dólares, mientras que las exportaciones llegaron a casi 359 millones de dólares."/>
    <s v="Gráfico de Evolución"/>
    <s v="gráfico de evolución Chile nacional periodo 2015 2021 trimestre exportación importación comparación comercio exterior internacional valor USD dólar"/>
    <x v="1324"/>
    <n v="0"/>
    <s v="#1774B221"/>
    <s v="990-1699"/>
    <n v="99100000"/>
    <s v="T-1077"/>
    <s v="C-1014"/>
    <s v="FI-1010"/>
    <s v="M-1141"/>
  </r>
  <r>
    <x v="1699"/>
    <n v="990"/>
    <x v="0"/>
    <x v="10"/>
    <n v="0"/>
    <x v="7"/>
    <x v="27"/>
    <x v="0"/>
    <x v="0"/>
    <s v="País"/>
    <s v="Valor de exportaciones acumuladas por país de destino"/>
    <s v="Periodo 2005-2021"/>
    <s v="USD"/>
    <s v="Servicio Nacional de Aduanas"/>
    <x v="1682"/>
    <s v="Al observar el mapa de calor, el país con más exportaciones acumuladas en USD fue China, alcanzando casi 141.654 millones de dólares, seguido por Estados Unidos, Japón, Corea y Brasil, quienes en conjunto acumularon casi 153 mil millones de dólares en exportaciones."/>
    <s v="Mapa de calor"/>
    <s v="mapa de calor nacional Chile periodo 2005 2021 exportación comercio exterior internacional valor mundial china canadá USA"/>
    <x v="1325"/>
    <n v="0"/>
    <s v="#1774B222"/>
    <s v="990-1700"/>
    <n v="99100000"/>
    <s v="T-1031"/>
    <s v="C-1014"/>
    <s v="FI-1012"/>
    <s v="M-1142"/>
  </r>
  <r>
    <x v="1700"/>
    <n v="990"/>
    <x v="0"/>
    <x v="10"/>
    <n v="0"/>
    <x v="23"/>
    <x v="27"/>
    <x v="0"/>
    <x v="0"/>
    <s v="Ninguno"/>
    <s v="Valor de importaciones de alimentos por país de origen"/>
    <s v="Año 2021"/>
    <s v="USD"/>
    <s v="Aduana de Chile"/>
    <x v="1683"/>
    <s v="Al mes de julio del año 2021, el país con la importación más alta de alimentos en USD fue Argentina con más de 695 millones de dólares, seguido por Brasil y Estados Unidos. Aclarar que los países no coloreados corresponden a todos aquellos desde los cuales Chile no realiza importaciones de alimentos."/>
    <s v="Mapa de calor"/>
    <s v="mapa de calor nacional Chile año 2021 importación comercio exterior internacional valor USD mundial argentina brasill USA alimentos país origen"/>
    <x v="1326"/>
    <n v="0"/>
    <s v="#1774B223"/>
    <s v="990-1701"/>
    <n v="99100000"/>
    <s v="T-1042"/>
    <s v="C-1014"/>
    <s v="FI-993"/>
    <s v="M-1143"/>
  </r>
  <r>
    <x v="1701"/>
    <n v="990"/>
    <x v="0"/>
    <x v="10"/>
    <n v="0"/>
    <x v="7"/>
    <x v="27"/>
    <x v="0"/>
    <x v="0"/>
    <s v="Detalle"/>
    <s v="Valor de exportaciones por producto minero"/>
    <s v="Periodo 2015-2021"/>
    <s v="USD"/>
    <s v="Servicio Nacional de Aduanas"/>
    <x v="1684"/>
    <s v="En el segundo semestre del año 2021, los productos de minería acumularon más dólares en cuanto a exportación, siendo el cobre y los minerales de cobre y sus concentrados las dos subcategorías de minería con mayor relevancia."/>
    <s v="Gráfico de Evolución"/>
    <s v="gráfico de evolución nacional exportación comercio exterior internacional valor USD mundial chile producto minero minería detalle cobre"/>
    <x v="1327"/>
    <n v="0"/>
    <s v="#1774B224"/>
    <s v="990-1702"/>
    <n v="99100000"/>
    <s v="T-1031"/>
    <s v="C-1014"/>
    <s v="FI-1007"/>
    <s v="M-1144"/>
  </r>
  <r>
    <x v="1702"/>
    <n v="990"/>
    <x v="0"/>
    <x v="10"/>
    <n v="0"/>
    <x v="86"/>
    <x v="34"/>
    <x v="0"/>
    <x v="0"/>
    <s v="Región-Fecha"/>
    <s v="Índice de Producción Manufacturera"/>
    <s v="Periodo 2014-2021"/>
    <s v="Índice"/>
    <s v="Instituto Nacional de Estadísticas (INE)"/>
    <x v="1685"/>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ste índice alcanzó su mínimo a nivel nacional en septiembre de 2014, con un valor de 90,8, mientras que el máximo tomó un valor de 131,7 en junio de 2018."/>
    <s v="Gráfico de Evolución"/>
    <s v="índice producción manufacturera manufactura nacional chile industria evolución productividad"/>
    <x v="1328"/>
    <s v="300-R"/>
    <s v="#1774B225"/>
    <s v="990-1703"/>
    <n v="99100000"/>
    <s v="T-1078"/>
    <s v="C-1026"/>
    <s v="FI-1011"/>
    <s v="M-1145"/>
  </r>
  <r>
    <x v="1703"/>
    <n v="990"/>
    <x v="0"/>
    <x v="10"/>
    <n v="5"/>
    <x v="86"/>
    <x v="34"/>
    <x v="1"/>
    <x v="5"/>
    <s v="Fecha"/>
    <s v="Índice de Producción Manufacturera"/>
    <s v="Periodo 2014-2021"/>
    <s v="Índice"/>
    <s v="Instituto Nacional de Estadísticas (INE)"/>
    <x v="1686"/>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Valparaíso, este índice alcanzó su mínimo en abril de 2020, con un valor de 88,7, mientras que el máximo tomó un valor de 176,6 en agosto de 2019."/>
    <s v="Gráfico de Evolución"/>
    <s v="índice producción manufacturera manufactura nacional chile industria evolución productividad región valparaíso"/>
    <x v="1329"/>
    <s v="100-R-5"/>
    <s v="#1774B226"/>
    <s v="990-1704"/>
    <n v="99200005"/>
    <s v="T-1078"/>
    <s v="C-1026"/>
    <s v="FI-1010"/>
    <s v="M-1145"/>
  </r>
  <r>
    <x v="1704"/>
    <n v="990"/>
    <x v="0"/>
    <x v="10"/>
    <n v="6"/>
    <x v="86"/>
    <x v="34"/>
    <x v="1"/>
    <x v="6"/>
    <s v="Fecha"/>
    <s v="Índice de Producción Manufacturera"/>
    <s v="Periodo 2014-2021"/>
    <s v="Índice"/>
    <s v="Instituto Nacional de Estadísticas (INE)"/>
    <x v="1687"/>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O'Higgins, este índice alcanzó su mínimo en septiembre de 2014, con un valor de 81,1, mientras que el máximo tomó un valor de 172,6 en junio de 2018."/>
    <s v="Gráfico de Evolución"/>
    <s v="índice producción manufacturera manufactura nacional chile industria evolución productividad región ohiggins"/>
    <x v="1330"/>
    <s v="100-R-6"/>
    <s v="#1774B227"/>
    <s v="990-1705"/>
    <n v="99200006"/>
    <s v="T-1078"/>
    <s v="C-1026"/>
    <s v="FI-1010"/>
    <s v="M-1145"/>
  </r>
  <r>
    <x v="1705"/>
    <n v="990"/>
    <x v="0"/>
    <x v="10"/>
    <n v="8"/>
    <x v="86"/>
    <x v="34"/>
    <x v="1"/>
    <x v="8"/>
    <s v="Fecha"/>
    <s v="Índice de Producción Manufacturera"/>
    <s v="Periodo 2014-2021"/>
    <s v="Índice"/>
    <s v="Instituto Nacional de Estadísticas (INE)"/>
    <x v="1688"/>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Biobío, este índice alcanzó su mínimo en febrero de 2016, con un valor de 83,1, mientras que el máximo tomó un valor de 117,9 en marzo de 2021."/>
    <s v="Gráfico de Evolución"/>
    <s v="índice producción manufacturera manufactura nacional chile industria evolución productividad región biobío"/>
    <x v="1331"/>
    <s v="100-R-8"/>
    <s v="#1774B228"/>
    <s v="990-1706"/>
    <n v="99200008"/>
    <s v="T-1078"/>
    <s v="C-1026"/>
    <s v="FI-1010"/>
    <s v="M-1145"/>
  </r>
  <r>
    <x v="1706"/>
    <n v="990"/>
    <x v="0"/>
    <x v="10"/>
    <n v="9"/>
    <x v="86"/>
    <x v="34"/>
    <x v="1"/>
    <x v="9"/>
    <s v="Fecha"/>
    <s v="Índice de Producción Manufacturera"/>
    <s v="Periodo 2014-2021"/>
    <s v="Índice"/>
    <s v="Instituto Nacional de Estadísticas (INE)"/>
    <x v="1689"/>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la Araucanía, este índice alcanzó su mínimo en julio de 2016, con un valor de 88,8, mientras que el máximo tomó un valor de 135,1 en diciembre de 2019 y en julio de 2020."/>
    <s v="Gráfico de Evolución"/>
    <s v="índice producción manufacturera manufactura nacional chile industria evolución productividad región araucanía"/>
    <x v="1332"/>
    <s v="100-R-9"/>
    <s v="#1774B229"/>
    <s v="990-1707"/>
    <n v="99200009"/>
    <s v="T-1078"/>
    <s v="C-1026"/>
    <s v="FI-1010"/>
    <s v="M-1145"/>
  </r>
  <r>
    <x v="1707"/>
    <n v="990"/>
    <x v="0"/>
    <x v="10"/>
    <n v="14"/>
    <x v="86"/>
    <x v="34"/>
    <x v="1"/>
    <x v="14"/>
    <s v="Fecha"/>
    <s v="Índice de Producción Manufacturera"/>
    <s v="Periodo 2014-2021"/>
    <s v="Índice"/>
    <s v="Instituto Nacional de Estadísticas (INE)"/>
    <x v="1690"/>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Los Ríos, este índice alcanzó su mínimo en julio de 2016, con un valor de 80,8, mientras que el máximo tomó un valor de 128,2 en marzo de 2020."/>
    <s v="Gráfico de Evolución"/>
    <s v="índice producción manufacturera manufactura nacional chile industria evolución productividad región los ríos"/>
    <x v="1333"/>
    <s v="100-R-14"/>
    <s v="#1774B230"/>
    <s v="990-1708"/>
    <n v="99200014"/>
    <s v="T-1078"/>
    <s v="C-1026"/>
    <s v="FI-1010"/>
    <s v="M-1145"/>
  </r>
  <r>
    <x v="1708"/>
    <n v="990"/>
    <x v="0"/>
    <x v="10"/>
    <n v="0"/>
    <x v="87"/>
    <x v="35"/>
    <x v="0"/>
    <x v="0"/>
    <s v="Región-Fecha"/>
    <s v="Cantidad de Supermercados con tres o más cajas instaladas"/>
    <s v="Periodo 2014-2021"/>
    <s v="Número de supermercados"/>
    <s v="Instituto Nacional de Estadísticas (INE)"/>
    <x v="1691"/>
    <s v="En enero de 2014, la cantidad de supermercados con 3 o más cajas instaladas era de 1.161, mientras que en marzo de 2021, era de 1.176. El mínimo se registró en noviembre de 2019, con 1.100 establecimientos, y el máximo en diciembre de 2015, con 1.229."/>
    <s v="Gráfico de Evolución"/>
    <s v="cantidad supermercados establecimientos cajas instaladas nacional chile"/>
    <x v="1334"/>
    <s v="300-R"/>
    <s v="#1774B231"/>
    <s v="990-1709"/>
    <n v="99100000"/>
    <s v="T-1079"/>
    <s v="C-1027"/>
    <s v="FI-1011"/>
    <s v="M-1146"/>
  </r>
  <r>
    <x v="1709"/>
    <n v="990"/>
    <x v="0"/>
    <x v="10"/>
    <n v="1"/>
    <x v="87"/>
    <x v="35"/>
    <x v="1"/>
    <x v="1"/>
    <s v="Fecha"/>
    <s v="Cantidad de Supermercados con tres o más cajas instaladas"/>
    <s v="Periodo 2014-2021"/>
    <s v="Número de supermercados"/>
    <s v="Instituto Nacional de Estadísticas (INE)"/>
    <x v="1692"/>
    <s v="En la Región de Tarapacá, en enero de 2014, la cantidad de supermercados con 3 o más cajas instaladas era de 13, mientras que en abril de 2021, era de 14. El promedio de supermercados en este período es de 14."/>
    <s v="Gráfico de Evolución"/>
    <s v="cantidad supermercados establecimientos cajas instaladas región tarapacá"/>
    <x v="1335"/>
    <s v="100-R-1"/>
    <s v="#1774B232"/>
    <s v="990-1710"/>
    <n v="99200001"/>
    <s v="T-1079"/>
    <s v="C-1027"/>
    <s v="FI-1010"/>
    <s v="M-1146"/>
  </r>
  <r>
    <x v="1710"/>
    <n v="990"/>
    <x v="0"/>
    <x v="10"/>
    <n v="2"/>
    <x v="87"/>
    <x v="35"/>
    <x v="1"/>
    <x v="2"/>
    <s v="Fecha"/>
    <s v="Cantidad de Supermercados con tres o más cajas instaladas"/>
    <s v="Periodo 2014-2021"/>
    <s v="Número de supermercados"/>
    <s v="Instituto Nacional de Estadísticas (INE)"/>
    <x v="1693"/>
    <s v="En la Región de Antofagasta, en enero de 2014, la cantidad de supermercados con 3 o más cajas instaladas era de 32, y en abril de 2021, era de 34. El promedio de supermercados en este período es de 34."/>
    <s v="Gráfico de Evolución"/>
    <s v="cantidad supermercados establecimientos cajas instaladas región antofagasta"/>
    <x v="1336"/>
    <s v="100-R-2"/>
    <s v="#1774B233"/>
    <s v="990-1711"/>
    <n v="99200002"/>
    <s v="T-1079"/>
    <s v="C-1027"/>
    <s v="FI-1010"/>
    <s v="M-1146"/>
  </r>
  <r>
    <x v="1711"/>
    <n v="990"/>
    <x v="0"/>
    <x v="10"/>
    <n v="3"/>
    <x v="87"/>
    <x v="35"/>
    <x v="1"/>
    <x v="3"/>
    <s v="Fecha"/>
    <s v="Cantidad de Supermercados con tres o más cajas instaladas"/>
    <s v="Periodo 2014-2021"/>
    <s v="Número de supermercados"/>
    <s v="Instituto Nacional de Estadísticas (INE)"/>
    <x v="1694"/>
    <s v="En la Región de Atacama, en enero de 2014, la cantidad de supermercados con 3 o más cajas instaladas era de 23, mientras que en abril de 2021, era de 26. El promedio de supermercados en este período es de 24."/>
    <s v="Gráfico de Evolución"/>
    <s v="cantidad supermercados establecimientos cajas instaladas región atacama"/>
    <x v="1337"/>
    <s v="100-R-3"/>
    <s v="#1774B234"/>
    <s v="990-1712"/>
    <n v="99200003"/>
    <s v="T-1079"/>
    <s v="C-1027"/>
    <s v="FI-1010"/>
    <s v="M-1146"/>
  </r>
  <r>
    <x v="1712"/>
    <n v="990"/>
    <x v="0"/>
    <x v="10"/>
    <n v="4"/>
    <x v="87"/>
    <x v="35"/>
    <x v="1"/>
    <x v="4"/>
    <s v="Fecha"/>
    <s v="Cantidad de Supermercados con tres o más cajas instaladas"/>
    <s v="Periodo 2014-2021"/>
    <s v="Número de supermercados"/>
    <s v="Instituto Nacional de Estadísticas (INE)"/>
    <x v="1695"/>
    <s v="En la Región de Coquimbo, en enero de 2014, la cantidad de supermercados con 3 o más cajas instaladas era de 53, mientras que en abril de 2021, era de 61. El promedio de supermercados en este período es de 57."/>
    <s v="Gráfico de Evolución"/>
    <s v="cantidad supermercados establecimientos cajas instaladas región coquimbo"/>
    <x v="1338"/>
    <s v="100-R-4"/>
    <s v="#1774B235"/>
    <s v="990-1713"/>
    <n v="99200004"/>
    <s v="T-1079"/>
    <s v="C-1027"/>
    <s v="FI-1010"/>
    <s v="M-1146"/>
  </r>
  <r>
    <x v="1713"/>
    <n v="990"/>
    <x v="0"/>
    <x v="10"/>
    <n v="5"/>
    <x v="87"/>
    <x v="35"/>
    <x v="1"/>
    <x v="5"/>
    <s v="Fecha"/>
    <s v="Cantidad de Supermercados con tres o más cajas instaladas"/>
    <s v="Periodo 2014-2021"/>
    <s v="Número de supermercados"/>
    <s v="Instituto Nacional de Estadísticas (INE)"/>
    <x v="1696"/>
    <s v="En la Región de Valparaíso, en enero de 2014, la cantidad de supermercados con 3 o más cajas instaladas era de 158, mientras que en abril de 2021, era de 167. El promedio de supermercados en este período es de 163."/>
    <s v="Gráfico de Evolución"/>
    <s v="cantidad supermercados establecimientos cajas instaladas región valparaíso"/>
    <x v="1339"/>
    <s v="100-R-5"/>
    <s v="#1774B236"/>
    <s v="990-1714"/>
    <n v="99200005"/>
    <s v="T-1079"/>
    <s v="C-1027"/>
    <s v="FI-1010"/>
    <s v="M-1146"/>
  </r>
  <r>
    <x v="1714"/>
    <n v="990"/>
    <x v="0"/>
    <x v="10"/>
    <n v="6"/>
    <x v="87"/>
    <x v="35"/>
    <x v="1"/>
    <x v="6"/>
    <s v="Fecha"/>
    <s v="Cantidad de Supermercados con tres o más cajas instaladas"/>
    <s v="Periodo 2014-2021"/>
    <s v="Número de supermercados"/>
    <s v="Instituto Nacional de Estadísticas (INE)"/>
    <x v="1697"/>
    <s v="En la Región de O'Higgins, en enero de 2014, la cantidad de supermercados con 3 o más cajas instaladas era de 75, mientras que en abril de 2021, era de 81. El promedio de supermercados en este período es de 78."/>
    <s v="Gráfico de Evolución"/>
    <s v="cantidad supermercados establecimientos cajas instaladas región ohiggins"/>
    <x v="1340"/>
    <s v="100-R-6"/>
    <s v="#1774B237"/>
    <s v="990-1715"/>
    <n v="99200006"/>
    <s v="T-1079"/>
    <s v="C-1027"/>
    <s v="FI-1010"/>
    <s v="M-1146"/>
  </r>
  <r>
    <x v="1715"/>
    <n v="990"/>
    <x v="0"/>
    <x v="10"/>
    <n v="7"/>
    <x v="87"/>
    <x v="35"/>
    <x v="1"/>
    <x v="7"/>
    <s v="Fecha"/>
    <s v="Cantidad de Supermercados con tres o más cajas instaladas"/>
    <s v="Periodo 2014-2021"/>
    <s v="Número de supermercados"/>
    <s v="Instituto Nacional de Estadísticas (INE)"/>
    <x v="1698"/>
    <s v="En la Región de Maule, en enero de 2014, la cantidad de supermercados con 3 o más cajas instaladas era de 67, mientras que en abril de 2021, era de 73. El promedio de supermercados en este período es de 71."/>
    <s v="Gráfico de Evolución"/>
    <s v="cantidad supermercados establecimientos cajas instaladas región maule"/>
    <x v="1341"/>
    <s v="100-R-7"/>
    <s v="#1774B238"/>
    <s v="990-1716"/>
    <n v="99200007"/>
    <s v="T-1079"/>
    <s v="C-1027"/>
    <s v="FI-1010"/>
    <s v="M-1146"/>
  </r>
  <r>
    <x v="1716"/>
    <n v="990"/>
    <x v="0"/>
    <x v="10"/>
    <n v="8"/>
    <x v="87"/>
    <x v="35"/>
    <x v="1"/>
    <x v="8"/>
    <s v="Fecha"/>
    <s v="Cantidad de Supermercados con tres o más cajas instaladas"/>
    <s v="Periodo 2014-2021"/>
    <s v="Número de supermercados"/>
    <s v="Instituto Nacional de Estadísticas (INE)"/>
    <x v="1699"/>
    <s v="En la Región del Biobío, en enero de 2014, la cantidad de supermercados con 3 o más cajas instaladas era de 129, mientras que en abril de 2021, era de 151. El promedio de supermercados en este período es de 144."/>
    <s v="Gráfico de Evolución"/>
    <s v="cantidad supermercados establecimientos cajas instaladas región biobío"/>
    <x v="1342"/>
    <s v="100-R-8"/>
    <s v="#1774B239"/>
    <s v="990-1717"/>
    <n v="99200008"/>
    <s v="T-1079"/>
    <s v="C-1027"/>
    <s v="FI-1010"/>
    <s v="M-1146"/>
  </r>
  <r>
    <x v="1717"/>
    <n v="990"/>
    <x v="0"/>
    <x v="10"/>
    <n v="9"/>
    <x v="87"/>
    <x v="35"/>
    <x v="1"/>
    <x v="9"/>
    <s v="Fecha"/>
    <s v="Cantidad de Supermercados con tres o más cajas instaladas"/>
    <s v="Periodo 2014-2021"/>
    <s v="Número de supermercados"/>
    <s v="Instituto Nacional de Estadísticas (INE)"/>
    <x v="1700"/>
    <s v="En la Región de La Araucanía, en enero de 2014, la cantidad de supermercados con 3 o más cajas instaladas era de 86, mientras que en abril de 2021, era de 101. El promedio de supermercados en este período es de 94."/>
    <s v="Gráfico de Evolución"/>
    <s v="cantidad supermercados establecimientos cajas instaladas región araucanía"/>
    <x v="1343"/>
    <s v="100-R-9"/>
    <s v="#1774B240"/>
    <s v="990-1718"/>
    <n v="99200009"/>
    <s v="T-1079"/>
    <s v="C-1027"/>
    <s v="FI-1010"/>
    <s v="M-1146"/>
  </r>
  <r>
    <x v="1718"/>
    <n v="990"/>
    <x v="0"/>
    <x v="10"/>
    <n v="10"/>
    <x v="87"/>
    <x v="35"/>
    <x v="1"/>
    <x v="10"/>
    <s v="Fecha"/>
    <s v="Cantidad de Supermercados con tres o más cajas instaladas"/>
    <s v="Periodo 2014-2021"/>
    <s v="Número de supermercados"/>
    <s v="Instituto Nacional de Estadísticas (INE)"/>
    <x v="1701"/>
    <s v="En la Región de Los Lagos, en enero de 2014, la cantidad de supermercados con 3 o más cajas instaladas era de 66, mientras que en abril de 2021, era de 68. El promedio de supermercados en este período es de 69."/>
    <s v="Gráfico de Evolución"/>
    <s v="cantidad supermercados establecimientos cajas instaladas región los lagos"/>
    <x v="1344"/>
    <s v="100-R-10"/>
    <s v="#1774B241"/>
    <s v="990-1719"/>
    <n v="99200010"/>
    <s v="T-1079"/>
    <s v="C-1027"/>
    <s v="FI-1010"/>
    <s v="M-1146"/>
  </r>
  <r>
    <x v="1719"/>
    <n v="990"/>
    <x v="0"/>
    <x v="10"/>
    <n v="11"/>
    <x v="87"/>
    <x v="35"/>
    <x v="1"/>
    <x v="11"/>
    <s v="Fecha"/>
    <s v="Cantidad de Supermercados con tres o más cajas instaladas"/>
    <s v="Periodo 2014-2021"/>
    <s v="Número de supermercados"/>
    <s v="Instituto Nacional de Estadísticas (INE)"/>
    <x v="1702"/>
    <s v="En la Región de Aysén, en enero de 2014, la cantidad de supermercados con 3 o más cajas instaladas era de 6, mientras que en abril de 2021, era de 9. El promedio de supermercados en este período es de 8."/>
    <s v="Gráfico de Evolución"/>
    <s v="cantidad supermercados establecimientos cajas instaladas región aysén"/>
    <x v="1345"/>
    <s v="100-R-11"/>
    <s v="#1774B242"/>
    <s v="990-1720"/>
    <n v="99200011"/>
    <s v="T-1079"/>
    <s v="C-1027"/>
    <s v="FI-1010"/>
    <s v="M-1146"/>
  </r>
  <r>
    <x v="1720"/>
    <n v="990"/>
    <x v="0"/>
    <x v="10"/>
    <n v="12"/>
    <x v="87"/>
    <x v="35"/>
    <x v="1"/>
    <x v="12"/>
    <s v="Fecha"/>
    <s v="Cantidad de Supermercados con tres o más cajas instaladas"/>
    <s v="Periodo 2014-2021"/>
    <s v="Número de supermercados"/>
    <s v="Instituto Nacional de Estadísticas (INE)"/>
    <x v="1703"/>
    <s v="En la Región de Magallanes, en enero de 2014, la cantidad de supermercados con 3 o más cajas instaladas era de 12, mientras que en abril de 2021, era de 11. El promedio de supermercados en este período es de 11."/>
    <s v="Gráfico de Evolución"/>
    <s v="cantidad supermercados establecimientos cajas instaladas región magallanes"/>
    <x v="1346"/>
    <s v="100-R-12"/>
    <s v="#1774B243"/>
    <s v="990-1721"/>
    <n v="99200012"/>
    <s v="T-1079"/>
    <s v="C-1027"/>
    <s v="FI-1010"/>
    <s v="M-1146"/>
  </r>
  <r>
    <x v="1721"/>
    <n v="990"/>
    <x v="0"/>
    <x v="10"/>
    <n v="13"/>
    <x v="87"/>
    <x v="35"/>
    <x v="1"/>
    <x v="13"/>
    <s v="Fecha"/>
    <s v="Cantidad de Supermercados con tres o más cajas instaladas"/>
    <s v="Periodo 2014-2021"/>
    <s v="Número de supermercados"/>
    <s v="Instituto Nacional de Estadísticas (INE)"/>
    <x v="1704"/>
    <s v="En la Región Metropolitana, en enero de 2014, la cantidad de supermercados con 3 o más cajas instaladas era de 524, mientras que en abril de 2021, era de 464. El promedio de supermercados en este período es de 512."/>
    <s v="Gráfico de Evolución"/>
    <s v="cantidad supermercados establecimientos cajas instaladas región metropolitana"/>
    <x v="1347"/>
    <s v="200-R-13"/>
    <s v="#1774B244"/>
    <s v="990-1722"/>
    <n v="99200013"/>
    <s v="T-1079"/>
    <s v="C-1027"/>
    <s v="FI-1010"/>
    <s v="M-1146"/>
  </r>
  <r>
    <x v="1722"/>
    <n v="990"/>
    <x v="0"/>
    <x v="10"/>
    <n v="14"/>
    <x v="87"/>
    <x v="35"/>
    <x v="1"/>
    <x v="14"/>
    <s v="Fecha"/>
    <s v="Cantidad de Supermercados con tres o más cajas instaladas"/>
    <s v="Periodo 2014-2021"/>
    <s v="Número de supermercados"/>
    <s v="Instituto Nacional de Estadísticas (INE)"/>
    <x v="1705"/>
    <s v="En la Región de Los Ríos, en enero de 2014, la cantidad de supermercados con 3 o más cajas instaladas era de 37, mientras que en abril de 2021, era de 45. El promedio de supermercados en este período es de 42."/>
    <s v="Gráfico de Evolución"/>
    <s v="cantidad supermercados establecimientos cajas instaladas región los ríos"/>
    <x v="1348"/>
    <s v="100-R-14"/>
    <s v="#1774B245"/>
    <s v="990-1723"/>
    <n v="99200014"/>
    <s v="T-1079"/>
    <s v="C-1027"/>
    <s v="FI-1010"/>
    <s v="M-1146"/>
  </r>
  <r>
    <x v="1723"/>
    <n v="990"/>
    <x v="0"/>
    <x v="10"/>
    <n v="15"/>
    <x v="87"/>
    <x v="35"/>
    <x v="1"/>
    <x v="15"/>
    <s v="Fecha"/>
    <s v="Cantidad de Supermercados con tres o más cajas instaladas"/>
    <s v="Periodo 2014-2021"/>
    <s v="Número de supermercados"/>
    <s v="Instituto Nacional de Estadísticas (INE)"/>
    <x v="1706"/>
    <s v="En la Región de Arica y Parinacota, en enero de 2014, la cantidad de supermercados con 3 o más cajas instaladas era de 6, mientras que en abril de 2021, era de 7. El promedio de supermercados en este período es de 7."/>
    <s v="Gráfico de Evolución"/>
    <s v="cantidad supermercados establecimientos cajas instaladas región arica parinacota"/>
    <x v="1349"/>
    <s v="100-R-15"/>
    <s v="#1774B246"/>
    <s v="990-1724"/>
    <n v="99200015"/>
    <s v="T-1079"/>
    <s v="C-1027"/>
    <s v="FI-1010"/>
    <s v="M-1146"/>
  </r>
  <r>
    <x v="1724"/>
    <n v="990"/>
    <x v="0"/>
    <x v="10"/>
    <n v="16"/>
    <x v="87"/>
    <x v="35"/>
    <x v="1"/>
    <x v="16"/>
    <s v="Fecha"/>
    <s v="Cantidad de Supermercados con tres o más cajas instaladas"/>
    <s v="Periodo 2014-2021"/>
    <s v="Número de supermercados"/>
    <s v="Instituto Nacional de Estadísticas (INE)"/>
    <x v="1707"/>
    <s v="En la Región de Ñuble, en enero de 2014, la cantidad de supermercados con 3 o más cajas instaladas era de 32, mientras que en abril de 2021, era de 31. El promedio de supermercados en este período es de 32."/>
    <s v="Gráfico de Evolución"/>
    <s v="cantidad supermercados establecimientos cajas instaladas región ñuble"/>
    <x v="1350"/>
    <s v="100-R-16"/>
    <s v="#1774B247"/>
    <s v="990-1725"/>
    <n v="99200016"/>
    <s v="T-1079"/>
    <s v="C-1027"/>
    <s v="FI-1010"/>
    <s v="M-1146"/>
  </r>
  <r>
    <x v="1725"/>
    <n v="990"/>
    <x v="0"/>
    <x v="10"/>
    <n v="0"/>
    <x v="86"/>
    <x v="34"/>
    <x v="0"/>
    <x v="0"/>
    <s v="Región-Fecha"/>
    <s v="Índice de Elaboración de Productos Alimenticios"/>
    <s v="Periodo 2014-2021"/>
    <s v="Índice"/>
    <s v="Instituto Nacional de Estadísticas (INE)"/>
    <x v="1708"/>
    <s v="El Índice de Elaboración de Productos Alimenticios es la división número 10 del índice de Producción Manufacturera. A nivel nacional, este índice registró su mínimo en septiembre de 2014, con un valor de 77,4, mientras que su máximo ocurrió en marzo de 2021, con 126,1. El promedio en este período es de 100,9."/>
    <s v="Gráfico de Evolución"/>
    <s v="índice elaboración productos alimenticios alimentos producción nacional chile"/>
    <x v="1351"/>
    <s v="300-R"/>
    <s v="#1774B248"/>
    <s v="990-1726"/>
    <n v="99100000"/>
    <s v="T-1078"/>
    <s v="C-1026"/>
    <s v="FI-1011"/>
    <s v="M-1147"/>
  </r>
  <r>
    <x v="1726"/>
    <n v="990"/>
    <x v="0"/>
    <x v="10"/>
    <n v="5"/>
    <x v="86"/>
    <x v="34"/>
    <x v="1"/>
    <x v="5"/>
    <s v="Fecha"/>
    <s v="Índice de Elaboración de Productos Alimenticios"/>
    <s v="Periodo 2014-2021"/>
    <s v="Índice"/>
    <s v="Instituto Nacional de Estadísticas (INE)"/>
    <x v="1709"/>
    <s v="El Índice de Elaboración de Productos Alimenticios es la división número 10 del índice de Producción Manufacturera. En la Región de Valparaíso, el mínimo se registró en febrero de 2021, con un valor de 68,6, mientras que su máximo ocurrió en marzo de 2014, con 123,3. El promedio en este período es de 89,5."/>
    <s v="Gráfico de Evolución"/>
    <s v="índice elaboración productos alimenticios alimentos producción región valparaíso"/>
    <x v="1352"/>
    <s v="100-R-5"/>
    <s v="#1774B249"/>
    <s v="990-1727"/>
    <n v="99200005"/>
    <s v="T-1078"/>
    <s v="C-1026"/>
    <s v="FI-1010"/>
    <s v="M-1147"/>
  </r>
  <r>
    <x v="1727"/>
    <n v="990"/>
    <x v="0"/>
    <x v="10"/>
    <n v="6"/>
    <x v="86"/>
    <x v="34"/>
    <x v="1"/>
    <x v="6"/>
    <s v="Fecha"/>
    <s v="Índice de Elaboración de Productos Alimenticios"/>
    <s v="Periodo 2014-2021"/>
    <s v="Índice"/>
    <s v="Instituto Nacional de Estadísticas (INE)"/>
    <x v="1710"/>
    <s v="El Índice de Elaboración de Productos Alimenticios es la división número 10 del índice de Producción Manufacturera. En la Región de O'Higgins, el mínimo se registró en septiembre de 2014, con un valor de 74,2, mientras que su máximo ocurrió en abril de 2018, con 167,0. El promedio en este período es de 114,1."/>
    <s v="Gráfico de Evolución"/>
    <s v="índice elaboración productos alimenticios alimentos producción región ohiggins"/>
    <x v="1353"/>
    <s v="100-R-6"/>
    <s v="#1774B250"/>
    <s v="990-1728"/>
    <n v="99200006"/>
    <s v="T-1078"/>
    <s v="C-1026"/>
    <s v="FI-1010"/>
    <s v="M-1147"/>
  </r>
  <r>
    <x v="1728"/>
    <n v="990"/>
    <x v="0"/>
    <x v="10"/>
    <n v="8"/>
    <x v="86"/>
    <x v="34"/>
    <x v="1"/>
    <x v="8"/>
    <s v="Fecha"/>
    <s v="Índice de Elaboración de Productos Alimenticios"/>
    <s v="Periodo 2014-2021"/>
    <s v="Índice"/>
    <s v="Instituto Nacional de Estadísticas (INE)"/>
    <x v="1711"/>
    <s v="El Índice de Elaboración de Productos Alimenticios es la división número 10 del índice de Producción Manufacturera. En la Región del Biobío, el mínimo se registró en febrero de 2017, con un valor de 45,2, mientras que su máximo ocurrió en julio de 2019, con 141,4. El promedio en este período es de 99,3."/>
    <s v="Gráfico de Evolución"/>
    <s v="índice elaboración productos alimenticios alimentos producción región biobío"/>
    <x v="1354"/>
    <s v="100-R-8"/>
    <s v="#1774B251"/>
    <s v="990-1729"/>
    <n v="99200008"/>
    <s v="T-1078"/>
    <s v="C-1026"/>
    <s v="FI-1010"/>
    <s v="M-1147"/>
  </r>
  <r>
    <x v="1729"/>
    <n v="990"/>
    <x v="0"/>
    <x v="10"/>
    <n v="14"/>
    <x v="86"/>
    <x v="34"/>
    <x v="1"/>
    <x v="14"/>
    <s v="Fecha"/>
    <s v="Índice de Elaboración de Productos Alimenticios"/>
    <s v="Periodo 2014-2021"/>
    <s v="Índice"/>
    <s v="Instituto Nacional de Estadísticas (INE)"/>
    <x v="1712"/>
    <s v="El Índice de Elaboración de Productos Alimenticios es la división número 10 del índice de Producción Manufacturera. En la Región de Los Ríos, el mínimo se registró en julio de 2016, con un valor de 62,1, mientras que su máximo ocurrió en diciembre de 2020, con 130,9. El promedio en este período es de 100,7."/>
    <s v="Gráfico de Evolución"/>
    <s v="índice elaboración productos alimenticios alimentos producción región los ríos"/>
    <x v="1355"/>
    <s v="100-R-14"/>
    <s v="#1774B252"/>
    <s v="990-1730"/>
    <n v="99200014"/>
    <s v="T-1078"/>
    <s v="C-1026"/>
    <s v="FI-1010"/>
    <s v="M-1147"/>
  </r>
  <r>
    <x v="1730"/>
    <n v="990"/>
    <x v="0"/>
    <x v="10"/>
    <n v="0"/>
    <x v="86"/>
    <x v="34"/>
    <x v="0"/>
    <x v="0"/>
    <s v="Fecha"/>
    <s v="Índice de Fabricación de Productos Farmacéuticos"/>
    <s v="Periodo 2014-2021"/>
    <s v="Índice"/>
    <s v="Instituto Nacional de Estadísticas (INE)"/>
    <x v="1713"/>
    <s v="El Índice de Fabricación de Productos Farmacéuticos es la división 21 del Índice de Producción Manufacturera. A nivel nacional, el mínimo se registró en febrero de 2015, con un valor de 75,5, mientras que el máximo ocurrió en marzo de 2020, con 217,2. El promedio en este período es de 124,9."/>
    <s v="Gráfico de Evolución"/>
    <s v="índice fabricación producción productos farmacéuticos medicinal botánicos sustancias químicas manufactura manufacturera nacional chile"/>
    <x v="1356"/>
    <n v="0"/>
    <s v="#1774B253"/>
    <s v="990-1731"/>
    <n v="99100000"/>
    <s v="T-1078"/>
    <s v="C-1026"/>
    <s v="FI-1010"/>
    <s v="M-1148"/>
  </r>
  <r>
    <x v="1731"/>
    <n v="990"/>
    <x v="0"/>
    <x v="10"/>
    <n v="0"/>
    <x v="86"/>
    <x v="34"/>
    <x v="0"/>
    <x v="0"/>
    <s v="Región-Fecha"/>
    <s v="índice de Fabricación de Sustancias y Productos Químicos"/>
    <s v="Periodo 2014-2021"/>
    <s v="Índice"/>
    <s v="Instituto Nacional de Estadísticas (INE)"/>
    <x v="1714"/>
    <s v="El Índice de Fabricación de Sustancias y Productos Químicos es la división 20 del Índice de Producción Manufacturera. A nivel nacional, el mínimo se registró en febrero de 2014, con un valor de 82,9, mientras que el máximo ocurrió en enero de 2018, con 149,1. El promedio en este período es de 114,2."/>
    <s v="Gráfico de Evolución"/>
    <s v="índice fabricación producción sustancias químicas productos nacional chile manufactura manufacturera"/>
    <x v="1357"/>
    <s v="300-R"/>
    <s v="#1774B254"/>
    <s v="990-1732"/>
    <n v="99100000"/>
    <s v="T-1078"/>
    <s v="C-1026"/>
    <s v="FI-1011"/>
    <s v="M-1149"/>
  </r>
  <r>
    <x v="1732"/>
    <n v="990"/>
    <x v="0"/>
    <x v="10"/>
    <n v="5"/>
    <x v="86"/>
    <x v="34"/>
    <x v="1"/>
    <x v="5"/>
    <s v="Fecha"/>
    <s v="índice de Fabricación de Sustancias y Productos Químicos"/>
    <s v="Periodo 2014-2021"/>
    <s v="Índice"/>
    <s v="Instituto Nacional de Estadísticas (INE)"/>
    <x v="1715"/>
    <s v="El Índice de Fabricación de Sustancias y Productos Químicos es la división 20 del Índice de Producción Manufacturera. En la Región de Valparaíso, el mínimo se registró en abril de 2020, con un valor de 67,8, mientras que el máximo ocurrió en septiembre de 2016, con 133,3. El promedio en este período es de 105,0."/>
    <s v="Gráfico de Evolución"/>
    <s v="índice fabricación producción sustancias químicas productos manufactura manufacturera región valparaíso"/>
    <x v="1358"/>
    <s v="100-R-5"/>
    <s v="#1774B255"/>
    <s v="990-1733"/>
    <n v="99200005"/>
    <s v="T-1078"/>
    <s v="C-1026"/>
    <s v="FI-1010"/>
    <s v="M-1149"/>
  </r>
  <r>
    <x v="1733"/>
    <n v="990"/>
    <x v="0"/>
    <x v="10"/>
    <n v="6"/>
    <x v="86"/>
    <x v="34"/>
    <x v="1"/>
    <x v="6"/>
    <s v="Fecha"/>
    <s v="índice de Fabricación de Sustancias y Productos Químicos"/>
    <s v="Periodo 2014-2021"/>
    <s v="Índice"/>
    <s v="Instituto Nacional de Estadísticas (INE)"/>
    <x v="1716"/>
    <s v="El Índice de Fabricación de Sustancias y Productos Químicos es la división 20 del Índice de Producción Manufacturera. En la Región de O'Higgins, el mínimo se registró en julio de 2018, con un valor de 63,2, mientras que el máximo ocurrió en noviembre de 2016, con 234,8. El promedio en este período es de 121,4."/>
    <s v="Gráfico de Evolución"/>
    <s v="índice fabricación producción sustancias químicas productos manufactura manufacturera región ohiggins"/>
    <x v="1359"/>
    <s v="100-R-6"/>
    <s v="#1774B256"/>
    <s v="990-1734"/>
    <n v="99200006"/>
    <s v="T-1078"/>
    <s v="C-1026"/>
    <s v="FI-1010"/>
    <s v="M-1149"/>
  </r>
  <r>
    <x v="1734"/>
    <n v="990"/>
    <x v="0"/>
    <x v="10"/>
    <n v="8"/>
    <x v="86"/>
    <x v="34"/>
    <x v="1"/>
    <x v="8"/>
    <s v="Fecha"/>
    <s v="índice de Fabricación de Sustancias y Productos Químicos"/>
    <s v="Periodo 2014-2021"/>
    <s v="Índice"/>
    <s v="Instituto Nacional de Estadísticas (INE)"/>
    <x v="1717"/>
    <s v="El Índice de Fabricación de Sustancias y Productos Químicos es la división 20 del Índice de Producción Manufacturera. En la Región del Biobío, el mínimo se registró en febrero de 2015, con un valor de 74,7, mientras que el máximo ocurrió en marzo de 2019, con 150,0. El promedio en este período es de 116,2."/>
    <s v="Gráfico de Evolución"/>
    <s v="índice fabricación producción sustancias químicas productos manufactura manufacturera región biobío"/>
    <x v="1360"/>
    <s v="100-R-8"/>
    <s v="#1774B257"/>
    <s v="990-1735"/>
    <n v="99200008"/>
    <s v="T-1078"/>
    <s v="C-1026"/>
    <s v="FI-1010"/>
    <s v="M-1149"/>
  </r>
  <r>
    <x v="1735"/>
    <n v="990"/>
    <x v="0"/>
    <x v="13"/>
    <n v="0"/>
    <x v="88"/>
    <x v="36"/>
    <x v="0"/>
    <x v="0"/>
    <s v="Región-Fecha"/>
    <s v="Pasada de vehículos por plazas de peajes y pórticos de autopistas interurbanas"/>
    <s v="Periodo 2014-2021"/>
    <s v="Número de vehículos"/>
    <s v="Ministerio de Transportes y Telecomunicaciones"/>
    <x v="1718"/>
    <s v="En el año 2021, desde enero a mayo, han pasado un promedio de 23.434.059 vehículos por plazas de peaje y pórticos de autopistas interurbanas, con un peak de 25.522.598 vehículos en febrero y un mínimo de 18.913.170 vehículos en abril."/>
    <s v="Gráfico de Evolución"/>
    <s v="vehículos autos peaje pórtico autopistas interurbanas nacional chile"/>
    <x v="1361"/>
    <s v="300-R"/>
    <s v="#1774B258"/>
    <s v="990-1736"/>
    <n v="99100000"/>
    <s v="T-1080"/>
    <s v="C-1028"/>
    <s v="FI-1011"/>
    <s v="M-1150"/>
  </r>
  <r>
    <x v="1736"/>
    <n v="990"/>
    <x v="0"/>
    <x v="13"/>
    <n v="5"/>
    <x v="88"/>
    <x v="36"/>
    <x v="1"/>
    <x v="5"/>
    <s v="Fecha"/>
    <s v="Pasada de vehículos por plazas de peajes y pórticos de autopistas interurbanas"/>
    <s v="Periodo 2014-2021"/>
    <s v="Número de vehículos"/>
    <s v="Ministerio de Transportes y Telecomunicaciones"/>
    <x v="1719"/>
    <s v="En la Región de Valparaíso, en el año 2021 (enero a mayo), han pasado un promedio de 4.239.399 vehículos por plazas de peaje y pórticos de autopistas interurbanas, con un peak de 5.326.564 vehículos en febrero y un mínimo de 2.993.343 vehículos en abril."/>
    <s v="Gráfico de Evolución"/>
    <s v="vehículos autos peaje pórtico autopistas interurbanas región valparaíso"/>
    <x v="1362"/>
    <s v="100-R-5"/>
    <s v="#1774B259"/>
    <s v="990-1737"/>
    <n v="99200005"/>
    <s v="T-1080"/>
    <s v="C-1028"/>
    <s v="FI-1010"/>
    <s v="M-1150"/>
  </r>
  <r>
    <x v="1737"/>
    <n v="990"/>
    <x v="0"/>
    <x v="13"/>
    <n v="8"/>
    <x v="88"/>
    <x v="36"/>
    <x v="1"/>
    <x v="8"/>
    <s v="Fecha"/>
    <s v="Pasada de vehículos por plazas de peajes y pórticos de autopistas interurbanas"/>
    <s v="Periodo 2014-2021"/>
    <s v="Número de vehículos"/>
    <s v="Ministerio de Transportes y Telecomunicaciones"/>
    <x v="1720"/>
    <s v="En la Región del Biobío, en el año 2021 (enero a mayo), han pasado un promedio de 3.006.188 vehículos por plazas de peaje y pórticos de autopistas interurbanas, con un peak de 3.314.211 vehículos en febrero y un mínimo de 2.543.750 vehículos en abril."/>
    <s v="Gráfico de Evolución"/>
    <s v="vehículos autos peaje pórtico autopistas interurbanas región biobío"/>
    <x v="1363"/>
    <s v="100-R-8"/>
    <s v="#1774B260"/>
    <s v="990-1738"/>
    <n v="99200008"/>
    <s v="T-1080"/>
    <s v="C-1028"/>
    <s v="FI-1010"/>
    <s v="M-1150"/>
  </r>
  <r>
    <x v="1738"/>
    <n v="990"/>
    <x v="0"/>
    <x v="13"/>
    <n v="13"/>
    <x v="88"/>
    <x v="36"/>
    <x v="1"/>
    <x v="13"/>
    <s v="Fecha"/>
    <s v="Pasada de vehículos por plazas de peajes y pórticos de autopistas interurbanas"/>
    <s v="Periodo 2014-2021"/>
    <s v="Número de vehículos"/>
    <s v="Ministerio de Transportes y Telecomunicaciones"/>
    <x v="1721"/>
    <s v="En la Región Metropolitana, en el año 2021 (enero a mayo), han pasado un promedio de 19.134.628 vehículos por plazas de peaje y pórticos de autopistas interurbanas, con un peak de 20.868.753 vehículos en febrero y un mínimo de 15.334.137 vehículos en abril."/>
    <s v="Gráfico de Evolución"/>
    <s v="vehículos autos peaje pórtico autopistas interurbanas región metropolitana"/>
    <x v="1364"/>
    <s v="200-R-13"/>
    <s v="#1774B261"/>
    <s v="990-1739"/>
    <n v="99200013"/>
    <s v="T-1080"/>
    <s v="C-1028"/>
    <s v="FI-1010"/>
    <s v="M-1150"/>
  </r>
  <r>
    <x v="1739"/>
    <n v="990"/>
    <x v="0"/>
    <x v="13"/>
    <n v="16"/>
    <x v="88"/>
    <x v="36"/>
    <x v="1"/>
    <x v="16"/>
    <s v="Fecha"/>
    <s v="Pasada de vehículos por plazas de peajes y pórticos de autopistas interurbanas"/>
    <s v="Periodo 2014-2021"/>
    <s v="Número de vehículos"/>
    <s v="Ministerio de Transportes y Telecomunicaciones"/>
    <x v="1722"/>
    <s v="En la Región de Ñuble, en el año 2021 (enero a mayo), han pasado un promedio de 1.293.243 vehículos por plazas de peaje y pórticos de autopistas interurbanas, con un peak de 1.425.952 vehículos en enero y un mínimo de 1.035.283 vehículos en abril."/>
    <s v="Gráfico de Evolución"/>
    <s v="vehículos autos peaje pórtico autopistas interurbanas región ñuble"/>
    <x v="1365"/>
    <s v="100-R-16"/>
    <s v="#1774B262"/>
    <s v="990-1740"/>
    <n v="99200016"/>
    <s v="T-1080"/>
    <s v="C-1028"/>
    <s v="FI-1010"/>
    <s v="M-1150"/>
  </r>
  <r>
    <x v="1740"/>
    <n v="990"/>
    <x v="0"/>
    <x v="13"/>
    <n v="0"/>
    <x v="89"/>
    <x v="22"/>
    <x v="0"/>
    <x v="0"/>
    <s v="Región-Fecha"/>
    <s v="Parque vehicular de taxis"/>
    <s v="Periodo 2014-2021"/>
    <s v="Número de vehículos"/>
    <s v="Ministerio de Transportes y Telecomunicaciones"/>
    <x v="1723"/>
    <s v="En este período, el parque vehicular de taxis a nivel nacional alcanzó su mínimo en marzo de 2014, con 89.695 vehículos. Al contrario, el máximo se registró en junio de 2016, con 92.004 taxis. El promedio nacional es de 91.087 vehículos, el cual está por sobre el último valor registrado en marzo de 2021, que fue de 89.890."/>
    <s v="Gráfico de Evolución"/>
    <s v="taxis parque vehicular cantidad vehículos transporte nacional chile"/>
    <x v="1366"/>
    <s v="300-R"/>
    <s v="#1774B263"/>
    <s v="990-1741"/>
    <n v="99100000"/>
    <s v="T-1081"/>
    <s v="C-1003"/>
    <s v="FI-1011"/>
    <s v="M-1151"/>
  </r>
  <r>
    <x v="1741"/>
    <n v="990"/>
    <x v="0"/>
    <x v="13"/>
    <n v="1"/>
    <x v="89"/>
    <x v="22"/>
    <x v="1"/>
    <x v="1"/>
    <s v="Fecha"/>
    <s v="Parque vehicular de taxis"/>
    <s v="Periodo 2014-2021"/>
    <s v="Número de vehículos"/>
    <s v="Ministerio de Transportes y Telecomunicaciones"/>
    <x v="1724"/>
    <m/>
    <s v="Gráfico de Evolución"/>
    <s v="taxis parque vehicular cantidad vehículos transporte región tarapacá"/>
    <x v="1367"/>
    <s v="100-R-1"/>
    <s v="#1774B264"/>
    <s v="990-1742"/>
    <n v="99200001"/>
    <s v="T-1081"/>
    <s v="C-1003"/>
    <s v="FI-1010"/>
    <s v="M-1151"/>
  </r>
  <r>
    <x v="1742"/>
    <n v="990"/>
    <x v="0"/>
    <x v="13"/>
    <n v="2"/>
    <x v="89"/>
    <x v="22"/>
    <x v="1"/>
    <x v="2"/>
    <s v="Fecha"/>
    <s v="Parque vehicular de taxis"/>
    <s v="Periodo 2014-2021"/>
    <s v="Número de vehículos"/>
    <s v="Ministerio de Transportes y Telecomunicaciones"/>
    <x v="1725"/>
    <m/>
    <s v="Gráfico de Evolución"/>
    <s v="taxis parque vehicular cantidad vehículos transporte región antofagasta"/>
    <x v="1368"/>
    <s v="100-R-2"/>
    <s v="#1774B265"/>
    <s v="990-1743"/>
    <n v="99200002"/>
    <s v="T-1081"/>
    <s v="C-1003"/>
    <s v="FI-1010"/>
    <s v="M-1151"/>
  </r>
  <r>
    <x v="1743"/>
    <n v="990"/>
    <x v="0"/>
    <x v="13"/>
    <n v="3"/>
    <x v="89"/>
    <x v="22"/>
    <x v="1"/>
    <x v="3"/>
    <s v="Fecha"/>
    <s v="Parque vehicular de taxis"/>
    <s v="Periodo 2014-2021"/>
    <s v="Número de vehículos"/>
    <s v="Ministerio de Transportes y Telecomunicaciones"/>
    <x v="1726"/>
    <m/>
    <s v="Gráfico de Evolución"/>
    <s v="taxis parque vehicular cantidad vehículos transporte región atacama"/>
    <x v="1369"/>
    <s v="100-R-3"/>
    <s v="#1774B266"/>
    <s v="990-1744"/>
    <n v="99200003"/>
    <s v="T-1081"/>
    <s v="C-1003"/>
    <s v="FI-1010"/>
    <s v="M-1151"/>
  </r>
  <r>
    <x v="1744"/>
    <n v="990"/>
    <x v="0"/>
    <x v="13"/>
    <n v="4"/>
    <x v="89"/>
    <x v="22"/>
    <x v="1"/>
    <x v="4"/>
    <s v="Fecha"/>
    <s v="Parque vehicular de taxis"/>
    <s v="Periodo 2014-2021"/>
    <s v="Número de vehículos"/>
    <s v="Ministerio de Transportes y Telecomunicaciones"/>
    <x v="1727"/>
    <m/>
    <s v="Gráfico de Evolución"/>
    <s v="taxis parque vehicular cantidad vehículos transporte región coquimbo"/>
    <x v="1370"/>
    <s v="100-R-4"/>
    <s v="#1774B267"/>
    <s v="990-1745"/>
    <n v="99200004"/>
    <s v="T-1081"/>
    <s v="C-1003"/>
    <s v="FI-1010"/>
    <s v="M-1151"/>
  </r>
  <r>
    <x v="1745"/>
    <n v="990"/>
    <x v="0"/>
    <x v="13"/>
    <n v="5"/>
    <x v="89"/>
    <x v="22"/>
    <x v="1"/>
    <x v="5"/>
    <s v="Fecha"/>
    <s v="Parque vehicular de taxis"/>
    <s v="Periodo 2014-2021"/>
    <s v="Número de vehículos"/>
    <s v="Ministerio de Transportes y Telecomunicaciones"/>
    <x v="1728"/>
    <m/>
    <s v="Gráfico de Evolución"/>
    <s v="taxis parque vehicular cantidad vehículos transporte región valparaíso"/>
    <x v="1371"/>
    <s v="100-R-5"/>
    <s v="#1774B268"/>
    <s v="990-1746"/>
    <n v="99200005"/>
    <s v="T-1081"/>
    <s v="C-1003"/>
    <s v="FI-1010"/>
    <s v="M-1151"/>
  </r>
  <r>
    <x v="1746"/>
    <n v="990"/>
    <x v="0"/>
    <x v="13"/>
    <n v="6"/>
    <x v="89"/>
    <x v="22"/>
    <x v="1"/>
    <x v="6"/>
    <s v="Fecha"/>
    <s v="Parque vehicular de taxis"/>
    <s v="Periodo 2014-2021"/>
    <s v="Número de vehículos"/>
    <s v="Ministerio de Transportes y Telecomunicaciones"/>
    <x v="1729"/>
    <m/>
    <s v="Gráfico de Evolución"/>
    <s v="taxis parque vehicular cantidad vehículos transporte región ohiggins"/>
    <x v="1372"/>
    <s v="100-R-6"/>
    <s v="#1774B269"/>
    <s v="990-1747"/>
    <n v="99200006"/>
    <s v="T-1081"/>
    <s v="C-1003"/>
    <s v="FI-1010"/>
    <s v="M-1151"/>
  </r>
  <r>
    <x v="1747"/>
    <n v="990"/>
    <x v="0"/>
    <x v="13"/>
    <n v="7"/>
    <x v="89"/>
    <x v="22"/>
    <x v="1"/>
    <x v="7"/>
    <s v="Fecha"/>
    <s v="Parque vehicular de taxis"/>
    <s v="Periodo 2014-2021"/>
    <s v="Número de vehículos"/>
    <s v="Ministerio de Transportes y Telecomunicaciones"/>
    <x v="1730"/>
    <m/>
    <s v="Gráfico de Evolución"/>
    <s v="taxis parque vehicular cantidad vehículos transporte región maule"/>
    <x v="1373"/>
    <s v="100-R-7"/>
    <s v="#1774B270"/>
    <s v="990-1748"/>
    <n v="99200007"/>
    <s v="T-1081"/>
    <s v="C-1003"/>
    <s v="FI-1010"/>
    <s v="M-1151"/>
  </r>
  <r>
    <x v="1748"/>
    <n v="990"/>
    <x v="0"/>
    <x v="13"/>
    <n v="8"/>
    <x v="89"/>
    <x v="22"/>
    <x v="1"/>
    <x v="8"/>
    <s v="Fecha"/>
    <s v="Parque vehicular de taxis"/>
    <s v="Periodo 2014-2021"/>
    <s v="Número de vehículos"/>
    <s v="Ministerio de Transportes y Telecomunicaciones"/>
    <x v="1731"/>
    <m/>
    <s v="Gráfico de Evolución"/>
    <s v="taxis parque vehicular cantidad vehículos transporte región biobío"/>
    <x v="1374"/>
    <s v="100-R-8"/>
    <s v="#1774B271"/>
    <s v="990-1749"/>
    <n v="99200008"/>
    <s v="T-1081"/>
    <s v="C-1003"/>
    <s v="FI-1010"/>
    <s v="M-1151"/>
  </r>
  <r>
    <x v="1749"/>
    <n v="990"/>
    <x v="0"/>
    <x v="13"/>
    <n v="9"/>
    <x v="89"/>
    <x v="22"/>
    <x v="1"/>
    <x v="9"/>
    <s v="Fecha"/>
    <s v="Parque vehicular de taxis"/>
    <s v="Periodo 2014-2021"/>
    <s v="Número de vehículos"/>
    <s v="Ministerio de Transportes y Telecomunicaciones"/>
    <x v="1732"/>
    <m/>
    <s v="Gráfico de Evolución"/>
    <s v="taxis parque vehicular cantidad vehículos transporte región araucanía"/>
    <x v="1375"/>
    <s v="100-R-9"/>
    <s v="#1774B272"/>
    <s v="990-1750"/>
    <n v="99200009"/>
    <s v="T-1081"/>
    <s v="C-1003"/>
    <s v="FI-1010"/>
    <s v="M-1151"/>
  </r>
  <r>
    <x v="1750"/>
    <n v="990"/>
    <x v="0"/>
    <x v="13"/>
    <n v="10"/>
    <x v="89"/>
    <x v="22"/>
    <x v="1"/>
    <x v="10"/>
    <s v="Fecha"/>
    <s v="Parque vehicular de taxis"/>
    <s v="Periodo 2014-2021"/>
    <s v="Número de vehículos"/>
    <s v="Ministerio de Transportes y Telecomunicaciones"/>
    <x v="1733"/>
    <m/>
    <s v="Gráfico de Evolución"/>
    <s v="taxis parque vehicular cantidad vehículos transporte región los lagos"/>
    <x v="1376"/>
    <s v="100-R-10"/>
    <s v="#1774B273"/>
    <s v="990-1751"/>
    <n v="99200010"/>
    <s v="T-1081"/>
    <s v="C-1003"/>
    <s v="FI-1010"/>
    <s v="M-1151"/>
  </r>
  <r>
    <x v="1751"/>
    <n v="990"/>
    <x v="0"/>
    <x v="13"/>
    <n v="11"/>
    <x v="89"/>
    <x v="22"/>
    <x v="1"/>
    <x v="11"/>
    <s v="Fecha"/>
    <s v="Parque vehicular de taxis"/>
    <s v="Periodo 2014-2021"/>
    <s v="Número de vehículos"/>
    <s v="Ministerio de Transportes y Telecomunicaciones"/>
    <x v="1734"/>
    <m/>
    <s v="Gráfico de Evolución"/>
    <s v="taxis parque vehicular cantidad vehículos transporte región aysén"/>
    <x v="1377"/>
    <s v="100-R-11"/>
    <s v="#1774B274"/>
    <s v="990-1752"/>
    <n v="99200011"/>
    <s v="T-1081"/>
    <s v="C-1003"/>
    <s v="FI-1010"/>
    <s v="M-1151"/>
  </r>
  <r>
    <x v="1752"/>
    <n v="990"/>
    <x v="0"/>
    <x v="13"/>
    <n v="12"/>
    <x v="89"/>
    <x v="22"/>
    <x v="1"/>
    <x v="12"/>
    <s v="Fecha"/>
    <s v="Parque vehicular de taxis"/>
    <s v="Periodo 2014-2021"/>
    <s v="Número de vehículos"/>
    <s v="Ministerio de Transportes y Telecomunicaciones"/>
    <x v="1735"/>
    <m/>
    <s v="Gráfico de Evolución"/>
    <s v="taxis parque vehicular cantidad vehículos transporte región magallanes"/>
    <x v="1378"/>
    <s v="100-R-12"/>
    <s v="#1774B275"/>
    <s v="990-1753"/>
    <n v="99200012"/>
    <s v="T-1081"/>
    <s v="C-1003"/>
    <s v="FI-1010"/>
    <s v="M-1151"/>
  </r>
  <r>
    <x v="1753"/>
    <n v="990"/>
    <x v="0"/>
    <x v="13"/>
    <n v="13"/>
    <x v="89"/>
    <x v="22"/>
    <x v="1"/>
    <x v="13"/>
    <s v="Fecha"/>
    <s v="Parque vehicular de taxis"/>
    <s v="Periodo 2014-2021"/>
    <s v="Número de vehículos"/>
    <s v="Ministerio de Transportes y Telecomunicaciones"/>
    <x v="1736"/>
    <m/>
    <s v="Gráfico de Evolución"/>
    <s v="taxis parque vehicular cantidad vehículos transporte región metropolitana"/>
    <x v="1379"/>
    <s v="200-R-13"/>
    <s v="#1774B276"/>
    <s v="990-1754"/>
    <n v="99200013"/>
    <s v="T-1081"/>
    <s v="C-1003"/>
    <s v="FI-1010"/>
    <s v="M-1151"/>
  </r>
  <r>
    <x v="1754"/>
    <n v="990"/>
    <x v="0"/>
    <x v="13"/>
    <n v="14"/>
    <x v="89"/>
    <x v="22"/>
    <x v="1"/>
    <x v="14"/>
    <s v="Fecha"/>
    <s v="Parque vehicular de taxis"/>
    <s v="Periodo 2014-2021"/>
    <s v="Número de vehículos"/>
    <s v="Ministerio de Transportes y Telecomunicaciones"/>
    <x v="1737"/>
    <m/>
    <s v="Gráfico de Evolución"/>
    <s v="taxis parque vehicular cantidad vehículos transporte región los ríos"/>
    <x v="1380"/>
    <s v="100-R-14"/>
    <s v="#1774B277"/>
    <s v="990-1755"/>
    <n v="99200014"/>
    <s v="T-1081"/>
    <s v="C-1003"/>
    <s v="FI-1010"/>
    <s v="M-1151"/>
  </r>
  <r>
    <x v="1755"/>
    <n v="990"/>
    <x v="0"/>
    <x v="13"/>
    <n v="15"/>
    <x v="89"/>
    <x v="22"/>
    <x v="1"/>
    <x v="15"/>
    <s v="Fecha"/>
    <s v="Parque vehicular de taxis"/>
    <s v="Periodo 2014-2021"/>
    <s v="Número de vehículos"/>
    <s v="Ministerio de Transportes y Telecomunicaciones"/>
    <x v="1738"/>
    <m/>
    <s v="Gráfico de Evolución"/>
    <s v="taxis parque vehicular cantidad vehículos transporte región arica parinacota"/>
    <x v="1381"/>
    <s v="100-R-15"/>
    <s v="#1774B278"/>
    <s v="990-1756"/>
    <n v="99200015"/>
    <s v="T-1081"/>
    <s v="C-1003"/>
    <s v="FI-1010"/>
    <s v="M-1151"/>
  </r>
  <r>
    <x v="1756"/>
    <n v="990"/>
    <x v="0"/>
    <x v="13"/>
    <n v="16"/>
    <x v="89"/>
    <x v="22"/>
    <x v="1"/>
    <x v="16"/>
    <s v="Fecha"/>
    <s v="Parque vehicular de taxis"/>
    <s v="Periodo 2014-2021"/>
    <s v="Número de vehículos"/>
    <s v="Ministerio de Transportes y Telecomunicaciones"/>
    <x v="1739"/>
    <m/>
    <s v="Gráfico de Evolución"/>
    <s v="taxis parque vehicular cantidad vehículos transporte región ñuble"/>
    <x v="1382"/>
    <s v="100-R-16"/>
    <s v="#1774B279"/>
    <s v="990-1757"/>
    <n v="99200016"/>
    <s v="T-1081"/>
    <s v="C-1003"/>
    <s v="FI-1010"/>
    <s v="M-1151"/>
  </r>
  <r>
    <x v="1757"/>
    <n v="990"/>
    <x v="0"/>
    <x v="13"/>
    <n v="0"/>
    <x v="90"/>
    <x v="37"/>
    <x v="0"/>
    <x v="0"/>
    <s v="Región-Fecha"/>
    <s v="Movimiento de Carga Portuaria"/>
    <s v="Periodo 2014-2021"/>
    <s v="Toneladas"/>
    <s v="Ministerio de Transportes y Telecomunicaciones"/>
    <x v="1740"/>
    <s v="En el periodo comprendido desde enero de 2014 a mayo de 2021, se registró un máximo de carga portuaria embarcada al exterior de 3.723.729 toneladas, en marzo de 2015. Al contrario, el mínimo se embarcó en enero de 2014, con 2.080.207 toneladas. El promedio en este periodo es de 3.048.613 toneladas."/>
    <s v="Gráfico de Evolución"/>
    <s v="movimiento transporte carga portuaria embarque exterior nacional chile"/>
    <x v="1383"/>
    <s v="300-R"/>
    <s v="#1774B280"/>
    <s v="990-1758"/>
    <n v="99100000"/>
    <s v="T-1082"/>
    <s v="C-1029"/>
    <s v="FI-1011"/>
    <s v="M-1152"/>
  </r>
  <r>
    <x v="1758"/>
    <n v="990"/>
    <x v="0"/>
    <x v="13"/>
    <n v="1"/>
    <x v="90"/>
    <x v="37"/>
    <x v="1"/>
    <x v="1"/>
    <s v="Fecha"/>
    <s v="Movimiento de Carga Portuaria"/>
    <s v="Periodo 2014-2021"/>
    <s v="Toneladas"/>
    <s v="Ministerio de Transportes y Telecomunicaciones"/>
    <x v="1741"/>
    <m/>
    <s v="Gráfico de Evolución"/>
    <s v="movimiento transporte carga portuaria embarque exterior región tarapacá"/>
    <x v="1384"/>
    <s v="100-R-1"/>
    <s v="#1774B281"/>
    <s v="990-1759"/>
    <n v="99200001"/>
    <s v="T-1082"/>
    <s v="C-1029"/>
    <s v="FI-1010"/>
    <s v="M-1152"/>
  </r>
  <r>
    <x v="1759"/>
    <n v="990"/>
    <x v="0"/>
    <x v="13"/>
    <n v="5"/>
    <x v="90"/>
    <x v="37"/>
    <x v="1"/>
    <x v="5"/>
    <s v="Fecha"/>
    <s v="Movimiento de Carga Portuaria"/>
    <s v="Periodo 2014-2021"/>
    <s v="Toneladas"/>
    <s v="Ministerio de Transportes y Telecomunicaciones"/>
    <x v="1742"/>
    <m/>
    <s v="Gráfico de Evolución"/>
    <s v="movimiento transporte carga portuaria embarque exterior región valparaíso"/>
    <x v="1385"/>
    <s v="100-R-5"/>
    <s v="#1774B282"/>
    <s v="990-1760"/>
    <n v="99200005"/>
    <s v="T-1082"/>
    <s v="C-1029"/>
    <s v="FI-1010"/>
    <s v="M-1152"/>
  </r>
  <r>
    <x v="1760"/>
    <n v="990"/>
    <x v="0"/>
    <x v="13"/>
    <n v="8"/>
    <x v="90"/>
    <x v="37"/>
    <x v="1"/>
    <x v="8"/>
    <s v="Fecha"/>
    <s v="Movimiento de Carga Portuaria"/>
    <s v="Periodo 2014-2021"/>
    <s v="Toneladas"/>
    <s v="Ministerio de Transportes y Telecomunicaciones"/>
    <x v="1743"/>
    <m/>
    <s v="Gráfico de Evolución"/>
    <s v="movimiento transporte carga portuaria embarque exterior región biobío"/>
    <x v="1386"/>
    <s v="100-R-8"/>
    <s v="#1774B283"/>
    <s v="990-1761"/>
    <n v="99200008"/>
    <s v="T-1082"/>
    <s v="C-1029"/>
    <s v="FI-1010"/>
    <s v="M-1152"/>
  </r>
  <r>
    <x v="1761"/>
    <n v="990"/>
    <x v="0"/>
    <x v="9"/>
    <n v="0"/>
    <x v="91"/>
    <x v="23"/>
    <x v="0"/>
    <x v="0"/>
    <s v="Fecha"/>
    <s v="Superficie Autorizada Habitacional de Obras Nuevas"/>
    <s v="Periodo 2014-2021"/>
    <s v="Metros cuadrados"/>
    <s v="Instituto Nacional de Estadísticas (INE)"/>
    <x v="1744"/>
    <s v="En el periodo comprendido entre enero de 2014 y mayo de 2021, se registró un peak de superficie autorizada habitacional para la construcción de obras nuevas de 198.694 metros cuadrados, en el mes de diciembre de 2015. Este valor es 3,1 veces más grande que el promedio del periodo completo, el cual es de 63.968 metros cuadrados."/>
    <s v="Gráfico de Evolución"/>
    <s v="superficie autorizada habitacional obras nuevas vivienda construcción nacional chile"/>
    <x v="1387"/>
    <s v="300-R"/>
    <s v="#1774B284"/>
    <s v="990-1762"/>
    <n v="99100000"/>
    <s v="T-1083"/>
    <s v="C-1011"/>
    <s v="FI-1010"/>
    <s v="M-1153"/>
  </r>
  <r>
    <x v="1762"/>
    <n v="990"/>
    <x v="0"/>
    <x v="9"/>
    <n v="1"/>
    <x v="91"/>
    <x v="23"/>
    <x v="1"/>
    <x v="1"/>
    <s v="Región-Fecha"/>
    <s v="Superficie Autorizada Habitacional de Obras Nuevas"/>
    <s v="Periodo 2014-2021"/>
    <s v="Metros cuadrados"/>
    <s v="Instituto Nacional de Estadísticas (INE)"/>
    <x v="1745"/>
    <m/>
    <s v="Gráfico de Evolución"/>
    <s v="superficie autorizada habitacional obras nuevas vivienda construcción región tarapacá"/>
    <x v="1388"/>
    <s v="100-R-1"/>
    <s v="#1774B285"/>
    <s v="990-1763"/>
    <n v="99200001"/>
    <s v="T-1083"/>
    <s v="C-1011"/>
    <s v="FI-1011"/>
    <s v="M-1153"/>
  </r>
  <r>
    <x v="1763"/>
    <n v="990"/>
    <x v="0"/>
    <x v="9"/>
    <n v="2"/>
    <x v="91"/>
    <x v="23"/>
    <x v="1"/>
    <x v="2"/>
    <s v="Fecha"/>
    <s v="Superficie Autorizada Habitacional de Obras Nuevas"/>
    <s v="Periodo 2014-2021"/>
    <s v="Metros cuadrados"/>
    <s v="Instituto Nacional de Estadísticas (INE)"/>
    <x v="1746"/>
    <m/>
    <s v="Gráfico de Evolución"/>
    <s v="superficie autorizada habitacional obras nuevas vivienda construcción región antofagasta"/>
    <x v="1389"/>
    <s v="100-R-2"/>
    <s v="#1774B286"/>
    <s v="990-1764"/>
    <n v="99200002"/>
    <s v="T-1083"/>
    <s v="C-1011"/>
    <s v="FI-1010"/>
    <s v="M-1153"/>
  </r>
  <r>
    <x v="1764"/>
    <n v="990"/>
    <x v="0"/>
    <x v="9"/>
    <n v="3"/>
    <x v="91"/>
    <x v="23"/>
    <x v="1"/>
    <x v="3"/>
    <s v="Fecha"/>
    <s v="Superficie Autorizada Habitacional de Obras Nuevas"/>
    <s v="Periodo 2014-2021"/>
    <s v="Metros cuadrados"/>
    <s v="Instituto Nacional de Estadísticas (INE)"/>
    <x v="1747"/>
    <m/>
    <s v="Gráfico de Evolución"/>
    <s v="superficie autorizada habitacional obras nuevas vivienda construcción región atacama"/>
    <x v="1390"/>
    <s v="100-R-3"/>
    <s v="#1774B287"/>
    <s v="990-1765"/>
    <n v="99200003"/>
    <s v="T-1083"/>
    <s v="C-1011"/>
    <s v="FI-1010"/>
    <s v="M-1153"/>
  </r>
  <r>
    <x v="1765"/>
    <n v="990"/>
    <x v="0"/>
    <x v="9"/>
    <n v="4"/>
    <x v="91"/>
    <x v="23"/>
    <x v="1"/>
    <x v="4"/>
    <s v="Fecha"/>
    <s v="Superficie Autorizada Habitacional de Obras Nuevas"/>
    <s v="Periodo 2014-2021"/>
    <s v="Metros cuadrados"/>
    <s v="Instituto Nacional de Estadísticas (INE)"/>
    <x v="1748"/>
    <m/>
    <s v="Gráfico de Evolución"/>
    <s v="superficie autorizada habitacional obras nuevas vivienda construcción región coquimbo"/>
    <x v="1391"/>
    <s v="100-R-4"/>
    <s v="#1774B288"/>
    <s v="990-1766"/>
    <n v="99200004"/>
    <s v="T-1083"/>
    <s v="C-1011"/>
    <s v="FI-1010"/>
    <s v="M-1153"/>
  </r>
  <r>
    <x v="1766"/>
    <n v="990"/>
    <x v="0"/>
    <x v="9"/>
    <n v="5"/>
    <x v="91"/>
    <x v="23"/>
    <x v="1"/>
    <x v="5"/>
    <s v="Fecha"/>
    <s v="Superficie Autorizada Habitacional de Obras Nuevas"/>
    <s v="Periodo 2014-2021"/>
    <s v="Metros cuadrados"/>
    <s v="Instituto Nacional de Estadísticas (INE)"/>
    <x v="1749"/>
    <m/>
    <s v="Gráfico de Evolución"/>
    <s v="superficie autorizada habitacional obras nuevas vivienda construcción región valparaíso"/>
    <x v="1392"/>
    <s v="100-R-5"/>
    <s v="#1774B289"/>
    <s v="990-1767"/>
    <n v="99200005"/>
    <s v="T-1083"/>
    <s v="C-1011"/>
    <s v="FI-1010"/>
    <s v="M-1153"/>
  </r>
  <r>
    <x v="1767"/>
    <n v="990"/>
    <x v="0"/>
    <x v="9"/>
    <n v="6"/>
    <x v="91"/>
    <x v="23"/>
    <x v="1"/>
    <x v="6"/>
    <s v="Fecha"/>
    <s v="Superficie Autorizada Habitacional de Obras Nuevas"/>
    <s v="Periodo 2014-2021"/>
    <s v="Metros cuadrados"/>
    <s v="Instituto Nacional de Estadísticas (INE)"/>
    <x v="1750"/>
    <m/>
    <s v="Gráfico de Evolución"/>
    <s v="superficie autorizada habitacional obras nuevas vivienda construcción región ohiggins"/>
    <x v="1393"/>
    <s v="100-R-6"/>
    <s v="#1774B290"/>
    <s v="990-1768"/>
    <n v="99200006"/>
    <s v="T-1083"/>
    <s v="C-1011"/>
    <s v="FI-1010"/>
    <s v="M-1153"/>
  </r>
  <r>
    <x v="1768"/>
    <n v="990"/>
    <x v="0"/>
    <x v="9"/>
    <n v="7"/>
    <x v="91"/>
    <x v="23"/>
    <x v="1"/>
    <x v="7"/>
    <s v="Fecha"/>
    <s v="Superficie Autorizada Habitacional de Obras Nuevas"/>
    <s v="Periodo 2014-2021"/>
    <s v="Metros cuadrados"/>
    <s v="Instituto Nacional de Estadísticas (INE)"/>
    <x v="1751"/>
    <m/>
    <s v="Gráfico de Evolución"/>
    <s v="superficie autorizada habitacional obras nuevas vivienda construcción región maule"/>
    <x v="1394"/>
    <s v="100-R-7"/>
    <s v="#1774B291"/>
    <s v="990-1769"/>
    <n v="99200007"/>
    <s v="T-1083"/>
    <s v="C-1011"/>
    <s v="FI-1010"/>
    <s v="M-1153"/>
  </r>
  <r>
    <x v="1769"/>
    <n v="990"/>
    <x v="0"/>
    <x v="9"/>
    <n v="8"/>
    <x v="91"/>
    <x v="23"/>
    <x v="1"/>
    <x v="8"/>
    <s v="Fecha"/>
    <s v="Superficie Autorizada Habitacional de Obras Nuevas"/>
    <s v="Periodo 2014-2021"/>
    <s v="Metros cuadrados"/>
    <s v="Instituto Nacional de Estadísticas (INE)"/>
    <x v="1752"/>
    <m/>
    <s v="Gráfico de Evolución"/>
    <s v="superficie autorizada habitacional obras nuevas vivienda construcción región biobío"/>
    <x v="1395"/>
    <s v="100-R-8"/>
    <s v="#1774B292"/>
    <s v="990-1770"/>
    <n v="99200008"/>
    <s v="T-1083"/>
    <s v="C-1011"/>
    <s v="FI-1010"/>
    <s v="M-1153"/>
  </r>
  <r>
    <x v="1770"/>
    <n v="990"/>
    <x v="0"/>
    <x v="9"/>
    <n v="9"/>
    <x v="91"/>
    <x v="23"/>
    <x v="1"/>
    <x v="9"/>
    <s v="Fecha"/>
    <s v="Superficie Autorizada Habitacional de Obras Nuevas"/>
    <s v="Periodo 2014-2021"/>
    <s v="Metros cuadrados"/>
    <s v="Instituto Nacional de Estadísticas (INE)"/>
    <x v="1753"/>
    <m/>
    <s v="Gráfico de Evolución"/>
    <s v="superficie autorizada habitacional obras nuevas vivienda construcción región araucanía"/>
    <x v="1396"/>
    <s v="100-R-9"/>
    <s v="#1774B293"/>
    <s v="990-1771"/>
    <n v="99200009"/>
    <s v="T-1083"/>
    <s v="C-1011"/>
    <s v="FI-1010"/>
    <s v="M-1153"/>
  </r>
  <r>
    <x v="1771"/>
    <n v="990"/>
    <x v="0"/>
    <x v="9"/>
    <n v="10"/>
    <x v="91"/>
    <x v="23"/>
    <x v="1"/>
    <x v="10"/>
    <s v="Fecha"/>
    <s v="Superficie Autorizada Habitacional de Obras Nuevas"/>
    <s v="Periodo 2014-2021"/>
    <s v="Metros cuadrados"/>
    <s v="Instituto Nacional de Estadísticas (INE)"/>
    <x v="1754"/>
    <m/>
    <s v="Gráfico de Evolución"/>
    <s v="superficie autorizada habitacional obras nuevas vivienda construcción región los lagos"/>
    <x v="1397"/>
    <s v="100-R-10"/>
    <s v="#1774B294"/>
    <s v="990-1772"/>
    <n v="99200010"/>
    <s v="T-1083"/>
    <s v="C-1011"/>
    <s v="FI-1010"/>
    <s v="M-1153"/>
  </r>
  <r>
    <x v="1772"/>
    <n v="990"/>
    <x v="0"/>
    <x v="9"/>
    <n v="11"/>
    <x v="91"/>
    <x v="23"/>
    <x v="1"/>
    <x v="11"/>
    <s v="Fecha"/>
    <s v="Superficie Autorizada Habitacional de Obras Nuevas"/>
    <s v="Periodo 2014-2021"/>
    <s v="Metros cuadrados"/>
    <s v="Instituto Nacional de Estadísticas (INE)"/>
    <x v="1755"/>
    <m/>
    <s v="Gráfico de Evolución"/>
    <s v="superficie autorizada habitacional obras nuevas vivienda construcción región aysén"/>
    <x v="1398"/>
    <s v="100-R-11"/>
    <s v="#1774B295"/>
    <s v="990-1773"/>
    <n v="99200011"/>
    <s v="T-1083"/>
    <s v="C-1011"/>
    <s v="FI-1010"/>
    <s v="M-1153"/>
  </r>
  <r>
    <x v="1773"/>
    <n v="990"/>
    <x v="0"/>
    <x v="9"/>
    <n v="12"/>
    <x v="91"/>
    <x v="23"/>
    <x v="1"/>
    <x v="12"/>
    <s v="Fecha"/>
    <s v="Superficie Autorizada Habitacional de Obras Nuevas"/>
    <s v="Periodo 2014-2021"/>
    <s v="Metros cuadrados"/>
    <s v="Instituto Nacional de Estadísticas (INE)"/>
    <x v="1756"/>
    <m/>
    <s v="Gráfico de Evolución"/>
    <s v="superficie autorizada habitacional obras nuevas vivienda construcción región magallanes"/>
    <x v="1399"/>
    <s v="100-R-12"/>
    <s v="#1774B296"/>
    <s v="990-1774"/>
    <n v="99200012"/>
    <s v="T-1083"/>
    <s v="C-1011"/>
    <s v="FI-1010"/>
    <s v="M-1153"/>
  </r>
  <r>
    <x v="1774"/>
    <n v="990"/>
    <x v="0"/>
    <x v="9"/>
    <n v="13"/>
    <x v="91"/>
    <x v="23"/>
    <x v="1"/>
    <x v="13"/>
    <s v="Fecha"/>
    <s v="Superficie Autorizada Habitacional de Obras Nuevas"/>
    <s v="Periodo 2014-2021"/>
    <s v="Metros cuadrados"/>
    <s v="Instituto Nacional de Estadísticas (INE)"/>
    <x v="1757"/>
    <m/>
    <s v="Gráfico de Evolución"/>
    <s v="superficie autorizada habitacional obras nuevas vivienda construcción región metropolitana"/>
    <x v="1400"/>
    <s v="200-R-13"/>
    <s v="#1774B297"/>
    <s v="990-1775"/>
    <n v="99200013"/>
    <s v="T-1083"/>
    <s v="C-1011"/>
    <s v="FI-1010"/>
    <s v="M-1153"/>
  </r>
  <r>
    <x v="1775"/>
    <n v="990"/>
    <x v="0"/>
    <x v="9"/>
    <n v="14"/>
    <x v="91"/>
    <x v="23"/>
    <x v="1"/>
    <x v="14"/>
    <s v="Fecha"/>
    <s v="Superficie Autorizada Habitacional de Obras Nuevas"/>
    <s v="Periodo 2014-2021"/>
    <s v="Metros cuadrados"/>
    <s v="Instituto Nacional de Estadísticas (INE)"/>
    <x v="1758"/>
    <m/>
    <s v="Gráfico de Evolución"/>
    <s v="superficie autorizada habitacional obras nuevas vivienda construcción región los ríos"/>
    <x v="1401"/>
    <s v="100-R-14"/>
    <s v="#1774B298"/>
    <s v="990-1776"/>
    <n v="99200014"/>
    <s v="T-1083"/>
    <s v="C-1011"/>
    <s v="FI-1010"/>
    <s v="M-1153"/>
  </r>
  <r>
    <x v="1776"/>
    <n v="990"/>
    <x v="0"/>
    <x v="9"/>
    <n v="15"/>
    <x v="91"/>
    <x v="23"/>
    <x v="1"/>
    <x v="15"/>
    <s v="Fecha"/>
    <s v="Superficie Autorizada Habitacional de Obras Nuevas"/>
    <s v="Periodo 2014-2021"/>
    <s v="Metros cuadrados"/>
    <s v="Instituto Nacional de Estadísticas (INE)"/>
    <x v="1759"/>
    <m/>
    <s v="Gráfico de Evolución"/>
    <s v="superficie autorizada habitacional obras nuevas vivienda construcción región arica parinacota"/>
    <x v="1402"/>
    <s v="100-R-15"/>
    <s v="#1774B299"/>
    <s v="990-1777"/>
    <n v="99200015"/>
    <s v="T-1083"/>
    <s v="C-1011"/>
    <s v="FI-1010"/>
    <s v="M-1153"/>
  </r>
  <r>
    <x v="1777"/>
    <n v="990"/>
    <x v="0"/>
    <x v="9"/>
    <n v="16"/>
    <x v="91"/>
    <x v="23"/>
    <x v="1"/>
    <x v="16"/>
    <s v="Fecha"/>
    <s v="Superficie Autorizada Habitacional de Obras Nuevas"/>
    <s v="Periodo 2014-2021"/>
    <s v="Metros cuadrados"/>
    <s v="Instituto Nacional de Estadísticas (INE)"/>
    <x v="1760"/>
    <m/>
    <s v="Gráfico de Evolución"/>
    <s v="superficie autorizada habitacional obras nuevas vivienda construcción región ñuble"/>
    <x v="1403"/>
    <s v="100-R-16"/>
    <s v="#1774B300"/>
    <s v="990-1778"/>
    <n v="99200016"/>
    <s v="T-1083"/>
    <s v="C-1011"/>
    <s v="FI-1010"/>
    <s v="M-1153"/>
  </r>
  <r>
    <x v="1778"/>
    <n v="990"/>
    <x v="0"/>
    <x v="9"/>
    <n v="0"/>
    <x v="92"/>
    <x v="23"/>
    <x v="0"/>
    <x v="0"/>
    <s v="Región-Fecha"/>
    <s v="Viviendas Autorizadas"/>
    <s v="Periodo 2014-2021"/>
    <s v="Número de viviendas autorizadas"/>
    <s v="Instituto Nacional de Estadísticas (INE)"/>
    <x v="1761"/>
    <s v="En el período indicado, la mayor cantidad de viviendas autorizadas a nivel país en un mes se registró en diciembre de 2015, con un total de 2.337 viviendas. Por el contrario, el número más bajo se dio en julio de 2020, con 423 viviendas. El promedio de autorizaciones en este período es de 886."/>
    <s v="Gráfico de Evolución"/>
    <s v="cantidad viviendas autorizadas vivienda nacional chile"/>
    <x v="1404"/>
    <s v="300-R"/>
    <s v="#1774B301"/>
    <s v="990-1779"/>
    <n v="99100000"/>
    <s v="T-1084"/>
    <s v="C-1011"/>
    <s v="FI-1011"/>
    <s v="M-1154"/>
  </r>
  <r>
    <x v="1779"/>
    <n v="990"/>
    <x v="0"/>
    <x v="9"/>
    <n v="1"/>
    <x v="92"/>
    <x v="23"/>
    <x v="1"/>
    <x v="1"/>
    <s v="Fecha"/>
    <s v="Viviendas Autorizadas"/>
    <s v="Periodo 2014-2021"/>
    <s v="Número de viviendas autorizadas"/>
    <s v="Instituto Nacional de Estadísticas (INE)"/>
    <x v="1762"/>
    <m/>
    <s v="Gráfico de Evolución"/>
    <s v="cantidad viviendas autorizadas vivienda región tarapacá"/>
    <x v="1405"/>
    <s v="100-R-1"/>
    <s v="#1774B302"/>
    <s v="990-1780"/>
    <n v="99200001"/>
    <s v="T-1084"/>
    <s v="C-1011"/>
    <s v="FI-1010"/>
    <s v="M-1154"/>
  </r>
  <r>
    <x v="1780"/>
    <n v="990"/>
    <x v="0"/>
    <x v="9"/>
    <n v="2"/>
    <x v="92"/>
    <x v="23"/>
    <x v="1"/>
    <x v="2"/>
    <s v="Fecha"/>
    <s v="Viviendas Autorizadas"/>
    <s v="Periodo 2014-2021"/>
    <s v="Número de viviendas autorizadas"/>
    <s v="Instituto Nacional de Estadísticas (INE)"/>
    <x v="1763"/>
    <m/>
    <s v="Gráfico de Evolución"/>
    <s v="cantidad viviendas autorizadas vivienda región antofagasta"/>
    <x v="1406"/>
    <s v="100-R-2"/>
    <s v="#1774B303"/>
    <s v="990-1781"/>
    <n v="99200002"/>
    <s v="T-1084"/>
    <s v="C-1011"/>
    <s v="FI-1010"/>
    <s v="M-1154"/>
  </r>
  <r>
    <x v="1781"/>
    <n v="990"/>
    <x v="0"/>
    <x v="9"/>
    <n v="3"/>
    <x v="92"/>
    <x v="23"/>
    <x v="1"/>
    <x v="3"/>
    <s v="Fecha"/>
    <s v="Viviendas Autorizadas"/>
    <s v="Periodo 2014-2021"/>
    <s v="Número de viviendas autorizadas"/>
    <s v="Instituto Nacional de Estadísticas (INE)"/>
    <x v="1764"/>
    <m/>
    <s v="Gráfico de Evolución"/>
    <s v="cantidad viviendas autorizadas vivienda región atacama"/>
    <x v="1407"/>
    <s v="100-R-3"/>
    <s v="#1774B304"/>
    <s v="990-1782"/>
    <n v="99200003"/>
    <s v="T-1084"/>
    <s v="C-1011"/>
    <s v="FI-1010"/>
    <s v="M-1154"/>
  </r>
  <r>
    <x v="1782"/>
    <n v="990"/>
    <x v="0"/>
    <x v="9"/>
    <n v="4"/>
    <x v="92"/>
    <x v="23"/>
    <x v="1"/>
    <x v="4"/>
    <s v="Fecha"/>
    <s v="Viviendas Autorizadas"/>
    <s v="Periodo 2014-2021"/>
    <s v="Número de viviendas autorizadas"/>
    <s v="Instituto Nacional de Estadísticas (INE)"/>
    <x v="1765"/>
    <m/>
    <s v="Gráfico de Evolución"/>
    <s v="cantidad viviendas autorizadas vivienda región coquimbo"/>
    <x v="1408"/>
    <s v="100-R-4"/>
    <s v="#1774B305"/>
    <s v="990-1783"/>
    <n v="99200004"/>
    <s v="T-1084"/>
    <s v="C-1011"/>
    <s v="FI-1010"/>
    <s v="M-1154"/>
  </r>
  <r>
    <x v="1783"/>
    <n v="990"/>
    <x v="0"/>
    <x v="9"/>
    <n v="5"/>
    <x v="92"/>
    <x v="23"/>
    <x v="1"/>
    <x v="5"/>
    <s v="Fecha"/>
    <s v="Viviendas Autorizadas"/>
    <s v="Periodo 2014-2021"/>
    <s v="Número de viviendas autorizadas"/>
    <s v="Instituto Nacional de Estadísticas (INE)"/>
    <x v="1766"/>
    <m/>
    <s v="Gráfico de Evolución"/>
    <s v="cantidad viviendas autorizadas vivienda región valparaíso"/>
    <x v="1409"/>
    <s v="100-R-5"/>
    <s v="#1774B306"/>
    <s v="990-1784"/>
    <n v="99200005"/>
    <s v="T-1084"/>
    <s v="C-1011"/>
    <s v="FI-1010"/>
    <s v="M-1154"/>
  </r>
  <r>
    <x v="1784"/>
    <n v="990"/>
    <x v="0"/>
    <x v="9"/>
    <n v="6"/>
    <x v="92"/>
    <x v="23"/>
    <x v="1"/>
    <x v="6"/>
    <s v="Fecha"/>
    <s v="Viviendas Autorizadas"/>
    <s v="Periodo 2014-2021"/>
    <s v="Número de viviendas autorizadas"/>
    <s v="Instituto Nacional de Estadísticas (INE)"/>
    <x v="1767"/>
    <m/>
    <s v="Gráfico de Evolución"/>
    <s v="cantidad viviendas autorizadas vivienda región ohiggins"/>
    <x v="1410"/>
    <s v="100-R-6"/>
    <s v="#1774B307"/>
    <s v="990-1785"/>
    <n v="99200006"/>
    <s v="T-1084"/>
    <s v="C-1011"/>
    <s v="FI-1010"/>
    <s v="M-1154"/>
  </r>
  <r>
    <x v="1785"/>
    <n v="990"/>
    <x v="0"/>
    <x v="9"/>
    <n v="7"/>
    <x v="92"/>
    <x v="23"/>
    <x v="1"/>
    <x v="7"/>
    <s v="Fecha"/>
    <s v="Viviendas Autorizadas"/>
    <s v="Periodo 2014-2021"/>
    <s v="Número de viviendas autorizadas"/>
    <s v="Instituto Nacional de Estadísticas (INE)"/>
    <x v="1768"/>
    <m/>
    <s v="Gráfico de Evolución"/>
    <s v="cantidad viviendas autorizadas vivienda región maule"/>
    <x v="1411"/>
    <s v="100-R-7"/>
    <s v="#1774B308"/>
    <s v="990-1786"/>
    <n v="99200007"/>
    <s v="T-1084"/>
    <s v="C-1011"/>
    <s v="FI-1010"/>
    <s v="M-1154"/>
  </r>
  <r>
    <x v="1786"/>
    <n v="990"/>
    <x v="0"/>
    <x v="9"/>
    <n v="8"/>
    <x v="92"/>
    <x v="23"/>
    <x v="1"/>
    <x v="8"/>
    <s v="Fecha"/>
    <s v="Viviendas Autorizadas"/>
    <s v="Periodo 2014-2021"/>
    <s v="Número de viviendas autorizadas"/>
    <s v="Instituto Nacional de Estadísticas (INE)"/>
    <x v="1769"/>
    <m/>
    <s v="Gráfico de Evolución"/>
    <s v="cantidad viviendas autorizadas vivienda región biobío"/>
    <x v="1412"/>
    <s v="100-R-8"/>
    <s v="#1774B309"/>
    <s v="990-1787"/>
    <n v="99200008"/>
    <s v="T-1084"/>
    <s v="C-1011"/>
    <s v="FI-1010"/>
    <s v="M-1154"/>
  </r>
  <r>
    <x v="1787"/>
    <n v="990"/>
    <x v="0"/>
    <x v="9"/>
    <n v="9"/>
    <x v="92"/>
    <x v="23"/>
    <x v="1"/>
    <x v="9"/>
    <s v="Fecha"/>
    <s v="Viviendas Autorizadas"/>
    <s v="Periodo 2014-2021"/>
    <s v="Número de viviendas autorizadas"/>
    <s v="Instituto Nacional de Estadísticas (INE)"/>
    <x v="1770"/>
    <m/>
    <s v="Gráfico de Evolución"/>
    <s v="cantidad viviendas autorizadas vivienda región araucanía"/>
    <x v="1413"/>
    <s v="100-R-9"/>
    <s v="#1774B310"/>
    <s v="990-1788"/>
    <n v="99200009"/>
    <s v="T-1084"/>
    <s v="C-1011"/>
    <s v="FI-1010"/>
    <s v="M-1154"/>
  </r>
  <r>
    <x v="1788"/>
    <n v="990"/>
    <x v="0"/>
    <x v="9"/>
    <n v="10"/>
    <x v="92"/>
    <x v="23"/>
    <x v="1"/>
    <x v="10"/>
    <s v="Fecha"/>
    <s v="Viviendas Autorizadas"/>
    <s v="Periodo 2014-2021"/>
    <s v="Número de viviendas autorizadas"/>
    <s v="Instituto Nacional de Estadísticas (INE)"/>
    <x v="1771"/>
    <m/>
    <s v="Gráfico de Evolución"/>
    <s v="cantidad viviendas autorizadas vivienda región los lagos"/>
    <x v="1414"/>
    <s v="100-R-10"/>
    <s v="#1774B311"/>
    <s v="990-1789"/>
    <n v="99200010"/>
    <s v="T-1084"/>
    <s v="C-1011"/>
    <s v="FI-1010"/>
    <s v="M-1154"/>
  </r>
  <r>
    <x v="1789"/>
    <n v="990"/>
    <x v="0"/>
    <x v="9"/>
    <n v="11"/>
    <x v="92"/>
    <x v="23"/>
    <x v="1"/>
    <x v="11"/>
    <s v="Fecha"/>
    <s v="Viviendas Autorizadas"/>
    <s v="Periodo 2014-2021"/>
    <s v="Número de viviendas autorizadas"/>
    <s v="Instituto Nacional de Estadísticas (INE)"/>
    <x v="1772"/>
    <m/>
    <s v="Gráfico de Evolución"/>
    <s v="cantidad viviendas autorizadas vivienda región aysén"/>
    <x v="1415"/>
    <s v="100-R-11"/>
    <s v="#1774B312"/>
    <s v="990-1790"/>
    <n v="99200011"/>
    <s v="T-1084"/>
    <s v="C-1011"/>
    <s v="FI-1010"/>
    <s v="M-1154"/>
  </r>
  <r>
    <x v="1790"/>
    <n v="990"/>
    <x v="0"/>
    <x v="9"/>
    <n v="12"/>
    <x v="92"/>
    <x v="23"/>
    <x v="1"/>
    <x v="12"/>
    <s v="Fecha"/>
    <s v="Viviendas Autorizadas"/>
    <s v="Periodo 2014-2021"/>
    <s v="Número de viviendas autorizadas"/>
    <s v="Instituto Nacional de Estadísticas (INE)"/>
    <x v="1773"/>
    <m/>
    <s v="Gráfico de Evolución"/>
    <s v="cantidad viviendas autorizadas vivienda región magallanes"/>
    <x v="1416"/>
    <s v="100-R-12"/>
    <s v="#1774B313"/>
    <s v="990-1791"/>
    <n v="99200012"/>
    <s v="T-1084"/>
    <s v="C-1011"/>
    <s v="FI-1010"/>
    <s v="M-1154"/>
  </r>
  <r>
    <x v="1791"/>
    <n v="990"/>
    <x v="0"/>
    <x v="9"/>
    <n v="13"/>
    <x v="92"/>
    <x v="23"/>
    <x v="1"/>
    <x v="13"/>
    <s v="Fecha"/>
    <s v="Viviendas Autorizadas"/>
    <s v="Periodo 2014-2021"/>
    <s v="Número de viviendas autorizadas"/>
    <s v="Instituto Nacional de Estadísticas (INE)"/>
    <x v="1774"/>
    <m/>
    <s v="Gráfico de Evolución"/>
    <s v="cantidad viviendas autorizadas vivienda región metropolitana"/>
    <x v="1417"/>
    <s v="200-R-13"/>
    <s v="#1774B314"/>
    <s v="990-1792"/>
    <n v="99200013"/>
    <s v="T-1084"/>
    <s v="C-1011"/>
    <s v="FI-1010"/>
    <s v="M-1154"/>
  </r>
  <r>
    <x v="1792"/>
    <n v="990"/>
    <x v="0"/>
    <x v="9"/>
    <n v="14"/>
    <x v="92"/>
    <x v="23"/>
    <x v="1"/>
    <x v="14"/>
    <s v="Fecha"/>
    <s v="Viviendas Autorizadas"/>
    <s v="Periodo 2014-2021"/>
    <s v="Número de viviendas autorizadas"/>
    <s v="Instituto Nacional de Estadísticas (INE)"/>
    <x v="1775"/>
    <m/>
    <s v="Gráfico de Evolución"/>
    <s v="cantidad viviendas autorizadas vivienda región los ríos"/>
    <x v="1418"/>
    <s v="100-R-14"/>
    <s v="#1774B315"/>
    <s v="990-1793"/>
    <n v="99200014"/>
    <s v="T-1084"/>
    <s v="C-1011"/>
    <s v="FI-1010"/>
    <s v="M-1154"/>
  </r>
  <r>
    <x v="1793"/>
    <n v="990"/>
    <x v="0"/>
    <x v="9"/>
    <n v="15"/>
    <x v="92"/>
    <x v="23"/>
    <x v="1"/>
    <x v="15"/>
    <s v="Fecha"/>
    <s v="Viviendas Autorizadas"/>
    <s v="Periodo 2014-2021"/>
    <s v="Número de viviendas autorizadas"/>
    <s v="Instituto Nacional de Estadísticas (INE)"/>
    <x v="1776"/>
    <m/>
    <s v="Gráfico de Evolución"/>
    <s v="cantidad viviendas autorizadas vivienda región arica parinacota"/>
    <x v="1419"/>
    <s v="100-R-15"/>
    <s v="#1774B316"/>
    <s v="990-1794"/>
    <n v="99200015"/>
    <s v="T-1084"/>
    <s v="C-1011"/>
    <s v="FI-1010"/>
    <s v="M-1154"/>
  </r>
  <r>
    <x v="1794"/>
    <n v="990"/>
    <x v="0"/>
    <x v="9"/>
    <n v="16"/>
    <x v="92"/>
    <x v="23"/>
    <x v="1"/>
    <x v="16"/>
    <s v="Fecha"/>
    <s v="Viviendas Autorizadas"/>
    <s v="Periodo 2014-2021"/>
    <s v="Número de viviendas autorizadas"/>
    <s v="Instituto Nacional de Estadísticas (INE)"/>
    <x v="1777"/>
    <m/>
    <s v="Gráfico de Evolución"/>
    <s v="cantidad viviendas autorizadas vivienda región ñuble"/>
    <x v="1420"/>
    <s v="100-R-16"/>
    <s v="#1774B317"/>
    <s v="990-1795"/>
    <n v="99200016"/>
    <s v="T-1084"/>
    <s v="C-1011"/>
    <s v="FI-1010"/>
    <s v="M-1154"/>
  </r>
  <r>
    <x v="1795"/>
    <n v="990"/>
    <x v="0"/>
    <x v="9"/>
    <n v="0"/>
    <x v="93"/>
    <x v="23"/>
    <x v="0"/>
    <x v="0"/>
    <s v="Región-Fecha"/>
    <s v="Superficie Autorizada No Habitacional de Ampliaciones ICEF"/>
    <s v="Periodo 2014-2021"/>
    <s v="Metros cuadrados"/>
    <s v="Instituto Nacional de Estadísticas (INE)"/>
    <x v="1778"/>
    <s v="En los primeros 5 meses del año 2021, la superficie autorizada no habitacional para la construcción de ampliaciones de la industria, comercio y establecimientos financieros tuvo un peak de 6.027 (m2) autorizados, correspondientes al mes de mayo. Para ese período, el promedio de superficie autorizada es de 4.070 (m2)."/>
    <s v="Gráfico de Evolución"/>
    <s v="superficie habitacional no autorizada ampliaciones icef industria comercio establecimientos financieros construcción nacional chile"/>
    <x v="1421"/>
    <s v="300-R"/>
    <s v="#1774B318"/>
    <s v="990-1796"/>
    <n v="99100000"/>
    <s v="T-1085"/>
    <s v="C-1011"/>
    <s v="FI-1011"/>
    <s v="M-1155"/>
  </r>
  <r>
    <x v="1796"/>
    <n v="990"/>
    <x v="0"/>
    <x v="9"/>
    <n v="1"/>
    <x v="93"/>
    <x v="23"/>
    <x v="1"/>
    <x v="1"/>
    <s v="Fecha"/>
    <s v="Superficie Autorizada No Habitacional de Ampliaciones ICEF"/>
    <s v="Periodo 2014-2021"/>
    <s v="Metros cuadrados"/>
    <s v="Instituto Nacional de Estadísticas (INE)"/>
    <x v="1779"/>
    <m/>
    <s v="Gráfico de Evolución"/>
    <s v="superficie habitacional no autorizada ampliaciones icef industria comercio establecimientos financieros construcción región tarapacá"/>
    <x v="1422"/>
    <s v="100-R-1"/>
    <s v="#1774B319"/>
    <s v="990-1797"/>
    <n v="99200001"/>
    <s v="T-1085"/>
    <s v="C-1011"/>
    <s v="FI-1010"/>
    <s v="M-1155"/>
  </r>
  <r>
    <x v="1797"/>
    <n v="990"/>
    <x v="0"/>
    <x v="9"/>
    <n v="2"/>
    <x v="93"/>
    <x v="23"/>
    <x v="1"/>
    <x v="2"/>
    <s v="Fecha"/>
    <s v="Superficie Autorizada No Habitacional de Ampliaciones ICEF"/>
    <s v="Periodo 2014-2021"/>
    <s v="Metros cuadrados"/>
    <s v="Instituto Nacional de Estadísticas (INE)"/>
    <x v="1780"/>
    <m/>
    <s v="Gráfico de Evolución"/>
    <s v="superficie habitacional no autorizada ampliaciones icef industria comercio establecimientos financieros construcción región antofagasta"/>
    <x v="1423"/>
    <s v="100-R-2"/>
    <s v="#1774B320"/>
    <s v="990-1798"/>
    <n v="99200002"/>
    <s v="T-1085"/>
    <s v="C-1011"/>
    <s v="FI-1010"/>
    <s v="M-1155"/>
  </r>
  <r>
    <x v="1798"/>
    <n v="990"/>
    <x v="0"/>
    <x v="9"/>
    <n v="3"/>
    <x v="93"/>
    <x v="23"/>
    <x v="1"/>
    <x v="3"/>
    <s v="Fecha"/>
    <s v="Superficie Autorizada No Habitacional de Ampliaciones ICEF"/>
    <s v="Periodo 2014-2021"/>
    <s v="Metros cuadrados"/>
    <s v="Instituto Nacional de Estadísticas (INE)"/>
    <x v="1781"/>
    <m/>
    <s v="Gráfico de Evolución"/>
    <s v="superficie habitacional no autorizada ampliaciones icef industria comercio establecimientos financieros construcción región atacama"/>
    <x v="1424"/>
    <s v="100-R-3"/>
    <s v="#1774B321"/>
    <s v="990-1799"/>
    <n v="99200003"/>
    <s v="T-1085"/>
    <s v="C-1011"/>
    <s v="FI-1010"/>
    <s v="M-1155"/>
  </r>
  <r>
    <x v="1799"/>
    <n v="990"/>
    <x v="0"/>
    <x v="9"/>
    <n v="4"/>
    <x v="93"/>
    <x v="23"/>
    <x v="1"/>
    <x v="4"/>
    <s v="Fecha"/>
    <s v="Superficie Autorizada No Habitacional de Ampliaciones ICEF"/>
    <s v="Periodo 2014-2021"/>
    <s v="Metros cuadrados"/>
    <s v="Instituto Nacional de Estadísticas (INE)"/>
    <x v="1782"/>
    <m/>
    <s v="Gráfico de Evolución"/>
    <s v="superficie habitacional no autorizada ampliaciones icef industria comercio establecimientos financieros construcción región coquimbo"/>
    <x v="1425"/>
    <s v="100-R-4"/>
    <s v="#1774B322"/>
    <s v="990-1800"/>
    <n v="99200004"/>
    <s v="T-1085"/>
    <s v="C-1011"/>
    <s v="FI-1010"/>
    <s v="M-1155"/>
  </r>
  <r>
    <x v="1800"/>
    <n v="990"/>
    <x v="0"/>
    <x v="9"/>
    <n v="5"/>
    <x v="93"/>
    <x v="23"/>
    <x v="1"/>
    <x v="5"/>
    <s v="Fecha"/>
    <s v="Superficie Autorizada No Habitacional de Ampliaciones ICEF"/>
    <s v="Periodo 2014-2021"/>
    <s v="Metros cuadrados"/>
    <s v="Instituto Nacional de Estadísticas (INE)"/>
    <x v="1783"/>
    <m/>
    <s v="Gráfico de Evolución"/>
    <s v="superficie habitacional no autorizada ampliaciones icef industria comercio establecimientos financieros construcción región valparaíso"/>
    <x v="1426"/>
    <s v="100-R-5"/>
    <s v="#1774B323"/>
    <s v="990-1801"/>
    <n v="99200005"/>
    <s v="T-1085"/>
    <s v="C-1011"/>
    <s v="FI-1010"/>
    <s v="M-1155"/>
  </r>
  <r>
    <x v="1801"/>
    <n v="990"/>
    <x v="0"/>
    <x v="9"/>
    <n v="6"/>
    <x v="93"/>
    <x v="23"/>
    <x v="1"/>
    <x v="6"/>
    <s v="Fecha"/>
    <s v="Superficie Autorizada No Habitacional de Ampliaciones ICEF"/>
    <s v="Periodo 2014-2021"/>
    <s v="Metros cuadrados"/>
    <s v="Instituto Nacional de Estadísticas (INE)"/>
    <x v="1784"/>
    <m/>
    <s v="Gráfico de Evolución"/>
    <s v="superficie habitacional no autorizada ampliaciones icef industria comercio establecimientos financieros construcción región ohiggins"/>
    <x v="1427"/>
    <s v="100-R-6"/>
    <s v="#1774B324"/>
    <s v="990-1802"/>
    <n v="99200006"/>
    <s v="T-1085"/>
    <s v="C-1011"/>
    <s v="FI-1010"/>
    <s v="M-1155"/>
  </r>
  <r>
    <x v="1802"/>
    <n v="990"/>
    <x v="0"/>
    <x v="9"/>
    <n v="7"/>
    <x v="93"/>
    <x v="23"/>
    <x v="1"/>
    <x v="7"/>
    <s v="Fecha"/>
    <s v="Superficie Autorizada No Habitacional de Ampliaciones ICEF"/>
    <s v="Periodo 2014-2021"/>
    <s v="Metros cuadrados"/>
    <s v="Instituto Nacional de Estadísticas (INE)"/>
    <x v="1785"/>
    <m/>
    <s v="Gráfico de Evolución"/>
    <s v="superficie habitacional no autorizada ampliaciones icef industria comercio establecimientos financieros construcción región maule"/>
    <x v="1428"/>
    <s v="100-R-7"/>
    <s v="#1774B325"/>
    <s v="990-1803"/>
    <n v="99200007"/>
    <s v="T-1085"/>
    <s v="C-1011"/>
    <s v="FI-1010"/>
    <s v="M-1155"/>
  </r>
  <r>
    <x v="1803"/>
    <n v="990"/>
    <x v="0"/>
    <x v="9"/>
    <n v="8"/>
    <x v="93"/>
    <x v="23"/>
    <x v="1"/>
    <x v="8"/>
    <s v="Fecha"/>
    <s v="Superficie Autorizada No Habitacional de Ampliaciones ICEF"/>
    <s v="Periodo 2014-2021"/>
    <s v="Metros cuadrados"/>
    <s v="Instituto Nacional de Estadísticas (INE)"/>
    <x v="1786"/>
    <m/>
    <s v="Gráfico de Evolución"/>
    <s v="superficie habitacional no autorizada ampliaciones icef industria comercio establecimientos financieros construcción región biobío"/>
    <x v="1429"/>
    <s v="100-R-8"/>
    <s v="#1774B326"/>
    <s v="990-1804"/>
    <n v="99200008"/>
    <s v="T-1085"/>
    <s v="C-1011"/>
    <s v="FI-1010"/>
    <s v="M-1155"/>
  </r>
  <r>
    <x v="1804"/>
    <n v="990"/>
    <x v="0"/>
    <x v="9"/>
    <n v="9"/>
    <x v="93"/>
    <x v="23"/>
    <x v="1"/>
    <x v="9"/>
    <s v="Fecha"/>
    <s v="Superficie Autorizada No Habitacional de Ampliaciones ICEF"/>
    <s v="Periodo 2014-2021"/>
    <s v="Metros cuadrados"/>
    <s v="Instituto Nacional de Estadísticas (INE)"/>
    <x v="1787"/>
    <m/>
    <s v="Gráfico de Evolución"/>
    <s v="superficie habitacional no autorizada ampliaciones icef industria comercio establecimientos financieros construcción región araucanía"/>
    <x v="1430"/>
    <s v="100-R-9"/>
    <s v="#1774B327"/>
    <s v="990-1805"/>
    <n v="99200009"/>
    <s v="T-1085"/>
    <s v="C-1011"/>
    <s v="FI-1010"/>
    <s v="M-1155"/>
  </r>
  <r>
    <x v="1805"/>
    <n v="990"/>
    <x v="0"/>
    <x v="9"/>
    <n v="10"/>
    <x v="93"/>
    <x v="23"/>
    <x v="1"/>
    <x v="10"/>
    <s v="Fecha"/>
    <s v="Superficie Autorizada No Habitacional de Ampliaciones ICEF"/>
    <s v="Periodo 2014-2021"/>
    <s v="Metros cuadrados"/>
    <s v="Instituto Nacional de Estadísticas (INE)"/>
    <x v="1788"/>
    <m/>
    <s v="Gráfico de Evolución"/>
    <s v="superficie habitacional no autorizada ampliaciones icef industria comercio establecimientos financieros construcción región los lagos"/>
    <x v="1431"/>
    <s v="100-R-10"/>
    <s v="#1774B328"/>
    <s v="990-1806"/>
    <n v="99200010"/>
    <s v="T-1085"/>
    <s v="C-1011"/>
    <s v="FI-1010"/>
    <s v="M-1155"/>
  </r>
  <r>
    <x v="1806"/>
    <n v="990"/>
    <x v="0"/>
    <x v="9"/>
    <n v="11"/>
    <x v="93"/>
    <x v="23"/>
    <x v="1"/>
    <x v="11"/>
    <s v="Fecha"/>
    <s v="Superficie Autorizada No Habitacional de Ampliaciones ICEF"/>
    <s v="Periodo 2014-2021"/>
    <s v="Metros cuadrados"/>
    <s v="Instituto Nacional de Estadísticas (INE)"/>
    <x v="1789"/>
    <m/>
    <s v="Gráfico de Evolución"/>
    <s v="superficie habitacional no autorizada ampliaciones icef industria comercio establecimientos financieros construcción región aysén"/>
    <x v="1432"/>
    <s v="100-R-11"/>
    <s v="#1774B329"/>
    <s v="990-1807"/>
    <n v="99200011"/>
    <s v="T-1085"/>
    <s v="C-1011"/>
    <s v="FI-1010"/>
    <s v="M-1155"/>
  </r>
  <r>
    <x v="1807"/>
    <n v="990"/>
    <x v="0"/>
    <x v="9"/>
    <n v="12"/>
    <x v="93"/>
    <x v="23"/>
    <x v="1"/>
    <x v="12"/>
    <s v="Fecha"/>
    <s v="Superficie Autorizada No Habitacional de Ampliaciones ICEF"/>
    <s v="Periodo 2014-2021"/>
    <s v="Metros cuadrados"/>
    <s v="Instituto Nacional de Estadísticas (INE)"/>
    <x v="1790"/>
    <m/>
    <s v="Gráfico de Evolución"/>
    <s v="superficie habitacional no autorizada ampliaciones icef industria comercio establecimientos financieros construcción región magallanes"/>
    <x v="1433"/>
    <s v="100-R-12"/>
    <s v="#1774B330"/>
    <s v="990-1808"/>
    <n v="99200012"/>
    <s v="T-1085"/>
    <s v="C-1011"/>
    <s v="FI-1010"/>
    <s v="M-1155"/>
  </r>
  <r>
    <x v="1808"/>
    <n v="990"/>
    <x v="0"/>
    <x v="9"/>
    <n v="13"/>
    <x v="93"/>
    <x v="23"/>
    <x v="1"/>
    <x v="13"/>
    <s v="Fecha"/>
    <s v="Superficie Autorizada No Habitacional de Ampliaciones ICEF"/>
    <s v="Periodo 2014-2021"/>
    <s v="Metros cuadrados"/>
    <s v="Instituto Nacional de Estadísticas (INE)"/>
    <x v="1791"/>
    <m/>
    <s v="Gráfico de Evolución"/>
    <s v="superficie habitacional no autorizada ampliaciones icef industria comercio establecimientos financieros construcción región metropolitana"/>
    <x v="1434"/>
    <s v="200-R-13"/>
    <s v="#1774B331"/>
    <s v="990-1809"/>
    <n v="99200013"/>
    <s v="T-1085"/>
    <s v="C-1011"/>
    <s v="FI-1010"/>
    <s v="M-1155"/>
  </r>
  <r>
    <x v="1809"/>
    <n v="990"/>
    <x v="0"/>
    <x v="9"/>
    <n v="14"/>
    <x v="93"/>
    <x v="23"/>
    <x v="1"/>
    <x v="14"/>
    <s v="Fecha"/>
    <s v="Superficie Autorizada No Habitacional de Ampliaciones ICEF"/>
    <s v="Periodo 2014-2021"/>
    <s v="Metros cuadrados"/>
    <s v="Instituto Nacional de Estadísticas (INE)"/>
    <x v="1792"/>
    <m/>
    <s v="Gráfico de Evolución"/>
    <s v="superficie habitacional no autorizada ampliaciones icef industria comercio establecimientos financieros construcción región los ríos"/>
    <x v="1435"/>
    <s v="100-R-14"/>
    <s v="#1774B332"/>
    <s v="990-1810"/>
    <n v="99200014"/>
    <s v="T-1085"/>
    <s v="C-1011"/>
    <s v="FI-1010"/>
    <s v="M-1155"/>
  </r>
  <r>
    <x v="1810"/>
    <n v="990"/>
    <x v="0"/>
    <x v="9"/>
    <n v="15"/>
    <x v="93"/>
    <x v="23"/>
    <x v="1"/>
    <x v="15"/>
    <s v="Fecha"/>
    <s v="Superficie Autorizada No Habitacional de Ampliaciones ICEF"/>
    <s v="Periodo 2014-2021"/>
    <s v="Metros cuadrados"/>
    <s v="Instituto Nacional de Estadísticas (INE)"/>
    <x v="1793"/>
    <m/>
    <s v="Gráfico de Evolución"/>
    <s v="superficie habitacional no autorizada ampliaciones icef industria comercio establecimientos financieros construcción región arica parinacota"/>
    <x v="1436"/>
    <s v="100-R-15"/>
    <s v="#1774B333"/>
    <s v="990-1811"/>
    <n v="99200015"/>
    <s v="T-1085"/>
    <s v="C-1011"/>
    <s v="FI-1010"/>
    <s v="M-1155"/>
  </r>
  <r>
    <x v="1811"/>
    <n v="990"/>
    <x v="0"/>
    <x v="9"/>
    <n v="16"/>
    <x v="93"/>
    <x v="23"/>
    <x v="1"/>
    <x v="16"/>
    <s v="Fecha"/>
    <s v="Superficie Autorizada No Habitacional de Ampliaciones ICEF"/>
    <s v="Periodo 2014-2021"/>
    <s v="Metros cuadrados"/>
    <s v="Instituto Nacional de Estadísticas (INE)"/>
    <x v="1794"/>
    <m/>
    <s v="Gráfico de Evolución"/>
    <s v="superficie habitacional no autorizada ampliaciones icef industria comercio establecimientos financieros construcción región ñuble"/>
    <x v="1437"/>
    <s v="100-R-16"/>
    <s v="#1774B334"/>
    <s v="990-1812"/>
    <n v="99200016"/>
    <s v="T-1085"/>
    <s v="C-1011"/>
    <s v="FI-1010"/>
    <s v="M-1155"/>
  </r>
  <r>
    <x v="1812"/>
    <n v="990"/>
    <x v="0"/>
    <x v="8"/>
    <n v="0"/>
    <x v="94"/>
    <x v="9"/>
    <x v="0"/>
    <x v="0"/>
    <s v="Región"/>
    <s v="Variación de Frecuencia de Casos Policiales de Robo con Violencia o Intimidación"/>
    <s v="Periodo 2019-2020"/>
    <s v="Porcentaje"/>
    <s v="Centro de Estudios y Análisis del Delito (CEAD) de la Subsecretaría de Prevención del Delito"/>
    <x v="1795"/>
    <s v="Las comunas en las que los casos policiales de robo con violencia o intimidación aumentaron en más de un 100% entre los años 2019 y 2020 fueron 7: Lonquimay (300%), Pelarco (250%), San Rafael (200%), Estrella (150%), Coinco (140%), Longaví (136%) y Ránquil (133%)."/>
    <s v="Gráfico de Evolución"/>
    <s v="social variación frecuencia casos policiales robo violencia intimidación delitos nacional chile"/>
    <x v="1438"/>
    <s v="300-C"/>
    <s v="#1774B335"/>
    <s v="990-1813"/>
    <n v="99100000"/>
    <s v="T-1086"/>
    <s v="C-998"/>
    <s v="FI-992"/>
    <s v="M-1156"/>
  </r>
  <r>
    <x v="1813"/>
    <n v="990"/>
    <x v="0"/>
    <x v="8"/>
    <n v="1"/>
    <x v="94"/>
    <x v="9"/>
    <x v="1"/>
    <x v="1"/>
    <s v="Ninguno"/>
    <s v="Variación de Frecuencia de Casos Policiales de Robo con Violencia o Intimidación"/>
    <s v="Periodo 2019-2020"/>
    <s v="Porcentaje"/>
    <s v="Centro de Estudios y Análisis del Delito (CEAD) de la Subsecretaría de Prevención del Delito"/>
    <x v="1796"/>
    <m/>
    <s v="Gráfico de Evolución"/>
    <s v="social variación frecuencia casos policiales robo violencia intimidación delitos región tarapacá"/>
    <x v="1439"/>
    <s v="100-C-1"/>
    <s v="#1774B336"/>
    <s v="990-1814"/>
    <n v="99200001"/>
    <s v="T-1086"/>
    <s v="C-998"/>
    <s v="FI-993"/>
    <s v="M-1156"/>
  </r>
  <r>
    <x v="1814"/>
    <n v="990"/>
    <x v="0"/>
    <x v="8"/>
    <n v="2"/>
    <x v="94"/>
    <x v="9"/>
    <x v="1"/>
    <x v="2"/>
    <s v="Ninguno"/>
    <s v="Variación de Frecuencia de Casos Policiales de Robo con Violencia o Intimidación"/>
    <s v="Periodo 2019-2020"/>
    <s v="Porcentaje"/>
    <s v="Centro de Estudios y Análisis del Delito (CEAD) de la Subsecretaría de Prevención del Delito"/>
    <x v="1797"/>
    <m/>
    <s v="Gráfico de Evolución"/>
    <s v="social variación frecuencia casos policiales robo violencia intimidación delitos región antofagasta"/>
    <x v="1440"/>
    <s v="100-C-2"/>
    <s v="#1774B337"/>
    <s v="990-1815"/>
    <n v="99200002"/>
    <s v="T-1086"/>
    <s v="C-998"/>
    <s v="FI-993"/>
    <s v="M-1156"/>
  </r>
  <r>
    <x v="1815"/>
    <n v="990"/>
    <x v="0"/>
    <x v="8"/>
    <n v="3"/>
    <x v="94"/>
    <x v="9"/>
    <x v="1"/>
    <x v="3"/>
    <s v="Ninguno"/>
    <s v="Variación de Frecuencia de Casos Policiales de Robo con Violencia o Intimidación"/>
    <s v="Periodo 2019-2020"/>
    <s v="Porcentaje"/>
    <s v="Centro de Estudios y Análisis del Delito (CEAD) de la Subsecretaría de Prevención del Delito"/>
    <x v="1798"/>
    <m/>
    <s v="Gráfico de Evolución"/>
    <s v="social variación frecuencia casos policiales robo violencia intimidación delitos región atacama"/>
    <x v="1441"/>
    <s v="100-C-3"/>
    <s v="#1774B338"/>
    <s v="990-1816"/>
    <n v="99200003"/>
    <s v="T-1086"/>
    <s v="C-998"/>
    <s v="FI-993"/>
    <s v="M-1156"/>
  </r>
  <r>
    <x v="1816"/>
    <n v="990"/>
    <x v="0"/>
    <x v="8"/>
    <n v="4"/>
    <x v="94"/>
    <x v="9"/>
    <x v="1"/>
    <x v="4"/>
    <s v="Ninguno"/>
    <s v="Variación de Frecuencia de Casos Policiales de Robo con Violencia o Intimidación"/>
    <s v="Periodo 2019-2020"/>
    <s v="Porcentaje"/>
    <s v="Centro de Estudios y Análisis del Delito (CEAD) de la Subsecretaría de Prevención del Delito"/>
    <x v="1799"/>
    <m/>
    <s v="Gráfico de Evolución"/>
    <s v="social variación frecuencia casos policiales robo violencia intimidación delitos región coquimbo"/>
    <x v="1442"/>
    <s v="100-C-4"/>
    <s v="#1774B339"/>
    <s v="990-1817"/>
    <n v="99200004"/>
    <s v="T-1086"/>
    <s v="C-998"/>
    <s v="FI-993"/>
    <s v="M-1156"/>
  </r>
  <r>
    <x v="1817"/>
    <n v="990"/>
    <x v="0"/>
    <x v="8"/>
    <n v="5"/>
    <x v="94"/>
    <x v="9"/>
    <x v="1"/>
    <x v="5"/>
    <s v="Ninguno"/>
    <s v="Variación de Frecuencia de Casos Policiales de Robo con Violencia o Intimidación"/>
    <s v="Periodo 2019-2020"/>
    <s v="Porcentaje"/>
    <s v="Centro de Estudios y Análisis del Delito (CEAD) de la Subsecretaría de Prevención del Delito"/>
    <x v="1800"/>
    <m/>
    <s v="Gráfico de Evolución"/>
    <s v="social variación frecuencia casos policiales robo violencia intimidación delitos región valparaíso"/>
    <x v="1443"/>
    <s v="100-C-5"/>
    <s v="#1774B340"/>
    <s v="990-1818"/>
    <n v="99200005"/>
    <s v="T-1086"/>
    <s v="C-998"/>
    <s v="FI-993"/>
    <s v="M-1156"/>
  </r>
  <r>
    <x v="1818"/>
    <n v="990"/>
    <x v="0"/>
    <x v="8"/>
    <n v="6"/>
    <x v="94"/>
    <x v="9"/>
    <x v="1"/>
    <x v="6"/>
    <s v="Ninguno"/>
    <s v="Variación de Frecuencia de Casos Policiales de Robo con Violencia o Intimidación"/>
    <s v="Periodo 2019-2020"/>
    <s v="Porcentaje"/>
    <s v="Centro de Estudios y Análisis del Delito (CEAD) de la Subsecretaría de Prevención del Delito"/>
    <x v="1801"/>
    <m/>
    <s v="Gráfico de Evolución"/>
    <s v="social variación frecuencia casos policiales robo violencia intimidación delitos región ohiggins"/>
    <x v="1444"/>
    <s v="100-C-6"/>
    <s v="#1774B341"/>
    <s v="990-1819"/>
    <n v="99200006"/>
    <s v="T-1086"/>
    <s v="C-998"/>
    <s v="FI-993"/>
    <s v="M-1156"/>
  </r>
  <r>
    <x v="1819"/>
    <n v="990"/>
    <x v="0"/>
    <x v="8"/>
    <n v="7"/>
    <x v="94"/>
    <x v="9"/>
    <x v="1"/>
    <x v="7"/>
    <s v="Ninguno"/>
    <s v="Variación de Frecuencia de Casos Policiales de Robo con Violencia o Intimidación"/>
    <s v="Periodo 2019-2020"/>
    <s v="Porcentaje"/>
    <s v="Centro de Estudios y Análisis del Delito (CEAD) de la Subsecretaría de Prevención del Delito"/>
    <x v="1802"/>
    <m/>
    <s v="Gráfico de Evolución"/>
    <s v="social variación frecuencia casos policiales robo violencia intimidación delitos región maule"/>
    <x v="1445"/>
    <s v="100-C-7"/>
    <s v="#1774B342"/>
    <s v="990-1820"/>
    <n v="99200007"/>
    <s v="T-1086"/>
    <s v="C-998"/>
    <s v="FI-993"/>
    <s v="M-1156"/>
  </r>
  <r>
    <x v="1820"/>
    <n v="990"/>
    <x v="0"/>
    <x v="8"/>
    <n v="8"/>
    <x v="94"/>
    <x v="9"/>
    <x v="1"/>
    <x v="8"/>
    <s v="Ninguno"/>
    <s v="Variación de Frecuencia de Casos Policiales de Robo con Violencia o Intimidación"/>
    <s v="Periodo 2019-2020"/>
    <s v="Porcentaje"/>
    <s v="Centro de Estudios y Análisis del Delito (CEAD) de la Subsecretaría de Prevención del Delito"/>
    <x v="1803"/>
    <m/>
    <s v="Gráfico de Evolución"/>
    <s v="social variación frecuencia casos policiales robo violencia intimidación delitos región biobío"/>
    <x v="1446"/>
    <s v="100-C-8"/>
    <s v="#1774B343"/>
    <s v="990-1821"/>
    <n v="99200008"/>
    <s v="T-1086"/>
    <s v="C-998"/>
    <s v="FI-993"/>
    <s v="M-1156"/>
  </r>
  <r>
    <x v="1821"/>
    <n v="990"/>
    <x v="0"/>
    <x v="8"/>
    <n v="9"/>
    <x v="94"/>
    <x v="9"/>
    <x v="1"/>
    <x v="9"/>
    <s v="Ninguno"/>
    <s v="Variación de Frecuencia de Casos Policiales de Robo con Violencia o Intimidación"/>
    <s v="Periodo 2019-2020"/>
    <s v="Porcentaje"/>
    <s v="Centro de Estudios y Análisis del Delito (CEAD) de la Subsecretaría de Prevención del Delito"/>
    <x v="1804"/>
    <m/>
    <s v="Gráfico de Evolución"/>
    <s v="social variación frecuencia casos policiales robo violencia intimidación delitos región araucanía"/>
    <x v="1447"/>
    <s v="100-C-9"/>
    <s v="#1774B344"/>
    <s v="990-1822"/>
    <n v="99200009"/>
    <s v="T-1086"/>
    <s v="C-998"/>
    <s v="FI-993"/>
    <s v="M-1156"/>
  </r>
  <r>
    <x v="1822"/>
    <n v="990"/>
    <x v="0"/>
    <x v="8"/>
    <n v="10"/>
    <x v="94"/>
    <x v="9"/>
    <x v="1"/>
    <x v="10"/>
    <s v="Ninguno"/>
    <s v="Variación de Frecuencia de Casos Policiales de Robo con Violencia o Intimidación"/>
    <s v="Periodo 2019-2020"/>
    <s v="Porcentaje"/>
    <s v="Centro de Estudios y Análisis del Delito (CEAD) de la Subsecretaría de Prevención del Delito"/>
    <x v="1805"/>
    <m/>
    <s v="Gráfico de Evolución"/>
    <s v="social variación frecuencia casos policiales robo violencia intimidación delitos región los lagos"/>
    <x v="1448"/>
    <s v="100-C-10"/>
    <s v="#1774B345"/>
    <s v="990-1823"/>
    <n v="99200010"/>
    <s v="T-1086"/>
    <s v="C-998"/>
    <s v="FI-993"/>
    <s v="M-1156"/>
  </r>
  <r>
    <x v="1823"/>
    <n v="990"/>
    <x v="0"/>
    <x v="8"/>
    <n v="11"/>
    <x v="94"/>
    <x v="9"/>
    <x v="1"/>
    <x v="11"/>
    <s v="Ninguno"/>
    <s v="Variación de Frecuencia de Casos Policiales de Robo con Violencia o Intimidación"/>
    <s v="Periodo 2019-2020"/>
    <s v="Porcentaje"/>
    <s v="Centro de Estudios y Análisis del Delito (CEAD) de la Subsecretaría de Prevención del Delito"/>
    <x v="1806"/>
    <m/>
    <s v="Gráfico de Evolución"/>
    <s v="social variación frecuencia casos policiales robo violencia intimidación delitos región aysén"/>
    <x v="1449"/>
    <s v="100-C-11"/>
    <s v="#1774B346"/>
    <s v="990-1824"/>
    <n v="99200011"/>
    <s v="T-1086"/>
    <s v="C-998"/>
    <s v="FI-993"/>
    <s v="M-1156"/>
  </r>
  <r>
    <x v="1824"/>
    <n v="990"/>
    <x v="0"/>
    <x v="8"/>
    <n v="12"/>
    <x v="94"/>
    <x v="9"/>
    <x v="1"/>
    <x v="12"/>
    <s v="Ninguno"/>
    <s v="Variación de Frecuencia de Casos Policiales de Robo con Violencia o Intimidación"/>
    <s v="Periodo 2019-2020"/>
    <s v="Porcentaje"/>
    <s v="Centro de Estudios y Análisis del Delito (CEAD) de la Subsecretaría de Prevención del Delito"/>
    <x v="1807"/>
    <m/>
    <s v="Gráfico de Evolución"/>
    <s v="social variación frecuencia casos policiales robo violencia intimidación delitos región magallanes"/>
    <x v="1450"/>
    <s v="100-C-12"/>
    <s v="#1774B347"/>
    <s v="990-1825"/>
    <n v="99200012"/>
    <s v="T-1086"/>
    <s v="C-998"/>
    <s v="FI-993"/>
    <s v="M-1156"/>
  </r>
  <r>
    <x v="1825"/>
    <n v="990"/>
    <x v="0"/>
    <x v="8"/>
    <n v="13"/>
    <x v="94"/>
    <x v="9"/>
    <x v="1"/>
    <x v="13"/>
    <s v="Ninguno"/>
    <s v="Variación de Frecuencia de Casos Policiales de Robo con Violencia o Intimidación"/>
    <s v="Periodo 2019-2020"/>
    <s v="Porcentaje"/>
    <s v="Centro de Estudios y Análisis del Delito (CEAD) de la Subsecretaría de Prevención del Delito"/>
    <x v="1808"/>
    <m/>
    <s v="Gráfico de Evolución"/>
    <s v="social variación frecuencia casos policiales robo violencia intimidación delitos región metropolitana"/>
    <x v="1451"/>
    <s v="200-C-13"/>
    <s v="#1774B348"/>
    <s v="990-1826"/>
    <n v="99200013"/>
    <s v="T-1086"/>
    <s v="C-998"/>
    <s v="FI-993"/>
    <s v="M-1156"/>
  </r>
  <r>
    <x v="1826"/>
    <n v="990"/>
    <x v="0"/>
    <x v="8"/>
    <n v="14"/>
    <x v="94"/>
    <x v="9"/>
    <x v="1"/>
    <x v="14"/>
    <s v="Ninguno"/>
    <s v="Variación de Frecuencia de Casos Policiales de Robo con Violencia o Intimidación"/>
    <s v="Periodo 2019-2020"/>
    <s v="Porcentaje"/>
    <s v="Centro de Estudios y Análisis del Delito (CEAD) de la Subsecretaría de Prevención del Delito"/>
    <x v="1809"/>
    <m/>
    <s v="Gráfico de Evolución"/>
    <s v="social variación frecuencia casos policiales robo violencia intimidación delitos región los ríos"/>
    <x v="1452"/>
    <s v="100-C-14"/>
    <s v="#1774B349"/>
    <s v="990-1827"/>
    <n v="99200014"/>
    <s v="T-1086"/>
    <s v="C-998"/>
    <s v="FI-993"/>
    <s v="M-1156"/>
  </r>
  <r>
    <x v="1827"/>
    <n v="990"/>
    <x v="0"/>
    <x v="8"/>
    <n v="15"/>
    <x v="94"/>
    <x v="9"/>
    <x v="1"/>
    <x v="15"/>
    <s v="Ninguno"/>
    <s v="Variación de Frecuencia de Casos Policiales de Robo con Violencia o Intimidación"/>
    <s v="Periodo 2019-2020"/>
    <s v="Porcentaje"/>
    <s v="Centro de Estudios y Análisis del Delito (CEAD) de la Subsecretaría de Prevención del Delito"/>
    <x v="1810"/>
    <m/>
    <s v="Gráfico de Evolución"/>
    <s v="social variación frecuencia casos policiales robo violencia intimidación delitos región arica parinacota"/>
    <x v="1453"/>
    <s v="100-C-15"/>
    <s v="#1774B350"/>
    <s v="990-1828"/>
    <n v="99200015"/>
    <s v="T-1086"/>
    <s v="C-998"/>
    <s v="FI-993"/>
    <s v="M-1156"/>
  </r>
  <r>
    <x v="1828"/>
    <n v="990"/>
    <x v="0"/>
    <x v="8"/>
    <n v="16"/>
    <x v="94"/>
    <x v="9"/>
    <x v="1"/>
    <x v="16"/>
    <s v="Ninguno"/>
    <s v="Variación de Frecuencia de Casos Policiales de Robo con Violencia o Intimidación"/>
    <s v="Periodo 2019-2020"/>
    <s v="Porcentaje"/>
    <s v="Centro de Estudios y Análisis del Delito (CEAD) de la Subsecretaría de Prevención del Delito"/>
    <x v="1811"/>
    <m/>
    <s v="Gráfico de Evolución"/>
    <s v="social variación frecuencia casos policiales robo violencia intimidación delitos región ñuble"/>
    <x v="1454"/>
    <s v="100-C-16"/>
    <s v="#1774B351"/>
    <s v="990-1829"/>
    <n v="99200016"/>
    <s v="T-1086"/>
    <s v="C-998"/>
    <s v="FI-993"/>
    <s v="M-1156"/>
  </r>
  <r>
    <x v="1829"/>
    <n v="990"/>
    <x v="0"/>
    <x v="8"/>
    <n v="0"/>
    <x v="95"/>
    <x v="9"/>
    <x v="0"/>
    <x v="0"/>
    <s v="Región"/>
    <s v="Variación de Frecuencia de Casos Policiales de Homicidio"/>
    <s v="Periodo 2019-2020"/>
    <s v="Porcentaje"/>
    <s v="Centro de Estudios y Análisis del Delito (CEAD) de la Subsecretaría de Prevención del Delito"/>
    <x v="1812"/>
    <s v="Las comunas en las que los casos policiales de homicidio aumentaron en más de un 100% entre los años 2019 y 2020 fueron 10: Constitución (300%), Macul (300%), Peñaflor (200%), Hualpén (200%), Licantén (200%), Longaví (200%), Valparaíso (200%), La Serena (133%), Los Ángeles (133%) y La Cisterna (133%)."/>
    <s v="Gráfico de Evolución"/>
    <s v="social variación frecuencia casos policiales homicidio delitos nacional chile"/>
    <x v="1455"/>
    <s v="300-C"/>
    <s v="#1774B352"/>
    <s v="990-1830"/>
    <n v="99100000"/>
    <s v="T-1087"/>
    <s v="C-998"/>
    <s v="FI-992"/>
    <s v="M-1157"/>
  </r>
  <r>
    <x v="1830"/>
    <n v="990"/>
    <x v="0"/>
    <x v="8"/>
    <n v="1"/>
    <x v="95"/>
    <x v="9"/>
    <x v="1"/>
    <x v="1"/>
    <s v="Ninguno"/>
    <s v="Variación de Frecuencia de Casos Policiales de Homicidio"/>
    <s v="Periodo 2019-2020"/>
    <s v="Porcentaje"/>
    <s v="Centro de Estudios y Análisis del Delito (CEAD) de la Subsecretaría de Prevención del Delito"/>
    <x v="1813"/>
    <m/>
    <s v="Gráfico de Evolución"/>
    <s v="social variación frecuencia casos policiales robo violencia intimidación delitos región tarapacá"/>
    <x v="1456"/>
    <s v="100-C-1"/>
    <s v="#1774B353"/>
    <s v="990-1831"/>
    <n v="99200001"/>
    <s v="T-1087"/>
    <s v="C-998"/>
    <s v="FI-993"/>
    <s v="M-1157"/>
  </r>
  <r>
    <x v="1831"/>
    <n v="990"/>
    <x v="0"/>
    <x v="8"/>
    <n v="2"/>
    <x v="95"/>
    <x v="9"/>
    <x v="1"/>
    <x v="2"/>
    <s v="Ninguno"/>
    <s v="Variación de Frecuencia de Casos Policiales de Homicidio"/>
    <s v="Periodo 2019-2020"/>
    <s v="Porcentaje"/>
    <s v="Centro de Estudios y Análisis del Delito (CEAD) de la Subsecretaría de Prevención del Delito"/>
    <x v="1814"/>
    <m/>
    <s v="Gráfico de Evolución"/>
    <s v="social variación frecuencia casos policiales robo violencia intimidación delitos región antofagasta"/>
    <x v="1457"/>
    <s v="100-C-2"/>
    <s v="#1774B354"/>
    <s v="990-1832"/>
    <n v="99200002"/>
    <s v="T-1087"/>
    <s v="C-998"/>
    <s v="FI-993"/>
    <s v="M-1157"/>
  </r>
  <r>
    <x v="1832"/>
    <n v="990"/>
    <x v="0"/>
    <x v="8"/>
    <n v="3"/>
    <x v="95"/>
    <x v="9"/>
    <x v="1"/>
    <x v="3"/>
    <s v="Ninguno"/>
    <s v="Variación de Frecuencia de Casos Policiales de Homicidio"/>
    <s v="Periodo 2019-2020"/>
    <s v="Porcentaje"/>
    <s v="Centro de Estudios y Análisis del Delito (CEAD) de la Subsecretaría de Prevención del Delito"/>
    <x v="1815"/>
    <m/>
    <s v="Gráfico de Evolución"/>
    <s v="social variación frecuencia casos policiales robo violencia intimidación delitos región atacama"/>
    <x v="1458"/>
    <s v="100-C-3"/>
    <s v="#1774B355"/>
    <s v="990-1833"/>
    <n v="99200003"/>
    <s v="T-1087"/>
    <s v="C-998"/>
    <s v="FI-993"/>
    <s v="M-1157"/>
  </r>
  <r>
    <x v="1833"/>
    <n v="990"/>
    <x v="0"/>
    <x v="8"/>
    <n v="4"/>
    <x v="95"/>
    <x v="9"/>
    <x v="1"/>
    <x v="4"/>
    <s v="Ninguno"/>
    <s v="Variación de Frecuencia de Casos Policiales de Homicidio"/>
    <s v="Periodo 2019-2020"/>
    <s v="Porcentaje"/>
    <s v="Centro de Estudios y Análisis del Delito (CEAD) de la Subsecretaría de Prevención del Delito"/>
    <x v="1816"/>
    <m/>
    <s v="Gráfico de Evolución"/>
    <s v="social variación frecuencia casos policiales robo violencia intimidación delitos región coquimbo"/>
    <x v="1459"/>
    <s v="100-C-4"/>
    <s v="#1774B356"/>
    <s v="990-1834"/>
    <n v="99200004"/>
    <s v="T-1087"/>
    <s v="C-998"/>
    <s v="FI-993"/>
    <s v="M-1157"/>
  </r>
  <r>
    <x v="1834"/>
    <n v="990"/>
    <x v="0"/>
    <x v="8"/>
    <n v="5"/>
    <x v="95"/>
    <x v="9"/>
    <x v="1"/>
    <x v="5"/>
    <s v="Ninguno"/>
    <s v="Variación de Frecuencia de Casos Policiales de Homicidio"/>
    <s v="Periodo 2019-2020"/>
    <s v="Porcentaje"/>
    <s v="Centro de Estudios y Análisis del Delito (CEAD) de la Subsecretaría de Prevención del Delito"/>
    <x v="1817"/>
    <m/>
    <s v="Gráfico de Evolución"/>
    <s v="social variación frecuencia casos policiales robo violencia intimidación delitos región valparaíso"/>
    <x v="1460"/>
    <s v="100-C-5"/>
    <s v="#1774B357"/>
    <s v="990-1835"/>
    <n v="99200005"/>
    <s v="T-1087"/>
    <s v="C-998"/>
    <s v="FI-993"/>
    <s v="M-1157"/>
  </r>
  <r>
    <x v="1835"/>
    <n v="990"/>
    <x v="0"/>
    <x v="8"/>
    <n v="6"/>
    <x v="95"/>
    <x v="9"/>
    <x v="1"/>
    <x v="6"/>
    <s v="Ninguno"/>
    <s v="Variación de Frecuencia de Casos Policiales de Homicidio"/>
    <s v="Periodo 2019-2020"/>
    <s v="Porcentaje"/>
    <s v="Centro de Estudios y Análisis del Delito (CEAD) de la Subsecretaría de Prevención del Delito"/>
    <x v="1818"/>
    <m/>
    <s v="Gráfico de Evolución"/>
    <s v="social variación frecuencia casos policiales robo violencia intimidación delitos región o'higgins"/>
    <x v="1461"/>
    <s v="100-C-6"/>
    <s v="#1774B358"/>
    <s v="990-1836"/>
    <n v="99200006"/>
    <s v="T-1087"/>
    <s v="C-998"/>
    <s v="FI-993"/>
    <s v="M-1157"/>
  </r>
  <r>
    <x v="1836"/>
    <n v="990"/>
    <x v="0"/>
    <x v="8"/>
    <n v="7"/>
    <x v="95"/>
    <x v="9"/>
    <x v="1"/>
    <x v="7"/>
    <s v="Ninguno"/>
    <s v="Variación de Frecuencia de Casos Policiales de Homicidio"/>
    <s v="Periodo 2019-2020"/>
    <s v="Porcentaje"/>
    <s v="Centro de Estudios y Análisis del Delito (CEAD) de la Subsecretaría de Prevención del Delito"/>
    <x v="1819"/>
    <m/>
    <s v="Gráfico de Evolución"/>
    <s v="social variación frecuencia casos policiales robo violencia intimidación delitos región maule"/>
    <x v="1462"/>
    <s v="100-C-7"/>
    <s v="#1774B359"/>
    <s v="990-1837"/>
    <n v="99200007"/>
    <s v="T-1087"/>
    <s v="C-998"/>
    <s v="FI-993"/>
    <s v="M-1157"/>
  </r>
  <r>
    <x v="1837"/>
    <n v="990"/>
    <x v="0"/>
    <x v="8"/>
    <n v="8"/>
    <x v="95"/>
    <x v="9"/>
    <x v="1"/>
    <x v="8"/>
    <s v="Ninguno"/>
    <s v="Variación de Frecuencia de Casos Policiales de Homicidio"/>
    <s v="Periodo 2019-2020"/>
    <s v="Porcentaje"/>
    <s v="Centro de Estudios y Análisis del Delito (CEAD) de la Subsecretaría de Prevención del Delito"/>
    <x v="1820"/>
    <m/>
    <s v="Gráfico de Evolución"/>
    <s v="social variación frecuencia casos policiales robo violencia intimidación dellitos región biobío"/>
    <x v="1463"/>
    <s v="100-C-8"/>
    <s v="#1774B360"/>
    <s v="990-1838"/>
    <n v="99200008"/>
    <s v="T-1087"/>
    <s v="C-998"/>
    <s v="FI-993"/>
    <s v="M-1157"/>
  </r>
  <r>
    <x v="1838"/>
    <n v="990"/>
    <x v="0"/>
    <x v="8"/>
    <n v="9"/>
    <x v="95"/>
    <x v="9"/>
    <x v="1"/>
    <x v="9"/>
    <s v="Ninguno"/>
    <s v="Variación de Frecuencia de Casos Policiales de Homicidio"/>
    <s v="Periodo 2019-2020"/>
    <s v="Porcentaje"/>
    <s v="Centro de Estudios y Análisis del Delito (CEAD) de la Subsecretaría de Prevención del Delito"/>
    <x v="1821"/>
    <m/>
    <s v="Gráfico de Evolución"/>
    <s v="social variación frecuencia casos policiales robo violencia intimidación Lalitos región araucanía"/>
    <x v="1464"/>
    <s v="100-C-9"/>
    <s v="#1774B361"/>
    <s v="990-1839"/>
    <n v="99200009"/>
    <s v="T-1087"/>
    <s v="C-998"/>
    <s v="FI-993"/>
    <s v="M-1157"/>
  </r>
  <r>
    <x v="1839"/>
    <n v="990"/>
    <x v="0"/>
    <x v="8"/>
    <n v="10"/>
    <x v="95"/>
    <x v="9"/>
    <x v="1"/>
    <x v="10"/>
    <s v="Ninguno"/>
    <s v="Variación de Frecuencia de Casos Policiales de Homicidio"/>
    <s v="Periodo 2019-2020"/>
    <s v="Porcentaje"/>
    <s v="Centro de Estudios y Análisis del Delito (CEAD) de la Subsecretaría de Prevención del Delito"/>
    <x v="1822"/>
    <m/>
    <s v="Gráfico de Evolución"/>
    <s v="social variación frecuencia casos policiales robo violencia intimidación Loslitos región lagos"/>
    <x v="1465"/>
    <s v="100-C-10"/>
    <s v="#1774B362"/>
    <s v="990-1840"/>
    <n v="99200010"/>
    <s v="T-1087"/>
    <s v="C-998"/>
    <s v="FI-993"/>
    <s v="M-1157"/>
  </r>
  <r>
    <x v="1840"/>
    <n v="990"/>
    <x v="0"/>
    <x v="8"/>
    <n v="11"/>
    <x v="95"/>
    <x v="9"/>
    <x v="1"/>
    <x v="11"/>
    <s v="Ninguno"/>
    <s v="Variación de Frecuencia de Casos Policiales de Homicidio"/>
    <s v="Periodo 2019-2020"/>
    <s v="Porcentaje"/>
    <s v="Centro de Estudios y Análisis del Delito (CEAD) de la Subsecretaría de Prevención del Delito"/>
    <x v="1823"/>
    <m/>
    <s v="Gráfico de Evolución"/>
    <s v="social variación frecuencia casos policiales robo violencia intimidación delitos región aysén"/>
    <x v="1466"/>
    <s v="100-C-11"/>
    <s v="#1774B363"/>
    <s v="990-1841"/>
    <n v="99200011"/>
    <s v="T-1087"/>
    <s v="C-998"/>
    <s v="FI-993"/>
    <s v="M-1157"/>
  </r>
  <r>
    <x v="1841"/>
    <n v="990"/>
    <x v="0"/>
    <x v="8"/>
    <n v="12"/>
    <x v="95"/>
    <x v="9"/>
    <x v="1"/>
    <x v="12"/>
    <s v="Ninguno"/>
    <s v="Variación de Frecuencia de Casos Policiales de Homicidio"/>
    <s v="Periodo 2019-2020"/>
    <s v="Porcentaje"/>
    <s v="Centro de Estudios y Análisis del Delito (CEAD) de la Subsecretaría de Prevención del Delito"/>
    <x v="1824"/>
    <m/>
    <s v="Gráfico de Evolución"/>
    <s v="social variación frecuencia casos policiales robo violencia intimidación delitos región magallanes"/>
    <x v="1467"/>
    <s v="100-C-12"/>
    <s v="#1774B364"/>
    <s v="990-1842"/>
    <n v="99200012"/>
    <s v="T-1087"/>
    <s v="C-998"/>
    <s v="FI-993"/>
    <s v="M-1157"/>
  </r>
  <r>
    <x v="1842"/>
    <n v="990"/>
    <x v="0"/>
    <x v="8"/>
    <n v="13"/>
    <x v="95"/>
    <x v="9"/>
    <x v="1"/>
    <x v="13"/>
    <s v="Ninguno"/>
    <s v="Variación de Frecuencia de Casos Policiales de Homicidio"/>
    <s v="Periodo 2019-2020"/>
    <s v="Porcentaje"/>
    <s v="Centro de Estudios y Análisis del Delito (CEAD) de la Subsecretaría de Prevención del Delito"/>
    <x v="1825"/>
    <m/>
    <s v="Gráfico de Evolución"/>
    <s v="social variación frecuencia casos policiales robo violencia intimidación Regiónlitos región metropolitana"/>
    <x v="1468"/>
    <s v="200-C-13"/>
    <s v="#1774B365"/>
    <s v="990-1843"/>
    <n v="99200013"/>
    <s v="T-1087"/>
    <s v="C-998"/>
    <s v="FI-993"/>
    <s v="M-1157"/>
  </r>
  <r>
    <x v="1843"/>
    <n v="990"/>
    <x v="0"/>
    <x v="8"/>
    <n v="14"/>
    <x v="95"/>
    <x v="9"/>
    <x v="1"/>
    <x v="14"/>
    <s v="Ninguno"/>
    <s v="Variación de Frecuencia de Casos Policiales de Homicidio"/>
    <s v="Periodo 2019-2020"/>
    <s v="Porcentaje"/>
    <s v="Centro de Estudios y Análisis del Delito (CEAD) de la Subsecretaría de Prevención del Delito"/>
    <x v="1826"/>
    <m/>
    <s v="Gráfico de Evolución"/>
    <s v="social variación frecuencia casos policiales robo violencia intimidación Loslitos región ríos"/>
    <x v="1469"/>
    <s v="100-C-14"/>
    <s v="#1774B366"/>
    <s v="990-1844"/>
    <n v="99200014"/>
    <s v="T-1087"/>
    <s v="C-998"/>
    <s v="FI-993"/>
    <s v="M-1157"/>
  </r>
  <r>
    <x v="1844"/>
    <n v="990"/>
    <x v="0"/>
    <x v="8"/>
    <n v="15"/>
    <x v="95"/>
    <x v="9"/>
    <x v="1"/>
    <x v="15"/>
    <s v="Ninguno"/>
    <s v="Variación de Frecuencia de Casos Policiales de Homicidio"/>
    <s v="Periodo 2019-2020"/>
    <s v="Porcentaje"/>
    <s v="Centro de Estudios y Análisis del Delito (CEAD) de la Subsecretaría de Prevención del Delito"/>
    <x v="1827"/>
    <m/>
    <s v="Gráfico de Evolución"/>
    <s v="social variación frecuencia casos policiales robo violencia intimidación ylitos región parinacota"/>
    <x v="1470"/>
    <s v="100-C-15"/>
    <s v="#1774B367"/>
    <s v="990-1845"/>
    <n v="99200015"/>
    <s v="T-1087"/>
    <s v="C-998"/>
    <s v="FI-993"/>
    <s v="M-1157"/>
  </r>
  <r>
    <x v="1845"/>
    <n v="990"/>
    <x v="0"/>
    <x v="8"/>
    <n v="16"/>
    <x v="95"/>
    <x v="9"/>
    <x v="1"/>
    <x v="16"/>
    <s v="Ninguno"/>
    <s v="Variación de Frecuencia de Casos Policiales de Homicidio"/>
    <s v="Periodo 2019-2020"/>
    <s v="Porcentaje"/>
    <s v="Centro de Estudios y Análisis del Delito (CEAD) de la Subsecretaría de Prevención del Delito"/>
    <x v="1828"/>
    <m/>
    <s v="Gráfico de Evolución"/>
    <s v="social variación frecuencia casos policiales robo violencia intimidación delitos región ñuble"/>
    <x v="1471"/>
    <s v="100-C-16"/>
    <s v="#1774B368"/>
    <s v="990-1846"/>
    <n v="99200016"/>
    <s v="T-1087"/>
    <s v="C-998"/>
    <s v="FI-993"/>
    <s v="M-1157"/>
  </r>
  <r>
    <x v="1846"/>
    <n v="990"/>
    <x v="0"/>
    <x v="8"/>
    <n v="0"/>
    <x v="96"/>
    <x v="9"/>
    <x v="0"/>
    <x v="0"/>
    <s v="Región"/>
    <s v="Relación entre Detenciones y Denuncias para Delitos de Homicidio y Violación"/>
    <s v="Periodo 2008-2020"/>
    <s v="Porcentaje"/>
    <s v="Centro de Estudios y Análisis del Delito (CEAD) de la Subsecretaría de Prevención del Delito"/>
    <x v="1829"/>
    <s v="A nivel nacional, la relación porcentual entre detenciones y denuncias para delitos de homicidio bajó de 97,9% a 70% entre 2008 y 2020. Asimismo, la relación porcentual para delitos de violación disminuyó de 13,9% a 11,9% entre los mismos años."/>
    <s v="Gráfico de Evolución"/>
    <s v="social relación detenciones denuncias delitos homicidio violación nacional chile"/>
    <x v="1472"/>
    <s v="300-R"/>
    <s v="#1774B369"/>
    <s v="990-1847"/>
    <n v="99100000"/>
    <s v="T-1088"/>
    <s v="C-998"/>
    <s v="FI-992"/>
    <s v="M-1158"/>
  </r>
  <r>
    <x v="1847"/>
    <n v="990"/>
    <x v="0"/>
    <x v="8"/>
    <n v="1"/>
    <x v="96"/>
    <x v="9"/>
    <x v="1"/>
    <x v="1"/>
    <s v="Ninguno"/>
    <s v="Relación entre Detenciones y Denuncias para Delitos de Homicidio y Violación"/>
    <s v="Periodo 2008-2020"/>
    <s v="Porcentaje"/>
    <s v="Centro de Estudios y Análisis del Delito (CEAD) de la Subsecretaría de Prevención del Delito"/>
    <x v="1830"/>
    <m/>
    <s v="Gráfico de Evolución"/>
    <s v="social variación frecuencia casos policiales robo violencia intimidación delitos región tarapacá"/>
    <x v="1473"/>
    <s v="100-R-1"/>
    <s v="#1774B370"/>
    <s v="990-1848"/>
    <n v="99200001"/>
    <s v="T-1088"/>
    <s v="C-998"/>
    <s v="FI-993"/>
    <s v="M-1158"/>
  </r>
  <r>
    <x v="1848"/>
    <n v="990"/>
    <x v="0"/>
    <x v="8"/>
    <n v="2"/>
    <x v="96"/>
    <x v="9"/>
    <x v="1"/>
    <x v="2"/>
    <s v="Ninguno"/>
    <s v="Relación entre Detenciones y Denuncias para Delitos de Homicidio y Violación"/>
    <s v="Periodo 2008-2020"/>
    <s v="Porcentaje"/>
    <s v="Centro de Estudios y Análisis del Delito (CEAD) de la Subsecretaría de Prevención del Delito"/>
    <x v="1831"/>
    <m/>
    <s v="Gráfico de Evolución"/>
    <s v="social variación frecuencia casos policiales robo violencia intimidación delitos región antofagasta"/>
    <x v="1474"/>
    <s v="100-R-2"/>
    <s v="#1774B371"/>
    <s v="990-1849"/>
    <n v="99200002"/>
    <s v="T-1088"/>
    <s v="C-998"/>
    <s v="FI-993"/>
    <s v="M-1158"/>
  </r>
  <r>
    <x v="1849"/>
    <n v="990"/>
    <x v="0"/>
    <x v="8"/>
    <n v="3"/>
    <x v="96"/>
    <x v="9"/>
    <x v="1"/>
    <x v="3"/>
    <s v="Ninguno"/>
    <s v="Relación entre Detenciones y Denuncias para Delitos de Homicidio y Violación"/>
    <s v="Periodo 2008-2020"/>
    <s v="Porcentaje"/>
    <s v="Centro de Estudios y Análisis del Delito (CEAD) de la Subsecretaría de Prevención del Delito"/>
    <x v="1832"/>
    <m/>
    <s v="Gráfico de Evolución"/>
    <s v="social variación frecuencia casos policiales robo violencia intimidación delitos región atacama"/>
    <x v="1475"/>
    <s v="100-R-3"/>
    <s v="#1774B372"/>
    <s v="990-1850"/>
    <n v="99200003"/>
    <s v="T-1088"/>
    <s v="C-998"/>
    <s v="FI-993"/>
    <s v="M-1158"/>
  </r>
  <r>
    <x v="1850"/>
    <n v="990"/>
    <x v="0"/>
    <x v="8"/>
    <n v="4"/>
    <x v="96"/>
    <x v="9"/>
    <x v="1"/>
    <x v="4"/>
    <s v="Ninguno"/>
    <s v="Relación entre Detenciones y Denuncias para Delitos de Homicidio y Violación"/>
    <s v="Periodo 2008-2020"/>
    <s v="Porcentaje"/>
    <s v="Centro de Estudios y Análisis del Delito (CEAD) de la Subsecretaría de Prevención del Delito"/>
    <x v="1833"/>
    <m/>
    <s v="Gráfico de Evolución"/>
    <s v="social variación frecuencia casos policiales robo violencia intimidación delitos región coquimbo"/>
    <x v="1476"/>
    <s v="100-R-4"/>
    <s v="#1774B373"/>
    <s v="990-1851"/>
    <n v="99200004"/>
    <s v="T-1088"/>
    <s v="C-998"/>
    <s v="FI-993"/>
    <s v="M-1158"/>
  </r>
  <r>
    <x v="1851"/>
    <n v="990"/>
    <x v="0"/>
    <x v="8"/>
    <n v="5"/>
    <x v="96"/>
    <x v="9"/>
    <x v="1"/>
    <x v="5"/>
    <s v="Ninguno"/>
    <s v="Relación entre Detenciones y Denuncias para Delitos de Homicidio y Violación"/>
    <s v="Periodo 2008-2020"/>
    <s v="Porcentaje"/>
    <s v="Centro de Estudios y Análisis del Delito (CEAD) de la Subsecretaría de Prevención del Delito"/>
    <x v="1834"/>
    <m/>
    <s v="Gráfico de Evolución"/>
    <s v="social variación frecuencia casos policiales robo violencia intimidación delitos región valparaíso"/>
    <x v="1477"/>
    <s v="100-R-5"/>
    <s v="#1774B374"/>
    <s v="990-1852"/>
    <n v="99200005"/>
    <s v="T-1088"/>
    <s v="C-998"/>
    <s v="FI-993"/>
    <s v="M-1158"/>
  </r>
  <r>
    <x v="1852"/>
    <n v="990"/>
    <x v="0"/>
    <x v="8"/>
    <n v="6"/>
    <x v="96"/>
    <x v="9"/>
    <x v="1"/>
    <x v="6"/>
    <s v="Ninguno"/>
    <s v="Relación entre Detenciones y Denuncias para Delitos de Homicidio y Violación"/>
    <s v="Periodo 2008-2020"/>
    <s v="Porcentaje"/>
    <s v="Centro de Estudios y Análisis del Delito (CEAD) de la Subsecretaría de Prevención del Delito"/>
    <x v="1835"/>
    <m/>
    <s v="Gráfico de Evolución"/>
    <s v="social variación frecuencia casos policiales robo violencia intimidación delitos región o'higgins"/>
    <x v="1478"/>
    <s v="100-R-6"/>
    <s v="#1774B375"/>
    <s v="990-1853"/>
    <n v="99200006"/>
    <s v="T-1088"/>
    <s v="C-998"/>
    <s v="FI-993"/>
    <s v="M-1158"/>
  </r>
  <r>
    <x v="1853"/>
    <n v="990"/>
    <x v="0"/>
    <x v="8"/>
    <n v="7"/>
    <x v="96"/>
    <x v="9"/>
    <x v="1"/>
    <x v="7"/>
    <s v="Ninguno"/>
    <s v="Relación entre Detenciones y Denuncias para Delitos de Homicidio y Violación"/>
    <s v="Periodo 2008-2020"/>
    <s v="Porcentaje"/>
    <s v="Centro de Estudios y Análisis del Delito (CEAD) de la Subsecretaría de Prevención del Delito"/>
    <x v="1836"/>
    <m/>
    <s v="Gráfico de Evolución"/>
    <s v="social variación frecuencia casos policiales robo violencia intimidación delitos región maule"/>
    <x v="1479"/>
    <s v="100-R-7"/>
    <s v="#1774B376"/>
    <s v="990-1854"/>
    <n v="99200007"/>
    <s v="T-1088"/>
    <s v="C-998"/>
    <s v="FI-993"/>
    <s v="M-1158"/>
  </r>
  <r>
    <x v="1854"/>
    <n v="990"/>
    <x v="0"/>
    <x v="8"/>
    <n v="8"/>
    <x v="96"/>
    <x v="9"/>
    <x v="1"/>
    <x v="8"/>
    <s v="Ninguno"/>
    <s v="Relación entre Detenciones y Denuncias para Delitos de Homicidio y Violación"/>
    <s v="Periodo 2008-2020"/>
    <s v="Porcentaje"/>
    <s v="Centro de Estudios y Análisis del Delito (CEAD) de la Subsecretaría de Prevención del Delito"/>
    <x v="1837"/>
    <m/>
    <s v="Gráfico de Evolución"/>
    <s v="social variación frecuencia casos policiales robo violencia intimidación dellitos región biobío"/>
    <x v="1480"/>
    <s v="100-R-8"/>
    <s v="#1774B377"/>
    <s v="990-1855"/>
    <n v="99200008"/>
    <s v="T-1088"/>
    <s v="C-998"/>
    <s v="FI-993"/>
    <s v="M-1158"/>
  </r>
  <r>
    <x v="1855"/>
    <n v="990"/>
    <x v="0"/>
    <x v="8"/>
    <n v="9"/>
    <x v="96"/>
    <x v="9"/>
    <x v="1"/>
    <x v="9"/>
    <s v="Ninguno"/>
    <s v="Relación entre Detenciones y Denuncias para Delitos de Homicidio y Violación"/>
    <s v="Periodo 2008-2020"/>
    <s v="Porcentaje"/>
    <s v="Centro de Estudios y Análisis del Delito (CEAD) de la Subsecretaría de Prevención del Delito"/>
    <x v="1838"/>
    <m/>
    <s v="Gráfico de Evolución"/>
    <s v="social variación frecuencia casos policiales robo violencia intimidación Lalitos región araucanía"/>
    <x v="1481"/>
    <s v="100-R-9"/>
    <s v="#1774B378"/>
    <s v="990-1856"/>
    <n v="99200009"/>
    <s v="T-1088"/>
    <s v="C-998"/>
    <s v="FI-993"/>
    <s v="M-1158"/>
  </r>
  <r>
    <x v="1856"/>
    <n v="990"/>
    <x v="0"/>
    <x v="8"/>
    <n v="10"/>
    <x v="96"/>
    <x v="9"/>
    <x v="1"/>
    <x v="10"/>
    <s v="Ninguno"/>
    <s v="Relación entre Detenciones y Denuncias para Delitos de Homicidio y Violación"/>
    <s v="Periodo 2008-2020"/>
    <s v="Porcentaje"/>
    <s v="Centro de Estudios y Análisis del Delito (CEAD) de la Subsecretaría de Prevención del Delito"/>
    <x v="1839"/>
    <m/>
    <s v="Gráfico de Evolución"/>
    <s v="social variación frecuencia casos policiales robo violencia intimidación Loslitos región lagos"/>
    <x v="1482"/>
    <s v="100-R-10"/>
    <s v="#1774B379"/>
    <s v="990-1857"/>
    <n v="99200010"/>
    <s v="T-1088"/>
    <s v="C-998"/>
    <s v="FI-993"/>
    <s v="M-1158"/>
  </r>
  <r>
    <x v="1857"/>
    <n v="990"/>
    <x v="0"/>
    <x v="8"/>
    <n v="11"/>
    <x v="96"/>
    <x v="9"/>
    <x v="1"/>
    <x v="11"/>
    <s v="Ninguno"/>
    <s v="Relación entre Detenciones y Denuncias para Delitos de Homicidio y Violación"/>
    <s v="Periodo 2008-2020"/>
    <s v="Porcentaje"/>
    <s v="Centro de Estudios y Análisis del Delito (CEAD) de la Subsecretaría de Prevención del Delito"/>
    <x v="1840"/>
    <m/>
    <s v="Gráfico de Evolución"/>
    <s v="social variación frecuencia casos policiales robo violencia intimidación delitos región aysén"/>
    <x v="1483"/>
    <s v="100-R-11"/>
    <s v="#1774B380"/>
    <s v="990-1858"/>
    <n v="99200011"/>
    <s v="T-1088"/>
    <s v="C-998"/>
    <s v="FI-993"/>
    <s v="M-1158"/>
  </r>
  <r>
    <x v="1858"/>
    <n v="990"/>
    <x v="0"/>
    <x v="8"/>
    <n v="12"/>
    <x v="96"/>
    <x v="9"/>
    <x v="1"/>
    <x v="12"/>
    <s v="Ninguno"/>
    <s v="Relación entre Detenciones y Denuncias para Delitos de Homicidio y Violación"/>
    <s v="Periodo 2008-2020"/>
    <s v="Porcentaje"/>
    <s v="Centro de Estudios y Análisis del Delito (CEAD) de la Subsecretaría de Prevención del Delito"/>
    <x v="1841"/>
    <m/>
    <s v="Gráfico de Evolución"/>
    <s v="social variación frecuencia casos policiales robo violencia intimidación delitos región magallanes"/>
    <x v="1484"/>
    <s v="100-R-12"/>
    <s v="#1774B381"/>
    <s v="990-1859"/>
    <n v="99200012"/>
    <s v="T-1088"/>
    <s v="C-998"/>
    <s v="FI-993"/>
    <s v="M-1158"/>
  </r>
  <r>
    <x v="1859"/>
    <n v="990"/>
    <x v="0"/>
    <x v="8"/>
    <n v="13"/>
    <x v="96"/>
    <x v="9"/>
    <x v="1"/>
    <x v="13"/>
    <s v="Ninguno"/>
    <s v="Relación entre Detenciones y Denuncias para Delitos de Homicidio y Violación"/>
    <s v="Periodo 2008-2020"/>
    <s v="Porcentaje"/>
    <s v="Centro de Estudios y Análisis del Delito (CEAD) de la Subsecretaría de Prevención del Delito"/>
    <x v="1842"/>
    <m/>
    <s v="Gráfico de Evolución"/>
    <s v="social variación frecuencia casos policiales robo violencia intimidación Regiónlitos región metropolitana"/>
    <x v="1485"/>
    <s v="200-R-13"/>
    <s v="#1774B382"/>
    <s v="990-1860"/>
    <n v="99200013"/>
    <s v="T-1088"/>
    <s v="C-998"/>
    <s v="FI-993"/>
    <s v="M-1158"/>
  </r>
  <r>
    <x v="1860"/>
    <n v="990"/>
    <x v="0"/>
    <x v="8"/>
    <n v="14"/>
    <x v="96"/>
    <x v="9"/>
    <x v="1"/>
    <x v="14"/>
    <s v="Ninguno"/>
    <s v="Relación entre Detenciones y Denuncias para Delitos de Homicidio y Violación"/>
    <s v="Periodo 2008-2020"/>
    <s v="Porcentaje"/>
    <s v="Centro de Estudios y Análisis del Delito (CEAD) de la Subsecretaría de Prevención del Delito"/>
    <x v="1843"/>
    <m/>
    <s v="Gráfico de Evolución"/>
    <s v="social variación frecuencia casos policiales robo violencia intimidación Loslitos región ríos"/>
    <x v="1486"/>
    <s v="100-R-14"/>
    <s v="#1774B383"/>
    <s v="990-1861"/>
    <n v="99200014"/>
    <s v="T-1088"/>
    <s v="C-998"/>
    <s v="FI-993"/>
    <s v="M-1158"/>
  </r>
  <r>
    <x v="1861"/>
    <n v="990"/>
    <x v="0"/>
    <x v="8"/>
    <n v="15"/>
    <x v="96"/>
    <x v="9"/>
    <x v="1"/>
    <x v="15"/>
    <s v="Ninguno"/>
    <s v="Relación entre Detenciones y Denuncias para Delitos de Homicidio y Violación"/>
    <s v="Periodo 2008-2020"/>
    <s v="Porcentaje"/>
    <s v="Centro de Estudios y Análisis del Delito (CEAD) de la Subsecretaría de Prevención del Delito"/>
    <x v="1844"/>
    <m/>
    <s v="Gráfico de Evolución"/>
    <s v="social variación frecuencia casos policiales robo violencia intimidación ylitos región parinacota"/>
    <x v="1487"/>
    <s v="100-R-15"/>
    <s v="#1774B384"/>
    <s v="990-1862"/>
    <n v="99200015"/>
    <s v="T-1088"/>
    <s v="C-998"/>
    <s v="FI-993"/>
    <s v="M-1158"/>
  </r>
  <r>
    <x v="1862"/>
    <n v="990"/>
    <x v="0"/>
    <x v="8"/>
    <n v="16"/>
    <x v="96"/>
    <x v="9"/>
    <x v="1"/>
    <x v="16"/>
    <s v="Ninguno"/>
    <s v="Relación entre Detenciones y Denuncias para Delitos de Homicidio y Violación"/>
    <s v="Periodo 2008-2020"/>
    <s v="Porcentaje"/>
    <s v="Centro de Estudios y Análisis del Delito (CEAD) de la Subsecretaría de Prevención del Delito"/>
    <x v="1845"/>
    <m/>
    <s v="Gráfico de Evolución"/>
    <s v="social variación frecuencia casos policiales robo violencia intimidación delitos región ñuble"/>
    <x v="1488"/>
    <s v="100-R-16"/>
    <s v="#1774B385"/>
    <s v="990-1863"/>
    <n v="99200016"/>
    <s v="T-1088"/>
    <s v="C-998"/>
    <s v="FI-993"/>
    <s v="M-1158"/>
  </r>
  <r>
    <x v="1863"/>
    <n v="990"/>
    <x v="0"/>
    <x v="0"/>
    <n v="0"/>
    <x v="97"/>
    <x v="38"/>
    <x v="0"/>
    <x v="0"/>
    <s v="Región"/>
    <s v="Pobreza de la Población Autodefinida como Indígena"/>
    <s v="Año 2020"/>
    <s v="Porcentaje"/>
    <s v="Encuestas CASEN"/>
    <x v="1846"/>
    <s v="Según la encuesta CASEN realizada en 2020, existen 12 comunas en las que sobre el 50% de la población autodefinida como indígena vive en pobreza extrema y no extrema."/>
    <s v="Gráfico de Evolución"/>
    <s v="pobreza no extrema población autodefinida indígena comunal nacional chile"/>
    <x v="1489"/>
    <s v="300-C"/>
    <s v="#1774B386"/>
    <s v="990-1864"/>
    <n v="99100000"/>
    <s v="T-1089"/>
    <s v="C-1030"/>
    <s v="FI-992"/>
    <s v="M-1159"/>
  </r>
  <r>
    <x v="1864"/>
    <n v="990"/>
    <x v="0"/>
    <x v="0"/>
    <n v="1"/>
    <x v="97"/>
    <x v="38"/>
    <x v="1"/>
    <x v="1"/>
    <s v="Ninguno"/>
    <s v="Pobreza de la Población Autodefinida como Indígena"/>
    <s v="Año 2020"/>
    <s v="Porcentaje"/>
    <s v="Encuestas CASEN"/>
    <x v="1847"/>
    <m/>
    <s v="Gráfico de Evolución"/>
    <s v="pobreza no extrema población autodefinida indígena comunal región tarapacá"/>
    <x v="1490"/>
    <s v="100-C-1"/>
    <s v="#1774B387"/>
    <s v="990-1865"/>
    <n v="99200001"/>
    <s v="T-1089"/>
    <s v="C-1030"/>
    <s v="FI-993"/>
    <s v="M-1159"/>
  </r>
  <r>
    <x v="1865"/>
    <n v="990"/>
    <x v="0"/>
    <x v="0"/>
    <n v="2"/>
    <x v="97"/>
    <x v="38"/>
    <x v="1"/>
    <x v="2"/>
    <s v="Ninguno"/>
    <s v="Pobreza de la Población Autodefinida como Indígena"/>
    <s v="Año 2020"/>
    <s v="Porcentaje"/>
    <s v="Encuestas CASEN"/>
    <x v="1848"/>
    <m/>
    <s v="Gráfico de Evolución"/>
    <s v="pobreza no extrema población autodefinida indígena comunal región antofagasta"/>
    <x v="1491"/>
    <s v="100-C-2"/>
    <s v="#1774B388"/>
    <s v="990-1866"/>
    <n v="99200002"/>
    <s v="T-1089"/>
    <s v="C-1030"/>
    <s v="FI-993"/>
    <s v="M-1159"/>
  </r>
  <r>
    <x v="1866"/>
    <n v="990"/>
    <x v="0"/>
    <x v="0"/>
    <n v="3"/>
    <x v="97"/>
    <x v="38"/>
    <x v="1"/>
    <x v="3"/>
    <s v="Ninguno"/>
    <s v="Pobreza de la Población Autodefinida como Indígena"/>
    <s v="Año 2020"/>
    <s v="Porcentaje"/>
    <s v="Encuestas CASEN"/>
    <x v="1849"/>
    <m/>
    <s v="Gráfico de Evolución"/>
    <s v="pobreza no extrema población autodefinida indígena comunal región atacama"/>
    <x v="1492"/>
    <s v="100-C-3"/>
    <s v="#1774B389"/>
    <s v="990-1867"/>
    <n v="99200003"/>
    <s v="T-1089"/>
    <s v="C-1030"/>
    <s v="FI-993"/>
    <s v="M-1159"/>
  </r>
  <r>
    <x v="1867"/>
    <n v="990"/>
    <x v="0"/>
    <x v="0"/>
    <n v="4"/>
    <x v="97"/>
    <x v="38"/>
    <x v="1"/>
    <x v="4"/>
    <s v="Ninguno"/>
    <s v="Pobreza de la Población Autodefinida como Indígena"/>
    <s v="Año 2020"/>
    <s v="Porcentaje"/>
    <s v="Encuestas CASEN"/>
    <x v="1850"/>
    <m/>
    <s v="Gráfico de Evolución"/>
    <s v="pobreza no extrema población autodefinida indígena comunal región coquimbo"/>
    <x v="1493"/>
    <s v="100-C-4"/>
    <s v="#1774B390"/>
    <s v="990-1868"/>
    <n v="99200004"/>
    <s v="T-1089"/>
    <s v="C-1030"/>
    <s v="FI-993"/>
    <s v="M-1159"/>
  </r>
  <r>
    <x v="1868"/>
    <n v="990"/>
    <x v="0"/>
    <x v="0"/>
    <n v="5"/>
    <x v="97"/>
    <x v="38"/>
    <x v="1"/>
    <x v="5"/>
    <s v="Ninguno"/>
    <s v="Pobreza de la Población Autodefinida como Indígena"/>
    <s v="Año 2020"/>
    <s v="Porcentaje"/>
    <s v="Encuestas CASEN"/>
    <x v="1851"/>
    <m/>
    <s v="Gráfico de Evolución"/>
    <s v="pobreza no extrema población autodefinida indígena comunal región valparaíso"/>
    <x v="1494"/>
    <s v="100-C-5"/>
    <s v="#1774B391"/>
    <s v="990-1869"/>
    <n v="99200005"/>
    <s v="T-1089"/>
    <s v="C-1030"/>
    <s v="FI-993"/>
    <s v="M-1159"/>
  </r>
  <r>
    <x v="1869"/>
    <n v="990"/>
    <x v="0"/>
    <x v="0"/>
    <n v="6"/>
    <x v="97"/>
    <x v="38"/>
    <x v="1"/>
    <x v="6"/>
    <s v="Ninguno"/>
    <s v="Pobreza de la Población Autodefinida como Indígena"/>
    <s v="Año 2020"/>
    <s v="Porcentaje"/>
    <s v="Encuestas CASEN"/>
    <x v="1852"/>
    <m/>
    <s v="Gráfico de Evolución"/>
    <s v="pobreza no extrema población autodefinida indígena comunal región ohiggins"/>
    <x v="1495"/>
    <s v="100-C-6"/>
    <s v="#1774B392"/>
    <s v="990-1870"/>
    <n v="99200006"/>
    <s v="T-1089"/>
    <s v="C-1030"/>
    <s v="FI-993"/>
    <s v="M-1159"/>
  </r>
  <r>
    <x v="1870"/>
    <n v="990"/>
    <x v="0"/>
    <x v="0"/>
    <n v="7"/>
    <x v="97"/>
    <x v="38"/>
    <x v="1"/>
    <x v="7"/>
    <s v="Ninguno"/>
    <s v="Pobreza de la Población Autodefinida como Indígena"/>
    <s v="Año 2020"/>
    <s v="Porcentaje"/>
    <s v="Encuestas CASEN"/>
    <x v="1853"/>
    <m/>
    <s v="Gráfico de Evolución"/>
    <s v="pobreza no extrema población autodefinida indígena comunal región maule"/>
    <x v="1496"/>
    <s v="100-C-7"/>
    <s v="#1774B393"/>
    <s v="990-1871"/>
    <n v="99200007"/>
    <s v="T-1089"/>
    <s v="C-1030"/>
    <s v="FI-993"/>
    <s v="M-1159"/>
  </r>
  <r>
    <x v="1871"/>
    <n v="990"/>
    <x v="0"/>
    <x v="0"/>
    <n v="8"/>
    <x v="97"/>
    <x v="38"/>
    <x v="1"/>
    <x v="8"/>
    <s v="Ninguno"/>
    <s v="Pobreza de la Población Autodefinida como Indígena"/>
    <s v="Año 2020"/>
    <s v="Porcentaje"/>
    <s v="Encuestas CASEN"/>
    <x v="1854"/>
    <m/>
    <s v="Gráfico de Evolución"/>
    <s v="pobreza no extrema población autodefinida indígena comunal región biobío"/>
    <x v="1497"/>
    <s v="100-C-8"/>
    <s v="#1774B394"/>
    <s v="990-1872"/>
    <n v="99200008"/>
    <s v="T-1089"/>
    <s v="C-1030"/>
    <s v="FI-993"/>
    <s v="M-1159"/>
  </r>
  <r>
    <x v="1872"/>
    <n v="990"/>
    <x v="0"/>
    <x v="0"/>
    <n v="9"/>
    <x v="97"/>
    <x v="38"/>
    <x v="1"/>
    <x v="9"/>
    <s v="Ninguno"/>
    <s v="Pobreza de la Población Autodefinida como Indígena"/>
    <s v="Año 2020"/>
    <s v="Porcentaje"/>
    <s v="Encuestas CASEN"/>
    <x v="1855"/>
    <m/>
    <s v="Gráfico de Evolución"/>
    <s v="pobreza no extrema población autodefinida indígena comunal región araucanía"/>
    <x v="1498"/>
    <s v="100-C-9"/>
    <s v="#1774B395"/>
    <s v="990-1873"/>
    <n v="99200009"/>
    <s v="T-1089"/>
    <s v="C-1030"/>
    <s v="FI-993"/>
    <s v="M-1159"/>
  </r>
  <r>
    <x v="1873"/>
    <n v="990"/>
    <x v="0"/>
    <x v="0"/>
    <n v="10"/>
    <x v="97"/>
    <x v="38"/>
    <x v="1"/>
    <x v="10"/>
    <s v="Ninguno"/>
    <s v="Pobreza de la Población Autodefinida como Indígena"/>
    <s v="Año 2020"/>
    <s v="Porcentaje"/>
    <s v="Encuestas CASEN"/>
    <x v="1856"/>
    <m/>
    <s v="Gráfico de Evolución"/>
    <s v="pobreza no extrema población autodefinida indígena comunal región los lagos"/>
    <x v="1499"/>
    <s v="100-C-10"/>
    <s v="#1774B396"/>
    <s v="990-1874"/>
    <n v="99200010"/>
    <s v="T-1089"/>
    <s v="C-1030"/>
    <s v="FI-993"/>
    <s v="M-1159"/>
  </r>
  <r>
    <x v="1874"/>
    <n v="990"/>
    <x v="0"/>
    <x v="0"/>
    <n v="11"/>
    <x v="97"/>
    <x v="38"/>
    <x v="1"/>
    <x v="11"/>
    <s v="Ninguno"/>
    <s v="Pobreza de la Población Autodefinida como Indígena"/>
    <s v="Año 2020"/>
    <s v="Porcentaje"/>
    <s v="Encuestas CASEN"/>
    <x v="1857"/>
    <m/>
    <s v="Gráfico de Evolución"/>
    <s v="pobreza no extrema población autodefinida indígena comunal región aysén"/>
    <x v="1500"/>
    <s v="100-C-11"/>
    <s v="#1774B397"/>
    <s v="990-1875"/>
    <n v="99200011"/>
    <s v="T-1089"/>
    <s v="C-1030"/>
    <s v="FI-993"/>
    <s v="M-1159"/>
  </r>
  <r>
    <x v="1875"/>
    <n v="990"/>
    <x v="0"/>
    <x v="0"/>
    <n v="12"/>
    <x v="97"/>
    <x v="38"/>
    <x v="1"/>
    <x v="12"/>
    <s v="Ninguno"/>
    <s v="Pobreza de la Población Autodefinida como Indígena"/>
    <s v="Año 2020"/>
    <s v="Porcentaje"/>
    <s v="Encuestas CASEN"/>
    <x v="1858"/>
    <m/>
    <s v="Gráfico de Evolución"/>
    <s v="pobreza no extrema población autodefinida indígena comunal región magallanes"/>
    <x v="1501"/>
    <s v="100-C-12"/>
    <s v="#1774B398"/>
    <s v="990-1876"/>
    <n v="99200012"/>
    <s v="T-1089"/>
    <s v="C-1030"/>
    <s v="FI-993"/>
    <s v="M-1159"/>
  </r>
  <r>
    <x v="1876"/>
    <n v="990"/>
    <x v="0"/>
    <x v="0"/>
    <n v="13"/>
    <x v="97"/>
    <x v="38"/>
    <x v="1"/>
    <x v="13"/>
    <s v="Ninguno"/>
    <s v="Pobreza de la Población Autodefinida como Indígena"/>
    <s v="Año 2020"/>
    <s v="Porcentaje"/>
    <s v="Encuestas CASEN"/>
    <x v="1859"/>
    <m/>
    <s v="Gráfico de Evolución"/>
    <s v="pobreza no extrema población autodefinida indígena comunal región metropolitana"/>
    <x v="1502"/>
    <s v="200-C-13"/>
    <s v="#1774B399"/>
    <s v="990-1877"/>
    <n v="99200013"/>
    <s v="T-1089"/>
    <s v="C-1030"/>
    <s v="FI-993"/>
    <s v="M-1159"/>
  </r>
  <r>
    <x v="1877"/>
    <n v="990"/>
    <x v="0"/>
    <x v="0"/>
    <n v="14"/>
    <x v="97"/>
    <x v="38"/>
    <x v="1"/>
    <x v="14"/>
    <s v="Ninguno"/>
    <s v="Pobreza de la Población Autodefinida como Indígena"/>
    <s v="Año 2020"/>
    <s v="Porcentaje"/>
    <s v="Encuestas CASEN"/>
    <x v="1860"/>
    <m/>
    <s v="Gráfico de Evolución"/>
    <s v="pobreza no extrema población autodefinida indígena comunal región los ríos"/>
    <x v="1503"/>
    <s v="100-C-14"/>
    <s v="#1774B400"/>
    <s v="990-1878"/>
    <n v="99200014"/>
    <s v="T-1089"/>
    <s v="C-1030"/>
    <s v="FI-993"/>
    <s v="M-1159"/>
  </r>
  <r>
    <x v="1878"/>
    <n v="990"/>
    <x v="0"/>
    <x v="0"/>
    <n v="15"/>
    <x v="97"/>
    <x v="38"/>
    <x v="1"/>
    <x v="15"/>
    <s v="Ninguno"/>
    <s v="Pobreza de la Población Autodefinida como Indígena"/>
    <s v="Año 2020"/>
    <s v="Porcentaje"/>
    <s v="Encuestas CASEN"/>
    <x v="1861"/>
    <m/>
    <s v="Gráfico de Evolución"/>
    <s v="pobreza no extrema población autodefinida indígena comunal región arica parinacota"/>
    <x v="1504"/>
    <s v="100-C-15"/>
    <s v="#1774B401"/>
    <s v="990-1879"/>
    <n v="99200015"/>
    <s v="T-1089"/>
    <s v="C-1030"/>
    <s v="FI-993"/>
    <s v="M-1159"/>
  </r>
  <r>
    <x v="1879"/>
    <n v="990"/>
    <x v="0"/>
    <x v="0"/>
    <n v="16"/>
    <x v="97"/>
    <x v="38"/>
    <x v="1"/>
    <x v="16"/>
    <s v="Ninguno"/>
    <s v="Pobreza de la Población Autodefinida como Indígena"/>
    <s v="Año 2020"/>
    <s v="Porcentaje"/>
    <s v="Encuestas CASEN"/>
    <x v="1862"/>
    <m/>
    <s v="Gráfico de Evolución"/>
    <s v="pobreza no extrema población autodefinida indígena comunal región ñuble"/>
    <x v="1505"/>
    <s v="100-C-16"/>
    <s v="#1774B402"/>
    <s v="990-1880"/>
    <n v="99200016"/>
    <s v="T-1089"/>
    <s v="C-1030"/>
    <s v="FI-993"/>
    <s v="M-1159"/>
  </r>
  <r>
    <x v="1880"/>
    <n v="990"/>
    <x v="0"/>
    <x v="0"/>
    <n v="0"/>
    <x v="97"/>
    <x v="38"/>
    <x v="0"/>
    <x v="0"/>
    <s v="Región"/>
    <s v="Pobreza y Pobreza Extrema"/>
    <s v="Periodo 2006-2020"/>
    <s v="Porcentaje"/>
    <s v="Encuestas CASEN"/>
    <x v="1863"/>
    <s v="De acuerdo a los resultados de la encuesta CASEN, los niveles de pobreza han disminuido de un 8,8% en el año 2006 a un 6,5% en el año 2020. Al contrario, la pobreza extrema ha aumentado de un 2,5% a un 4,3% en ese mismo periodo."/>
    <s v="Gráfico de Evolución"/>
    <s v="socioeconómico evolución variación CASEN pobreza extrema nacional chile"/>
    <x v="1506"/>
    <s v="300-R"/>
    <s v="#1774B403"/>
    <s v="990-1881"/>
    <n v="99100000"/>
    <s v="T-1089"/>
    <s v="C-1030"/>
    <s v="FI-992"/>
    <s v="M-1160"/>
  </r>
  <r>
    <x v="1881"/>
    <n v="990"/>
    <x v="0"/>
    <x v="0"/>
    <n v="1"/>
    <x v="97"/>
    <x v="38"/>
    <x v="1"/>
    <x v="1"/>
    <s v="Ninguno"/>
    <s v="Pobreza y Pobreza Extrema"/>
    <s v="Periodo 2006-2020"/>
    <s v="Porcentaje"/>
    <s v="Encuestas CASEN"/>
    <x v="1864"/>
    <m/>
    <s v="Gráfico de Evolución"/>
    <s v="socioeconómico evolución variación CASEN pobreza extrema región tarapacá"/>
    <x v="1507"/>
    <s v="100-R-1"/>
    <s v="#1774B404"/>
    <s v="990-1882"/>
    <n v="99200001"/>
    <s v="T-1089"/>
    <s v="C-1030"/>
    <s v="FI-993"/>
    <s v="M-1160"/>
  </r>
  <r>
    <x v="1882"/>
    <n v="990"/>
    <x v="0"/>
    <x v="0"/>
    <n v="2"/>
    <x v="97"/>
    <x v="38"/>
    <x v="1"/>
    <x v="2"/>
    <s v="Ninguno"/>
    <s v="Pobreza y Pobreza Extrema"/>
    <s v="Periodo 2006-2020"/>
    <s v="Porcentaje"/>
    <s v="Encuestas CASEN"/>
    <x v="1865"/>
    <m/>
    <s v="Gráfico de Evolución"/>
    <s v="socioeconómico evolución variación CASEN pobreza extrema región antofagasta"/>
    <x v="1508"/>
    <s v="100-R-2"/>
    <s v="#1774B405"/>
    <s v="990-1883"/>
    <n v="99200002"/>
    <s v="T-1089"/>
    <s v="C-1030"/>
    <s v="FI-993"/>
    <s v="M-1160"/>
  </r>
  <r>
    <x v="1883"/>
    <n v="990"/>
    <x v="0"/>
    <x v="0"/>
    <n v="3"/>
    <x v="97"/>
    <x v="38"/>
    <x v="1"/>
    <x v="3"/>
    <s v="Ninguno"/>
    <s v="Pobreza y Pobreza Extrema"/>
    <s v="Periodo 2006-2020"/>
    <s v="Porcentaje"/>
    <s v="Encuestas CASEN"/>
    <x v="1866"/>
    <m/>
    <s v="Gráfico de Evolución"/>
    <s v="socioeconómico evolución variación CASEN pobreza extrema región atacama"/>
    <x v="1509"/>
    <s v="100-R-3"/>
    <s v="#1774B406"/>
    <s v="990-1884"/>
    <n v="99200003"/>
    <s v="T-1089"/>
    <s v="C-1030"/>
    <s v="FI-993"/>
    <s v="M-1160"/>
  </r>
  <r>
    <x v="1884"/>
    <n v="990"/>
    <x v="0"/>
    <x v="0"/>
    <n v="4"/>
    <x v="97"/>
    <x v="38"/>
    <x v="1"/>
    <x v="4"/>
    <s v="Ninguno"/>
    <s v="Pobreza y Pobreza Extrema"/>
    <s v="Periodo 2006-2020"/>
    <s v="Porcentaje"/>
    <s v="Encuestas CASEN"/>
    <x v="1867"/>
    <m/>
    <s v="Gráfico de Evolución"/>
    <s v="socioeconómico evolución variación CASEN pobreza extrema región coquimbo"/>
    <x v="1510"/>
    <s v="100-R-4"/>
    <s v="#1774B407"/>
    <s v="990-1885"/>
    <n v="99200004"/>
    <s v="T-1089"/>
    <s v="C-1030"/>
    <s v="FI-993"/>
    <s v="M-1160"/>
  </r>
  <r>
    <x v="1885"/>
    <n v="990"/>
    <x v="0"/>
    <x v="0"/>
    <n v="5"/>
    <x v="97"/>
    <x v="38"/>
    <x v="1"/>
    <x v="5"/>
    <s v="Ninguno"/>
    <s v="Pobreza y Pobreza Extrema"/>
    <s v="Periodo 2006-2020"/>
    <s v="Porcentaje"/>
    <s v="Encuestas CASEN"/>
    <x v="1868"/>
    <m/>
    <s v="Gráfico de Evolución"/>
    <s v="socioeconómico evolución variación CASEN pobreza extrema región valparaíso"/>
    <x v="1511"/>
    <s v="100-R-5"/>
    <s v="#1774B408"/>
    <s v="990-1886"/>
    <n v="99200005"/>
    <s v="T-1089"/>
    <s v="C-1030"/>
    <s v="FI-993"/>
    <s v="M-1160"/>
  </r>
  <r>
    <x v="1886"/>
    <n v="990"/>
    <x v="0"/>
    <x v="0"/>
    <n v="6"/>
    <x v="97"/>
    <x v="38"/>
    <x v="1"/>
    <x v="6"/>
    <s v="Ninguno"/>
    <s v="Pobreza y Pobreza Extrema"/>
    <s v="Periodo 2006-2020"/>
    <s v="Porcentaje"/>
    <s v="Encuestas CASEN"/>
    <x v="1869"/>
    <m/>
    <s v="Gráfico de Evolución"/>
    <s v="socioeconómico evolución variación CASEN pobreza extrema región ohiggins"/>
    <x v="1512"/>
    <s v="100-R-6"/>
    <s v="#1774B409"/>
    <s v="990-1887"/>
    <n v="99200006"/>
    <s v="T-1089"/>
    <s v="C-1030"/>
    <s v="FI-993"/>
    <s v="M-1160"/>
  </r>
  <r>
    <x v="1887"/>
    <n v="990"/>
    <x v="0"/>
    <x v="0"/>
    <n v="7"/>
    <x v="97"/>
    <x v="38"/>
    <x v="1"/>
    <x v="7"/>
    <s v="Ninguno"/>
    <s v="Pobreza y Pobreza Extrema"/>
    <s v="Periodo 2006-2020"/>
    <s v="Porcentaje"/>
    <s v="Encuestas CASEN"/>
    <x v="1870"/>
    <m/>
    <s v="Gráfico de Evolución"/>
    <s v="socioeconómico evolución variación CASEN pobreza extrema región maule"/>
    <x v="1513"/>
    <s v="100-R-7"/>
    <s v="#1774B410"/>
    <s v="990-1888"/>
    <n v="99200007"/>
    <s v="T-1089"/>
    <s v="C-1030"/>
    <s v="FI-993"/>
    <s v="M-1160"/>
  </r>
  <r>
    <x v="1888"/>
    <n v="990"/>
    <x v="0"/>
    <x v="0"/>
    <n v="8"/>
    <x v="97"/>
    <x v="38"/>
    <x v="1"/>
    <x v="8"/>
    <s v="Ninguno"/>
    <s v="Pobreza y Pobreza Extrema"/>
    <s v="Periodo 2006-2020"/>
    <s v="Porcentaje"/>
    <s v="Encuestas CASEN"/>
    <x v="1871"/>
    <m/>
    <s v="Gráfico de Evolución"/>
    <s v="socioeconómico evolución variación CASEN pobreza extrema región biobío"/>
    <x v="1514"/>
    <s v="100-R-8"/>
    <s v="#1774B411"/>
    <s v="990-1889"/>
    <n v="99200008"/>
    <s v="T-1089"/>
    <s v="C-1030"/>
    <s v="FI-993"/>
    <s v="M-1160"/>
  </r>
  <r>
    <x v="1889"/>
    <n v="990"/>
    <x v="0"/>
    <x v="0"/>
    <n v="9"/>
    <x v="97"/>
    <x v="38"/>
    <x v="1"/>
    <x v="9"/>
    <s v="Ninguno"/>
    <s v="Pobreza y Pobreza Extrema"/>
    <s v="Periodo 2006-2020"/>
    <s v="Porcentaje"/>
    <s v="Encuestas CASEN"/>
    <x v="1872"/>
    <m/>
    <s v="Gráfico de Evolución"/>
    <s v="socioeconómico evolución variación CASEN pobreza extrema región araucanía"/>
    <x v="1515"/>
    <s v="100-R-9"/>
    <s v="#1774B412"/>
    <s v="990-1890"/>
    <n v="99200009"/>
    <s v="T-1089"/>
    <s v="C-1030"/>
    <s v="FI-993"/>
    <s v="M-1160"/>
  </r>
  <r>
    <x v="1890"/>
    <n v="990"/>
    <x v="0"/>
    <x v="0"/>
    <n v="10"/>
    <x v="97"/>
    <x v="38"/>
    <x v="1"/>
    <x v="10"/>
    <s v="Ninguno"/>
    <s v="Pobreza y Pobreza Extrema"/>
    <s v="Periodo 2006-2020"/>
    <s v="Porcentaje"/>
    <s v="Encuestas CASEN"/>
    <x v="1873"/>
    <m/>
    <s v="Gráfico de Evolución"/>
    <s v="socioeconómico evolución variación CASEN pobreza extrema región los lagos"/>
    <x v="1516"/>
    <s v="100-R-10"/>
    <s v="#1774B413"/>
    <s v="990-1891"/>
    <n v="99200010"/>
    <s v="T-1089"/>
    <s v="C-1030"/>
    <s v="FI-993"/>
    <s v="M-1160"/>
  </r>
  <r>
    <x v="1891"/>
    <n v="990"/>
    <x v="0"/>
    <x v="0"/>
    <n v="11"/>
    <x v="97"/>
    <x v="38"/>
    <x v="1"/>
    <x v="11"/>
    <s v="Ninguno"/>
    <s v="Pobreza y Pobreza Extrema"/>
    <s v="Periodo 2006-2020"/>
    <s v="Porcentaje"/>
    <s v="Encuestas CASEN"/>
    <x v="1874"/>
    <m/>
    <s v="Gráfico de Evolución"/>
    <s v="socioeconómico evolución variación CASEN pobreza extrema región aysén"/>
    <x v="1517"/>
    <s v="100-R-11"/>
    <s v="#1774B414"/>
    <s v="990-1892"/>
    <n v="99200011"/>
    <s v="T-1089"/>
    <s v="C-1030"/>
    <s v="FI-993"/>
    <s v="M-1160"/>
  </r>
  <r>
    <x v="1892"/>
    <n v="990"/>
    <x v="0"/>
    <x v="0"/>
    <n v="12"/>
    <x v="97"/>
    <x v="38"/>
    <x v="1"/>
    <x v="12"/>
    <s v="Ninguno"/>
    <s v="Pobreza y Pobreza Extrema"/>
    <s v="Periodo 2006-2020"/>
    <s v="Porcentaje"/>
    <s v="Encuestas CASEN"/>
    <x v="1875"/>
    <m/>
    <s v="Gráfico de Evolución"/>
    <s v="socioeconómico evolución variación CASEN pobreza extrema región magallanes"/>
    <x v="1518"/>
    <s v="100-R-12"/>
    <s v="#1774B415"/>
    <s v="990-1893"/>
    <n v="99200012"/>
    <s v="T-1089"/>
    <s v="C-1030"/>
    <s v="FI-993"/>
    <s v="M-1160"/>
  </r>
  <r>
    <x v="1893"/>
    <n v="990"/>
    <x v="0"/>
    <x v="0"/>
    <n v="13"/>
    <x v="97"/>
    <x v="38"/>
    <x v="1"/>
    <x v="13"/>
    <s v="Ninguno"/>
    <s v="Pobreza y Pobreza Extrema"/>
    <s v="Periodo 2006-2020"/>
    <s v="Porcentaje"/>
    <s v="Encuestas CASEN"/>
    <x v="1876"/>
    <m/>
    <s v="Gráfico de Evolución"/>
    <s v="socioeconómico evolución variación CASEN pobreza extrema región metropolitana"/>
    <x v="1519"/>
    <s v="200-R-13"/>
    <s v="#1774B416"/>
    <s v="990-1894"/>
    <n v="99200013"/>
    <s v="T-1089"/>
    <s v="C-1030"/>
    <s v="FI-993"/>
    <s v="M-1160"/>
  </r>
  <r>
    <x v="1894"/>
    <n v="990"/>
    <x v="0"/>
    <x v="0"/>
    <n v="14"/>
    <x v="97"/>
    <x v="38"/>
    <x v="1"/>
    <x v="14"/>
    <s v="Ninguno"/>
    <s v="Pobreza y Pobreza Extrema"/>
    <s v="Periodo 2006-2020"/>
    <s v="Porcentaje"/>
    <s v="Encuestas CASEN"/>
    <x v="1877"/>
    <m/>
    <s v="Gráfico de Evolución"/>
    <s v="socioeconómico evolución variación CASEN pobreza extrema región los ríos"/>
    <x v="1520"/>
    <s v="100-R-14"/>
    <s v="#1774B417"/>
    <s v="990-1895"/>
    <n v="99200014"/>
    <s v="T-1089"/>
    <s v="C-1030"/>
    <s v="FI-993"/>
    <s v="M-1160"/>
  </r>
  <r>
    <x v="1895"/>
    <n v="990"/>
    <x v="0"/>
    <x v="0"/>
    <n v="15"/>
    <x v="97"/>
    <x v="38"/>
    <x v="1"/>
    <x v="15"/>
    <s v="Ninguno"/>
    <s v="Pobreza y Pobreza Extrema"/>
    <s v="Periodo 2006-2020"/>
    <s v="Porcentaje"/>
    <s v="Encuestas CASEN"/>
    <x v="1878"/>
    <m/>
    <s v="Gráfico de Evolución"/>
    <s v="socioeconómico evolución variación CASEN pobreza extrema región arica parinacota"/>
    <x v="1521"/>
    <s v="100-R-15"/>
    <s v="#1774B418"/>
    <s v="990-1896"/>
    <n v="99200015"/>
    <s v="T-1089"/>
    <s v="C-1030"/>
    <s v="FI-993"/>
    <s v="M-1160"/>
  </r>
  <r>
    <x v="1896"/>
    <n v="990"/>
    <x v="0"/>
    <x v="0"/>
    <n v="16"/>
    <x v="97"/>
    <x v="38"/>
    <x v="1"/>
    <x v="16"/>
    <s v="Ninguno"/>
    <s v="Pobreza y Pobreza Extrema"/>
    <s v="Periodo 2006-2020"/>
    <s v="Porcentaje"/>
    <s v="Encuestas CASEN"/>
    <x v="1879"/>
    <m/>
    <s v="Gráfico de Evolución"/>
    <s v="socioeconómico evolución variación CASEN pobreza extrema región ñuble"/>
    <x v="1522"/>
    <s v="100-R-16"/>
    <s v="#1774B419"/>
    <s v="990-1897"/>
    <n v="99200016"/>
    <s v="T-1089"/>
    <s v="C-1030"/>
    <s v="FI-993"/>
    <s v="M-1160"/>
  </r>
  <r>
    <x v="1897"/>
    <n v="990"/>
    <x v="0"/>
    <x v="0"/>
    <n v="0"/>
    <x v="98"/>
    <x v="38"/>
    <x v="0"/>
    <x v="0"/>
    <s v="Región"/>
    <s v="Pobreza Extrema"/>
    <s v="Año 2020"/>
    <s v="Porcentaje"/>
    <s v="Encuestas CASEN"/>
    <x v="1880"/>
    <s v="Según la encuesta CASEN del año 2020, existen 28 comunas en Chile que tienen sobre un 10% de pobreza extrema. En cambio, solo 15 comunas tienen un porcentaje de pobreza extrema menor o igual a 1%."/>
    <s v="Gráfico de Evolución"/>
    <s v="socioeconómico porcentaje mapa pobreza extrema comunal chile"/>
    <x v="1523"/>
    <s v="300-C"/>
    <s v="#1774B420"/>
    <s v="990-1898"/>
    <n v="99100000"/>
    <s v="T-1090"/>
    <s v="C-1030"/>
    <s v="FI-992"/>
    <s v="M-1161"/>
  </r>
  <r>
    <x v="1898"/>
    <n v="990"/>
    <x v="0"/>
    <x v="0"/>
    <n v="1"/>
    <x v="98"/>
    <x v="38"/>
    <x v="1"/>
    <x v="1"/>
    <s v="Ninguno"/>
    <s v="Pobreza Extrema"/>
    <s v="Año 2020"/>
    <s v="Porcentaje"/>
    <s v="Encuestas CASEN"/>
    <x v="1881"/>
    <m/>
    <s v="Gráfico de Evolución"/>
    <s v="socioeconómico porcentaje mapa pobreza extrema comunal región tarapacá"/>
    <x v="1524"/>
    <s v="100-C-1"/>
    <s v="#1774B421"/>
    <s v="990-1899"/>
    <n v="99200001"/>
    <s v="T-1090"/>
    <s v="C-1030"/>
    <s v="FI-993"/>
    <s v="M-1161"/>
  </r>
  <r>
    <x v="1899"/>
    <n v="990"/>
    <x v="0"/>
    <x v="0"/>
    <n v="2"/>
    <x v="98"/>
    <x v="38"/>
    <x v="1"/>
    <x v="2"/>
    <s v="Ninguno"/>
    <s v="Pobreza Extrema"/>
    <s v="Año 2020"/>
    <s v="Porcentaje"/>
    <s v="Encuestas CASEN"/>
    <x v="1882"/>
    <m/>
    <s v="Gráfico de Evolución"/>
    <s v="socioeconómico porcentaje mapa pobreza extrema comunal región antofagasta"/>
    <x v="1525"/>
    <s v="100-C-2"/>
    <s v="#1774B422"/>
    <s v="990-1900"/>
    <n v="99200002"/>
    <s v="T-1090"/>
    <s v="C-1030"/>
    <s v="FI-993"/>
    <s v="M-1161"/>
  </r>
  <r>
    <x v="1900"/>
    <n v="990"/>
    <x v="0"/>
    <x v="0"/>
    <n v="3"/>
    <x v="98"/>
    <x v="38"/>
    <x v="1"/>
    <x v="3"/>
    <s v="Ninguno"/>
    <s v="Pobreza Extrema"/>
    <s v="Año 2020"/>
    <s v="Porcentaje"/>
    <s v="Encuestas CASEN"/>
    <x v="1883"/>
    <m/>
    <s v="Gráfico de Evolución"/>
    <s v="socioeconómico porcentaje mapa pobreza extrema comunal región atacama"/>
    <x v="1526"/>
    <s v="100-C-3"/>
    <s v="#1774B423"/>
    <s v="990-1901"/>
    <n v="99200003"/>
    <s v="T-1090"/>
    <s v="C-1030"/>
    <s v="FI-993"/>
    <s v="M-1161"/>
  </r>
  <r>
    <x v="1901"/>
    <n v="990"/>
    <x v="0"/>
    <x v="0"/>
    <n v="4"/>
    <x v="98"/>
    <x v="38"/>
    <x v="1"/>
    <x v="4"/>
    <s v="Ninguno"/>
    <s v="Pobreza Extrema"/>
    <s v="Año 2020"/>
    <s v="Porcentaje"/>
    <s v="Encuestas CASEN"/>
    <x v="1884"/>
    <m/>
    <s v="Gráfico de Evolución"/>
    <s v="socioeconómico porcentaje mapa pobreza extrema comunal región coquimbo"/>
    <x v="1527"/>
    <s v="100-C-4"/>
    <s v="#1774B424"/>
    <s v="990-1902"/>
    <n v="99200004"/>
    <s v="T-1090"/>
    <s v="C-1030"/>
    <s v="FI-993"/>
    <s v="M-1161"/>
  </r>
  <r>
    <x v="1902"/>
    <n v="990"/>
    <x v="0"/>
    <x v="0"/>
    <n v="5"/>
    <x v="98"/>
    <x v="38"/>
    <x v="1"/>
    <x v="5"/>
    <s v="Ninguno"/>
    <s v="Pobreza Extrema"/>
    <s v="Año 2020"/>
    <s v="Porcentaje"/>
    <s v="Encuestas CASEN"/>
    <x v="1885"/>
    <m/>
    <s v="Gráfico de Evolución"/>
    <s v="socioeconómico porcentaje mapa pobreza extrema comunal región valparaíso"/>
    <x v="1528"/>
    <s v="100-C-5"/>
    <s v="#1774B425"/>
    <s v="990-1903"/>
    <n v="99200005"/>
    <s v="T-1090"/>
    <s v="C-1030"/>
    <s v="FI-993"/>
    <s v="M-1161"/>
  </r>
  <r>
    <x v="1903"/>
    <n v="990"/>
    <x v="0"/>
    <x v="0"/>
    <n v="6"/>
    <x v="98"/>
    <x v="38"/>
    <x v="1"/>
    <x v="6"/>
    <s v="Ninguno"/>
    <s v="Pobreza Extrema"/>
    <s v="Año 2020"/>
    <s v="Porcentaje"/>
    <s v="Encuestas CASEN"/>
    <x v="1886"/>
    <m/>
    <s v="Gráfico de Evolución"/>
    <s v="socioeconómico porcentaje mapa pobreza extrema comunal región ohiggins"/>
    <x v="1529"/>
    <s v="100-C-6"/>
    <s v="#1774B426"/>
    <s v="990-1904"/>
    <n v="99200006"/>
    <s v="T-1090"/>
    <s v="C-1030"/>
    <s v="FI-993"/>
    <s v="M-1161"/>
  </r>
  <r>
    <x v="1904"/>
    <n v="990"/>
    <x v="0"/>
    <x v="0"/>
    <n v="7"/>
    <x v="98"/>
    <x v="38"/>
    <x v="1"/>
    <x v="7"/>
    <s v="Ninguno"/>
    <s v="Pobreza Extrema"/>
    <s v="Año 2020"/>
    <s v="Porcentaje"/>
    <s v="Encuestas CASEN"/>
    <x v="1887"/>
    <m/>
    <s v="Gráfico de Evolución"/>
    <s v="socioeconómico porcentaje mapa pobreza extrema comunal región maule"/>
    <x v="1530"/>
    <s v="100-C-7"/>
    <s v="#1774B427"/>
    <s v="990-1905"/>
    <n v="99200007"/>
    <s v="T-1090"/>
    <s v="C-1030"/>
    <s v="FI-993"/>
    <s v="M-1161"/>
  </r>
  <r>
    <x v="1905"/>
    <n v="990"/>
    <x v="0"/>
    <x v="0"/>
    <n v="8"/>
    <x v="98"/>
    <x v="38"/>
    <x v="1"/>
    <x v="8"/>
    <s v="Ninguno"/>
    <s v="Pobreza Extrema"/>
    <s v="Año 2020"/>
    <s v="Porcentaje"/>
    <s v="Encuestas CASEN"/>
    <x v="1888"/>
    <m/>
    <s v="Gráfico de Evolución"/>
    <s v="socioeconómico porcentaje mapa pobreza extrema comunal región biobío"/>
    <x v="1531"/>
    <s v="100-C-8"/>
    <s v="#1774B428"/>
    <s v="990-1906"/>
    <n v="99200008"/>
    <s v="T-1090"/>
    <s v="C-1030"/>
    <s v="FI-993"/>
    <s v="M-1161"/>
  </r>
  <r>
    <x v="1906"/>
    <n v="990"/>
    <x v="0"/>
    <x v="0"/>
    <n v="9"/>
    <x v="98"/>
    <x v="38"/>
    <x v="1"/>
    <x v="9"/>
    <s v="Ninguno"/>
    <s v="Pobreza Extrema"/>
    <s v="Año 2020"/>
    <s v="Porcentaje"/>
    <s v="Encuestas CASEN"/>
    <x v="1889"/>
    <m/>
    <s v="Gráfico de Evolución"/>
    <s v="socioeconómico porcentaje mapa pobreza extrema comunal región araucanía"/>
    <x v="1532"/>
    <s v="100-C-9"/>
    <s v="#1774B429"/>
    <s v="990-1907"/>
    <n v="99200009"/>
    <s v="T-1090"/>
    <s v="C-1030"/>
    <s v="FI-993"/>
    <s v="M-1161"/>
  </r>
  <r>
    <x v="1907"/>
    <n v="990"/>
    <x v="0"/>
    <x v="0"/>
    <n v="10"/>
    <x v="98"/>
    <x v="38"/>
    <x v="1"/>
    <x v="10"/>
    <s v="Ninguno"/>
    <s v="Pobreza Extrema"/>
    <s v="Año 2020"/>
    <s v="Porcentaje"/>
    <s v="Encuestas CASEN"/>
    <x v="1890"/>
    <m/>
    <s v="Gráfico de Evolución"/>
    <s v="socioeconómico porcentaje mapa pobreza extrema comunal región los lagos"/>
    <x v="1533"/>
    <s v="100-C-10"/>
    <s v="#1774B430"/>
    <s v="990-1908"/>
    <n v="99200010"/>
    <s v="T-1090"/>
    <s v="C-1030"/>
    <s v="FI-993"/>
    <s v="M-1161"/>
  </r>
  <r>
    <x v="1908"/>
    <n v="990"/>
    <x v="0"/>
    <x v="0"/>
    <n v="11"/>
    <x v="98"/>
    <x v="38"/>
    <x v="1"/>
    <x v="11"/>
    <s v="Ninguno"/>
    <s v="Pobreza Extrema"/>
    <s v="Año 2020"/>
    <s v="Porcentaje"/>
    <s v="Encuestas CASEN"/>
    <x v="1891"/>
    <m/>
    <s v="Gráfico de Evolución"/>
    <s v="socioeconómico porcentaje mapa pobreza extrema comunal región aysén"/>
    <x v="1534"/>
    <s v="100-C-11"/>
    <s v="#1774B431"/>
    <s v="990-1909"/>
    <n v="99200011"/>
    <s v="T-1090"/>
    <s v="C-1030"/>
    <s v="FI-993"/>
    <s v="M-1161"/>
  </r>
  <r>
    <x v="1909"/>
    <n v="990"/>
    <x v="0"/>
    <x v="0"/>
    <n v="12"/>
    <x v="98"/>
    <x v="38"/>
    <x v="1"/>
    <x v="12"/>
    <s v="Ninguno"/>
    <s v="Pobreza Extrema"/>
    <s v="Año 2020"/>
    <s v="Porcentaje"/>
    <s v="Encuestas CASEN"/>
    <x v="1892"/>
    <m/>
    <s v="Gráfico de Evolución"/>
    <s v="socioeconómico porcentaje mapa pobreza extrema comunal región magallanes"/>
    <x v="1535"/>
    <s v="100-C-12"/>
    <s v="#1774B432"/>
    <s v="990-1910"/>
    <n v="99200012"/>
    <s v="T-1090"/>
    <s v="C-1030"/>
    <s v="FI-993"/>
    <s v="M-1161"/>
  </r>
  <r>
    <x v="1910"/>
    <n v="990"/>
    <x v="0"/>
    <x v="0"/>
    <n v="13"/>
    <x v="98"/>
    <x v="38"/>
    <x v="1"/>
    <x v="13"/>
    <s v="Ninguno"/>
    <s v="Pobreza Extrema"/>
    <s v="Año 2020"/>
    <s v="Porcentaje"/>
    <s v="Encuestas CASEN"/>
    <x v="1893"/>
    <m/>
    <s v="Gráfico de Evolución"/>
    <s v="socioeconómico porcentaje mapa pobreza extrema comunal región metropolitana"/>
    <x v="1536"/>
    <s v="200-C-13"/>
    <s v="#1774B433"/>
    <s v="990-1911"/>
    <n v="99200013"/>
    <s v="T-1090"/>
    <s v="C-1030"/>
    <s v="FI-993"/>
    <s v="M-1161"/>
  </r>
  <r>
    <x v="1911"/>
    <n v="990"/>
    <x v="0"/>
    <x v="0"/>
    <n v="14"/>
    <x v="98"/>
    <x v="38"/>
    <x v="1"/>
    <x v="14"/>
    <s v="Ninguno"/>
    <s v="Pobreza Extrema"/>
    <s v="Año 2020"/>
    <s v="Porcentaje"/>
    <s v="Encuestas CASEN"/>
    <x v="1894"/>
    <m/>
    <s v="Gráfico de Evolución"/>
    <s v="socioeconómico porcentaje mapa pobreza extrema comunal región los ríos"/>
    <x v="1537"/>
    <s v="100-C-14"/>
    <s v="#1774B434"/>
    <s v="990-1912"/>
    <n v="99200014"/>
    <s v="T-1090"/>
    <s v="C-1030"/>
    <s v="FI-993"/>
    <s v="M-1161"/>
  </r>
  <r>
    <x v="1912"/>
    <n v="990"/>
    <x v="0"/>
    <x v="0"/>
    <n v="15"/>
    <x v="98"/>
    <x v="38"/>
    <x v="1"/>
    <x v="15"/>
    <s v="Ninguno"/>
    <s v="Pobreza Extrema"/>
    <s v="Año 2020"/>
    <s v="Porcentaje"/>
    <s v="Encuestas CASEN"/>
    <x v="1895"/>
    <m/>
    <s v="Gráfico de Evolución"/>
    <s v="socioeconómico porcentaje mapa pobreza extrema comunal región arica parinacota"/>
    <x v="1538"/>
    <s v="100-C-15"/>
    <s v="#1774B435"/>
    <s v="990-1913"/>
    <n v="99200015"/>
    <s v="T-1090"/>
    <s v="C-1030"/>
    <s v="FI-993"/>
    <s v="M-1161"/>
  </r>
  <r>
    <x v="1913"/>
    <n v="990"/>
    <x v="0"/>
    <x v="0"/>
    <n v="16"/>
    <x v="98"/>
    <x v="38"/>
    <x v="1"/>
    <x v="16"/>
    <s v="Ninguno"/>
    <s v="Pobreza Extrema"/>
    <s v="Año 2020"/>
    <s v="Porcentaje"/>
    <s v="Encuestas CASEN"/>
    <x v="1896"/>
    <m/>
    <s v="Gráfico de Evolución"/>
    <s v="socioeconómico porcentaje mapa pobreza extrema comunal región ñuble"/>
    <x v="1539"/>
    <s v="100-C-16"/>
    <s v="#1774B436"/>
    <s v="990-1914"/>
    <n v="99200016"/>
    <s v="T-1090"/>
    <s v="C-1030"/>
    <s v="FI-993"/>
    <s v="M-1161"/>
  </r>
  <r>
    <x v="1914"/>
    <n v="990"/>
    <x v="0"/>
    <x v="8"/>
    <n v="0"/>
    <x v="99"/>
    <x v="39"/>
    <x v="0"/>
    <x v="0"/>
    <s v="Ninguno"/>
    <s v="Número y porcentaje de variación de ingresos/ egresos de NNA"/>
    <s v="Periodo 2016-2019"/>
    <s v="Número de ingresos/egresos y Porcentaje"/>
    <s v="Servicio Nacional de Menores (SENAME)"/>
    <x v="1897"/>
    <s v="En Chile, la diferencia entre los niños, niñas y adolescentes (NNA) egresados e ingresados en centros de SENAME en el año 2016 fue de 1.414, mientras que en el año 2019 fue de 15.080. Por otro lado, la variación porcentual anual de egresos en el periodo 2016-2019 ha disminuido de 11,4% a 6,8%, mientras que la de ingresos sufrió una baja desde el año 2018 al 2019 de 4,1%."/>
    <s v="Gráfico de Evolución"/>
    <s v="protección restitución derechos social evolución ingresos egresos niños niñas adolescentes sename protección menores nacional chile"/>
    <x v="1540"/>
    <n v="0"/>
    <s v="#1774B437"/>
    <s v="990-1915"/>
    <n v="99100000"/>
    <s v="T-1091"/>
    <s v="C-1031"/>
    <s v="FI-993"/>
    <s v="M-1162"/>
  </r>
  <r>
    <x v="1915"/>
    <n v="990"/>
    <x v="0"/>
    <x v="8"/>
    <n v="0"/>
    <x v="99"/>
    <x v="39"/>
    <x v="0"/>
    <x v="0"/>
    <s v="Ninguno"/>
    <s v="Número de ingresos/egresos de NNA"/>
    <s v="Año 2019"/>
    <s v="Número de ingresos/egresos"/>
    <s v="Servicio Nacional de Menores (SENAME)"/>
    <x v="1898"/>
    <s v="En Chile, la mayor cantidad de niños, niñas y adolescentes (NNA) ingresados en centros de SENAME en el año 2019 lo hizo por medio de la Línea Ambulatoria, seguida por la Línea Oficina Protección de Derechos, con 53.163 y 27.632 NNA respectivamente."/>
    <s v="Gráfico de Evolución"/>
    <s v="protección restitución derechos social sename protección menores ingresos egresos niños niñas adolescentes línea atención nacional chile"/>
    <x v="1541"/>
    <n v="0"/>
    <s v="#1774B438"/>
    <s v="990-1916"/>
    <n v="99100000"/>
    <s v="T-1091"/>
    <s v="C-1031"/>
    <s v="FI-993"/>
    <s v="M-1163"/>
  </r>
  <r>
    <x v="1916"/>
    <n v="990"/>
    <x v="0"/>
    <x v="8"/>
    <n v="0"/>
    <x v="99"/>
    <x v="39"/>
    <x v="0"/>
    <x v="0"/>
    <s v="Ninguno"/>
    <s v="Número de ingresos/egresos de NNA"/>
    <s v="Año 2019"/>
    <s v="Número de ingresos/egresos"/>
    <s v="Servicio Nacional de Menores (SENAME)"/>
    <x v="1899"/>
    <s v="En el año 2019, la mayor cantidad de egresos de niños, niñas y adolescentes (NNA) desde centros de SENAME ocurrió en la región Metropolitana, con 14.942, mientras que el egreso más bajo se dio en la región de Aysén, con 520 NNA."/>
    <s v="Gráfico de Evolución"/>
    <s v="protección restitución derechos social sename protección menores ingresos egresos niños niñas adolescentes regional chile"/>
    <x v="1542"/>
    <n v="0"/>
    <s v="#1774B439"/>
    <s v="990-1917"/>
    <n v="99100000"/>
    <s v="T-1091"/>
    <s v="C-1031"/>
    <s v="FI-993"/>
    <s v="M-1163"/>
  </r>
  <r>
    <x v="1917"/>
    <n v="990"/>
    <x v="0"/>
    <x v="3"/>
    <n v="0"/>
    <x v="100"/>
    <x v="25"/>
    <x v="0"/>
    <x v="0"/>
    <s v="Región"/>
    <s v="Número de predios no agrícolas habitacionales"/>
    <s v="Periodo 2006-2019"/>
    <s v="Número de predios"/>
    <s v="Sistema Nacional de Información Municipal"/>
    <x v="1900"/>
    <s v="El pago de contribuciones de los predios no agrícolas habitacionales, permite a los diferentes municipios financiar bienes y servicios comunitarios. Estos predios están exentos del pago de contribuciones hasta un monto de avalúo de $33.199.976. En el año 2019, la comuna que contó con la mayor cantidad de predios no agrícolas habitacionales fue Santiago, con 185.481, seguido de Puente Alto, con 172.920."/>
    <s v="Gráfico de Evolución"/>
    <s v="gobiernos locales catastro predio municipal municipio no agrícola habitacional"/>
    <x v="1543"/>
    <s v="300-C"/>
    <s v="#1774B440"/>
    <s v="990-1918"/>
    <n v="99100000"/>
    <s v="T-1092"/>
    <s v="C-1015"/>
    <s v="FI-992"/>
    <s v="M-1164"/>
  </r>
  <r>
    <x v="1918"/>
    <n v="990"/>
    <x v="0"/>
    <x v="3"/>
    <n v="1"/>
    <x v="100"/>
    <x v="25"/>
    <x v="1"/>
    <x v="1"/>
    <s v="Ninguno"/>
    <s v="Número de predios no agrícolas habitacionales"/>
    <s v="Periodo 2006-2019"/>
    <s v="Número de predios"/>
    <s v="Sistema Nacional de Información Municipal"/>
    <x v="1901"/>
    <m/>
    <s v="Gráfico de Evolución"/>
    <s v="gobiernos locales catastro predio municipal municipio no agrícola habitacional región tarapacá"/>
    <x v="1544"/>
    <s v="100-C-1"/>
    <s v="#1774B441"/>
    <s v="990-1919"/>
    <n v="99200001"/>
    <s v="T-1092"/>
    <s v="C-1015"/>
    <s v="FI-993"/>
    <s v="M-1164"/>
  </r>
  <r>
    <x v="1919"/>
    <n v="990"/>
    <x v="0"/>
    <x v="3"/>
    <n v="2"/>
    <x v="100"/>
    <x v="25"/>
    <x v="1"/>
    <x v="2"/>
    <s v="Ninguno"/>
    <s v="Número de predios no agrícolas habitacionales"/>
    <s v="Periodo 2006-2019"/>
    <s v="Número de predios"/>
    <s v="Sistema Nacional de Información Municipal"/>
    <x v="1902"/>
    <m/>
    <s v="Gráfico de Evolución"/>
    <s v="gobiernos locales catastro predio municipal municipio no agrícola habitacional región antofagasta"/>
    <x v="1545"/>
    <s v="100-C-2"/>
    <s v="#1774B442"/>
    <s v="990-1920"/>
    <n v="99200002"/>
    <s v="T-1092"/>
    <s v="C-1015"/>
    <s v="FI-993"/>
    <s v="M-1164"/>
  </r>
  <r>
    <x v="1920"/>
    <n v="990"/>
    <x v="0"/>
    <x v="3"/>
    <n v="3"/>
    <x v="100"/>
    <x v="25"/>
    <x v="1"/>
    <x v="3"/>
    <s v="Ninguno"/>
    <s v="Número de predios no agrícolas habitacionales"/>
    <s v="Periodo 2006-2019"/>
    <s v="Número de predios"/>
    <s v="Sistema Nacional de Información Municipal"/>
    <x v="1903"/>
    <m/>
    <s v="Gráfico de Evolución"/>
    <s v="gobiernos locales catastro predio municipal municipio no agrícola habitacional región atacama"/>
    <x v="1546"/>
    <s v="100-C-3"/>
    <s v="#1774B443"/>
    <s v="990-1921"/>
    <n v="99200003"/>
    <s v="T-1092"/>
    <s v="C-1015"/>
    <s v="FI-993"/>
    <s v="M-1164"/>
  </r>
  <r>
    <x v="1921"/>
    <n v="990"/>
    <x v="0"/>
    <x v="3"/>
    <n v="4"/>
    <x v="100"/>
    <x v="25"/>
    <x v="1"/>
    <x v="4"/>
    <s v="Ninguno"/>
    <s v="Número de predios no agrícolas habitacionales"/>
    <s v="Periodo 2006-2019"/>
    <s v="Número de predios"/>
    <s v="Sistema Nacional de Información Municipal"/>
    <x v="1904"/>
    <m/>
    <s v="Gráfico de Evolución"/>
    <s v="gobiernos locales catastro predio municipal municipio no agrícola habitacional región coquimbo"/>
    <x v="1547"/>
    <s v="100-C-4"/>
    <s v="#1774B444"/>
    <s v="990-1922"/>
    <n v="99200004"/>
    <s v="T-1092"/>
    <s v="C-1015"/>
    <s v="FI-993"/>
    <s v="M-1164"/>
  </r>
  <r>
    <x v="1922"/>
    <n v="990"/>
    <x v="0"/>
    <x v="3"/>
    <n v="5"/>
    <x v="100"/>
    <x v="25"/>
    <x v="1"/>
    <x v="5"/>
    <s v="Ninguno"/>
    <s v="Número de predios no agrícolas habitacionales"/>
    <s v="Periodo 2006-2019"/>
    <s v="Número de predios"/>
    <s v="Sistema Nacional de Información Municipal"/>
    <x v="1905"/>
    <m/>
    <s v="Gráfico de Evolución"/>
    <s v="gobiernos locales catastro predio municipal municipio no agrícola habitacional región valparaíso"/>
    <x v="1548"/>
    <s v="100-C-5"/>
    <s v="#1774B445"/>
    <s v="990-1923"/>
    <n v="99200005"/>
    <s v="T-1092"/>
    <s v="C-1015"/>
    <s v="FI-993"/>
    <s v="M-1164"/>
  </r>
  <r>
    <x v="1923"/>
    <n v="990"/>
    <x v="0"/>
    <x v="3"/>
    <n v="6"/>
    <x v="100"/>
    <x v="25"/>
    <x v="1"/>
    <x v="6"/>
    <s v="Ninguno"/>
    <s v="Número de predios no agrícolas habitacionales"/>
    <s v="Periodo 2006-2019"/>
    <s v="Número de predios"/>
    <s v="Sistema Nacional de Información Municipal"/>
    <x v="1906"/>
    <m/>
    <s v="Gráfico de Evolución"/>
    <s v="gobiernos locales catastro predio municipal municipio no agrícola habitacional región ohiggins"/>
    <x v="1549"/>
    <s v="100-C-6"/>
    <s v="#1774B446"/>
    <s v="990-1924"/>
    <n v="99200006"/>
    <s v="T-1092"/>
    <s v="C-1015"/>
    <s v="FI-993"/>
    <s v="M-1164"/>
  </r>
  <r>
    <x v="1924"/>
    <n v="990"/>
    <x v="0"/>
    <x v="3"/>
    <n v="7"/>
    <x v="100"/>
    <x v="25"/>
    <x v="1"/>
    <x v="7"/>
    <s v="Ninguno"/>
    <s v="Número de predios no agrícolas habitacionales"/>
    <s v="Periodo 2006-2019"/>
    <s v="Número de predios"/>
    <s v="Sistema Nacional de Información Municipal"/>
    <x v="1907"/>
    <m/>
    <s v="Gráfico de Evolución"/>
    <s v="gobiernos locales catastro predio municipal municipio no agrícola habitacional región maule"/>
    <x v="1550"/>
    <s v="100-C-7"/>
    <s v="#1774B447"/>
    <s v="990-1925"/>
    <n v="99200007"/>
    <s v="T-1092"/>
    <s v="C-1015"/>
    <s v="FI-993"/>
    <s v="M-1164"/>
  </r>
  <r>
    <x v="1925"/>
    <n v="990"/>
    <x v="0"/>
    <x v="3"/>
    <n v="8"/>
    <x v="100"/>
    <x v="25"/>
    <x v="1"/>
    <x v="8"/>
    <s v="Ninguno"/>
    <s v="Número de predios no agrícolas habitacionales"/>
    <s v="Periodo 2006-2019"/>
    <s v="Número de predios"/>
    <s v="Sistema Nacional de Información Municipal"/>
    <x v="1908"/>
    <m/>
    <s v="Gráfico de Evolución"/>
    <s v="gobiernos locales catastro predio municipal municipio no agrícola habitacional región biobío"/>
    <x v="1551"/>
    <s v="100-C-8"/>
    <s v="#1774B448"/>
    <s v="990-1926"/>
    <n v="99200008"/>
    <s v="T-1092"/>
    <s v="C-1015"/>
    <s v="FI-993"/>
    <s v="M-1164"/>
  </r>
  <r>
    <x v="1926"/>
    <n v="990"/>
    <x v="0"/>
    <x v="3"/>
    <n v="9"/>
    <x v="100"/>
    <x v="25"/>
    <x v="1"/>
    <x v="9"/>
    <s v="Ninguno"/>
    <s v="Número de predios no agrícolas habitacionales"/>
    <s v="Periodo 2006-2019"/>
    <s v="Número de predios"/>
    <s v="Sistema Nacional de Información Municipal"/>
    <x v="1909"/>
    <m/>
    <s v="Gráfico de Evolución"/>
    <s v="gobiernos locales catastro predio municipal municipio no agrícola habitacional región araucanía"/>
    <x v="1552"/>
    <s v="100-C-9"/>
    <s v="#1774B449"/>
    <s v="990-1927"/>
    <n v="99200009"/>
    <s v="T-1092"/>
    <s v="C-1015"/>
    <s v="FI-993"/>
    <s v="M-1164"/>
  </r>
  <r>
    <x v="1927"/>
    <n v="990"/>
    <x v="0"/>
    <x v="3"/>
    <n v="10"/>
    <x v="100"/>
    <x v="25"/>
    <x v="1"/>
    <x v="10"/>
    <s v="Ninguno"/>
    <s v="Número de predios no agrícolas habitacionales"/>
    <s v="Periodo 2006-2019"/>
    <s v="Número de predios"/>
    <s v="Sistema Nacional de Información Municipal"/>
    <x v="1910"/>
    <m/>
    <s v="Gráfico de Evolución"/>
    <s v="gobiernos locales catastro predio municipal municipio no agrícola habitacional región los lagos"/>
    <x v="1553"/>
    <s v="100-C-10"/>
    <s v="#1774B450"/>
    <s v="990-1928"/>
    <n v="99200010"/>
    <s v="T-1092"/>
    <s v="C-1015"/>
    <s v="FI-993"/>
    <s v="M-1164"/>
  </r>
  <r>
    <x v="1928"/>
    <n v="990"/>
    <x v="0"/>
    <x v="3"/>
    <n v="11"/>
    <x v="100"/>
    <x v="25"/>
    <x v="1"/>
    <x v="11"/>
    <s v="Ninguno"/>
    <s v="Número de predios no agrícolas habitacionales"/>
    <s v="Periodo 2006-2019"/>
    <s v="Número de predios"/>
    <s v="Sistema Nacional de Información Municipal"/>
    <x v="1911"/>
    <m/>
    <s v="Gráfico de Evolución"/>
    <s v="gobiernos locales catastro predio municipal municipio no agrícola habitacional región aysén"/>
    <x v="1554"/>
    <s v="100-C-11"/>
    <s v="#1774B451"/>
    <s v="990-1929"/>
    <n v="99200011"/>
    <s v="T-1092"/>
    <s v="C-1015"/>
    <s v="FI-993"/>
    <s v="M-1164"/>
  </r>
  <r>
    <x v="1929"/>
    <n v="990"/>
    <x v="0"/>
    <x v="3"/>
    <n v="12"/>
    <x v="100"/>
    <x v="25"/>
    <x v="1"/>
    <x v="12"/>
    <s v="Ninguno"/>
    <s v="Número de predios no agrícolas habitacionales"/>
    <s v="Periodo 2006-2019"/>
    <s v="Número de predios"/>
    <s v="Sistema Nacional de Información Municipal"/>
    <x v="1912"/>
    <m/>
    <s v="Gráfico de Evolución"/>
    <s v="gobiernos locales catastro predio municipal municipio no agrícola habitacional región magallanes"/>
    <x v="1555"/>
    <s v="100-C-12"/>
    <s v="#1774B452"/>
    <s v="990-1930"/>
    <n v="99200012"/>
    <s v="T-1092"/>
    <s v="C-1015"/>
    <s v="FI-993"/>
    <s v="M-1164"/>
  </r>
  <r>
    <x v="1930"/>
    <n v="990"/>
    <x v="0"/>
    <x v="3"/>
    <n v="13"/>
    <x v="100"/>
    <x v="25"/>
    <x v="1"/>
    <x v="13"/>
    <s v="Ninguno"/>
    <s v="Número de predios no agrícolas habitacionales"/>
    <s v="Periodo 2006-2019"/>
    <s v="Número de predios"/>
    <s v="Sistema Nacional de Información Municipal"/>
    <x v="1913"/>
    <m/>
    <s v="Gráfico de Evolución"/>
    <s v="gobiernos locales catastro predio municipal municipio no agrícola habitacional región metropolitana"/>
    <x v="1556"/>
    <s v="200-C-13"/>
    <s v="#1774B453"/>
    <s v="990-1931"/>
    <n v="99200013"/>
    <s v="T-1092"/>
    <s v="C-1015"/>
    <s v="FI-993"/>
    <s v="M-1164"/>
  </r>
  <r>
    <x v="1931"/>
    <n v="990"/>
    <x v="0"/>
    <x v="3"/>
    <n v="14"/>
    <x v="100"/>
    <x v="25"/>
    <x v="1"/>
    <x v="14"/>
    <s v="Ninguno"/>
    <s v="Número de predios no agrícolas habitacionales"/>
    <s v="Periodo 2006-2019"/>
    <s v="Número de predios"/>
    <s v="Sistema Nacional de Información Municipal"/>
    <x v="1914"/>
    <m/>
    <s v="Gráfico de Evolución"/>
    <s v="gobiernos locales catastro predio municipal municipio no agrícola habitacional región los ríos"/>
    <x v="1557"/>
    <s v="100-C-14"/>
    <s v="#1774B454"/>
    <s v="990-1932"/>
    <n v="99200014"/>
    <s v="T-1092"/>
    <s v="C-1015"/>
    <s v="FI-993"/>
    <s v="M-1164"/>
  </r>
  <r>
    <x v="1932"/>
    <n v="990"/>
    <x v="0"/>
    <x v="3"/>
    <n v="15"/>
    <x v="100"/>
    <x v="25"/>
    <x v="1"/>
    <x v="15"/>
    <s v="Ninguno"/>
    <s v="Número de predios no agrícolas habitacionales"/>
    <s v="Periodo 2006-2019"/>
    <s v="Número de predios"/>
    <s v="Sistema Nacional de Información Municipal"/>
    <x v="1915"/>
    <m/>
    <s v="Gráfico de Evolución"/>
    <s v="gobiernos locales catastro predio municipal municipio no agrícola habitacional región arica parinacota"/>
    <x v="1558"/>
    <s v="100-C-15"/>
    <s v="#1774B455"/>
    <s v="990-1933"/>
    <n v="99200015"/>
    <s v="T-1092"/>
    <s v="C-1015"/>
    <s v="FI-993"/>
    <s v="M-1164"/>
  </r>
  <r>
    <x v="1933"/>
    <n v="990"/>
    <x v="0"/>
    <x v="3"/>
    <n v="16"/>
    <x v="100"/>
    <x v="25"/>
    <x v="1"/>
    <x v="16"/>
    <s v="Ninguno"/>
    <s v="Número de predios no agrícolas habitacionales"/>
    <s v="Periodo 2006-2019"/>
    <s v="Número de predios"/>
    <s v="Sistema Nacional de Información Municipal"/>
    <x v="1916"/>
    <m/>
    <s v="Gráfico de Evolución"/>
    <s v="gobiernos locales catastro predio municipal municipio no agrícola habitacional región ñuble"/>
    <x v="1559"/>
    <s v="100-C-16"/>
    <s v="#1774B456"/>
    <s v="990-1934"/>
    <n v="99200016"/>
    <s v="T-1092"/>
    <s v="C-1015"/>
    <s v="FI-993"/>
    <s v="M-1164"/>
  </r>
  <r>
    <x v="1934"/>
    <n v="990"/>
    <x v="0"/>
    <x v="3"/>
    <n v="0"/>
    <x v="101"/>
    <x v="25"/>
    <x v="0"/>
    <x v="0"/>
    <s v="Región"/>
    <s v="Número de propiedades municipales"/>
    <s v="Periodo 2010-2019"/>
    <s v="Número de propiedades municipales"/>
    <s v="Sistema Nacional de Información Municipal"/>
    <x v="1917"/>
    <s v="Al año 2019, el municipio que tuvo más propiedades fue el de Coquimbo, con 1.408. Le sigue el de Maipú, con 1.308. Cochamó, al contrario, no tuvo ninguna."/>
    <s v="Gráfico de Evolución"/>
    <s v="gobiernos locales propiedades municipal municipio cantidad comunal chile"/>
    <x v="1560"/>
    <s v="300-C"/>
    <s v="#1774B457"/>
    <s v="990-1935"/>
    <n v="99100000"/>
    <s v="T-1093"/>
    <s v="C-1015"/>
    <s v="FI-992"/>
    <s v="M-1165"/>
  </r>
  <r>
    <x v="1935"/>
    <n v="990"/>
    <x v="0"/>
    <x v="3"/>
    <n v="1"/>
    <x v="101"/>
    <x v="25"/>
    <x v="1"/>
    <x v="1"/>
    <s v="Ninguno"/>
    <s v="Número de propiedades municipales"/>
    <s v="Periodo 2010-2019"/>
    <s v="Número de propiedades municipales"/>
    <s v="Sistema Nacional de Información Municipal"/>
    <x v="1918"/>
    <m/>
    <s v="Gráfico de Evolución"/>
    <s v="gobiernos locales propiedades municipal municipio cantidad comunal región tarapacá"/>
    <x v="1561"/>
    <s v="100-C-1"/>
    <s v="#1774B458"/>
    <s v="990-1936"/>
    <n v="99200001"/>
    <s v="T-1093"/>
    <s v="C-1015"/>
    <s v="FI-993"/>
    <s v="M-1165"/>
  </r>
  <r>
    <x v="1936"/>
    <n v="990"/>
    <x v="0"/>
    <x v="3"/>
    <n v="2"/>
    <x v="101"/>
    <x v="25"/>
    <x v="1"/>
    <x v="2"/>
    <s v="Ninguno"/>
    <s v="Número de propiedades municipales"/>
    <s v="Periodo 2010-2019"/>
    <s v="Número de propiedades municipales"/>
    <s v="Sistema Nacional de Información Municipal"/>
    <x v="1919"/>
    <m/>
    <s v="Gráfico de Evolución"/>
    <s v="gobiernos locales propiedades municipal municipio cantidad comunal región antofagasta"/>
    <x v="1562"/>
    <s v="100-C-2"/>
    <s v="#1774B459"/>
    <s v="990-1937"/>
    <n v="99200002"/>
    <s v="T-1093"/>
    <s v="C-1015"/>
    <s v="FI-993"/>
    <s v="M-1165"/>
  </r>
  <r>
    <x v="1937"/>
    <n v="990"/>
    <x v="0"/>
    <x v="3"/>
    <n v="3"/>
    <x v="101"/>
    <x v="25"/>
    <x v="1"/>
    <x v="3"/>
    <s v="Ninguno"/>
    <s v="Número de propiedades municipales"/>
    <s v="Periodo 2010-2019"/>
    <s v="Número de propiedades municipales"/>
    <s v="Sistema Nacional de Información Municipal"/>
    <x v="1920"/>
    <m/>
    <s v="Gráfico de Evolución"/>
    <s v="gobiernos locales propiedades municipal municipio cantidad comunal región atacama"/>
    <x v="1563"/>
    <s v="100-C-3"/>
    <s v="#1774B460"/>
    <s v="990-1938"/>
    <n v="99200003"/>
    <s v="T-1093"/>
    <s v="C-1015"/>
    <s v="FI-993"/>
    <s v="M-1165"/>
  </r>
  <r>
    <x v="1938"/>
    <n v="990"/>
    <x v="0"/>
    <x v="3"/>
    <n v="4"/>
    <x v="101"/>
    <x v="25"/>
    <x v="1"/>
    <x v="4"/>
    <s v="Ninguno"/>
    <s v="Número de propiedades municipales"/>
    <s v="Periodo 2010-2019"/>
    <s v="Número de propiedades municipales"/>
    <s v="Sistema Nacional de Información Municipal"/>
    <x v="1921"/>
    <m/>
    <s v="Gráfico de Evolución"/>
    <s v="gobiernos locales propiedades municipal municipio cantidad comunal región coquimbo"/>
    <x v="1564"/>
    <s v="100-C-4"/>
    <s v="#1774B461"/>
    <s v="990-1939"/>
    <n v="99200004"/>
    <s v="T-1093"/>
    <s v="C-1015"/>
    <s v="FI-993"/>
    <s v="M-1165"/>
  </r>
  <r>
    <x v="1939"/>
    <n v="990"/>
    <x v="0"/>
    <x v="3"/>
    <n v="5"/>
    <x v="101"/>
    <x v="25"/>
    <x v="1"/>
    <x v="5"/>
    <s v="Ninguno"/>
    <s v="Número de propiedades municipales"/>
    <s v="Periodo 2010-2019"/>
    <s v="Número de propiedades municipales"/>
    <s v="Sistema Nacional de Información Municipal"/>
    <x v="1922"/>
    <m/>
    <s v="Gráfico de Evolución"/>
    <s v="gobiernos locales propiedades municipal municipio cantidad comunal región valparaíso"/>
    <x v="1565"/>
    <s v="100-C-5"/>
    <s v="#1774B462"/>
    <s v="990-1940"/>
    <n v="99200005"/>
    <s v="T-1093"/>
    <s v="C-1015"/>
    <s v="FI-993"/>
    <s v="M-1165"/>
  </r>
  <r>
    <x v="1940"/>
    <n v="990"/>
    <x v="0"/>
    <x v="3"/>
    <n v="6"/>
    <x v="101"/>
    <x v="25"/>
    <x v="1"/>
    <x v="6"/>
    <s v="Ninguno"/>
    <s v="Número de propiedades municipales"/>
    <s v="Periodo 2010-2019"/>
    <s v="Número de propiedades municipales"/>
    <s v="Sistema Nacional de Información Municipal"/>
    <x v="1923"/>
    <m/>
    <s v="Gráfico de Evolución"/>
    <s v="gobiernos locales propiedades municipal municipio cantidad comunal región ohiggins"/>
    <x v="1566"/>
    <s v="100-C-6"/>
    <s v="#1774B463"/>
    <s v="990-1941"/>
    <n v="99200006"/>
    <s v="T-1093"/>
    <s v="C-1015"/>
    <s v="FI-993"/>
    <s v="M-1165"/>
  </r>
  <r>
    <x v="1941"/>
    <n v="990"/>
    <x v="0"/>
    <x v="3"/>
    <n v="7"/>
    <x v="101"/>
    <x v="25"/>
    <x v="1"/>
    <x v="7"/>
    <s v="Ninguno"/>
    <s v="Número de propiedades municipales"/>
    <s v="Periodo 2010-2019"/>
    <s v="Número de propiedades municipales"/>
    <s v="Sistema Nacional de Información Municipal"/>
    <x v="1924"/>
    <m/>
    <s v="Gráfico de Evolución"/>
    <s v="gobiernos locales propiedades municipal municipio cantidad comunal región maule"/>
    <x v="1567"/>
    <s v="100-C-7"/>
    <s v="#1774B464"/>
    <s v="990-1942"/>
    <n v="99200007"/>
    <s v="T-1093"/>
    <s v="C-1015"/>
    <s v="FI-993"/>
    <s v="M-1165"/>
  </r>
  <r>
    <x v="1942"/>
    <n v="990"/>
    <x v="0"/>
    <x v="3"/>
    <n v="8"/>
    <x v="101"/>
    <x v="25"/>
    <x v="1"/>
    <x v="8"/>
    <s v="Ninguno"/>
    <s v="Número de propiedades municipales"/>
    <s v="Periodo 2010-2019"/>
    <s v="Número de propiedades municipales"/>
    <s v="Sistema Nacional de Información Municipal"/>
    <x v="1925"/>
    <m/>
    <s v="Gráfico de Evolución"/>
    <s v="gobiernos locales propiedades municipal municipio cantidad comunal región biobío"/>
    <x v="1568"/>
    <s v="100-C-8"/>
    <s v="#1774B465"/>
    <s v="990-1943"/>
    <n v="99200008"/>
    <s v="T-1093"/>
    <s v="C-1015"/>
    <s v="FI-993"/>
    <s v="M-1165"/>
  </r>
  <r>
    <x v="1943"/>
    <n v="990"/>
    <x v="0"/>
    <x v="3"/>
    <n v="9"/>
    <x v="101"/>
    <x v="25"/>
    <x v="1"/>
    <x v="9"/>
    <s v="Ninguno"/>
    <s v="Número de propiedades municipales"/>
    <s v="Periodo 2010-2019"/>
    <s v="Número de propiedades municipales"/>
    <s v="Sistema Nacional de Información Municipal"/>
    <x v="1926"/>
    <m/>
    <s v="Gráfico de Evolución"/>
    <s v="gobiernos locales propiedades municipal municipio cantidad comunal región araucanía"/>
    <x v="1569"/>
    <s v="100-C-9"/>
    <s v="#1774B466"/>
    <s v="990-1944"/>
    <n v="99200009"/>
    <s v="T-1093"/>
    <s v="C-1015"/>
    <s v="FI-993"/>
    <s v="M-1165"/>
  </r>
  <r>
    <x v="1944"/>
    <n v="990"/>
    <x v="0"/>
    <x v="3"/>
    <n v="10"/>
    <x v="101"/>
    <x v="25"/>
    <x v="1"/>
    <x v="10"/>
    <s v="Ninguno"/>
    <s v="Número de propiedades municipales"/>
    <s v="Periodo 2010-2019"/>
    <s v="Número de propiedades municipales"/>
    <s v="Sistema Nacional de Información Municipal"/>
    <x v="1927"/>
    <m/>
    <s v="Gráfico de Evolución"/>
    <s v="gobiernos locales propiedades municipal municipio cantidad comunal región los lagos"/>
    <x v="1570"/>
    <s v="100-C-10"/>
    <s v="#1774B467"/>
    <s v="990-1945"/>
    <n v="99200010"/>
    <s v="T-1093"/>
    <s v="C-1015"/>
    <s v="FI-993"/>
    <s v="M-1165"/>
  </r>
  <r>
    <x v="1945"/>
    <n v="990"/>
    <x v="0"/>
    <x v="3"/>
    <n v="11"/>
    <x v="101"/>
    <x v="25"/>
    <x v="1"/>
    <x v="11"/>
    <s v="Ninguno"/>
    <s v="Número de propiedades municipales"/>
    <s v="Periodo 2010-2019"/>
    <s v="Número de propiedades municipales"/>
    <s v="Sistema Nacional de Información Municipal"/>
    <x v="1928"/>
    <m/>
    <s v="Gráfico de Evolución"/>
    <s v="gobiernos locales propiedades municipal municipio cantidad comunal región aysén"/>
    <x v="1571"/>
    <s v="100-C-11"/>
    <s v="#1774B468"/>
    <s v="990-1946"/>
    <n v="99200011"/>
    <s v="T-1093"/>
    <s v="C-1015"/>
    <s v="FI-993"/>
    <s v="M-1165"/>
  </r>
  <r>
    <x v="1946"/>
    <n v="990"/>
    <x v="0"/>
    <x v="3"/>
    <n v="12"/>
    <x v="101"/>
    <x v="25"/>
    <x v="1"/>
    <x v="12"/>
    <s v="Ninguno"/>
    <s v="Número de propiedades municipales"/>
    <s v="Periodo 2010-2019"/>
    <s v="Número de propiedades municipales"/>
    <s v="Sistema Nacional de Información Municipal"/>
    <x v="1929"/>
    <m/>
    <s v="Gráfico de Evolución"/>
    <s v="gobiernos locales propiedades municipal municipio cantidad comunal región magallanes"/>
    <x v="1572"/>
    <s v="100-C-12"/>
    <s v="#1774B469"/>
    <s v="990-1947"/>
    <n v="99200012"/>
    <s v="T-1093"/>
    <s v="C-1015"/>
    <s v="FI-993"/>
    <s v="M-1165"/>
  </r>
  <r>
    <x v="1947"/>
    <n v="990"/>
    <x v="0"/>
    <x v="3"/>
    <n v="13"/>
    <x v="101"/>
    <x v="25"/>
    <x v="1"/>
    <x v="13"/>
    <s v="Ninguno"/>
    <s v="Número de propiedades municipales"/>
    <s v="Periodo 2010-2019"/>
    <s v="Número de propiedades municipales"/>
    <s v="Sistema Nacional de Información Municipal"/>
    <x v="1930"/>
    <m/>
    <s v="Gráfico de Evolución"/>
    <s v="gobiernos locales propiedades municipal municipio cantidad comunal región metropolitana"/>
    <x v="1573"/>
    <s v="200-C-13"/>
    <s v="#1774B470"/>
    <s v="990-1948"/>
    <n v="99200013"/>
    <s v="T-1093"/>
    <s v="C-1015"/>
    <s v="FI-993"/>
    <s v="M-1165"/>
  </r>
  <r>
    <x v="1948"/>
    <n v="990"/>
    <x v="0"/>
    <x v="3"/>
    <n v="14"/>
    <x v="101"/>
    <x v="25"/>
    <x v="1"/>
    <x v="14"/>
    <s v="Ninguno"/>
    <s v="Número de propiedades municipales"/>
    <s v="Periodo 2010-2019"/>
    <s v="Número de propiedades municipales"/>
    <s v="Sistema Nacional de Información Municipal"/>
    <x v="1931"/>
    <m/>
    <s v="Gráfico de Evolución"/>
    <s v="gobiernos locales propiedades municipal municipio cantidad comunal región los ríos"/>
    <x v="1574"/>
    <s v="100-C-14"/>
    <s v="#1774B471"/>
    <s v="990-1949"/>
    <n v="99200014"/>
    <s v="T-1093"/>
    <s v="C-1015"/>
    <s v="FI-993"/>
    <s v="M-1165"/>
  </r>
  <r>
    <x v="1949"/>
    <n v="990"/>
    <x v="0"/>
    <x v="3"/>
    <n v="15"/>
    <x v="101"/>
    <x v="25"/>
    <x v="1"/>
    <x v="15"/>
    <s v="Ninguno"/>
    <s v="Número de propiedades municipales"/>
    <s v="Periodo 2010-2019"/>
    <s v="Número de propiedades municipales"/>
    <s v="Sistema Nacional de Información Municipal"/>
    <x v="1932"/>
    <m/>
    <s v="Gráfico de Evolución"/>
    <s v="gobiernos locales propiedades municipal municipio cantidad comunal región arica parinacota"/>
    <x v="1575"/>
    <s v="100-C-15"/>
    <s v="#1774B472"/>
    <s v="990-1950"/>
    <n v="99200015"/>
    <s v="T-1093"/>
    <s v="C-1015"/>
    <s v="FI-993"/>
    <s v="M-1165"/>
  </r>
  <r>
    <x v="1950"/>
    <n v="990"/>
    <x v="0"/>
    <x v="3"/>
    <n v="16"/>
    <x v="101"/>
    <x v="25"/>
    <x v="1"/>
    <x v="16"/>
    <s v="Ninguno"/>
    <s v="Número de propiedades municipales"/>
    <s v="Periodo 2010-2019"/>
    <s v="Número de propiedades municipales"/>
    <s v="Sistema Nacional de Información Municipal"/>
    <x v="1933"/>
    <m/>
    <s v="Gráfico de Evolución"/>
    <s v="gobiernos locales propiedades municipal municipio cantidad comunal región ñuble"/>
    <x v="1576"/>
    <s v="100-C-16"/>
    <s v="#1774B473"/>
    <s v="990-1951"/>
    <n v="99200016"/>
    <s v="T-1093"/>
    <s v="C-1015"/>
    <s v="FI-993"/>
    <s v="M-1165"/>
  </r>
  <r>
    <x v="1951"/>
    <n v="990"/>
    <x v="0"/>
    <x v="4"/>
    <n v="0"/>
    <x v="46"/>
    <x v="14"/>
    <x v="0"/>
    <x v="0"/>
    <s v="Ninguno"/>
    <s v="Número de personas en el programa de salud cardiovascular"/>
    <s v="Periodo 2012-2018"/>
    <s v="Número de personas"/>
    <s v="Departamento de Estadísticas e Información de la Salud (DEIS) - Ministerio de Salud"/>
    <x v="1934"/>
    <s v="La Población en Control del Programa de Salud Cardiovascular cayó considerablemente del año 2014 al 2015, reduciendo la Población en Control en un 42%. El año 2018 cerró con más de 5,5 millones de personas en control, lo cual supone un aumento de 1 millón de personas en control desde el año 2015."/>
    <s v="Gráfico de Evolución"/>
    <s v="cardiovascular corazón hipertensión enfermedad renal dislipidemias infarto salud programa nacional chile"/>
    <x v="1577"/>
    <n v="0"/>
    <s v="#1774B474"/>
    <s v="990-1952"/>
    <n v="99100000"/>
    <s v="T-1015"/>
    <s v="C-1010"/>
    <s v="FI-993"/>
    <s v="M-1166"/>
  </r>
  <r>
    <x v="1952"/>
    <n v="990"/>
    <x v="0"/>
    <x v="4"/>
    <n v="0"/>
    <x v="46"/>
    <x v="14"/>
    <x v="0"/>
    <x v="0"/>
    <s v="Región-Categoría"/>
    <s v="Número de personas en el programa de salud cardiovascular"/>
    <s v="Periodo 2012-2018"/>
    <s v="Número de personas"/>
    <s v="Departamento de Estadísticas e Información de la Salud (DEIS) - Ministerio de Salud"/>
    <x v="1935"/>
    <s v="La enfermedad por la que más ingresaron pacientes al Programa de Salud Cardiovascular fue la hipertensión, llevándose el máximo durante todo el periodo 2012-2018. Por otro lado, las 5 etapas de Enfermedad Renal Crónica (ERC) fueron las que se llevaron la menor cantidad de ingresos durante el mismo periodo. Cabe mencionar que las etapas de la ERC dependen de la cantidad de orina que pueden filtrar los riñones por minuto (ml/min)."/>
    <s v="Gráfico de Evolución"/>
    <s v="diabetes tabaquismo obesidad cardiovascular corazón hipertensión enfermedad renal dislipidemias infarto salud programa nacional chile"/>
    <x v="1578"/>
    <s v="300-R"/>
    <s v="#1774B475"/>
    <s v="990-1953"/>
    <n v="99100000"/>
    <s v="T-1015"/>
    <s v="C-1010"/>
    <s v="FI-1004"/>
    <s v="M-1166"/>
  </r>
  <r>
    <x v="1953"/>
    <n v="990"/>
    <x v="0"/>
    <x v="4"/>
    <n v="1"/>
    <x v="46"/>
    <x v="14"/>
    <x v="1"/>
    <x v="1"/>
    <s v="Categoría"/>
    <s v="Número de personas en el programa de salud cardiovascular"/>
    <s v="Periodo 2012-2018"/>
    <s v="Número de personas"/>
    <s v="Departamento de Estadísticas e Información de la Salud (DEIS) - Ministerio de Salud"/>
    <x v="1936"/>
    <m/>
    <s v="Gráfico de Evolución"/>
    <s v="diabetes tabaquismo obesidad cardiovascular corazón hipertensión enfermedad renal dislipidemias infarto salud programa región tarapacá"/>
    <x v="1579"/>
    <s v="100-R-1"/>
    <s v="#1774B476"/>
    <s v="990-1954"/>
    <n v="99200001"/>
    <s v="T-1015"/>
    <s v="C-1010"/>
    <s v="FI-1002"/>
    <s v="M-1166"/>
  </r>
  <r>
    <x v="1954"/>
    <n v="990"/>
    <x v="0"/>
    <x v="4"/>
    <n v="2"/>
    <x v="46"/>
    <x v="14"/>
    <x v="1"/>
    <x v="2"/>
    <s v="Categoría"/>
    <s v="Número de personas en el programa de salud cardiovascular"/>
    <s v="Periodo 2012-2018"/>
    <s v="Número de personas"/>
    <s v="Departamento de Estadísticas e Información de la Salud (DEIS) - Ministerio de Salud"/>
    <x v="1937"/>
    <m/>
    <s v="Gráfico de Evolución"/>
    <s v="diabetes tabaquismo obesidad cardiovascular corazón hipertensión enfermedad renal dislipidemias infarto salud programa región antofagasta"/>
    <x v="1580"/>
    <s v="100-R-2"/>
    <s v="#1774B477"/>
    <s v="990-1955"/>
    <n v="99200002"/>
    <s v="T-1015"/>
    <s v="C-1010"/>
    <s v="FI-1002"/>
    <s v="M-1166"/>
  </r>
  <r>
    <x v="1955"/>
    <n v="990"/>
    <x v="0"/>
    <x v="4"/>
    <n v="3"/>
    <x v="46"/>
    <x v="14"/>
    <x v="1"/>
    <x v="3"/>
    <s v="Categoría"/>
    <s v="Número de personas en el programa de salud cardiovascular"/>
    <s v="Periodo 2012-2018"/>
    <s v="Número de personas"/>
    <s v="Departamento de Estadísticas e Información de la Salud (DEIS) - Ministerio de Salud"/>
    <x v="1938"/>
    <m/>
    <s v="Gráfico de Evolución"/>
    <s v="diabetes tabaquismo obesidad cardiovascular corazón hipertensión enfermedad renal dislipidemias infarto salud programa región atacama"/>
    <x v="1581"/>
    <s v="100-R-3"/>
    <s v="#1774B478"/>
    <s v="990-1956"/>
    <n v="99200003"/>
    <s v="T-1015"/>
    <s v="C-1010"/>
    <s v="FI-1002"/>
    <s v="M-1166"/>
  </r>
  <r>
    <x v="1956"/>
    <n v="990"/>
    <x v="0"/>
    <x v="4"/>
    <n v="4"/>
    <x v="46"/>
    <x v="14"/>
    <x v="1"/>
    <x v="4"/>
    <s v="Categoría"/>
    <s v="Número de personas en el programa de salud cardiovascular"/>
    <s v="Periodo 2012-2018"/>
    <s v="Número de personas"/>
    <s v="Departamento de Estadísticas e Información de la Salud (DEIS) - Ministerio de Salud"/>
    <x v="1939"/>
    <m/>
    <s v="Gráfico de Evolución"/>
    <s v="diabetes tabaquismo obesidad cardiovascular corazón hipertensión enfermedad renal dislipidemias infarto salud programa región coquimbo"/>
    <x v="1582"/>
    <s v="100-R-4"/>
    <s v="#1774B479"/>
    <s v="990-1957"/>
    <n v="99200004"/>
    <s v="T-1015"/>
    <s v="C-1010"/>
    <s v="FI-1002"/>
    <s v="M-1166"/>
  </r>
  <r>
    <x v="1957"/>
    <n v="990"/>
    <x v="0"/>
    <x v="4"/>
    <n v="5"/>
    <x v="46"/>
    <x v="14"/>
    <x v="1"/>
    <x v="5"/>
    <s v="Categoría"/>
    <s v="Número de personas en el programa de salud cardiovascular"/>
    <s v="Periodo 2012-2018"/>
    <s v="Número de personas"/>
    <s v="Departamento de Estadísticas e Información de la Salud (DEIS) - Ministerio de Salud"/>
    <x v="1940"/>
    <m/>
    <s v="Gráfico de Evolución"/>
    <s v="diabetes tabaquismo obesidad cardiovascular corazón hipertensión enfermedad renal dislipidemias infarto salud programa región valparaíso"/>
    <x v="1583"/>
    <s v="100-R-5"/>
    <s v="#1774B480"/>
    <s v="990-1958"/>
    <n v="99200005"/>
    <s v="T-1015"/>
    <s v="C-1010"/>
    <s v="FI-1002"/>
    <s v="M-1166"/>
  </r>
  <r>
    <x v="1958"/>
    <n v="990"/>
    <x v="0"/>
    <x v="4"/>
    <n v="6"/>
    <x v="46"/>
    <x v="14"/>
    <x v="1"/>
    <x v="6"/>
    <s v="Categoría"/>
    <s v="Número de personas en el programa de salud cardiovascular"/>
    <s v="Periodo 2012-2018"/>
    <s v="Número de personas"/>
    <s v="Departamento de Estadísticas e Información de la Salud (DEIS) - Ministerio de Salud"/>
    <x v="1941"/>
    <m/>
    <s v="Gráfico de Evolución"/>
    <s v="diabetes tabaquismo obesidad cardiovascular corazón hipertensión enfermedad renal dislipidemias infarto salud programa región ohiggins"/>
    <x v="1584"/>
    <s v="100-R-6"/>
    <s v="#1774B481"/>
    <s v="990-1959"/>
    <n v="99200006"/>
    <s v="T-1015"/>
    <s v="C-1010"/>
    <s v="FI-1002"/>
    <s v="M-1166"/>
  </r>
  <r>
    <x v="1959"/>
    <n v="990"/>
    <x v="0"/>
    <x v="4"/>
    <n v="7"/>
    <x v="46"/>
    <x v="14"/>
    <x v="1"/>
    <x v="7"/>
    <s v="Categoría"/>
    <s v="Número de personas en el programa de salud cardiovascular"/>
    <s v="Periodo 2012-2018"/>
    <s v="Número de personas"/>
    <s v="Departamento de Estadísticas e Información de la Salud (DEIS) - Ministerio de Salud"/>
    <x v="1942"/>
    <m/>
    <s v="Gráfico de Evolución"/>
    <s v="diabetes tabaquismo obesidad cardiovascular corazón hipertensión enfermedad renal dislipidemias infarto salud programa región maule"/>
    <x v="1585"/>
    <s v="100-R-7"/>
    <s v="#1774B482"/>
    <s v="990-1960"/>
    <n v="99200007"/>
    <s v="T-1015"/>
    <s v="C-1010"/>
    <s v="FI-1002"/>
    <s v="M-1166"/>
  </r>
  <r>
    <x v="1960"/>
    <n v="990"/>
    <x v="0"/>
    <x v="4"/>
    <n v="8"/>
    <x v="46"/>
    <x v="14"/>
    <x v="1"/>
    <x v="8"/>
    <s v="Categoría"/>
    <s v="Número de personas en el programa de salud cardiovascular"/>
    <s v="Periodo 2012-2018"/>
    <s v="Número de personas"/>
    <s v="Departamento de Estadísticas e Información de la Salud (DEIS) - Ministerio de Salud"/>
    <x v="1943"/>
    <m/>
    <s v="Gráfico de Evolución"/>
    <s v="diabetes tabaquismo obesidad cardiovascular corazón hipertensión enfermedad renal dislipidemias infarto salud programa región biobío"/>
    <x v="1586"/>
    <s v="100-R-8"/>
    <s v="#1774B483"/>
    <s v="990-1961"/>
    <n v="99200008"/>
    <s v="T-1015"/>
    <s v="C-1010"/>
    <s v="FI-1002"/>
    <s v="M-1166"/>
  </r>
  <r>
    <x v="1961"/>
    <n v="990"/>
    <x v="0"/>
    <x v="4"/>
    <n v="9"/>
    <x v="46"/>
    <x v="14"/>
    <x v="1"/>
    <x v="9"/>
    <s v="Categoría"/>
    <s v="Número de personas en el programa de salud cardiovascular"/>
    <s v="Periodo 2012-2018"/>
    <s v="Número de personas"/>
    <s v="Departamento de Estadísticas e Información de la Salud (DEIS) - Ministerio de Salud"/>
    <x v="1944"/>
    <m/>
    <s v="Gráfico de Evolución"/>
    <s v="diabetes tabaquismo obesidad cardiovascular corazón hipertensión enfermedad renal dislipidemias infarto salud programa región araucanía"/>
    <x v="1587"/>
    <s v="100-R-9"/>
    <s v="#1774B484"/>
    <s v="990-1962"/>
    <n v="99200009"/>
    <s v="T-1015"/>
    <s v="C-1010"/>
    <s v="FI-1002"/>
    <s v="M-1166"/>
  </r>
  <r>
    <x v="1962"/>
    <n v="990"/>
    <x v="0"/>
    <x v="4"/>
    <n v="10"/>
    <x v="46"/>
    <x v="14"/>
    <x v="1"/>
    <x v="10"/>
    <s v="Categoría"/>
    <s v="Número de personas en el programa de salud cardiovascular"/>
    <s v="Periodo 2012-2018"/>
    <s v="Número de personas"/>
    <s v="Departamento de Estadísticas e Información de la Salud (DEIS) - Ministerio de Salud"/>
    <x v="1945"/>
    <m/>
    <s v="Gráfico de Evolución"/>
    <s v="diabetes tabaquismo obesidad cardiovascular corazón hipertensión enfermedad renal dislipidemias infarto salud programa región los lagos"/>
    <x v="1588"/>
    <s v="100-R-10"/>
    <s v="#1774B485"/>
    <s v="990-1963"/>
    <n v="99200010"/>
    <s v="T-1015"/>
    <s v="C-1010"/>
    <s v="FI-1002"/>
    <s v="M-1166"/>
  </r>
  <r>
    <x v="1963"/>
    <n v="990"/>
    <x v="0"/>
    <x v="4"/>
    <n v="11"/>
    <x v="46"/>
    <x v="14"/>
    <x v="1"/>
    <x v="11"/>
    <s v="Categoría"/>
    <s v="Número de personas en el programa de salud cardiovascular"/>
    <s v="Periodo 2012-2018"/>
    <s v="Número de personas"/>
    <s v="Departamento de Estadísticas e Información de la Salud (DEIS) - Ministerio de Salud"/>
    <x v="1946"/>
    <m/>
    <s v="Gráfico de Evolución"/>
    <s v="diabetes tabaquismo obesidad cardiovascular corazón hipertensión enfermedad renal dislipidemias infarto salud programa región aysén"/>
    <x v="1589"/>
    <s v="100-R-11"/>
    <s v="#1774B486"/>
    <s v="990-1964"/>
    <n v="99200011"/>
    <s v="T-1015"/>
    <s v="C-1010"/>
    <s v="FI-1002"/>
    <s v="M-1166"/>
  </r>
  <r>
    <x v="1964"/>
    <n v="990"/>
    <x v="0"/>
    <x v="4"/>
    <n v="12"/>
    <x v="46"/>
    <x v="14"/>
    <x v="1"/>
    <x v="12"/>
    <s v="Categoría"/>
    <s v="Número de personas en el programa de salud cardiovascular"/>
    <s v="Periodo 2012-2018"/>
    <s v="Número de personas"/>
    <s v="Departamento de Estadísticas e Información de la Salud (DEIS) - Ministerio de Salud"/>
    <x v="1947"/>
    <m/>
    <s v="Gráfico de Evolución"/>
    <s v="diabetes tabaquismo obesidad cardiovascular corazón hipertensión enfermedad renal dislipidemias infarto salud programa región magallanes"/>
    <x v="1590"/>
    <s v="100-R-12"/>
    <s v="#1774B487"/>
    <s v="990-1965"/>
    <n v="99200012"/>
    <s v="T-1015"/>
    <s v="C-1010"/>
    <s v="FI-1002"/>
    <s v="M-1166"/>
  </r>
  <r>
    <x v="1965"/>
    <n v="990"/>
    <x v="0"/>
    <x v="4"/>
    <n v="13"/>
    <x v="46"/>
    <x v="14"/>
    <x v="1"/>
    <x v="13"/>
    <s v="Categoría"/>
    <s v="Número de personas en el programa de salud cardiovascular"/>
    <s v="Periodo 2012-2018"/>
    <s v="Número de personas"/>
    <s v="Departamento de Estadísticas e Información de la Salud (DEIS) - Ministerio de Salud"/>
    <x v="1948"/>
    <m/>
    <s v="Gráfico de Evolución"/>
    <s v="diabetes tabaquismo obesidad cardiovascular corazón hipertensión enfermedad renal dislipidemias infarto salud programa región metropolitana"/>
    <x v="1591"/>
    <s v="200-R-13"/>
    <s v="#1774B488"/>
    <s v="990-1966"/>
    <n v="99200013"/>
    <s v="T-1015"/>
    <s v="C-1010"/>
    <s v="FI-1002"/>
    <s v="M-1166"/>
  </r>
  <r>
    <x v="1966"/>
    <n v="990"/>
    <x v="0"/>
    <x v="4"/>
    <n v="14"/>
    <x v="46"/>
    <x v="14"/>
    <x v="1"/>
    <x v="14"/>
    <s v="Categoría"/>
    <s v="Número de personas en el programa de salud cardiovascular"/>
    <s v="Periodo 2012-2018"/>
    <s v="Número de personas"/>
    <s v="Departamento de Estadísticas e Información de la Salud (DEIS) - Ministerio de Salud"/>
    <x v="1949"/>
    <m/>
    <s v="Gráfico de Evolución"/>
    <s v="diabetes tabaquismo obesidad cardiovascular corazón hipertensión enfermedad renal dislipidemias infarto salud programa región los ríos"/>
    <x v="1592"/>
    <s v="100-R-14"/>
    <s v="#1774B489"/>
    <s v="990-1967"/>
    <n v="99200014"/>
    <s v="T-1015"/>
    <s v="C-1010"/>
    <s v="FI-1002"/>
    <s v="M-1166"/>
  </r>
  <r>
    <x v="1967"/>
    <n v="990"/>
    <x v="0"/>
    <x v="4"/>
    <n v="15"/>
    <x v="46"/>
    <x v="14"/>
    <x v="1"/>
    <x v="15"/>
    <s v="Categoría"/>
    <s v="Número de personas en el programa de salud cardiovascular"/>
    <s v="Periodo 2012-2018"/>
    <s v="Número de personas"/>
    <s v="Departamento de Estadísticas e Información de la Salud (DEIS) - Ministerio de Salud"/>
    <x v="1950"/>
    <m/>
    <s v="Gráfico de Evolución"/>
    <s v="diabetes tabaquismo obesidad cardiovascular corazón hipertensión enfermedad renal dislipidemias infarto salud programa región arica parinacota"/>
    <x v="1593"/>
    <s v="100-R-15"/>
    <s v="#1774B490"/>
    <s v="990-1968"/>
    <n v="99200015"/>
    <s v="T-1015"/>
    <s v="C-1010"/>
    <s v="FI-1002"/>
    <s v="M-1166"/>
  </r>
  <r>
    <x v="1968"/>
    <n v="990"/>
    <x v="0"/>
    <x v="4"/>
    <n v="16"/>
    <x v="46"/>
    <x v="14"/>
    <x v="1"/>
    <x v="16"/>
    <s v="Categoría"/>
    <s v="Número de personas en el programa de salud cardiovascular"/>
    <s v="Periodo 2012-2018"/>
    <s v="Número de personas"/>
    <s v="Departamento de Estadísticas e Información de la Salud (DEIS) - Ministerio de Salud"/>
    <x v="1951"/>
    <m/>
    <s v="Gráfico de Evolución"/>
    <s v="diabetes tabaquismo obesidad cardiovascular corazón hipertensión enfermedad renal dislipidemias infarto salud programa región ñuble"/>
    <x v="1594"/>
    <s v="100-R-16"/>
    <s v="#1774B491"/>
    <s v="990-1969"/>
    <n v="99200016"/>
    <s v="T-1015"/>
    <s v="C-1010"/>
    <s v="FI-1002"/>
    <s v="M-1166"/>
  </r>
  <r>
    <x v="1969"/>
    <n v="990"/>
    <x v="0"/>
    <x v="4"/>
    <n v="0"/>
    <x v="46"/>
    <x v="14"/>
    <x v="0"/>
    <x v="0"/>
    <s v="Ninguno"/>
    <s v="Número de personas en el programa de salud cardiovascular"/>
    <s v="Periodo 2012-2018"/>
    <s v="Número de personas"/>
    <s v="Departamento de Estadísticas e Información de la Salud (DEIS) - Ministerio de Salud"/>
    <x v="1952"/>
    <s v="Para el año 2018, la Población en Control del Programa de Salud Cardiovascular (PSCV) se concentró en mayor cantidad en la Región Metropolitana con casi 2 millones de personas. Luego viene la Región del Biobío, la cual terminó el año 2018 con más de 600 mil personas en el programa."/>
    <s v="Gráfico de Evolución"/>
    <s v="enfermedad cardiovascular corazón población control salud programa regional chile"/>
    <x v="1595"/>
    <s v="300-R"/>
    <s v="#1774B492"/>
    <s v="990-1970"/>
    <n v="99100000"/>
    <s v="T-1015"/>
    <s v="C-1010"/>
    <s v="FI-993"/>
    <s v="M-1166"/>
  </r>
  <r>
    <x v="1970"/>
    <n v="990"/>
    <x v="0"/>
    <x v="4"/>
    <n v="1"/>
    <x v="46"/>
    <x v="14"/>
    <x v="1"/>
    <x v="1"/>
    <s v="Ninguno"/>
    <s v="Número de personas en el programa de salud cardiovascular"/>
    <s v="Periodo 2012-2018"/>
    <s v="Número de personas"/>
    <s v="Departamento de Estadísticas e Información de la Salud (DEIS) - Ministerio de Salud"/>
    <x v="1953"/>
    <m/>
    <s v="Gráfico de Evolución"/>
    <s v="enfermedad cardiovascular corazón población control salud programa región tarapacá"/>
    <x v="1596"/>
    <s v="100-R-1"/>
    <s v="#1774B493"/>
    <s v="990-1971"/>
    <n v="99200001"/>
    <s v="T-1015"/>
    <s v="C-1010"/>
    <s v="FI-993"/>
    <s v="M-1166"/>
  </r>
  <r>
    <x v="1971"/>
    <n v="990"/>
    <x v="0"/>
    <x v="4"/>
    <n v="2"/>
    <x v="46"/>
    <x v="14"/>
    <x v="1"/>
    <x v="2"/>
    <s v="Ninguno"/>
    <s v="Número de personas en el programa de salud cardiovascular"/>
    <s v="Periodo 2012-2018"/>
    <s v="Número de personas"/>
    <s v="Departamento de Estadísticas e Información de la Salud (DEIS) - Ministerio de Salud"/>
    <x v="1954"/>
    <m/>
    <s v="Gráfico de Evolución"/>
    <s v="enfermedad cardiovascular corazón población control salud programa región antofagasta"/>
    <x v="1597"/>
    <s v="100-R-2"/>
    <s v="#1774B494"/>
    <s v="990-1972"/>
    <n v="99200002"/>
    <s v="T-1015"/>
    <s v="C-1010"/>
    <s v="FI-993"/>
    <s v="M-1166"/>
  </r>
  <r>
    <x v="1972"/>
    <n v="990"/>
    <x v="0"/>
    <x v="4"/>
    <n v="3"/>
    <x v="46"/>
    <x v="14"/>
    <x v="1"/>
    <x v="3"/>
    <s v="Ninguno"/>
    <s v="Número de personas en el programa de salud cardiovascular"/>
    <s v="Periodo 2012-2018"/>
    <s v="Número de personas"/>
    <s v="Departamento de Estadísticas e Información de la Salud (DEIS) - Ministerio de Salud"/>
    <x v="1955"/>
    <m/>
    <s v="Gráfico de Evolución"/>
    <s v="enfermedad cardiovascular corazón población control salud programa región atacama"/>
    <x v="1598"/>
    <s v="100-R-3"/>
    <s v="#1774B495"/>
    <s v="990-1973"/>
    <n v="99200003"/>
    <s v="T-1015"/>
    <s v="C-1010"/>
    <s v="FI-993"/>
    <s v="M-1166"/>
  </r>
  <r>
    <x v="1973"/>
    <n v="990"/>
    <x v="0"/>
    <x v="4"/>
    <n v="4"/>
    <x v="46"/>
    <x v="14"/>
    <x v="1"/>
    <x v="4"/>
    <s v="Ninguno"/>
    <s v="Número de personas en el programa de salud cardiovascular"/>
    <s v="Periodo 2012-2018"/>
    <s v="Número de personas"/>
    <s v="Departamento de Estadísticas e Información de la Salud (DEIS) - Ministerio de Salud"/>
    <x v="1956"/>
    <m/>
    <s v="Gráfico de Evolución"/>
    <s v="enfermedad cardiovascular corazón población control salud programa región coquimbo"/>
    <x v="1599"/>
    <s v="100-R-4"/>
    <s v="#1774B496"/>
    <s v="990-1974"/>
    <n v="99200004"/>
    <s v="T-1015"/>
    <s v="C-1010"/>
    <s v="FI-993"/>
    <s v="M-1166"/>
  </r>
  <r>
    <x v="1974"/>
    <n v="990"/>
    <x v="0"/>
    <x v="4"/>
    <n v="5"/>
    <x v="46"/>
    <x v="14"/>
    <x v="1"/>
    <x v="5"/>
    <s v="Ninguno"/>
    <s v="Número de personas en el programa de salud cardiovascular"/>
    <s v="Periodo 2012-2018"/>
    <s v="Número de personas"/>
    <s v="Departamento de Estadísticas e Información de la Salud (DEIS) - Ministerio de Salud"/>
    <x v="1957"/>
    <m/>
    <s v="Gráfico de Evolución"/>
    <s v="enfermedad cardiovascular corazón población control salud programa región valparaíso"/>
    <x v="1600"/>
    <s v="100-R-5"/>
    <s v="#1774B497"/>
    <s v="990-1975"/>
    <n v="99200005"/>
    <s v="T-1015"/>
    <s v="C-1010"/>
    <s v="FI-993"/>
    <s v="M-1166"/>
  </r>
  <r>
    <x v="1975"/>
    <n v="990"/>
    <x v="0"/>
    <x v="4"/>
    <n v="6"/>
    <x v="46"/>
    <x v="14"/>
    <x v="1"/>
    <x v="6"/>
    <s v="Ninguno"/>
    <s v="Número de personas en el programa de salud cardiovascular"/>
    <s v="Periodo 2012-2018"/>
    <s v="Número de personas"/>
    <s v="Departamento de Estadísticas e Información de la Salud (DEIS) - Ministerio de Salud"/>
    <x v="1958"/>
    <m/>
    <s v="Gráfico de Evolución"/>
    <s v="enfermedad cardiovascular corazón población control salud programa región ohiggins"/>
    <x v="1601"/>
    <s v="100-R-6"/>
    <s v="#1774B498"/>
    <s v="990-1976"/>
    <n v="99200006"/>
    <s v="T-1015"/>
    <s v="C-1010"/>
    <s v="FI-993"/>
    <s v="M-1166"/>
  </r>
  <r>
    <x v="1976"/>
    <n v="990"/>
    <x v="0"/>
    <x v="4"/>
    <n v="7"/>
    <x v="46"/>
    <x v="14"/>
    <x v="1"/>
    <x v="7"/>
    <s v="Ninguno"/>
    <s v="Número de personas en el programa de salud cardiovascular"/>
    <s v="Periodo 2012-2018"/>
    <s v="Número de personas"/>
    <s v="Departamento de Estadísticas e Información de la Salud (DEIS) - Ministerio de Salud"/>
    <x v="1959"/>
    <m/>
    <s v="Gráfico de Evolución"/>
    <s v="enfermedad cardiovascular corazón población control salud programa región maule"/>
    <x v="1602"/>
    <s v="100-R-7"/>
    <s v="#1774B499"/>
    <s v="990-1977"/>
    <n v="99200007"/>
    <s v="T-1015"/>
    <s v="C-1010"/>
    <s v="FI-993"/>
    <s v="M-1166"/>
  </r>
  <r>
    <x v="1977"/>
    <n v="990"/>
    <x v="0"/>
    <x v="4"/>
    <n v="8"/>
    <x v="46"/>
    <x v="14"/>
    <x v="1"/>
    <x v="8"/>
    <s v="Ninguno"/>
    <s v="Número de personas en el programa de salud cardiovascular"/>
    <s v="Periodo 2012-2018"/>
    <s v="Número de personas"/>
    <s v="Departamento de Estadísticas e Información de la Salud (DEIS) - Ministerio de Salud"/>
    <x v="1960"/>
    <m/>
    <s v="Gráfico de Evolución"/>
    <s v="enfermedad cardiovascular corazón población control salud programa región biobío"/>
    <x v="1603"/>
    <s v="100-R-8"/>
    <s v="#1774B500"/>
    <s v="990-1978"/>
    <n v="99200008"/>
    <s v="T-1015"/>
    <s v="C-1010"/>
    <s v="FI-993"/>
    <s v="M-1166"/>
  </r>
  <r>
    <x v="1978"/>
    <n v="990"/>
    <x v="0"/>
    <x v="4"/>
    <n v="9"/>
    <x v="46"/>
    <x v="14"/>
    <x v="1"/>
    <x v="9"/>
    <s v="Ninguno"/>
    <s v="Número de personas en el programa de salud cardiovascular"/>
    <s v="Periodo 2012-2018"/>
    <s v="Número de personas"/>
    <s v="Departamento de Estadísticas e Información de la Salud (DEIS) - Ministerio de Salud"/>
    <x v="1961"/>
    <m/>
    <s v="Gráfico de Evolución"/>
    <s v="enfermedad cardiovascular corazón población control salud programa región araucanía"/>
    <x v="1604"/>
    <s v="100-R-9"/>
    <s v="#1774B501"/>
    <s v="990-1979"/>
    <n v="99200009"/>
    <s v="T-1015"/>
    <s v="C-1010"/>
    <s v="FI-993"/>
    <s v="M-1166"/>
  </r>
  <r>
    <x v="1979"/>
    <n v="990"/>
    <x v="0"/>
    <x v="4"/>
    <n v="10"/>
    <x v="46"/>
    <x v="14"/>
    <x v="1"/>
    <x v="10"/>
    <s v="Ninguno"/>
    <s v="Número de personas en el programa de salud cardiovascular"/>
    <s v="Periodo 2012-2018"/>
    <s v="Número de personas"/>
    <s v="Departamento de Estadísticas e Información de la Salud (DEIS) - Ministerio de Salud"/>
    <x v="1962"/>
    <m/>
    <s v="Gráfico de Evolución"/>
    <s v="enfermedad cardiovascular corazón población control salud programa región los lagos"/>
    <x v="1605"/>
    <s v="100-R-10"/>
    <s v="#1774B502"/>
    <s v="990-1980"/>
    <n v="99200010"/>
    <s v="T-1015"/>
    <s v="C-1010"/>
    <s v="FI-993"/>
    <s v="M-1166"/>
  </r>
  <r>
    <x v="1980"/>
    <n v="990"/>
    <x v="0"/>
    <x v="4"/>
    <n v="11"/>
    <x v="46"/>
    <x v="14"/>
    <x v="1"/>
    <x v="11"/>
    <s v="Ninguno"/>
    <s v="Número de personas en el programa de salud cardiovascular"/>
    <s v="Periodo 2012-2018"/>
    <s v="Número de personas"/>
    <s v="Departamento de Estadísticas e Información de la Salud (DEIS) - Ministerio de Salud"/>
    <x v="1963"/>
    <m/>
    <s v="Gráfico de Evolución"/>
    <s v="enfermedad cardiovascular corazón población control salud programa región aysén"/>
    <x v="1606"/>
    <s v="100-R-11"/>
    <s v="#1774B503"/>
    <s v="990-1981"/>
    <n v="99200011"/>
    <s v="T-1015"/>
    <s v="C-1010"/>
    <s v="FI-993"/>
    <s v="M-1166"/>
  </r>
  <r>
    <x v="1981"/>
    <n v="990"/>
    <x v="0"/>
    <x v="4"/>
    <n v="12"/>
    <x v="46"/>
    <x v="14"/>
    <x v="1"/>
    <x v="12"/>
    <s v="Ninguno"/>
    <s v="Número de personas en el programa de salud cardiovascular"/>
    <s v="Periodo 2012-2018"/>
    <s v="Número de personas"/>
    <s v="Departamento de Estadísticas e Información de la Salud (DEIS) - Ministerio de Salud"/>
    <x v="1964"/>
    <m/>
    <s v="Gráfico de Evolución"/>
    <s v="enfermedad cardiovascular corazón población control salud programa región magallanes"/>
    <x v="1607"/>
    <s v="100-R-12"/>
    <s v="#1774B504"/>
    <s v="990-1982"/>
    <n v="99200012"/>
    <s v="T-1015"/>
    <s v="C-1010"/>
    <s v="FI-993"/>
    <s v="M-1166"/>
  </r>
  <r>
    <x v="1982"/>
    <n v="990"/>
    <x v="0"/>
    <x v="4"/>
    <n v="13"/>
    <x v="46"/>
    <x v="14"/>
    <x v="1"/>
    <x v="13"/>
    <s v="Ninguno"/>
    <s v="Número de personas en el programa de salud cardiovascular"/>
    <s v="Periodo 2012-2018"/>
    <s v="Número de personas"/>
    <s v="Departamento de Estadísticas e Información de la Salud (DEIS) - Ministerio de Salud"/>
    <x v="1965"/>
    <m/>
    <s v="Gráfico de Evolución"/>
    <s v="enfermedad cardiovascular corazón población control salud programa región metropolitana"/>
    <x v="1608"/>
    <s v="200-R-13"/>
    <s v="#1774B505"/>
    <s v="990-1983"/>
    <n v="99200013"/>
    <s v="T-1015"/>
    <s v="C-1010"/>
    <s v="FI-993"/>
    <s v="M-1166"/>
  </r>
  <r>
    <x v="1983"/>
    <n v="990"/>
    <x v="0"/>
    <x v="4"/>
    <n v="14"/>
    <x v="46"/>
    <x v="14"/>
    <x v="1"/>
    <x v="14"/>
    <s v="Ninguno"/>
    <s v="Número de personas en el programa de salud cardiovascular"/>
    <s v="Periodo 2012-2018"/>
    <s v="Número de personas"/>
    <s v="Departamento de Estadísticas e Información de la Salud (DEIS) - Ministerio de Salud"/>
    <x v="1966"/>
    <m/>
    <s v="Gráfico de Evolución"/>
    <s v="enfermedad cardiovascular corazón población control salud programa región los ríos"/>
    <x v="1609"/>
    <s v="100-R-14"/>
    <s v="#1774B506"/>
    <s v="990-1984"/>
    <n v="99200014"/>
    <s v="T-1015"/>
    <s v="C-1010"/>
    <s v="FI-993"/>
    <s v="M-1166"/>
  </r>
  <r>
    <x v="1984"/>
    <n v="990"/>
    <x v="0"/>
    <x v="4"/>
    <n v="15"/>
    <x v="46"/>
    <x v="14"/>
    <x v="1"/>
    <x v="15"/>
    <s v="Ninguno"/>
    <s v="Número de personas en el programa de salud cardiovascular"/>
    <s v="Periodo 2012-2018"/>
    <s v="Número de personas"/>
    <s v="Departamento de Estadísticas e Información de la Salud (DEIS) - Ministerio de Salud"/>
    <x v="1967"/>
    <m/>
    <s v="Gráfico de Evolución"/>
    <s v="enfermedad cardiovascular corazón población control salud programa región arica parinacota"/>
    <x v="1610"/>
    <s v="100-R-15"/>
    <s v="#1774B507"/>
    <s v="990-1985"/>
    <n v="99200015"/>
    <s v="T-1015"/>
    <s v="C-1010"/>
    <s v="FI-993"/>
    <s v="M-1166"/>
  </r>
  <r>
    <x v="1985"/>
    <n v="990"/>
    <x v="0"/>
    <x v="4"/>
    <n v="16"/>
    <x v="46"/>
    <x v="14"/>
    <x v="1"/>
    <x v="16"/>
    <s v="Ninguno"/>
    <s v="Número de personas en el programa de salud cardiovascular"/>
    <s v="Periodo 2012-2018"/>
    <s v="Número de personas"/>
    <s v="Departamento de Estadísticas e Información de la Salud (DEIS) - Ministerio de Salud"/>
    <x v="1968"/>
    <m/>
    <s v="Gráfico de Evolución"/>
    <s v="enfermedad cardiovascular corazón población control salud programa región ñuble"/>
    <x v="1611"/>
    <s v="100-R-16"/>
    <s v="#1774B508"/>
    <s v="990-1986"/>
    <n v="99200016"/>
    <s v="T-1015"/>
    <s v="C-1010"/>
    <s v="FI-993"/>
    <s v="M-1166"/>
  </r>
  <r>
    <x v="1986"/>
    <n v="990"/>
    <x v="0"/>
    <x v="4"/>
    <n v="0"/>
    <x v="46"/>
    <x v="14"/>
    <x v="0"/>
    <x v="0"/>
    <s v="Región-Servicio de Salud"/>
    <s v="Número de personas en el programa de salud cardiovascular"/>
    <s v="Periodo 2012-2018"/>
    <s v="Número de personas"/>
    <s v="Departamento de Estadísticas e Información de la Salud (DEIS) - Ministerio de Salud"/>
    <x v="1969"/>
    <s v="Considerando el periodo 2012-2018, se observa que las comunas de Puente Alto y La Florida tuvieron la mayor Población en Control del Programa de Salud Cardiovascular superando el millón de personas, seguidos por la comuna Valparaíso que alcanzó 800 mil personas en control para el periodo analizado."/>
    <s v="Gráfico de Evolución"/>
    <s v="enfermedad cardiovascular corazón población control salud programa comunal chile"/>
    <x v="1612"/>
    <s v="300-C"/>
    <s v="#1774B509"/>
    <s v="990-1987"/>
    <n v="99100000"/>
    <s v="T-1015"/>
    <s v="C-1010"/>
    <s v="FI-1009"/>
    <s v="M-1166"/>
  </r>
  <r>
    <x v="1987"/>
    <n v="990"/>
    <x v="0"/>
    <x v="4"/>
    <n v="1"/>
    <x v="46"/>
    <x v="14"/>
    <x v="1"/>
    <x v="1"/>
    <s v="Servicio de Salud"/>
    <s v="Número de personas en el programa de salud cardiovascular"/>
    <s v="Periodo 2012-2018"/>
    <s v="Número de personas"/>
    <s v="Departamento de Estadísticas e Información de la Salud (DEIS) - Ministerio de Salud"/>
    <x v="1970"/>
    <m/>
    <s v="Gráfico de Evolución"/>
    <s v="enfermedad cardiovascular corazón población control salud programa comunal región tarapacá"/>
    <x v="1613"/>
    <s v="100-C-1"/>
    <s v="#1774B510"/>
    <s v="990-1988"/>
    <n v="99200001"/>
    <s v="T-1015"/>
    <s v="C-1010"/>
    <s v="FI-1003"/>
    <s v="M-1166"/>
  </r>
  <r>
    <x v="1988"/>
    <n v="990"/>
    <x v="0"/>
    <x v="4"/>
    <n v="2"/>
    <x v="46"/>
    <x v="14"/>
    <x v="1"/>
    <x v="2"/>
    <s v="Servicio de Salud"/>
    <s v="Número de personas en el programa de salud cardiovascular"/>
    <s v="Periodo 2012-2018"/>
    <s v="Número de personas"/>
    <s v="Departamento de Estadísticas e Información de la Salud (DEIS) - Ministerio de Salud"/>
    <x v="1971"/>
    <m/>
    <s v="Gráfico de Evolución"/>
    <s v="enfermedad cardiovascular corazón población control salud programa comunal región antofagasta"/>
    <x v="1614"/>
    <s v="100-C-2"/>
    <s v="#1774B511"/>
    <s v="990-1989"/>
    <n v="99200002"/>
    <s v="T-1015"/>
    <s v="C-1010"/>
    <s v="FI-1003"/>
    <s v="M-1166"/>
  </r>
  <r>
    <x v="1989"/>
    <n v="990"/>
    <x v="0"/>
    <x v="4"/>
    <n v="3"/>
    <x v="46"/>
    <x v="14"/>
    <x v="1"/>
    <x v="3"/>
    <s v="Servicio de Salud"/>
    <s v="Número de personas en el programa de salud cardiovascular"/>
    <s v="Periodo 2012-2018"/>
    <s v="Número de personas"/>
    <s v="Departamento de Estadísticas e Información de la Salud (DEIS) - Ministerio de Salud"/>
    <x v="1972"/>
    <m/>
    <s v="Gráfico de Evolución"/>
    <s v="enfermedad cardiovascular corazón población control salud programa comunal región atacama"/>
    <x v="1615"/>
    <s v="100-C-3"/>
    <s v="#1774B512"/>
    <s v="990-1990"/>
    <n v="99200003"/>
    <s v="T-1015"/>
    <s v="C-1010"/>
    <s v="FI-1003"/>
    <s v="M-1166"/>
  </r>
  <r>
    <x v="1990"/>
    <n v="990"/>
    <x v="0"/>
    <x v="4"/>
    <n v="4"/>
    <x v="46"/>
    <x v="14"/>
    <x v="1"/>
    <x v="4"/>
    <s v="Servicio de Salud"/>
    <s v="Número de personas en el programa de salud cardiovascular"/>
    <s v="Periodo 2012-2018"/>
    <s v="Número de personas"/>
    <s v="Departamento de Estadísticas e Información de la Salud (DEIS) - Ministerio de Salud"/>
    <x v="1973"/>
    <m/>
    <s v="Gráfico de Evolución"/>
    <s v="enfermedad cardiovascular corazón población control salud programa comunal región coquimbo"/>
    <x v="1616"/>
    <s v="100-C-4"/>
    <s v="#1774B513"/>
    <s v="990-1991"/>
    <n v="99200004"/>
    <s v="T-1015"/>
    <s v="C-1010"/>
    <s v="FI-1003"/>
    <s v="M-1166"/>
  </r>
  <r>
    <x v="1991"/>
    <n v="990"/>
    <x v="0"/>
    <x v="4"/>
    <n v="5"/>
    <x v="46"/>
    <x v="14"/>
    <x v="1"/>
    <x v="5"/>
    <s v="Servicio de Salud"/>
    <s v="Número de personas en el programa de salud cardiovascular"/>
    <s v="Periodo 2012-2018"/>
    <s v="Número de personas"/>
    <s v="Departamento de Estadísticas e Información de la Salud (DEIS) - Ministerio de Salud"/>
    <x v="1974"/>
    <m/>
    <s v="Gráfico de Evolución"/>
    <s v="enfermedad cardiovascular corazón población control salud programa comunal región valparaíso"/>
    <x v="1617"/>
    <s v="100-C-5"/>
    <s v="#1774B514"/>
    <s v="990-1992"/>
    <n v="99200005"/>
    <s v="T-1015"/>
    <s v="C-1010"/>
    <s v="FI-1003"/>
    <s v="M-1166"/>
  </r>
  <r>
    <x v="1992"/>
    <n v="990"/>
    <x v="0"/>
    <x v="4"/>
    <n v="6"/>
    <x v="46"/>
    <x v="14"/>
    <x v="1"/>
    <x v="6"/>
    <s v="Servicio de Salud"/>
    <s v="Número de personas en el programa de salud cardiovascular"/>
    <s v="Periodo 2012-2018"/>
    <s v="Número de personas"/>
    <s v="Departamento de Estadísticas e Información de la Salud (DEIS) - Ministerio de Salud"/>
    <x v="1975"/>
    <m/>
    <s v="Gráfico de Evolución"/>
    <s v="enfermedad cardiovascular corazón población control salud programa comunal región ohiggins"/>
    <x v="1618"/>
    <s v="100-C-6"/>
    <s v="#1774B515"/>
    <s v="990-1993"/>
    <n v="99200006"/>
    <s v="T-1015"/>
    <s v="C-1010"/>
    <s v="FI-1003"/>
    <s v="M-1166"/>
  </r>
  <r>
    <x v="1993"/>
    <n v="990"/>
    <x v="0"/>
    <x v="4"/>
    <n v="7"/>
    <x v="46"/>
    <x v="14"/>
    <x v="1"/>
    <x v="7"/>
    <s v="Servicio de Salud"/>
    <s v="Número de personas en el programa de salud cardiovascular"/>
    <s v="Periodo 2012-2018"/>
    <s v="Número de personas"/>
    <s v="Departamento de Estadísticas e Información de la Salud (DEIS) - Ministerio de Salud"/>
    <x v="1976"/>
    <m/>
    <s v="Gráfico de Evolución"/>
    <s v="enfermedad cardiovascular corazón población control salud programa comunal región maule"/>
    <x v="1619"/>
    <s v="100-C-7"/>
    <s v="#1774B516"/>
    <s v="990-1994"/>
    <n v="99200007"/>
    <s v="T-1015"/>
    <s v="C-1010"/>
    <s v="FI-1003"/>
    <s v="M-1166"/>
  </r>
  <r>
    <x v="1994"/>
    <n v="990"/>
    <x v="0"/>
    <x v="4"/>
    <n v="8"/>
    <x v="46"/>
    <x v="14"/>
    <x v="1"/>
    <x v="8"/>
    <s v="Servicio de Salud"/>
    <s v="Número de personas en el programa de salud cardiovascular"/>
    <s v="Periodo 2012-2018"/>
    <s v="Número de personas"/>
    <s v="Departamento de Estadísticas e Información de la Salud (DEIS) - Ministerio de Salud"/>
    <x v="1977"/>
    <m/>
    <s v="Gráfico de Evolución"/>
    <s v="enfermedad cardiovascular corazón población control salud programa comunal región biobío"/>
    <x v="1620"/>
    <s v="100-C-8"/>
    <s v="#1774B517"/>
    <s v="990-1995"/>
    <n v="99200008"/>
    <s v="T-1015"/>
    <s v="C-1010"/>
    <s v="FI-1003"/>
    <s v="M-1166"/>
  </r>
  <r>
    <x v="1995"/>
    <n v="990"/>
    <x v="0"/>
    <x v="4"/>
    <n v="9"/>
    <x v="46"/>
    <x v="14"/>
    <x v="1"/>
    <x v="9"/>
    <s v="Servicio de Salud"/>
    <s v="Número de personas en el programa de salud cardiovascular"/>
    <s v="Periodo 2012-2018"/>
    <s v="Número de personas"/>
    <s v="Departamento de Estadísticas e Información de la Salud (DEIS) - Ministerio de Salud"/>
    <x v="1978"/>
    <m/>
    <s v="Gráfico de Evolución"/>
    <s v="enfermedad cardiovascular corazón población control salud programa comunal región araucanía"/>
    <x v="1621"/>
    <s v="100-C-9"/>
    <s v="#1774B518"/>
    <s v="990-1996"/>
    <n v="99200009"/>
    <s v="T-1015"/>
    <s v="C-1010"/>
    <s v="FI-1003"/>
    <s v="M-1166"/>
  </r>
  <r>
    <x v="1996"/>
    <n v="990"/>
    <x v="0"/>
    <x v="4"/>
    <n v="10"/>
    <x v="46"/>
    <x v="14"/>
    <x v="1"/>
    <x v="10"/>
    <s v="Servicio de Salud"/>
    <s v="Número de personas en el programa de salud cardiovascular"/>
    <s v="Periodo 2012-2018"/>
    <s v="Número de personas"/>
    <s v="Departamento de Estadísticas e Información de la Salud (DEIS) - Ministerio de Salud"/>
    <x v="1979"/>
    <m/>
    <s v="Gráfico de Evolución"/>
    <s v="enfermedad cardiovascular corazón población control salud programa comunal región los lagos"/>
    <x v="1622"/>
    <s v="100-C-10"/>
    <s v="#1774B519"/>
    <s v="990-1997"/>
    <n v="99200010"/>
    <s v="T-1015"/>
    <s v="C-1010"/>
    <s v="FI-1003"/>
    <s v="M-1166"/>
  </r>
  <r>
    <x v="1997"/>
    <n v="990"/>
    <x v="0"/>
    <x v="4"/>
    <n v="11"/>
    <x v="46"/>
    <x v="14"/>
    <x v="1"/>
    <x v="11"/>
    <s v="Servicio de Salud"/>
    <s v="Número de personas en el programa de salud cardiovascular"/>
    <s v="Periodo 2012-2018"/>
    <s v="Número de personas"/>
    <s v="Departamento de Estadísticas e Información de la Salud (DEIS) - Ministerio de Salud"/>
    <x v="1980"/>
    <m/>
    <s v="Gráfico de Evolución"/>
    <s v="enfermedad cardiovascular corazón población control salud programa comunal región aysén"/>
    <x v="1623"/>
    <s v="100-C-11"/>
    <s v="#1774B520"/>
    <s v="990-1998"/>
    <n v="99200011"/>
    <s v="T-1015"/>
    <s v="C-1010"/>
    <s v="FI-1003"/>
    <s v="M-1166"/>
  </r>
  <r>
    <x v="1998"/>
    <n v="990"/>
    <x v="0"/>
    <x v="4"/>
    <n v="12"/>
    <x v="46"/>
    <x v="14"/>
    <x v="1"/>
    <x v="12"/>
    <s v="Servicio de Salud"/>
    <s v="Número de personas en el programa de salud cardiovascular"/>
    <s v="Periodo 2012-2018"/>
    <s v="Número de personas"/>
    <s v="Departamento de Estadísticas e Información de la Salud (DEIS) - Ministerio de Salud"/>
    <x v="1981"/>
    <m/>
    <s v="Gráfico de Evolución"/>
    <s v="enfermedad cardiovascular corazón población control salud programa comunal región magallanes"/>
    <x v="1624"/>
    <s v="100-C-12"/>
    <s v="#1774B521"/>
    <s v="990-1999"/>
    <n v="99200012"/>
    <s v="T-1015"/>
    <s v="C-1010"/>
    <s v="FI-1003"/>
    <s v="M-1166"/>
  </r>
  <r>
    <x v="1999"/>
    <n v="990"/>
    <x v="0"/>
    <x v="4"/>
    <n v="13"/>
    <x v="46"/>
    <x v="14"/>
    <x v="1"/>
    <x v="13"/>
    <s v="Servicio de Salud"/>
    <s v="Número de personas en el programa de salud cardiovascular"/>
    <s v="Periodo 2012-2018"/>
    <s v="Número de personas"/>
    <s v="Departamento de Estadísticas e Información de la Salud (DEIS) - Ministerio de Salud"/>
    <x v="1982"/>
    <m/>
    <s v="Gráfico de Evolución"/>
    <s v="enfermedad cardiovascular corazón población control salud programa comunal región metropolitana"/>
    <x v="1625"/>
    <s v="200-C-13"/>
    <s v="#1774B522"/>
    <s v="990-2000"/>
    <n v="99200013"/>
    <s v="T-1015"/>
    <s v="C-1010"/>
    <s v="FI-1003"/>
    <s v="M-1166"/>
  </r>
  <r>
    <x v="2000"/>
    <n v="990"/>
    <x v="0"/>
    <x v="4"/>
    <n v="14"/>
    <x v="46"/>
    <x v="14"/>
    <x v="1"/>
    <x v="14"/>
    <s v="Servicio de Salud"/>
    <s v="Número de personas en el programa de salud cardiovascular"/>
    <s v="Periodo 2012-2018"/>
    <s v="Número de personas"/>
    <s v="Departamento de Estadísticas e Información de la Salud (DEIS) - Ministerio de Salud"/>
    <x v="1983"/>
    <m/>
    <s v="Gráfico de Evolución"/>
    <s v="enfermedad cardiovascular corazón población control salud programa comunal región los ríos"/>
    <x v="1626"/>
    <s v="100-C-14"/>
    <s v="#1774B523"/>
    <s v="990-2001"/>
    <n v="99200014"/>
    <s v="T-1015"/>
    <s v="C-1010"/>
    <s v="FI-1003"/>
    <s v="M-1166"/>
  </r>
  <r>
    <x v="2001"/>
    <n v="990"/>
    <x v="0"/>
    <x v="4"/>
    <n v="15"/>
    <x v="46"/>
    <x v="14"/>
    <x v="1"/>
    <x v="15"/>
    <s v="Servicio de Salud"/>
    <s v="Número de personas en el programa de salud cardiovascular"/>
    <s v="Periodo 2012-2018"/>
    <s v="Número de personas"/>
    <s v="Departamento de Estadísticas e Información de la Salud (DEIS) - Ministerio de Salud"/>
    <x v="1984"/>
    <m/>
    <s v="Gráfico de Evolución"/>
    <s v="enfermedad cardiovascular corazón población control salud programa comunal región arica parinacota"/>
    <x v="1627"/>
    <s v="100-C-15"/>
    <s v="#1774B524"/>
    <s v="990-2002"/>
    <n v="99200015"/>
    <s v="T-1015"/>
    <s v="C-1010"/>
    <s v="FI-1003"/>
    <s v="M-1166"/>
  </r>
  <r>
    <x v="2002"/>
    <n v="990"/>
    <x v="0"/>
    <x v="4"/>
    <n v="16"/>
    <x v="46"/>
    <x v="14"/>
    <x v="1"/>
    <x v="16"/>
    <s v="Servicio de Salud"/>
    <s v="Número de personas en el programa de salud cardiovascular"/>
    <s v="Periodo 2012-2018"/>
    <s v="Número de personas"/>
    <s v="Departamento de Estadísticas e Información de la Salud (DEIS) - Ministerio de Salud"/>
    <x v="1985"/>
    <m/>
    <s v="Gráfico de Evolución"/>
    <s v="enfermedad cardiovascular corazón población control salud programa comunal región ñuble"/>
    <x v="1628"/>
    <s v="100-C-16"/>
    <s v="#1774B525"/>
    <s v="990-2003"/>
    <n v="99200016"/>
    <s v="T-1015"/>
    <s v="C-1010"/>
    <s v="FI-1003"/>
    <s v="M-1166"/>
  </r>
  <r>
    <x v="2003"/>
    <n v="990"/>
    <x v="0"/>
    <x v="4"/>
    <n v="0"/>
    <x v="46"/>
    <x v="14"/>
    <x v="0"/>
    <x v="0"/>
    <s v="Región"/>
    <s v="Número de personas en el programa de salud cardiovascular"/>
    <s v="Periodo 2012-2018"/>
    <s v="Número de personas"/>
    <s v="Departamento de Estadísticas e Información de la Salud (DEIS) - Ministerio de Salud"/>
    <x v="1986"/>
    <s v="En el Programa de Salud Cardiovascular (PSCV), durante el periodo comprendido entre los años 2012-2018, es mayor la cantidad de mujeres que de hombres, alcanzando su peak el año 2014. Sin embargo, durante los años 2015-2018, en que se observa una disminución en la Población en Control del PSCV, la diferencia entre pacientes mujeres y hombres se reduce a la mitad."/>
    <s v="Gráfico de Evolución"/>
    <s v="enfermedad cardiovascular corazón población control salud programa sexo hombre mujer nacional chile"/>
    <x v="1629"/>
    <s v="300-R"/>
    <s v="#1774B526"/>
    <s v="990-2004"/>
    <n v="99100000"/>
    <s v="T-1015"/>
    <s v="C-1010"/>
    <s v="FI-992"/>
    <s v="M-1166"/>
  </r>
  <r>
    <x v="2004"/>
    <n v="990"/>
    <x v="0"/>
    <x v="4"/>
    <n v="1"/>
    <x v="46"/>
    <x v="14"/>
    <x v="1"/>
    <x v="1"/>
    <s v="Ninguno"/>
    <s v="Número de personas en el programa de salud cardiovascular"/>
    <s v="Periodo 2012-2018"/>
    <s v="Número de personas"/>
    <s v="Departamento de Estadísticas e Información de la Salud (DEIS) - Ministerio de Salud"/>
    <x v="1987"/>
    <m/>
    <s v="Gráfico de Evolución"/>
    <s v="enfermedad cardiovascular corazón población control salud programa sexo hombre mujer región tarapacá"/>
    <x v="1630"/>
    <s v="100-R-1"/>
    <s v="#1774B527"/>
    <s v="990-2005"/>
    <n v="99200001"/>
    <s v="T-1015"/>
    <s v="C-1010"/>
    <s v="FI-993"/>
    <s v="M-1166"/>
  </r>
  <r>
    <x v="2005"/>
    <n v="990"/>
    <x v="0"/>
    <x v="4"/>
    <n v="2"/>
    <x v="46"/>
    <x v="14"/>
    <x v="1"/>
    <x v="2"/>
    <s v="Ninguno"/>
    <s v="Número de personas en el programa de salud cardiovascular"/>
    <s v="Periodo 2012-2018"/>
    <s v="Número de personas"/>
    <s v="Departamento de Estadísticas e Información de la Salud (DEIS) - Ministerio de Salud"/>
    <x v="1988"/>
    <m/>
    <s v="Gráfico de Evolución"/>
    <s v="enfermedad cardiovascular corazón población control salud programa sexo hombre mujer región antofagasta"/>
    <x v="1631"/>
    <s v="100-R-2"/>
    <s v="#1774B528"/>
    <s v="990-2006"/>
    <n v="99200002"/>
    <s v="T-1015"/>
    <s v="C-1010"/>
    <s v="FI-993"/>
    <s v="M-1166"/>
  </r>
  <r>
    <x v="2006"/>
    <n v="990"/>
    <x v="0"/>
    <x v="4"/>
    <n v="3"/>
    <x v="46"/>
    <x v="14"/>
    <x v="1"/>
    <x v="3"/>
    <s v="Ninguno"/>
    <s v="Número de personas en el programa de salud cardiovascular"/>
    <s v="Periodo 2012-2018"/>
    <s v="Número de personas"/>
    <s v="Departamento de Estadísticas e Información de la Salud (DEIS) - Ministerio de Salud"/>
    <x v="1989"/>
    <m/>
    <s v="Gráfico de Evolución"/>
    <s v="enfermedad cardiovascular corazón población control salud programa sexo hombre mujer región atacama"/>
    <x v="1632"/>
    <s v="100-R-3"/>
    <s v="#1774B529"/>
    <s v="990-2007"/>
    <n v="99200003"/>
    <s v="T-1015"/>
    <s v="C-1010"/>
    <s v="FI-993"/>
    <s v="M-1166"/>
  </r>
  <r>
    <x v="2007"/>
    <n v="990"/>
    <x v="0"/>
    <x v="4"/>
    <n v="4"/>
    <x v="46"/>
    <x v="14"/>
    <x v="1"/>
    <x v="4"/>
    <s v="Ninguno"/>
    <s v="Número de personas en el programa de salud cardiovascular"/>
    <s v="Periodo 2012-2018"/>
    <s v="Número de personas"/>
    <s v="Departamento de Estadísticas e Información de la Salud (DEIS) - Ministerio de Salud"/>
    <x v="1990"/>
    <m/>
    <s v="Gráfico de Evolución"/>
    <s v="enfermedad cardiovascular corazón población control salud programa sexo hombre mujer región coquimbo"/>
    <x v="1633"/>
    <s v="100-R-4"/>
    <s v="#1774B530"/>
    <s v="990-2008"/>
    <n v="99200004"/>
    <s v="T-1015"/>
    <s v="C-1010"/>
    <s v="FI-993"/>
    <s v="M-1166"/>
  </r>
  <r>
    <x v="2008"/>
    <n v="990"/>
    <x v="0"/>
    <x v="4"/>
    <n v="5"/>
    <x v="46"/>
    <x v="14"/>
    <x v="1"/>
    <x v="5"/>
    <s v="Ninguno"/>
    <s v="Número de personas en el programa de salud cardiovascular"/>
    <s v="Periodo 2012-2018"/>
    <s v="Número de personas"/>
    <s v="Departamento de Estadísticas e Información de la Salud (DEIS) - Ministerio de Salud"/>
    <x v="1991"/>
    <m/>
    <s v="Gráfico de Evolución"/>
    <s v="enfermedad cardiovascular corazón población control salud programa sexo hombre mujer región valparaíso"/>
    <x v="1634"/>
    <s v="100-R-5"/>
    <s v="#1774B531"/>
    <s v="990-2009"/>
    <n v="99200005"/>
    <s v="T-1015"/>
    <s v="C-1010"/>
    <s v="FI-993"/>
    <s v="M-1166"/>
  </r>
  <r>
    <x v="2009"/>
    <n v="990"/>
    <x v="0"/>
    <x v="4"/>
    <n v="6"/>
    <x v="46"/>
    <x v="14"/>
    <x v="1"/>
    <x v="6"/>
    <s v="Ninguno"/>
    <s v="Número de personas en el programa de salud cardiovascular"/>
    <s v="Periodo 2012-2018"/>
    <s v="Número de personas"/>
    <s v="Departamento de Estadísticas e Información de la Salud (DEIS) - Ministerio de Salud"/>
    <x v="1992"/>
    <m/>
    <s v="Gráfico de Evolución"/>
    <s v="enfermedad cardiovascular corazón población control salud programa sexo hombre mujer región ohiggins"/>
    <x v="1635"/>
    <s v="100-R-6"/>
    <s v="#1774B532"/>
    <s v="990-2010"/>
    <n v="99200006"/>
    <s v="T-1015"/>
    <s v="C-1010"/>
    <s v="FI-993"/>
    <s v="M-1166"/>
  </r>
  <r>
    <x v="2010"/>
    <n v="990"/>
    <x v="0"/>
    <x v="4"/>
    <n v="7"/>
    <x v="46"/>
    <x v="14"/>
    <x v="1"/>
    <x v="7"/>
    <s v="Ninguno"/>
    <s v="Número de personas en el programa de salud cardiovascular"/>
    <s v="Periodo 2012-2018"/>
    <s v="Número de personas"/>
    <s v="Departamento de Estadísticas e Información de la Salud (DEIS) - Ministerio de Salud"/>
    <x v="1993"/>
    <m/>
    <s v="Gráfico de Evolución"/>
    <s v="enfermedad cardiovascular corazón población control salud programa sexo hombre mujer región maule"/>
    <x v="1636"/>
    <s v="100-R-7"/>
    <s v="#1774B533"/>
    <s v="990-2011"/>
    <n v="99200007"/>
    <s v="T-1015"/>
    <s v="C-1010"/>
    <s v="FI-993"/>
    <s v="M-1166"/>
  </r>
  <r>
    <x v="2011"/>
    <n v="990"/>
    <x v="0"/>
    <x v="4"/>
    <n v="8"/>
    <x v="46"/>
    <x v="14"/>
    <x v="1"/>
    <x v="8"/>
    <s v="Ninguno"/>
    <s v="Número de personas en el programa de salud cardiovascular"/>
    <s v="Periodo 2012-2018"/>
    <s v="Número de personas"/>
    <s v="Departamento de Estadísticas e Información de la Salud (DEIS) - Ministerio de Salud"/>
    <x v="1994"/>
    <m/>
    <s v="Gráfico de Evolución"/>
    <s v="enfermedad cardiovascular corazón población control salud programa sexo hombre mujer región biobío"/>
    <x v="1637"/>
    <s v="100-R-8"/>
    <s v="#1774B534"/>
    <s v="990-2012"/>
    <n v="99200008"/>
    <s v="T-1015"/>
    <s v="C-1010"/>
    <s v="FI-993"/>
    <s v="M-1166"/>
  </r>
  <r>
    <x v="2012"/>
    <n v="990"/>
    <x v="0"/>
    <x v="4"/>
    <n v="9"/>
    <x v="46"/>
    <x v="14"/>
    <x v="1"/>
    <x v="9"/>
    <s v="Ninguno"/>
    <s v="Número de personas en el programa de salud cardiovascular"/>
    <s v="Periodo 2012-2018"/>
    <s v="Número de personas"/>
    <s v="Departamento de Estadísticas e Información de la Salud (DEIS) - Ministerio de Salud"/>
    <x v="1995"/>
    <m/>
    <s v="Gráfico de Evolución"/>
    <s v="enfermedad cardiovascular corazón población control salud programa sexo hombre mujer región araucanía"/>
    <x v="1638"/>
    <s v="100-R-9"/>
    <s v="#1774B535"/>
    <s v="990-2013"/>
    <n v="99200009"/>
    <s v="T-1015"/>
    <s v="C-1010"/>
    <s v="FI-993"/>
    <s v="M-1166"/>
  </r>
  <r>
    <x v="2013"/>
    <n v="990"/>
    <x v="0"/>
    <x v="4"/>
    <n v="10"/>
    <x v="46"/>
    <x v="14"/>
    <x v="1"/>
    <x v="10"/>
    <s v="Ninguno"/>
    <s v="Número de personas en el programa de salud cardiovascular"/>
    <s v="Periodo 2012-2018"/>
    <s v="Número de personas"/>
    <s v="Departamento de Estadísticas e Información de la Salud (DEIS) - Ministerio de Salud"/>
    <x v="1996"/>
    <m/>
    <s v="Gráfico de Evolución"/>
    <s v="enfermedad cardiovascular corazón población control salud programa sexo hombre mujer región los lagos"/>
    <x v="1639"/>
    <s v="100-R-10"/>
    <s v="#1774B536"/>
    <s v="990-2014"/>
    <n v="99200010"/>
    <s v="T-1015"/>
    <s v="C-1010"/>
    <s v="FI-993"/>
    <s v="M-1166"/>
  </r>
  <r>
    <x v="2014"/>
    <n v="990"/>
    <x v="0"/>
    <x v="4"/>
    <n v="11"/>
    <x v="46"/>
    <x v="14"/>
    <x v="1"/>
    <x v="11"/>
    <s v="Ninguno"/>
    <s v="Número de personas en el programa de salud cardiovascular"/>
    <s v="Periodo 2012-2018"/>
    <s v="Número de personas"/>
    <s v="Departamento de Estadísticas e Información de la Salud (DEIS) - Ministerio de Salud"/>
    <x v="1997"/>
    <m/>
    <s v="Gráfico de Evolución"/>
    <s v="enfermedad cardiovascular corazón población control salud programa sexo hombre mujer región aysén"/>
    <x v="1640"/>
    <s v="100-R-11"/>
    <s v="#1774B537"/>
    <s v="990-2015"/>
    <n v="99200011"/>
    <s v="T-1015"/>
    <s v="C-1010"/>
    <s v="FI-993"/>
    <s v="M-1166"/>
  </r>
  <r>
    <x v="2015"/>
    <n v="990"/>
    <x v="0"/>
    <x v="4"/>
    <n v="12"/>
    <x v="46"/>
    <x v="14"/>
    <x v="1"/>
    <x v="12"/>
    <s v="Ninguno"/>
    <s v="Número de personas en el programa de salud cardiovascular"/>
    <s v="Periodo 2012-2018"/>
    <s v="Número de personas"/>
    <s v="Departamento de Estadísticas e Información de la Salud (DEIS) - Ministerio de Salud"/>
    <x v="1998"/>
    <m/>
    <s v="Gráfico de Evolución"/>
    <s v="enfermedad cardiovascular corazón población control salud programa sexo hombre mujer región magallanes"/>
    <x v="1641"/>
    <s v="100-R-12"/>
    <s v="#1774B538"/>
    <s v="990-2016"/>
    <n v="99200012"/>
    <s v="T-1015"/>
    <s v="C-1010"/>
    <s v="FI-993"/>
    <s v="M-1166"/>
  </r>
  <r>
    <x v="2016"/>
    <n v="990"/>
    <x v="0"/>
    <x v="4"/>
    <n v="13"/>
    <x v="46"/>
    <x v="14"/>
    <x v="1"/>
    <x v="13"/>
    <s v="Ninguno"/>
    <s v="Número de personas en el programa de salud cardiovascular"/>
    <s v="Periodo 2012-2018"/>
    <s v="Número de personas"/>
    <s v="Departamento de Estadísticas e Información de la Salud (DEIS) - Ministerio de Salud"/>
    <x v="1999"/>
    <m/>
    <s v="Gráfico de Evolución"/>
    <s v="enfermedad cardiovascular corazón población control salud programa sexo hombre mujer región metropolitana"/>
    <x v="1642"/>
    <s v="200-R-13"/>
    <s v="#1774B539"/>
    <s v="990-2017"/>
    <n v="99200013"/>
    <s v="T-1015"/>
    <s v="C-1010"/>
    <s v="FI-993"/>
    <s v="M-1166"/>
  </r>
  <r>
    <x v="2017"/>
    <n v="990"/>
    <x v="0"/>
    <x v="4"/>
    <n v="14"/>
    <x v="46"/>
    <x v="14"/>
    <x v="1"/>
    <x v="14"/>
    <s v="Ninguno"/>
    <s v="Número de personas en el programa de salud cardiovascular"/>
    <s v="Periodo 2012-2018"/>
    <s v="Número de personas"/>
    <s v="Departamento de Estadísticas e Información de la Salud (DEIS) - Ministerio de Salud"/>
    <x v="2000"/>
    <m/>
    <s v="Gráfico de Evolución"/>
    <s v="enfermedad cardiovascular corazón población control salud programa sexo hombre mujer región los ríos"/>
    <x v="1643"/>
    <s v="100-R-14"/>
    <s v="#1774B540"/>
    <s v="990-2018"/>
    <n v="99200014"/>
    <s v="T-1015"/>
    <s v="C-1010"/>
    <s v="FI-993"/>
    <s v="M-1166"/>
  </r>
  <r>
    <x v="2018"/>
    <n v="990"/>
    <x v="0"/>
    <x v="4"/>
    <n v="15"/>
    <x v="46"/>
    <x v="14"/>
    <x v="1"/>
    <x v="15"/>
    <s v="Ninguno"/>
    <s v="Número de personas en el programa de salud cardiovascular"/>
    <s v="Periodo 2012-2018"/>
    <s v="Número de personas"/>
    <s v="Departamento de Estadísticas e Información de la Salud (DEIS) - Ministerio de Salud"/>
    <x v="2001"/>
    <m/>
    <s v="Gráfico de Evolución"/>
    <s v="enfermedad cardiovascular corazón población control salud programa sexo hombre mujer región arica parinacota"/>
    <x v="1644"/>
    <s v="100-R-15"/>
    <s v="#1774B541"/>
    <s v="990-2019"/>
    <n v="99200015"/>
    <s v="T-1015"/>
    <s v="C-1010"/>
    <s v="FI-993"/>
    <s v="M-1166"/>
  </r>
  <r>
    <x v="2019"/>
    <n v="990"/>
    <x v="0"/>
    <x v="4"/>
    <n v="16"/>
    <x v="46"/>
    <x v="14"/>
    <x v="1"/>
    <x v="16"/>
    <s v="Ninguno"/>
    <s v="Número de personas en el programa de salud cardiovascular"/>
    <s v="Periodo 2012-2018"/>
    <s v="Número de personas"/>
    <s v="Departamento de Estadísticas e Información de la Salud (DEIS) - Ministerio de Salud"/>
    <x v="2002"/>
    <m/>
    <s v="Gráfico de Evolución"/>
    <s v="enfermedad cardiovascular corazón población control salud programa sexo hombre mujer región ñuble"/>
    <x v="1645"/>
    <s v="100-R-16"/>
    <s v="#1774B542"/>
    <s v="990-2020"/>
    <n v="99200016"/>
    <s v="T-1015"/>
    <s v="C-1010"/>
    <s v="FI-993"/>
    <s v="M-1166"/>
  </r>
  <r>
    <x v="2020"/>
    <n v="990"/>
    <x v="0"/>
    <x v="4"/>
    <n v="0"/>
    <x v="46"/>
    <x v="14"/>
    <x v="0"/>
    <x v="0"/>
    <s v="Región"/>
    <s v="Número de personas en el programa de salud cardiovascular"/>
    <s v="Periodo 2012-2018"/>
    <s v="Número de personas"/>
    <s v="Departamento de Estadísticas e Información de la Salud (DEIS) - Ministerio de Salud"/>
    <x v="2003"/>
    <s v="El año 2014 tuvo un peak de Población en Control del Programa de Salud Cardiovascular que superó los 8 millones de personas, siendo el rango etario que tuvo más pacientes el de&quot; 65 y más años&quot;. El año 2018, los pacientes no superaron los 6 millones, siendo el rango etario mayoritario el comprendido entre los &quot;55-64 años&quot;."/>
    <s v="Gráfico de Evolución"/>
    <s v="enfermedad cardiovascular corazón población control salud programa edades rango etario nacional chile"/>
    <x v="1646"/>
    <s v="300-R"/>
    <s v="#1774B543"/>
    <s v="990-2021"/>
    <n v="99100000"/>
    <s v="T-1015"/>
    <s v="C-1010"/>
    <s v="FI-992"/>
    <s v="M-1166"/>
  </r>
  <r>
    <x v="2021"/>
    <n v="990"/>
    <x v="0"/>
    <x v="4"/>
    <n v="1"/>
    <x v="46"/>
    <x v="14"/>
    <x v="1"/>
    <x v="1"/>
    <s v="Ninguno"/>
    <s v="Número de personas en el programa de salud cardiovascular"/>
    <s v="Periodo 2012-2018"/>
    <s v="Número de personas"/>
    <s v="Departamento de Estadísticas e Información de la Salud (DEIS) - Ministerio de Salud"/>
    <x v="2004"/>
    <m/>
    <s v="Gráfico de Evolución"/>
    <s v="enfermedad cardiovascular corazón población control salud programa edades rango etario región tarapacá"/>
    <x v="1647"/>
    <s v="100-R-1"/>
    <s v="#1774B544"/>
    <s v="990-2022"/>
    <n v="99200001"/>
    <s v="T-1015"/>
    <s v="C-1010"/>
    <s v="FI-993"/>
    <s v="M-1166"/>
  </r>
  <r>
    <x v="2022"/>
    <n v="990"/>
    <x v="0"/>
    <x v="4"/>
    <n v="2"/>
    <x v="46"/>
    <x v="14"/>
    <x v="1"/>
    <x v="2"/>
    <s v="Ninguno"/>
    <s v="Número de personas en el programa de salud cardiovascular"/>
    <s v="Periodo 2012-2018"/>
    <s v="Número de personas"/>
    <s v="Departamento de Estadísticas e Información de la Salud (DEIS) - Ministerio de Salud"/>
    <x v="2005"/>
    <m/>
    <s v="Gráfico de Evolución"/>
    <s v="enfermedad cardiovascular corazón población control salud programa edades rango etario región antofagasta"/>
    <x v="1648"/>
    <s v="100-R-2"/>
    <s v="#1774B545"/>
    <s v="990-2023"/>
    <n v="99200002"/>
    <s v="T-1015"/>
    <s v="C-1010"/>
    <s v="FI-993"/>
    <s v="M-1166"/>
  </r>
  <r>
    <x v="2023"/>
    <n v="990"/>
    <x v="0"/>
    <x v="4"/>
    <n v="3"/>
    <x v="46"/>
    <x v="14"/>
    <x v="1"/>
    <x v="3"/>
    <s v="Ninguno"/>
    <s v="Número de personas en el programa de salud cardiovascular"/>
    <s v="Periodo 2012-2018"/>
    <s v="Número de personas"/>
    <s v="Departamento de Estadísticas e Información de la Salud (DEIS) - Ministerio de Salud"/>
    <x v="2006"/>
    <m/>
    <s v="Gráfico de Evolución"/>
    <s v="enfermedad cardiovascular corazón población control salud programa edades rango etario región atacama"/>
    <x v="1649"/>
    <s v="100-R-3"/>
    <s v="#1774B546"/>
    <s v="990-2024"/>
    <n v="99200003"/>
    <s v="T-1015"/>
    <s v="C-1010"/>
    <s v="FI-993"/>
    <s v="M-1166"/>
  </r>
  <r>
    <x v="2024"/>
    <n v="990"/>
    <x v="0"/>
    <x v="4"/>
    <n v="4"/>
    <x v="46"/>
    <x v="14"/>
    <x v="1"/>
    <x v="4"/>
    <s v="Ninguno"/>
    <s v="Número de personas en el programa de salud cardiovascular"/>
    <s v="Periodo 2012-2018"/>
    <s v="Número de personas"/>
    <s v="Departamento de Estadísticas e Información de la Salud (DEIS) - Ministerio de Salud"/>
    <x v="2007"/>
    <m/>
    <s v="Gráfico de Evolución"/>
    <s v="enfermedad cardiovascular corazón población control salud programa edades rango etario región coquimbo"/>
    <x v="1650"/>
    <s v="100-R-4"/>
    <s v="#1774B547"/>
    <s v="990-2025"/>
    <n v="99200004"/>
    <s v="T-1015"/>
    <s v="C-1010"/>
    <s v="FI-993"/>
    <s v="M-1166"/>
  </r>
  <r>
    <x v="2025"/>
    <n v="990"/>
    <x v="0"/>
    <x v="4"/>
    <n v="5"/>
    <x v="46"/>
    <x v="14"/>
    <x v="1"/>
    <x v="5"/>
    <s v="Ninguno"/>
    <s v="Número de personas en el programa de salud cardiovascular"/>
    <s v="Periodo 2012-2018"/>
    <s v="Número de personas"/>
    <s v="Departamento de Estadísticas e Información de la Salud (DEIS) - Ministerio de Salud"/>
    <x v="2008"/>
    <m/>
    <s v="Gráfico de Evolución"/>
    <s v="enfermedad cardiovascular corazón población control salud programa edades rango etario región valparaíso"/>
    <x v="1651"/>
    <s v="100-R-5"/>
    <s v="#1774B548"/>
    <s v="990-2026"/>
    <n v="99200005"/>
    <s v="T-1015"/>
    <s v="C-1010"/>
    <s v="FI-993"/>
    <s v="M-1166"/>
  </r>
  <r>
    <x v="2026"/>
    <n v="990"/>
    <x v="0"/>
    <x v="4"/>
    <n v="6"/>
    <x v="46"/>
    <x v="14"/>
    <x v="1"/>
    <x v="6"/>
    <s v="Ninguno"/>
    <s v="Número de personas en el programa de salud cardiovascular"/>
    <s v="Periodo 2012-2018"/>
    <s v="Número de personas"/>
    <s v="Departamento de Estadísticas e Información de la Salud (DEIS) - Ministerio de Salud"/>
    <x v="2009"/>
    <m/>
    <s v="Gráfico de Evolución"/>
    <s v="enfermedad cardiovascular corazón población control salud programa edades rango etario región ohiggins"/>
    <x v="1652"/>
    <s v="100-R-6"/>
    <s v="#1774B549"/>
    <s v="990-2027"/>
    <n v="99200006"/>
    <s v="T-1015"/>
    <s v="C-1010"/>
    <s v="FI-993"/>
    <s v="M-1166"/>
  </r>
  <r>
    <x v="2027"/>
    <n v="990"/>
    <x v="0"/>
    <x v="4"/>
    <n v="7"/>
    <x v="46"/>
    <x v="14"/>
    <x v="1"/>
    <x v="7"/>
    <s v="Ninguno"/>
    <s v="Número de personas en el programa de salud cardiovascular"/>
    <s v="Periodo 2012-2018"/>
    <s v="Número de personas"/>
    <s v="Departamento de Estadísticas e Información de la Salud (DEIS) - Ministerio de Salud"/>
    <x v="2010"/>
    <m/>
    <s v="Gráfico de Evolución"/>
    <s v="enfermedad cardiovascular corazón población control salud programa edades rango etario región maule"/>
    <x v="1653"/>
    <s v="100-R-7"/>
    <s v="#1774B550"/>
    <s v="990-2028"/>
    <n v="99200007"/>
    <s v="T-1015"/>
    <s v="C-1010"/>
    <s v="FI-993"/>
    <s v="M-1166"/>
  </r>
  <r>
    <x v="2028"/>
    <n v="990"/>
    <x v="0"/>
    <x v="4"/>
    <n v="8"/>
    <x v="46"/>
    <x v="14"/>
    <x v="1"/>
    <x v="8"/>
    <s v="Ninguno"/>
    <s v="Número de personas en el programa de salud cardiovascular"/>
    <s v="Periodo 2012-2018"/>
    <s v="Número de personas"/>
    <s v="Departamento de Estadísticas e Información de la Salud (DEIS) - Ministerio de Salud"/>
    <x v="2011"/>
    <m/>
    <s v="Gráfico de Evolución"/>
    <s v="enfermedad cardiovascular corazón población control salud programa edades rango etario región biobío"/>
    <x v="1654"/>
    <s v="100-R-8"/>
    <s v="#1774B551"/>
    <s v="990-2029"/>
    <n v="99200008"/>
    <s v="T-1015"/>
    <s v="C-1010"/>
    <s v="FI-993"/>
    <s v="M-1166"/>
  </r>
  <r>
    <x v="2029"/>
    <n v="990"/>
    <x v="0"/>
    <x v="4"/>
    <n v="9"/>
    <x v="46"/>
    <x v="14"/>
    <x v="1"/>
    <x v="9"/>
    <s v="Ninguno"/>
    <s v="Número de personas en el programa de salud cardiovascular"/>
    <s v="Periodo 2012-2018"/>
    <s v="Número de personas"/>
    <s v="Departamento de Estadísticas e Información de la Salud (DEIS) - Ministerio de Salud"/>
    <x v="2012"/>
    <m/>
    <s v="Gráfico de Evolución"/>
    <s v="enfermedad cardiovascular corazón población control salud programa edades rango etario región araucanía"/>
    <x v="1655"/>
    <s v="100-R-9"/>
    <s v="#1774B552"/>
    <s v="990-2030"/>
    <n v="99200009"/>
    <s v="T-1015"/>
    <s v="C-1010"/>
    <s v="FI-993"/>
    <s v="M-1166"/>
  </r>
  <r>
    <x v="2030"/>
    <n v="990"/>
    <x v="0"/>
    <x v="4"/>
    <n v="10"/>
    <x v="46"/>
    <x v="14"/>
    <x v="1"/>
    <x v="10"/>
    <s v="Ninguno"/>
    <s v="Número de personas en el programa de salud cardiovascular"/>
    <s v="Periodo 2012-2018"/>
    <s v="Número de personas"/>
    <s v="Departamento de Estadísticas e Información de la Salud (DEIS) - Ministerio de Salud"/>
    <x v="2013"/>
    <m/>
    <s v="Gráfico de Evolución"/>
    <s v="enfermedad cardiovascular corazón población control salud programa edades rango etario región los lagos"/>
    <x v="1656"/>
    <s v="100-R-10"/>
    <s v="#1774B553"/>
    <s v="990-2031"/>
    <n v="99200010"/>
    <s v="T-1015"/>
    <s v="C-1010"/>
    <s v="FI-993"/>
    <s v="M-1166"/>
  </r>
  <r>
    <x v="2031"/>
    <n v="990"/>
    <x v="0"/>
    <x v="4"/>
    <n v="11"/>
    <x v="46"/>
    <x v="14"/>
    <x v="1"/>
    <x v="11"/>
    <s v="Ninguno"/>
    <s v="Número de personas en el programa de salud cardiovascular"/>
    <s v="Periodo 2012-2018"/>
    <s v="Número de personas"/>
    <s v="Departamento de Estadísticas e Información de la Salud (DEIS) - Ministerio de Salud"/>
    <x v="2014"/>
    <m/>
    <s v="Gráfico de Evolución"/>
    <s v="enfermedad cardiovascular corazón población control salud programa edades rango etario región aysén"/>
    <x v="1657"/>
    <s v="100-R-11"/>
    <s v="#1774B554"/>
    <s v="990-2032"/>
    <n v="99200011"/>
    <s v="T-1015"/>
    <s v="C-1010"/>
    <s v="FI-993"/>
    <s v="M-1166"/>
  </r>
  <r>
    <x v="2032"/>
    <n v="990"/>
    <x v="0"/>
    <x v="4"/>
    <n v="12"/>
    <x v="46"/>
    <x v="14"/>
    <x v="1"/>
    <x v="12"/>
    <s v="Ninguno"/>
    <s v="Número de personas en el programa de salud cardiovascular"/>
    <s v="Periodo 2012-2018"/>
    <s v="Número de personas"/>
    <s v="Departamento de Estadísticas e Información de la Salud (DEIS) - Ministerio de Salud"/>
    <x v="2015"/>
    <m/>
    <s v="Gráfico de Evolución"/>
    <s v="enfermedad cardiovascular corazón población control salud programa edades rango etario región magallanes"/>
    <x v="1658"/>
    <s v="100-R-12"/>
    <s v="#1774B555"/>
    <s v="990-2033"/>
    <n v="99200012"/>
    <s v="T-1015"/>
    <s v="C-1010"/>
    <s v="FI-993"/>
    <s v="M-1166"/>
  </r>
  <r>
    <x v="2033"/>
    <n v="990"/>
    <x v="0"/>
    <x v="4"/>
    <n v="13"/>
    <x v="46"/>
    <x v="14"/>
    <x v="1"/>
    <x v="13"/>
    <s v="Ninguno"/>
    <s v="Número de personas en el programa de salud cardiovascular"/>
    <s v="Periodo 2012-2018"/>
    <s v="Número de personas"/>
    <s v="Departamento de Estadísticas e Información de la Salud (DEIS) - Ministerio de Salud"/>
    <x v="2016"/>
    <m/>
    <s v="Gráfico de Evolución"/>
    <s v="enfermedad cardiovascular corazón población control salud programa edades rango etario región metropolitana"/>
    <x v="1659"/>
    <s v="200-R-13"/>
    <s v="#1774B556"/>
    <s v="990-2034"/>
    <n v="99200013"/>
    <s v="T-1015"/>
    <s v="C-1010"/>
    <s v="FI-993"/>
    <s v="M-1166"/>
  </r>
  <r>
    <x v="2034"/>
    <n v="990"/>
    <x v="0"/>
    <x v="4"/>
    <n v="14"/>
    <x v="46"/>
    <x v="14"/>
    <x v="1"/>
    <x v="14"/>
    <s v="Ninguno"/>
    <s v="Número de personas en el programa de salud cardiovascular"/>
    <s v="Periodo 2012-2018"/>
    <s v="Número de personas"/>
    <s v="Departamento de Estadísticas e Información de la Salud (DEIS) - Ministerio de Salud"/>
    <x v="2017"/>
    <m/>
    <s v="Gráfico de Evolución"/>
    <s v="enfermedad cardiovascular corazón población control salud programa edades rango etario región los ríos"/>
    <x v="1660"/>
    <s v="100-R-14"/>
    <s v="#1774B557"/>
    <s v="990-2035"/>
    <n v="99200014"/>
    <s v="T-1015"/>
    <s v="C-1010"/>
    <s v="FI-993"/>
    <s v="M-1166"/>
  </r>
  <r>
    <x v="2035"/>
    <n v="990"/>
    <x v="0"/>
    <x v="4"/>
    <n v="15"/>
    <x v="46"/>
    <x v="14"/>
    <x v="1"/>
    <x v="15"/>
    <s v="Ninguno"/>
    <s v="Número de personas en el programa de salud cardiovascular"/>
    <s v="Periodo 2012-2018"/>
    <s v="Número de personas"/>
    <s v="Departamento de Estadísticas e Información de la Salud (DEIS) - Ministerio de Salud"/>
    <x v="2018"/>
    <m/>
    <s v="Gráfico de Evolución"/>
    <s v="enfermedad cardiovascular corazón población control salud programa edades rango etario región arica parinacota"/>
    <x v="1661"/>
    <s v="100-R-15"/>
    <s v="#1774B558"/>
    <s v="990-2036"/>
    <n v="99200015"/>
    <s v="T-1015"/>
    <s v="C-1010"/>
    <s v="FI-993"/>
    <s v="M-1166"/>
  </r>
  <r>
    <x v="2036"/>
    <n v="990"/>
    <x v="0"/>
    <x v="4"/>
    <n v="16"/>
    <x v="46"/>
    <x v="14"/>
    <x v="1"/>
    <x v="16"/>
    <s v="Ninguno"/>
    <s v="Número de personas en el programa de salud cardiovascular"/>
    <s v="Periodo 2012-2018"/>
    <s v="Número de personas"/>
    <s v="Departamento de Estadísticas e Información de la Salud (DEIS) - Ministerio de Salud"/>
    <x v="2019"/>
    <m/>
    <s v="Gráfico de Evolución"/>
    <s v="enfermedad cardiovascular corazón población control salud programa edades rango etario región ñuble"/>
    <x v="1662"/>
    <s v="100-R-16"/>
    <s v="#1774B559"/>
    <s v="990-2037"/>
    <n v="99200016"/>
    <s v="T-1015"/>
    <s v="C-1010"/>
    <s v="FI-993"/>
    <s v="M-1166"/>
  </r>
  <r>
    <x v="2037"/>
    <m/>
    <x v="1"/>
    <x v="16"/>
    <m/>
    <x v="102"/>
    <x v="40"/>
    <x v="2"/>
    <x v="17"/>
    <m/>
    <m/>
    <m/>
    <m/>
    <m/>
    <x v="2020"/>
    <m/>
    <s v="Gráfico de Evolución"/>
    <m/>
    <x v="558"/>
    <m/>
    <s v="#1774B560"/>
    <s v="-2038"/>
    <n v="99100000"/>
    <e v="#N/A"/>
    <e v="#N/A"/>
    <e v="#N/A"/>
    <e v="#N/A"/>
  </r>
  <r>
    <x v="2038"/>
    <m/>
    <x v="1"/>
    <x v="16"/>
    <m/>
    <x v="102"/>
    <x v="40"/>
    <x v="2"/>
    <x v="17"/>
    <m/>
    <m/>
    <m/>
    <m/>
    <m/>
    <x v="2020"/>
    <m/>
    <s v="Gráfico de Evolución"/>
    <m/>
    <x v="558"/>
    <m/>
    <s v="#1774B561"/>
    <s v="-2039"/>
    <n v="99100000"/>
    <e v="#N/A"/>
    <e v="#N/A"/>
    <e v="#N/A"/>
    <e v="#N/A"/>
  </r>
  <r>
    <x v="2039"/>
    <m/>
    <x v="1"/>
    <x v="16"/>
    <m/>
    <x v="102"/>
    <x v="40"/>
    <x v="2"/>
    <x v="17"/>
    <m/>
    <m/>
    <m/>
    <m/>
    <m/>
    <x v="2020"/>
    <m/>
    <s v="Gráfico de Evolución"/>
    <m/>
    <x v="558"/>
    <m/>
    <s v="#1774B562"/>
    <s v="-2040"/>
    <n v="99100000"/>
    <e v="#N/A"/>
    <e v="#N/A"/>
    <e v="#N/A"/>
    <e v="#N/A"/>
  </r>
  <r>
    <x v="2040"/>
    <m/>
    <x v="1"/>
    <x v="16"/>
    <m/>
    <x v="102"/>
    <x v="40"/>
    <x v="2"/>
    <x v="17"/>
    <m/>
    <m/>
    <m/>
    <m/>
    <m/>
    <x v="2020"/>
    <m/>
    <s v="Gráfico de Evolución"/>
    <m/>
    <x v="558"/>
    <m/>
    <s v="#1774B563"/>
    <s v="-2041"/>
    <n v="99100000"/>
    <e v="#N/A"/>
    <e v="#N/A"/>
    <e v="#N/A"/>
    <e v="#N/A"/>
  </r>
  <r>
    <x v="2041"/>
    <m/>
    <x v="1"/>
    <x v="16"/>
    <m/>
    <x v="102"/>
    <x v="40"/>
    <x v="2"/>
    <x v="17"/>
    <m/>
    <m/>
    <m/>
    <m/>
    <m/>
    <x v="2020"/>
    <m/>
    <s v="Gráfico de Evolución"/>
    <m/>
    <x v="558"/>
    <m/>
    <s v="#1774B564"/>
    <s v="-2042"/>
    <n v="99100000"/>
    <e v="#N/A"/>
    <e v="#N/A"/>
    <e v="#N/A"/>
    <e v="#N/A"/>
  </r>
  <r>
    <x v="2042"/>
    <m/>
    <x v="1"/>
    <x v="16"/>
    <m/>
    <x v="102"/>
    <x v="40"/>
    <x v="2"/>
    <x v="17"/>
    <m/>
    <m/>
    <m/>
    <m/>
    <m/>
    <x v="2020"/>
    <m/>
    <s v="Gráfico de Evolución"/>
    <m/>
    <x v="558"/>
    <m/>
    <s v="#1774B565"/>
    <s v="-2043"/>
    <n v="99100000"/>
    <e v="#N/A"/>
    <e v="#N/A"/>
    <e v="#N/A"/>
    <e v="#N/A"/>
  </r>
  <r>
    <x v="2043"/>
    <m/>
    <x v="1"/>
    <x v="16"/>
    <m/>
    <x v="102"/>
    <x v="40"/>
    <x v="2"/>
    <x v="17"/>
    <m/>
    <m/>
    <m/>
    <m/>
    <m/>
    <x v="2020"/>
    <m/>
    <s v="Gráfico de Evolución"/>
    <m/>
    <x v="558"/>
    <m/>
    <s v="#1774B566"/>
    <s v="-2044"/>
    <n v="99100000"/>
    <e v="#N/A"/>
    <e v="#N/A"/>
    <e v="#N/A"/>
    <e v="#N/A"/>
  </r>
  <r>
    <x v="2044"/>
    <m/>
    <x v="1"/>
    <x v="16"/>
    <m/>
    <x v="102"/>
    <x v="40"/>
    <x v="2"/>
    <x v="17"/>
    <m/>
    <m/>
    <m/>
    <m/>
    <m/>
    <x v="2020"/>
    <m/>
    <s v="Gráfico de Evolución"/>
    <m/>
    <x v="558"/>
    <m/>
    <s v="#1774B567"/>
    <s v="-2045"/>
    <n v="99100000"/>
    <e v="#N/A"/>
    <e v="#N/A"/>
    <e v="#N/A"/>
    <e v="#N/A"/>
  </r>
  <r>
    <x v="2045"/>
    <m/>
    <x v="1"/>
    <x v="16"/>
    <m/>
    <x v="102"/>
    <x v="40"/>
    <x v="2"/>
    <x v="17"/>
    <m/>
    <m/>
    <m/>
    <m/>
    <m/>
    <x v="2020"/>
    <m/>
    <s v="Gráfico de Evolución"/>
    <m/>
    <x v="558"/>
    <m/>
    <s v="#1774B568"/>
    <s v="-2046"/>
    <n v="99100000"/>
    <e v="#N/A"/>
    <e v="#N/A"/>
    <e v="#N/A"/>
    <e v="#N/A"/>
  </r>
  <r>
    <x v="2046"/>
    <m/>
    <x v="1"/>
    <x v="16"/>
    <m/>
    <x v="102"/>
    <x v="40"/>
    <x v="2"/>
    <x v="17"/>
    <m/>
    <m/>
    <m/>
    <m/>
    <m/>
    <x v="2020"/>
    <m/>
    <s v="Gráfico de Evolución"/>
    <m/>
    <x v="558"/>
    <m/>
    <s v="#1774B569"/>
    <s v="-2047"/>
    <n v="99100000"/>
    <e v="#N/A"/>
    <e v="#N/A"/>
    <e v="#N/A"/>
    <e v="#N/A"/>
  </r>
  <r>
    <x v="2047"/>
    <m/>
    <x v="1"/>
    <x v="16"/>
    <m/>
    <x v="102"/>
    <x v="40"/>
    <x v="2"/>
    <x v="17"/>
    <m/>
    <m/>
    <m/>
    <m/>
    <m/>
    <x v="2020"/>
    <m/>
    <s v="Gráfico de Evolución"/>
    <m/>
    <x v="558"/>
    <m/>
    <s v="#1774B570"/>
    <s v="-2048"/>
    <n v="99100000"/>
    <e v="#N/A"/>
    <e v="#N/A"/>
    <e v="#N/A"/>
    <e v="#N/A"/>
  </r>
  <r>
    <x v="2048"/>
    <m/>
    <x v="1"/>
    <x v="16"/>
    <m/>
    <x v="102"/>
    <x v="40"/>
    <x v="2"/>
    <x v="17"/>
    <m/>
    <m/>
    <m/>
    <m/>
    <m/>
    <x v="2020"/>
    <m/>
    <s v="Gráfico de Evolución"/>
    <m/>
    <x v="558"/>
    <m/>
    <s v="#1774B571"/>
    <s v="-2049"/>
    <n v="99100000"/>
    <e v="#N/A"/>
    <e v="#N/A"/>
    <e v="#N/A"/>
    <e v="#N/A"/>
  </r>
  <r>
    <x v="2049"/>
    <m/>
    <x v="1"/>
    <x v="16"/>
    <m/>
    <x v="102"/>
    <x v="40"/>
    <x v="2"/>
    <x v="17"/>
    <m/>
    <m/>
    <m/>
    <m/>
    <m/>
    <x v="2020"/>
    <m/>
    <s v="Gráfico de Evolución"/>
    <m/>
    <x v="558"/>
    <m/>
    <s v="#1774B572"/>
    <s v="-2050"/>
    <n v="99100000"/>
    <e v="#N/A"/>
    <e v="#N/A"/>
    <e v="#N/A"/>
    <e v="#N/A"/>
  </r>
  <r>
    <x v="2050"/>
    <m/>
    <x v="1"/>
    <x v="16"/>
    <m/>
    <x v="102"/>
    <x v="40"/>
    <x v="2"/>
    <x v="17"/>
    <m/>
    <m/>
    <m/>
    <m/>
    <m/>
    <x v="2020"/>
    <m/>
    <s v="Gráfico de Evolución"/>
    <m/>
    <x v="558"/>
    <m/>
    <s v="#1774B573"/>
    <s v="-2051"/>
    <n v="99100000"/>
    <e v="#N/A"/>
    <e v="#N/A"/>
    <e v="#N/A"/>
    <e v="#N/A"/>
  </r>
  <r>
    <x v="2051"/>
    <m/>
    <x v="1"/>
    <x v="16"/>
    <m/>
    <x v="102"/>
    <x v="40"/>
    <x v="2"/>
    <x v="17"/>
    <m/>
    <m/>
    <m/>
    <m/>
    <m/>
    <x v="2020"/>
    <m/>
    <s v="Gráfico de Evolución"/>
    <m/>
    <x v="558"/>
    <m/>
    <s v="#1774B574"/>
    <s v="-2052"/>
    <n v="99100000"/>
    <e v="#N/A"/>
    <e v="#N/A"/>
    <e v="#N/A"/>
    <e v="#N/A"/>
  </r>
  <r>
    <x v="2052"/>
    <m/>
    <x v="1"/>
    <x v="16"/>
    <m/>
    <x v="102"/>
    <x v="40"/>
    <x v="2"/>
    <x v="17"/>
    <m/>
    <m/>
    <m/>
    <m/>
    <m/>
    <x v="2020"/>
    <m/>
    <s v="Gráfico de Evolución"/>
    <m/>
    <x v="558"/>
    <m/>
    <s v="#1774B575"/>
    <s v="-2053"/>
    <n v="99100000"/>
    <e v="#N/A"/>
    <e v="#N/A"/>
    <e v="#N/A"/>
    <e v="#N/A"/>
  </r>
  <r>
    <x v="2053"/>
    <m/>
    <x v="1"/>
    <x v="16"/>
    <m/>
    <x v="102"/>
    <x v="40"/>
    <x v="2"/>
    <x v="17"/>
    <m/>
    <m/>
    <m/>
    <m/>
    <m/>
    <x v="2020"/>
    <m/>
    <s v="Gráfico de Evolución"/>
    <m/>
    <x v="558"/>
    <m/>
    <s v="#1774B576"/>
    <s v="-2054"/>
    <n v="99100000"/>
    <e v="#N/A"/>
    <e v="#N/A"/>
    <e v="#N/A"/>
    <e v="#N/A"/>
  </r>
  <r>
    <x v="2054"/>
    <m/>
    <x v="1"/>
    <x v="16"/>
    <m/>
    <x v="102"/>
    <x v="40"/>
    <x v="2"/>
    <x v="17"/>
    <m/>
    <m/>
    <m/>
    <m/>
    <m/>
    <x v="2020"/>
    <m/>
    <s v="Gráfico de Evolución"/>
    <m/>
    <x v="558"/>
    <m/>
    <s v="#1774B577"/>
    <s v="-2055"/>
    <n v="99100000"/>
    <e v="#N/A"/>
    <e v="#N/A"/>
    <e v="#N/A"/>
    <e v="#N/A"/>
  </r>
  <r>
    <x v="2055"/>
    <m/>
    <x v="1"/>
    <x v="16"/>
    <m/>
    <x v="102"/>
    <x v="40"/>
    <x v="2"/>
    <x v="17"/>
    <m/>
    <m/>
    <m/>
    <m/>
    <m/>
    <x v="2020"/>
    <m/>
    <s v="Gráfico de Evolución"/>
    <m/>
    <x v="558"/>
    <m/>
    <s v="#1774B578"/>
    <s v="-2056"/>
    <n v="99100000"/>
    <e v="#N/A"/>
    <e v="#N/A"/>
    <e v="#N/A"/>
    <e v="#N/A"/>
  </r>
  <r>
    <x v="2056"/>
    <m/>
    <x v="1"/>
    <x v="16"/>
    <m/>
    <x v="102"/>
    <x v="40"/>
    <x v="2"/>
    <x v="17"/>
    <m/>
    <m/>
    <m/>
    <m/>
    <m/>
    <x v="2020"/>
    <m/>
    <s v="Gráfico de Evolución"/>
    <m/>
    <x v="558"/>
    <m/>
    <s v="#1774B579"/>
    <s v="-2057"/>
    <n v="99100000"/>
    <e v="#N/A"/>
    <e v="#N/A"/>
    <e v="#N/A"/>
    <e v="#N/A"/>
  </r>
  <r>
    <x v="2057"/>
    <m/>
    <x v="1"/>
    <x v="16"/>
    <m/>
    <x v="102"/>
    <x v="40"/>
    <x v="2"/>
    <x v="17"/>
    <m/>
    <m/>
    <m/>
    <m/>
    <m/>
    <x v="2020"/>
    <m/>
    <s v="Gráfico de Evolución"/>
    <m/>
    <x v="558"/>
    <m/>
    <s v="#1774B580"/>
    <s v="-2058"/>
    <n v="99100000"/>
    <e v="#N/A"/>
    <e v="#N/A"/>
    <e v="#N/A"/>
    <e v="#N/A"/>
  </r>
  <r>
    <x v="2058"/>
    <m/>
    <x v="1"/>
    <x v="16"/>
    <m/>
    <x v="102"/>
    <x v="40"/>
    <x v="2"/>
    <x v="17"/>
    <m/>
    <m/>
    <m/>
    <m/>
    <m/>
    <x v="2020"/>
    <m/>
    <s v="Gráfico de Evolución"/>
    <m/>
    <x v="558"/>
    <m/>
    <s v="#1774B581"/>
    <s v="-2059"/>
    <n v="99100000"/>
    <e v="#N/A"/>
    <e v="#N/A"/>
    <e v="#N/A"/>
    <e v="#N/A"/>
  </r>
  <r>
    <x v="2059"/>
    <m/>
    <x v="1"/>
    <x v="16"/>
    <m/>
    <x v="102"/>
    <x v="40"/>
    <x v="2"/>
    <x v="17"/>
    <m/>
    <m/>
    <m/>
    <m/>
    <m/>
    <x v="2020"/>
    <m/>
    <s v="Gráfico de Evolución"/>
    <m/>
    <x v="558"/>
    <m/>
    <s v="#1774B582"/>
    <s v="-2060"/>
    <n v="99100000"/>
    <e v="#N/A"/>
    <e v="#N/A"/>
    <e v="#N/A"/>
    <e v="#N/A"/>
  </r>
  <r>
    <x v="2060"/>
    <m/>
    <x v="1"/>
    <x v="16"/>
    <m/>
    <x v="102"/>
    <x v="40"/>
    <x v="2"/>
    <x v="17"/>
    <m/>
    <m/>
    <m/>
    <m/>
    <m/>
    <x v="2020"/>
    <m/>
    <s v="Gráfico de Evolución"/>
    <m/>
    <x v="558"/>
    <m/>
    <s v="#1774B583"/>
    <s v="-2061"/>
    <n v="99100000"/>
    <e v="#N/A"/>
    <e v="#N/A"/>
    <e v="#N/A"/>
    <e v="#N/A"/>
  </r>
  <r>
    <x v="2061"/>
    <m/>
    <x v="1"/>
    <x v="16"/>
    <m/>
    <x v="102"/>
    <x v="40"/>
    <x v="2"/>
    <x v="17"/>
    <m/>
    <m/>
    <m/>
    <m/>
    <m/>
    <x v="2020"/>
    <m/>
    <s v="Gráfico de Evolución"/>
    <m/>
    <x v="558"/>
    <m/>
    <s v="#1774B584"/>
    <s v="-2062"/>
    <n v="99100000"/>
    <e v="#N/A"/>
    <e v="#N/A"/>
    <e v="#N/A"/>
    <e v="#N/A"/>
  </r>
  <r>
    <x v="2062"/>
    <m/>
    <x v="1"/>
    <x v="16"/>
    <m/>
    <x v="102"/>
    <x v="40"/>
    <x v="2"/>
    <x v="17"/>
    <m/>
    <m/>
    <m/>
    <m/>
    <m/>
    <x v="2020"/>
    <m/>
    <s v="Gráfico de Evolución"/>
    <m/>
    <x v="558"/>
    <m/>
    <s v="#1774B585"/>
    <s v="-2063"/>
    <n v="99100000"/>
    <e v="#N/A"/>
    <e v="#N/A"/>
    <e v="#N/A"/>
    <e v="#N/A"/>
  </r>
  <r>
    <x v="2063"/>
    <m/>
    <x v="1"/>
    <x v="16"/>
    <m/>
    <x v="102"/>
    <x v="40"/>
    <x v="2"/>
    <x v="17"/>
    <m/>
    <m/>
    <m/>
    <m/>
    <m/>
    <x v="2020"/>
    <m/>
    <s v="Gráfico de Evolución"/>
    <m/>
    <x v="558"/>
    <m/>
    <s v="#1774B586"/>
    <s v="-2064"/>
    <n v="99100000"/>
    <e v="#N/A"/>
    <e v="#N/A"/>
    <e v="#N/A"/>
    <e v="#N/A"/>
  </r>
  <r>
    <x v="2064"/>
    <m/>
    <x v="1"/>
    <x v="16"/>
    <m/>
    <x v="102"/>
    <x v="40"/>
    <x v="2"/>
    <x v="17"/>
    <m/>
    <m/>
    <m/>
    <m/>
    <m/>
    <x v="2020"/>
    <m/>
    <s v="Gráfico de Evolución"/>
    <m/>
    <x v="558"/>
    <m/>
    <s v="#1774B587"/>
    <s v="-2065"/>
    <n v="99100000"/>
    <e v="#N/A"/>
    <e v="#N/A"/>
    <e v="#N/A"/>
    <e v="#N/A"/>
  </r>
  <r>
    <x v="2065"/>
    <m/>
    <x v="1"/>
    <x v="16"/>
    <m/>
    <x v="102"/>
    <x v="40"/>
    <x v="2"/>
    <x v="17"/>
    <m/>
    <m/>
    <m/>
    <m/>
    <m/>
    <x v="2020"/>
    <m/>
    <s v="Gráfico de Evolución"/>
    <m/>
    <x v="558"/>
    <m/>
    <s v="#1774B588"/>
    <s v="-2066"/>
    <n v="99100000"/>
    <e v="#N/A"/>
    <e v="#N/A"/>
    <e v="#N/A"/>
    <e v="#N/A"/>
  </r>
  <r>
    <x v="2066"/>
    <m/>
    <x v="1"/>
    <x v="16"/>
    <m/>
    <x v="102"/>
    <x v="40"/>
    <x v="2"/>
    <x v="17"/>
    <m/>
    <m/>
    <m/>
    <m/>
    <m/>
    <x v="2020"/>
    <m/>
    <s v="Gráfico de Evolución"/>
    <m/>
    <x v="558"/>
    <m/>
    <s v="#1774B589"/>
    <s v="-2067"/>
    <n v="99100000"/>
    <e v="#N/A"/>
    <e v="#N/A"/>
    <e v="#N/A"/>
    <e v="#N/A"/>
  </r>
  <r>
    <x v="2067"/>
    <m/>
    <x v="1"/>
    <x v="16"/>
    <m/>
    <x v="102"/>
    <x v="40"/>
    <x v="2"/>
    <x v="17"/>
    <m/>
    <m/>
    <m/>
    <m/>
    <m/>
    <x v="2020"/>
    <m/>
    <s v="Gráfico de Evolución"/>
    <m/>
    <x v="558"/>
    <m/>
    <s v="#1774B590"/>
    <s v="-2068"/>
    <n v="99100000"/>
    <e v="#N/A"/>
    <e v="#N/A"/>
    <e v="#N/A"/>
    <e v="#N/A"/>
  </r>
  <r>
    <x v="2068"/>
    <m/>
    <x v="1"/>
    <x v="16"/>
    <m/>
    <x v="102"/>
    <x v="40"/>
    <x v="2"/>
    <x v="17"/>
    <m/>
    <m/>
    <m/>
    <m/>
    <m/>
    <x v="2020"/>
    <m/>
    <s v="Gráfico de Evolución"/>
    <m/>
    <x v="558"/>
    <m/>
    <s v="#1774B591"/>
    <s v="-2069"/>
    <n v="99100000"/>
    <e v="#N/A"/>
    <e v="#N/A"/>
    <e v="#N/A"/>
    <e v="#N/A"/>
  </r>
  <r>
    <x v="2069"/>
    <m/>
    <x v="1"/>
    <x v="16"/>
    <m/>
    <x v="102"/>
    <x v="40"/>
    <x v="2"/>
    <x v="17"/>
    <m/>
    <m/>
    <m/>
    <m/>
    <m/>
    <x v="2020"/>
    <m/>
    <s v="Gráfico de Evolución"/>
    <m/>
    <x v="558"/>
    <m/>
    <s v="#1774B592"/>
    <s v="-2070"/>
    <n v="99100000"/>
    <e v="#N/A"/>
    <e v="#N/A"/>
    <e v="#N/A"/>
    <e v="#N/A"/>
  </r>
  <r>
    <x v="2070"/>
    <m/>
    <x v="1"/>
    <x v="16"/>
    <m/>
    <x v="102"/>
    <x v="40"/>
    <x v="2"/>
    <x v="17"/>
    <m/>
    <m/>
    <m/>
    <m/>
    <m/>
    <x v="2020"/>
    <m/>
    <s v="Gráfico de Evolución"/>
    <m/>
    <x v="558"/>
    <m/>
    <s v="#1774B593"/>
    <s v="-2071"/>
    <n v="99100000"/>
    <e v="#N/A"/>
    <e v="#N/A"/>
    <e v="#N/A"/>
    <e v="#N/A"/>
  </r>
  <r>
    <x v="2071"/>
    <m/>
    <x v="1"/>
    <x v="16"/>
    <m/>
    <x v="102"/>
    <x v="40"/>
    <x v="2"/>
    <x v="17"/>
    <m/>
    <m/>
    <m/>
    <m/>
    <m/>
    <x v="2020"/>
    <m/>
    <s v="Gráfico de Evolución"/>
    <m/>
    <x v="558"/>
    <m/>
    <s v="#1774B594"/>
    <s v="-2072"/>
    <n v="99100000"/>
    <e v="#N/A"/>
    <e v="#N/A"/>
    <e v="#N/A"/>
    <e v="#N/A"/>
  </r>
  <r>
    <x v="2072"/>
    <m/>
    <x v="1"/>
    <x v="16"/>
    <m/>
    <x v="102"/>
    <x v="40"/>
    <x v="2"/>
    <x v="17"/>
    <m/>
    <m/>
    <m/>
    <m/>
    <m/>
    <x v="2020"/>
    <m/>
    <s v="Gráfico de Evolución"/>
    <m/>
    <x v="558"/>
    <m/>
    <s v="#1774B595"/>
    <s v="-2073"/>
    <n v="99100000"/>
    <e v="#N/A"/>
    <e v="#N/A"/>
    <e v="#N/A"/>
    <e v="#N/A"/>
  </r>
  <r>
    <x v="2073"/>
    <m/>
    <x v="1"/>
    <x v="16"/>
    <m/>
    <x v="102"/>
    <x v="40"/>
    <x v="2"/>
    <x v="17"/>
    <m/>
    <m/>
    <m/>
    <m/>
    <m/>
    <x v="2020"/>
    <m/>
    <s v="Gráfico de Evolución"/>
    <m/>
    <x v="558"/>
    <m/>
    <s v="#1774B596"/>
    <s v="-2074"/>
    <n v="99100000"/>
    <e v="#N/A"/>
    <e v="#N/A"/>
    <e v="#N/A"/>
    <e v="#N/A"/>
  </r>
  <r>
    <x v="2074"/>
    <m/>
    <x v="1"/>
    <x v="16"/>
    <m/>
    <x v="102"/>
    <x v="40"/>
    <x v="2"/>
    <x v="17"/>
    <m/>
    <m/>
    <m/>
    <m/>
    <m/>
    <x v="2020"/>
    <m/>
    <s v="Gráfico de Evolución"/>
    <m/>
    <x v="558"/>
    <m/>
    <s v="#1774B597"/>
    <s v="-2075"/>
    <n v="99100000"/>
    <e v="#N/A"/>
    <e v="#N/A"/>
    <e v="#N/A"/>
    <e v="#N/A"/>
  </r>
  <r>
    <x v="2075"/>
    <m/>
    <x v="1"/>
    <x v="16"/>
    <m/>
    <x v="102"/>
    <x v="40"/>
    <x v="2"/>
    <x v="17"/>
    <m/>
    <m/>
    <m/>
    <m/>
    <m/>
    <x v="2020"/>
    <m/>
    <s v="Gráfico de Evolución"/>
    <m/>
    <x v="558"/>
    <m/>
    <s v="#1774B598"/>
    <s v="-2076"/>
    <n v="99100000"/>
    <e v="#N/A"/>
    <e v="#N/A"/>
    <e v="#N/A"/>
    <e v="#N/A"/>
  </r>
  <r>
    <x v="2076"/>
    <m/>
    <x v="1"/>
    <x v="16"/>
    <m/>
    <x v="102"/>
    <x v="40"/>
    <x v="2"/>
    <x v="17"/>
    <m/>
    <m/>
    <m/>
    <m/>
    <m/>
    <x v="2020"/>
    <m/>
    <s v="Gráfico de Evolución"/>
    <m/>
    <x v="558"/>
    <m/>
    <s v="#1774B599"/>
    <s v="-2077"/>
    <n v="99100000"/>
    <e v="#N/A"/>
    <e v="#N/A"/>
    <e v="#N/A"/>
    <e v="#N/A"/>
  </r>
  <r>
    <x v="2077"/>
    <m/>
    <x v="1"/>
    <x v="16"/>
    <m/>
    <x v="102"/>
    <x v="40"/>
    <x v="2"/>
    <x v="17"/>
    <m/>
    <m/>
    <m/>
    <m/>
    <m/>
    <x v="2020"/>
    <m/>
    <s v="Gráfico de Evolución"/>
    <m/>
    <x v="558"/>
    <m/>
    <s v="#1774B600"/>
    <s v="-2078"/>
    <n v="99100000"/>
    <e v="#N/A"/>
    <e v="#N/A"/>
    <e v="#N/A"/>
    <e v="#N/A"/>
  </r>
  <r>
    <x v="2078"/>
    <m/>
    <x v="1"/>
    <x v="16"/>
    <m/>
    <x v="102"/>
    <x v="40"/>
    <x v="2"/>
    <x v="17"/>
    <m/>
    <m/>
    <m/>
    <m/>
    <m/>
    <x v="2020"/>
    <m/>
    <s v="Gráfico de Evolución"/>
    <m/>
    <x v="558"/>
    <m/>
    <s v="#1774B601"/>
    <s v="-2079"/>
    <n v="99100000"/>
    <e v="#N/A"/>
    <e v="#N/A"/>
    <e v="#N/A"/>
    <e v="#N/A"/>
  </r>
  <r>
    <x v="2079"/>
    <m/>
    <x v="1"/>
    <x v="16"/>
    <m/>
    <x v="102"/>
    <x v="40"/>
    <x v="2"/>
    <x v="17"/>
    <m/>
    <m/>
    <m/>
    <m/>
    <m/>
    <x v="2020"/>
    <m/>
    <s v="Gráfico de Evolución"/>
    <m/>
    <x v="558"/>
    <m/>
    <s v="#1774B602"/>
    <s v="-2080"/>
    <n v="99100000"/>
    <e v="#N/A"/>
    <e v="#N/A"/>
    <e v="#N/A"/>
    <e v="#N/A"/>
  </r>
  <r>
    <x v="2080"/>
    <m/>
    <x v="1"/>
    <x v="16"/>
    <m/>
    <x v="102"/>
    <x v="40"/>
    <x v="2"/>
    <x v="17"/>
    <m/>
    <m/>
    <m/>
    <m/>
    <m/>
    <x v="2020"/>
    <m/>
    <s v="Gráfico de Evolución"/>
    <m/>
    <x v="558"/>
    <m/>
    <s v="#1774B603"/>
    <s v="-2081"/>
    <n v="99100000"/>
    <e v="#N/A"/>
    <e v="#N/A"/>
    <e v="#N/A"/>
    <e v="#N/A"/>
  </r>
  <r>
    <x v="2081"/>
    <m/>
    <x v="1"/>
    <x v="16"/>
    <m/>
    <x v="102"/>
    <x v="40"/>
    <x v="2"/>
    <x v="17"/>
    <m/>
    <m/>
    <m/>
    <m/>
    <m/>
    <x v="2020"/>
    <m/>
    <s v="Gráfico de Evolución"/>
    <m/>
    <x v="558"/>
    <m/>
    <s v="#1774B604"/>
    <s v="-2082"/>
    <n v="99100000"/>
    <e v="#N/A"/>
    <e v="#N/A"/>
    <e v="#N/A"/>
    <e v="#N/A"/>
  </r>
  <r>
    <x v="2082"/>
    <m/>
    <x v="1"/>
    <x v="16"/>
    <m/>
    <x v="102"/>
    <x v="40"/>
    <x v="2"/>
    <x v="17"/>
    <m/>
    <m/>
    <m/>
    <m/>
    <m/>
    <x v="2020"/>
    <m/>
    <s v="Gráfico de Evolución"/>
    <m/>
    <x v="558"/>
    <m/>
    <s v="#1774B605"/>
    <s v="-2083"/>
    <n v="99100000"/>
    <e v="#N/A"/>
    <e v="#N/A"/>
    <e v="#N/A"/>
    <e v="#N/A"/>
  </r>
  <r>
    <x v="2083"/>
    <m/>
    <x v="1"/>
    <x v="16"/>
    <m/>
    <x v="102"/>
    <x v="40"/>
    <x v="2"/>
    <x v="17"/>
    <m/>
    <m/>
    <m/>
    <m/>
    <m/>
    <x v="2020"/>
    <m/>
    <s v="Gráfico de Evolución"/>
    <m/>
    <x v="558"/>
    <m/>
    <s v="#1774B606"/>
    <s v="-2084"/>
    <n v="99100000"/>
    <e v="#N/A"/>
    <e v="#N/A"/>
    <e v="#N/A"/>
    <e v="#N/A"/>
  </r>
  <r>
    <x v="2084"/>
    <m/>
    <x v="1"/>
    <x v="16"/>
    <m/>
    <x v="102"/>
    <x v="40"/>
    <x v="2"/>
    <x v="17"/>
    <m/>
    <m/>
    <m/>
    <m/>
    <m/>
    <x v="2020"/>
    <m/>
    <s v="Gráfico de Evolución"/>
    <m/>
    <x v="558"/>
    <m/>
    <s v="#1774B607"/>
    <s v="-2085"/>
    <n v="99100000"/>
    <e v="#N/A"/>
    <e v="#N/A"/>
    <e v="#N/A"/>
    <e v="#N/A"/>
  </r>
  <r>
    <x v="2085"/>
    <m/>
    <x v="1"/>
    <x v="16"/>
    <m/>
    <x v="102"/>
    <x v="40"/>
    <x v="2"/>
    <x v="17"/>
    <m/>
    <m/>
    <m/>
    <m/>
    <m/>
    <x v="2020"/>
    <m/>
    <s v="Gráfico de Evolución"/>
    <m/>
    <x v="558"/>
    <m/>
    <s v="#1774B608"/>
    <s v="-2086"/>
    <n v="99100000"/>
    <e v="#N/A"/>
    <e v="#N/A"/>
    <e v="#N/A"/>
    <e v="#N/A"/>
  </r>
  <r>
    <x v="2086"/>
    <m/>
    <x v="1"/>
    <x v="16"/>
    <m/>
    <x v="102"/>
    <x v="40"/>
    <x v="2"/>
    <x v="17"/>
    <m/>
    <m/>
    <m/>
    <m/>
    <m/>
    <x v="2020"/>
    <m/>
    <s v="Gráfico de Evolución"/>
    <m/>
    <x v="558"/>
    <m/>
    <s v="#1774B609"/>
    <s v="-2087"/>
    <n v="99100000"/>
    <e v="#N/A"/>
    <e v="#N/A"/>
    <e v="#N/A"/>
    <e v="#N/A"/>
  </r>
  <r>
    <x v="2087"/>
    <m/>
    <x v="1"/>
    <x v="16"/>
    <m/>
    <x v="102"/>
    <x v="40"/>
    <x v="2"/>
    <x v="17"/>
    <m/>
    <m/>
    <m/>
    <m/>
    <m/>
    <x v="2020"/>
    <m/>
    <s v="Gráfico de Evolución"/>
    <m/>
    <x v="558"/>
    <m/>
    <s v="#1774B610"/>
    <s v="-2088"/>
    <n v="99100000"/>
    <e v="#N/A"/>
    <e v="#N/A"/>
    <e v="#N/A"/>
    <e v="#N/A"/>
  </r>
  <r>
    <x v="2088"/>
    <m/>
    <x v="1"/>
    <x v="16"/>
    <m/>
    <x v="102"/>
    <x v="40"/>
    <x v="2"/>
    <x v="17"/>
    <m/>
    <m/>
    <m/>
    <m/>
    <m/>
    <x v="2020"/>
    <m/>
    <s v="Gráfico de Evolución"/>
    <m/>
    <x v="558"/>
    <m/>
    <s v="#1774B611"/>
    <s v="-2089"/>
    <n v="99100000"/>
    <e v="#N/A"/>
    <e v="#N/A"/>
    <e v="#N/A"/>
    <e v="#N/A"/>
  </r>
  <r>
    <x v="2089"/>
    <m/>
    <x v="1"/>
    <x v="16"/>
    <m/>
    <x v="102"/>
    <x v="40"/>
    <x v="2"/>
    <x v="17"/>
    <m/>
    <m/>
    <m/>
    <m/>
    <m/>
    <x v="2020"/>
    <m/>
    <s v="Gráfico de Evolución"/>
    <m/>
    <x v="558"/>
    <m/>
    <s v="#1774B612"/>
    <s v="-2090"/>
    <n v="99100000"/>
    <e v="#N/A"/>
    <e v="#N/A"/>
    <e v="#N/A"/>
    <e v="#N/A"/>
  </r>
  <r>
    <x v="2090"/>
    <m/>
    <x v="1"/>
    <x v="16"/>
    <m/>
    <x v="102"/>
    <x v="40"/>
    <x v="2"/>
    <x v="17"/>
    <m/>
    <m/>
    <m/>
    <m/>
    <m/>
    <x v="2020"/>
    <m/>
    <s v="Gráfico de Evolución"/>
    <m/>
    <x v="558"/>
    <m/>
    <s v="#1774B613"/>
    <s v="-2091"/>
    <n v="99100000"/>
    <e v="#N/A"/>
    <e v="#N/A"/>
    <e v="#N/A"/>
    <e v="#N/A"/>
  </r>
  <r>
    <x v="2091"/>
    <m/>
    <x v="1"/>
    <x v="16"/>
    <m/>
    <x v="102"/>
    <x v="40"/>
    <x v="2"/>
    <x v="17"/>
    <m/>
    <m/>
    <m/>
    <m/>
    <m/>
    <x v="2020"/>
    <m/>
    <s v="Gráfico de Evolución"/>
    <m/>
    <x v="558"/>
    <m/>
    <s v="#1774B614"/>
    <s v="-2092"/>
    <n v="99100000"/>
    <e v="#N/A"/>
    <e v="#N/A"/>
    <e v="#N/A"/>
    <e v="#N/A"/>
  </r>
  <r>
    <x v="2092"/>
    <m/>
    <x v="1"/>
    <x v="16"/>
    <m/>
    <x v="102"/>
    <x v="40"/>
    <x v="2"/>
    <x v="17"/>
    <m/>
    <m/>
    <m/>
    <m/>
    <m/>
    <x v="2020"/>
    <m/>
    <s v="Gráfico de Evolución"/>
    <m/>
    <x v="558"/>
    <m/>
    <s v="#1774B615"/>
    <s v="-2093"/>
    <n v="99100000"/>
    <e v="#N/A"/>
    <e v="#N/A"/>
    <e v="#N/A"/>
    <e v="#N/A"/>
  </r>
  <r>
    <x v="2093"/>
    <m/>
    <x v="1"/>
    <x v="16"/>
    <m/>
    <x v="102"/>
    <x v="40"/>
    <x v="2"/>
    <x v="17"/>
    <m/>
    <m/>
    <m/>
    <m/>
    <m/>
    <x v="2020"/>
    <m/>
    <s v="Gráfico de Evolución"/>
    <m/>
    <x v="558"/>
    <m/>
    <s v="#1774B616"/>
    <s v="-2094"/>
    <n v="99100000"/>
    <e v="#N/A"/>
    <e v="#N/A"/>
    <e v="#N/A"/>
    <e v="#N/A"/>
  </r>
  <r>
    <x v="2094"/>
    <m/>
    <x v="1"/>
    <x v="16"/>
    <m/>
    <x v="102"/>
    <x v="40"/>
    <x v="2"/>
    <x v="17"/>
    <m/>
    <m/>
    <m/>
    <m/>
    <m/>
    <x v="2020"/>
    <m/>
    <s v="Gráfico de Evolución"/>
    <m/>
    <x v="558"/>
    <m/>
    <s v="#1774B617"/>
    <s v="-2095"/>
    <n v="99100000"/>
    <e v="#N/A"/>
    <e v="#N/A"/>
    <e v="#N/A"/>
    <e v="#N/A"/>
  </r>
  <r>
    <x v="2095"/>
    <m/>
    <x v="1"/>
    <x v="16"/>
    <m/>
    <x v="102"/>
    <x v="40"/>
    <x v="2"/>
    <x v="17"/>
    <m/>
    <m/>
    <m/>
    <m/>
    <m/>
    <x v="2020"/>
    <m/>
    <s v="Gráfico de Evolución"/>
    <m/>
    <x v="558"/>
    <m/>
    <s v="#1774B618"/>
    <s v="-2096"/>
    <n v="99100000"/>
    <e v="#N/A"/>
    <e v="#N/A"/>
    <e v="#N/A"/>
    <e v="#N/A"/>
  </r>
  <r>
    <x v="2096"/>
    <m/>
    <x v="1"/>
    <x v="16"/>
    <m/>
    <x v="102"/>
    <x v="40"/>
    <x v="2"/>
    <x v="17"/>
    <m/>
    <m/>
    <m/>
    <m/>
    <m/>
    <x v="2020"/>
    <m/>
    <s v="Gráfico de Evolución"/>
    <m/>
    <x v="558"/>
    <m/>
    <s v="#1774B619"/>
    <s v="-2097"/>
    <n v="99100000"/>
    <e v="#N/A"/>
    <e v="#N/A"/>
    <e v="#N/A"/>
    <e v="#N/A"/>
  </r>
  <r>
    <x v="2097"/>
    <m/>
    <x v="1"/>
    <x v="16"/>
    <m/>
    <x v="102"/>
    <x v="40"/>
    <x v="2"/>
    <x v="17"/>
    <m/>
    <m/>
    <m/>
    <m/>
    <m/>
    <x v="2020"/>
    <m/>
    <s v="Gráfico de Evolución"/>
    <m/>
    <x v="558"/>
    <m/>
    <s v="#1774B620"/>
    <s v="-2098"/>
    <n v="99100000"/>
    <e v="#N/A"/>
    <e v="#N/A"/>
    <e v="#N/A"/>
    <e v="#N/A"/>
  </r>
  <r>
    <x v="2098"/>
    <m/>
    <x v="1"/>
    <x v="16"/>
    <m/>
    <x v="102"/>
    <x v="40"/>
    <x v="2"/>
    <x v="17"/>
    <m/>
    <m/>
    <m/>
    <m/>
    <m/>
    <x v="2020"/>
    <m/>
    <s v="Gráfico de Evolución"/>
    <m/>
    <x v="558"/>
    <m/>
    <s v="#1774B621"/>
    <s v="-2099"/>
    <n v="99100000"/>
    <e v="#N/A"/>
    <e v="#N/A"/>
    <e v="#N/A"/>
    <e v="#N/A"/>
  </r>
  <r>
    <x v="2099"/>
    <m/>
    <x v="1"/>
    <x v="16"/>
    <m/>
    <x v="102"/>
    <x v="40"/>
    <x v="2"/>
    <x v="17"/>
    <m/>
    <m/>
    <m/>
    <m/>
    <m/>
    <x v="2020"/>
    <m/>
    <s v="Gráfico de Evolución"/>
    <m/>
    <x v="558"/>
    <m/>
    <s v="#1774B622"/>
    <s v="-2100"/>
    <n v="99100000"/>
    <e v="#N/A"/>
    <e v="#N/A"/>
    <e v="#N/A"/>
    <e v="#N/A"/>
  </r>
  <r>
    <x v="2100"/>
    <m/>
    <x v="1"/>
    <x v="16"/>
    <m/>
    <x v="102"/>
    <x v="40"/>
    <x v="2"/>
    <x v="17"/>
    <m/>
    <m/>
    <m/>
    <m/>
    <m/>
    <x v="2020"/>
    <m/>
    <s v="Gráfico de Evolución"/>
    <m/>
    <x v="558"/>
    <m/>
    <s v="#1774B623"/>
    <s v="-2101"/>
    <n v="99100000"/>
    <e v="#N/A"/>
    <e v="#N/A"/>
    <e v="#N/A"/>
    <e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7">
  <r>
    <s v="0001"/>
    <n v="990"/>
    <s v="Agencia Información"/>
    <s v="Socioeconómico"/>
    <n v="0"/>
    <x v="0"/>
    <x v="0"/>
    <x v="0"/>
    <x v="0"/>
    <x v="0"/>
    <x v="0"/>
    <s v="Periodo 2006-2017"/>
    <s v="CLP/mes"/>
    <s v="Encuestas CASEN"/>
    <s v="Evolución de Ingreso Promedio Mensual en Chile para el Periodo 2006-2017"/>
    <m/>
    <s v="Gráfico de Evolución"/>
    <s v="Chile ingresos CASEN mensual promedio"/>
    <s v="https://analytics.zoho.com/open-view/2395394000008229874"/>
    <x v="0"/>
    <s v="#1774B9"/>
  </r>
  <r>
    <s v="0002"/>
    <n v="990"/>
    <s v="Agencia Información"/>
    <s v="Socioeconómico"/>
    <n v="1"/>
    <x v="0"/>
    <x v="0"/>
    <x v="1"/>
    <x v="1"/>
    <x v="1"/>
    <x v="0"/>
    <s v="Periodo 2006-2017"/>
    <s v="CLP/mes"/>
    <s v="Encuestas CASEN"/>
    <s v="Evolución de Ingreso Promedio Mensual en la Región de Tarapacá para el Periodo 2006-2017"/>
    <m/>
    <s v="Gráfico de Evolución"/>
    <s v="Región de Tarapacá ingresos CASEN mensual promedio"/>
    <s v="https://analytics.zoho.com/open-view/2395394000008161200?ZOHO_CRITERIA=%22Localiza%20Chile%22.%22Codreg%22%3D1"/>
    <x v="1"/>
    <s v="#1774B9"/>
  </r>
  <r>
    <s v="0003"/>
    <n v="990"/>
    <s v="Agencia Información"/>
    <s v="Socioeconómico"/>
    <n v="2"/>
    <x v="0"/>
    <x v="0"/>
    <x v="1"/>
    <x v="2"/>
    <x v="1"/>
    <x v="0"/>
    <s v="Periodo 2006-2017"/>
    <s v="CLP/mes"/>
    <s v="Encuestas CASEN"/>
    <s v="Evolución de Ingreso Promedio Mensual en la Región de Antofagasta para el Periodo 2006-2017"/>
    <s v="La región de Antofagasta es la que posee el ingreso medios mensual en el año 2017 entre las 16 regiones del país, con una cifra de algo más de 380 mil CLP/mes. En relación a la estimación anterior, del año 2015, el ingreso aumenta en un 7,3%."/>
    <s v="Gráfico de Evolución"/>
    <s v="Región de Antofagasta ingresos CASEN mensual promedio"/>
    <s v="https://analytics.zoho.com/open-view/2395394000008161200?ZOHO_CRITERIA=%22Localiza%20Chile%22.%22Codreg%22%3D2"/>
    <x v="2"/>
    <s v="#1774B9"/>
  </r>
  <r>
    <s v="0004"/>
    <n v="990"/>
    <s v="Agencia Información"/>
    <s v="Socioeconómico"/>
    <n v="3"/>
    <x v="0"/>
    <x v="0"/>
    <x v="1"/>
    <x v="3"/>
    <x v="1"/>
    <x v="0"/>
    <s v="Periodo 2006-2017"/>
    <s v="CLP/mes"/>
    <s v="Encuestas CASEN"/>
    <s v="Evolución de Ingreso Promedio Mensual en la Región de Atacama para el Periodo 2006-2017"/>
    <m/>
    <s v="Gráfico de Evolución"/>
    <s v="Región de Atacama ingresos CASEN mensual promedio"/>
    <s v="https://analytics.zoho.com/open-view/2395394000008161200?ZOHO_CRITERIA=%22Localiza%20Chile%22.%22Codreg%22%3D3"/>
    <x v="3"/>
    <s v="#1774B9"/>
  </r>
  <r>
    <s v="0005"/>
    <n v="990"/>
    <s v="Agencia Información"/>
    <s v="Socioeconómico"/>
    <n v="4"/>
    <x v="0"/>
    <x v="0"/>
    <x v="1"/>
    <x v="4"/>
    <x v="1"/>
    <x v="0"/>
    <s v="Periodo 2006-2017"/>
    <s v="CLP/mes"/>
    <s v="Encuestas CASEN"/>
    <s v="Evolución de Ingreso Promedio Mensual en la Región de Coquimbo para el Periodo 2006-2017"/>
    <m/>
    <s v="Gráfico de Evolución"/>
    <s v="Región de Coquimbo ingresos CASEN mensual promedio"/>
    <s v="https://analytics.zoho.com/open-view/2395394000008161200?ZOHO_CRITERIA=%22Localiza%20Chile%22.%22Codreg%22%3D4"/>
    <x v="4"/>
    <s v="#1774B9"/>
  </r>
  <r>
    <s v="0006"/>
    <n v="990"/>
    <s v="Agencia Información"/>
    <s v="Socioeconómico"/>
    <n v="5"/>
    <x v="0"/>
    <x v="0"/>
    <x v="1"/>
    <x v="5"/>
    <x v="1"/>
    <x v="0"/>
    <s v="Periodo 2006-2017"/>
    <s v="CLP/mes"/>
    <s v="Encuestas CASEN"/>
    <s v="Evolución de Ingreso Promedio Mensual en la Región de Valparaíso para el Periodo 2006-2017"/>
    <m/>
    <s v="Gráfico de Evolución"/>
    <s v="Región de Valparaíso ingresos CASEN mensual promedio"/>
    <s v="https://analytics.zoho.com/open-view/2395394000008161200?ZOHO_CRITERIA=%22Localiza%20Chile%22.%22Codreg%22%3D5"/>
    <x v="5"/>
    <s v="#1774B9"/>
  </r>
  <r>
    <s v="0007"/>
    <n v="990"/>
    <s v="Agencia Información"/>
    <s v="Socioeconómico"/>
    <n v="6"/>
    <x v="0"/>
    <x v="0"/>
    <x v="1"/>
    <x v="6"/>
    <x v="1"/>
    <x v="0"/>
    <s v="Periodo 2006-2017"/>
    <s v="CLP/mes"/>
    <s v="Encuestas CASEN"/>
    <s v="Evolución de Ingreso Promedio Mensual en la Región de O'Higgins para el Periodo 2006-2017"/>
    <m/>
    <s v="Gráfico de Evolución"/>
    <s v="Región de O'Higgins ingresos CASEN mensual promedio"/>
    <s v="https://analytics.zoho.com/open-view/2395394000008161200?ZOHO_CRITERIA=%22Localiza%20Chile%22.%22Codreg%22%3D6"/>
    <x v="6"/>
    <s v="#1774B9"/>
  </r>
  <r>
    <s v="0008"/>
    <n v="990"/>
    <s v="Agencia Información"/>
    <s v="Socioeconómico"/>
    <n v="7"/>
    <x v="0"/>
    <x v="0"/>
    <x v="1"/>
    <x v="7"/>
    <x v="1"/>
    <x v="0"/>
    <s v="Periodo 2006-2017"/>
    <s v="CLP/mes"/>
    <s v="Encuestas CASEN"/>
    <s v="Evolución de Ingreso Promedio Mensual en la Región de Maule para el Periodo 2006-2017"/>
    <m/>
    <s v="Gráfico de Evolución"/>
    <s v="Región de Maule ingresos CASEN mensual promedio"/>
    <s v="https://analytics.zoho.com/open-view/2395394000008161200?ZOHO_CRITERIA=%22Localiza%20Chile%22.%22Codreg%22%3D7"/>
    <x v="7"/>
    <s v="#1774B9"/>
  </r>
  <r>
    <s v="0009"/>
    <n v="990"/>
    <s v="Agencia Información"/>
    <s v="Socioeconómico"/>
    <n v="8"/>
    <x v="0"/>
    <x v="0"/>
    <x v="1"/>
    <x v="8"/>
    <x v="1"/>
    <x v="0"/>
    <s v="Periodo 2006-2017"/>
    <s v="CLP/mes"/>
    <s v="Encuestas CASEN"/>
    <s v="Evolución de Ingreso Promedio Mensual en la Región del Biobío para el Periodo 2006-2017"/>
    <m/>
    <s v="Gráfico de Evolución"/>
    <s v="Región del Biobío ingresos CASEN mensual promedio"/>
    <s v="https://analytics.zoho.com/open-view/2395394000008161200?ZOHO_CRITERIA=%22Localiza%20Chile%22.%22Codreg%22%3D8"/>
    <x v="8"/>
    <s v="#1774B9"/>
  </r>
  <r>
    <s v="0010"/>
    <n v="990"/>
    <s v="Agencia Información"/>
    <s v="Socioeconómico"/>
    <n v="9"/>
    <x v="0"/>
    <x v="0"/>
    <x v="1"/>
    <x v="9"/>
    <x v="1"/>
    <x v="0"/>
    <s v="Periodo 2006-2017"/>
    <s v="CLP/mes"/>
    <s v="Encuestas CASEN"/>
    <s v="Evolución de Ingreso Promedio Mensual en la Región de La Araucanía para el Periodo 2006-2017"/>
    <m/>
    <s v="Gráfico de Evolución"/>
    <s v="Región de La Araucanía ingresos CASEN mensual promedio"/>
    <s v="https://analytics.zoho.com/open-view/2395394000008161200?ZOHO_CRITERIA=%22Localiza%20Chile%22.%22Codreg%22%3D9"/>
    <x v="9"/>
    <s v="#1774B9"/>
  </r>
  <r>
    <s v="0011"/>
    <n v="990"/>
    <s v="Agencia Información"/>
    <s v="Socioeconómico"/>
    <n v="10"/>
    <x v="0"/>
    <x v="0"/>
    <x v="1"/>
    <x v="10"/>
    <x v="1"/>
    <x v="0"/>
    <s v="Periodo 2006-2017"/>
    <s v="CLP/mes"/>
    <s v="Encuestas CASEN"/>
    <s v="Evolución de Ingreso Promedio Mensual en la Región de Los Lagos para el Periodo 2006-2017"/>
    <m/>
    <s v="Gráfico de Evolución"/>
    <s v="Región de Los Lagos ingresos CASEN mensual promedio"/>
    <s v="https://analytics.zoho.com/open-view/2395394000008161200?ZOHO_CRITERIA=%22Localiza%20Chile%22.%22Codreg%22%3D10"/>
    <x v="10"/>
    <s v="#1774B9"/>
  </r>
  <r>
    <s v="0012"/>
    <n v="990"/>
    <s v="Agencia Información"/>
    <s v="Socioeconómico"/>
    <n v="11"/>
    <x v="0"/>
    <x v="0"/>
    <x v="1"/>
    <x v="11"/>
    <x v="1"/>
    <x v="0"/>
    <s v="Periodo 2006-2017"/>
    <s v="CLP/mes"/>
    <s v="Encuestas CASEN"/>
    <s v="Evolución de Ingreso Promedio Mensual en la Región de Aysén para el Periodo 2006-2017"/>
    <m/>
    <s v="Gráfico de Evolución"/>
    <s v="Región de Aysén ingresos CASEN mensual promedio"/>
    <s v="https://analytics.zoho.com/open-view/2395394000008161200?ZOHO_CRITERIA=%22Localiza%20Chile%22.%22Codreg%22%3D11"/>
    <x v="11"/>
    <s v="#1774B9"/>
  </r>
  <r>
    <s v="0013"/>
    <n v="990"/>
    <s v="Agencia Información"/>
    <s v="Socioeconómico"/>
    <n v="12"/>
    <x v="0"/>
    <x v="0"/>
    <x v="1"/>
    <x v="12"/>
    <x v="1"/>
    <x v="0"/>
    <s v="Periodo 2006-2017"/>
    <s v="CLP/mes"/>
    <s v="Encuestas CASEN"/>
    <s v="Evolución de Ingreso Promedio Mensual en la Región de Magallanes para el Periodo 2006-2017"/>
    <m/>
    <s v="Gráfico de Evolución"/>
    <s v="Región de Magallanes ingresos CASEN mensual promedio"/>
    <s v="https://analytics.zoho.com/open-view/2395394000008161200?ZOHO_CRITERIA=%22Localiza%20Chile%22.%22Codreg%22%3D12"/>
    <x v="12"/>
    <s v="#1774B9"/>
  </r>
  <r>
    <s v="0014"/>
    <n v="990"/>
    <s v="Agencia Información"/>
    <s v="Socioeconómico"/>
    <n v="13"/>
    <x v="0"/>
    <x v="0"/>
    <x v="1"/>
    <x v="13"/>
    <x v="1"/>
    <x v="0"/>
    <s v="Periodo 2006-2017"/>
    <s v="CLP/mes"/>
    <s v="Encuestas CASEN"/>
    <s v="Evolución de Ingreso Promedio Mensual en la Región Metropolitana para el Periodo 2006-2017"/>
    <m/>
    <s v="Gráfico de Evolución"/>
    <s v="Región Metropolitana ingresos CASEN mensual promedio"/>
    <s v="https://analytics.zoho.com/open-view/2395394000008161200?ZOHO_CRITERIA=%22Localiza%20Chile%22.%22Codreg%22%3D13"/>
    <x v="13"/>
    <s v="#1774B9"/>
  </r>
  <r>
    <s v="0015"/>
    <n v="990"/>
    <s v="Agencia Información"/>
    <s v="Socioeconómico"/>
    <n v="14"/>
    <x v="0"/>
    <x v="0"/>
    <x v="1"/>
    <x v="14"/>
    <x v="1"/>
    <x v="0"/>
    <s v="Periodo 2006-2017"/>
    <s v="CLP/mes"/>
    <s v="Encuestas CASEN"/>
    <s v="Evolución de Ingreso Promedio Mensual en la Región de Los Ríos para el Periodo 2006-2017"/>
    <m/>
    <s v="Gráfico de Evolución"/>
    <s v="Región de Los Ríos ingresos CASEN mensual promedio"/>
    <s v="https://analytics.zoho.com/open-view/2395394000008161200?ZOHO_CRITERIA=%22Localiza%20Chile%22.%22Codreg%22%3D14"/>
    <x v="14"/>
    <s v="#1774B9"/>
  </r>
  <r>
    <s v="0016"/>
    <n v="990"/>
    <s v="Agencia Información"/>
    <s v="Socioeconómico"/>
    <n v="15"/>
    <x v="0"/>
    <x v="0"/>
    <x v="1"/>
    <x v="15"/>
    <x v="1"/>
    <x v="0"/>
    <s v="Periodo 2006-2017"/>
    <s v="CLP/mes"/>
    <s v="Encuestas CASEN"/>
    <s v="Evolución de Ingreso Promedio Mensual en la Región de Arica y Parinacota para el Periodo 2006-2017"/>
    <m/>
    <s v="Gráfico de Evolución"/>
    <s v="Región de Arica y Parinacota ingresos CASEN mensual promedio"/>
    <s v="https://analytics.zoho.com/open-view/2395394000008161200?ZOHO_CRITERIA=%22Localiza%20Chile%22.%22Codreg%22%3D15"/>
    <x v="15"/>
    <s v="#1774B9"/>
  </r>
  <r>
    <s v="0017"/>
    <n v="990"/>
    <s v="Agencia Información"/>
    <s v="Socioeconómico"/>
    <n v="16"/>
    <x v="0"/>
    <x v="0"/>
    <x v="1"/>
    <x v="16"/>
    <x v="1"/>
    <x v="0"/>
    <s v="Periodo 2006-2017"/>
    <s v="CLP/mes"/>
    <s v="Encuestas CASEN"/>
    <s v="Evolución de Ingreso Promedio Mensual en la Región de Ñuble para el Periodo 2006-2017"/>
    <m/>
    <s v="Gráfico de Evolución"/>
    <s v="Región de Ñuble ingresos CASEN mensual promedio"/>
    <s v="https://analytics.zoho.com/open-view/2395394000008161200?ZOHO_CRITERIA=%22Localiza%20Chile%22.%22Codreg%22%3D16"/>
    <x v="16"/>
    <s v="#1774B9"/>
  </r>
  <r>
    <s v="0018"/>
    <n v="990"/>
    <s v="Agencia Información"/>
    <s v="Educación"/>
    <n v="0"/>
    <x v="1"/>
    <x v="1"/>
    <x v="0"/>
    <x v="0"/>
    <x v="2"/>
    <x v="1"/>
    <s v="Periodo 2001-2020"/>
    <s v="Porcentaje (%)"/>
    <s v="Sistema Nacional de Información Municipal"/>
    <s v="Proporción de Alumnos de 4to Medio con más de 450 puntos en la PSU según dependencia de colegios"/>
    <s v="Más allá de la gestión alcaldicia, durante los últimos 20 años la proporción de alumnos con más de 450 puntos en la PSU se mantiene estable para colegios municipales en relación a los Subvencionados y Particulares Pagados."/>
    <s v="Gráfico de Evolución"/>
    <s v="Chile educación municipal PSU alumnos calidad colegios municipales"/>
    <s v="https://analytics.zoho.com/open-view/2395394000008231090"/>
    <x v="17"/>
    <s v="#1774B9"/>
  </r>
  <r>
    <s v="0019"/>
    <n v="990"/>
    <s v="Agencia Información"/>
    <s v="Educación"/>
    <n v="1"/>
    <x v="1"/>
    <x v="1"/>
    <x v="1"/>
    <x v="1"/>
    <x v="3"/>
    <x v="1"/>
    <s v="Periodo 2001-2020"/>
    <s v="Porcentaje (%)"/>
    <s v="Sistema Nacional de Información Municipal"/>
    <s v="Proporción de Alumnos de 4to Medio con más de 450 puntos en la PSU según dependencia de colegios en la Región de Tarapacá"/>
    <m/>
    <s v="Gráfico de Evolución"/>
    <s v="Región de Tarapacá educación municipal PSU alumnos calidad colegios municipales"/>
    <s v="https://analytics.zoho.com/open-view/2395394000007732994?ZOHO_CRITERIA=%22Localiza%20CL%22.%22Codreg%22%3D1"/>
    <x v="18"/>
    <s v="#1774B9"/>
  </r>
  <r>
    <s v="0020"/>
    <n v="990"/>
    <s v="Agencia Información"/>
    <s v="Educación"/>
    <n v="2"/>
    <x v="1"/>
    <x v="1"/>
    <x v="1"/>
    <x v="2"/>
    <x v="3"/>
    <x v="1"/>
    <s v="Periodo 2001-2020"/>
    <s v="Porcentaje (%)"/>
    <s v="Sistema Nacional de Información Municipal"/>
    <s v="Proporción de Alumnos de 4to Medio con más de 450 puntos en la PSU según dependencia de colegios en la Región de Antofagasta"/>
    <m/>
    <s v="Gráfico de Evolución"/>
    <s v="Región de Antofagasta educación municipal PSU alumnos calidad colegios municipales"/>
    <s v="https://analytics.zoho.com/open-view/2395394000007732994?ZOHO_CRITERIA=%22Localiza%20CL%22.%22Codreg%22%3D2"/>
    <x v="19"/>
    <s v="#1774B9"/>
  </r>
  <r>
    <s v="0021"/>
    <n v="990"/>
    <s v="Agencia Información"/>
    <s v="Educación"/>
    <n v="3"/>
    <x v="1"/>
    <x v="1"/>
    <x v="1"/>
    <x v="3"/>
    <x v="3"/>
    <x v="1"/>
    <s v="Periodo 2001-2020"/>
    <s v="Porcentaje (%)"/>
    <s v="Sistema Nacional de Información Municipal"/>
    <s v="Proporción de Alumnos de 4to Medio con más de 450 puntos en la PSU según dependencia de colegios en la Región de Atacama"/>
    <m/>
    <s v="Gráfico de Evolución"/>
    <s v="Región de Atacama educación municipal PSU alumnos calidad colegios municipales"/>
    <s v="https://analytics.zoho.com/open-view/2395394000007732994?ZOHO_CRITERIA=%22Localiza%20CL%22.%22Codreg%22%3D3"/>
    <x v="20"/>
    <s v="#1774B9"/>
  </r>
  <r>
    <s v="0022"/>
    <n v="990"/>
    <s v="Agencia Información"/>
    <s v="Educación"/>
    <n v="4"/>
    <x v="1"/>
    <x v="1"/>
    <x v="1"/>
    <x v="4"/>
    <x v="3"/>
    <x v="1"/>
    <s v="Periodo 2001-2020"/>
    <s v="Porcentaje (%)"/>
    <s v="Sistema Nacional de Información Municipal"/>
    <s v="Proporción de Alumnos de 4to Medio con más de 450 puntos en la PSU según dependencia de colegios en la Región de Coquimbo"/>
    <m/>
    <s v="Gráfico de Evolución"/>
    <s v="Región de Coquimbo educación municipal PSU alumnos calidad colegios municipales"/>
    <s v="https://analytics.zoho.com/open-view/2395394000007732994?ZOHO_CRITERIA=%22Localiza%20CL%22.%22Codreg%22%3D4"/>
    <x v="21"/>
    <s v="#1774B9"/>
  </r>
  <r>
    <s v="0023"/>
    <n v="990"/>
    <s v="Agencia Información"/>
    <s v="Educación"/>
    <n v="5"/>
    <x v="1"/>
    <x v="1"/>
    <x v="1"/>
    <x v="5"/>
    <x v="3"/>
    <x v="1"/>
    <s v="Periodo 2001-2020"/>
    <s v="Porcentaje (%)"/>
    <s v="Sistema Nacional de Información Municipal"/>
    <s v="Proporción de Alumnos de 4to Medio con más de 450 puntos en la PSU según dependencia de colegios en la Región de Valparaíso"/>
    <m/>
    <s v="Gráfico de Evolución"/>
    <s v="Región de Valparaíso educación municipal PSU alumnos calidad colegios municipales"/>
    <s v="https://analytics.zoho.com/open-view/2395394000007732994?ZOHO_CRITERIA=%22Localiza%20CL%22.%22Codreg%22%3D5"/>
    <x v="22"/>
    <s v="#1774B9"/>
  </r>
  <r>
    <s v="0024"/>
    <n v="990"/>
    <s v="Agencia Información"/>
    <s v="Educación"/>
    <n v="6"/>
    <x v="1"/>
    <x v="1"/>
    <x v="1"/>
    <x v="6"/>
    <x v="3"/>
    <x v="1"/>
    <s v="Periodo 2001-2020"/>
    <s v="Porcentaje (%)"/>
    <s v="Sistema Nacional de Información Municipal"/>
    <s v="Proporción de Alumnos de 4to Medio con más de 450 puntos en la PSU según dependencia de colegios en la Región de O'Higgins"/>
    <m/>
    <s v="Gráfico de Evolución"/>
    <s v="Región de O'Higgins educación municipal PSU alumnos calidad colegios municipales"/>
    <s v="https://analytics.zoho.com/open-view/2395394000007732994?ZOHO_CRITERIA=%22Localiza%20CL%22.%22Codreg%22%3D6"/>
    <x v="23"/>
    <s v="#1774B9"/>
  </r>
  <r>
    <s v="0025"/>
    <n v="990"/>
    <s v="Agencia Información"/>
    <s v="Educación"/>
    <n v="7"/>
    <x v="1"/>
    <x v="1"/>
    <x v="1"/>
    <x v="7"/>
    <x v="3"/>
    <x v="1"/>
    <s v="Periodo 2001-2020"/>
    <s v="Porcentaje (%)"/>
    <s v="Sistema Nacional de Información Municipal"/>
    <s v="Proporción de Alumnos de 4to Medio con más de 450 puntos en la PSU según dependencia de colegios en la Región de Maule"/>
    <m/>
    <s v="Gráfico de Evolución"/>
    <s v="Región de Maule educación municipal PSU alumnos calidad colegios municipales"/>
    <s v="https://analytics.zoho.com/open-view/2395394000007732994?ZOHO_CRITERIA=%22Localiza%20CL%22.%22Codreg%22%3D7"/>
    <x v="24"/>
    <s v="#1774B9"/>
  </r>
  <r>
    <s v="0026"/>
    <n v="990"/>
    <s v="Agencia Información"/>
    <s v="Educación"/>
    <n v="8"/>
    <x v="1"/>
    <x v="1"/>
    <x v="1"/>
    <x v="8"/>
    <x v="3"/>
    <x v="1"/>
    <s v="Periodo 2001-2020"/>
    <s v="Porcentaje (%)"/>
    <s v="Sistema Nacional de Información Municipal"/>
    <s v="Proporción de Alumnos de 4to Medio con más de 450 puntos en la PSU según dependencia de colegios en la Región del Biobío"/>
    <m/>
    <s v="Gráfico de Evolución"/>
    <s v="Región del Biobío educación municipal PSU alumnos calidad colegios municipales"/>
    <s v="https://analytics.zoho.com/open-view/2395394000007732994?ZOHO_CRITERIA=%22Localiza%20CL%22.%22Codreg%22%3D8"/>
    <x v="25"/>
    <s v="#1774B9"/>
  </r>
  <r>
    <s v="0027"/>
    <n v="990"/>
    <s v="Agencia Información"/>
    <s v="Educación"/>
    <n v="9"/>
    <x v="1"/>
    <x v="1"/>
    <x v="1"/>
    <x v="9"/>
    <x v="3"/>
    <x v="1"/>
    <s v="Periodo 2001-2020"/>
    <s v="Porcentaje (%)"/>
    <s v="Sistema Nacional de Información Municipal"/>
    <s v="Proporción de Alumnos de 4to Medio con más de 450 puntos en la PSU según dependencia de colegios en la Región de La Araucanía"/>
    <m/>
    <s v="Gráfico de Evolución"/>
    <s v="Región de La Araucanía educación municipal PSU alumnos calidad colegios municipales"/>
    <s v="https://analytics.zoho.com/open-view/2395394000007732994?ZOHO_CRITERIA=%22Localiza%20CL%22.%22Codreg%22%3D9"/>
    <x v="26"/>
    <s v="#1774B9"/>
  </r>
  <r>
    <s v="0028"/>
    <n v="990"/>
    <s v="Agencia Información"/>
    <s v="Educación"/>
    <n v="10"/>
    <x v="1"/>
    <x v="1"/>
    <x v="1"/>
    <x v="10"/>
    <x v="3"/>
    <x v="1"/>
    <s v="Periodo 2001-2020"/>
    <s v="Porcentaje (%)"/>
    <s v="Sistema Nacional de Información Municipal"/>
    <s v="Proporción de Alumnos de 4to Medio con más de 450 puntos en la PSU según dependencia de colegios en la Región de Los Lagos"/>
    <m/>
    <s v="Gráfico de Evolución"/>
    <s v="Región de Los Lagos educación municipal PSU alumnos calidad colegios municipales"/>
    <s v="https://analytics.zoho.com/open-view/2395394000007732994?ZOHO_CRITERIA=%22Localiza%20CL%22.%22Codreg%22%3D10"/>
    <x v="27"/>
    <s v="#1774B9"/>
  </r>
  <r>
    <s v="0029"/>
    <n v="990"/>
    <s v="Agencia Información"/>
    <s v="Educación"/>
    <n v="11"/>
    <x v="1"/>
    <x v="1"/>
    <x v="1"/>
    <x v="11"/>
    <x v="3"/>
    <x v="1"/>
    <s v="Periodo 2001-2020"/>
    <s v="Porcentaje (%)"/>
    <s v="Sistema Nacional de Información Municipal"/>
    <s v="Proporción de Alumnos de 4to Medio con más de 450 puntos en la PSU según dependencia de colegios en la Región de Aysén"/>
    <m/>
    <s v="Gráfico de Evolución"/>
    <s v="Región de Aysén educación municipal PSU alumnos calidad colegios municipales"/>
    <s v="https://analytics.zoho.com/open-view/2395394000007732994?ZOHO_CRITERIA=%22Localiza%20CL%22.%22Codreg%22%3D11"/>
    <x v="28"/>
    <s v="#1774B9"/>
  </r>
  <r>
    <s v="0030"/>
    <n v="990"/>
    <s v="Agencia Información"/>
    <s v="Educación"/>
    <n v="12"/>
    <x v="1"/>
    <x v="1"/>
    <x v="1"/>
    <x v="12"/>
    <x v="3"/>
    <x v="1"/>
    <s v="Periodo 2001-2020"/>
    <s v="Porcentaje (%)"/>
    <s v="Sistema Nacional de Información Municipal"/>
    <s v="Proporción de Alumnos de 4to Medio con más de 450 puntos en la PSU según dependencia de colegios en la Región de Magallanes"/>
    <m/>
    <s v="Gráfico de Evolución"/>
    <s v="Región de Magallanes educación municipal PSU alumnos calidad colegios municipales"/>
    <s v="https://analytics.zoho.com/open-view/2395394000007732994?ZOHO_CRITERIA=%22Localiza%20CL%22.%22Codreg%22%3D12"/>
    <x v="29"/>
    <s v="#1774B9"/>
  </r>
  <r>
    <s v="0031"/>
    <n v="990"/>
    <s v="Agencia Información"/>
    <s v="Educación"/>
    <n v="13"/>
    <x v="1"/>
    <x v="1"/>
    <x v="1"/>
    <x v="13"/>
    <x v="3"/>
    <x v="1"/>
    <s v="Periodo 2001-2020"/>
    <s v="Porcentaje (%)"/>
    <s v="Sistema Nacional de Información Municipal"/>
    <s v="Proporción de Alumnos de 4to Medio con más de 450 puntos en la PSU según dependencia de colegios en la Región Metropolitana"/>
    <m/>
    <s v="Gráfico de Evolución"/>
    <s v="Región Metropolitana educación municipal PSU alumnos calidad colegios municipales"/>
    <s v="https://analytics.zoho.com/open-view/2395394000007732994?ZOHO_CRITERIA=%22Localiza%20CL%22.%22Codreg%22%3D13"/>
    <x v="30"/>
    <s v="#1774B9"/>
  </r>
  <r>
    <s v="0032"/>
    <n v="990"/>
    <s v="Agencia Información"/>
    <s v="Educación"/>
    <n v="14"/>
    <x v="1"/>
    <x v="1"/>
    <x v="1"/>
    <x v="14"/>
    <x v="3"/>
    <x v="1"/>
    <s v="Periodo 2001-2020"/>
    <s v="Porcentaje (%)"/>
    <s v="Sistema Nacional de Información Municipal"/>
    <s v="Proporción de Alumnos de 4to Medio con más de 450 puntos en la PSU según dependencia de colegios en la Región de Los Ríos"/>
    <m/>
    <s v="Gráfico de Evolución"/>
    <s v="Región de Los Ríos educación municipal PSU alumnos calidad colegios municipales"/>
    <s v="https://analytics.zoho.com/open-view/2395394000007732994?ZOHO_CRITERIA=%22Localiza%20CL%22.%22Codreg%22%3D14"/>
    <x v="31"/>
    <s v="#1774B9"/>
  </r>
  <r>
    <s v="0033"/>
    <n v="990"/>
    <s v="Agencia Información"/>
    <s v="Educación"/>
    <n v="15"/>
    <x v="1"/>
    <x v="1"/>
    <x v="1"/>
    <x v="15"/>
    <x v="3"/>
    <x v="1"/>
    <s v="Periodo 2001-2020"/>
    <s v="Porcentaje (%)"/>
    <s v="Sistema Nacional de Información Municipal"/>
    <s v="Proporción de Alumnos de 4to Medio con más de 450 puntos en la PSU según dependencia de colegios en la Región de Arica y Parinacota"/>
    <m/>
    <s v="Gráfico de Evolución"/>
    <s v="Región de Arica y Parinacota educación municipal PSU alumnos calidad colegios municipales"/>
    <s v="https://analytics.zoho.com/open-view/2395394000007732994?ZOHO_CRITERIA=%22Localiza%20CL%22.%22Codreg%22%3D15"/>
    <x v="32"/>
    <s v="#1774B9"/>
  </r>
  <r>
    <s v="0034"/>
    <n v="990"/>
    <s v="Agencia Información"/>
    <s v="Educación"/>
    <n v="16"/>
    <x v="1"/>
    <x v="1"/>
    <x v="1"/>
    <x v="16"/>
    <x v="3"/>
    <x v="1"/>
    <s v="Periodo 2001-2020"/>
    <s v="Porcentaje (%)"/>
    <s v="Sistema Nacional de Información Municipal"/>
    <s v="Proporción de Alumnos de 4to Medio con más de 450 puntos en la PSU según dependencia de colegios en la Región de Ñuble"/>
    <m/>
    <s v="Gráfico de Evolución"/>
    <s v="Región de Ñuble educación municipal PSU alumnos calidad colegios municipales"/>
    <s v="https://analytics.zoho.com/open-view/2395394000007732994?ZOHO_CRITERIA=%22Localiza%20CL%22.%22Codreg%22%3D16"/>
    <x v="33"/>
    <s v="#1774B9"/>
  </r>
  <r>
    <s v="0035"/>
    <n v="990"/>
    <s v="Agencia Información"/>
    <s v="Mujeres"/>
    <n v="0"/>
    <x v="2"/>
    <x v="2"/>
    <x v="0"/>
    <x v="0"/>
    <x v="2"/>
    <x v="2"/>
    <s v="Periodo 2008-2020"/>
    <s v="Número de Denuncias"/>
    <s v="Centro de Estudios y Análisis del Delito (CEAD) de la Subsecretaría de Prevención del Delito"/>
    <s v="Evolución de denuncias por violación en Chile en el Periodo 2008-2020"/>
    <m/>
    <s v="Gráfico de Evolución"/>
    <s v="Chile comunas violencia mujer violacion denuncias"/>
    <s v="https://analytics.zoho.com/open-view/2395394000006789672"/>
    <x v="17"/>
    <s v="#1774B9"/>
  </r>
  <r>
    <s v="0036"/>
    <n v="990"/>
    <s v="Agencia Información"/>
    <s v="Mujeres"/>
    <n v="1"/>
    <x v="2"/>
    <x v="2"/>
    <x v="1"/>
    <x v="1"/>
    <x v="2"/>
    <x v="2"/>
    <s v="Periodo 2008-2020"/>
    <s v="Número de Denuncias"/>
    <s v="Centro de Estudios y Análisis del Delito (CEAD) de la Subsecretaría de Prevención del Delito"/>
    <s v="Evolución de denuncias por violación en la Región de Tarapacá en el Periodo 2008-2020"/>
    <m/>
    <s v="Gráfico de Evolución"/>
    <s v="Región de Tarapacá comunas violencia mujer violación denuncias"/>
    <s v="https://analytics.zoho.com/open-view/2395394000008231335?ZOHO_CRITERIA=%22Localiza%20CL%22.%22Codreg%22%3D1"/>
    <x v="18"/>
    <s v="#1774B9"/>
  </r>
  <r>
    <s v="0037"/>
    <n v="990"/>
    <s v="Agencia Información"/>
    <s v="Mujeres"/>
    <n v="2"/>
    <x v="2"/>
    <x v="2"/>
    <x v="1"/>
    <x v="2"/>
    <x v="2"/>
    <x v="2"/>
    <s v="Periodo 2008-2020"/>
    <s v="Número de Denuncias"/>
    <s v="Centro de Estudios y Análisis del Delito (CEAD) de la Subsecretaría de Prevención del Delito"/>
    <s v="Distribución comunal de denuncias por violación en la Región de Antofagasta en el Periodo 2008-2020"/>
    <m/>
    <s v="Gráfico de Evolución"/>
    <s v="Región de Antofagasta comunas violencia mujer violación denuncias"/>
    <s v="https://analytics.zoho.com/open-view/2395394000008231335?ZOHO_CRITERIA=%22Localiza%20CL%22.%22Codreg%22%3D2"/>
    <x v="19"/>
    <s v="#1774B9"/>
  </r>
  <r>
    <s v="0038"/>
    <n v="990"/>
    <s v="Agencia Información"/>
    <s v="Mujeres"/>
    <n v="3"/>
    <x v="2"/>
    <x v="2"/>
    <x v="1"/>
    <x v="3"/>
    <x v="2"/>
    <x v="2"/>
    <s v="Periodo 2008-2020"/>
    <s v="Número de Denuncias"/>
    <s v="Centro de Estudios y Análisis del Delito (CEAD) de la Subsecretaría de Prevención del Delito"/>
    <s v="Distribución comunal de denuncias por violación en la Región de Atacama en el Periodo 2008-2020"/>
    <m/>
    <s v="Gráfico de Evolución"/>
    <s v="Región de Atacama comunas violencia mujer violación denuncias"/>
    <s v="https://analytics.zoho.com/open-view/2395394000008231335?ZOHO_CRITERIA=%22Localiza%20CL%22.%22Codreg%22%3D3"/>
    <x v="20"/>
    <s v="#1774B9"/>
  </r>
  <r>
    <s v="0039"/>
    <n v="990"/>
    <s v="Agencia Información"/>
    <s v="Mujeres"/>
    <n v="4"/>
    <x v="2"/>
    <x v="2"/>
    <x v="1"/>
    <x v="4"/>
    <x v="2"/>
    <x v="2"/>
    <s v="Periodo 2008-2020"/>
    <s v="Número de Denuncias"/>
    <s v="Centro de Estudios y Análisis del Delito (CEAD) de la Subsecretaría de Prevención del Delito"/>
    <s v="Distribución comunal de denuncias por violación en la Región de Coquimbo en el Periodo 2008-2020"/>
    <m/>
    <s v="Gráfico de Evolución"/>
    <s v="Región de Coquimbo comunas violencia mujer violación denuncias"/>
    <s v="https://analytics.zoho.com/open-view/2395394000008231335?ZOHO_CRITERIA=%22Localiza%20CL%22.%22Codreg%22%3D4"/>
    <x v="21"/>
    <s v="#1774B9"/>
  </r>
  <r>
    <s v="0040"/>
    <n v="990"/>
    <s v="Agencia Información"/>
    <s v="Mujeres"/>
    <n v="5"/>
    <x v="2"/>
    <x v="2"/>
    <x v="1"/>
    <x v="5"/>
    <x v="2"/>
    <x v="2"/>
    <s v="Periodo 2008-2020"/>
    <s v="Número de Denuncias"/>
    <s v="Centro de Estudios y Análisis del Delito (CEAD) de la Subsecretaría de Prevención del Delito"/>
    <s v="Distribución comunal de denuncias por violación en la Región de Valparaíso en el Periodo 2008-2020"/>
    <m/>
    <s v="Gráfico de Evolución"/>
    <s v="Región de Valparaíso comunas violencia mujer violación denuncias"/>
    <s v="https://analytics.zoho.com/open-view/2395394000008231335?ZOHO_CRITERIA=%22Localiza%20CL%22.%22Codreg%22%3D5"/>
    <x v="22"/>
    <s v="#1774B9"/>
  </r>
  <r>
    <s v="0041"/>
    <n v="990"/>
    <s v="Agencia Información"/>
    <s v="Mujeres"/>
    <n v="6"/>
    <x v="2"/>
    <x v="2"/>
    <x v="1"/>
    <x v="6"/>
    <x v="2"/>
    <x v="2"/>
    <s v="Periodo 2008-2020"/>
    <s v="Número de Denuncias"/>
    <s v="Centro de Estudios y Análisis del Delito (CEAD) de la Subsecretaría de Prevención del Delito"/>
    <s v="Distribución comunal de denuncias por violación en la Región de O'Higgins en el Periodo 2008-2020"/>
    <m/>
    <s v="Gráfico de Evolución"/>
    <s v="Región de O'Higgins comunas violencia mujer violación denuncias"/>
    <s v="https://analytics.zoho.com/open-view/2395394000008231335?ZOHO_CRITERIA=%22Localiza%20CL%22.%22Codreg%22%3D6"/>
    <x v="23"/>
    <s v="#1774B9"/>
  </r>
  <r>
    <s v="0042"/>
    <n v="990"/>
    <s v="Agencia Información"/>
    <s v="Mujeres"/>
    <n v="7"/>
    <x v="2"/>
    <x v="2"/>
    <x v="1"/>
    <x v="7"/>
    <x v="2"/>
    <x v="2"/>
    <s v="Periodo 2008-2020"/>
    <s v="Número de Denuncias"/>
    <s v="Centro de Estudios y Análisis del Delito (CEAD) de la Subsecretaría de Prevención del Delito"/>
    <s v="Distribución comunal de denuncias por violación en la Región de Maule en el Periodo 2008-2020"/>
    <m/>
    <s v="Gráfico de Evolución"/>
    <s v="Región de Maule comunas violencia mujer violación denuncias"/>
    <s v="https://analytics.zoho.com/open-view/2395394000008231335?ZOHO_CRITERIA=%22Localiza%20CL%22.%22Codreg%22%3D7"/>
    <x v="24"/>
    <s v="#1774B9"/>
  </r>
  <r>
    <s v="0043"/>
    <n v="990"/>
    <s v="Agencia Información"/>
    <s v="Mujeres"/>
    <n v="8"/>
    <x v="2"/>
    <x v="2"/>
    <x v="1"/>
    <x v="8"/>
    <x v="2"/>
    <x v="2"/>
    <s v="Periodo 2008-2020"/>
    <s v="Número de Denuncias"/>
    <s v="Centro de Estudios y Análisis del Delito (CEAD) de la Subsecretaría de Prevención del Delito"/>
    <s v="Distribución comunal de denuncias por violación en la Región del Biobío en el Periodo 2008-2020"/>
    <m/>
    <s v="Gráfico de Evolución"/>
    <s v="Región del Biobío comunas violencia mujer violación denuncias"/>
    <s v="https://analytics.zoho.com/open-view/2395394000008231335?ZOHO_CRITERIA=%22Localiza%20CL%22.%22Codreg%22%3D8"/>
    <x v="25"/>
    <s v="#1774B9"/>
  </r>
  <r>
    <s v="0044"/>
    <n v="990"/>
    <s v="Agencia Información"/>
    <s v="Mujeres"/>
    <n v="9"/>
    <x v="2"/>
    <x v="2"/>
    <x v="1"/>
    <x v="9"/>
    <x v="2"/>
    <x v="2"/>
    <s v="Periodo 2008-2020"/>
    <s v="Número de Denuncias"/>
    <s v="Centro de Estudios y Análisis del Delito (CEAD) de la Subsecretaría de Prevención del Delito"/>
    <s v="Distribución comunal de denuncias por violación en la Región de La Araucanía en el Periodo 2008-2020"/>
    <m/>
    <s v="Gráfico de Evolución"/>
    <s v="Región de La Araucanía comunas violencia mujer violación denuncias"/>
    <s v="https://analytics.zoho.com/open-view/2395394000008231335?ZOHO_CRITERIA=%22Localiza%20CL%22.%22Codreg%22%3D9"/>
    <x v="26"/>
    <s v="#1774B9"/>
  </r>
  <r>
    <s v="0045"/>
    <n v="990"/>
    <s v="Agencia Información"/>
    <s v="Mujeres"/>
    <n v="10"/>
    <x v="2"/>
    <x v="2"/>
    <x v="1"/>
    <x v="10"/>
    <x v="2"/>
    <x v="2"/>
    <s v="Periodo 2008-2020"/>
    <s v="Número de Denuncias"/>
    <s v="Centro de Estudios y Análisis del Delito (CEAD) de la Subsecretaría de Prevención del Delito"/>
    <s v="Distribución comunal de denuncias por violación en la Región de Los Lagos en el Periodo 2008-2020"/>
    <m/>
    <s v="Gráfico de Evolución"/>
    <s v="Región de Los Lagos comunas violencia mujer violación denuncias"/>
    <s v="https://analytics.zoho.com/open-view/2395394000008231335?ZOHO_CRITERIA=%22Localiza%20CL%22.%22Codreg%22%3D10"/>
    <x v="27"/>
    <s v="#1774B9"/>
  </r>
  <r>
    <s v="0046"/>
    <n v="990"/>
    <s v="Agencia Información"/>
    <s v="Mujeres"/>
    <n v="11"/>
    <x v="2"/>
    <x v="2"/>
    <x v="1"/>
    <x v="11"/>
    <x v="2"/>
    <x v="2"/>
    <s v="Periodo 2008-2020"/>
    <s v="Número de Denuncias"/>
    <s v="Centro de Estudios y Análisis del Delito (CEAD) de la Subsecretaría de Prevención del Delito"/>
    <s v="Distribución comunal de denuncias por violación en la Región de Aysén en el Periodo 2008-2020"/>
    <m/>
    <s v="Gráfico de Evolución"/>
    <s v="Región de Aysén comunas violencia mujer violación denuncias"/>
    <s v="https://analytics.zoho.com/open-view/2395394000008231335?ZOHO_CRITERIA=%22Localiza%20CL%22.%22Codreg%22%3D11"/>
    <x v="28"/>
    <s v="#1774B9"/>
  </r>
  <r>
    <s v="0047"/>
    <n v="990"/>
    <s v="Agencia Información"/>
    <s v="Mujeres"/>
    <n v="12"/>
    <x v="2"/>
    <x v="2"/>
    <x v="1"/>
    <x v="12"/>
    <x v="2"/>
    <x v="2"/>
    <s v="Periodo 2008-2020"/>
    <s v="Número de Denuncias"/>
    <s v="Centro de Estudios y Análisis del Delito (CEAD) de la Subsecretaría de Prevención del Delito"/>
    <s v="Distribución comunal de denuncias por violación en la Región de Magallanes en el Periodo 2008-2020"/>
    <m/>
    <s v="Gráfico de Evolución"/>
    <s v="Región de Magallanes comunas violencia mujer violación denuncias"/>
    <s v="https://analytics.zoho.com/open-view/2395394000008231335?ZOHO_CRITERIA=%22Localiza%20CL%22.%22Codreg%22%3D12"/>
    <x v="29"/>
    <s v="#1774B9"/>
  </r>
  <r>
    <s v="0048"/>
    <n v="990"/>
    <s v="Agencia Información"/>
    <s v="Mujeres"/>
    <n v="13"/>
    <x v="2"/>
    <x v="2"/>
    <x v="1"/>
    <x v="13"/>
    <x v="2"/>
    <x v="2"/>
    <s v="Periodo 2008-2020"/>
    <s v="Número de Denuncias"/>
    <s v="Centro de Estudios y Análisis del Delito (CEAD) de la Subsecretaría de Prevención del Delito"/>
    <s v="Distribución comunal de denuncias por violación en la Región Metropolitana en el Periodo 2008-2020"/>
    <s v="Las comunas más pobladas de la región Metropolitana son las que presentan mayores frecuencias de denuncias por violación el año 2020. Puente Alto, La Florida, San Bernardo, Maipú y Santiago muestran las mayores cifras de denuncias."/>
    <s v="Gráfico de Evolución"/>
    <s v="Región Metropolitana comunas violencia mujer violación denuncias"/>
    <s v="https://analytics.zoho.com/open-view/2395394000008231335?ZOHO_CRITERIA=%22Localiza%20CL%22.%22Codreg%22%3D13"/>
    <x v="30"/>
    <s v="#1774B9"/>
  </r>
  <r>
    <s v="0049"/>
    <n v="990"/>
    <s v="Agencia Información"/>
    <s v="Mujeres"/>
    <n v="14"/>
    <x v="2"/>
    <x v="2"/>
    <x v="1"/>
    <x v="14"/>
    <x v="2"/>
    <x v="2"/>
    <s v="Periodo 2008-2020"/>
    <s v="Número de Denuncias"/>
    <s v="Centro de Estudios y Análisis del Delito (CEAD) de la Subsecretaría de Prevención del Delito"/>
    <s v="Distribución comunal de denuncias por violación en la Región de Los Ríos en el Periodo 2008-2020"/>
    <m/>
    <s v="Gráfico de Evolución"/>
    <s v="Región de Los Ríos comunas violencia mujer violación denuncias"/>
    <s v="https://analytics.zoho.com/open-view/2395394000008231335?ZOHO_CRITERIA=%22Localiza%20CL%22.%22Codreg%22%3D14"/>
    <x v="31"/>
    <s v="#1774B9"/>
  </r>
  <r>
    <s v="0050"/>
    <n v="990"/>
    <s v="Agencia Información"/>
    <s v="Mujeres"/>
    <n v="15"/>
    <x v="2"/>
    <x v="2"/>
    <x v="1"/>
    <x v="15"/>
    <x v="2"/>
    <x v="2"/>
    <s v="Periodo 2008-2020"/>
    <s v="Número de Denuncias"/>
    <s v="Centro de Estudios y Análisis del Delito (CEAD) de la Subsecretaría de Prevención del Delito"/>
    <s v="Distribución comunal de denuncias por violación en la Región de Arica y Parinacota en el Periodo 2008-2020"/>
    <m/>
    <s v="Gráfico de Evolución"/>
    <s v="Región de Arica y Parinacota comunas violencia mujer violación denuncias"/>
    <s v="https://analytics.zoho.com/open-view/2395394000008231335?ZOHO_CRITERIA=%22Localiza%20CL%22.%22Codreg%22%3D15"/>
    <x v="32"/>
    <s v="#1774B9"/>
  </r>
  <r>
    <s v="0051"/>
    <n v="990"/>
    <s v="Agencia Información"/>
    <s v="Mujeres"/>
    <n v="16"/>
    <x v="2"/>
    <x v="2"/>
    <x v="1"/>
    <x v="16"/>
    <x v="2"/>
    <x v="2"/>
    <s v="Periodo 2008-2020"/>
    <s v="Número de Denuncias"/>
    <s v="Centro de Estudios y Análisis del Delito (CEAD) de la Subsecretaría de Prevención del Delito"/>
    <s v="Distribución comunal de denuncias por violación en la Región de Ñuble en el Periodo 2008-2020"/>
    <m/>
    <s v="Gráfico de Evolución"/>
    <s v="Región de Ñuble comunas violencia mujer violación denuncias"/>
    <s v="https://analytics.zoho.com/open-view/2395394000008231335?ZOHO_CRITERIA=%22Localiza%20CL%22.%22Codreg%22%3D16"/>
    <x v="33"/>
    <s v="#1774B9"/>
  </r>
  <r>
    <s v="0052"/>
    <n v="990"/>
    <s v="Agencia Información"/>
    <s v="Socioeconómico"/>
    <n v="0"/>
    <x v="3"/>
    <x v="0"/>
    <x v="0"/>
    <x v="0"/>
    <x v="3"/>
    <x v="3"/>
    <s v="Periodo 2006-2017"/>
    <s v="CLP/mes"/>
    <s v="Encuestas CASEN"/>
    <s v="Evolución del Ingreso Promedio Mensual a Escala Nacional (CLP/mes)"/>
    <m/>
    <s v="Gráfico de Evolución"/>
    <s v="Chile CASEN ingresos promedio mensual nacional"/>
    <s v="https://analytics.zoho.com/open-view/2395394000008231718"/>
    <x v="34"/>
    <s v="#1774B9"/>
  </r>
  <r>
    <s v="0053"/>
    <n v="990"/>
    <s v="Agencia Información"/>
    <s v="Socioeconómico"/>
    <n v="0"/>
    <x v="4"/>
    <x v="0"/>
    <x v="0"/>
    <x v="0"/>
    <x v="0"/>
    <x v="0"/>
    <s v="Periodo 2006-2017"/>
    <s v="CLP/mes"/>
    <s v="Encuestas CASEN"/>
    <s v="Evolución de Ingreso Promedio Mensual por Etnia en Chile para el Periodo 2006-2017"/>
    <s v="La población de la etnia Mapuche se distribuye en las 16 regiones del país en distintas proporciones. Las regiones donde las personas de este grupo étnico logran mayores ingresos mensuales, en promedio, son la de Arica y Parinacota y Magallanes."/>
    <s v="Gráfico de Evolución"/>
    <s v="Chile CASEN ingresos promedio mensual etnia región mapuche alacalufe atacameño aymara coya diaguita pascuense quechua"/>
    <s v="https://analytics.zoho.com/open-view/2395394000008231525"/>
    <x v="17"/>
    <s v="#1774B9"/>
  </r>
  <r>
    <s v="0054"/>
    <n v="990"/>
    <s v="Agencia Información"/>
    <s v="Socioeconómico"/>
    <n v="1"/>
    <x v="4"/>
    <x v="0"/>
    <x v="1"/>
    <x v="1"/>
    <x v="0"/>
    <x v="0"/>
    <s v="Periodo 2006-2017"/>
    <s v="CLP/mes"/>
    <s v="Encuestas CASEN"/>
    <s v="Evolución de Ingreso Promedio Mensual por Etnia en la Región de Tarapacá para el Periodo 2006-2017"/>
    <m/>
    <s v="Gráfico de Evolución"/>
    <s v="Región de Tarapacá CASEN ingresos promedio mensual etnia región mapuche alacalufe atacameño aymara coya diaguita pascuense quechua"/>
    <s v="https://analytics.zoho.com/open-view/2395394000008231605?ZOHO_CRITERIA=%22Localiza%20Chile%22.%22Codreg%22%3D1"/>
    <x v="18"/>
    <s v="#1774B9"/>
  </r>
  <r>
    <s v="0055"/>
    <n v="990"/>
    <s v="Agencia Información"/>
    <s v="Socioeconómico"/>
    <n v="2"/>
    <x v="4"/>
    <x v="0"/>
    <x v="1"/>
    <x v="2"/>
    <x v="0"/>
    <x v="0"/>
    <s v="Periodo 2006-2017"/>
    <s v="CLP/mes"/>
    <s v="Encuestas CASEN"/>
    <s v="Evolución de Ingreso Promedio Mensual por Etnia en la Región de Antofagasta para el Periodo 2006-2017"/>
    <m/>
    <s v="Gráfico de Evolución"/>
    <s v="Región de Antofagasta CASEN ingresos promedio mensual etnia región mapuche alacalufe atacameño aymara coya diaguita pascuense quechua"/>
    <s v="https://analytics.zoho.com/open-view/2395394000008231605?ZOHO_CRITERIA=%22Localiza%20Chile%22.%22Codreg%22%3D2"/>
    <x v="19"/>
    <s v="#1774B9"/>
  </r>
  <r>
    <s v="0056"/>
    <n v="990"/>
    <s v="Agencia Información"/>
    <s v="Socioeconómico"/>
    <n v="3"/>
    <x v="4"/>
    <x v="0"/>
    <x v="1"/>
    <x v="3"/>
    <x v="0"/>
    <x v="0"/>
    <s v="Periodo 2006-2017"/>
    <s v="CLP/mes"/>
    <s v="Encuestas CASEN"/>
    <s v="Evolución de Ingreso Promedio Mensual por Etnia en la Región de Atacama para el Periodo 2006-2017"/>
    <m/>
    <s v="Gráfico de Evolución"/>
    <s v="Región de Atacama CASEN ingresos promedio mensual etnia región mapuche alacalufe atacameño aymara coya diaguita pascuense quechua"/>
    <s v="https://analytics.zoho.com/open-view/2395394000008231605?ZOHO_CRITERIA=%22Localiza%20Chile%22.%22Codreg%22%3D3"/>
    <x v="20"/>
    <s v="#1774B9"/>
  </r>
  <r>
    <s v="0057"/>
    <n v="990"/>
    <s v="Agencia Información"/>
    <s v="Socioeconómico"/>
    <n v="4"/>
    <x v="4"/>
    <x v="0"/>
    <x v="1"/>
    <x v="4"/>
    <x v="0"/>
    <x v="0"/>
    <s v="Periodo 2006-2017"/>
    <s v="CLP/mes"/>
    <s v="Encuestas CASEN"/>
    <s v="Evolución de Ingreso Promedio Mensual por Etnia en la Región de Coquimbo para el Periodo 2006-2017"/>
    <m/>
    <s v="Gráfico de Evolución"/>
    <s v="Región de Coquimbo CASEN ingresos promedio mensual etnia región mapuche alacalufe atacameño aymara coya diaguita pascuense quechua"/>
    <s v="https://analytics.zoho.com/open-view/2395394000008231605?ZOHO_CRITERIA=%22Localiza%20Chile%22.%22Codreg%22%3D4"/>
    <x v="21"/>
    <s v="#1774B9"/>
  </r>
  <r>
    <s v="0058"/>
    <n v="990"/>
    <s v="Agencia Información"/>
    <s v="Socioeconómico"/>
    <n v="5"/>
    <x v="4"/>
    <x v="0"/>
    <x v="1"/>
    <x v="5"/>
    <x v="0"/>
    <x v="0"/>
    <s v="Periodo 2006-2017"/>
    <s v="CLP/mes"/>
    <s v="Encuestas CASEN"/>
    <s v="Evolución de Ingreso Promedio Mensual por Etnia en la Región de Valparaíso para el Periodo 2006-2017"/>
    <m/>
    <s v="Gráfico de Evolución"/>
    <s v="Región de Valparaíso CASEN ingresos promedio mensual etnia región mapuche alacalufe atacameño aymara coya diaguita pascuense quechua"/>
    <s v="https://analytics.zoho.com/open-view/2395394000008231605?ZOHO_CRITERIA=%22Localiza%20Chile%22.%22Codreg%22%3D5"/>
    <x v="22"/>
    <s v="#1774B9"/>
  </r>
  <r>
    <s v="0059"/>
    <n v="990"/>
    <s v="Agencia Información"/>
    <s v="Socioeconómico"/>
    <n v="6"/>
    <x v="4"/>
    <x v="0"/>
    <x v="1"/>
    <x v="6"/>
    <x v="0"/>
    <x v="0"/>
    <s v="Periodo 2006-2017"/>
    <s v="CLP/mes"/>
    <s v="Encuestas CASEN"/>
    <s v="Evolución de Ingreso Promedio Mensual por Etnia en la Región de O'Higgins para el Periodo 2006-2017"/>
    <m/>
    <s v="Gráfico de Evolución"/>
    <s v="Región de O'Higgins CASEN ingresos promedio mensual etnia región mapuche alacalufe atacameño aymara coya diaguita pascuense quechua"/>
    <s v="https://analytics.zoho.com/open-view/2395394000008231605?ZOHO_CRITERIA=%22Localiza%20Chile%22.%22Codreg%22%3D6"/>
    <x v="23"/>
    <s v="#1774B9"/>
  </r>
  <r>
    <s v="0060"/>
    <n v="990"/>
    <s v="Agencia Información"/>
    <s v="Socioeconómico"/>
    <n v="7"/>
    <x v="4"/>
    <x v="0"/>
    <x v="1"/>
    <x v="7"/>
    <x v="0"/>
    <x v="0"/>
    <s v="Periodo 2006-2017"/>
    <s v="CLP/mes"/>
    <s v="Encuestas CASEN"/>
    <s v="Evolución de Ingreso Promedio Mensual por Etnia en la Región de Maule para el Periodo 2006-2017"/>
    <m/>
    <s v="Gráfico de Evolución"/>
    <s v="Región de Maule CASEN ingresos promedio mensual etnia región mapuche alacalufe atacameño aymara coya diaguita pascuense quechua"/>
    <s v="https://analytics.zoho.com/open-view/2395394000008231605?ZOHO_CRITERIA=%22Localiza%20Chile%22.%22Codreg%22%3D7"/>
    <x v="24"/>
    <s v="#1774B9"/>
  </r>
  <r>
    <s v="0061"/>
    <n v="990"/>
    <s v="Agencia Información"/>
    <s v="Socioeconómico"/>
    <n v="8"/>
    <x v="4"/>
    <x v="0"/>
    <x v="1"/>
    <x v="8"/>
    <x v="0"/>
    <x v="0"/>
    <s v="Periodo 2006-2017"/>
    <s v="CLP/mes"/>
    <s v="Encuestas CASEN"/>
    <s v="Evolución de Ingreso Promedio Mensual por Etnia en la Región del Biobío para el Periodo 2006-2017"/>
    <m/>
    <s v="Gráfico de Evolución"/>
    <s v="Región del Biobío CASEN ingresos promedio mensual etnia región mapuche alacalufe atacameño aymara coya diaguita pascuense quechua"/>
    <s v="https://analytics.zoho.com/open-view/2395394000008231605?ZOHO_CRITERIA=%22Localiza%20Chile%22.%22Codreg%22%3D8"/>
    <x v="25"/>
    <s v="#1774B9"/>
  </r>
  <r>
    <s v="0062"/>
    <n v="990"/>
    <s v="Agencia Información"/>
    <s v="Socioeconómico"/>
    <n v="9"/>
    <x v="4"/>
    <x v="0"/>
    <x v="1"/>
    <x v="9"/>
    <x v="0"/>
    <x v="0"/>
    <s v="Periodo 2006-2017"/>
    <s v="CLP/mes"/>
    <s v="Encuestas CASEN"/>
    <s v="Evolución de Ingreso Promedio Mensual por Etnia en la Región de La Araucanía para el Periodo 2006-2017"/>
    <m/>
    <s v="Gráfico de Evolución"/>
    <s v="Región de La Araucanía CASEN ingresos promedio mensual etnia región mapuche alacalufe atacameño aymara coya diaguita pascuense quechua"/>
    <s v="https://analytics.zoho.com/open-view/2395394000008231605?ZOHO_CRITERIA=%22Localiza%20Chile%22.%22Codreg%22%3D9"/>
    <x v="26"/>
    <s v="#1774B9"/>
  </r>
  <r>
    <s v="0063"/>
    <n v="990"/>
    <s v="Agencia Información"/>
    <s v="Socioeconómico"/>
    <n v="10"/>
    <x v="4"/>
    <x v="0"/>
    <x v="1"/>
    <x v="10"/>
    <x v="0"/>
    <x v="0"/>
    <s v="Periodo 2006-2017"/>
    <s v="CLP/mes"/>
    <s v="Encuestas CASEN"/>
    <s v="Evolución de Ingreso Promedio Mensual por Etnia en la Región de Los Lagos para el Periodo 2006-2017"/>
    <m/>
    <s v="Gráfico de Evolución"/>
    <s v="Región de Los Lagos CASEN ingresos promedio mensual etnia región mapuche alacalufe atacameño aymara coya diaguita pascuense quechua"/>
    <s v="https://analytics.zoho.com/open-view/2395394000008231605?ZOHO_CRITERIA=%22Localiza%20Chile%22.%22Codreg%22%3D10"/>
    <x v="27"/>
    <s v="#1774B9"/>
  </r>
  <r>
    <s v="0064"/>
    <n v="990"/>
    <s v="Agencia Información"/>
    <s v="Socioeconómico"/>
    <n v="11"/>
    <x v="4"/>
    <x v="0"/>
    <x v="1"/>
    <x v="11"/>
    <x v="0"/>
    <x v="0"/>
    <s v="Periodo 2006-2017"/>
    <s v="CLP/mes"/>
    <s v="Encuestas CASEN"/>
    <s v="Evolución de Ingreso Promedio Mensual por Etnia en la Región de Aysén para el Periodo 2006-2017"/>
    <m/>
    <s v="Gráfico de Evolución"/>
    <s v="Región de Aysén CASEN ingresos promedio mensual etnia región mapuche alacalufe atacameño aymara coya diaguita pascuense quechua"/>
    <s v="https://analytics.zoho.com/open-view/2395394000008231605?ZOHO_CRITERIA=%22Localiza%20Chile%22.%22Codreg%22%3D11"/>
    <x v="28"/>
    <s v="#1774B9"/>
  </r>
  <r>
    <s v="0065"/>
    <n v="990"/>
    <s v="Agencia Información"/>
    <s v="Socioeconómico"/>
    <n v="12"/>
    <x v="4"/>
    <x v="0"/>
    <x v="1"/>
    <x v="12"/>
    <x v="0"/>
    <x v="0"/>
    <s v="Periodo 2006-2017"/>
    <s v="CLP/mes"/>
    <s v="Encuestas CASEN"/>
    <s v="Evolución de Ingreso Promedio Mensual por Etnia en la Región de Magallanes para el Periodo 2006-2017"/>
    <m/>
    <s v="Gráfico de Evolución"/>
    <s v="Región de Magallanes CASEN ingresos promedio mensual etnia región mapuche alacalufe atacameño aymara coya diaguita pascuense quechua"/>
    <s v="https://analytics.zoho.com/open-view/2395394000008231605?ZOHO_CRITERIA=%22Localiza%20Chile%22.%22Codreg%22%3D12"/>
    <x v="29"/>
    <s v="#1774B9"/>
  </r>
  <r>
    <s v="0066"/>
    <n v="990"/>
    <s v="Agencia Información"/>
    <s v="Socioeconómico"/>
    <n v="13"/>
    <x v="4"/>
    <x v="0"/>
    <x v="1"/>
    <x v="13"/>
    <x v="0"/>
    <x v="0"/>
    <s v="Periodo 2006-2017"/>
    <s v="CLP/mes"/>
    <s v="Encuestas CASEN"/>
    <s v="Evolución de Ingreso Promedio Mensual por Etnia en la Región Metropolitana para el Periodo 2006-2017"/>
    <m/>
    <s v="Gráfico de Evolución"/>
    <s v="Región Metropolitana CASEN ingresos promedio mensual etnia región mapuche alacalufe atacameño aymara coya diaguita pascuense quechua"/>
    <s v="https://analytics.zoho.com/open-view/2395394000008231605?ZOHO_CRITERIA=%22Localiza%20Chile%22.%22Codreg%22%3D13"/>
    <x v="30"/>
    <s v="#1774B9"/>
  </r>
  <r>
    <s v="0067"/>
    <n v="990"/>
    <s v="Agencia Información"/>
    <s v="Socioeconómico"/>
    <n v="14"/>
    <x v="4"/>
    <x v="0"/>
    <x v="1"/>
    <x v="14"/>
    <x v="0"/>
    <x v="0"/>
    <s v="Periodo 2006-2017"/>
    <s v="CLP/mes"/>
    <s v="Encuestas CASEN"/>
    <s v="Evolución de Ingreso Promedio Mensual por Etnia en la Región de Los Ríos para el Periodo 2006-2017"/>
    <m/>
    <s v="Gráfico de Evolución"/>
    <s v="Región de Los Ríos CASEN ingresos promedio mensual etnia región mapuche alacalufe atacameño aymara coya diaguita pascuense quechua"/>
    <s v="https://analytics.zoho.com/open-view/2395394000008231605?ZOHO_CRITERIA=%22Localiza%20Chile%22.%22Codreg%22%3D14"/>
    <x v="31"/>
    <s v="#1774B9"/>
  </r>
  <r>
    <s v="0068"/>
    <n v="990"/>
    <s v="Agencia Información"/>
    <s v="Socioeconómico"/>
    <n v="15"/>
    <x v="4"/>
    <x v="0"/>
    <x v="1"/>
    <x v="15"/>
    <x v="0"/>
    <x v="0"/>
    <s v="Periodo 2006-2017"/>
    <s v="CLP/mes"/>
    <s v="Encuestas CASEN"/>
    <s v="Evolución de Ingreso Promedio Mensual por Etnia en la Región de Arica y Parinacota para el Periodo 2006-2017"/>
    <m/>
    <s v="Gráfico de Evolución"/>
    <s v="Región de Arica y Parinacota CASEN ingresos promedio mensual etnia región mapuche alacalufe atacameño aymara coya diaguita pascuense quechua"/>
    <s v="https://analytics.zoho.com/open-view/2395394000008231605?ZOHO_CRITERIA=%22Localiza%20Chile%22.%22Codreg%22%3D15"/>
    <x v="32"/>
    <s v="#1774B9"/>
  </r>
  <r>
    <s v="0069"/>
    <n v="990"/>
    <s v="Agencia Información"/>
    <s v="Socioeconómico"/>
    <n v="16"/>
    <x v="4"/>
    <x v="0"/>
    <x v="1"/>
    <x v="16"/>
    <x v="0"/>
    <x v="0"/>
    <s v="Periodo 2006-2017"/>
    <s v="CLP/mes"/>
    <s v="Encuestas CASEN"/>
    <s v="Evolución de Ingreso Promedio Mensual por Etnia en la Región de Ñuble para el Periodo 2006-2017"/>
    <m/>
    <s v="Gráfico de Evolución"/>
    <s v="Región de Ñuble CASEN ingresos promedio mensual etnia región mapuche alacalufe atacameño aymara coya diaguita pascuense quechua"/>
    <s v="https://analytics.zoho.com/open-view/2395394000008231605?ZOHO_CRITERIA=%22Localiza%20Chile%22.%22Codreg%22%3D16"/>
    <x v="33"/>
    <s v="#1774B9"/>
  </r>
  <r>
    <s v="0070"/>
    <n v="990"/>
    <s v="Agencia Información"/>
    <s v="Gobiernos locales"/>
    <n v="0"/>
    <x v="5"/>
    <x v="3"/>
    <x v="0"/>
    <x v="0"/>
    <x v="0"/>
    <x v="4"/>
    <s v="Periodo 2019-2020"/>
    <s v="Número de Alumnos"/>
    <s v="Sistema Nacional de Información Municipal"/>
    <s v="Ranking Comunal 2020: Número de Alumnos por Docente en Aula, variación Periodo 2019-2020"/>
    <s v="Ranking de Comunas: Número de Alumnos por Docente en Aula del año 2019 y 2020 y su variación porcentual para los Colegios Municipales"/>
    <s v="Ranking"/>
    <s v="Chile educación municipal alumnos calidad educación colegios municipales docentes aula"/>
    <s v="https://analytics.zoho.com/open-view/2395394000007756457"/>
    <x v="17"/>
    <s v="#1774B9"/>
  </r>
  <r>
    <s v="0071"/>
    <n v="990"/>
    <s v="Agencia Información"/>
    <s v="Gobiernos locales"/>
    <n v="1"/>
    <x v="5"/>
    <x v="3"/>
    <x v="1"/>
    <x v="1"/>
    <x v="1"/>
    <x v="4"/>
    <s v="Periodo 2019-2020"/>
    <s v="Número de Alumnos"/>
    <s v="Sistema Nacional de Información Municipal"/>
    <s v="Ranking Comunal Región de Tarapacá 2020: Número de Alumnos por Docente en Aula, variación Periodo 2019-2020"/>
    <m/>
    <s v="Ranking"/>
    <s v="Región de Tarapacá educación municipal alumnos calidad educación colegios municipales docentes aula"/>
    <s v="https://analytics.zoho.com/open-view/2395394000008643713?ZOHO_CRITERIA=%22Localiza%20CL%22.%22Codreg%22%3D1"/>
    <x v="18"/>
    <s v="#1774B9"/>
  </r>
  <r>
    <s v="0072"/>
    <n v="990"/>
    <s v="Agencia Información"/>
    <s v="Gobiernos locales"/>
    <n v="2"/>
    <x v="5"/>
    <x v="3"/>
    <x v="1"/>
    <x v="2"/>
    <x v="1"/>
    <x v="4"/>
    <s v="Periodo 2019-2020"/>
    <s v="Número de Alumnos"/>
    <s v="Sistema Nacional de Información Municipal"/>
    <s v="Ranking Comunal Región de Antofagasta 2020: Número de Alumnos por Docente en Aula, variación Periodo 2019-2020"/>
    <m/>
    <s v="Ranking"/>
    <s v="Región de Antofagasta educación municipal alumnos calidad educación colegios municipales docentes aula"/>
    <s v="https://analytics.zoho.com/open-view/2395394000008643713?ZOHO_CRITERIA=%22Localiza%20CL%22.%22Codreg%22%3D2"/>
    <x v="19"/>
    <s v="#1774B9"/>
  </r>
  <r>
    <s v="0073"/>
    <n v="990"/>
    <s v="Agencia Información"/>
    <s v="Gobiernos locales"/>
    <n v="3"/>
    <x v="5"/>
    <x v="3"/>
    <x v="1"/>
    <x v="3"/>
    <x v="1"/>
    <x v="4"/>
    <s v="Periodo 2019-2020"/>
    <s v="Número de Alumnos"/>
    <s v="Sistema Nacional de Información Municipal"/>
    <s v="Ranking Comunal Región de Atacama 2020: Número de Alumnos por Docente en Aula, variación Periodo 2019-2020"/>
    <m/>
    <s v="Ranking"/>
    <s v="Región de Atacama educación municipal alumnos calidad educación colegios municipales docentes aula"/>
    <s v="https://analytics.zoho.com/open-view/2395394000008643713?ZOHO_CRITERIA=%22Localiza%20CL%22.%22Codreg%22%3D3"/>
    <x v="20"/>
    <s v="#1774B9"/>
  </r>
  <r>
    <s v="0074"/>
    <n v="990"/>
    <s v="Agencia Información"/>
    <s v="Gobiernos locales"/>
    <n v="4"/>
    <x v="5"/>
    <x v="3"/>
    <x v="1"/>
    <x v="4"/>
    <x v="1"/>
    <x v="4"/>
    <s v="Periodo 2019-2020"/>
    <s v="Número de Alumnos"/>
    <s v="Sistema Nacional de Información Municipal"/>
    <s v="Ranking Comunal Región de Coquimbo 2020: Número de Alumnos por Docente en Aula, variación Periodo 2019-2020"/>
    <m/>
    <s v="Ranking"/>
    <s v="Región de Coquimbo educación municipal alumnos calidad educación colegios municipales docentes aula"/>
    <s v="https://analytics.zoho.com/open-view/2395394000008643713?ZOHO_CRITERIA=%22Localiza%20CL%22.%22Codreg%22%3D4"/>
    <x v="21"/>
    <s v="#1774B9"/>
  </r>
  <r>
    <s v="0075"/>
    <n v="990"/>
    <s v="Agencia Información"/>
    <s v="Gobiernos locales"/>
    <n v="5"/>
    <x v="5"/>
    <x v="3"/>
    <x v="1"/>
    <x v="5"/>
    <x v="1"/>
    <x v="4"/>
    <s v="Periodo 2019-2020"/>
    <s v="Número de Alumnos"/>
    <s v="Sistema Nacional de Información Municipal"/>
    <s v="Ranking Comunal Región de Valparaíso 2020: Número de Alumnos por Docente en Aula, variación Periodo 2019-2020"/>
    <m/>
    <s v="Ranking"/>
    <s v="Región de Valparaíso educación municipal alumnos calidad educación colegios municipales docentes aula"/>
    <s v="https://analytics.zoho.com/open-view/2395394000008643713?ZOHO_CRITERIA=%22Localiza%20CL%22.%22Codreg%22%3D5"/>
    <x v="22"/>
    <s v="#1774B9"/>
  </r>
  <r>
    <s v="0076"/>
    <n v="990"/>
    <s v="Agencia Información"/>
    <s v="Gobiernos locales"/>
    <n v="6"/>
    <x v="5"/>
    <x v="3"/>
    <x v="1"/>
    <x v="6"/>
    <x v="1"/>
    <x v="4"/>
    <s v="Periodo 2019-2020"/>
    <s v="Número de Alumnos"/>
    <s v="Sistema Nacional de Información Municipal"/>
    <s v="Ranking Comunal Región de O'Higgins 2020: Número de Alumnos por Docente en Aula, variación Periodo 2019-2020"/>
    <m/>
    <s v="Ranking"/>
    <s v="Región de O'Higgins educación municipal alumnos calidad educación colegios municipales docentes aula"/>
    <s v="https://analytics.zoho.com/open-view/2395394000008643713?ZOHO_CRITERIA=%22Localiza%20CL%22.%22Codreg%22%3D6"/>
    <x v="23"/>
    <s v="#1774B9"/>
  </r>
  <r>
    <s v="0077"/>
    <n v="990"/>
    <s v="Agencia Información"/>
    <s v="Gobiernos locales"/>
    <n v="7"/>
    <x v="5"/>
    <x v="3"/>
    <x v="1"/>
    <x v="7"/>
    <x v="1"/>
    <x v="4"/>
    <s v="Periodo 2019-2020"/>
    <s v="Número de Alumnos"/>
    <s v="Sistema Nacional de Información Municipal"/>
    <s v="Ranking Comunal Región de Maule 2020: Número de Alumnos por Docente en Aula, variación Periodo 2019-2020"/>
    <m/>
    <s v="Ranking"/>
    <s v="Región de Maule educación municipal alumnos calidad educación colegios municipales docentes aula"/>
    <s v="https://analytics.zoho.com/open-view/2395394000008643713?ZOHO_CRITERIA=%22Localiza%20CL%22.%22Codreg%22%3D7"/>
    <x v="24"/>
    <s v="#1774B9"/>
  </r>
  <r>
    <s v="0078"/>
    <n v="990"/>
    <s v="Agencia Información"/>
    <s v="Gobiernos locales"/>
    <n v="8"/>
    <x v="5"/>
    <x v="3"/>
    <x v="1"/>
    <x v="8"/>
    <x v="1"/>
    <x v="4"/>
    <s v="Periodo 2019-2020"/>
    <s v="Número de Alumnos"/>
    <s v="Sistema Nacional de Información Municipal"/>
    <s v="Ranking Comunal Región del Biobío 2020: Número de Alumnos por Docente en Aula, variación Periodo 2019-2020"/>
    <m/>
    <s v="Ranking"/>
    <s v="Región del Biobío educación municipal alumnos calidad educación colegios municipales docentes aula"/>
    <s v="https://analytics.zoho.com/open-view/2395394000008643713?ZOHO_CRITERIA=%22Localiza%20CL%22.%22Codreg%22%3D8"/>
    <x v="25"/>
    <s v="#1774B9"/>
  </r>
  <r>
    <s v="0079"/>
    <n v="990"/>
    <s v="Agencia Información"/>
    <s v="Gobiernos locales"/>
    <n v="9"/>
    <x v="5"/>
    <x v="3"/>
    <x v="1"/>
    <x v="9"/>
    <x v="1"/>
    <x v="4"/>
    <s v="Periodo 2019-2020"/>
    <s v="Número de Alumnos"/>
    <s v="Sistema Nacional de Información Municipal"/>
    <s v="Ranking Comunal Región de La Araucanía 2020: Número de Alumnos por Docente en Aula, variación Periodo 2019-2020"/>
    <m/>
    <s v="Ranking"/>
    <s v="Región de La Araucanía educación municipal alumnos calidad educación colegios municipales docentes aula"/>
    <s v="https://analytics.zoho.com/open-view/2395394000008643713?ZOHO_CRITERIA=%22Localiza%20CL%22.%22Codreg%22%3D9"/>
    <x v="26"/>
    <s v="#1774B9"/>
  </r>
  <r>
    <s v="0080"/>
    <n v="990"/>
    <s v="Agencia Información"/>
    <s v="Gobiernos locales"/>
    <n v="10"/>
    <x v="5"/>
    <x v="3"/>
    <x v="1"/>
    <x v="10"/>
    <x v="1"/>
    <x v="4"/>
    <s v="Periodo 2019-2020"/>
    <s v="Número de Alumnos"/>
    <s v="Sistema Nacional de Información Municipal"/>
    <s v="Ranking Comunal Región de Los Lagos 2020: Número de Alumnos por Docente en Aula, variación Periodo 2019-2020"/>
    <m/>
    <s v="Ranking"/>
    <s v="Región de Los Lagos educación municipal alumnos calidad educación colegios municipales docentes aula"/>
    <s v="https://analytics.zoho.com/open-view/2395394000008643713?ZOHO_CRITERIA=%22Localiza%20CL%22.%22Codreg%22%3D10"/>
    <x v="27"/>
    <s v="#1774B9"/>
  </r>
  <r>
    <s v="0081"/>
    <n v="990"/>
    <s v="Agencia Información"/>
    <s v="Gobiernos locales"/>
    <n v="11"/>
    <x v="5"/>
    <x v="3"/>
    <x v="1"/>
    <x v="11"/>
    <x v="1"/>
    <x v="4"/>
    <s v="Periodo 2019-2020"/>
    <s v="Número de Alumnos"/>
    <s v="Sistema Nacional de Información Municipal"/>
    <s v="Ranking Comunal Región de Aysén 2020: Número de Alumnos por Docente en Aula, variación Periodo 2019-2020"/>
    <m/>
    <s v="Ranking"/>
    <s v="Región de Aysén educación municipal alumnos calidad educación colegios municipales docentes aula"/>
    <s v="https://analytics.zoho.com/open-view/2395394000008643713?ZOHO_CRITERIA=%22Localiza%20CL%22.%22Codreg%22%3D11"/>
    <x v="28"/>
    <s v="#1774B9"/>
  </r>
  <r>
    <s v="0082"/>
    <n v="990"/>
    <s v="Agencia Información"/>
    <s v="Gobiernos locales"/>
    <n v="12"/>
    <x v="5"/>
    <x v="3"/>
    <x v="1"/>
    <x v="12"/>
    <x v="1"/>
    <x v="4"/>
    <s v="Periodo 2019-2020"/>
    <s v="Número de Alumnos"/>
    <s v="Sistema Nacional de Información Municipal"/>
    <s v="Ranking Comunal Región de Magallanes 2020: Número de Alumnos por Docente en Aula, variación Periodo 2019-2020"/>
    <m/>
    <s v="Ranking"/>
    <s v="Región de Magallanes educación municipal alumnos calidad educación colegios municipales docentes aula"/>
    <s v="https://analytics.zoho.com/open-view/2395394000008643713?ZOHO_CRITERIA=%22Localiza%20CL%22.%22Codreg%22%3D12"/>
    <x v="29"/>
    <s v="#1774B9"/>
  </r>
  <r>
    <s v="0083"/>
    <n v="990"/>
    <s v="Agencia Información"/>
    <s v="Gobiernos locales"/>
    <n v="13"/>
    <x v="5"/>
    <x v="3"/>
    <x v="1"/>
    <x v="13"/>
    <x v="1"/>
    <x v="4"/>
    <s v="Periodo 2019-2020"/>
    <s v="Número de Alumnos"/>
    <s v="Sistema Nacional de Información Municipal"/>
    <s v="Ranking Comunal Región Metropolitana 2020: Número de Alumnos por Docente en Aula, variación Periodo 2019-2020"/>
    <m/>
    <s v="Ranking"/>
    <s v="Región Metropolitana educación municipal alumnos calidad educación colegios municipales docentes aula"/>
    <s v="https://analytics.zoho.com/open-view/2395394000008643713?ZOHO_CRITERIA=%22Localiza%20CL%22.%22Codreg%22%3D13"/>
    <x v="30"/>
    <s v="#1774B9"/>
  </r>
  <r>
    <s v="0084"/>
    <n v="990"/>
    <s v="Agencia Información"/>
    <s v="Gobiernos locales"/>
    <n v="14"/>
    <x v="5"/>
    <x v="3"/>
    <x v="1"/>
    <x v="14"/>
    <x v="1"/>
    <x v="4"/>
    <s v="Periodo 2019-2020"/>
    <s v="Número de Alumnos"/>
    <s v="Sistema Nacional de Información Municipal"/>
    <s v="Ranking Comunal Región de Los Ríos 2020: Número de Alumnos por Docente en Aula, variación Periodo 2019-2020"/>
    <m/>
    <s v="Ranking"/>
    <s v="Región de Los Ríos educación municipal alumnos calidad educación colegios municipales docentes aula"/>
    <s v="https://analytics.zoho.com/open-view/2395394000008643713?ZOHO_CRITERIA=%22Localiza%20CL%22.%22Codreg%22%3D14"/>
    <x v="31"/>
    <s v="#1774B9"/>
  </r>
  <r>
    <s v="0085"/>
    <n v="990"/>
    <s v="Agencia Información"/>
    <s v="Gobiernos locales"/>
    <n v="15"/>
    <x v="5"/>
    <x v="3"/>
    <x v="1"/>
    <x v="15"/>
    <x v="1"/>
    <x v="4"/>
    <s v="Periodo 2019-2020"/>
    <s v="Número de Alumnos"/>
    <s v="Sistema Nacional de Información Municipal"/>
    <s v="Ranking Comunal Región de Arica y Parinacota 2020: Número de Alumnos por Docente en Aula, variación Periodo 2019-2020"/>
    <m/>
    <s v="Ranking"/>
    <s v="Región de Arica y Parinacota educación municipal alumnos calidad educación colegios municipales docentes aula"/>
    <s v="https://analytics.zoho.com/open-view/2395394000008643713?ZOHO_CRITERIA=%22Localiza%20CL%22.%22Codreg%22%3D15"/>
    <x v="32"/>
    <s v="#1774B9"/>
  </r>
  <r>
    <s v="0086"/>
    <n v="990"/>
    <s v="Agencia Información"/>
    <s v="Gobiernos locales"/>
    <n v="16"/>
    <x v="5"/>
    <x v="3"/>
    <x v="1"/>
    <x v="16"/>
    <x v="1"/>
    <x v="4"/>
    <s v="Periodo 2019-2020"/>
    <s v="Número de Alumnos"/>
    <s v="Sistema Nacional de Información Municipal"/>
    <s v="Ranking Comunal Región de Ñuble 2020: Número de Alumnos por Docente en Aula, variación Periodo 2019-2020"/>
    <m/>
    <s v="Ranking"/>
    <s v="Región de Ñuble educación municipal alumnos calidad educación colegios municipales docentes aula"/>
    <s v="https://analytics.zoho.com/open-view/2395394000008643713?ZOHO_CRITERIA=%22Localiza%20CL%22.%22Codreg%22%3D16"/>
    <x v="33"/>
    <s v="#1774B9"/>
  </r>
  <r>
    <s v="0087"/>
    <n v="990"/>
    <s v="Agencia Información"/>
    <s v="Salud"/>
    <n v="0"/>
    <x v="6"/>
    <x v="4"/>
    <x v="0"/>
    <x v="0"/>
    <x v="3"/>
    <x v="5"/>
    <s v="Periodo 2020-2021"/>
    <s v="Número de Casos"/>
    <s v="Ministerio de Ciencia, Tecnología, Conocimiento e Innovación"/>
    <s v="Evolución de Casos Activos de COVID-19 por 1 millón de habitantes en las comunas de Chile durante el Periodo 2020-2021"/>
    <m/>
    <s v="Gráfico de Evolución"/>
    <s v="Chile COVID-19 regional comunal región comuna casos activos fallecidos recuperados"/>
    <s v="https://analytics.zoho.com/open-view/2395394000008643867"/>
    <x v="17"/>
    <s v="#1774B9"/>
  </r>
  <r>
    <s v="0088"/>
    <n v="990"/>
    <s v="Agencia Información"/>
    <s v="Salud"/>
    <n v="1"/>
    <x v="6"/>
    <x v="4"/>
    <x v="1"/>
    <x v="1"/>
    <x v="3"/>
    <x v="5"/>
    <s v="Periodo 2020-2021"/>
    <s v="Número de Casos"/>
    <s v="Ministerio de Ciencia, Tecnología, Conocimiento e Innovación"/>
    <s v="Evolución de Casos Activos de COVID-19 por 1 millón de habitantes en las comunas de la Región de Tarapacá durante el Periodo 2020-2021"/>
    <s v="La comuna de Iquique presenta un mayor cantidad de casos activos por COVID-19 en los meses de enero y abril del año 2021, superando los 4.000 casos por millón de habitantes. En el mes de julio del mismo año, esta cifra disminuyó a menos de 1500 casos por millón de habitantes."/>
    <s v="Gráfico de Evolución"/>
    <s v="Región de Tarapacá COVID-19 regional comunal comuna casos activos fallecidos recuperados"/>
    <s v="https://analytics.zoho.com/open-view/2395394000008645197?ZOHO_CRITERIA=%22Localiza_CL_Poblacion%22.%22Codreg%22%3D1"/>
    <x v="18"/>
    <s v="#1774B9"/>
  </r>
  <r>
    <s v="0089"/>
    <n v="990"/>
    <s v="Agencia Información"/>
    <s v="Salud"/>
    <n v="2"/>
    <x v="6"/>
    <x v="4"/>
    <x v="1"/>
    <x v="2"/>
    <x v="3"/>
    <x v="5"/>
    <s v="Periodo 2020-2021"/>
    <s v="Número de Casos"/>
    <s v="Ministerio de Ciencia, Tecnología, Conocimiento e Innovación"/>
    <s v="Evolución de Casos Activos de COVID-19 por 1 millón de habitantes en las comunas de la Región de Antofagasta durante el Periodo 2020-2021"/>
    <m/>
    <s v="Gráfico de Evolución"/>
    <s v="Región de Antofagasta COVID-19 regional comunal comuna casos activos fallecidos recuperados"/>
    <s v="https://analytics.zoho.com/open-view/2395394000008645197?ZOHO_CRITERIA=%22Localiza_CL_Poblacion%22.%22Codreg%22%3D2"/>
    <x v="19"/>
    <s v="#1774B9"/>
  </r>
  <r>
    <s v="0090"/>
    <n v="990"/>
    <s v="Agencia Información"/>
    <s v="Salud"/>
    <n v="3"/>
    <x v="6"/>
    <x v="4"/>
    <x v="1"/>
    <x v="3"/>
    <x v="3"/>
    <x v="5"/>
    <s v="Periodo 2020-2021"/>
    <s v="Número de Casos"/>
    <s v="Ministerio de Ciencia, Tecnología, Conocimiento e Innovación"/>
    <s v="Evolución de Casos Activos de COVID-19 por 1 millón de habitantes en las comunas de la Región de Atacama durante el Periodo 2020-2021"/>
    <m/>
    <s v="Gráfico de Evolución"/>
    <s v="Región de Atacama COVID-19 regional comunal comuna casos activos fallecidos recuperados"/>
    <s v="https://analytics.zoho.com/open-view/2395394000008645197?ZOHO_CRITERIA=%22Localiza_CL_Poblacion%22.%22Codreg%22%3D3"/>
    <x v="20"/>
    <s v="#1774B9"/>
  </r>
  <r>
    <s v="0091"/>
    <n v="990"/>
    <s v="Agencia Información"/>
    <s v="Salud"/>
    <n v="4"/>
    <x v="6"/>
    <x v="4"/>
    <x v="1"/>
    <x v="4"/>
    <x v="3"/>
    <x v="5"/>
    <s v="Periodo 2020-2021"/>
    <s v="Número de Casos"/>
    <s v="Ministerio de Ciencia, Tecnología, Conocimiento e Innovación"/>
    <s v="Evolución de Casos Activos de COVID-19 por 1 millón de habitantes en las comunas de la Región de Coquimbo durante el Periodo 2020-2021"/>
    <m/>
    <s v="Gráfico de Evolución"/>
    <s v="Región de Coquimbo COVID-19 regional comunal comuna casos activos fallecidos recuperados"/>
    <s v="https://analytics.zoho.com/open-view/2395394000008645197?ZOHO_CRITERIA=%22Localiza_CL_Poblacion%22.%22Codreg%22%3D4"/>
    <x v="21"/>
    <s v="#1774B9"/>
  </r>
  <r>
    <s v="0092"/>
    <n v="990"/>
    <s v="Agencia Información"/>
    <s v="Salud"/>
    <n v="5"/>
    <x v="6"/>
    <x v="4"/>
    <x v="1"/>
    <x v="5"/>
    <x v="3"/>
    <x v="5"/>
    <s v="Periodo 2020-2021"/>
    <s v="Número de Casos"/>
    <s v="Ministerio de Ciencia, Tecnología, Conocimiento e Innovación"/>
    <s v="Evolución de Casos Activos de COVID-19 por 1 millón de habitantes en las comunas de la Región de Valparaíso durante el Periodo 2020-2021"/>
    <m/>
    <s v="Gráfico de Evolución"/>
    <s v="Región de Valparaíso COVID-19 regional comunal comuna casos activos fallecidos recuperados"/>
    <s v="https://analytics.zoho.com/open-view/2395394000008645197?ZOHO_CRITERIA=%22Localiza_CL_Poblacion%22.%22Codreg%22%3D5"/>
    <x v="22"/>
    <s v="#1774B9"/>
  </r>
  <r>
    <s v="0093"/>
    <n v="990"/>
    <s v="Agencia Información"/>
    <s v="Salud"/>
    <n v="6"/>
    <x v="6"/>
    <x v="4"/>
    <x v="1"/>
    <x v="6"/>
    <x v="3"/>
    <x v="5"/>
    <s v="Periodo 2020-2021"/>
    <s v="Número de Casos"/>
    <s v="Ministerio de Ciencia, Tecnología, Conocimiento e Innovación"/>
    <s v="Evolución de Casos Activos de COVID-19 por 1 millón de habitantes en las comunas de la Región de O'Higgins durante el Periodo 2020-2021"/>
    <m/>
    <s v="Gráfico de Evolución"/>
    <s v="Región de O'Higgins COVID-19 regional comunal comuna casos activos fallecidos recuperados"/>
    <s v="https://analytics.zoho.com/open-view/2395394000008645197?ZOHO_CRITERIA=%22Localiza_CL_Poblacion%22.%22Codreg%22%3D6"/>
    <x v="23"/>
    <s v="#1774B9"/>
  </r>
  <r>
    <s v="0094"/>
    <n v="990"/>
    <s v="Agencia Información"/>
    <s v="Salud"/>
    <n v="7"/>
    <x v="6"/>
    <x v="4"/>
    <x v="1"/>
    <x v="7"/>
    <x v="3"/>
    <x v="5"/>
    <s v="Periodo 2020-2021"/>
    <s v="Número de Casos"/>
    <s v="Ministerio de Ciencia, Tecnología, Conocimiento e Innovación"/>
    <s v="Evolución de Casos Activos de COVID-19 por 1 millón de habitantes en las comunas de la Región de Maule durante el Periodo 2020-2021"/>
    <m/>
    <s v="Gráfico de Evolución"/>
    <s v="Región de Maule COVID-19 regional comunal comuna casos activos fallecidos recuperados"/>
    <s v="https://analytics.zoho.com/open-view/2395394000008645197?ZOHO_CRITERIA=%22Localiza_CL_Poblacion%22.%22Codreg%22%3D7"/>
    <x v="24"/>
    <s v="#1774B9"/>
  </r>
  <r>
    <s v="0095"/>
    <n v="990"/>
    <s v="Agencia Información"/>
    <s v="Salud"/>
    <n v="8"/>
    <x v="6"/>
    <x v="4"/>
    <x v="1"/>
    <x v="8"/>
    <x v="3"/>
    <x v="5"/>
    <s v="Periodo 2020-2021"/>
    <s v="Número de Casos"/>
    <s v="Ministerio de Ciencia, Tecnología, Conocimiento e Innovación"/>
    <s v="Evolución de Casos Activos de COVID-19 por 1 millón de habitantes en las comunas de la Región del Biobío durante el Periodo 2020-2021"/>
    <m/>
    <s v="Gráfico de Evolución"/>
    <s v="Región del Biobío COVID-19 regional comunal comuna casos activos fallecidos recuperados"/>
    <s v="https://analytics.zoho.com/open-view/2395394000008645197?ZOHO_CRITERIA=%22Localiza_CL_Poblacion%22.%22Codreg%22%3D8"/>
    <x v="25"/>
    <s v="#1774B9"/>
  </r>
  <r>
    <s v="0096"/>
    <n v="990"/>
    <s v="Agencia Información"/>
    <s v="Salud"/>
    <n v="9"/>
    <x v="6"/>
    <x v="4"/>
    <x v="1"/>
    <x v="9"/>
    <x v="3"/>
    <x v="5"/>
    <s v="Periodo 2020-2021"/>
    <s v="Número de Casos"/>
    <s v="Ministerio de Ciencia, Tecnología, Conocimiento e Innovación"/>
    <s v="Evolución de Casos Activos de COVID-19 por 1 millón de habitantes en las comunas de la Región de La Araucanía durante el Periodo 2020-2021"/>
    <m/>
    <s v="Gráfico de Evolución"/>
    <s v="Región de La Araucanía COVID-19 regional comunal comuna casos activos fallecidos recuperados"/>
    <s v="https://analytics.zoho.com/open-view/2395394000008645197?ZOHO_CRITERIA=%22Localiza_CL_Poblacion%22.%22Codreg%22%3D9"/>
    <x v="26"/>
    <s v="#1774B9"/>
  </r>
  <r>
    <s v="0097"/>
    <n v="990"/>
    <s v="Agencia Información"/>
    <s v="Salud"/>
    <n v="10"/>
    <x v="6"/>
    <x v="4"/>
    <x v="1"/>
    <x v="10"/>
    <x v="3"/>
    <x v="5"/>
    <s v="Periodo 2020-2021"/>
    <s v="Número de Casos"/>
    <s v="Ministerio de Ciencia, Tecnología, Conocimiento e Innovación"/>
    <s v="Evolución de Casos Activos de COVID-19 por 1 millón de habitantes en las comunas de la Región de Los Lagos durante el Periodo 2020-2021"/>
    <m/>
    <s v="Gráfico de Evolución"/>
    <s v="Región de Los Lagos COVID-19 regional comunal comuna casos activos fallecidos recuperados"/>
    <s v="https://analytics.zoho.com/open-view/2395394000008645197?ZOHO_CRITERIA=%22Localiza_CL_Poblacion%22.%22Codreg%22%3D10"/>
    <x v="27"/>
    <s v="#1774B9"/>
  </r>
  <r>
    <s v="0098"/>
    <n v="990"/>
    <s v="Agencia Información"/>
    <s v="Salud"/>
    <n v="11"/>
    <x v="6"/>
    <x v="4"/>
    <x v="1"/>
    <x v="11"/>
    <x v="3"/>
    <x v="5"/>
    <s v="Periodo 2020-2021"/>
    <s v="Número de Casos"/>
    <s v="Ministerio de Ciencia, Tecnología, Conocimiento e Innovación"/>
    <s v="Evolución de Casos Activos de COVID-19 por 1 millón de habitantes en las comunas de la Región de Aysén durante el Periodo 2020-2021"/>
    <m/>
    <s v="Gráfico de Evolución"/>
    <s v="Región de Aysén COVID-19 regional comunal comuna casos activos fallecidos recuperados"/>
    <s v="https://analytics.zoho.com/open-view/2395394000008645197?ZOHO_CRITERIA=%22Localiza_CL_Poblacion%22.%22Codreg%22%3D11"/>
    <x v="28"/>
    <s v="#1774B9"/>
  </r>
  <r>
    <s v="0099"/>
    <n v="990"/>
    <s v="Agencia Información"/>
    <s v="Salud"/>
    <n v="12"/>
    <x v="6"/>
    <x v="4"/>
    <x v="1"/>
    <x v="12"/>
    <x v="3"/>
    <x v="5"/>
    <s v="Periodo 2020-2021"/>
    <s v="Número de Casos"/>
    <s v="Ministerio de Ciencia, Tecnología, Conocimiento e Innovación"/>
    <s v="Evolución de Casos Activos de COVID-19 por 1 millón de habitantes en las comunas de la Región de Magallanes durante el Periodo 2020-2021"/>
    <m/>
    <s v="Gráfico de Evolución"/>
    <s v="Región de Magallanes COVID-19 regional comunal comuna casos activos fallecidos recuperados"/>
    <s v="https://analytics.zoho.com/open-view/2395394000008645197?ZOHO_CRITERIA=%22Localiza_CL_Poblacion%22.%22Codreg%22%3D12"/>
    <x v="29"/>
    <s v="#1774B9"/>
  </r>
  <r>
    <s v="0100"/>
    <n v="990"/>
    <s v="Agencia Información"/>
    <s v="Salud"/>
    <n v="13"/>
    <x v="6"/>
    <x v="4"/>
    <x v="1"/>
    <x v="13"/>
    <x v="3"/>
    <x v="5"/>
    <s v="Periodo 2020-2021"/>
    <s v="Número de Casos"/>
    <s v="Ministerio de Ciencia, Tecnología, Conocimiento e Innovación"/>
    <s v="Evolución de Casos Activos de COVID-19 por 1 millón de habitantes en las comunas de la Región Metropolitana durante el Periodo 2020-2021"/>
    <m/>
    <s v="Gráfico de Evolución"/>
    <s v="Región Metropolitana COVID-19 regional comunal comuna casos activos fallecidos recuperados"/>
    <s v="https://analytics.zoho.com/open-view/2395394000008645197?ZOHO_CRITERIA=%22Localiza_CL_Poblacion%22.%22Codreg%22%3D13"/>
    <x v="30"/>
    <s v="#1774B9"/>
  </r>
  <r>
    <s v="0101"/>
    <n v="990"/>
    <s v="Agencia Información"/>
    <s v="Salud"/>
    <n v="14"/>
    <x v="6"/>
    <x v="4"/>
    <x v="1"/>
    <x v="14"/>
    <x v="3"/>
    <x v="5"/>
    <s v="Periodo 2020-2021"/>
    <s v="Número de Casos"/>
    <s v="Ministerio de Ciencia, Tecnología, Conocimiento e Innovación"/>
    <s v="Evolución de Casos Activos de COVID-19 por 1 millón de habitantes en las comunas de la Región de Los Ríos durante el Periodo 2020-2021"/>
    <m/>
    <s v="Gráfico de Evolución"/>
    <s v="Región de Los Ríos COVID-19 regional comunal comuna casos activos fallecidos recuperados"/>
    <s v="https://analytics.zoho.com/open-view/2395394000008645197?ZOHO_CRITERIA=%22Localiza_CL_Poblacion%22.%22Codreg%22%3D14"/>
    <x v="31"/>
    <s v="#1774B9"/>
  </r>
  <r>
    <s v="0102"/>
    <n v="990"/>
    <s v="Agencia Información"/>
    <s v="Salud"/>
    <n v="15"/>
    <x v="6"/>
    <x v="4"/>
    <x v="1"/>
    <x v="15"/>
    <x v="3"/>
    <x v="5"/>
    <s v="Periodo 2020-2021"/>
    <s v="Número de Casos"/>
    <s v="Ministerio de Ciencia, Tecnología, Conocimiento e Innovación"/>
    <s v="Evolución de Casos Activos de COVID-19 por 1 millón de habitantes en las comunas de la Región de Arica y Parinacota durante el Periodo 2020-2021"/>
    <m/>
    <s v="Gráfico de Evolución"/>
    <s v="Región de Arica y Parinacota COVID-19 regional comunal comuna casos activos fallecidos recuperados"/>
    <s v="https://analytics.zoho.com/open-view/2395394000008645197?ZOHO_CRITERIA=%22Localiza_CL_Poblacion%22.%22Codreg%22%3D15"/>
    <x v="32"/>
    <s v="#1774B9"/>
  </r>
  <r>
    <s v="0103"/>
    <n v="990"/>
    <s v="Agencia Información"/>
    <s v="Salud"/>
    <n v="16"/>
    <x v="6"/>
    <x v="4"/>
    <x v="1"/>
    <x v="16"/>
    <x v="3"/>
    <x v="5"/>
    <s v="Periodo 2020-2021"/>
    <s v="Número de Casos"/>
    <s v="Ministerio de Ciencia, Tecnología, Conocimiento e Innovación"/>
    <s v="Evolución de Casos Activos de COVID-19 por 1 millón de habitantes en las comunas de la Región de Ñuble durante el Periodo 2020-2021"/>
    <m/>
    <s v="Gráfico de Evolución"/>
    <s v="Región de Ñuble COVID-19 regional comunal comuna casos activos fallecidos recuperados"/>
    <s v="https://analytics.zoho.com/open-view/2395394000008645197?ZOHO_CRITERIA=%22Localiza_CL_Poblacion%22.%22Codreg%22%3D16"/>
    <x v="33"/>
    <s v="#1774B9"/>
  </r>
  <r>
    <s v="0104"/>
    <n v="990"/>
    <s v="Agencia Información"/>
    <s v="Agropecuario y Forestal"/>
    <n v="0"/>
    <x v="7"/>
    <x v="5"/>
    <x v="0"/>
    <x v="0"/>
    <x v="0"/>
    <x v="6"/>
    <s v="Periodo 2012-2020"/>
    <s v="Toneladas"/>
    <s v="Servicio Nacional de Aduanas"/>
    <s v="Volumen de Exportaciones Frutícolas en Chile, Periodo 2012-2020"/>
    <s v="La manzana es la fruta que más exporta Chile, con un volumen de 7.943.153 ton durante el periodo 2012 – 2020. En segundo lugar está la uva con un volumen de 7.410.265 ton."/>
    <s v="Nube de palabras"/>
    <s v="Chile fruta toneladas volumen exportaciones"/>
    <s v="https://analytics.zoho.com/open-view/2395394000005950690"/>
    <x v="34"/>
    <s v="#1774B9"/>
  </r>
  <r>
    <s v="0105"/>
    <n v="990"/>
    <s v="Agencia Información"/>
    <s v="Agropecuario y Forestal"/>
    <n v="0"/>
    <x v="7"/>
    <x v="5"/>
    <x v="0"/>
    <x v="0"/>
    <x v="1"/>
    <x v="7"/>
    <s v="Periodo 2012-2020"/>
    <s v="Toneladas"/>
    <s v="Servicio Nacional de Aduanas"/>
    <s v="Volumen acumulado de Exportaciones Frutícolas por país de destino, Periodo 2012-2020"/>
    <s v="Chile exporta fruta a más de 80 países de todo el mundo. EEUU es el país que recibe más toneladas de fruta desde Chile, en segundo lugar está China. De Sudamérica Colombia es el país que más toneladas de fruta recibe."/>
    <s v="Mapa de calor"/>
    <s v="Chile fruta toneladas volumen acumulado exportaciones país destino"/>
    <s v="https://analytics.zoho.com/open-view/2395394000005948862"/>
    <x v="34"/>
    <s v="#1774B9"/>
  </r>
  <r>
    <s v="0106"/>
    <n v="990"/>
    <s v="Agencia Información"/>
    <s v="Mujeres"/>
    <n v="0"/>
    <x v="8"/>
    <x v="2"/>
    <x v="0"/>
    <x v="0"/>
    <x v="0"/>
    <x v="8"/>
    <s v="Periodo 2013-2019"/>
    <s v="Número de Sentencias"/>
    <s v="Poder Judicial"/>
    <s v="Sentencias Dictadas por delitos de Abuso Sexual en Chile para el Periodo 2013-2019"/>
    <m/>
    <s v="Gráfico"/>
    <s v="Chile violencia mujer abuso sexual sentencia menor juzgado"/>
    <s v="https://analytics.zoho.com/open-view/2395394000008645520"/>
    <x v="0"/>
    <s v="#1774B9"/>
  </r>
  <r>
    <s v="0107"/>
    <n v="990"/>
    <s v="Agencia Información"/>
    <s v="Mujeres"/>
    <n v="1"/>
    <x v="8"/>
    <x v="2"/>
    <x v="1"/>
    <x v="1"/>
    <x v="1"/>
    <x v="8"/>
    <s v="Periodo 2013-2019"/>
    <s v="Número de Sentencias"/>
    <s v="Poder Judicial"/>
    <s v="Sentencias Dictadas por delitos de Abuso Sexual en la Región de Tarapacá para el Periodo 2013-2019"/>
    <m/>
    <s v="Gráfico"/>
    <s v="Región de Tarapacá violencia mujer abuso sexual sentencia menor juzgado"/>
    <s v="https://analytics.zoho.com/open-view/2395394000007166809?ZOHO_CRITERIA=%22Localiza%20CL%22.%22Codreg%22%3D1"/>
    <x v="1"/>
    <s v="#1774B9"/>
  </r>
  <r>
    <s v="0108"/>
    <n v="990"/>
    <s v="Agencia Información"/>
    <s v="Mujeres"/>
    <n v="2"/>
    <x v="8"/>
    <x v="2"/>
    <x v="1"/>
    <x v="2"/>
    <x v="1"/>
    <x v="8"/>
    <s v="Periodo 2013-2019"/>
    <s v="Número de Sentencias"/>
    <s v="Poder Judicial"/>
    <s v="Sentencias Dictadas por delitos de Abuso Sexual en la Región de Antofagasta para el Periodo 2013-2019"/>
    <m/>
    <s v="Gráfico"/>
    <s v="Región de Antofagasta violencia mujer abuso sexual sentencia menor juzgado"/>
    <s v="https://analytics.zoho.com/open-view/2395394000007166809?ZOHO_CRITERIA=%22Localiza%20CL%22.%22Codreg%22%3D2"/>
    <x v="2"/>
    <s v="#1774B9"/>
  </r>
  <r>
    <s v="0109"/>
    <n v="990"/>
    <s v="Agencia Información"/>
    <s v="Mujeres"/>
    <n v="3"/>
    <x v="8"/>
    <x v="2"/>
    <x v="1"/>
    <x v="3"/>
    <x v="1"/>
    <x v="8"/>
    <s v="Periodo 2013-2019"/>
    <s v="Número de Sentencias"/>
    <s v="Poder Judicial"/>
    <s v="Sentencias Dictadas por delitos de Abuso Sexual en la Región de Atacama para el Periodo 2013-2019"/>
    <m/>
    <s v="Gráfico"/>
    <s v="Región de Atacama violencia mujer abuso sexual sentencia menor juzgado"/>
    <s v="https://analytics.zoho.com/open-view/2395394000007166809?ZOHO_CRITERIA=%22Localiza%20CL%22.%22Codreg%22%3D3"/>
    <x v="3"/>
    <s v="#1774B9"/>
  </r>
  <r>
    <s v="0110"/>
    <n v="990"/>
    <s v="Agencia Información"/>
    <s v="Mujeres"/>
    <n v="4"/>
    <x v="8"/>
    <x v="2"/>
    <x v="1"/>
    <x v="4"/>
    <x v="1"/>
    <x v="8"/>
    <s v="Periodo 2013-2019"/>
    <s v="Número de Sentencias"/>
    <s v="Poder Judicial"/>
    <s v="Sentencias Dictadas por delitos de Abuso Sexual en la Región de Coquimbo para el Periodo 2013-2019"/>
    <m/>
    <s v="Gráfico"/>
    <s v="Región de Coquimbo violencia mujer abuso sexual sentencia menor juzgado"/>
    <s v="https://analytics.zoho.com/open-view/2395394000007166809?ZOHO_CRITERIA=%22Localiza%20CL%22.%22Codreg%22%3D4"/>
    <x v="4"/>
    <s v="#1774B9"/>
  </r>
  <r>
    <s v="0111"/>
    <n v="990"/>
    <s v="Agencia Información"/>
    <s v="Mujeres"/>
    <n v="5"/>
    <x v="8"/>
    <x v="2"/>
    <x v="1"/>
    <x v="5"/>
    <x v="1"/>
    <x v="8"/>
    <s v="Periodo 2013-2019"/>
    <s v="Número de Sentencias"/>
    <s v="Poder Judicial"/>
    <s v="Sentencias Dictadas por delitos de Abuso Sexual en la Región de Valparaíso para el Periodo 2013-2019"/>
    <m/>
    <s v="Gráfico"/>
    <s v="Región de Valparaíso violencia mujer abuso sexual sentencia menor juzgado"/>
    <s v="https://analytics.zoho.com/open-view/2395394000007166809?ZOHO_CRITERIA=%22Localiza%20CL%22.%22Codreg%22%3D5"/>
    <x v="5"/>
    <s v="#1774B9"/>
  </r>
  <r>
    <s v="0112"/>
    <n v="990"/>
    <s v="Agencia Información"/>
    <s v="Mujeres"/>
    <n v="6"/>
    <x v="8"/>
    <x v="2"/>
    <x v="1"/>
    <x v="6"/>
    <x v="1"/>
    <x v="8"/>
    <s v="Periodo 2013-2019"/>
    <s v="Número de Sentencias"/>
    <s v="Poder Judicial"/>
    <s v="Sentencias Dictadas por delitos de Abuso Sexual en la Región de O'Higgins para el Periodo 2013-2019"/>
    <m/>
    <s v="Gráfico"/>
    <s v="Región de O'Higgins violencia mujer abuso sexual sentencia menor juzgado"/>
    <s v="https://analytics.zoho.com/open-view/2395394000007166809?ZOHO_CRITERIA=%22Localiza%20CL%22.%22Codreg%22%3D6"/>
    <x v="6"/>
    <s v="#1774B9"/>
  </r>
  <r>
    <s v="0113"/>
    <n v="990"/>
    <s v="Agencia Información"/>
    <s v="Mujeres"/>
    <n v="7"/>
    <x v="8"/>
    <x v="2"/>
    <x v="1"/>
    <x v="7"/>
    <x v="1"/>
    <x v="8"/>
    <s v="Periodo 2013-2019"/>
    <s v="Número de Sentencias"/>
    <s v="Poder Judicial"/>
    <s v="Sentencias Dictadas por delitos de Abuso Sexual en la Región de Maule para el Periodo 2013-2019"/>
    <m/>
    <s v="Gráfico"/>
    <s v="Región de Maule violencia mujer abuso sexual sentencia menor juzgado"/>
    <s v="https://analytics.zoho.com/open-view/2395394000007166809?ZOHO_CRITERIA=%22Localiza%20CL%22.%22Codreg%22%3D7"/>
    <x v="7"/>
    <s v="#1774B9"/>
  </r>
  <r>
    <s v="0114"/>
    <n v="990"/>
    <s v="Agencia Información"/>
    <s v="Mujeres"/>
    <n v="8"/>
    <x v="8"/>
    <x v="2"/>
    <x v="1"/>
    <x v="8"/>
    <x v="1"/>
    <x v="8"/>
    <s v="Periodo 2013-2019"/>
    <s v="Número de Sentencias"/>
    <s v="Poder Judicial"/>
    <s v="Sentencias Dictadas por delitos de Abuso Sexual en la Región del Biobío para el Periodo 2013-2019"/>
    <m/>
    <s v="Gráfico"/>
    <s v="Región del Biobío violencia mujer abuso sexual sentencia menor juzgado"/>
    <s v="https://analytics.zoho.com/open-view/2395394000007166809?ZOHO_CRITERIA=%22Localiza%20CL%22.%22Codreg%22%3D8"/>
    <x v="8"/>
    <s v="#1774B9"/>
  </r>
  <r>
    <s v="0115"/>
    <n v="990"/>
    <s v="Agencia Información"/>
    <s v="Mujeres"/>
    <n v="9"/>
    <x v="8"/>
    <x v="2"/>
    <x v="1"/>
    <x v="9"/>
    <x v="1"/>
    <x v="8"/>
    <s v="Periodo 2013-2019"/>
    <s v="Número de Sentencias"/>
    <s v="Poder Judicial"/>
    <s v="Sentencias Dictadas por delitos de Abuso Sexual en la Región de La Araucanía para el Periodo 2013-2019"/>
    <m/>
    <s v="Gráfico"/>
    <s v="Región de La Araucanía violencia mujer abuso sexual sentencia menor juzgado"/>
    <s v="https://analytics.zoho.com/open-view/2395394000007166809?ZOHO_CRITERIA=%22Localiza%20CL%22.%22Codreg%22%3D9"/>
    <x v="9"/>
    <s v="#1774B9"/>
  </r>
  <r>
    <s v="0116"/>
    <n v="990"/>
    <s v="Agencia Información"/>
    <s v="Mujeres"/>
    <n v="10"/>
    <x v="8"/>
    <x v="2"/>
    <x v="1"/>
    <x v="10"/>
    <x v="1"/>
    <x v="8"/>
    <s v="Periodo 2013-2019"/>
    <s v="Número de Sentencias"/>
    <s v="Poder Judicial"/>
    <s v="Sentencias Dictadas por delitos de Abuso Sexual en la Región de Los Lagos para el Periodo 2013-2019"/>
    <m/>
    <s v="Gráfico"/>
    <s v="Región de Los Lagos violencia mujer abuso sexual sentencia menor juzgado"/>
    <s v="https://analytics.zoho.com/open-view/2395394000007166809?ZOHO_CRITERIA=%22Localiza%20CL%22.%22Codreg%22%3D10"/>
    <x v="10"/>
    <s v="#1774B9"/>
  </r>
  <r>
    <s v="0117"/>
    <n v="990"/>
    <s v="Agencia Información"/>
    <s v="Mujeres"/>
    <n v="11"/>
    <x v="8"/>
    <x v="2"/>
    <x v="1"/>
    <x v="11"/>
    <x v="1"/>
    <x v="8"/>
    <s v="Periodo 2013-2019"/>
    <s v="Número de Sentencias"/>
    <s v="Poder Judicial"/>
    <s v="Sentencias Dictadas por delitos de Abuso Sexual en la Región de Aysén para el Periodo 2013-2019"/>
    <m/>
    <s v="Gráfico"/>
    <s v="Región de Aysén violencia mujer abuso sexual sentencia menor juzgado"/>
    <s v="https://analytics.zoho.com/open-view/2395394000007166809?ZOHO_CRITERIA=%22Localiza%20CL%22.%22Codreg%22%3D11"/>
    <x v="11"/>
    <s v="#1774B9"/>
  </r>
  <r>
    <s v="0118"/>
    <n v="990"/>
    <s v="Agencia Información"/>
    <s v="Mujeres"/>
    <n v="12"/>
    <x v="8"/>
    <x v="2"/>
    <x v="1"/>
    <x v="12"/>
    <x v="1"/>
    <x v="8"/>
    <s v="Periodo 2013-2019"/>
    <s v="Número de Sentencias"/>
    <s v="Poder Judicial"/>
    <s v="Sentencias Dictadas por delitos de Abuso Sexual en la Región de Magallanes para el Periodo 2013-2019"/>
    <m/>
    <s v="Gráfico"/>
    <s v="Región de Magallanes violencia mujer abuso sexual sentencia menor juzgado"/>
    <s v="https://analytics.zoho.com/open-view/2395394000007166809?ZOHO_CRITERIA=%22Localiza%20CL%22.%22Codreg%22%3D12"/>
    <x v="12"/>
    <s v="#1774B9"/>
  </r>
  <r>
    <s v="0119"/>
    <n v="990"/>
    <s v="Agencia Información"/>
    <s v="Mujeres"/>
    <n v="13"/>
    <x v="8"/>
    <x v="2"/>
    <x v="1"/>
    <x v="13"/>
    <x v="1"/>
    <x v="8"/>
    <s v="Periodo 2013-2019"/>
    <s v="Número de Sentencias"/>
    <s v="Poder Judicial"/>
    <s v="Sentencias Dictadas por delitos de Abuso Sexual en la Región Metropolitana para el Periodo 2013-2019"/>
    <s v="El delito de Abuso Sexual que más sentencias acumula para el periodo comprendido entre los años 2013 – 2019, en la región Metropolitana, es el calificado como Abuso sexual con contacto de menor de 14 de años, el que supera las 34.000 sentencia cada año."/>
    <s v="Gráfico"/>
    <s v="Región Metropolitana violencia mujer abuso sexual sentencia menor juzgado"/>
    <s v="https://analytics.zoho.com/open-view/2395394000007166809?ZOHO_CRITERIA=%22Localiza%20CL%22.%22Codreg%22%3D13"/>
    <x v="13"/>
    <s v="#1774B9"/>
  </r>
  <r>
    <s v="0120"/>
    <n v="990"/>
    <s v="Agencia Información"/>
    <s v="Mujeres"/>
    <n v="14"/>
    <x v="8"/>
    <x v="2"/>
    <x v="1"/>
    <x v="14"/>
    <x v="1"/>
    <x v="8"/>
    <s v="Periodo 2013-2019"/>
    <s v="Número de Sentencias"/>
    <s v="Poder Judicial"/>
    <s v="Sentencias Dictadas por delitos de Abuso Sexual en la Región de Los Ríos para el Periodo 2013-2019"/>
    <m/>
    <s v="Gráfico"/>
    <s v="Región de Los Ríos violencia mujer abuso sexual sentencia menor juzgado"/>
    <s v="https://analytics.zoho.com/open-view/2395394000007166809?ZOHO_CRITERIA=%22Localiza%20CL%22.%22Codreg%22%3D14"/>
    <x v="14"/>
    <s v="#1774B9"/>
  </r>
  <r>
    <s v="0121"/>
    <n v="990"/>
    <s v="Agencia Información"/>
    <s v="Mujeres"/>
    <n v="15"/>
    <x v="8"/>
    <x v="2"/>
    <x v="1"/>
    <x v="15"/>
    <x v="1"/>
    <x v="8"/>
    <s v="Periodo 2013-2019"/>
    <s v="Número de Sentencias"/>
    <s v="Poder Judicial"/>
    <s v="Sentencias Dictadas por delitos de Abuso Sexual en la Región de Arica y Parinacota para el Periodo 2013-2019"/>
    <m/>
    <s v="Gráfico"/>
    <s v="Región de Arica y Parinacota violencia mujer abuso sexual sentencia menor juzgado"/>
    <s v="https://analytics.zoho.com/open-view/2395394000007166809?ZOHO_CRITERIA=%22Localiza%20CL%22.%22Codreg%22%3D15"/>
    <x v="15"/>
    <s v="#1774B9"/>
  </r>
  <r>
    <s v="0122"/>
    <n v="990"/>
    <s v="Agencia Información"/>
    <s v="Mujeres"/>
    <n v="16"/>
    <x v="8"/>
    <x v="2"/>
    <x v="1"/>
    <x v="16"/>
    <x v="1"/>
    <x v="8"/>
    <s v="Periodo 2013-2019"/>
    <s v="Número de Sentencias"/>
    <s v="Poder Judicial"/>
    <s v="Sentencias Dictadas por delitos de Abuso Sexual en la Región de Ñuble para el Periodo 2013-2019"/>
    <m/>
    <s v="Gráfico"/>
    <s v="Región de Ñuble violencia mujer abuso sexual sentencia menor juzgado"/>
    <s v="https://analytics.zoho.com/open-view/2395394000007166809?ZOHO_CRITERIA=%22Localiza%20CL%22.%22Codreg%22%3D16"/>
    <x v="16"/>
    <s v="#1774B9"/>
  </r>
  <r>
    <s v="0123"/>
    <n v="990"/>
    <s v="Agencia Información"/>
    <s v="Política y Gobierno"/>
    <n v="0"/>
    <x v="9"/>
    <x v="6"/>
    <x v="0"/>
    <x v="0"/>
    <x v="1"/>
    <x v="9"/>
    <s v="Periodo 1997-2019"/>
    <s v="Número de Programas/Instituciones "/>
    <s v="Dirección de Presupuestos (DIPRES)"/>
    <s v="Esquema jerárquico de programas/instituciones evaluados (periodo 1997 -2019)"/>
    <s v="Dentro de la evaluación de programas/instituciones que realiza DIPRES, la evaluación de Programas realizada al Ministerio de Educación, arroja un desempeño Insuficiente para los programas de Hogares de JUNAEB, para el año 2014, declarando que no hay información sobre la vigencia de éste."/>
    <s v="Dashboard"/>
    <s v="Chile programas desempeño gobierno servicio evaluación instituciones público ministerio"/>
    <s v="https://app.powerbi.com/view?r=eyJrIjoiZWUwODhjMWEtNGI0OC00NjAyLWE0YTAtYzlhYmUxY2M1MTUxIiwidCI6IjhmYmFhNWJmLTJlY2MtNGRjOC1iNTZiLThmOTJlMzA3ZjA3NiIsImMiOjR9&amp;pageName=ReportSectiona65e1fe79648cd445a4d"/>
    <x v="34"/>
    <s v="#1774B9"/>
  </r>
  <r>
    <s v="0124"/>
    <n v="990"/>
    <s v="Agencia Información"/>
    <s v="Política y Gobierno"/>
    <n v="0"/>
    <x v="9"/>
    <x v="6"/>
    <x v="0"/>
    <x v="0"/>
    <x v="4"/>
    <x v="9"/>
    <s v="Periodo 1997-2019"/>
    <s v="Número de Programas/Instituciones "/>
    <s v="Dirección de Presupuestos (DIPRES)"/>
    <s v="Número de programas/instituciones evaluadas según línea de evaluación (periodo 1997 -2020)"/>
    <s v="Durante los años 1997 y 2020 se evaluaron 621 programas/instituciones del Servicio Público, bajo diferentes modalidades. De esta cifra, 101 programas fueron evaluados con Desempeño Insuficiente, 16 con Mal Desempeño, 17 con Reemplazo Integro o Finalización y 11 fueron evaluados con Buen Desempeño."/>
    <s v="Dashboard"/>
    <s v="Chile programas desempeño gobierno servicio evaluación instituciones público ministerio"/>
    <s v="https://app.powerbi.com/view?r=eyJrIjoiMTBhYjVkMTQtNDA3MC00ZmI5LTljZDMtM2Q3MTgyNGM3ZWYxIiwidCI6IjhmYmFhNWJmLTJlY2MtNGRjOC1iNTZiLThmOTJlMzA3ZjA3NiIsImMiOjR9"/>
    <x v="34"/>
    <s v="#1774B9"/>
  </r>
  <r>
    <s v="0125"/>
    <n v="990"/>
    <s v="Agencia Información"/>
    <s v="Agropecuario y Forestal"/>
    <n v="0"/>
    <x v="10"/>
    <x v="7"/>
    <x v="0"/>
    <x v="0"/>
    <x v="1"/>
    <x v="10"/>
    <s v="Periodo 2010-2020"/>
    <s v="Hectáreas"/>
    <s v="Corporación Nacional Forestal (CONAF)"/>
    <s v="Evolución de la Superficie de Plantaciones Forestales Afectadas por Incendios por Comuna"/>
    <s v="En la estación de verano del año 2017 la superficie de plantaciones afectadas por incendios aumentó considerablemente, superando las 100.000 ha, en la comuna de Cauquenes . A fines de junio del año 2020, las superficie de plantaciones afectadas por incendios supera las 466.655 ha, a lo largo de todo Chile."/>
    <s v="Gráfico animado"/>
    <s v="Chile incendios plantaciones forestales superficie hectáreas comuna"/>
    <s v="https://public.flourish.studio/visualisation/6936641/"/>
    <x v="34"/>
    <s v="#1774B9"/>
  </r>
  <r>
    <s v="0126"/>
    <n v="990"/>
    <s v="Agencia Información"/>
    <s v="Agropecuario y Forestal"/>
    <n v="0"/>
    <x v="11"/>
    <x v="5"/>
    <x v="0"/>
    <x v="0"/>
    <x v="5"/>
    <x v="11"/>
    <s v="Año 2021"/>
    <s v="CLP/Kg"/>
    <s v="Oficina de Estudios y Políticas Agrarias (ODEPA)"/>
    <s v="Precios diarios de hortalizas en mercados mayoristas de Chile, Año 2021"/>
    <s v="El precio de las papas tuvo una fuerte baja a finales del verano y se ha mantenido relativamente estable desde esa fecha. En general, los precios más altos se encuentran en el mercado Agrícola del Norte de Arica, mientras que los más bajos en la Macroferia Regional de Talca."/>
    <s v="Gráfico"/>
    <s v="Chile hortaliza precio diario pesos kilo mercado mayorista terminal"/>
    <s v="https://analytics.zoho.com/open-view/2395394000008645674"/>
    <x v="0"/>
    <s v="#1774B9"/>
  </r>
  <r>
    <s v="0127"/>
    <n v="990"/>
    <s v="Agencia Información"/>
    <s v="Agropecuario y Forestal"/>
    <n v="4"/>
    <x v="11"/>
    <x v="5"/>
    <x v="1"/>
    <x v="4"/>
    <x v="5"/>
    <x v="12"/>
    <s v="Año 2021"/>
    <s v="CLP/Kg"/>
    <s v="Oficina de Estudios y Políticas Agrarias (ODEPA)"/>
    <s v="Precios diarios de hortalizas en mercados mayoristas de la Región de Coquimbo, Año 2021"/>
    <m/>
    <s v="Gráfico"/>
    <s v="Región de Coquimbo hortaliza precio diario pesos kilo mercado mayorista terminal"/>
    <s v="https://analytics.zoho.com/open-view/2395394000008646229?ZOHO_CRITERIA=%22Hortaliza%20Consolidado%22.%22Codreg%22%3D4"/>
    <x v="4"/>
    <s v="#1774B9"/>
  </r>
  <r>
    <s v="0128"/>
    <n v="990"/>
    <s v="Agencia Información"/>
    <s v="Agropecuario y Forestal"/>
    <n v="5"/>
    <x v="11"/>
    <x v="5"/>
    <x v="1"/>
    <x v="5"/>
    <x v="5"/>
    <x v="12"/>
    <s v="Año 2021"/>
    <s v="CLP/Kg"/>
    <s v="Oficina de Estudios y Políticas Agrarias (ODEPA)"/>
    <s v="Precios diarios de hortalizas en mercados mayoristas de la Región de Valparaíso, Año 2021"/>
    <m/>
    <s v="Gráfico"/>
    <s v="Región de Valparaíso hortaliza precio diario pesos kilo mercado mayorista terminal"/>
    <s v="https://analytics.zoho.com/open-view/2395394000008646229?ZOHO_CRITERIA=%22Hortaliza%20Consolidado%22.%22Codreg%22%3D5"/>
    <x v="5"/>
    <s v="#1774B9"/>
  </r>
  <r>
    <s v="0129"/>
    <n v="990"/>
    <s v="Agencia Información"/>
    <s v="Agropecuario y Forestal"/>
    <n v="7"/>
    <x v="11"/>
    <x v="5"/>
    <x v="1"/>
    <x v="7"/>
    <x v="5"/>
    <x v="12"/>
    <s v="Año 2021"/>
    <s v="CLP/Kg"/>
    <s v="Oficina de Estudios y Políticas Agrarias (ODEPA)"/>
    <s v="Precios diarios de hortalizas en mercados mayoristas de la Región de Maule, Año 2021"/>
    <m/>
    <s v="Gráfico"/>
    <s v="Región de Maule hortaliza precio diario pesos kilo mercado mayorista terminal"/>
    <s v="https://analytics.zoho.com/open-view/2395394000008646229?ZOHO_CRITERIA=%22Hortaliza%20Consolidado%22.%22Codreg%22%3D7"/>
    <x v="7"/>
    <s v="#1774B9"/>
  </r>
  <r>
    <s v="0130"/>
    <n v="990"/>
    <s v="Agencia Información"/>
    <s v="Agropecuario y Forestal"/>
    <n v="8"/>
    <x v="11"/>
    <x v="5"/>
    <x v="1"/>
    <x v="8"/>
    <x v="5"/>
    <x v="12"/>
    <s v="Año 2021"/>
    <s v="CLP/Kg"/>
    <s v="Oficina de Estudios y Políticas Agrarias (ODEPA)"/>
    <s v="Precios diarios de hortalizas en mercados mayoristas de la Región del Biobío, Año 2021"/>
    <m/>
    <s v="Gráfico"/>
    <s v="Región del Biobío hortaliza precio diario pesos kilo mercado mayorista terminal"/>
    <s v="https://analytics.zoho.com/open-view/2395394000008646229?ZOHO_CRITERIA=%22Hortaliza%20Consolidado%22.%22Codreg%22%3D8"/>
    <x v="8"/>
    <s v="#1774B9"/>
  </r>
  <r>
    <s v="0131"/>
    <n v="990"/>
    <s v="Agencia Información"/>
    <s v="Agropecuario y Forestal"/>
    <n v="9"/>
    <x v="11"/>
    <x v="5"/>
    <x v="1"/>
    <x v="9"/>
    <x v="5"/>
    <x v="12"/>
    <s v="Año 2021"/>
    <s v="CLP/Kg"/>
    <s v="Oficina de Estudios y Políticas Agrarias (ODEPA)"/>
    <s v="Precios diarios de hortalizas en mercados mayoristas de la Región de La Araucanía, Año 2021"/>
    <m/>
    <s v="Gráfico"/>
    <s v="Región de La Araucanía hortaliza precio diario pesos kilo mercado mayorista terminal"/>
    <s v="https://analytics.zoho.com/open-view/2395394000008646229?ZOHO_CRITERIA=%22Hortaliza%20Consolidado%22.%22Codreg%22%3D9"/>
    <x v="9"/>
    <s v="#1774B9"/>
  </r>
  <r>
    <s v="0132"/>
    <n v="990"/>
    <s v="Agencia Información"/>
    <s v="Agropecuario y Forestal"/>
    <n v="10"/>
    <x v="11"/>
    <x v="5"/>
    <x v="1"/>
    <x v="10"/>
    <x v="5"/>
    <x v="12"/>
    <s v="Año 2021"/>
    <s v="CLP/Kg"/>
    <s v="Oficina de Estudios y Políticas Agrarias (ODEPA)"/>
    <s v="Precios diarios de hortalizas en mercados mayoristas de la Región de Los Lagos, Año 2021"/>
    <m/>
    <s v="Gráfico"/>
    <s v="Región de Los Lagos hortaliza precio diario pesos kilo mercado mayorista terminal"/>
    <s v="https://analytics.zoho.com/open-view/2395394000008646229?ZOHO_CRITERIA=%22Hortaliza%20Consolidado%22.%22Codreg%22%3D10"/>
    <x v="10"/>
    <s v="#1774B9"/>
  </r>
  <r>
    <s v="0133"/>
    <n v="990"/>
    <s v="Agencia Información"/>
    <s v="Agropecuario y Forestal"/>
    <n v="13"/>
    <x v="11"/>
    <x v="5"/>
    <x v="1"/>
    <x v="13"/>
    <x v="5"/>
    <x v="12"/>
    <s v="Año 2021"/>
    <s v="CLP/Kg"/>
    <s v="Oficina de Estudios y Políticas Agrarias (ODEPA)"/>
    <s v="Precios diarios de hortalizas en mercados mayoristas de la Región Metropolitana, Año 2021"/>
    <m/>
    <s v="Gráfico"/>
    <s v="Región Metropolitana hortaliza precio diario pesos kilo mercado mayorista terminal"/>
    <s v="https://analytics.zoho.com/open-view/2395394000008646229?ZOHO_CRITERIA=%22Hortaliza%20Consolidado%22.%22Codreg%22%3D13"/>
    <x v="13"/>
    <s v="#1774B9"/>
  </r>
  <r>
    <s v="0134"/>
    <n v="990"/>
    <s v="Agencia Información"/>
    <s v="Agropecuario y Forestal"/>
    <n v="15"/>
    <x v="11"/>
    <x v="5"/>
    <x v="1"/>
    <x v="15"/>
    <x v="5"/>
    <x v="12"/>
    <s v="Año 2021"/>
    <s v="CLP/Kg"/>
    <s v="Oficina de Estudios y Políticas Agrarias (ODEPA)"/>
    <s v="Precios diarios de hortalizas en mercados mayoristas de la Región de Arica y Parinacota, Año 2021"/>
    <m/>
    <s v="Gráfico"/>
    <s v="Región de Arica y Parinacota hortaliza precio diario pesos kilo mercado mayorista terminal"/>
    <s v="https://analytics.zoho.com/open-view/2395394000008646229?ZOHO_CRITERIA=%22Hortaliza%20Consolidado%22.%22Codreg%22%3D15"/>
    <x v="15"/>
    <s v="#1774B9"/>
  </r>
  <r>
    <s v="0135"/>
    <n v="990"/>
    <s v="Agencia Información"/>
    <s v="Agropecuario y Forestal"/>
    <n v="16"/>
    <x v="11"/>
    <x v="5"/>
    <x v="1"/>
    <x v="16"/>
    <x v="5"/>
    <x v="12"/>
    <s v="Año 2021"/>
    <s v="CLP/Kg"/>
    <s v="Oficina de Estudios y Políticas Agrarias (ODEPA)"/>
    <s v="Precios diarios de hortalizas en mercados mayoristas de la Región de Ñuble, Año 2021"/>
    <m/>
    <s v="Gráfico"/>
    <s v="Región de Ñuble hortaliza precio diario pesos kilo mercado mayorista terminal"/>
    <s v="https://analytics.zoho.com/open-view/2395394000008646229?ZOHO_CRITERIA=%22Hortaliza%20Consolidado%22.%22Codreg%22%3D16"/>
    <x v="16"/>
    <s v="#1774B9"/>
  </r>
  <r>
    <s v="0136"/>
    <n v="990"/>
    <s v="Agencia Información"/>
    <s v="Agropecuario y Forestal"/>
    <n v="0"/>
    <x v="11"/>
    <x v="5"/>
    <x v="0"/>
    <x v="0"/>
    <x v="6"/>
    <x v="13"/>
    <s v="Año 2021"/>
    <s v="CLP/Kg"/>
    <s v="Oficina de Estudios y Políticas Agrarias (ODEPA)"/>
    <s v="Precios diarios de frutas en mercados mayoristas de Chile, Año 2021"/>
    <s v="Los precios de las frutillas en general se duplican en los meses de invierno con respecto a los meses de verano. Se observa que los mercados Terminal La Palmera de La Serena y Comercializadora del Agro de Limarí tienen los precios más altos, mientras los mercados Macroferia Regional de Talca, Lo Valledor de Santiago y Vega Central Mapocho de Santiago poseen los más bajos."/>
    <s v="Gráfico"/>
    <s v="Chile fruta precio diario pesos kilo mercado mayorista terminal"/>
    <s v="https://analytics.zoho.com/open-view/2395394000008646336"/>
    <x v="0"/>
    <s v="#1774B9"/>
  </r>
  <r>
    <s v="0137"/>
    <n v="990"/>
    <s v="Agencia Información"/>
    <s v="Agropecuario y Forestal"/>
    <n v="4"/>
    <x v="11"/>
    <x v="5"/>
    <x v="1"/>
    <x v="4"/>
    <x v="6"/>
    <x v="13"/>
    <s v="Año 2021"/>
    <s v="CLP/Kg"/>
    <s v="Oficina de Estudios y Políticas Agrarias (ODEPA)"/>
    <s v="Precios diarios de frutas en mercados mayoristas de la Región de Coquimbo, Año 2021"/>
    <m/>
    <s v="Gráfico"/>
    <s v="Región de Coquimbo fruta precio diario pesos kilo mercado mayorista terminal"/>
    <s v="https://analytics.zoho.com/open-view/2395394000008646880?ZOHO_CRITERIA=%22Fruta%20Consolidado%22.%22Codreg%22%3D4"/>
    <x v="4"/>
    <s v="#1774B9"/>
  </r>
  <r>
    <s v="0138"/>
    <n v="990"/>
    <s v="Agencia Información"/>
    <s v="Agropecuario y Forestal"/>
    <n v="5"/>
    <x v="11"/>
    <x v="5"/>
    <x v="1"/>
    <x v="5"/>
    <x v="6"/>
    <x v="13"/>
    <s v="Año 2021"/>
    <s v="CLP/Kg"/>
    <s v="Oficina de Estudios y Políticas Agrarias (ODEPA)"/>
    <s v="Precios diarios de frutas en mercados mayoristas de la Región de Valparaíso, Año 2021"/>
    <m/>
    <s v="Gráfico"/>
    <s v="Región de Valparaíso fruta precio diario pesos kilo mercado mayorista terminal"/>
    <s v="https://analytics.zoho.com/open-view/2395394000008646880?ZOHO_CRITERIA=%22Fruta%20Consolidado%22.%22Codreg%22%3D5"/>
    <x v="5"/>
    <s v="#1774B9"/>
  </r>
  <r>
    <s v="0139"/>
    <n v="990"/>
    <s v="Agencia Información"/>
    <s v="Agropecuario y Forestal"/>
    <n v="7"/>
    <x v="11"/>
    <x v="5"/>
    <x v="1"/>
    <x v="7"/>
    <x v="6"/>
    <x v="13"/>
    <s v="Año 2021"/>
    <s v="CLP/Kg"/>
    <s v="Oficina de Estudios y Políticas Agrarias (ODEPA)"/>
    <s v="Precios diarios de frutas en mercados mayoristas de la Región de Maule, Año 2021"/>
    <m/>
    <s v="Gráfico"/>
    <s v="Región de Maule fruta precio diario pesos kilo mercado mayorista terminal"/>
    <s v="https://analytics.zoho.com/open-view/2395394000008646880?ZOHO_CRITERIA=%22Fruta%20Consolidado%22.%22Codreg%22%3D7"/>
    <x v="7"/>
    <s v="#1774B9"/>
  </r>
  <r>
    <s v="0140"/>
    <n v="990"/>
    <s v="Agencia Información"/>
    <s v="Agropecuario y Forestal"/>
    <n v="8"/>
    <x v="11"/>
    <x v="5"/>
    <x v="1"/>
    <x v="8"/>
    <x v="6"/>
    <x v="13"/>
    <s v="Año 2021"/>
    <s v="CLP/Kg"/>
    <s v="Oficina de Estudios y Políticas Agrarias (ODEPA)"/>
    <s v="Precios diarios de frutas en mercados mayoristas de la Región del Biobío, Año 2021"/>
    <m/>
    <s v="Gráfico"/>
    <s v="Región del Biobío fruta precio diario pesos kilo mercado mayorista terminal"/>
    <s v="https://analytics.zoho.com/open-view/2395394000008646880?ZOHO_CRITERIA=%22Fruta%20Consolidado%22.%22Codreg%22%3D8"/>
    <x v="8"/>
    <s v="#1774B9"/>
  </r>
  <r>
    <s v="0141"/>
    <n v="990"/>
    <s v="Agencia Información"/>
    <s v="Agropecuario y Forestal"/>
    <n v="9"/>
    <x v="11"/>
    <x v="5"/>
    <x v="1"/>
    <x v="9"/>
    <x v="6"/>
    <x v="13"/>
    <s v="Año 2021"/>
    <s v="CLP/Kg"/>
    <s v="Oficina de Estudios y Políticas Agrarias (ODEPA)"/>
    <s v="Precios diarios de frutas en mercados mayoristas de la Región de La Araucanía, Año 2021"/>
    <m/>
    <s v="Gráfico"/>
    <s v="Región de La Araucanía fruta precio diario pesos kilo mercado mayorista terminal"/>
    <s v="https://analytics.zoho.com/open-view/2395394000008646880?ZOHO_CRITERIA=%22Fruta%20Consolidado%22.%22Codreg%22%3D9"/>
    <x v="9"/>
    <s v="#1774B9"/>
  </r>
  <r>
    <s v="0142"/>
    <n v="990"/>
    <s v="Agencia Información"/>
    <s v="Agropecuario y Forestal"/>
    <n v="10"/>
    <x v="11"/>
    <x v="5"/>
    <x v="1"/>
    <x v="10"/>
    <x v="6"/>
    <x v="13"/>
    <s v="Año 2021"/>
    <s v="CLP/Kg"/>
    <s v="Oficina de Estudios y Políticas Agrarias (ODEPA)"/>
    <s v="Precios diarios de frutas en mercados mayoristas de la Región de Los Lagos, Año 2021"/>
    <m/>
    <s v="Gráfico"/>
    <s v="Región de Los Lagos fruta precio diario pesos kilo mercado mayorista terminal"/>
    <s v="https://analytics.zoho.com/open-view/2395394000008646880?ZOHO_CRITERIA=%22Fruta%20Consolidado%22.%22Codreg%22%3D10"/>
    <x v="10"/>
    <s v="#1774B9"/>
  </r>
  <r>
    <s v="0143"/>
    <n v="990"/>
    <s v="Agencia Información"/>
    <s v="Agropecuario y Forestal"/>
    <n v="13"/>
    <x v="11"/>
    <x v="5"/>
    <x v="1"/>
    <x v="13"/>
    <x v="6"/>
    <x v="13"/>
    <s v="Año 2021"/>
    <s v="CLP/Kg"/>
    <s v="Oficina de Estudios y Políticas Agrarias (ODEPA)"/>
    <s v="Precios diarios de frutas en mercados mayoristas de la Región Metropolitana, Año 2021"/>
    <m/>
    <s v="Gráfico"/>
    <s v="Región Metropolitana fruta precio diario pesos kilo mercado mayorista terminal"/>
    <s v="https://analytics.zoho.com/open-view/2395394000008646880?ZOHO_CRITERIA=%22Fruta%20Consolidado%22.%22Codreg%22%3D13"/>
    <x v="13"/>
    <s v="#1774B9"/>
  </r>
  <r>
    <s v="0144"/>
    <n v="990"/>
    <s v="Agencia Información"/>
    <s v="Agropecuario y Forestal"/>
    <n v="15"/>
    <x v="11"/>
    <x v="5"/>
    <x v="1"/>
    <x v="15"/>
    <x v="6"/>
    <x v="13"/>
    <s v="Año 2021"/>
    <s v="CLP/Kg"/>
    <s v="Oficina de Estudios y Políticas Agrarias (ODEPA)"/>
    <s v="Precios diarios de frutas en mercados mayoristas de la Región de Arica y Parinacota, Año 2021"/>
    <m/>
    <s v="Gráfico"/>
    <s v="Región de Arica y Parinacota fruta precio diario pesos kilo mercado mayorista terminal"/>
    <s v="https://analytics.zoho.com/open-view/2395394000008646880?ZOHO_CRITERIA=%22Fruta%20Consolidado%22.%22Codreg%22%3D15"/>
    <x v="15"/>
    <s v="#1774B9"/>
  </r>
  <r>
    <s v="0145"/>
    <n v="990"/>
    <s v="Agencia Información"/>
    <s v="Agropecuario y Forestal"/>
    <n v="16"/>
    <x v="11"/>
    <x v="5"/>
    <x v="1"/>
    <x v="16"/>
    <x v="6"/>
    <x v="13"/>
    <s v="Año 2021"/>
    <s v="CLP/Kg"/>
    <s v="Oficina de Estudios y Políticas Agrarias (ODEPA)"/>
    <s v="Precios diarios de frutas en mercados mayoristas de la Región de Ñuble, Año 2021"/>
    <m/>
    <s v="Gráfico"/>
    <s v="Región de Ñuble fruta precio diario pesos kilo mercado mayorista terminal"/>
    <s v="https://analytics.zoho.com/open-view/2395394000008646880?ZOHO_CRITERIA=%22Fruta%20Consolidado%22.%22Codreg%22%3D16"/>
    <x v="16"/>
    <s v="#1774B9"/>
  </r>
  <r>
    <s v="0146"/>
    <n v="990"/>
    <s v="Agencia Información"/>
    <s v="Arte y cultura"/>
    <n v="0"/>
    <x v="12"/>
    <x v="8"/>
    <x v="0"/>
    <x v="0"/>
    <x v="0"/>
    <x v="14"/>
    <s v="Año 2021"/>
    <s v="Número de espacios culturales"/>
    <s v="Observatorio Cultural"/>
    <s v="Cantidad de Espacios Culturales por Tipo de Titularidad y Comuna en el año 2021"/>
    <s v="Existen 332 comunas que tienen algún tipo de espacio cultural en el país. La comuna que cuenta con la mayor cantidad de espacios culturales es Santiago, con 54 espacios públicos y 40 privados."/>
    <s v="Gráfico"/>
    <s v="Chile espacio cultural titularidad privada pública cultura"/>
    <s v="https://analytics.zoho.com/open-view/2395394000008056226"/>
    <x v="17"/>
    <s v="#1774B9"/>
  </r>
  <r>
    <s v="0147"/>
    <n v="990"/>
    <s v="Agencia Información"/>
    <s v="Arte y cultura"/>
    <n v="1"/>
    <x v="12"/>
    <x v="8"/>
    <x v="1"/>
    <x v="1"/>
    <x v="3"/>
    <x v="14"/>
    <s v="Año 2021"/>
    <s v="Número de espacios culturales"/>
    <s v="Observatorio Cultural"/>
    <s v="Cantidad de Espacios Culturales en la Región de Tarapacá por Tipo de Titularidad y Comuna en el Año 2021"/>
    <m/>
    <s v="Gráfico"/>
    <s v="Región de Tarapacá espacio cultural titularidad privada pública cultura"/>
    <s v="https://analytics.zoho.com/open-view/2395394000008378510?ZOHO_CRITERIA=%22Espacios_Culturales_Completo%201%22.%22C%C3%B3digo_Regi%C3%B3n%22%20%3D%201"/>
    <x v="18"/>
    <s v="#1774B9"/>
  </r>
  <r>
    <s v="0148"/>
    <n v="990"/>
    <s v="Agencia Información"/>
    <s v="Arte y cultura"/>
    <n v="2"/>
    <x v="12"/>
    <x v="8"/>
    <x v="1"/>
    <x v="2"/>
    <x v="3"/>
    <x v="14"/>
    <s v="Año 2021"/>
    <s v="Número de espacios culturales"/>
    <s v="Observatorio Cultural"/>
    <s v="Cantidad de Espacios Culturales en la Región de Antofagasta por Tipo de Titularidad y Comuna en el Año 2021"/>
    <m/>
    <s v="Gráfico"/>
    <s v="Región de Antofagasta espacio cultural titularidad privada pública cultura"/>
    <s v="https://analytics.zoho.com/open-view/2395394000008378510?ZOHO_CRITERIA=%22Espacios_Culturales_Completo%201%22.%22C%C3%B3digo_Regi%C3%B3n%22%20%3D%202"/>
    <x v="19"/>
    <s v="#1774B9"/>
  </r>
  <r>
    <s v="0149"/>
    <n v="990"/>
    <s v="Agencia Información"/>
    <s v="Arte y cultura"/>
    <n v="3"/>
    <x v="12"/>
    <x v="8"/>
    <x v="1"/>
    <x v="3"/>
    <x v="3"/>
    <x v="14"/>
    <s v="Año 2021"/>
    <s v="Número de espacios culturales"/>
    <s v="Observatorio Cultural"/>
    <s v="Cantidad de Espacios Culturales en la Región de Atacama por Tipo de Titularidad y Comuna en el Año 2021"/>
    <m/>
    <s v="Gráfico"/>
    <s v="Región de Atacama espacio cultural titularidad privada pública cultura"/>
    <s v="https://analytics.zoho.com/open-view/2395394000008378510?ZOHO_CRITERIA=%22Espacios_Culturales_Completo%201%22.%22C%C3%B3digo_Regi%C3%B3n%22%20%3D%203"/>
    <x v="20"/>
    <s v="#1774B9"/>
  </r>
  <r>
    <s v="0150"/>
    <n v="990"/>
    <s v="Agencia Información"/>
    <s v="Arte y cultura"/>
    <n v="4"/>
    <x v="12"/>
    <x v="8"/>
    <x v="1"/>
    <x v="4"/>
    <x v="3"/>
    <x v="14"/>
    <s v="Año 2021"/>
    <s v="Número de espacios culturales"/>
    <s v="Observatorio Cultural"/>
    <s v="Cantidad de Espacios Culturales en la Región de Coquimbo por Tipo de Titularidad y Comuna en el Año 2021"/>
    <m/>
    <s v="Gráfico"/>
    <s v="Región de Coquimbo espacio cultural titularidad privada pública cultura"/>
    <s v="https://analytics.zoho.com/open-view/2395394000008378510?ZOHO_CRITERIA=%22Espacios_Culturales_Completo%201%22.%22C%C3%B3digo_Regi%C3%B3n%22%20%3D%204"/>
    <x v="21"/>
    <s v="#1774B9"/>
  </r>
  <r>
    <s v="0151"/>
    <n v="990"/>
    <s v="Agencia Información"/>
    <s v="Arte y cultura"/>
    <n v="5"/>
    <x v="12"/>
    <x v="8"/>
    <x v="1"/>
    <x v="5"/>
    <x v="3"/>
    <x v="14"/>
    <s v="Año 2021"/>
    <s v="Número de espacios culturales"/>
    <s v="Observatorio Cultural"/>
    <s v="Cantidad de Espacios Culturales en la Región de Valparaíso por Tipo de Titularidad y Comuna en el Año 2021"/>
    <m/>
    <s v="Gráfico"/>
    <s v="Región de Valparaíso espacio cultural titularidad privada pública cultura"/>
    <s v="https://analytics.zoho.com/open-view/2395394000008378510?ZOHO_CRITERIA=%22Espacios_Culturales_Completo%201%22.%22C%C3%B3digo_Regi%C3%B3n%22%20%3D%205"/>
    <x v="22"/>
    <s v="#1774B9"/>
  </r>
  <r>
    <s v="0152"/>
    <n v="990"/>
    <s v="Agencia Información"/>
    <s v="Arte y cultura"/>
    <n v="6"/>
    <x v="12"/>
    <x v="8"/>
    <x v="1"/>
    <x v="6"/>
    <x v="3"/>
    <x v="14"/>
    <s v="Año 2021"/>
    <s v="Número de espacios culturales"/>
    <s v="Observatorio Cultural"/>
    <s v="Cantidad de Espacios Culturales en la Región de O'Higgins por Tipo de Titularidad y Comuna en el Año 2021"/>
    <m/>
    <s v="Gráfico"/>
    <s v="Región de O'Higgins espacio cultural titularidad privada pública cultura"/>
    <s v="https://analytics.zoho.com/open-view/2395394000008378510?ZOHO_CRITERIA=%22Espacios_Culturales_Completo%201%22.%22C%C3%B3digo_Regi%C3%B3n%22%20%3D%206"/>
    <x v="23"/>
    <s v="#1774B9"/>
  </r>
  <r>
    <s v="0153"/>
    <n v="990"/>
    <s v="Agencia Información"/>
    <s v="Arte y cultura"/>
    <n v="7"/>
    <x v="12"/>
    <x v="8"/>
    <x v="1"/>
    <x v="7"/>
    <x v="3"/>
    <x v="14"/>
    <s v="Año 2021"/>
    <s v="Número de espacios culturales"/>
    <s v="Observatorio Cultural"/>
    <s v="Cantidad de Espacios Culturales en la Región de Maule por Tipo de Titularidad y Comuna en el Año 2021"/>
    <m/>
    <s v="Gráfico"/>
    <s v="Región de Maule espacio cultural titularidad privada pública cultura"/>
    <s v="https://analytics.zoho.com/open-view/2395394000008378510?ZOHO_CRITERIA=%22Espacios_Culturales_Completo%201%22.%22C%C3%B3digo_Regi%C3%B3n%22%20%3D%207"/>
    <x v="24"/>
    <s v="#1774B9"/>
  </r>
  <r>
    <s v="0154"/>
    <n v="990"/>
    <s v="Agencia Información"/>
    <s v="Arte y cultura"/>
    <n v="8"/>
    <x v="12"/>
    <x v="8"/>
    <x v="1"/>
    <x v="8"/>
    <x v="3"/>
    <x v="14"/>
    <s v="Año 2021"/>
    <s v="Número de espacios culturales"/>
    <s v="Observatorio Cultural"/>
    <s v="Cantidad de Espacios Culturales en la Región del Biobío por Tipo de Titularidad y Comuna en el Año 2021"/>
    <m/>
    <s v="Gráfico"/>
    <s v="Región del Biobío espacio cultural titularidad privada pública cultura"/>
    <s v="https://analytics.zoho.com/open-view/2395394000008378510?ZOHO_CRITERIA=%22Espacios_Culturales_Completo%201%22.%22C%C3%B3digo_Regi%C3%B3n%22%20%3D%208"/>
    <x v="25"/>
    <s v="#1774B9"/>
  </r>
  <r>
    <s v="0155"/>
    <n v="990"/>
    <s v="Agencia Información"/>
    <s v="Arte y cultura"/>
    <n v="9"/>
    <x v="12"/>
    <x v="8"/>
    <x v="1"/>
    <x v="9"/>
    <x v="3"/>
    <x v="14"/>
    <s v="Año 2021"/>
    <s v="Número de espacios culturales"/>
    <s v="Observatorio Cultural"/>
    <s v="Cantidad de Espacios Culturales en la Región de La Araucanía por Tipo de Titularidad y Comuna en el Año 2021"/>
    <m/>
    <s v="Gráfico"/>
    <s v="Región de La Araucanía espacio cultural titularidad privada pública cultura"/>
    <s v="https://analytics.zoho.com/open-view/2395394000008378510?ZOHO_CRITERIA=%22Espacios_Culturales_Completo%201%22.%22C%C3%B3digo_Regi%C3%B3n%22%20%3D%209"/>
    <x v="26"/>
    <s v="#1774B9"/>
  </r>
  <r>
    <s v="0156"/>
    <n v="990"/>
    <s v="Agencia Información"/>
    <s v="Arte y cultura"/>
    <n v="10"/>
    <x v="12"/>
    <x v="8"/>
    <x v="1"/>
    <x v="10"/>
    <x v="3"/>
    <x v="14"/>
    <s v="Año 2021"/>
    <s v="Número de espacios culturales"/>
    <s v="Observatorio Cultural"/>
    <s v="Cantidad de Espacios Culturales en la Región de Los Lagos por Tipo de Titularidad y Comuna en el Año 2021"/>
    <m/>
    <s v="Gráfico"/>
    <s v="Región de Los Lagos espacio cultural titularidad privada pública cultura"/>
    <s v="https://analytics.zoho.com/open-view/2395394000008378510?ZOHO_CRITERIA=%22Espacios_Culturales_Completo%201%22.%22C%C3%B3digo_Regi%C3%B3n%22%20%3D%2010"/>
    <x v="27"/>
    <s v="#1774B9"/>
  </r>
  <r>
    <s v="0157"/>
    <n v="990"/>
    <s v="Agencia Información"/>
    <s v="Arte y cultura"/>
    <n v="11"/>
    <x v="12"/>
    <x v="8"/>
    <x v="1"/>
    <x v="11"/>
    <x v="3"/>
    <x v="14"/>
    <s v="Año 2021"/>
    <s v="Número de espacios culturales"/>
    <s v="Observatorio Cultural"/>
    <s v="Cantidad de Espacios Culturales en la Región de Aysén por Tipo de Titularidad y Comuna en el Año 2021"/>
    <m/>
    <s v="Gráfico"/>
    <s v="Región de Aysén espacio cultural titularidad privada pública cultura"/>
    <s v="https://analytics.zoho.com/open-view/2395394000008378510?ZOHO_CRITERIA=%22Espacios_Culturales_Completo%201%22.%22C%C3%B3digo_Regi%C3%B3n%22%20%3D%2011"/>
    <x v="28"/>
    <s v="#1774B9"/>
  </r>
  <r>
    <s v="0158"/>
    <n v="990"/>
    <s v="Agencia Información"/>
    <s v="Arte y cultura"/>
    <n v="12"/>
    <x v="12"/>
    <x v="8"/>
    <x v="1"/>
    <x v="12"/>
    <x v="3"/>
    <x v="14"/>
    <s v="Año 2021"/>
    <s v="Número de espacios culturales"/>
    <s v="Observatorio Cultural"/>
    <s v="Cantidad de Espacios Culturales en la Región de Magallanes por Tipo de Titularidad y Comuna en el Año 2021"/>
    <m/>
    <s v="Gráfico"/>
    <s v="Región de Magallanes espacio cultural titularidad privada pública cultura"/>
    <s v="https://analytics.zoho.com/open-view/2395394000008378510?ZOHO_CRITERIA=%22Espacios_Culturales_Completo%201%22.%22C%C3%B3digo_Regi%C3%B3n%22%20%3D%2012"/>
    <x v="29"/>
    <s v="#1774B9"/>
  </r>
  <r>
    <s v="0159"/>
    <n v="990"/>
    <s v="Agencia Información"/>
    <s v="Arte y cultura"/>
    <n v="13"/>
    <x v="12"/>
    <x v="8"/>
    <x v="1"/>
    <x v="13"/>
    <x v="3"/>
    <x v="14"/>
    <s v="Año 2021"/>
    <s v="Número de espacios culturales"/>
    <s v="Observatorio Cultural"/>
    <s v="Cantidad de Espacios Culturales en la Región Metropolitana por Tipo de Titularidad y Comuna en el Año 2021"/>
    <m/>
    <s v="Gráfico"/>
    <s v="Región Metropolitana espacio cultural titularidad privada pública cultura"/>
    <s v="https://analytics.zoho.com/open-view/2395394000008378510?ZOHO_CRITERIA=%22Espacios_Culturales_Completo%201%22.%22C%C3%B3digo_Regi%C3%B3n%22%20%3D%2013"/>
    <x v="30"/>
    <s v="#1774B9"/>
  </r>
  <r>
    <s v="0160"/>
    <n v="990"/>
    <s v="Agencia Información"/>
    <s v="Arte y cultura"/>
    <n v="14"/>
    <x v="12"/>
    <x v="8"/>
    <x v="1"/>
    <x v="14"/>
    <x v="3"/>
    <x v="14"/>
    <s v="Año 2021"/>
    <s v="Número de espacios culturales"/>
    <s v="Observatorio Cultural"/>
    <s v="Cantidad de Espacios Culturales en la Región de Los Ríos por Tipo de Titularidad y Comuna en el Año 2021"/>
    <m/>
    <s v="Gráfico"/>
    <s v="Región de Los Ríos espacio cultural titularidad privada pública cultura"/>
    <s v="https://analytics.zoho.com/open-view/2395394000008378510?ZOHO_CRITERIA=%22Espacios_Culturales_Completo%201%22.%22C%C3%B3digo_Regi%C3%B3n%22%20%3D%2014"/>
    <x v="31"/>
    <s v="#1774B9"/>
  </r>
  <r>
    <s v="0161"/>
    <n v="990"/>
    <s v="Agencia Información"/>
    <s v="Arte y cultura"/>
    <n v="15"/>
    <x v="12"/>
    <x v="8"/>
    <x v="1"/>
    <x v="15"/>
    <x v="3"/>
    <x v="14"/>
    <s v="Año 2021"/>
    <s v="Número de espacios culturales"/>
    <s v="Observatorio Cultural"/>
    <s v="Cantidad de Espacios Culturales en la Región de Arica y Parinacota por Tipo de Titularidad y Comuna en el Año 2021"/>
    <m/>
    <s v="Gráfico"/>
    <s v="Región de Arica y Parinacota espacio cultural titularidad privada pública cultura"/>
    <s v="https://analytics.zoho.com/open-view/2395394000008378510?ZOHO_CRITERIA=%22Espacios_Culturales_Completo%201%22.%22C%C3%B3digo_Regi%C3%B3n%22%20%3D%2015"/>
    <x v="32"/>
    <s v="#1774B9"/>
  </r>
  <r>
    <s v="0162"/>
    <n v="990"/>
    <s v="Agencia Información"/>
    <s v="Arte y cultura"/>
    <n v="16"/>
    <x v="12"/>
    <x v="8"/>
    <x v="1"/>
    <x v="16"/>
    <x v="3"/>
    <x v="14"/>
    <s v="Año 2021"/>
    <s v="Número de espacios culturales"/>
    <s v="Observatorio Cultural"/>
    <s v="Cantidad de Espacios Culturales en la Región de Ñuble por Tipo de Titularidad y Comuna en el Año 2021"/>
    <m/>
    <s v="Gráfico"/>
    <s v="Región de Ñuble espacio cultural titularidad privada pública cultura"/>
    <s v="https://analytics.zoho.com/open-view/2395394000008378510?ZOHO_CRITERIA=%22Espacios_Culturales_Completo%201%22.%22C%C3%B3digo_Regi%C3%B3n%22%20%3D%2016"/>
    <x v="33"/>
    <s v="#1774B9"/>
  </r>
  <r>
    <s v="0163"/>
    <n v="990"/>
    <s v="Agencia Información"/>
    <s v="Social"/>
    <n v="0"/>
    <x v="13"/>
    <x v="9"/>
    <x v="0"/>
    <x v="0"/>
    <x v="0"/>
    <x v="15"/>
    <s v="Periodo 2008-2021"/>
    <s v="Porcentaje (%)"/>
    <s v="Centro de Estudios y Análisis del Delito (CEAD) de la Subsecretaría de Prevención del Delito"/>
    <s v="Variación Anual de Frecuencia de Delitos de Mayor Connotación Social en Chile, Periodo 2008-2021"/>
    <s v="A nivel nacional, se observa que los años 2009 y 2011 fueron los que tuvieron un mayor incremento anual en la frecuencia de delitos, con un 8,3% y 9,8% respectivamente. En los últimos 6 años, se aprecia una tendencia a la baja, la cual se exacerba considerablemente el año 2020. Al analizar el periodo completo, la frecuencia del último año es un 24,1% menor que la del año 2009, lo cual se explica en gran medida por la baja ocurrida en el año 2020."/>
    <s v="Dashboard"/>
    <s v="Chile delitos mayor connotación social variación anual frecuencia"/>
    <s v="https://app.powerbi.com/view?r=eyJrIjoiYzhiZDQ3N2YtMmRkOS00NzAyLThjNjItNzk0NWM1NWE1YjE0IiwidCI6IjhmYmFhNWJmLTJlY2MtNGRjOC1iNTZiLThmOTJlMzA3ZjA3NiIsImMiOjR9"/>
    <x v="17"/>
    <s v="#1774B9"/>
  </r>
  <r>
    <s v="0164"/>
    <n v="990"/>
    <s v="Agencia Información"/>
    <s v="Social"/>
    <n v="1"/>
    <x v="13"/>
    <x v="9"/>
    <x v="1"/>
    <x v="1"/>
    <x v="3"/>
    <x v="15"/>
    <s v="Periodo 2008-2021"/>
    <s v="Porcentaje (%)"/>
    <s v="Centro de Estudios y Análisis del Delito (CEAD) de la Subsecretaría de Prevención del Delito"/>
    <s v="Variación Anual de Frecuencia de Delitos de Mayor Connotación Social en la Región de Tarapacá, Periodo 2008-2021"/>
    <m/>
    <s v="Dashboard"/>
    <s v="Región de Tarapacá delitos mayor connotación social variación anual frecuencia"/>
    <s v="https://app.powerbi.com/view?r=eyJrIjoiNDQzYmFiMjctODc3Ny00N2ZlLTgyNTctMzBmMmY3NTdhNmQ3IiwidCI6IjhmYmFhNWJmLTJlY2MtNGRjOC1iNTZiLThmOTJlMzA3ZjA3NiIsImMiOjR9"/>
    <x v="18"/>
    <s v="#1774B9"/>
  </r>
  <r>
    <s v="0165"/>
    <n v="990"/>
    <s v="Agencia Información"/>
    <s v="Social"/>
    <n v="2"/>
    <x v="13"/>
    <x v="9"/>
    <x v="1"/>
    <x v="2"/>
    <x v="3"/>
    <x v="15"/>
    <s v="Periodo 2008-2021"/>
    <s v="Porcentaje (%)"/>
    <s v="Centro de Estudios y Análisis del Delito (CEAD) de la Subsecretaría de Prevención del Delito"/>
    <s v="Variación Anual de Frecuencia de Delitos de Mayor Connotación Social en la Región de Antofagasta, Periodo 2008-2021"/>
    <m/>
    <s v="Dashboard"/>
    <s v="Región de Antofagasta delitos mayor connotación social variación anual frecuencia"/>
    <s v="https://app.powerbi.com/view?r=eyJrIjoiNzYyYzA1MTQtYjU4ZC00YmIyLTgxMTMtODQ1MzE1OTdkZTU5IiwidCI6IjhmYmFhNWJmLTJlY2MtNGRjOC1iNTZiLThmOTJlMzA3ZjA3NiIsImMiOjR9"/>
    <x v="19"/>
    <s v="#1774B9"/>
  </r>
  <r>
    <s v="0166"/>
    <n v="990"/>
    <s v="Agencia Información"/>
    <s v="Social"/>
    <n v="3"/>
    <x v="13"/>
    <x v="9"/>
    <x v="1"/>
    <x v="3"/>
    <x v="3"/>
    <x v="15"/>
    <s v="Periodo 2008-2021"/>
    <s v="Porcentaje (%)"/>
    <s v="Centro de Estudios y Análisis del Delito (CEAD) de la Subsecretaría de Prevención del Delito"/>
    <s v="Variación Anual de Frecuencia de Delitos de Mayor Connotación Social en la Región de Atacama, Periodo 2008-2021"/>
    <m/>
    <s v="Dashboard"/>
    <s v="Región de Atacama delitos mayor connotación social variación anual frecuencia"/>
    <s v="https://app.powerbi.com/view?r=eyJrIjoiNzYyYzA1MTQtYjU4ZC00YmIyLTgxMTMtODQ1MzE1OTdkZTU5IiwidCI6IjhmYmFhNWJmLTJlY2MtNGRjOC1iNTZiLThmOTJlMzA3ZjA3NiIsImMiOjR9"/>
    <x v="20"/>
    <s v="#1774B9"/>
  </r>
  <r>
    <s v="0167"/>
    <n v="990"/>
    <s v="Agencia Información"/>
    <s v="Social"/>
    <n v="4"/>
    <x v="13"/>
    <x v="9"/>
    <x v="1"/>
    <x v="4"/>
    <x v="3"/>
    <x v="15"/>
    <s v="Periodo 2008-2021"/>
    <s v="Porcentaje (%)"/>
    <s v="Centro de Estudios y Análisis del Delito (CEAD) de la Subsecretaría de Prevención del Delito"/>
    <s v="Variación Anual de Frecuencia de Delitos de Mayor Connotación Social en la Región de Coquimbo, Periodo 2008-2021"/>
    <m/>
    <s v="Dashboard"/>
    <s v="Región de Coquimbo delitos mayor connotación social variación anual frecuencia"/>
    <s v="https://app.powerbi.com/view?r=eyJrIjoiYTRjMTJkZmEtNzNlMC00ODRlLWIxMzYtNzAzYWVlMGQ2YTU0IiwidCI6IjhmYmFhNWJmLTJlY2MtNGRjOC1iNTZiLThmOTJlMzA3ZjA3NiIsImMiOjR9"/>
    <x v="21"/>
    <s v="#1774B9"/>
  </r>
  <r>
    <s v="0168"/>
    <n v="990"/>
    <s v="Agencia Información"/>
    <s v="Social"/>
    <n v="5"/>
    <x v="13"/>
    <x v="9"/>
    <x v="1"/>
    <x v="5"/>
    <x v="3"/>
    <x v="15"/>
    <s v="Periodo 2008-2021"/>
    <s v="Porcentaje (%)"/>
    <s v="Centro de Estudios y Análisis del Delito (CEAD) de la Subsecretaría de Prevención del Delito"/>
    <s v="Variación Anual de Frecuencia de Delitos de Mayor Connotación Social en la Región de Valparaíso, Periodo 2008-2021"/>
    <m/>
    <s v="Dashboard"/>
    <s v="Región de Valparaíso delitos mayor connotación social variación anual frecuencia"/>
    <s v="https://app.powerbi.com/view?r=eyJrIjoiZThkYzY0YTItNWE2NS00MjE5LTgzNTItOWFmNjE2NWE5NTIwIiwidCI6IjhmYmFhNWJmLTJlY2MtNGRjOC1iNTZiLThmOTJlMzA3ZjA3NiIsImMiOjR9"/>
    <x v="22"/>
    <s v="#1774B9"/>
  </r>
  <r>
    <s v="0169"/>
    <n v="990"/>
    <s v="Agencia Información"/>
    <s v="Social"/>
    <n v="6"/>
    <x v="13"/>
    <x v="9"/>
    <x v="1"/>
    <x v="6"/>
    <x v="3"/>
    <x v="15"/>
    <s v="Periodo 2008-2021"/>
    <s v="Porcentaje (%)"/>
    <s v="Centro de Estudios y Análisis del Delito (CEAD) de la Subsecretaría de Prevención del Delito"/>
    <s v="Variación Anual de Frecuencia de Delitos de Mayor Connotación Social en la Región de O'Higgins, Periodo 2008-2021"/>
    <m/>
    <s v="Dashboard"/>
    <s v="Región de O'Higgins delitos mayor connotación social variación anual frecuencia"/>
    <s v="https://app.powerbi.com/view?r=eyJrIjoiNWIxNzRiOTctMWUyMi00YjkzLWJmMDUtN2UzODhlZWFlZjA1IiwidCI6IjhmYmFhNWJmLTJlY2MtNGRjOC1iNTZiLThmOTJlMzA3ZjA3NiIsImMiOjR9"/>
    <x v="23"/>
    <s v="#1774B9"/>
  </r>
  <r>
    <s v="0170"/>
    <n v="990"/>
    <s v="Agencia Información"/>
    <s v="Social"/>
    <n v="7"/>
    <x v="13"/>
    <x v="9"/>
    <x v="1"/>
    <x v="7"/>
    <x v="3"/>
    <x v="15"/>
    <s v="Periodo 2008-2021"/>
    <s v="Porcentaje (%)"/>
    <s v="Centro de Estudios y Análisis del Delito (CEAD) de la Subsecretaría de Prevención del Delito"/>
    <s v="Variación Anual de Frecuencia de Delitos de Mayor Connotación Social en la Región de Maule, Periodo 2008-2021"/>
    <m/>
    <s v="Dashboard"/>
    <s v="Región de Maule delitos mayor connotación social variación anual frecuencia"/>
    <s v="https://app.powerbi.com/view?r=eyJrIjoiOWIxNDkwMzUtMGQyNi00ZGEzLWE1OGItYTI1OGM4Njk1NjlhIiwidCI6IjhmYmFhNWJmLTJlY2MtNGRjOC1iNTZiLThmOTJlMzA3ZjA3NiIsImMiOjR9"/>
    <x v="24"/>
    <s v="#1774B9"/>
  </r>
  <r>
    <s v="0171"/>
    <n v="990"/>
    <s v="Agencia Información"/>
    <s v="Social"/>
    <n v="8"/>
    <x v="13"/>
    <x v="9"/>
    <x v="1"/>
    <x v="8"/>
    <x v="3"/>
    <x v="15"/>
    <s v="Periodo 2008-2021"/>
    <s v="Porcentaje (%)"/>
    <s v="Centro de Estudios y Análisis del Delito (CEAD) de la Subsecretaría de Prevención del Delito"/>
    <s v="Variación Anual de Frecuencia de Delitos de Mayor Connotación Social en la Región del Biobío, Periodo 2008-2021"/>
    <m/>
    <s v="Dashboard"/>
    <s v="Región del Biobío delitos mayor connotación social variación anual frecuencia"/>
    <s v="https://app.powerbi.com/view?r=eyJrIjoiYzgzMTI1M2UtNmViNS00YTA0LTk2NGYtMTFmYmExYTczNWRhIiwidCI6IjhmYmFhNWJmLTJlY2MtNGRjOC1iNTZiLThmOTJlMzA3ZjA3NiIsImMiOjR9"/>
    <x v="25"/>
    <s v="#1774B9"/>
  </r>
  <r>
    <s v="0172"/>
    <n v="990"/>
    <s v="Agencia Información"/>
    <s v="Social"/>
    <n v="9"/>
    <x v="13"/>
    <x v="9"/>
    <x v="1"/>
    <x v="9"/>
    <x v="3"/>
    <x v="15"/>
    <s v="Periodo 2008-2021"/>
    <s v="Porcentaje (%)"/>
    <s v="Centro de Estudios y Análisis del Delito (CEAD) de la Subsecretaría de Prevención del Delito"/>
    <s v="Variación Anual de Frecuencia de Delitos de Mayor Connotación Social en la Región de La Araucanía, Periodo 2008-2021"/>
    <m/>
    <s v="Dashboard"/>
    <s v="Región de La Araucanía delitos mayor connotación social variación anual frecuencia"/>
    <s v="https://app.powerbi.com/view?r=eyJrIjoiZmVjZWI5N2YtMjVhMS00Zjc1LWFmN2YtZDM4NDA1ODMzMGNiIiwidCI6IjhmYmFhNWJmLTJlY2MtNGRjOC1iNTZiLThmOTJlMzA3ZjA3NiIsImMiOjR9"/>
    <x v="26"/>
    <s v="#1774B9"/>
  </r>
  <r>
    <s v="0173"/>
    <n v="990"/>
    <s v="Agencia Información"/>
    <s v="Social"/>
    <n v="10"/>
    <x v="13"/>
    <x v="9"/>
    <x v="1"/>
    <x v="10"/>
    <x v="3"/>
    <x v="15"/>
    <s v="Periodo 2008-2021"/>
    <s v="Porcentaje (%)"/>
    <s v="Centro de Estudios y Análisis del Delito (CEAD) de la Subsecretaría de Prevención del Delito"/>
    <s v="Variación Anual de Frecuencia de Delitos de Mayor Connotación Social en la Región de Los Lagos, Periodo 2008-2021"/>
    <m/>
    <s v="Dashboard"/>
    <s v="Región de Los Lagos delitos mayor connotación social variación anual frecuencia"/>
    <s v="https://app.powerbi.com/view?r=eyJrIjoiNDExYTM1N2EtYTNiYi00OGNkLThhMjMtMDVjNGQ5NzNjZTU1IiwidCI6IjhmYmFhNWJmLTJlY2MtNGRjOC1iNTZiLThmOTJlMzA3ZjA3NiIsImMiOjR9"/>
    <x v="27"/>
    <s v="#1774B9"/>
  </r>
  <r>
    <s v="0174"/>
    <n v="990"/>
    <s v="Agencia Información"/>
    <s v="Social"/>
    <n v="11"/>
    <x v="13"/>
    <x v="9"/>
    <x v="1"/>
    <x v="11"/>
    <x v="3"/>
    <x v="15"/>
    <s v="Periodo 2008-2021"/>
    <s v="Porcentaje (%)"/>
    <s v="Centro de Estudios y Análisis del Delito (CEAD) de la Subsecretaría de Prevención del Delito"/>
    <s v="Variación Anual de Frecuencia de Delitos de Mayor Connotación Social en la Región de Aysén, Periodo 2008-2021"/>
    <m/>
    <s v="Dashboard"/>
    <s v="Región de Aysén delitos mayor connotación social variación anual frecuencia"/>
    <s v="https://app.powerbi.com/view?r=eyJrIjoiMzk2YjAzMGUtYTE2Zi00ZGU3LTg1ZjAtN2IxNzExMjg3N2E1IiwidCI6IjhmYmFhNWJmLTJlY2MtNGRjOC1iNTZiLThmOTJlMzA3ZjA3NiIsImMiOjR9"/>
    <x v="28"/>
    <s v="#1774B9"/>
  </r>
  <r>
    <s v="0175"/>
    <n v="990"/>
    <s v="Agencia Información"/>
    <s v="Social"/>
    <n v="12"/>
    <x v="13"/>
    <x v="9"/>
    <x v="1"/>
    <x v="12"/>
    <x v="3"/>
    <x v="15"/>
    <s v="Periodo 2008-2021"/>
    <s v="Porcentaje (%)"/>
    <s v="Centro de Estudios y Análisis del Delito (CEAD) de la Subsecretaría de Prevención del Delito"/>
    <s v="Variación Anual de Frecuencia de Delitos de Mayor Connotación Social en la Región de Magallanes, Periodo 2008-2021"/>
    <m/>
    <s v="Dashboard"/>
    <s v="Región de Magallanes delitos mayor connotación social variación anual frecuencia"/>
    <s v="https://app.powerbi.com/view?r=eyJrIjoiZWNmYzYxNjQtMTQ1OC00MTkwLWFkYTUtYzUwZmM0NWVjN2U2IiwidCI6IjhmYmFhNWJmLTJlY2MtNGRjOC1iNTZiLThmOTJlMzA3ZjA3NiIsImMiOjR9"/>
    <x v="29"/>
    <s v="#1774B9"/>
  </r>
  <r>
    <s v="0176"/>
    <n v="990"/>
    <s v="Agencia Información"/>
    <s v="Social"/>
    <n v="13"/>
    <x v="13"/>
    <x v="9"/>
    <x v="1"/>
    <x v="13"/>
    <x v="3"/>
    <x v="15"/>
    <s v="Periodo 2008-2021"/>
    <s v="Porcentaje (%)"/>
    <s v="Centro de Estudios y Análisis del Delito (CEAD) de la Subsecretaría de Prevención del Delito"/>
    <s v="Variación Anual de Frecuencia de Delitos de Mayor Connotación Social en la Región Metropolitana, Periodo 2008-2021"/>
    <m/>
    <s v="Dashboard"/>
    <s v="Región Metropolitana delitos mayor connotación social variación anual frecuencia"/>
    <s v="https://app.powerbi.com/view?r=eyJrIjoiNWYxNzdhNGItMDA0OC00ZjY5LWI0YTUtMDUwYzk1M2JmZGVhIiwidCI6IjhmYmFhNWJmLTJlY2MtNGRjOC1iNTZiLThmOTJlMzA3ZjA3NiIsImMiOjR9"/>
    <x v="30"/>
    <s v="#1774B9"/>
  </r>
  <r>
    <s v="0177"/>
    <n v="990"/>
    <s v="Agencia Información"/>
    <s v="Social"/>
    <n v="14"/>
    <x v="13"/>
    <x v="9"/>
    <x v="1"/>
    <x v="14"/>
    <x v="3"/>
    <x v="15"/>
    <s v="Periodo 2008-2021"/>
    <s v="Porcentaje (%)"/>
    <s v="Centro de Estudios y Análisis del Delito (CEAD) de la Subsecretaría de Prevención del Delito"/>
    <s v="Variación Anual de Frecuencia de Delitos de Mayor Connotación Social en la Región de Los Ríos, Periodo 2008-2021"/>
    <m/>
    <s v="Dashboard"/>
    <s v="Región de Los Ríos delitos mayor connotación social variación anual frecuencia"/>
    <s v="https://app.powerbi.com/view?r=eyJrIjoiMzlhNGFhN2QtNjRlZi00YjY1LTlmNzctMmRmZDZkNWUwNmIzIiwidCI6IjhmYmFhNWJmLTJlY2MtNGRjOC1iNTZiLThmOTJlMzA3ZjA3NiIsImMiOjR9"/>
    <x v="31"/>
    <s v="#1774B9"/>
  </r>
  <r>
    <s v="0178"/>
    <n v="990"/>
    <s v="Agencia Información"/>
    <s v="Social"/>
    <n v="15"/>
    <x v="13"/>
    <x v="9"/>
    <x v="1"/>
    <x v="15"/>
    <x v="3"/>
    <x v="15"/>
    <s v="Periodo 2008-2021"/>
    <s v="Porcentaje (%)"/>
    <s v="Centro de Estudios y Análisis del Delito (CEAD) de la Subsecretaría de Prevención del Delito"/>
    <s v="Variación Anual de Frecuencia de Delitos de Mayor Connotación Social en la Región de Arica y Parinacota, Periodo 2008-2021"/>
    <m/>
    <s v="Dashboard"/>
    <s v="Región de Arica y Parinacota delitos mayor connotación social variación anual frecuencia"/>
    <s v="https://app.powerbi.com/view?r=eyJrIjoiODk3Zjc3ZTItZTdlNi00NGRlLTljYzktZTM5OTQ1YzI1MDYxIiwidCI6IjhmYmFhNWJmLTJlY2MtNGRjOC1iNTZiLThmOTJlMzA3ZjA3NiIsImMiOjR9"/>
    <x v="32"/>
    <s v="#1774B9"/>
  </r>
  <r>
    <s v="0179"/>
    <n v="990"/>
    <s v="Agencia Información"/>
    <s v="Social"/>
    <n v="16"/>
    <x v="13"/>
    <x v="9"/>
    <x v="1"/>
    <x v="16"/>
    <x v="3"/>
    <x v="15"/>
    <s v="Periodo 2008-2021"/>
    <s v="Porcentaje (%)"/>
    <s v="Centro de Estudios y Análisis del Delito (CEAD) de la Subsecretaría de Prevención del Delito"/>
    <s v="Variación Anual de Frecuencia de Delitos de Mayor Connotación Social en la Región de Ñuble, Periodo 2008-2021"/>
    <m/>
    <s v="Dashboard"/>
    <s v="Región de Ñuble delitos mayor connotación social variación anual frecuencia"/>
    <s v="https://app.powerbi.com/view?r=eyJrIjoiZDZiYjg2ODAtOGYwZS00MGNlLTkwZWEtZTU3NDMwOTZjZGYxIiwidCI6IjhmYmFhNWJmLTJlY2MtNGRjOC1iNTZiLThmOTJlMzA3ZjA3NiIsImMiOjR9"/>
    <x v="33"/>
    <s v="#1774B9"/>
  </r>
  <r>
    <s v="0180"/>
    <n v="990"/>
    <s v="Agencia Información"/>
    <s v="Mujeres"/>
    <n v="0"/>
    <x v="14"/>
    <x v="2"/>
    <x v="0"/>
    <x v="0"/>
    <x v="1"/>
    <x v="16"/>
    <s v="Periodo 2019-2021"/>
    <s v="Número de Casos"/>
    <s v="Fiscalía Nacional"/>
    <s v="Evolución trimestral de Casos de Violencia Intrafamiliar presentados a la Fiscalía, a nivel nacional"/>
    <s v="El segundo trimestre del año 2020 registra la menor cantidad de casos de Violencia Intrafamiliar (VIF) presentados a la Fiscalía Nacional, con 7.496 casos de víctimas hombres y 22.517 casos de víctimas mujeres."/>
    <s v="Gráfico de Evolución"/>
    <s v="Chile violencia intrafamiliar VIF casos fiscalía mujeres hombres año nacional"/>
    <s v="https://analytics.zoho.com/open-view/2395394000007782028"/>
    <x v="34"/>
    <s v="#1774B9"/>
  </r>
  <r>
    <s v="0181"/>
    <n v="990"/>
    <s v="Agencia Información"/>
    <s v="Mujeres"/>
    <n v="0"/>
    <x v="14"/>
    <x v="2"/>
    <x v="0"/>
    <x v="0"/>
    <x v="0"/>
    <x v="17"/>
    <s v="Periodo 2019-2021"/>
    <s v="Número de Casos"/>
    <s v="Fiscalía Nacional"/>
    <s v="Evolución trimestral de Casos de Violencia Intrafamiliar presentados frente a la Fiscalía Nacional en Chile"/>
    <m/>
    <s v="Gráfico de Evolución"/>
    <s v="Chile violencia intrafamiliar VIF casos fiscalía mujeres hombres año regional"/>
    <s v="https://analytics.zoho.com/open-view/2395394000008210549"/>
    <x v="0"/>
    <s v="#1774B9"/>
  </r>
  <r>
    <s v="0182"/>
    <n v="990"/>
    <s v="Agencia Información"/>
    <s v="Mujeres"/>
    <n v="1"/>
    <x v="14"/>
    <x v="2"/>
    <x v="1"/>
    <x v="1"/>
    <x v="1"/>
    <x v="17"/>
    <s v="Periodo 2019-2021"/>
    <s v="Número de Casos"/>
    <s v="Fiscalía Nacional"/>
    <s v="Evolución trimestral de Casos de Violencia Intrafamiliar presentados frente a la Fiscalía Nacional en la Región de Tarapacá"/>
    <m/>
    <s v="Gráfico de Evolución"/>
    <s v="Región de Tarapacá violencia intrafamiliar VIF casos fiscalía mujeres hombres año regional"/>
    <s v="https://analytics.zoho.com/open-view/2395394000007782059?ZOHO_CRITERIA=%22Trasposicion_27.4%22.%22Cod_Regi%C3%B3n%22%3D1"/>
    <x v="1"/>
    <s v="#1774B9"/>
  </r>
  <r>
    <s v="0183"/>
    <n v="990"/>
    <s v="Agencia Información"/>
    <s v="Mujeres"/>
    <n v="2"/>
    <x v="14"/>
    <x v="2"/>
    <x v="1"/>
    <x v="2"/>
    <x v="1"/>
    <x v="17"/>
    <s v="Periodo 2019-2021"/>
    <s v="Número de Casos"/>
    <s v="Fiscalía Nacional"/>
    <s v="Evolución trimestral de Casos de Violencia Intrafamiliar presentados frente a la Fiscalía Nacional en la Región de Antofagasta"/>
    <m/>
    <s v="Gráfico de Evolución"/>
    <s v="Región de Antofagasta violencia intrafamiliar VIF casos fiscalía mujeres hombres año regional"/>
    <s v="https://analytics.zoho.com/open-view/2395394000007782059?ZOHO_CRITERIA=%22Trasposicion_27.4%22.%22Cod_Regi%C3%B3n%22%3D2"/>
    <x v="2"/>
    <s v="#1774B9"/>
  </r>
  <r>
    <s v="0184"/>
    <n v="990"/>
    <s v="Agencia Información"/>
    <s v="Mujeres"/>
    <n v="3"/>
    <x v="14"/>
    <x v="2"/>
    <x v="1"/>
    <x v="3"/>
    <x v="1"/>
    <x v="17"/>
    <s v="Periodo 2019-2021"/>
    <s v="Número de Casos"/>
    <s v="Fiscalía Nacional"/>
    <s v="Evolución trimestral de Casos de Violencia Intrafamiliar presentados frente a la Fiscalía Nacional en la Región de Atacama"/>
    <m/>
    <s v="Gráfico de Evolución"/>
    <s v="Región de Atacama violencia intrafamiliar VIF casos fiscalía mujeres hombres año regional"/>
    <s v="https://analytics.zoho.com/open-view/2395394000007782059?ZOHO_CRITERIA=%22Trasposicion_27.4%22.%22Cod_Regi%C3%B3n%22%3D3"/>
    <x v="3"/>
    <s v="#1774B9"/>
  </r>
  <r>
    <s v="0185"/>
    <n v="990"/>
    <s v="Agencia Información"/>
    <s v="Mujeres"/>
    <n v="4"/>
    <x v="14"/>
    <x v="2"/>
    <x v="1"/>
    <x v="4"/>
    <x v="1"/>
    <x v="17"/>
    <s v="Periodo 2019-2021"/>
    <s v="Número de Casos"/>
    <s v="Fiscalía Nacional"/>
    <s v="Evolución trimestral de Casos de Violencia Intrafamiliar presentados frente a la Fiscalía Nacional en la Región de Coquimbo"/>
    <m/>
    <s v="Gráfico de Evolución"/>
    <s v="Región de Coquimbo violencia intrafamiliar VIF casos fiscalía mujeres hombres año regional"/>
    <s v="https://analytics.zoho.com/open-view/2395394000007782059?ZOHO_CRITERIA=%22Trasposicion_27.4%22.%22Cod_Regi%C3%B3n%22%3D4"/>
    <x v="4"/>
    <s v="#1774B9"/>
  </r>
  <r>
    <s v="0186"/>
    <n v="990"/>
    <s v="Agencia Información"/>
    <s v="Mujeres"/>
    <n v="5"/>
    <x v="14"/>
    <x v="2"/>
    <x v="1"/>
    <x v="5"/>
    <x v="1"/>
    <x v="17"/>
    <s v="Periodo 2019-2021"/>
    <s v="Número de Casos"/>
    <s v="Fiscalía Nacional"/>
    <s v="Evolución trimestral de Casos de Violencia Intrafamiliar presentados frente a la Fiscalía Nacional en la Región de Valparaíso"/>
    <m/>
    <s v="Gráfico de Evolución"/>
    <s v="Región de Valparaíso violencia intrafamiliar VIF casos fiscalía mujeres hombres año regional"/>
    <s v="https://analytics.zoho.com/open-view/2395394000007782059?ZOHO_CRITERIA=%22Trasposicion_27.4%22.%22Cod_Regi%C3%B3n%22%3D5"/>
    <x v="5"/>
    <s v="#1774B9"/>
  </r>
  <r>
    <s v="0187"/>
    <n v="990"/>
    <s v="Agencia Información"/>
    <s v="Mujeres"/>
    <n v="6"/>
    <x v="14"/>
    <x v="2"/>
    <x v="1"/>
    <x v="6"/>
    <x v="1"/>
    <x v="17"/>
    <s v="Periodo 2019-2021"/>
    <s v="Número de Casos"/>
    <s v="Fiscalía Nacional"/>
    <s v="Evolución trimestral de Casos de Violencia Intrafamiliar presentados frente a la Fiscalía Nacional en la Región de O'Higgins"/>
    <m/>
    <s v="Gráfico de Evolución"/>
    <s v="Región de O'Higgins violencia intrafamiliar VIF casos fiscalía mujeres hombres año regional"/>
    <s v="https://analytics.zoho.com/open-view/2395394000007782059?ZOHO_CRITERIA=%22Trasposicion_27.4%22.%22Cod_Regi%C3%B3n%22%3D6"/>
    <x v="6"/>
    <s v="#1774B9"/>
  </r>
  <r>
    <s v="0188"/>
    <n v="990"/>
    <s v="Agencia Información"/>
    <s v="Mujeres"/>
    <n v="7"/>
    <x v="14"/>
    <x v="2"/>
    <x v="1"/>
    <x v="7"/>
    <x v="1"/>
    <x v="17"/>
    <s v="Periodo 2019-2021"/>
    <s v="Número de Casos"/>
    <s v="Fiscalía Nacional"/>
    <s v="Evolución trimestral de Casos de Violencia Intrafamiliar presentados frente a la Fiscalía Nacional en la Región de Maule"/>
    <m/>
    <s v="Gráfico de Evolución"/>
    <s v="Región de Maule violencia intrafamiliar VIF casos fiscalía mujeres hombres año regional"/>
    <s v="https://analytics.zoho.com/open-view/2395394000007782059?ZOHO_CRITERIA=%22Trasposicion_27.4%22.%22Cod_Regi%C3%B3n%22%3D7"/>
    <x v="7"/>
    <s v="#1774B9"/>
  </r>
  <r>
    <s v="0189"/>
    <n v="990"/>
    <s v="Agencia Información"/>
    <s v="Mujeres"/>
    <n v="8"/>
    <x v="14"/>
    <x v="2"/>
    <x v="1"/>
    <x v="8"/>
    <x v="1"/>
    <x v="17"/>
    <s v="Periodo 2019-2021"/>
    <s v="Número de Casos"/>
    <s v="Fiscalía Nacional"/>
    <s v="Evolución trimestral de Casos de Violencia Intrafamiliar presentados frente a la Fiscalía Nacional en la Región del Biobío"/>
    <m/>
    <s v="Gráfico de Evolución"/>
    <s v="Región del Biobío violencia intrafamiliar VIF casos fiscalía mujeres hombres año regional"/>
    <s v="https://analytics.zoho.com/open-view/2395394000007782059?ZOHO_CRITERIA=%22Trasposicion_27.4%22.%22Cod_Regi%C3%B3n%22%3D8"/>
    <x v="8"/>
    <s v="#1774B9"/>
  </r>
  <r>
    <s v="0190"/>
    <n v="990"/>
    <s v="Agencia Información"/>
    <s v="Mujeres"/>
    <n v="9"/>
    <x v="14"/>
    <x v="2"/>
    <x v="1"/>
    <x v="9"/>
    <x v="1"/>
    <x v="17"/>
    <s v="Periodo 2019-2021"/>
    <s v="Número de Casos"/>
    <s v="Fiscalía Nacional"/>
    <s v="Evolución trimestral de Casos de Violencia Intrafamiliar presentados frente a la Fiscalía Nacional en la Región de La Araucanía"/>
    <m/>
    <s v="Gráfico de Evolución"/>
    <s v="Región de La Araucanía violencia intrafamiliar VIF casos fiscalía mujeres hombres año regional"/>
    <s v="https://analytics.zoho.com/open-view/2395394000007782059?ZOHO_CRITERIA=%22Trasposicion_27.4%22.%22Cod_Regi%C3%B3n%22%3D9"/>
    <x v="9"/>
    <s v="#1774B9"/>
  </r>
  <r>
    <s v="0191"/>
    <n v="990"/>
    <s v="Agencia Información"/>
    <s v="Mujeres"/>
    <n v="10"/>
    <x v="14"/>
    <x v="2"/>
    <x v="1"/>
    <x v="10"/>
    <x v="1"/>
    <x v="17"/>
    <s v="Periodo 2019-2021"/>
    <s v="Número de Casos"/>
    <s v="Fiscalía Nacional"/>
    <s v="Evolución trimestral de Casos de Violencia Intrafamiliar presentados frente a la Fiscalía Nacional en la Región de Los Lagos"/>
    <m/>
    <s v="Gráfico de Evolución"/>
    <s v="Región de Los Lagos violencia intrafamiliar VIF casos fiscalía mujeres hombres año regional"/>
    <s v="https://analytics.zoho.com/open-view/2395394000007782059?ZOHO_CRITERIA=%22Trasposicion_27.4%22.%22Cod_Regi%C3%B3n%22%3D10"/>
    <x v="10"/>
    <s v="#1774B9"/>
  </r>
  <r>
    <s v="0192"/>
    <n v="990"/>
    <s v="Agencia Información"/>
    <s v="Mujeres"/>
    <n v="11"/>
    <x v="14"/>
    <x v="2"/>
    <x v="1"/>
    <x v="11"/>
    <x v="1"/>
    <x v="17"/>
    <s v="Periodo 2019-2021"/>
    <s v="Número de Casos"/>
    <s v="Fiscalía Nacional"/>
    <s v="Evolución trimestral de Casos de Violencia Intrafamiliar presentados frente a la Fiscalía Nacional en la Región de Aysén"/>
    <m/>
    <s v="Gráfico de Evolución"/>
    <s v="Región de Aysén violencia intrafamiliar VIF casos fiscalía mujeres hombres año regional"/>
    <s v="https://analytics.zoho.com/open-view/2395394000007782059?ZOHO_CRITERIA=%22Trasposicion_27.4%22.%22Cod_Regi%C3%B3n%22%3D11"/>
    <x v="11"/>
    <s v="#1774B9"/>
  </r>
  <r>
    <s v="0193"/>
    <n v="990"/>
    <s v="Agencia Información"/>
    <s v="Mujeres"/>
    <n v="12"/>
    <x v="14"/>
    <x v="2"/>
    <x v="1"/>
    <x v="12"/>
    <x v="1"/>
    <x v="17"/>
    <s v="Periodo 2019-2021"/>
    <s v="Número de Casos"/>
    <s v="Fiscalía Nacional"/>
    <s v="Evolución trimestral de Casos de Violencia Intrafamiliar presentados frente a la Fiscalía Nacional en la Región de Magallanes"/>
    <m/>
    <s v="Gráfico de Evolución"/>
    <s v="Región de Magallanes violencia intrafamiliar VIF casos fiscalía mujeres hombres año regional"/>
    <s v="https://analytics.zoho.com/open-view/2395394000007782059?ZOHO_CRITERIA=%22Trasposicion_27.4%22.%22Cod_Regi%C3%B3n%22%3D12"/>
    <x v="12"/>
    <s v="#1774B9"/>
  </r>
  <r>
    <s v="0194"/>
    <n v="990"/>
    <s v="Agencia Información"/>
    <s v="Mujeres"/>
    <n v="13"/>
    <x v="14"/>
    <x v="2"/>
    <x v="1"/>
    <x v="13"/>
    <x v="1"/>
    <x v="17"/>
    <s v="Periodo 2019-2021"/>
    <s v="Número de Casos"/>
    <s v="Fiscalía Nacional"/>
    <s v="Evolución trimestral de Casos de Violencia Intrafamiliar presentados frente a la Fiscalía Nacional en la Región Metropolitana"/>
    <s v="En la región metropolitana, el tercer trimestre del año 2019, fue el trimestre con mayor cantidad de casos de Violencia Intrafamiliar (VIF) presentados ante la fiscalía nacional, con 30.487 casos, siendo 22.883 casos en que las víctimas son mujeres y 7.604 casos en que las víctimas son hombres."/>
    <s v="Gráfico de Evolución"/>
    <s v="Región Metropolitana violencia intrafamiliar VIF casos fiscalía mujeres hombres año regional"/>
    <s v="https://analytics.zoho.com/open-view/2395394000007782059?ZOHO_CRITERIA=%22Trasposicion_27.4%22.%22Cod_Regi%C3%B3n%22%3D13"/>
    <x v="13"/>
    <s v="#1774B9"/>
  </r>
  <r>
    <s v="0195"/>
    <n v="990"/>
    <s v="Agencia Información"/>
    <s v="Mujeres"/>
    <n v="14"/>
    <x v="14"/>
    <x v="2"/>
    <x v="1"/>
    <x v="14"/>
    <x v="1"/>
    <x v="17"/>
    <s v="Periodo 2019-2021"/>
    <s v="Número de Casos"/>
    <s v="Fiscalía Nacional"/>
    <s v="Evolución trimestral de Casos de Violencia Intrafamiliar presentados frente a la Fiscalía Nacional en la Región de Los Ríos"/>
    <m/>
    <s v="Gráfico de Evolución"/>
    <s v="Región de Los Ríos violencia intrafamiliar VIF casos fiscalía mujeres hombres año regional"/>
    <s v="https://analytics.zoho.com/open-view/2395394000007782059?ZOHO_CRITERIA=%22Trasposicion_27.4%22.%22Cod_Regi%C3%B3n%22%3D14"/>
    <x v="14"/>
    <s v="#1774B9"/>
  </r>
  <r>
    <s v="0196"/>
    <n v="990"/>
    <s v="Agencia Información"/>
    <s v="Mujeres"/>
    <n v="15"/>
    <x v="14"/>
    <x v="2"/>
    <x v="1"/>
    <x v="15"/>
    <x v="1"/>
    <x v="17"/>
    <s v="Periodo 2019-2021"/>
    <s v="Número de Casos"/>
    <s v="Fiscalía Nacional"/>
    <s v="Evolución trimestral de Casos de Violencia Intrafamiliar presentados frente a la Fiscalía Nacional en la Región de Arica y Parinacota"/>
    <m/>
    <s v="Gráfico de Evolución"/>
    <s v="Región de Arica y Parinacota violencia intrafamiliar VIF casos fiscalía mujeres hombres año regional"/>
    <s v="https://analytics.zoho.com/open-view/2395394000007782059?ZOHO_CRITERIA=%22Trasposicion_27.4%22.%22Cod_Regi%C3%B3n%22%3D15"/>
    <x v="15"/>
    <s v="#1774B9"/>
  </r>
  <r>
    <s v="0197"/>
    <n v="990"/>
    <s v="Agencia Información"/>
    <s v="Mujeres"/>
    <n v="16"/>
    <x v="14"/>
    <x v="2"/>
    <x v="1"/>
    <x v="16"/>
    <x v="1"/>
    <x v="17"/>
    <s v="Periodo 2019-2021"/>
    <s v="Número de Casos"/>
    <s v="Fiscalía Nacional"/>
    <s v="Evolución trimestral de Casos de Violencia Intrafamiliar presentados frente a la Fiscalía Nacional en la Región de Ñuble"/>
    <m/>
    <s v="Gráfico de Evolución"/>
    <s v="Región de Ñuble violencia intrafamiliar VIF casos fiscalía mujeres hombres año regional"/>
    <s v="https://analytics.zoho.com/open-view/2395394000007782059?ZOHO_CRITERIA=%22Trasposicion_27.4%22.%22Cod_Regi%C3%B3n%22%3D16"/>
    <x v="16"/>
    <s v="#1774B9"/>
  </r>
  <r>
    <s v="0198"/>
    <n v="990"/>
    <s v="Agencia Información"/>
    <s v="Mujeres"/>
    <n v="0"/>
    <x v="14"/>
    <x v="2"/>
    <x v="0"/>
    <x v="0"/>
    <x v="0"/>
    <x v="18"/>
    <s v="Periodo 2020-2021"/>
    <s v="Número de Denuncias"/>
    <s v="Centro de Estudios y Análisis del Delito (CEAD) de la Subsecretaría de Prevención del Delito"/>
    <s v="Cantidad de Denuncias por Violencia Intrafamiliar hacia la mujer, acumuladas en el Periodo 2020-2021"/>
    <s v="La comuna de Puente Alto, es la comuna del país que posee mayor cantidad de denuncias por Violencia Intrafamiliar hacia la mujer, para el periodo comprendido entre el mes de enero del año 2020 y el mes de marzo del año 2021, con 3.199 denuncias. En segundo lugar se encuentra Puerto Montt con 2.091 denuncias. Las comunas de Timaukel y Primavera, entre otras, poseen 0 denuncias durante este período."/>
    <s v="Mapa de calor"/>
    <s v="Chile comunal VIF violencia intrafamiliar denuncias CEAD mujer"/>
    <s v="https://analytics.zoho.com/open-view/2395394000008206985"/>
    <x v="17"/>
    <s v="#1774B9"/>
  </r>
  <r>
    <s v="0199"/>
    <n v="990"/>
    <s v="Agencia Información"/>
    <s v="Mujeres"/>
    <n v="1"/>
    <x v="14"/>
    <x v="2"/>
    <x v="1"/>
    <x v="1"/>
    <x v="1"/>
    <x v="18"/>
    <s v="Periodo 2020-2021"/>
    <s v="Número de Denuncias"/>
    <s v="Centro de Estudios y Análisis del Delito (CEAD) de la Subsecretaría de Prevención del Delito"/>
    <s v="Cantidad de Denuncias por Violencia Intrafamiliar hacia la mujer, en la Región de Tarapacá, acumuladas en el Periodo 2020-2021"/>
    <m/>
    <s v="Mapa de calor"/>
    <s v="Región de Tarapacá comunal VIF violencia intrafamiliar denuncias CEAD mujer"/>
    <s v="https://analytics.zoho.com/open-view/2395394000007782100?ZOHO_CRITERIA=%22Localiza%20CL%22.%22Codreg%22%3D1"/>
    <x v="18"/>
    <s v="#1774B9"/>
  </r>
  <r>
    <s v="0200"/>
    <n v="990"/>
    <s v="Agencia Información"/>
    <s v="Mujeres"/>
    <n v="2"/>
    <x v="14"/>
    <x v="2"/>
    <x v="1"/>
    <x v="2"/>
    <x v="1"/>
    <x v="18"/>
    <s v="Periodo 2020-2021"/>
    <s v="Número de Denuncias"/>
    <s v="Centro de Estudios y Análisis del Delito (CEAD) de la Subsecretaría de Prevención del Delito"/>
    <s v="Sentencias Dictadas por delitos de Abuso Sexual en la Región de Antofagasta para el Periodo 2020-2021"/>
    <m/>
    <s v="Mapa de calor"/>
    <s v="Región de Antofagasta comunal VIF violencia intrafamiliar denuncias CEAD mujer"/>
    <s v="https://analytics.zoho.com/open-view/2395394000007782100?ZOHO_CRITERIA=%22Localiza%20CL%22.%22Codreg%22%3D2"/>
    <x v="19"/>
    <s v="#1774B9"/>
  </r>
  <r>
    <s v="0201"/>
    <n v="990"/>
    <s v="Agencia Información"/>
    <s v="Mujeres"/>
    <n v="3"/>
    <x v="14"/>
    <x v="2"/>
    <x v="1"/>
    <x v="3"/>
    <x v="1"/>
    <x v="18"/>
    <s v="Periodo 2020-2021"/>
    <s v="Número de Denuncias"/>
    <s v="Centro de Estudios y Análisis del Delito (CEAD) de la Subsecretaría de Prevención del Delito"/>
    <s v="Sentencias Dictadas por delitos de Abuso Sexual en la Región de Atacama para el Periodo 2020-2021"/>
    <m/>
    <s v="Mapa de calor"/>
    <s v="Región de Atacama comunal VIF violencia intrafamiliar denuncias CEAD mujer"/>
    <s v="https://analytics.zoho.com/open-view/2395394000007782100?ZOHO_CRITERIA=%22Localiza%20CL%22.%22Codreg%22%3D3"/>
    <x v="20"/>
    <s v="#1774B9"/>
  </r>
  <r>
    <s v="0202"/>
    <n v="990"/>
    <s v="Agencia Información"/>
    <s v="Mujeres"/>
    <n v="4"/>
    <x v="14"/>
    <x v="2"/>
    <x v="1"/>
    <x v="4"/>
    <x v="1"/>
    <x v="18"/>
    <s v="Periodo 2020-2021"/>
    <s v="Número de Denuncias"/>
    <s v="Centro de Estudios y Análisis del Delito (CEAD) de la Subsecretaría de Prevención del Delito"/>
    <s v="Sentencias Dictadas por delitos de Abuso Sexual en la Región de Coquimbo para el Periodo 2020-2021"/>
    <m/>
    <s v="Mapa de calor"/>
    <s v="Región de Coquimbo comunal VIF violencia intrafamiliar denuncias CEAD mujer"/>
    <s v="https://analytics.zoho.com/open-view/2395394000007782100?ZOHO_CRITERIA=%22Localiza%20CL%22.%22Codreg%22%3D4"/>
    <x v="21"/>
    <s v="#1774B9"/>
  </r>
  <r>
    <s v="0203"/>
    <n v="990"/>
    <s v="Agencia Información"/>
    <s v="Mujeres"/>
    <n v="5"/>
    <x v="14"/>
    <x v="2"/>
    <x v="1"/>
    <x v="5"/>
    <x v="1"/>
    <x v="18"/>
    <s v="Periodo 2020-2021"/>
    <s v="Número de Denuncias"/>
    <s v="Centro de Estudios y Análisis del Delito (CEAD) de la Subsecretaría de Prevención del Delito"/>
    <s v="Sentencias Dictadas por delitos de Abuso Sexual en la Región de Valparaíso para el Periodo 2020-2021"/>
    <m/>
    <s v="Mapa de calor"/>
    <s v="Región de Valparaíso comunal VIF violencia intrafamiliar denuncias CEAD mujer"/>
    <s v="https://analytics.zoho.com/open-view/2395394000007782100?ZOHO_CRITERIA=%22Localiza%20CL%22.%22Codreg%22%3D5"/>
    <x v="22"/>
    <s v="#1774B9"/>
  </r>
  <r>
    <s v="0204"/>
    <n v="990"/>
    <s v="Agencia Información"/>
    <s v="Mujeres"/>
    <n v="6"/>
    <x v="14"/>
    <x v="2"/>
    <x v="1"/>
    <x v="6"/>
    <x v="1"/>
    <x v="18"/>
    <s v="Periodo 2020-2021"/>
    <s v="Número de Denuncias"/>
    <s v="Centro de Estudios y Análisis del Delito (CEAD) de la Subsecretaría de Prevención del Delito"/>
    <s v="Sentencias Dictadas por delitos de Abuso Sexual en la Región de O'Higgins para el Periodo 2020-2021"/>
    <m/>
    <s v="Mapa de calor"/>
    <s v="Región de O'Higgins comunal VIF violencia intrafamiliar denuncias CEAD mujer"/>
    <s v="https://analytics.zoho.com/open-view/2395394000007782100?ZOHO_CRITERIA=%22Localiza%20CL%22.%22Codreg%22%3D6"/>
    <x v="23"/>
    <s v="#1774B9"/>
  </r>
  <r>
    <s v="0205"/>
    <n v="990"/>
    <s v="Agencia Información"/>
    <s v="Mujeres"/>
    <n v="7"/>
    <x v="14"/>
    <x v="2"/>
    <x v="1"/>
    <x v="7"/>
    <x v="1"/>
    <x v="18"/>
    <s v="Periodo 2020-2021"/>
    <s v="Número de Denuncias"/>
    <s v="Centro de Estudios y Análisis del Delito (CEAD) de la Subsecretaría de Prevención del Delito"/>
    <s v="Sentencias Dictadas por delitos de Abuso Sexual en la Región de Maule para el Periodo 2020-2021"/>
    <m/>
    <s v="Mapa de calor"/>
    <s v="Región de Maule comunal VIF violencia intrafamiliar denuncias CEAD mujer"/>
    <s v="https://analytics.zoho.com/open-view/2395394000007782100?ZOHO_CRITERIA=%22Localiza%20CL%22.%22Codreg%22%3D7"/>
    <x v="24"/>
    <s v="#1774B9"/>
  </r>
  <r>
    <s v="0206"/>
    <n v="990"/>
    <s v="Agencia Información"/>
    <s v="Mujeres"/>
    <n v="8"/>
    <x v="14"/>
    <x v="2"/>
    <x v="1"/>
    <x v="8"/>
    <x v="1"/>
    <x v="18"/>
    <s v="Periodo 2020-2021"/>
    <s v="Número de Denuncias"/>
    <s v="Centro de Estudios y Análisis del Delito (CEAD) de la Subsecretaría de Prevención del Delito"/>
    <s v="Sentencias Dictadas por delitos de Abuso Sexual en la Región del Biobío para el Periodo 2020-2021"/>
    <m/>
    <s v="Mapa de calor"/>
    <s v="Región del Biobío comunal VIF violencia intrafamiliar denuncias CEAD mujer"/>
    <s v="https://analytics.zoho.com/open-view/2395394000007782100?ZOHO_CRITERIA=%22Localiza%20CL%22.%22Codreg%22%3D8"/>
    <x v="25"/>
    <s v="#1774B9"/>
  </r>
  <r>
    <s v="0207"/>
    <n v="990"/>
    <s v="Agencia Información"/>
    <s v="Mujeres"/>
    <n v="9"/>
    <x v="14"/>
    <x v="2"/>
    <x v="1"/>
    <x v="9"/>
    <x v="1"/>
    <x v="18"/>
    <s v="Periodo 2020-2021"/>
    <s v="Número de Denuncias"/>
    <s v="Centro de Estudios y Análisis del Delito (CEAD) de la Subsecretaría de Prevención del Delito"/>
    <s v="Sentencias Dictadas por delitos de Abuso Sexual en la Región de La Araucanía para el Periodo 2020-2021"/>
    <m/>
    <s v="Mapa de calor"/>
    <s v="Región de La Araucanía comunal VIF violencia intrafamiliar denuncias CEAD mujer"/>
    <s v="https://analytics.zoho.com/open-view/2395394000007782100?ZOHO_CRITERIA=%22Localiza%20CL%22.%22Codreg%22%3D9"/>
    <x v="26"/>
    <s v="#1774B9"/>
  </r>
  <r>
    <s v="0208"/>
    <n v="990"/>
    <s v="Agencia Información"/>
    <s v="Mujeres"/>
    <n v="10"/>
    <x v="14"/>
    <x v="2"/>
    <x v="1"/>
    <x v="10"/>
    <x v="1"/>
    <x v="18"/>
    <s v="Periodo 2020-2021"/>
    <s v="Número de Denuncias"/>
    <s v="Centro de Estudios y Análisis del Delito (CEAD) de la Subsecretaría de Prevención del Delito"/>
    <s v="Sentencias Dictadas por delitos de Abuso Sexual en la Región de Los Lagos para el Periodo 2020-2021"/>
    <m/>
    <s v="Mapa de calor"/>
    <s v="Región de Los Lagos comunal VIF violencia intrafamiliar denuncias CEAD mujer"/>
    <s v="https://analytics.zoho.com/open-view/2395394000007782100?ZOHO_CRITERIA=%22Localiza%20CL%22.%22Codreg%22%3D10"/>
    <x v="27"/>
    <s v="#1774B9"/>
  </r>
  <r>
    <s v="0209"/>
    <n v="990"/>
    <s v="Agencia Información"/>
    <s v="Mujeres"/>
    <n v="11"/>
    <x v="14"/>
    <x v="2"/>
    <x v="1"/>
    <x v="11"/>
    <x v="1"/>
    <x v="18"/>
    <s v="Periodo 2020-2021"/>
    <s v="Número de Denuncias"/>
    <s v="Centro de Estudios y Análisis del Delito (CEAD) de la Subsecretaría de Prevención del Delito"/>
    <s v="Sentencias Dictadas por delitos de Abuso Sexual en la Región de Aysén para el Periodo 2020-2021"/>
    <m/>
    <s v="Mapa de calor"/>
    <s v="Región de Aysén comunal VIF violencia intrafamiliar denuncias CEAD mujer"/>
    <s v="https://analytics.zoho.com/open-view/2395394000007782100?ZOHO_CRITERIA=%22Localiza%20CL%22.%22Codreg%22%3D11"/>
    <x v="28"/>
    <s v="#1774B9"/>
  </r>
  <r>
    <s v="0210"/>
    <n v="990"/>
    <s v="Agencia Información"/>
    <s v="Mujeres"/>
    <n v="12"/>
    <x v="14"/>
    <x v="2"/>
    <x v="1"/>
    <x v="12"/>
    <x v="1"/>
    <x v="18"/>
    <s v="Periodo 2020-2021"/>
    <s v="Número de Denuncias"/>
    <s v="Centro de Estudios y Análisis del Delito (CEAD) de la Subsecretaría de Prevención del Delito"/>
    <s v="Sentencias Dictadas por delitos de Abuso Sexual en la Región de Magallanes para el Periodo 2020-2021"/>
    <m/>
    <s v="Mapa de calor"/>
    <s v="Región de Magallanes comunal VIF violencia intrafamiliar denuncias CEAD mujer"/>
    <s v="https://analytics.zoho.com/open-view/2395394000007782100?ZOHO_CRITERIA=%22Localiza%20CL%22.%22Codreg%22%3D12"/>
    <x v="29"/>
    <s v="#1774B9"/>
  </r>
  <r>
    <s v="0211"/>
    <n v="990"/>
    <s v="Agencia Información"/>
    <s v="Mujeres"/>
    <n v="13"/>
    <x v="14"/>
    <x v="2"/>
    <x v="1"/>
    <x v="13"/>
    <x v="1"/>
    <x v="18"/>
    <s v="Periodo 2020-2021"/>
    <s v="Número de Denuncias"/>
    <s v="Centro de Estudios y Análisis del Delito (CEAD) de la Subsecretaría de Prevención del Delito"/>
    <s v="Sentencias Dictadas por delitos de Abuso Sexual en la Región Metropolitana para el Periodo 2020-2021"/>
    <m/>
    <s v="Mapa de calor"/>
    <s v="Región Metropolitana comunal VIF violencia intrafamiliar denuncias CEAD mujer"/>
    <s v="https://analytics.zoho.com/open-view/2395394000007782100?ZOHO_CRITERIA=%22Localiza%20CL%22.%22Codreg%22%3D13"/>
    <x v="30"/>
    <s v="#1774B9"/>
  </r>
  <r>
    <s v="0212"/>
    <n v="990"/>
    <s v="Agencia Información"/>
    <s v="Mujeres"/>
    <n v="14"/>
    <x v="14"/>
    <x v="2"/>
    <x v="1"/>
    <x v="14"/>
    <x v="1"/>
    <x v="18"/>
    <s v="Periodo 2020-2021"/>
    <s v="Número de Denuncias"/>
    <s v="Centro de Estudios y Análisis del Delito (CEAD) de la Subsecretaría de Prevención del Delito"/>
    <s v="Sentencias Dictadas por delitos de Abuso Sexual en la Región de Los Ríos para el Periodo 2020-2021"/>
    <m/>
    <s v="Mapa de calor"/>
    <s v="Región de Los Ríos comunal VIF violencia intrafamiliar denuncias CEAD mujer"/>
    <s v="https://analytics.zoho.com/open-view/2395394000007782100?ZOHO_CRITERIA=%22Localiza%20CL%22.%22Codreg%22%3D14"/>
    <x v="31"/>
    <s v="#1774B9"/>
  </r>
  <r>
    <s v="0213"/>
    <n v="990"/>
    <s v="Agencia Información"/>
    <s v="Mujeres"/>
    <n v="15"/>
    <x v="14"/>
    <x v="2"/>
    <x v="1"/>
    <x v="15"/>
    <x v="1"/>
    <x v="18"/>
    <s v="Periodo 2020-2021"/>
    <s v="Número de Denuncias"/>
    <s v="Centro de Estudios y Análisis del Delito (CEAD) de la Subsecretaría de Prevención del Delito"/>
    <s v="Sentencias Dictadas por delitos de Abuso Sexual en la Región de Arica y Parinacota para el Periodo 2020-2021"/>
    <m/>
    <s v="Mapa de calor"/>
    <s v="Región de Arica y Parinacota comunal VIF violencia intrafamiliar denuncias CEAD mujer"/>
    <s v="https://analytics.zoho.com/open-view/2395394000007782100?ZOHO_CRITERIA=%22Localiza%20CL%22.%22Codreg%22%3D15"/>
    <x v="32"/>
    <s v="#1774B9"/>
  </r>
  <r>
    <s v="0214"/>
    <n v="990"/>
    <s v="Agencia Información"/>
    <s v="Mujeres"/>
    <n v="16"/>
    <x v="14"/>
    <x v="2"/>
    <x v="1"/>
    <x v="16"/>
    <x v="1"/>
    <x v="18"/>
    <s v="Periodo 2020-2021"/>
    <s v="Número de Denuncias"/>
    <s v="Centro de Estudios y Análisis del Delito (CEAD) de la Subsecretaría de Prevención del Delito"/>
    <s v="Sentencias Dictadas por delitos de Abuso Sexual en la Región de Ñuble para el Periodo 2020-2021"/>
    <m/>
    <s v="Mapa de calor"/>
    <s v="Región de Ñuble comunal VIF violencia intrafamiliar denuncias CEAD mujer"/>
    <s v="https://analytics.zoho.com/open-view/2395394000007782100?ZOHO_CRITERIA=%22Localiza%20CL%22.%22Codreg%22%3D16"/>
    <x v="33"/>
    <s v="#1774B9"/>
  </r>
  <r>
    <s v="0215"/>
    <n v="990"/>
    <s v="Agencia Información"/>
    <s v="Agropecuario y Forestal"/>
    <n v="0"/>
    <x v="15"/>
    <x v="5"/>
    <x v="0"/>
    <x v="0"/>
    <x v="1"/>
    <x v="19"/>
    <s v="Periodo 2018-2020"/>
    <s v="Toneladas"/>
    <s v="Oficina de Estudios y Políticas Agrarias (ODEPA)"/>
    <s v="Toneladas de fruta producidas en Chile por tipo de envase utilizado"/>
    <s v="El 40,1% de la fruta producida a nivel nacional es envasada en plástico, siendo el tipo de envase más utilizado. En segundo lugar está el papel y cartón con un 28,9%. Los materiales reutilizables como madera y vidrio suman entre ambos un 12,7%, siendo el Tetra-Brix el tipo de envase menos utilizado con un 0,3%."/>
    <s v="Gráfico "/>
    <s v="Chile fruta producida producción envases envasada plástico vidrio madera papel cartón metal"/>
    <s v="https://analytics.zoho.com/open-view/2395394000007782157"/>
    <x v="34"/>
    <s v="#1774B9"/>
  </r>
  <r>
    <s v="0216"/>
    <n v="990"/>
    <s v="Agencia Información"/>
    <s v="Agropecuario y Forestal"/>
    <n v="0"/>
    <x v="7"/>
    <x v="5"/>
    <x v="0"/>
    <x v="0"/>
    <x v="3"/>
    <x v="20"/>
    <s v="Periodo 2018-2020"/>
    <s v="Toneladas"/>
    <s v="Oficina de Estudios y Políticas Agrarias (ODEPA)"/>
    <s v="Proporción del destino de la fruta producida por Chile, en el Periodo 2018-2020"/>
    <m/>
    <s v="Gráfico "/>
    <s v="Chile fruta producción tonelada europa américa asia continente destino interno externo"/>
    <s v="https://analytics.zoho.com/open-view/2395394000008207372"/>
    <x v="17"/>
    <s v="#1774B9"/>
  </r>
  <r>
    <s v="0217"/>
    <n v="990"/>
    <s v="Agencia Información"/>
    <s v="Agropecuario y Forestal"/>
    <n v="1"/>
    <x v="7"/>
    <x v="5"/>
    <x v="1"/>
    <x v="1"/>
    <x v="3"/>
    <x v="20"/>
    <s v="Periodo 2018-2020"/>
    <s v="Toneladas"/>
    <s v="Oficina de Estudios y Políticas Agrarias (ODEPA)"/>
    <s v="Proporción del destino de la fruta producida por la Región de Tarapacá, en el Periodo 2018-2020"/>
    <m/>
    <s v="Gráfico "/>
    <s v="Región de Tarapacá fruta producción tonelada europa américa asia continente destino interno externo"/>
    <s v="https://analytics.zoho.com/open-view/2395394000008207486?ZOHO_CRITERIA=%224.6%22.%22C%C3%B3digo_Regi%C3%B3n%22%3D1"/>
    <x v="18"/>
    <s v="#1774B9"/>
  </r>
  <r>
    <s v="0218"/>
    <n v="990"/>
    <s v="Agencia Información"/>
    <s v="Agropecuario y Forestal"/>
    <n v="2"/>
    <x v="7"/>
    <x v="5"/>
    <x v="1"/>
    <x v="2"/>
    <x v="3"/>
    <x v="20"/>
    <s v="Periodo 2018-2020"/>
    <s v="Toneladas"/>
    <s v="Oficina de Estudios y Políticas Agrarias (ODEPA)"/>
    <s v="Proporción del destino de la fruta producida por la Región de Antofagasta, en el Periodo 2018-2020"/>
    <m/>
    <s v="Gráfico "/>
    <s v="Región de Antofagasta fruta producción tonelada europa américa asia continente destino interno externo"/>
    <s v="https://analytics.zoho.com/open-view/2395394000008207486?ZOHO_CRITERIA=%224.6%22.%22C%C3%B3digo_Regi%C3%B3n%22%3D2"/>
    <x v="19"/>
    <s v="#1774B9"/>
  </r>
  <r>
    <s v="0219"/>
    <n v="990"/>
    <s v="Agencia Información"/>
    <s v="Agropecuario y Forestal"/>
    <n v="3"/>
    <x v="7"/>
    <x v="5"/>
    <x v="1"/>
    <x v="3"/>
    <x v="3"/>
    <x v="20"/>
    <s v="Periodo 2018-2020"/>
    <s v="Toneladas"/>
    <s v="Oficina de Estudios y Políticas Agrarias (ODEPA)"/>
    <s v="Proporción del destino de la fruta producida por la Región de Atacama, en el Periodo 2018-2020"/>
    <m/>
    <s v="Gráfico "/>
    <s v="Región de Atacama fruta producción tonelada europa américa asia continente destino interno externo"/>
    <s v="https://analytics.zoho.com/open-view/2395394000008207486?ZOHO_CRITERIA=%224.6%22.%22C%C3%B3digo_Regi%C3%B3n%22%3D3"/>
    <x v="20"/>
    <s v="#1774B9"/>
  </r>
  <r>
    <s v="0220"/>
    <n v="990"/>
    <s v="Agencia Información"/>
    <s v="Agropecuario y Forestal"/>
    <n v="4"/>
    <x v="7"/>
    <x v="5"/>
    <x v="1"/>
    <x v="4"/>
    <x v="3"/>
    <x v="20"/>
    <s v="Periodo 2018-2020"/>
    <s v="Toneladas"/>
    <s v="Oficina de Estudios y Políticas Agrarias (ODEPA)"/>
    <s v="Proporción del destino de la fruta producida por la Región de Coquimbo, en el Periodo 2018-2020"/>
    <s v="El 46,3% de las 13.874 toneladas de fruta producidas en la comuna de Ovalle son clasificadas como &quot;sin destino externo&quot; lo que se traduce en que son para consumo nacional, ya sea dentro de la misma comuna o para el consumo de otros mercados a nivel nacional. En segundo lugar, el mayor destino es Europa, con un 31,8% de la producción, que corresponde a 4.412 toneladas."/>
    <s v="Gráfico "/>
    <s v="Región de Coquimbo fruta producción tonelada europa américa asia continente destino interno externo"/>
    <s v="https://analytics.zoho.com/open-view/2395394000008207486?ZOHO_CRITERIA=%224.6%22.%22C%C3%B3digo_Regi%C3%B3n%22%3D4"/>
    <x v="21"/>
    <s v="#1774B9"/>
  </r>
  <r>
    <s v="0221"/>
    <n v="990"/>
    <s v="Agencia Información"/>
    <s v="Agropecuario y Forestal"/>
    <n v="5"/>
    <x v="7"/>
    <x v="5"/>
    <x v="1"/>
    <x v="5"/>
    <x v="3"/>
    <x v="20"/>
    <s v="Periodo 2018-2020"/>
    <s v="Toneladas"/>
    <s v="Oficina de Estudios y Políticas Agrarias (ODEPA)"/>
    <s v="Proporción del destino de la fruta producida por la Región de Valparaíso, en el Periodo 2018-2020"/>
    <m/>
    <s v="Gráfico "/>
    <s v="Región de Valparaíso fruta producción tonelada europa américa asia continente destino interno externo"/>
    <s v="https://analytics.zoho.com/open-view/2395394000008207486?ZOHO_CRITERIA=%224.6%22.%22C%C3%B3digo_Regi%C3%B3n%22%3D5"/>
    <x v="22"/>
    <s v="#1774B9"/>
  </r>
  <r>
    <s v="0222"/>
    <n v="990"/>
    <s v="Agencia Información"/>
    <s v="Agropecuario y Forestal"/>
    <n v="6"/>
    <x v="7"/>
    <x v="5"/>
    <x v="1"/>
    <x v="6"/>
    <x v="3"/>
    <x v="20"/>
    <s v="Periodo 2018-2020"/>
    <s v="Toneladas"/>
    <s v="Oficina de Estudios y Políticas Agrarias (ODEPA)"/>
    <s v="Proporción del destino de la fruta producida por la Región de O'Higgins, en el Periodo 2018-2020"/>
    <m/>
    <s v="Gráfico "/>
    <s v="Región de O'Higgins fruta producción tonelada europa américa asia continente destino interno externo"/>
    <s v="https://analytics.zoho.com/open-view/2395394000008207486?ZOHO_CRITERIA=%224.6%22.%22C%C3%B3digo_Regi%C3%B3n%22%3D6"/>
    <x v="23"/>
    <s v="#1774B9"/>
  </r>
  <r>
    <s v="0223"/>
    <n v="990"/>
    <s v="Agencia Información"/>
    <s v="Agropecuario y Forestal"/>
    <n v="7"/>
    <x v="7"/>
    <x v="5"/>
    <x v="1"/>
    <x v="7"/>
    <x v="3"/>
    <x v="20"/>
    <s v="Periodo 2018-2020"/>
    <s v="Toneladas"/>
    <s v="Oficina de Estudios y Políticas Agrarias (ODEPA)"/>
    <s v="Proporción del destino de la fruta producida por la Región de Maule, en el Periodo 2018-2020"/>
    <m/>
    <s v="Gráfico "/>
    <s v="Región de Maule fruta producción tonelada europa américa asia continente destino interno externo"/>
    <s v="https://analytics.zoho.com/open-view/2395394000008207486?ZOHO_CRITERIA=%224.6%22.%22C%C3%B3digo_Regi%C3%B3n%22%3D7"/>
    <x v="24"/>
    <s v="#1774B9"/>
  </r>
  <r>
    <s v="0224"/>
    <n v="990"/>
    <s v="Agencia Información"/>
    <s v="Agropecuario y Forestal"/>
    <n v="8"/>
    <x v="7"/>
    <x v="5"/>
    <x v="1"/>
    <x v="8"/>
    <x v="3"/>
    <x v="20"/>
    <s v="Periodo 2018-2020"/>
    <s v="Toneladas"/>
    <s v="Oficina de Estudios y Políticas Agrarias (ODEPA)"/>
    <s v="Proporción del destino de la fruta producida por la Región del Biobío, en el Periodo 2018-2020"/>
    <m/>
    <s v="Gráfico "/>
    <s v="Región del Biobío fruta producción tonelada europa américa asia continente destino interno externo"/>
    <s v="https://analytics.zoho.com/open-view/2395394000008207486?ZOHO_CRITERIA=%224.6%22.%22C%C3%B3digo_Regi%C3%B3n%22%3D8"/>
    <x v="25"/>
    <s v="#1774B9"/>
  </r>
  <r>
    <s v="0225"/>
    <n v="990"/>
    <s v="Agencia Información"/>
    <s v="Agropecuario y Forestal"/>
    <n v="9"/>
    <x v="7"/>
    <x v="5"/>
    <x v="1"/>
    <x v="9"/>
    <x v="3"/>
    <x v="20"/>
    <s v="Periodo 2018-2020"/>
    <s v="Toneladas"/>
    <s v="Oficina de Estudios y Políticas Agrarias (ODEPA)"/>
    <s v="Proporción del destino de la fruta producida por la Región de La Araucanía, en el Periodo 2018-2020"/>
    <m/>
    <s v="Gráfico "/>
    <s v="Región de La Araucanía fruta producción tonelada europa américa asia continente destino interno externo"/>
    <s v="https://analytics.zoho.com/open-view/2395394000008207486?ZOHO_CRITERIA=%224.6%22.%22C%C3%B3digo_Regi%C3%B3n%22%3D9"/>
    <x v="26"/>
    <s v="#1774B9"/>
  </r>
  <r>
    <s v="0226"/>
    <n v="990"/>
    <s v="Agencia Información"/>
    <s v="Agropecuario y Forestal"/>
    <n v="10"/>
    <x v="7"/>
    <x v="5"/>
    <x v="1"/>
    <x v="10"/>
    <x v="3"/>
    <x v="20"/>
    <s v="Periodo 2018-2020"/>
    <s v="Toneladas"/>
    <s v="Oficina de Estudios y Políticas Agrarias (ODEPA)"/>
    <s v="Proporción del destino de la fruta producida por la Región de Los Lagos, en el Periodo 2018-2020"/>
    <m/>
    <s v="Gráfico "/>
    <s v="Región de Los Lagos fruta producción tonelada europa américa asia continente destino interno externo"/>
    <s v="https://analytics.zoho.com/open-view/2395394000008207486?ZOHO_CRITERIA=%224.6%22.%22C%C3%B3digo_Regi%C3%B3n%22%3D10"/>
    <x v="27"/>
    <s v="#1774B9"/>
  </r>
  <r>
    <s v="0227"/>
    <n v="990"/>
    <s v="Agencia Información"/>
    <s v="Agropecuario y Forestal"/>
    <n v="11"/>
    <x v="7"/>
    <x v="5"/>
    <x v="1"/>
    <x v="11"/>
    <x v="3"/>
    <x v="20"/>
    <s v="Periodo 2018-2020"/>
    <s v="Toneladas"/>
    <s v="Oficina de Estudios y Políticas Agrarias (ODEPA)"/>
    <s v="Proporción del destino de la fruta producida por la Región de Aysén, en el Periodo 2018-2020"/>
    <m/>
    <s v="Gráfico "/>
    <s v="Región de Aysén fruta producción tonelada europa américa asia continente destino interno externo"/>
    <s v="https://analytics.zoho.com/open-view/2395394000008207486?ZOHO_CRITERIA=%224.6%22.%22C%C3%B3digo_Regi%C3%B3n%22%3D11"/>
    <x v="28"/>
    <s v="#1774B9"/>
  </r>
  <r>
    <s v="0228"/>
    <n v="990"/>
    <s v="Agencia Información"/>
    <s v="Agropecuario y Forestal"/>
    <n v="12"/>
    <x v="7"/>
    <x v="5"/>
    <x v="1"/>
    <x v="12"/>
    <x v="3"/>
    <x v="20"/>
    <s v="Periodo 2018-2020"/>
    <s v="Toneladas"/>
    <s v="Oficina de Estudios y Políticas Agrarias (ODEPA)"/>
    <s v="Proporción del destino de la fruta producida por la Región de Magallanes, en el Periodo 2018-2020"/>
    <m/>
    <s v="Gráfico "/>
    <s v="Región de Magallanes fruta producción tonelada europa américa asia continente destino interno externo"/>
    <s v="https://analytics.zoho.com/open-view/2395394000008207486?ZOHO_CRITERIA=%224.6%22.%22C%C3%B3digo_Regi%C3%B3n%22%3D12"/>
    <x v="29"/>
    <s v="#1774B9"/>
  </r>
  <r>
    <s v="0229"/>
    <n v="990"/>
    <s v="Agencia Información"/>
    <s v="Agropecuario y Forestal"/>
    <n v="13"/>
    <x v="7"/>
    <x v="5"/>
    <x v="1"/>
    <x v="13"/>
    <x v="3"/>
    <x v="20"/>
    <s v="Periodo 2018-2020"/>
    <s v="Toneladas"/>
    <s v="Oficina de Estudios y Políticas Agrarias (ODEPA)"/>
    <s v="Proporción del destino de la fruta producida por la Región Metropolitana, en el Periodo 2018-2020"/>
    <m/>
    <s v="Gráfico "/>
    <s v="Región Metropolitana fruta producción tonelada europa américa asia continente destino interno externo"/>
    <s v="https://analytics.zoho.com/open-view/2395394000008207486?ZOHO_CRITERIA=%224.6%22.%22C%C3%B3digo_Regi%C3%B3n%22%3D13"/>
    <x v="30"/>
    <s v="#1774B9"/>
  </r>
  <r>
    <s v="0230"/>
    <n v="990"/>
    <s v="Agencia Información"/>
    <s v="Agropecuario y Forestal"/>
    <n v="14"/>
    <x v="7"/>
    <x v="5"/>
    <x v="1"/>
    <x v="14"/>
    <x v="3"/>
    <x v="20"/>
    <s v="Periodo 2018-2020"/>
    <s v="Toneladas"/>
    <s v="Oficina de Estudios y Políticas Agrarias (ODEPA)"/>
    <s v="Proporción del destino de la fruta producida por la Región de Los Ríos, en el Periodo 2018-2020"/>
    <m/>
    <s v="Gráfico "/>
    <s v="Región de Los Ríos fruta producción tonelada europa américa asia continente destino interno externo"/>
    <s v="https://analytics.zoho.com/open-view/2395394000008207486?ZOHO_CRITERIA=%224.6%22.%22C%C3%B3digo_Regi%C3%B3n%22%3D14"/>
    <x v="31"/>
    <s v="#1774B9"/>
  </r>
  <r>
    <s v="0231"/>
    <n v="990"/>
    <s v="Agencia Información"/>
    <s v="Agropecuario y Forestal"/>
    <n v="15"/>
    <x v="7"/>
    <x v="5"/>
    <x v="1"/>
    <x v="15"/>
    <x v="3"/>
    <x v="20"/>
    <s v="Periodo 2018-2020"/>
    <s v="Toneladas"/>
    <s v="Oficina de Estudios y Políticas Agrarias (ODEPA)"/>
    <s v="Proporción del destino de la fruta producida por la Región de Arica y Parinacota, en el Periodo 2018-2020"/>
    <m/>
    <s v="Gráfico "/>
    <s v="Región de Arica y Parinacota fruta producción tonelada europa américa asia continente destino interno externo"/>
    <s v="https://analytics.zoho.com/open-view/2395394000008207486?ZOHO_CRITERIA=%224.6%22.%22C%C3%B3digo_Regi%C3%B3n%22%3D15"/>
    <x v="32"/>
    <s v="#1774B9"/>
  </r>
  <r>
    <s v="0232"/>
    <n v="990"/>
    <s v="Agencia Información"/>
    <s v="Agropecuario y Forestal"/>
    <n v="16"/>
    <x v="7"/>
    <x v="5"/>
    <x v="1"/>
    <x v="16"/>
    <x v="3"/>
    <x v="20"/>
    <s v="Periodo 2018-2020"/>
    <s v="Toneladas"/>
    <s v="Oficina de Estudios y Políticas Agrarias (ODEPA)"/>
    <s v="Proporción del destino de la fruta producida por la Región de Ñuble, en el Periodo 2018-2020"/>
    <m/>
    <s v="Gráfico "/>
    <s v="Región de Ñuble fruta producción tonelada europa américa asia continente destino interno externo"/>
    <s v="https://analytics.zoho.com/open-view/2395394000008207486?ZOHO_CRITERIA=%224.6%22.%22C%C3%B3digo_Regi%C3%B3n%22%3D16"/>
    <x v="33"/>
    <s v="#1774B9"/>
  </r>
  <r>
    <s v="0233"/>
    <n v="990"/>
    <s v="Agencia Información"/>
    <s v="Agropecuario y Forestal"/>
    <n v="0"/>
    <x v="16"/>
    <x v="5"/>
    <x v="0"/>
    <x v="0"/>
    <x v="1"/>
    <x v="21"/>
    <s v="Periodo 2010-2019"/>
    <s v="Hectáreas"/>
    <s v="Oficina de Estudios y Políticas Agrarias (ODEPA)"/>
    <s v="Evolución anual de superficie plantada (ha) de lechuga por región"/>
    <s v="En el periodo comprendido entre los años 2010 - 2019, las regiones que lideran la superficie plantada con lechuga son la Metropolitana y la región de Coquimbo, siendo el el año con mayor superficie de lechuga plantada el 2015, en que la superficie total fue cercana a las 7.500 ha, de las cuales 5.368 ha fueron cubiertas por ambas regiones."/>
    <s v="Gráfico de Evolución"/>
    <s v="Chile plantación lechuga hortalizas superficie hectáreas"/>
    <s v="https://analytics.zoho.com/open-view/2395394000007782340"/>
    <x v="0"/>
    <s v="#1774B9"/>
  </r>
  <r>
    <s v="0234"/>
    <n v="990"/>
    <s v="Agencia Información"/>
    <s v="Agropecuario y Forestal"/>
    <n v="3"/>
    <x v="16"/>
    <x v="5"/>
    <x v="1"/>
    <x v="3"/>
    <x v="1"/>
    <x v="21"/>
    <s v="Periodo 2010-2019"/>
    <s v="Hectáreas"/>
    <s v="Oficina de Estudios y Políticas Agrarias (ODEPA)"/>
    <s v="Evolución anual de superficie plantada (ha) de lechuga en la Región de Atacama"/>
    <m/>
    <s v="Gráfico de Evolución"/>
    <s v="Región de Atacama plantación lechuga hortalizas superficie hectáreas"/>
    <s v="https://analytics.zoho.com/open-view/2395394000008209595?ZOHO_CRITERIA=%22Trasposicion_4.7%22.%22C%C3%B3digo_Regi%C3%B3n%22%3D3"/>
    <x v="3"/>
    <s v="#1774B9"/>
  </r>
  <r>
    <s v="0235"/>
    <n v="990"/>
    <s v="Agencia Información"/>
    <s v="Agropecuario y Forestal"/>
    <n v="4"/>
    <x v="16"/>
    <x v="5"/>
    <x v="1"/>
    <x v="4"/>
    <x v="1"/>
    <x v="21"/>
    <s v="Periodo 2010-2019"/>
    <s v="Hectáreas"/>
    <s v="Oficina de Estudios y Políticas Agrarias (ODEPA)"/>
    <s v="Evolución anual de superficie plantada (ha) de lechuga en la Región de Coquimbo"/>
    <m/>
    <s v="Gráfico de Evolución"/>
    <s v="Región de Coquimbo plantación lechuga hortalizas superficie hectáreas"/>
    <s v="https://analytics.zoho.com/open-view/2395394000008209595?ZOHO_CRITERIA=%22Trasposicion_4.7%22.%22C%C3%B3digo_Regi%C3%B3n%22%3D4"/>
    <x v="4"/>
    <s v="#1774B9"/>
  </r>
  <r>
    <s v="0236"/>
    <n v="990"/>
    <s v="Agencia Información"/>
    <s v="Agropecuario y Forestal"/>
    <n v="5"/>
    <x v="16"/>
    <x v="5"/>
    <x v="1"/>
    <x v="5"/>
    <x v="1"/>
    <x v="21"/>
    <s v="Periodo 2010-2019"/>
    <s v="Hectáreas"/>
    <s v="Oficina de Estudios y Políticas Agrarias (ODEPA)"/>
    <s v="Evolución anual de superficie plantada (ha) de lechuga en la Región de Valparaíso"/>
    <m/>
    <s v="Gráfico de Evolución"/>
    <s v="Región de Valparaíso plantación lechuga hortalizas superficie hectáreas"/>
    <s v="https://analytics.zoho.com/open-view/2395394000008209595?ZOHO_CRITERIA=%22Trasposicion_4.7%22.%22C%C3%B3digo_Regi%C3%B3n%22%3D5"/>
    <x v="5"/>
    <s v="#1774B9"/>
  </r>
  <r>
    <s v="0237"/>
    <n v="990"/>
    <s v="Agencia Información"/>
    <s v="Agropecuario y Forestal"/>
    <n v="6"/>
    <x v="16"/>
    <x v="5"/>
    <x v="1"/>
    <x v="6"/>
    <x v="1"/>
    <x v="21"/>
    <s v="Periodo 2010-2019"/>
    <s v="Hectáreas"/>
    <s v="Oficina de Estudios y Políticas Agrarias (ODEPA)"/>
    <s v="Evolución anual de superficie plantada (ha) de lechuga en la Región de O'Higgins"/>
    <m/>
    <s v="Gráfico de Evolución"/>
    <s v="Región de O'Higgins plantación lechuga hortalizas superficie hectáreas"/>
    <s v="https://analytics.zoho.com/open-view/2395394000008209595?ZOHO_CRITERIA=%22Trasposicion_4.7%22.%22C%C3%B3digo_Regi%C3%B3n%22%3D6"/>
    <x v="6"/>
    <s v="#1774B9"/>
  </r>
  <r>
    <s v="0238"/>
    <n v="990"/>
    <s v="Agencia Información"/>
    <s v="Agropecuario y Forestal"/>
    <n v="7"/>
    <x v="16"/>
    <x v="5"/>
    <x v="1"/>
    <x v="7"/>
    <x v="1"/>
    <x v="21"/>
    <s v="Periodo 2010-2019"/>
    <s v="Hectáreas"/>
    <s v="Oficina de Estudios y Políticas Agrarias (ODEPA)"/>
    <s v="Evolución anual de superficie plantada (ha) de lechuga en la Región de Maule"/>
    <m/>
    <s v="Gráfico de Evolución"/>
    <s v="Región de Maule plantación lechuga hortalizas superficie hectáreas"/>
    <s v="https://analytics.zoho.com/open-view/2395394000008209595?ZOHO_CRITERIA=%22Trasposicion_4.7%22.%22C%C3%B3digo_Regi%C3%B3n%22%3D7"/>
    <x v="7"/>
    <s v="#1774B9"/>
  </r>
  <r>
    <s v="0239"/>
    <n v="990"/>
    <s v="Agencia Información"/>
    <s v="Agropecuario y Forestal"/>
    <n v="8"/>
    <x v="16"/>
    <x v="5"/>
    <x v="1"/>
    <x v="8"/>
    <x v="1"/>
    <x v="21"/>
    <s v="Periodo 2010-2019"/>
    <s v="Hectáreas"/>
    <s v="Oficina de Estudios y Políticas Agrarias (ODEPA)"/>
    <s v="Evolución anual de superficie plantada (ha) de lechuga en la Región del Biobío"/>
    <m/>
    <s v="Gráfico de Evolución"/>
    <s v="Región del Biobío plantación lechuga hortalizas superficie hectáreas"/>
    <s v="https://analytics.zoho.com/open-view/2395394000008209595?ZOHO_CRITERIA=%22Trasposicion_4.7%22.%22C%C3%B3digo_Regi%C3%B3n%22%3D8"/>
    <x v="8"/>
    <s v="#1774B9"/>
  </r>
  <r>
    <s v="0240"/>
    <n v="990"/>
    <s v="Agencia Información"/>
    <s v="Agropecuario y Forestal"/>
    <n v="9"/>
    <x v="16"/>
    <x v="5"/>
    <x v="1"/>
    <x v="9"/>
    <x v="1"/>
    <x v="21"/>
    <s v="Periodo 2010-2019"/>
    <s v="Hectáreas"/>
    <s v="Oficina de Estudios y Políticas Agrarias (ODEPA)"/>
    <s v="Evolución anual de superficie plantada (ha) de lechuga en la Región de La Araucanía"/>
    <m/>
    <s v="Gráfico de Evolución"/>
    <s v="Región de La Araucanía plantación lechuga hortalizas superficie hectáreas"/>
    <s v="https://analytics.zoho.com/open-view/2395394000008209595?ZOHO_CRITERIA=%22Trasposicion_4.7%22.%22C%C3%B3digo_Regi%C3%B3n%22%3D9"/>
    <x v="9"/>
    <s v="#1774B9"/>
  </r>
  <r>
    <s v="0241"/>
    <n v="990"/>
    <s v="Agencia Información"/>
    <s v="Agropecuario y Forestal"/>
    <n v="13"/>
    <x v="16"/>
    <x v="5"/>
    <x v="1"/>
    <x v="13"/>
    <x v="1"/>
    <x v="21"/>
    <s v="Periodo 2010-2019"/>
    <s v="Hectáreas"/>
    <s v="Oficina de Estudios y Políticas Agrarias (ODEPA)"/>
    <s v="Evolución anual de superficie plantada (ha) de lechuga en la Región Metropolitana"/>
    <m/>
    <s v="Gráfico de Evolución"/>
    <s v="Región Metropolitana plantación lechuga hortalizas superficie hectáreas"/>
    <s v="https://analytics.zoho.com/open-view/2395394000008209595?ZOHO_CRITERIA=%22Trasposicion_4.7%22.%22C%C3%B3digo_Regi%C3%B3n%22%3D13"/>
    <x v="13"/>
    <s v="#1774B9"/>
  </r>
  <r>
    <s v="0242"/>
    <n v="990"/>
    <s v="Agencia Información"/>
    <s v="Agropecuario y Forestal"/>
    <n v="15"/>
    <x v="16"/>
    <x v="5"/>
    <x v="1"/>
    <x v="15"/>
    <x v="1"/>
    <x v="21"/>
    <s v="Periodo 2010-2019"/>
    <s v="Hectáreas"/>
    <s v="Oficina de Estudios y Políticas Agrarias (ODEPA)"/>
    <s v="Evolución anual de superficie plantada (ha) de lechuga en la Región de Arica y Parinacota"/>
    <m/>
    <s v="Gráfico de Evolución"/>
    <s v="Región de Arica y Parinacota plantación lechuga hortalizas superficie hectáreas"/>
    <s v="https://analytics.zoho.com/open-view/2395394000008209595?ZOHO_CRITERIA=%22Trasposicion_4.7%22.%22C%C3%B3digo_Regi%C3%B3n%22%3D15"/>
    <x v="15"/>
    <s v="#1774B9"/>
  </r>
  <r>
    <s v="0243"/>
    <n v="990"/>
    <s v="Agencia Información"/>
    <s v="Agropecuario y Forestal"/>
    <n v="16"/>
    <x v="16"/>
    <x v="5"/>
    <x v="1"/>
    <x v="16"/>
    <x v="1"/>
    <x v="21"/>
    <s v="Periodo 2010-2019"/>
    <s v="Hectáreas"/>
    <s v="Oficina de Estudios y Políticas Agrarias (ODEPA)"/>
    <s v="Evolución anual de superficie plantada (ha) de lechuga en la Región de Ñuble"/>
    <m/>
    <s v="Gráfico de Evolución"/>
    <s v="Región de Ñuble plantación lechuga hortalizas superficie hectáreas"/>
    <s v="https://analytics.zoho.com/open-view/2395394000008209595?ZOHO_CRITERIA=%22Trasposicion_4.7%22.%22C%C3%B3digo_Regi%C3%B3n%22%3D16"/>
    <x v="16"/>
    <s v="#1774B9"/>
  </r>
  <r>
    <s v="0244"/>
    <n v="990"/>
    <s v="Agencia Información"/>
    <s v="Vivienda y Construcción"/>
    <n v="0"/>
    <x v="17"/>
    <x v="10"/>
    <x v="0"/>
    <x v="0"/>
    <x v="0"/>
    <x v="22"/>
    <s v="Año 2020"/>
    <s v="Estado"/>
    <s v="Observatorio Urbano - Ministerio de Vivienda y Urbanismo (MINVU)"/>
    <s v="Estado del Plan Regional de Desarrollo Urbano por Región"/>
    <s v="Según los datos recopilados, sólo 4 de las 16 regiones de Chile poseen un PRDU vigente, las cuales sería Arica y Parinacota, Coquimbo, Antofagasta y O'Higgins, siendo Arica y Parinacota la que posee el PRDU más nuevo que data del año 2014"/>
    <s v="Mapa de calor"/>
    <s v="Chile plan regional desarrollo urbano PRDU MINVU estado vigente inactivo formulación conflicto"/>
    <s v="https://app.powerbi.com/view?r=eyJrIjoiYjE4Yzc3NGQtYjM2NS00ZDMwLTg0NDYtOTRjYzQ4MzU0MWI1IiwidCI6IjhmYmFhNWJmLTJlY2MtNGRjOC1iNTZiLThmOTJlMzA3ZjA3NiIsImMiOjR9"/>
    <x v="34"/>
    <s v="#1774B9"/>
  </r>
  <r>
    <s v="0245"/>
    <n v="990"/>
    <s v="Agencia Información"/>
    <s v="Arte y cultura"/>
    <n v="0"/>
    <x v="18"/>
    <x v="8"/>
    <x v="0"/>
    <x v="0"/>
    <x v="3"/>
    <x v="14"/>
    <s v="Año 2021"/>
    <s v="Número de espacios culturales"/>
    <s v="Observatorio Cultural"/>
    <s v="Cantidad de Espacios Culturales con Acceso para Discapacitados en el Año 2021"/>
    <s v="La región Metropolitana es la que posee más espacios culturales con acceso para discapacitados, con 250 espacios de 397 que tiene en total la región. Por otro lado, Valparaíso, es la región que tiene la mayor cantidad de espacios Sin acceso para discapacitados con 133 de un total de 324 espacios."/>
    <s v="Gráfico"/>
    <s v="Chile espacio cultural acceso discapacitados discapacidad cultura"/>
    <s v="https://analytics.zoho.com/open-view/2395394000008056138"/>
    <x v="17"/>
    <s v="#1774B9"/>
  </r>
  <r>
    <s v="0246"/>
    <n v="990"/>
    <s v="Agencia Información"/>
    <s v="Arte y cultura"/>
    <n v="1"/>
    <x v="18"/>
    <x v="8"/>
    <x v="1"/>
    <x v="1"/>
    <x v="3"/>
    <x v="14"/>
    <s v="Año 2021"/>
    <s v="Número de espacios culturales"/>
    <s v="Observatorio Cultural"/>
    <s v="Cantidad de Espacios Culturales con Acceso para Discapacitados en la Región de Tarapacá, en el Año 2021"/>
    <m/>
    <s v="Gráfico"/>
    <s v="Región de Tarapacá espacio cultural acceso discapacitados discapacidad cultura"/>
    <s v="https://analytics.zoho.com/open-view/2395394000008213039?ZOHO_CRITERIA=%22Espacios_Culturales_Completo%201%22.%22C%C3%B3digo_Regi%C3%B3n%22%20%3D%201"/>
    <x v="18"/>
    <s v="#1774B9"/>
  </r>
  <r>
    <s v="0247"/>
    <n v="990"/>
    <s v="Agencia Información"/>
    <s v="Arte y cultura"/>
    <n v="2"/>
    <x v="18"/>
    <x v="8"/>
    <x v="1"/>
    <x v="2"/>
    <x v="3"/>
    <x v="14"/>
    <s v="Año 2021"/>
    <s v="Número de espacios culturales"/>
    <s v="Observatorio Cultural"/>
    <s v="Cantidad de Espacios Culturales con Acceso para Discapacitados en la Región de Antofagasta, en el Año 2021"/>
    <m/>
    <s v="Gráfico"/>
    <s v="Región de Antofagasta espacio cultural acceso discapacitados discapacidad cultura"/>
    <s v="https://analytics.zoho.com/open-view/2395394000008213039?ZOHO_CRITERIA=%22Espacios_Culturales_Completo%201%22.%22C%C3%B3digo_Regi%C3%B3n%22%20%3D%202"/>
    <x v="19"/>
    <s v="#1774B9"/>
  </r>
  <r>
    <s v="0248"/>
    <n v="990"/>
    <s v="Agencia Información"/>
    <s v="Arte y cultura"/>
    <n v="3"/>
    <x v="18"/>
    <x v="8"/>
    <x v="1"/>
    <x v="3"/>
    <x v="3"/>
    <x v="14"/>
    <s v="Año 2021"/>
    <s v="Número de espacios culturales"/>
    <s v="Observatorio Cultural"/>
    <s v="Cantidad de Espacios Culturales con Acceso para Discapacitados en la Región de Atacama, en el Año 2021"/>
    <m/>
    <s v="Gráfico"/>
    <s v="Región de Atacama espacio cultural acceso discapacitados discapacidad cultura"/>
    <s v="https://analytics.zoho.com/open-view/2395394000008213039?ZOHO_CRITERIA=%22Espacios_Culturales_Completo%201%22.%22C%C3%B3digo_Regi%C3%B3n%22%20%3D%203"/>
    <x v="20"/>
    <s v="#1774B9"/>
  </r>
  <r>
    <s v="0249"/>
    <n v="990"/>
    <s v="Agencia Información"/>
    <s v="Arte y cultura"/>
    <n v="4"/>
    <x v="18"/>
    <x v="8"/>
    <x v="1"/>
    <x v="4"/>
    <x v="3"/>
    <x v="14"/>
    <s v="Año 2021"/>
    <s v="Número de espacios culturales"/>
    <s v="Observatorio Cultural"/>
    <s v="Cantidad de Espacios Culturales con Acceso para Discapacitados en la Región de Coquimbo, en el Año 2021"/>
    <m/>
    <s v="Gráfico"/>
    <s v="Región de Coquimbo espacio cultural acceso discapacitados discapacidad cultura"/>
    <s v="https://analytics.zoho.com/open-view/2395394000008213039?ZOHO_CRITERIA=%22Espacios_Culturales_Completo%201%22.%22C%C3%B3digo_Regi%C3%B3n%22%20%3D%204"/>
    <x v="21"/>
    <s v="#1774B9"/>
  </r>
  <r>
    <s v="0250"/>
    <n v="990"/>
    <s v="Agencia Información"/>
    <s v="Arte y cultura"/>
    <n v="5"/>
    <x v="18"/>
    <x v="8"/>
    <x v="1"/>
    <x v="5"/>
    <x v="3"/>
    <x v="14"/>
    <s v="Año 2021"/>
    <s v="Número de espacios culturales"/>
    <s v="Observatorio Cultural"/>
    <s v="Cantidad de Espacios Culturales con Acceso para Discapacitados en la Región de Valparaíso, en el Año 2021"/>
    <m/>
    <s v="Gráfico"/>
    <s v="Región de Valparaíso espacio cultural acceso discapacitados discapacidad cultura"/>
    <s v="https://analytics.zoho.com/open-view/2395394000008213039?ZOHO_CRITERIA=%22Espacios_Culturales_Completo%201%22.%22C%C3%B3digo_Regi%C3%B3n%22%20%3D%205"/>
    <x v="22"/>
    <s v="#1774B9"/>
  </r>
  <r>
    <s v="0251"/>
    <n v="990"/>
    <s v="Agencia Información"/>
    <s v="Arte y cultura"/>
    <n v="6"/>
    <x v="18"/>
    <x v="8"/>
    <x v="1"/>
    <x v="6"/>
    <x v="3"/>
    <x v="14"/>
    <s v="Año 2021"/>
    <s v="Número de espacios culturales"/>
    <s v="Observatorio Cultural"/>
    <s v="Cantidad de Espacios Culturales con Acceso para Discapacitados en la Región de O'Higgins, en el Año 2021"/>
    <m/>
    <s v="Gráfico"/>
    <s v="Región de O'Higgins espacio cultural acceso discapacitados discapacidad cultura"/>
    <s v="https://analytics.zoho.com/open-view/2395394000008213039?ZOHO_CRITERIA=%22Espacios_Culturales_Completo%201%22.%22C%C3%B3digo_Regi%C3%B3n%22%20%3D%206"/>
    <x v="23"/>
    <s v="#1774B9"/>
  </r>
  <r>
    <s v="0252"/>
    <n v="990"/>
    <s v="Agencia Información"/>
    <s v="Arte y cultura"/>
    <n v="7"/>
    <x v="18"/>
    <x v="8"/>
    <x v="1"/>
    <x v="7"/>
    <x v="3"/>
    <x v="14"/>
    <s v="Año 2021"/>
    <s v="Número de espacios culturales"/>
    <s v="Observatorio Cultural"/>
    <s v="Cantidad de Espacios Culturales con Acceso para Discapacitados en la Región de Maule, en el Año 2021"/>
    <m/>
    <s v="Gráfico"/>
    <s v="Región de Maule espacio cultural acceso discapacitados discapacidad cultura"/>
    <s v="https://analytics.zoho.com/open-view/2395394000008213039?ZOHO_CRITERIA=%22Espacios_Culturales_Completo%201%22.%22C%C3%B3digo_Regi%C3%B3n%22%20%3D%207"/>
    <x v="24"/>
    <s v="#1774B9"/>
  </r>
  <r>
    <s v="0253"/>
    <n v="990"/>
    <s v="Agencia Información"/>
    <s v="Arte y cultura"/>
    <n v="8"/>
    <x v="18"/>
    <x v="8"/>
    <x v="1"/>
    <x v="8"/>
    <x v="3"/>
    <x v="14"/>
    <s v="Año 2021"/>
    <s v="Número de espacios culturales"/>
    <s v="Observatorio Cultural"/>
    <s v="Cantidad de Espacios Culturales con Acceso para Discapacitados en la Región del Biobío, en el Año 2021"/>
    <m/>
    <s v="Gráfico"/>
    <s v="Región del Biobío espacio cultural acceso discapacitados discapacidad cultura"/>
    <s v="https://analytics.zoho.com/open-view/2395394000008213039?ZOHO_CRITERIA=%22Espacios_Culturales_Completo%201%22.%22C%C3%B3digo_Regi%C3%B3n%22%20%3D%208"/>
    <x v="25"/>
    <s v="#1774B9"/>
  </r>
  <r>
    <s v="0254"/>
    <n v="990"/>
    <s v="Agencia Información"/>
    <s v="Arte y cultura"/>
    <n v="9"/>
    <x v="18"/>
    <x v="8"/>
    <x v="1"/>
    <x v="9"/>
    <x v="3"/>
    <x v="14"/>
    <s v="Año 2021"/>
    <s v="Número de espacios culturales"/>
    <s v="Observatorio Cultural"/>
    <s v="Cantidad de Espacios Culturales con Acceso para Discapacitados en la Región de La Araucanía, en el Año 2021"/>
    <m/>
    <s v="Gráfico"/>
    <s v="Región de La Araucanía espacio cultural acceso discapacitados discapacidad cultura"/>
    <s v="https://analytics.zoho.com/open-view/2395394000008213039?ZOHO_CRITERIA=%22Espacios_Culturales_Completo%201%22.%22C%C3%B3digo_Regi%C3%B3n%22%20%3D%209"/>
    <x v="26"/>
    <s v="#1774B9"/>
  </r>
  <r>
    <s v="0255"/>
    <n v="990"/>
    <s v="Agencia Información"/>
    <s v="Arte y cultura"/>
    <n v="10"/>
    <x v="18"/>
    <x v="8"/>
    <x v="1"/>
    <x v="10"/>
    <x v="3"/>
    <x v="14"/>
    <s v="Año 2021"/>
    <s v="Número de espacios culturales"/>
    <s v="Observatorio Cultural"/>
    <s v="Cantidad de Espacios Culturales con Acceso para Discapacitados en la Región de Los Lagos, en el Año 2021"/>
    <m/>
    <s v="Gráfico"/>
    <s v="Región de Los Lagos espacio cultural acceso discapacitados discapacidad cultura"/>
    <s v="https://analytics.zoho.com/open-view/2395394000008213039?ZOHO_CRITERIA=%22Espacios_Culturales_Completo%201%22.%22C%C3%B3digo_Regi%C3%B3n%22%20%3D%2010"/>
    <x v="27"/>
    <s v="#1774B9"/>
  </r>
  <r>
    <s v="0256"/>
    <n v="990"/>
    <s v="Agencia Información"/>
    <s v="Arte y cultura"/>
    <n v="11"/>
    <x v="18"/>
    <x v="8"/>
    <x v="1"/>
    <x v="11"/>
    <x v="3"/>
    <x v="14"/>
    <s v="Año 2021"/>
    <s v="Número de espacios culturales"/>
    <s v="Observatorio Cultural"/>
    <s v="Cantidad de Espacios Culturales con Acceso para Discapacitados en la Región de Aysén, en el Año 2021"/>
    <m/>
    <s v="Gráfico"/>
    <s v="Región de Aysén espacio cultural acceso discapacitados discapacidad cultura"/>
    <s v="https://analytics.zoho.com/open-view/2395394000008213039?ZOHO_CRITERIA=%22Espacios_Culturales_Completo%201%22.%22C%C3%B3digo_Regi%C3%B3n%22%20%3D%2011"/>
    <x v="28"/>
    <s v="#1774B9"/>
  </r>
  <r>
    <s v="0257"/>
    <n v="990"/>
    <s v="Agencia Información"/>
    <s v="Arte y cultura"/>
    <n v="12"/>
    <x v="18"/>
    <x v="8"/>
    <x v="1"/>
    <x v="12"/>
    <x v="3"/>
    <x v="14"/>
    <s v="Año 2021"/>
    <s v="Número de espacios culturales"/>
    <s v="Observatorio Cultural"/>
    <s v="Cantidad de Espacios Culturales con Acceso para Discapacitados en la Región de Magallanes, en el Año 2021"/>
    <m/>
    <s v="Gráfico"/>
    <s v="Región de Magallanes espacio cultural acceso discapacitados discapacidad cultura"/>
    <s v="https://analytics.zoho.com/open-view/2395394000008213039?ZOHO_CRITERIA=%22Espacios_Culturales_Completo%201%22.%22C%C3%B3digo_Regi%C3%B3n%22%20%3D%2012"/>
    <x v="29"/>
    <s v="#1774B9"/>
  </r>
  <r>
    <s v="0258"/>
    <n v="990"/>
    <s v="Agencia Información"/>
    <s v="Arte y cultura"/>
    <n v="13"/>
    <x v="18"/>
    <x v="8"/>
    <x v="1"/>
    <x v="13"/>
    <x v="3"/>
    <x v="14"/>
    <s v="Año 2021"/>
    <s v="Número de espacios culturales"/>
    <s v="Observatorio Cultural"/>
    <s v="Cantidad de Espacios Culturales con Acceso para Discapacitados en la Región Metropolitana, en el Año 2021"/>
    <m/>
    <s v="Gráfico"/>
    <s v="Región Metropolitana espacio cultural acceso discapacitados discapacidad cultura"/>
    <s v="https://analytics.zoho.com/open-view/2395394000008213039?ZOHO_CRITERIA=%22Espacios_Culturales_Completo%201%22.%22C%C3%B3digo_Regi%C3%B3n%22%20%3D%2013"/>
    <x v="30"/>
    <s v="#1774B9"/>
  </r>
  <r>
    <s v="0259"/>
    <n v="990"/>
    <s v="Agencia Información"/>
    <s v="Arte y cultura"/>
    <n v="14"/>
    <x v="18"/>
    <x v="8"/>
    <x v="1"/>
    <x v="14"/>
    <x v="3"/>
    <x v="14"/>
    <s v="Año 2021"/>
    <s v="Número de espacios culturales"/>
    <s v="Observatorio Cultural"/>
    <s v="Cantidad de Espacios Culturales con Acceso para Discapacitados en la Región de Los Ríos, en el Año 2021"/>
    <m/>
    <s v="Gráfico"/>
    <s v="Región de Los Ríos espacio cultural acceso discapacitados discapacidad cultura"/>
    <s v="https://analytics.zoho.com/open-view/2395394000008213039?ZOHO_CRITERIA=%22Espacios_Culturales_Completo%201%22.%22C%C3%B3digo_Regi%C3%B3n%22%20%3D%2014"/>
    <x v="31"/>
    <s v="#1774B9"/>
  </r>
  <r>
    <s v="0260"/>
    <n v="990"/>
    <s v="Agencia Información"/>
    <s v="Arte y cultura"/>
    <n v="15"/>
    <x v="18"/>
    <x v="8"/>
    <x v="1"/>
    <x v="15"/>
    <x v="3"/>
    <x v="14"/>
    <s v="Año 2021"/>
    <s v="Número de espacios culturales"/>
    <s v="Observatorio Cultural"/>
    <s v="Cantidad de Espacios Culturales con Acceso para Discapacitados en la Región de Arica y Parinacota, en el Año 2021"/>
    <m/>
    <s v="Gráfico"/>
    <s v="Región de Arica y Parinacota espacio cultural acceso discapacitados discapacidad cultura"/>
    <s v="https://analytics.zoho.com/open-view/2395394000008213039?ZOHO_CRITERIA=%22Espacios_Culturales_Completo%201%22.%22C%C3%B3digo_Regi%C3%B3n%22%20%3D%2015"/>
    <x v="32"/>
    <s v="#1774B9"/>
  </r>
  <r>
    <s v="0261"/>
    <n v="990"/>
    <s v="Agencia Información"/>
    <s v="Arte y cultura"/>
    <n v="16"/>
    <x v="18"/>
    <x v="8"/>
    <x v="1"/>
    <x v="16"/>
    <x v="3"/>
    <x v="14"/>
    <s v="Año 2021"/>
    <s v="Número de espacios culturales"/>
    <s v="Observatorio Cultural"/>
    <s v="Cantidad de Espacios Culturales con Acceso para Discapacitados en la Región de Ñuble, en el Año 2021"/>
    <m/>
    <s v="Gráfico"/>
    <s v="Región de Ñuble espacio cultural acceso discapacitados discapacidad cultura"/>
    <s v="https://analytics.zoho.com/open-view/2395394000008213039?ZOHO_CRITERIA=%22Espacios_Culturales_Completo%201%22.%22C%C3%B3digo_Regi%C3%B3n%22%20%3D%2016"/>
    <x v="33"/>
    <s v="#1774B9"/>
  </r>
  <r>
    <s v="0262"/>
    <n v="990"/>
    <s v="Agencia Información"/>
    <s v="Economía"/>
    <n v="0"/>
    <x v="19"/>
    <x v="11"/>
    <x v="0"/>
    <x v="0"/>
    <x v="0"/>
    <x v="23"/>
    <s v="Año 2019"/>
    <s v="UF"/>
    <s v="Servicio de Impuestos Internos (SII)"/>
    <s v="Ventas anuales en UF por rubro en Chile, Año 2019"/>
    <m/>
    <s v="Gráfico"/>
    <s v="Chile empresas ventas estimadas rubro sector economía"/>
    <s v="https://analytics.zoho.com/open-view/2395394000008181172"/>
    <x v="0"/>
    <s v="#1774B9"/>
  </r>
  <r>
    <s v="0263"/>
    <n v="990"/>
    <s v="Agencia Información"/>
    <s v="Economía"/>
    <n v="1"/>
    <x v="19"/>
    <x v="11"/>
    <x v="1"/>
    <x v="1"/>
    <x v="1"/>
    <x v="23"/>
    <s v="Año 2019"/>
    <s v="UF"/>
    <s v="Servicio de Impuestos Internos (SII)"/>
    <s v="Ventas anuales en UF por rubro en la Región de Tarapacá, Año 2019"/>
    <m/>
    <s v="Gráfico"/>
    <s v="Región de Tarapacá empresas ventas estimadas rubro sector economía"/>
    <s v="https://analytics.zoho.com/open-view/2395394000008025390?ZOHO_CRITERIA=%22Rubros_Todo%22.%22Id_Regi%C3%B3n%22%3D1"/>
    <x v="1"/>
    <s v="#1774B9"/>
  </r>
  <r>
    <s v="0264"/>
    <n v="990"/>
    <s v="Agencia Información"/>
    <s v="Economía"/>
    <n v="2"/>
    <x v="19"/>
    <x v="11"/>
    <x v="1"/>
    <x v="2"/>
    <x v="1"/>
    <x v="23"/>
    <s v="Año 2019"/>
    <s v="UF"/>
    <s v="Servicio de Impuestos Internos (SII)"/>
    <s v="Ventas anuales en UF por rubro en la Región de Antofagasta, Año 2019"/>
    <m/>
    <s v="Gráfico"/>
    <s v="Región de Antofagasta empresas ventas estimadas rubro sector economía"/>
    <s v="https://analytics.zoho.com/open-view/2395394000008025390?ZOHO_CRITERIA=%22Rubros_Todo%22.%22Id_Regi%C3%B3n%22%3D2"/>
    <x v="2"/>
    <s v="#1774B9"/>
  </r>
  <r>
    <s v="0265"/>
    <n v="990"/>
    <s v="Agencia Información"/>
    <s v="Economía"/>
    <n v="3"/>
    <x v="19"/>
    <x v="11"/>
    <x v="1"/>
    <x v="3"/>
    <x v="1"/>
    <x v="23"/>
    <s v="Año 2019"/>
    <s v="UF"/>
    <s v="Servicio de Impuestos Internos (SII)"/>
    <s v="Ventas anuales en UF por rubro en la Región de Atacama, Año 2019"/>
    <m/>
    <s v="Gráfico"/>
    <s v="Región de Atacama empresas ventas estimadas rubro sector economía"/>
    <s v="https://analytics.zoho.com/open-view/2395394000008025390?ZOHO_CRITERIA=%22Rubros_Todo%22.%22Id_Regi%C3%B3n%22%3D3"/>
    <x v="3"/>
    <s v="#1774B9"/>
  </r>
  <r>
    <s v="0266"/>
    <n v="990"/>
    <s v="Agencia Información"/>
    <s v="Economía"/>
    <n v="4"/>
    <x v="19"/>
    <x v="11"/>
    <x v="1"/>
    <x v="4"/>
    <x v="1"/>
    <x v="23"/>
    <s v="Año 2019"/>
    <s v="UF"/>
    <s v="Servicio de Impuestos Internos (SII)"/>
    <s v="Ventas anuales en UF por rubro en la Región de Coquimbo, Año 2019"/>
    <m/>
    <s v="Gráfico"/>
    <s v="Región de Coquimbo empresas ventas estimadas rubro sector economía"/>
    <s v="https://analytics.zoho.com/open-view/2395394000008025390?ZOHO_CRITERIA=%22Rubros_Todo%22.%22Id_Regi%C3%B3n%22%3D4"/>
    <x v="4"/>
    <s v="#1774B9"/>
  </r>
  <r>
    <s v="0267"/>
    <n v="990"/>
    <s v="Agencia Información"/>
    <s v="Economía"/>
    <n v="5"/>
    <x v="19"/>
    <x v="11"/>
    <x v="1"/>
    <x v="5"/>
    <x v="1"/>
    <x v="23"/>
    <s v="Año 2019"/>
    <s v="UF"/>
    <s v="Servicio de Impuestos Internos (SII)"/>
    <s v="Ventas anuales en UF por rubro en la Región de Valparaíso, Año 2019"/>
    <s v="El rubro económico que cuenta con el mayor porcentaje de ventas anuales en UF es el G - Comercio al por mayor y al menor; reparación de vehículos automotores y motocicletas, con un 25% de las ventas totales en la Región de Valparaíso."/>
    <s v="Gráfico"/>
    <s v="Región de Valparaíso empresas ventas estimadas rubro sector economía"/>
    <s v="https://analytics.zoho.com/open-view/2395394000008025390?ZOHO_CRITERIA=%22Rubros_Todo%22.%22Id_Regi%C3%B3n%22%3D5"/>
    <x v="5"/>
    <s v="#1774B9"/>
  </r>
  <r>
    <s v="0268"/>
    <n v="990"/>
    <s v="Agencia Información"/>
    <s v="Economía"/>
    <n v="6"/>
    <x v="19"/>
    <x v="11"/>
    <x v="1"/>
    <x v="6"/>
    <x v="1"/>
    <x v="23"/>
    <s v="Año 2019"/>
    <s v="UF"/>
    <s v="Servicio de Impuestos Internos (SII)"/>
    <s v="Ventas anuales en UF por rubro en la Región de O'Higgins, Año 2019"/>
    <m/>
    <s v="Gráfico"/>
    <s v="Región de O'Higgins empresas ventas estimadas rubro sector economía"/>
    <s v="https://analytics.zoho.com/open-view/2395394000008025390?ZOHO_CRITERIA=%22Rubros_Todo%22.%22Id_Regi%C3%B3n%22%3D6"/>
    <x v="6"/>
    <s v="#1774B9"/>
  </r>
  <r>
    <s v="0269"/>
    <n v="990"/>
    <s v="Agencia Información"/>
    <s v="Economía"/>
    <n v="7"/>
    <x v="19"/>
    <x v="11"/>
    <x v="1"/>
    <x v="7"/>
    <x v="1"/>
    <x v="23"/>
    <s v="Año 2019"/>
    <s v="UF"/>
    <s v="Servicio de Impuestos Internos (SII)"/>
    <s v="Ventas anuales en UF por rubro en la Región de Maule, Año 2019"/>
    <m/>
    <s v="Gráfico"/>
    <s v="Región de Maule empresas ventas estimadas rubro sector economía"/>
    <s v="https://analytics.zoho.com/open-view/2395394000008025390?ZOHO_CRITERIA=%22Rubros_Todo%22.%22Id_Regi%C3%B3n%22%3D7"/>
    <x v="7"/>
    <s v="#1774B9"/>
  </r>
  <r>
    <s v="0270"/>
    <n v="990"/>
    <s v="Agencia Información"/>
    <s v="Economía"/>
    <n v="8"/>
    <x v="19"/>
    <x v="11"/>
    <x v="1"/>
    <x v="8"/>
    <x v="1"/>
    <x v="23"/>
    <s v="Año 2019"/>
    <s v="UF"/>
    <s v="Servicio de Impuestos Internos (SII)"/>
    <s v="Ventas anuales en UF por rubro en la Región del Biobío, Año 2019"/>
    <m/>
    <s v="Gráfico"/>
    <s v="Región del Biobío empresas ventas estimadas rubro sector economía"/>
    <s v="https://analytics.zoho.com/open-view/2395394000008025390?ZOHO_CRITERIA=%22Rubros_Todo%22.%22Id_Regi%C3%B3n%22%3D8"/>
    <x v="8"/>
    <s v="#1774B9"/>
  </r>
  <r>
    <s v="0271"/>
    <n v="990"/>
    <s v="Agencia Información"/>
    <s v="Economía"/>
    <n v="9"/>
    <x v="19"/>
    <x v="11"/>
    <x v="1"/>
    <x v="9"/>
    <x v="1"/>
    <x v="23"/>
    <s v="Año 2019"/>
    <s v="UF"/>
    <s v="Servicio de Impuestos Internos (SII)"/>
    <s v="Ventas anuales en UF por rubro en la Región de La Araucanía, Año 2019"/>
    <m/>
    <s v="Gráfico"/>
    <s v="Región de La Araucanía empresas ventas estimadas rubro sector economía"/>
    <s v="https://analytics.zoho.com/open-view/2395394000008025390?ZOHO_CRITERIA=%22Rubros_Todo%22.%22Id_Regi%C3%B3n%22%3D9"/>
    <x v="9"/>
    <s v="#1774B9"/>
  </r>
  <r>
    <s v="0272"/>
    <n v="990"/>
    <s v="Agencia Información"/>
    <s v="Economía"/>
    <n v="10"/>
    <x v="19"/>
    <x v="11"/>
    <x v="1"/>
    <x v="10"/>
    <x v="1"/>
    <x v="23"/>
    <s v="Año 2019"/>
    <s v="UF"/>
    <s v="Servicio de Impuestos Internos (SII)"/>
    <s v="Ventas anuales en UF por rubro en la Región de Los Lagos, Año 2019"/>
    <m/>
    <s v="Gráfico"/>
    <s v="Región de Los Lagos empresas ventas estimadas rubro sector economía"/>
    <s v="https://analytics.zoho.com/open-view/2395394000008025390?ZOHO_CRITERIA=%22Rubros_Todo%22.%22Id_Regi%C3%B3n%22%3D10"/>
    <x v="10"/>
    <s v="#1774B9"/>
  </r>
  <r>
    <s v="0273"/>
    <n v="990"/>
    <s v="Agencia Información"/>
    <s v="Economía"/>
    <n v="11"/>
    <x v="19"/>
    <x v="11"/>
    <x v="1"/>
    <x v="11"/>
    <x v="1"/>
    <x v="23"/>
    <s v="Año 2019"/>
    <s v="UF"/>
    <s v="Servicio de Impuestos Internos (SII)"/>
    <s v="Ventas anuales en UF por rubro en la Región de Aysén, Año 2019"/>
    <m/>
    <s v="Gráfico"/>
    <s v="Región de Aysén empresas ventas estimadas rubro sector economía"/>
    <s v="https://analytics.zoho.com/open-view/2395394000008025390?ZOHO_CRITERIA=%22Rubros_Todo%22.%22Id_Regi%C3%B3n%22%3D11"/>
    <x v="11"/>
    <s v="#1774B9"/>
  </r>
  <r>
    <s v="0274"/>
    <n v="990"/>
    <s v="Agencia Información"/>
    <s v="Economía"/>
    <n v="12"/>
    <x v="19"/>
    <x v="11"/>
    <x v="1"/>
    <x v="12"/>
    <x v="1"/>
    <x v="23"/>
    <s v="Año 2019"/>
    <s v="UF"/>
    <s v="Servicio de Impuestos Internos (SII)"/>
    <s v="Ventas anuales en UF por rubro en la Región de Magallanes, Año 2019"/>
    <m/>
    <s v="Gráfico"/>
    <s v="Región de Magallanes empresas ventas estimadas rubro sector economía"/>
    <s v="https://analytics.zoho.com/open-view/2395394000008025390?ZOHO_CRITERIA=%22Rubros_Todo%22.%22Id_Regi%C3%B3n%22%3D12"/>
    <x v="12"/>
    <s v="#1774B9"/>
  </r>
  <r>
    <s v="0275"/>
    <n v="990"/>
    <s v="Agencia Información"/>
    <s v="Economía"/>
    <n v="13"/>
    <x v="19"/>
    <x v="11"/>
    <x v="1"/>
    <x v="13"/>
    <x v="1"/>
    <x v="23"/>
    <s v="Año 2019"/>
    <s v="UF"/>
    <s v="Servicio de Impuestos Internos (SII)"/>
    <s v="Ventas anuales en UF por rubro en la Región Metropolitana, Año 2019"/>
    <m/>
    <s v="Gráfico"/>
    <s v="Región Metropolitana empresas ventas estimadas rubro sector economía"/>
    <s v="https://analytics.zoho.com/open-view/2395394000008025390?ZOHO_CRITERIA=%22Rubros_Todo%22.%22Id_Regi%C3%B3n%22%3D13"/>
    <x v="13"/>
    <s v="#1774B9"/>
  </r>
  <r>
    <s v="0276"/>
    <n v="990"/>
    <s v="Agencia Información"/>
    <s v="Economía"/>
    <n v="14"/>
    <x v="19"/>
    <x v="11"/>
    <x v="1"/>
    <x v="14"/>
    <x v="1"/>
    <x v="23"/>
    <s v="Año 2019"/>
    <s v="UF"/>
    <s v="Servicio de Impuestos Internos (SII)"/>
    <s v="Ventas anuales en UF por rubro en la Región de Los Ríos, Año 2019"/>
    <m/>
    <s v="Gráfico"/>
    <s v="Región de Los Ríos empresas ventas estimadas rubro sector economía"/>
    <s v="https://analytics.zoho.com/open-view/2395394000008025390?ZOHO_CRITERIA=%22Rubros_Todo%22.%22Id_Regi%C3%B3n%22%3D14"/>
    <x v="14"/>
    <s v="#1774B9"/>
  </r>
  <r>
    <s v="0277"/>
    <n v="990"/>
    <s v="Agencia Información"/>
    <s v="Economía"/>
    <n v="15"/>
    <x v="19"/>
    <x v="11"/>
    <x v="1"/>
    <x v="15"/>
    <x v="1"/>
    <x v="23"/>
    <s v="Año 2019"/>
    <s v="UF"/>
    <s v="Servicio de Impuestos Internos (SII)"/>
    <s v="Ventas anuales en UF por rubro en la Región de Arica y Parinacota, Año 2019"/>
    <m/>
    <s v="Gráfico"/>
    <s v="Región de Arica y Parinacota empresas ventas estimadas rubro sector economía"/>
    <s v="https://analytics.zoho.com/open-view/2395394000008025390?ZOHO_CRITERIA=%22Rubros_Todo%22.%22Id_Regi%C3%B3n%22%3D15"/>
    <x v="15"/>
    <s v="#1774B9"/>
  </r>
  <r>
    <s v="0278"/>
    <n v="990"/>
    <s v="Agencia Información"/>
    <s v="Economía"/>
    <n v="16"/>
    <x v="19"/>
    <x v="11"/>
    <x v="1"/>
    <x v="16"/>
    <x v="1"/>
    <x v="23"/>
    <s v="Año 2019"/>
    <s v="UF"/>
    <s v="Servicio de Impuestos Internos (SII)"/>
    <s v="Ventas anuales en UF por rubro en la Región de Ñuble, Año 2019"/>
    <m/>
    <s v="Gráfico"/>
    <s v="Región de Ñuble empresas ventas estimadas rubro sector economía"/>
    <s v="https://analytics.zoho.com/open-view/2395394000008025390?ZOHO_CRITERIA=%22Rubros_Todo%22.%22Id_Regi%C3%B3n%22%3D16"/>
    <x v="16"/>
    <s v="#1774B9"/>
  </r>
  <r>
    <s v="0279"/>
    <n v="990"/>
    <s v="Agencia Información"/>
    <s v="Mujeres"/>
    <n v="0"/>
    <x v="20"/>
    <x v="2"/>
    <x v="0"/>
    <x v="0"/>
    <x v="1"/>
    <x v="24"/>
    <s v="Año 2021"/>
    <s v="Número de Centros de la Mujer"/>
    <s v="Servicio Nacional de la Mujer y Equidad de Género (SERNAMEG)"/>
    <s v="Cantidad de Centros de la Mujer por Región en el Año 2021"/>
    <s v="La región Metropolitana es la que cuenta con más Centros de la Mujer, llegando a 31 establecimientos. Le siguen las regiones de Biobío y Valparaíso, con 14 y 12 centros respectivamente. La región que actualmente tiene menos centros es Arica y Parinacota, con solo 1."/>
    <s v="Gráfico"/>
    <s v="Chile centros mujer violencia género mujeres establecimientos"/>
    <s v="https://analytics.zoho.com/open-view/2395394000007777048"/>
    <x v="34"/>
    <s v="#1774B9"/>
  </r>
  <r>
    <s v="0280"/>
    <n v="990"/>
    <s v="Agencia Información"/>
    <s v="Mujeres"/>
    <n v="0"/>
    <x v="20"/>
    <x v="2"/>
    <x v="0"/>
    <x v="0"/>
    <x v="1"/>
    <x v="25"/>
    <s v="Periodo 2014-2019"/>
    <s v="Número de Mujeres"/>
    <s v="Servicio Nacional de la Mujer y Equidad de Género (SERNAMEG)"/>
    <s v="Cantidad de Mujeres Ingresadas en Centros de la Mujer en Chile para el Periodo 2014-2019"/>
    <s v="La cantidad de mujeres ingresadas a Centros de la Mujer ha ido disminuyendo con el paso de los años, exceptuando el año 2017. Para el año 2019, los ingresos cayeron en un 19,8%, ingresando 16.899 mujeres, en comparación al año 2014 en que ingresaron 21.092 mujeres."/>
    <s v="Gráfico de Evolución"/>
    <s v="Chile centros mujer violencia género mujeres ingresos cantidad"/>
    <s v="https://analytics.zoho.com/open-view/2395394000007777075"/>
    <x v="34"/>
    <s v="#1774B9"/>
  </r>
  <r>
    <s v="0281"/>
    <n v="990"/>
    <s v="Agencia Información"/>
    <s v="Mujeres"/>
    <n v="0"/>
    <x v="20"/>
    <x v="2"/>
    <x v="0"/>
    <x v="0"/>
    <x v="1"/>
    <x v="26"/>
    <s v="Periodo 2014-2019"/>
    <s v="Número de salidas"/>
    <s v="Servicio Nacional de la Mujer y Equidad de Género (SERNAMEG)"/>
    <s v="Cantidad de Salidas desde Casas de Acogida en Chile durante el Periodo 2014-2019"/>
    <s v="La cantidad de salidas desde Casas de Acogida ha ido disminuyendo con el paso de los años, exceptuando el año 2016. Para el año 2019, las salidas cayeron en un 6,6% en comparación al año 2018."/>
    <s v="Gráfico de Evolución"/>
    <s v="Chile casas acogida violencia género mujeres salidas establecimientos"/>
    <s v="https://analytics.zoho.com/open-view/2395394000007777114"/>
    <x v="34"/>
    <s v="#1774B9"/>
  </r>
  <r>
    <s v="0282"/>
    <n v="990"/>
    <s v="Agencia Información"/>
    <s v="Mujeres"/>
    <n v="0"/>
    <x v="20"/>
    <x v="2"/>
    <x v="0"/>
    <x v="0"/>
    <x v="1"/>
    <x v="27"/>
    <s v="Periodo 2014-2019"/>
    <s v="Número de salidas"/>
    <s v="Servicio Nacional de la Mujer y Equidad de Género (SERNAMEG)"/>
    <s v="Proporción por tipo de Salida desde Casas de Acogida en Chile para el Periodo 2014-2019"/>
    <s v="En el periodo 2014-2019, el tipo de salida más común desde las Casas de Acogida es el Egreso Efectivo de las mujeres, representando un 57,4% del total."/>
    <s v="Gráfico de Evolución"/>
    <s v="Chile casas acogida violencia género mujeres salidas egresos establecimiento tipo derivación deserción interrupción"/>
    <s v="https://analytics.zoho.com/open-view/2395394000007777153"/>
    <x v="34"/>
    <s v="#1774B9"/>
  </r>
  <r>
    <s v="0283"/>
    <n v="990"/>
    <s v="Agencia Información"/>
    <s v="Mujeres"/>
    <n v="0"/>
    <x v="21"/>
    <x v="2"/>
    <x v="0"/>
    <x v="0"/>
    <x v="0"/>
    <x v="28"/>
    <s v="Periodo 2010-2016"/>
    <s v="Número de atenciones médicas"/>
    <s v="Departamento de Estadísticas e Información de la Salud (DEIS) - Ministerio de Salud"/>
    <s v="Evolución de las Atenciones de Salud por Violencia de Género en Chile, para el Periodo 2010-2016"/>
    <m/>
    <s v="Gráfico de Evolución"/>
    <s v="Chile salud violencia género mujer urgencia atenciones médicas"/>
    <s v="PENDIENTE"/>
    <x v="0"/>
    <s v="#1774B9"/>
  </r>
  <r>
    <s v="0284"/>
    <n v="990"/>
    <s v="Agencia Información"/>
    <s v="Mujeres"/>
    <n v="1"/>
    <x v="21"/>
    <x v="2"/>
    <x v="1"/>
    <x v="1"/>
    <x v="1"/>
    <x v="28"/>
    <s v="Periodo 2010-2016"/>
    <s v="Número de atenciones médicas"/>
    <s v="Departamento de Estadísticas e Información de la Salud (DEIS) - Ministerio de Salud"/>
    <s v="Evolución de las Atenciones de Salud por Violencia de Género en Región de Tarapacá, para el Periodo 2010-2016"/>
    <m/>
    <s v="Gráfico de Evolución"/>
    <s v="Región de Tarapacá salud violencia género mujer urgencia atenciones médicas"/>
    <s v="https://analytics.zoho.com/open-view/2395394000007782905?ZOHO_CRITERIA=%2227.10%22.%22Id_Regi%C3%B3n%22%20%3D%201"/>
    <x v="1"/>
    <s v="#1774B9"/>
  </r>
  <r>
    <s v="0285"/>
    <n v="990"/>
    <s v="Agencia Información"/>
    <s v="Mujeres"/>
    <n v="2"/>
    <x v="21"/>
    <x v="2"/>
    <x v="1"/>
    <x v="2"/>
    <x v="1"/>
    <x v="28"/>
    <s v="Periodo 2010-2016"/>
    <s v="Número de atenciones médicas"/>
    <s v="Departamento de Estadísticas e Información de la Salud (DEIS) - Ministerio de Salud"/>
    <s v="Evolución de las Atenciones de Salud por Violencia de Género en Región de Antofagasta, para el Periodo 2010-2016"/>
    <m/>
    <s v="Gráfico de Evolución"/>
    <s v="Región de Antofagasta salud violencia género mujer urgencia atenciones médicas"/>
    <s v="https://analytics.zoho.com/open-view/2395394000007782905?ZOHO_CRITERIA=%2227.10%22.%22Id_Regi%C3%B3n%22%20%3D%202"/>
    <x v="2"/>
    <s v="#1774B9"/>
  </r>
  <r>
    <s v="0286"/>
    <n v="990"/>
    <s v="Agencia Información"/>
    <s v="Mujeres"/>
    <n v="3"/>
    <x v="21"/>
    <x v="2"/>
    <x v="1"/>
    <x v="3"/>
    <x v="1"/>
    <x v="28"/>
    <s v="Periodo 2010-2016"/>
    <s v="Número de atenciones médicas"/>
    <s v="Departamento de Estadísticas e Información de la Salud (DEIS) - Ministerio de Salud"/>
    <s v="Evolución de las Atenciones de Salud por Violencia de Género en Región de Atacama, para el Periodo 2010-2016"/>
    <m/>
    <s v="Gráfico de Evolución"/>
    <s v="Región de Atacama salud violencia género mujer urgencia atenciones médicas"/>
    <s v="https://analytics.zoho.com/open-view/2395394000007782905?ZOHO_CRITERIA=%2227.10%22.%22Id_Regi%C3%B3n%22%20%3D%203"/>
    <x v="3"/>
    <s v="#1774B9"/>
  </r>
  <r>
    <s v="0287"/>
    <n v="990"/>
    <s v="Agencia Información"/>
    <s v="Mujeres"/>
    <n v="4"/>
    <x v="21"/>
    <x v="2"/>
    <x v="1"/>
    <x v="4"/>
    <x v="1"/>
    <x v="28"/>
    <s v="Periodo 2010-2016"/>
    <s v="Número de atenciones médicas"/>
    <s v="Departamento de Estadísticas e Información de la Salud (DEIS) - Ministerio de Salud"/>
    <s v="Evolución de las Atenciones de Salud por Violencia de Género en Región de Coquimbo, para el Periodo 2010-2016"/>
    <m/>
    <s v="Gráfico de Evolución"/>
    <s v="Región de Coquimbo salud violencia género mujer urgencia atenciones médicas"/>
    <s v="https://analytics.zoho.com/open-view/2395394000007782905?ZOHO_CRITERIA=%2227.10%22.%22Id_Regi%C3%B3n%22%20%3D%204"/>
    <x v="4"/>
    <s v="#1774B9"/>
  </r>
  <r>
    <s v="0288"/>
    <n v="990"/>
    <s v="Agencia Información"/>
    <s v="Mujeres"/>
    <n v="5"/>
    <x v="21"/>
    <x v="2"/>
    <x v="1"/>
    <x v="5"/>
    <x v="1"/>
    <x v="28"/>
    <s v="Periodo 2010-2016"/>
    <s v="Número de atenciones médicas"/>
    <s v="Departamento de Estadísticas e Información de la Salud (DEIS) - Ministerio de Salud"/>
    <s v="Evolución de las Atenciones de Salud por Violencia de Género en Región de Valparaíso, para el Periodo 2010-2016"/>
    <m/>
    <s v="Gráfico de Evolución"/>
    <s v="Región de Valparaíso salud violencia género mujer urgencia atenciones médicas"/>
    <s v="https://analytics.zoho.com/open-view/2395394000007782905?ZOHO_CRITERIA=%2227.10%22.%22Id_Regi%C3%B3n%22%20%3D%205"/>
    <x v="5"/>
    <s v="#1774B9"/>
  </r>
  <r>
    <s v="0289"/>
    <n v="990"/>
    <s v="Agencia Información"/>
    <s v="Mujeres"/>
    <n v="6"/>
    <x v="21"/>
    <x v="2"/>
    <x v="1"/>
    <x v="6"/>
    <x v="1"/>
    <x v="28"/>
    <s v="Periodo 2010-2016"/>
    <s v="Número de atenciones médicas"/>
    <s v="Departamento de Estadísticas e Información de la Salud (DEIS) - Ministerio de Salud"/>
    <s v="Evolución de las Atenciones de Salud por Violencia de Género en Región de O'Higgins, para el Periodo 2010-2016"/>
    <m/>
    <s v="Gráfico de Evolución"/>
    <s v="Región de O'Higgins salud violencia género mujer urgencia atenciones médicas"/>
    <s v="https://analytics.zoho.com/open-view/2395394000007782905?ZOHO_CRITERIA=%2227.10%22.%22Id_Regi%C3%B3n%22%20%3D%206"/>
    <x v="6"/>
    <s v="#1774B9"/>
  </r>
  <r>
    <s v="0290"/>
    <n v="990"/>
    <s v="Agencia Información"/>
    <s v="Mujeres"/>
    <n v="7"/>
    <x v="21"/>
    <x v="2"/>
    <x v="1"/>
    <x v="7"/>
    <x v="1"/>
    <x v="28"/>
    <s v="Periodo 2010-2016"/>
    <s v="Número de atenciones médicas"/>
    <s v="Departamento de Estadísticas e Información de la Salud (DEIS) - Ministerio de Salud"/>
    <s v="Evolución de las Atenciones de Salud por Violencia de Género en Región de Maule, para el Periodo 2010-2016"/>
    <m/>
    <s v="Gráfico de Evolución"/>
    <s v="Región de Maule salud violencia género mujer urgencia atenciones médicas"/>
    <s v="https://analytics.zoho.com/open-view/2395394000007782905?ZOHO_CRITERIA=%2227.10%22.%22Id_Regi%C3%B3n%22%20%3D%207"/>
    <x v="7"/>
    <s v="#1774B9"/>
  </r>
  <r>
    <s v="0291"/>
    <n v="990"/>
    <s v="Agencia Información"/>
    <s v="Mujeres"/>
    <n v="8"/>
    <x v="21"/>
    <x v="2"/>
    <x v="1"/>
    <x v="8"/>
    <x v="1"/>
    <x v="28"/>
    <s v="Periodo 2010-2016"/>
    <s v="Número de atenciones médicas"/>
    <s v="Departamento de Estadísticas e Información de la Salud (DEIS) - Ministerio de Salud"/>
    <s v="Evolución de las Atenciones de Salud por Violencia de Género en Región del Biobío, para el Periodo 2010-2016"/>
    <m/>
    <s v="Gráfico de Evolución"/>
    <s v="Región del Biobío salud violencia género mujer urgencia atenciones médicas"/>
    <s v="https://analytics.zoho.com/open-view/2395394000007782905?ZOHO_CRITERIA=%2227.10%22.%22Id_Regi%C3%B3n%22%20%3D%208"/>
    <x v="8"/>
    <s v="#1774B9"/>
  </r>
  <r>
    <s v="0292"/>
    <n v="990"/>
    <s v="Agencia Información"/>
    <s v="Mujeres"/>
    <n v="9"/>
    <x v="21"/>
    <x v="2"/>
    <x v="1"/>
    <x v="9"/>
    <x v="1"/>
    <x v="28"/>
    <s v="Periodo 2010-2016"/>
    <s v="Número de atenciones médicas"/>
    <s v="Departamento de Estadísticas e Información de la Salud (DEIS) - Ministerio de Salud"/>
    <s v="Evolución de las Atenciones de Salud por Violencia de Género en Región de La Araucanía, para el Periodo 2010-2016"/>
    <m/>
    <s v="Gráfico de Evolución"/>
    <s v="Región de La Araucanía salud violencia género mujer urgencia atenciones médicas"/>
    <s v="https://analytics.zoho.com/open-view/2395394000007782905?ZOHO_CRITERIA=%2227.10%22.%22Id_Regi%C3%B3n%22%20%3D%209"/>
    <x v="9"/>
    <s v="#1774B9"/>
  </r>
  <r>
    <s v="0293"/>
    <n v="990"/>
    <s v="Agencia Información"/>
    <s v="Mujeres"/>
    <n v="10"/>
    <x v="21"/>
    <x v="2"/>
    <x v="1"/>
    <x v="10"/>
    <x v="1"/>
    <x v="28"/>
    <s v="Periodo 2010-2016"/>
    <s v="Número de atenciones médicas"/>
    <s v="Departamento de Estadísticas e Información de la Salud (DEIS) - Ministerio de Salud"/>
    <s v="Evolución de las Atenciones de Salud por Violencia de Género en Región de Los Lagos, para el Periodo 2010-2016"/>
    <m/>
    <s v="Gráfico de Evolución"/>
    <s v="Región de Los Lagos salud violencia género mujer urgencia atenciones médicas"/>
    <s v="https://analytics.zoho.com/open-view/2395394000007782905?ZOHO_CRITERIA=%2227.10%22.%22Id_Regi%C3%B3n%22%20%3D%2010"/>
    <x v="10"/>
    <s v="#1774B9"/>
  </r>
  <r>
    <s v="0294"/>
    <n v="990"/>
    <s v="Agencia Información"/>
    <s v="Mujeres"/>
    <n v="11"/>
    <x v="21"/>
    <x v="2"/>
    <x v="1"/>
    <x v="11"/>
    <x v="1"/>
    <x v="28"/>
    <s v="Periodo 2010-2016"/>
    <s v="Número de atenciones médicas"/>
    <s v="Departamento de Estadísticas e Información de la Salud (DEIS) - Ministerio de Salud"/>
    <s v="Evolución de las Atenciones de Salud por Violencia de Género en Región de Aysén, para el Periodo 2010-2016"/>
    <m/>
    <s v="Gráfico de Evolución"/>
    <s v="Región de Aysén salud violencia género mujer urgencia atenciones médicas"/>
    <s v="https://analytics.zoho.com/open-view/2395394000007782905?ZOHO_CRITERIA=%2227.10%22.%22Id_Regi%C3%B3n%22%20%3D%2011"/>
    <x v="11"/>
    <s v="#1774B9"/>
  </r>
  <r>
    <s v="0295"/>
    <n v="990"/>
    <s v="Agencia Información"/>
    <s v="Mujeres"/>
    <n v="12"/>
    <x v="21"/>
    <x v="2"/>
    <x v="1"/>
    <x v="12"/>
    <x v="1"/>
    <x v="28"/>
    <s v="Periodo 2010-2016"/>
    <s v="Número de atenciones médicas"/>
    <s v="Departamento de Estadísticas e Información de la Salud (DEIS) - Ministerio de Salud"/>
    <s v="Evolución de las Atenciones de Salud por Violencia de Género en Región de Magallanes, para el Periodo 2010-2016"/>
    <m/>
    <s v="Gráfico de Evolución"/>
    <s v="Región de Magallanes salud violencia género mujer urgencia atenciones médicas"/>
    <s v="https://analytics.zoho.com/open-view/2395394000007782905?ZOHO_CRITERIA=%2227.10%22.%22Id_Regi%C3%B3n%22%20%3D%2012"/>
    <x v="12"/>
    <s v="#1774B9"/>
  </r>
  <r>
    <s v="0296"/>
    <n v="990"/>
    <s v="Agencia Información"/>
    <s v="Mujeres"/>
    <n v="13"/>
    <x v="21"/>
    <x v="2"/>
    <x v="1"/>
    <x v="13"/>
    <x v="1"/>
    <x v="28"/>
    <s v="Periodo 2010-2016"/>
    <s v="Número de atenciones médicas"/>
    <s v="Departamento de Estadísticas e Información de la Salud (DEIS) - Ministerio de Salud"/>
    <s v="Evolución de las Atenciones de Salud por Violencia de Género en Región Metropolitana, para el Periodo 2010-2016"/>
    <s v="Las Atenciones en Salud por Violencia de Género se califican de acuerdo al concepto bajo el cual fue ingresada la urgencia. El concepto &quot;Otra Violencia&quot; ha sido el más común durante el periodo 2010-2016, seguido por &quot;Violencia Intrafamiliar&quot; para el año 2016."/>
    <s v="Gráfico de Evolución"/>
    <s v="Región Metropolitana salud violencia género mujer urgencia atenciones médicas"/>
    <s v="https://analytics.zoho.com/open-view/2395394000007782905?ZOHO_CRITERIA=%2227.10%22.%22Id_Regi%C3%B3n%22%20%3D%2013"/>
    <x v="13"/>
    <s v="#1774B9"/>
  </r>
  <r>
    <s v="0297"/>
    <n v="990"/>
    <s v="Agencia Información"/>
    <s v="Mujeres"/>
    <n v="14"/>
    <x v="21"/>
    <x v="2"/>
    <x v="1"/>
    <x v="14"/>
    <x v="1"/>
    <x v="28"/>
    <s v="Periodo 2010-2016"/>
    <s v="Número de atenciones médicas"/>
    <s v="Departamento de Estadísticas e Información de la Salud (DEIS) - Ministerio de Salud"/>
    <s v="Evolución de las Atenciones de Salud por Violencia de Género en Región de Los Ríos, para el Periodo 2010-2016"/>
    <m/>
    <s v="Gráfico de Evolución"/>
    <s v="Región de Los Ríos salud violencia género mujer urgencia atenciones médicas"/>
    <s v="https://analytics.zoho.com/open-view/2395394000007782905?ZOHO_CRITERIA=%2227.10%22.%22Id_Regi%C3%B3n%22%20%3D%2014"/>
    <x v="14"/>
    <s v="#1774B9"/>
  </r>
  <r>
    <s v="0298"/>
    <n v="990"/>
    <s v="Agencia Información"/>
    <s v="Mujeres"/>
    <n v="15"/>
    <x v="21"/>
    <x v="2"/>
    <x v="1"/>
    <x v="15"/>
    <x v="1"/>
    <x v="28"/>
    <s v="Periodo 2010-2016"/>
    <s v="Número de atenciones médicas"/>
    <s v="Departamento de Estadísticas e Información de la Salud (DEIS) - Ministerio de Salud"/>
    <s v="Evolución de las Atenciones de Salud por Violencia de Género en Región de Arica y Parinacota, para el Periodo 2010-2016"/>
    <m/>
    <s v="Gráfico de Evolución"/>
    <s v="Región de Arica y Parinacota salud violencia género mujer urgencia atenciones médicas"/>
    <s v="https://analytics.zoho.com/open-view/2395394000007782905?ZOHO_CRITERIA=%2227.10%22.%22Id_Regi%C3%B3n%22%20%3D%2015"/>
    <x v="15"/>
    <s v="#1774B9"/>
  </r>
  <r>
    <s v="0299"/>
    <n v="990"/>
    <s v="Agencia Información"/>
    <s v="Mujeres"/>
    <n v="16"/>
    <x v="21"/>
    <x v="2"/>
    <x v="1"/>
    <x v="16"/>
    <x v="1"/>
    <x v="28"/>
    <s v="Periodo 2010-2016"/>
    <s v="Número de atenciones médicas"/>
    <s v="Departamento de Estadísticas e Información de la Salud (DEIS) - Ministerio de Salud"/>
    <s v="Evolución de las Atenciones de Salud por Violencia de Género en Región de Ñuble, para el Periodo 2010-2016"/>
    <m/>
    <s v="Gráfico de Evolución"/>
    <s v="Región de Ñuble salud violencia género mujer urgencia atenciones médicas"/>
    <s v="https://analytics.zoho.com/open-view/2395394000007782905?ZOHO_CRITERIA=%2227.10%22.%22Id_Regi%C3%B3n%22%20%3D%2016"/>
    <x v="16"/>
    <s v="#1774B9"/>
  </r>
  <r>
    <s v="0300"/>
    <n v="990"/>
    <s v="Agencia Información"/>
    <s v="Agropecuario y Forestal"/>
    <n v="0"/>
    <x v="7"/>
    <x v="5"/>
    <x v="0"/>
    <x v="0"/>
    <x v="0"/>
    <x v="29"/>
    <s v="Periodo 2012-2020"/>
    <s v="USD"/>
    <s v="Servicio Nacional de Aduanas"/>
    <s v="Evolución de las Exportaciones (USD) de frutas desde Chile para el Periodo 2012-2020"/>
    <m/>
    <s v="Gráfico de Evolución"/>
    <s v="Chile valor exportaciones dólar frutas región origen"/>
    <s v="https://analytics.zoho.com/open-view/2395394000008195941"/>
    <x v="0"/>
    <s v="#1774B9"/>
  </r>
  <r>
    <s v="0301"/>
    <n v="990"/>
    <s v="Agencia Información"/>
    <s v="Agropecuario y Forestal"/>
    <n v="1"/>
    <x v="7"/>
    <x v="5"/>
    <x v="1"/>
    <x v="1"/>
    <x v="1"/>
    <x v="29"/>
    <s v="Periodo 2012-2020"/>
    <s v="USD"/>
    <s v="Servicio Nacional de Aduanas"/>
    <s v="Evolución de las Exportaciones (USD) de frutas desde la Región de Tarapacá para el Periodo 2012-2020"/>
    <m/>
    <s v="Gráfico de Evolución"/>
    <s v="Región de Tarapacá valor exportaciones dólar frutas región origen"/>
    <s v="https://analytics.zoho.com/open-view/2395394000007782936?ZOHO_CRITERIA=%22Trasposicion_4.2%22.%22C%C3%B3digo_Regi%C3%B3n%22%20%3D%201"/>
    <x v="1"/>
    <s v="#1774B9"/>
  </r>
  <r>
    <s v="0302"/>
    <n v="990"/>
    <s v="Agencia Información"/>
    <s v="Agropecuario y Forestal"/>
    <n v="2"/>
    <x v="7"/>
    <x v="5"/>
    <x v="1"/>
    <x v="2"/>
    <x v="1"/>
    <x v="29"/>
    <s v="Periodo 2012-2020"/>
    <s v="USD"/>
    <s v="Servicio Nacional de Aduanas"/>
    <s v="Evolución de las Exportaciones (USD) de frutas desde la Región de Antofagasta para el Periodo 2012-2020"/>
    <m/>
    <s v="Gráfico de Evolución"/>
    <s v="Región de Antofagasta valor exportaciones dólar frutas región origen"/>
    <s v="https://analytics.zoho.com/open-view/2395394000007782936?ZOHO_CRITERIA=%22Trasposicion_4.2%22.%22C%C3%B3digo_Regi%C3%B3n%22%20%3D%202"/>
    <x v="2"/>
    <s v="#1774B9"/>
  </r>
  <r>
    <s v="0303"/>
    <n v="990"/>
    <s v="Agencia Información"/>
    <s v="Agropecuario y Forestal"/>
    <n v="3"/>
    <x v="7"/>
    <x v="5"/>
    <x v="1"/>
    <x v="3"/>
    <x v="1"/>
    <x v="29"/>
    <s v="Periodo 2012-2020"/>
    <s v="USD"/>
    <s v="Servicio Nacional de Aduanas"/>
    <s v="Evolución de las Exportaciones (USD) de frutas desde la Región de Atacama para el Periodo 2012-2020"/>
    <m/>
    <s v="Gráfico de Evolución"/>
    <s v="Región de Atacama valor exportaciones dólar frutas región origen"/>
    <s v="https://analytics.zoho.com/open-view/2395394000007782936?ZOHO_CRITERIA=%22Trasposicion_4.2%22.%22C%C3%B3digo_Regi%C3%B3n%22%20%3D%203"/>
    <x v="3"/>
    <s v="#1774B9"/>
  </r>
  <r>
    <s v="0304"/>
    <n v="990"/>
    <s v="Agencia Información"/>
    <s v="Agropecuario y Forestal"/>
    <n v="4"/>
    <x v="7"/>
    <x v="5"/>
    <x v="1"/>
    <x v="4"/>
    <x v="1"/>
    <x v="29"/>
    <s v="Periodo 2012-2020"/>
    <s v="USD"/>
    <s v="Servicio Nacional de Aduanas"/>
    <s v="Evolución de las Exportaciones (USD) de frutas desde la Región de Coquimbo para el Periodo 2012-2020"/>
    <m/>
    <s v="Gráfico de Evolución"/>
    <s v="Región de Coquimbo valor exportaciones dólar frutas región origen"/>
    <s v="https://analytics.zoho.com/open-view/2395394000007782936?ZOHO_CRITERIA=%22Trasposicion_4.2%22.%22C%C3%B3digo_Regi%C3%B3n%22%20%3D%204"/>
    <x v="4"/>
    <s v="#1774B9"/>
  </r>
  <r>
    <s v="0305"/>
    <n v="990"/>
    <s v="Agencia Información"/>
    <s v="Agropecuario y Forestal"/>
    <n v="5"/>
    <x v="7"/>
    <x v="5"/>
    <x v="1"/>
    <x v="5"/>
    <x v="1"/>
    <x v="29"/>
    <s v="Periodo 2012-2020"/>
    <s v="USD"/>
    <s v="Servicio Nacional de Aduanas"/>
    <s v="Evolución de las Exportaciones (USD) de frutas desde la Región de Valparaíso para el Periodo 2012-2020"/>
    <m/>
    <s v="Gráfico de Evolución"/>
    <s v="Región de Valparaíso valor exportaciones dólar frutas región origen"/>
    <s v="https://analytics.zoho.com/open-view/2395394000007782936?ZOHO_CRITERIA=%22Trasposicion_4.2%22.%22C%C3%B3digo_Regi%C3%B3n%22%20%3D%205"/>
    <x v="5"/>
    <s v="#1774B9"/>
  </r>
  <r>
    <s v="0306"/>
    <n v="990"/>
    <s v="Agencia Información"/>
    <s v="Agropecuario y Forestal"/>
    <n v="6"/>
    <x v="7"/>
    <x v="5"/>
    <x v="1"/>
    <x v="6"/>
    <x v="1"/>
    <x v="29"/>
    <s v="Periodo 2012-2020"/>
    <s v="USD"/>
    <s v="Servicio Nacional de Aduanas"/>
    <s v="Evolución de las Exportaciones (USD) de frutas desde la Región de O'Higgins para el Periodo 2012-2020"/>
    <m/>
    <s v="Gráfico de Evolución"/>
    <s v="Región de O'Higgins valor exportaciones dólar frutas región origen"/>
    <s v="https://analytics.zoho.com/open-view/2395394000007782936?ZOHO_CRITERIA=%22Trasposicion_4.2%22.%22C%C3%B3digo_Regi%C3%B3n%22%20%3D%206"/>
    <x v="6"/>
    <s v="#1774B9"/>
  </r>
  <r>
    <s v="0307"/>
    <n v="990"/>
    <s v="Agencia Información"/>
    <s v="Agropecuario y Forestal"/>
    <n v="7"/>
    <x v="7"/>
    <x v="5"/>
    <x v="1"/>
    <x v="7"/>
    <x v="1"/>
    <x v="29"/>
    <s v="Periodo 2012-2020"/>
    <s v="USD"/>
    <s v="Servicio Nacional de Aduanas"/>
    <s v="Evolución de las Exportaciones (USD) de frutas desde la Región de Maule para el Periodo 2012-2020"/>
    <m/>
    <s v="Gráfico de Evolución"/>
    <s v="Región de Maule valor exportaciones dólar frutas región origen"/>
    <s v="https://analytics.zoho.com/open-view/2395394000007782936?ZOHO_CRITERIA=%22Trasposicion_4.2%22.%22C%C3%B3digo_Regi%C3%B3n%22%20%3D%207"/>
    <x v="7"/>
    <s v="#1774B9"/>
  </r>
  <r>
    <s v="0308"/>
    <n v="990"/>
    <s v="Agencia Información"/>
    <s v="Agropecuario y Forestal"/>
    <n v="8"/>
    <x v="7"/>
    <x v="5"/>
    <x v="1"/>
    <x v="8"/>
    <x v="1"/>
    <x v="29"/>
    <s v="Periodo 2012-2020"/>
    <s v="USD"/>
    <s v="Servicio Nacional de Aduanas"/>
    <s v="Evolución de las Exportaciones (USD) de frutas desde la Región del Biobío para el Periodo 2012-2020"/>
    <m/>
    <s v="Gráfico de Evolución"/>
    <s v="Región del Biobío valor exportaciones dólar frutas región origen"/>
    <s v="https://analytics.zoho.com/open-view/2395394000007782936?ZOHO_CRITERIA=%22Trasposicion_4.2%22.%22C%C3%B3digo_Regi%C3%B3n%22%20%3D%208"/>
    <x v="8"/>
    <s v="#1774B9"/>
  </r>
  <r>
    <s v="0309"/>
    <n v="990"/>
    <s v="Agencia Información"/>
    <s v="Agropecuario y Forestal"/>
    <n v="9"/>
    <x v="7"/>
    <x v="5"/>
    <x v="1"/>
    <x v="9"/>
    <x v="1"/>
    <x v="29"/>
    <s v="Periodo 2012-2020"/>
    <s v="USD"/>
    <s v="Servicio Nacional de Aduanas"/>
    <s v="Evolución de las Exportaciones (USD) de frutas desde la Región de La Araucanía para el Periodo 2012-2020"/>
    <m/>
    <s v="Gráfico de Evolución"/>
    <s v="Región de La Araucanía valor exportaciones dólar frutas región origen"/>
    <s v="https://analytics.zoho.com/open-view/2395394000007782936?ZOHO_CRITERIA=%22Trasposicion_4.2%22.%22C%C3%B3digo_Regi%C3%B3n%22%20%3D%209"/>
    <x v="9"/>
    <s v="#1774B9"/>
  </r>
  <r>
    <s v="0310"/>
    <n v="990"/>
    <s v="Agencia Información"/>
    <s v="Agropecuario y Forestal"/>
    <n v="10"/>
    <x v="7"/>
    <x v="5"/>
    <x v="1"/>
    <x v="10"/>
    <x v="1"/>
    <x v="29"/>
    <s v="Periodo 2012-2020"/>
    <s v="USD"/>
    <s v="Servicio Nacional de Aduanas"/>
    <s v="Evolución de las Exportaciones (USD) de frutas desde la Región de Los Lagos para el Periodo 2012-2020"/>
    <m/>
    <s v="Gráfico de Evolución"/>
    <s v="Región de Los Lagos valor exportaciones dólar frutas región origen"/>
    <s v="https://analytics.zoho.com/open-view/2395394000007782936?ZOHO_CRITERIA=%22Trasposicion_4.2%22.%22C%C3%B3digo_Regi%C3%B3n%22%20%3D%2010"/>
    <x v="10"/>
    <s v="#1774B9"/>
  </r>
  <r>
    <s v="0311"/>
    <n v="990"/>
    <s v="Agencia Información"/>
    <s v="Agropecuario y Forestal"/>
    <n v="11"/>
    <x v="7"/>
    <x v="5"/>
    <x v="1"/>
    <x v="11"/>
    <x v="1"/>
    <x v="29"/>
    <s v="Periodo 2012-2020"/>
    <s v="USD"/>
    <s v="Servicio Nacional de Aduanas"/>
    <s v="Evolución de las Exportaciones (USD) de frutas desde la Región de Aysén para el Periodo 2012-2020"/>
    <m/>
    <s v="Gráfico de Evolución"/>
    <s v="Región de Aysén valor exportaciones dólar frutas región origen"/>
    <s v="https://analytics.zoho.com/open-view/2395394000007782936?ZOHO_CRITERIA=%22Trasposicion_4.2%22.%22C%C3%B3digo_Regi%C3%B3n%22%20%3D%2011"/>
    <x v="11"/>
    <s v="#1774B9"/>
  </r>
  <r>
    <s v="0312"/>
    <n v="990"/>
    <s v="Agencia Información"/>
    <s v="Agropecuario y Forestal"/>
    <n v="12"/>
    <x v="7"/>
    <x v="5"/>
    <x v="1"/>
    <x v="12"/>
    <x v="1"/>
    <x v="29"/>
    <s v="Periodo 2012-2020"/>
    <s v="USD"/>
    <s v="Servicio Nacional de Aduanas"/>
    <s v="Evolución de las Exportaciones (USD) de frutas desde la Región de Magallanes para el Periodo 2012-2020"/>
    <m/>
    <s v="Gráfico de Evolución"/>
    <s v="Región de Magallanes valor exportaciones dólar frutas región origen"/>
    <s v="https://analytics.zoho.com/open-view/2395394000007782936?ZOHO_CRITERIA=%22Trasposicion_4.2%22.%22C%C3%B3digo_Regi%C3%B3n%22%20%3D%2012"/>
    <x v="12"/>
    <s v="#1774B9"/>
  </r>
  <r>
    <s v="0313"/>
    <n v="990"/>
    <s v="Agencia Información"/>
    <s v="Agropecuario y Forestal"/>
    <n v="13"/>
    <x v="7"/>
    <x v="5"/>
    <x v="1"/>
    <x v="13"/>
    <x v="1"/>
    <x v="29"/>
    <s v="Periodo 2012-2020"/>
    <s v="USD"/>
    <s v="Servicio Nacional de Aduanas"/>
    <s v="Evolución de las Exportaciones (USD) de frutas desde la Región Metropolitana para el Periodo 2012-2020"/>
    <s v="Para la Región Metropolitana, las frutas exportadas que generan mayores ingresos, durante el periodo comprendido entre los años 2012 y 2020, son la uva, la nuez y la ciruela. Sólo el año 2020 la uva significó un total de 247.355.802 dólares y la Nuez 188.356.606 dólares."/>
    <s v="Gráfico de Evolución"/>
    <s v="Región Metropolitana valor exportaciones dólar frutas región origen"/>
    <s v="https://analytics.zoho.com/open-view/2395394000007782936?ZOHO_CRITERIA=%22Trasposicion_4.2%22.%22C%C3%B3digo_Regi%C3%B3n%22%20%3D%2013"/>
    <x v="13"/>
    <s v="#1774B9"/>
  </r>
  <r>
    <s v="0314"/>
    <n v="990"/>
    <s v="Agencia Información"/>
    <s v="Agropecuario y Forestal"/>
    <n v="14"/>
    <x v="7"/>
    <x v="5"/>
    <x v="1"/>
    <x v="14"/>
    <x v="1"/>
    <x v="29"/>
    <s v="Periodo 2012-2020"/>
    <s v="USD"/>
    <s v="Servicio Nacional de Aduanas"/>
    <s v="Evolución de las Exportaciones (USD) de frutas desde la Región de Los Ríos para el Periodo 2012-2020"/>
    <m/>
    <s v="Gráfico de Evolución"/>
    <s v="Región de Los Ríos valor exportaciones dólar frutas región origen"/>
    <s v="https://analytics.zoho.com/open-view/2395394000007782936?ZOHO_CRITERIA=%22Trasposicion_4.2%22.%22C%C3%B3digo_Regi%C3%B3n%22%20%3D%2014"/>
    <x v="14"/>
    <s v="#1774B9"/>
  </r>
  <r>
    <s v="0315"/>
    <n v="990"/>
    <s v="Agencia Información"/>
    <s v="Agropecuario y Forestal"/>
    <n v="15"/>
    <x v="7"/>
    <x v="5"/>
    <x v="1"/>
    <x v="15"/>
    <x v="1"/>
    <x v="29"/>
    <s v="Periodo 2012-2020"/>
    <s v="USD"/>
    <s v="Servicio Nacional de Aduanas"/>
    <s v="Evolución de las Exportaciones (USD) de frutas desde la Región de Arica y Parinacota para el Periodo 2012-2020"/>
    <m/>
    <s v="Gráfico de Evolución"/>
    <s v="Región de Arica y Parinacota valor exportaciones dólar frutas región origen"/>
    <s v="https://analytics.zoho.com/open-view/2395394000007782936?ZOHO_CRITERIA=%22Trasposicion_4.2%22.%22C%C3%B3digo_Regi%C3%B3n%22%20%3D%2015"/>
    <x v="15"/>
    <s v="#1774B9"/>
  </r>
  <r>
    <s v="0316"/>
    <n v="990"/>
    <s v="Agencia Información"/>
    <s v="Agropecuario y Forestal"/>
    <n v="16"/>
    <x v="7"/>
    <x v="5"/>
    <x v="1"/>
    <x v="16"/>
    <x v="1"/>
    <x v="29"/>
    <s v="Periodo 2012-2020"/>
    <s v="USD"/>
    <s v="Servicio Nacional de Aduanas"/>
    <s v="Evolución de las Exportaciones (USD) de frutas desde la Región de Ñuble para el Periodo 2012-2020"/>
    <m/>
    <s v="Gráfico de Evolución"/>
    <s v="Región de Ñuble valor exportaciones dólar frutas región origen"/>
    <s v="https://analytics.zoho.com/open-view/2395394000007782936?ZOHO_CRITERIA=%22Trasposicion_4.2%22.%22C%C3%B3digo_Regi%C3%B3n%22%20%3D%2016"/>
    <x v="16"/>
    <s v="#1774B9"/>
  </r>
  <r>
    <s v="0317"/>
    <n v="990"/>
    <s v="Agencia Información"/>
    <s v="Agropecuario y Forestal"/>
    <n v="0"/>
    <x v="7"/>
    <x v="5"/>
    <x v="0"/>
    <x v="0"/>
    <x v="1"/>
    <x v="30"/>
    <s v="Periodo 2012-2020"/>
    <s v="USD"/>
    <s v="Servicio Nacional de Aduanas"/>
    <s v="Valor acumulado (USD) de Exportaciones Frutícolas por país de destino, Periodo 2012-2020"/>
    <s v="Estados Unidos es el país que más ingresos genera a Chile producto de las exportaciones de fruta, con un monto de alrededor de 16,7 billones de dólares en el periodo 2012-2020, seguido por China, con 9,7 billones de dólares y luego Países Bajos, con valores en torno a los 4 billones."/>
    <s v="Mapa de calor"/>
    <s v="Chile exportaciones valor dólar frutas nacional"/>
    <s v="https://analytics.zoho.com/open-view/2395394000007801200"/>
    <x v="34"/>
    <s v="#1774B9"/>
  </r>
  <r>
    <s v="0318"/>
    <n v="990"/>
    <s v="Agencia Información"/>
    <s v="Energía"/>
    <n v="0"/>
    <x v="22"/>
    <x v="12"/>
    <x v="0"/>
    <x v="0"/>
    <x v="0"/>
    <x v="31"/>
    <s v="Año 2021"/>
    <s v="MW"/>
    <s v="Comisión Nacional de Energía (CNE)"/>
    <s v="Capacidad Instalada (MW) de Centrales de Energía Renovable y No Renovable en Chile, para el Año 2021"/>
    <m/>
    <s v="Gráfico"/>
    <s v="Chile energía capacidad instalada MW ERNC renovable regional potencia neta"/>
    <s v="https://analytics.zoho.com/open-view/2395394000008378144"/>
    <x v="0"/>
    <s v="#1774B9"/>
  </r>
  <r>
    <s v="0319"/>
    <n v="990"/>
    <s v="Agencia Información"/>
    <s v="Energía"/>
    <n v="1"/>
    <x v="22"/>
    <x v="12"/>
    <x v="1"/>
    <x v="1"/>
    <x v="1"/>
    <x v="31"/>
    <s v="Año 2021"/>
    <s v="MW"/>
    <s v="Comisión Nacional de Energía (CNE)"/>
    <s v="Capacidad Instalada (MW) de Centrales de Energía Renovable y No Renovable en la Región de Tarapacá, para el Año 2021"/>
    <m/>
    <s v="Gráfico"/>
    <s v="Región de Tarapacá energía capacidad instalada MW ERNC renovable regional potencia neta"/>
    <s v="https://analytics.zoho.com/open-view/2395394000008378752?ZOHO_CRITERIA=%2216%20Energ%C3%ADas%20Renovables%20y%20No%20Renovables%22.%22Cod_Regi%C3%B3n%22%20%3D%201"/>
    <x v="1"/>
    <s v="#1774B9"/>
  </r>
  <r>
    <s v="0320"/>
    <n v="990"/>
    <s v="Agencia Información"/>
    <s v="Energía"/>
    <n v="2"/>
    <x v="22"/>
    <x v="12"/>
    <x v="1"/>
    <x v="2"/>
    <x v="1"/>
    <x v="31"/>
    <s v="Año 2021"/>
    <s v="MW"/>
    <s v="Comisión Nacional de Energía (CNE)"/>
    <s v="Capacidad Instalada (MW) de Centrales de Energía Renovable y No Renovable en la Región de Antofagasta, para el Año 2021"/>
    <m/>
    <s v="Gráfico"/>
    <s v="Región de Antofagasta energía capacidad instalada MW ERNC renovable regional potencia neta"/>
    <s v="https://analytics.zoho.com/open-view/2395394000008378752?ZOHO_CRITERIA=%2216%20Energ%C3%ADas%20Renovables%20y%20No%20Renovables%22.%22Cod_Regi%C3%B3n%22%20%3D%202"/>
    <x v="2"/>
    <s v="#1774B9"/>
  </r>
  <r>
    <s v="0321"/>
    <n v="990"/>
    <s v="Agencia Información"/>
    <s v="Energía"/>
    <n v="3"/>
    <x v="22"/>
    <x v="12"/>
    <x v="1"/>
    <x v="3"/>
    <x v="1"/>
    <x v="31"/>
    <s v="Año 2021"/>
    <s v="MW"/>
    <s v="Comisión Nacional de Energía (CNE)"/>
    <s v="Capacidad Instalada (MW) de Centrales de Energía Renovable y No Renovable en la Región de Atacama, para el Año 2021"/>
    <m/>
    <s v="Gráfico"/>
    <s v="Región de Atacama energía capacidad instalada MW ERNC renovable regional potencia neta"/>
    <s v="https://analytics.zoho.com/open-view/2395394000008378752?ZOHO_CRITERIA=%2216%20Energ%C3%ADas%20Renovables%20y%20No%20Renovables%22.%22Cod_Regi%C3%B3n%22%20%3D%203"/>
    <x v="3"/>
    <s v="#1774B9"/>
  </r>
  <r>
    <s v="0322"/>
    <n v="990"/>
    <s v="Agencia Información"/>
    <s v="Energía"/>
    <n v="4"/>
    <x v="22"/>
    <x v="12"/>
    <x v="1"/>
    <x v="4"/>
    <x v="1"/>
    <x v="31"/>
    <s v="Año 2021"/>
    <s v="MW"/>
    <s v="Comisión Nacional de Energía (CNE)"/>
    <s v="Capacidad Instalada (MW) de Centrales de Energía Renovable y No Renovable en la Región de Coquimbo, para el Año 2021"/>
    <m/>
    <s v="Gráfico"/>
    <s v="Región de Coquimbo energía capacidad instalada MW ERNC renovable regional potencia neta"/>
    <s v="https://analytics.zoho.com/open-view/2395394000008378752?ZOHO_CRITERIA=%2216%20Energ%C3%ADas%20Renovables%20y%20No%20Renovables%22.%22Cod_Regi%C3%B3n%22%20%3D%204"/>
    <x v="4"/>
    <s v="#1774B9"/>
  </r>
  <r>
    <s v="0323"/>
    <n v="990"/>
    <s v="Agencia Información"/>
    <s v="Energía"/>
    <n v="5"/>
    <x v="22"/>
    <x v="12"/>
    <x v="1"/>
    <x v="5"/>
    <x v="1"/>
    <x v="31"/>
    <s v="Año 2021"/>
    <s v="MW"/>
    <s v="Comisión Nacional de Energía (CNE)"/>
    <s v="Capacidad Instalada (MW) de Centrales de Energía Renovable y No Renovable en la Región de Valparaíso, para el Año 2021"/>
    <m/>
    <s v="Gráfico"/>
    <s v="Región de Valparaíso energía capacidad instalada MW ERNC renovable regional potencia neta"/>
    <s v="https://analytics.zoho.com/open-view/2395394000008378752?ZOHO_CRITERIA=%2216%20Energ%C3%ADas%20Renovables%20y%20No%20Renovables%22.%22Cod_Regi%C3%B3n%22%20%3D%205"/>
    <x v="5"/>
    <s v="#1774B9"/>
  </r>
  <r>
    <s v="0324"/>
    <n v="990"/>
    <s v="Agencia Información"/>
    <s v="Energía"/>
    <n v="6"/>
    <x v="22"/>
    <x v="12"/>
    <x v="1"/>
    <x v="6"/>
    <x v="1"/>
    <x v="31"/>
    <s v="Año 2021"/>
    <s v="MW"/>
    <s v="Comisión Nacional de Energía (CNE)"/>
    <s v="Capacidad Instalada (MW) de Centrales de Energía Renovable y No Renovable en la Región de O'Higgins, para el Año 2021"/>
    <m/>
    <s v="Gráfico"/>
    <s v="Región de O'Higgins energía capacidad instalada MW ERNC renovable regional potencia neta"/>
    <s v="https://analytics.zoho.com/open-view/2395394000008378752?ZOHO_CRITERIA=%2216%20Energ%C3%ADas%20Renovables%20y%20No%20Renovables%22.%22Cod_Regi%C3%B3n%22%20%3D%206"/>
    <x v="6"/>
    <s v="#1774B9"/>
  </r>
  <r>
    <s v="0325"/>
    <n v="990"/>
    <s v="Agencia Información"/>
    <s v="Energía"/>
    <n v="7"/>
    <x v="22"/>
    <x v="12"/>
    <x v="1"/>
    <x v="7"/>
    <x v="1"/>
    <x v="31"/>
    <s v="Año 2021"/>
    <s v="MW"/>
    <s v="Comisión Nacional de Energía (CNE)"/>
    <s v="Capacidad Instalada (MW) de Centrales de Energía Renovable y No Renovable en la Región de Maule, para el Año 2021"/>
    <m/>
    <s v="Gráfico"/>
    <s v="Región de Maule energía capacidad instalada MW ERNC renovable regional potencia neta"/>
    <s v="https://analytics.zoho.com/open-view/2395394000008378752?ZOHO_CRITERIA=%2216%20Energ%C3%ADas%20Renovables%20y%20No%20Renovables%22.%22Cod_Regi%C3%B3n%22%20%3D%207"/>
    <x v="7"/>
    <s v="#1774B9"/>
  </r>
  <r>
    <s v="0326"/>
    <n v="990"/>
    <s v="Agencia Información"/>
    <s v="Energía"/>
    <n v="8"/>
    <x v="22"/>
    <x v="12"/>
    <x v="1"/>
    <x v="8"/>
    <x v="1"/>
    <x v="31"/>
    <s v="Año 2021"/>
    <s v="MW"/>
    <s v="Comisión Nacional de Energía (CNE)"/>
    <s v="Capacidad Instalada (MW) de Centrales de Energía Renovable y No Renovable en la Región del Biobío, para el Año 2021"/>
    <m/>
    <s v="Gráfico"/>
    <s v="Región del Biobío energía capacidad instalada MW ERNC renovable regional potencia neta"/>
    <s v="https://analytics.zoho.com/open-view/2395394000008378752?ZOHO_CRITERIA=%2216%20Energ%C3%ADas%20Renovables%20y%20No%20Renovables%22.%22Cod_Regi%C3%B3n%22%20%3D%208"/>
    <x v="8"/>
    <s v="#1774B9"/>
  </r>
  <r>
    <s v="0327"/>
    <n v="990"/>
    <s v="Agencia Información"/>
    <s v="Energía"/>
    <n v="9"/>
    <x v="22"/>
    <x v="12"/>
    <x v="1"/>
    <x v="9"/>
    <x v="1"/>
    <x v="31"/>
    <s v="Año 2021"/>
    <s v="MW"/>
    <s v="Comisión Nacional de Energía (CNE)"/>
    <s v="Capacidad Instalada (MW) de Centrales de Energía Renovable y No Renovable en la Región de La Araucanía, para el Año 2021"/>
    <m/>
    <s v="Gráfico"/>
    <s v="Región de La Araucanía energía capacidad instalada MW ERNC renovable regional potencia neta"/>
    <s v="https://analytics.zoho.com/open-view/2395394000008378752?ZOHO_CRITERIA=%2216%20Energ%C3%ADas%20Renovables%20y%20No%20Renovables%22.%22Cod_Regi%C3%B3n%22%20%3D%209"/>
    <x v="9"/>
    <s v="#1774B9"/>
  </r>
  <r>
    <s v="0328"/>
    <n v="990"/>
    <s v="Agencia Información"/>
    <s v="Energía"/>
    <n v="10"/>
    <x v="22"/>
    <x v="12"/>
    <x v="1"/>
    <x v="10"/>
    <x v="1"/>
    <x v="31"/>
    <s v="Año 2021"/>
    <s v="MW"/>
    <s v="Comisión Nacional de Energía (CNE)"/>
    <s v="Capacidad Instalada (MW) de Centrales de Energía Renovable y No Renovable en la Región de Los Lagos, para el Año 2021"/>
    <m/>
    <s v="Gráfico"/>
    <s v="Región de Los Lagos energía capacidad instalada MW ERNC renovable regional potencia neta"/>
    <s v="https://analytics.zoho.com/open-view/2395394000008378752?ZOHO_CRITERIA=%2216%20Energ%C3%ADas%20Renovables%20y%20No%20Renovables%22.%22Cod_Regi%C3%B3n%22%20%3D%2010"/>
    <x v="10"/>
    <s v="#1774B9"/>
  </r>
  <r>
    <s v="0329"/>
    <n v="990"/>
    <s v="Agencia Información"/>
    <s v="Energía"/>
    <n v="11"/>
    <x v="22"/>
    <x v="12"/>
    <x v="1"/>
    <x v="11"/>
    <x v="1"/>
    <x v="31"/>
    <s v="Año 2021"/>
    <s v="MW"/>
    <s v="Comisión Nacional de Energía (CNE)"/>
    <s v="Capacidad Instalada (MW) de Centrales de Energía Renovable y No Renovable en la Región de Aysén, para el Año 2021"/>
    <m/>
    <s v="Gráfico"/>
    <s v="Región de Aysén energía capacidad instalada MW ERNC renovable regional potencia neta"/>
    <s v="https://analytics.zoho.com/open-view/2395394000008378752?ZOHO_CRITERIA=%2216%20Energ%C3%ADas%20Renovables%20y%20No%20Renovables%22.%22Cod_Regi%C3%B3n%22%20%3D%2011"/>
    <x v="11"/>
    <s v="#1774B9"/>
  </r>
  <r>
    <s v="0330"/>
    <n v="990"/>
    <s v="Agencia Información"/>
    <s v="Energía"/>
    <n v="12"/>
    <x v="22"/>
    <x v="12"/>
    <x v="1"/>
    <x v="12"/>
    <x v="1"/>
    <x v="31"/>
    <s v="Año 2021"/>
    <s v="MW"/>
    <s v="Comisión Nacional de Energía (CNE)"/>
    <s v="Capacidad Instalada (MW) de Centrales de Energía Renovable y No Renovable en la Región de Magallanes, para el Año 2021"/>
    <m/>
    <s v="Gráfico"/>
    <s v="Región de Magallanes energía capacidad instalada MW ERNC renovable regional potencia neta"/>
    <s v="https://analytics.zoho.com/open-view/2395394000008378752?ZOHO_CRITERIA=%2216%20Energ%C3%ADas%20Renovables%20y%20No%20Renovables%22.%22Cod_Regi%C3%B3n%22%20%3D%2012"/>
    <x v="12"/>
    <s v="#1774B9"/>
  </r>
  <r>
    <s v="0331"/>
    <n v="990"/>
    <s v="Agencia Información"/>
    <s v="Energía"/>
    <n v="13"/>
    <x v="22"/>
    <x v="12"/>
    <x v="1"/>
    <x v="13"/>
    <x v="1"/>
    <x v="31"/>
    <s v="Año 2021"/>
    <s v="MW"/>
    <s v="Comisión Nacional de Energía (CNE)"/>
    <s v="Capacidad Instalada (MW) de Centrales de Energía Renovable y No Renovable en la Región Metropolitana, para el Año 2021"/>
    <m/>
    <s v="Gráfico"/>
    <s v="Región Metropolitana energía capacidad instalada MW ERNC renovable regional potencia neta"/>
    <s v="https://analytics.zoho.com/open-view/2395394000008378752?ZOHO_CRITERIA=%2216%20Energ%C3%ADas%20Renovables%20y%20No%20Renovables%22.%22Cod_Regi%C3%B3n%22%20%3D%2013"/>
    <x v="13"/>
    <s v="#1774B9"/>
  </r>
  <r>
    <s v="0332"/>
    <n v="990"/>
    <s v="Agencia Información"/>
    <s v="Energía"/>
    <n v="14"/>
    <x v="22"/>
    <x v="12"/>
    <x v="1"/>
    <x v="14"/>
    <x v="1"/>
    <x v="31"/>
    <s v="Año 2021"/>
    <s v="MW"/>
    <s v="Comisión Nacional de Energía (CNE)"/>
    <s v="Capacidad Instalada (MW) de Centrales de Energía Renovable y No Renovable en la Región de Los Ríos, para el Año 2021"/>
    <m/>
    <s v="Gráfico"/>
    <s v="Región de Los Ríos energía capacidad instalada MW ERNC renovable regional potencia neta"/>
    <s v="https://analytics.zoho.com/open-view/2395394000008378752?ZOHO_CRITERIA=%2216%20Energ%C3%ADas%20Renovables%20y%20No%20Renovables%22.%22Cod_Regi%C3%B3n%22%20%3D%2014"/>
    <x v="14"/>
    <s v="#1774B9"/>
  </r>
  <r>
    <s v="0333"/>
    <n v="990"/>
    <s v="Agencia Información"/>
    <s v="Energía"/>
    <n v="15"/>
    <x v="22"/>
    <x v="12"/>
    <x v="1"/>
    <x v="15"/>
    <x v="1"/>
    <x v="31"/>
    <s v="Año 2021"/>
    <s v="MW"/>
    <s v="Comisión Nacional de Energía (CNE)"/>
    <s v="Capacidad Instalada (MW) de Centrales de Energía Renovable y No Renovable en la Región de Arica y Parinacota, para el Año 2021"/>
    <m/>
    <s v="Gráfico"/>
    <s v="Región de Arica y Parinacota energía capacidad instalada MW ERNC renovable regional potencia neta"/>
    <s v="https://analytics.zoho.com/open-view/2395394000008378752?ZOHO_CRITERIA=%2216%20Energ%C3%ADas%20Renovables%20y%20No%20Renovables%22.%22Cod_Regi%C3%B3n%22%20%3D%2015"/>
    <x v="15"/>
    <s v="#1774B9"/>
  </r>
  <r>
    <s v="0334"/>
    <n v="990"/>
    <s v="Agencia Información"/>
    <s v="Energía"/>
    <n v="16"/>
    <x v="22"/>
    <x v="12"/>
    <x v="1"/>
    <x v="16"/>
    <x v="1"/>
    <x v="31"/>
    <s v="Año 2021"/>
    <s v="MW"/>
    <s v="Comisión Nacional de Energía (CNE)"/>
    <s v="Capacidad Instalada (MW) de Centrales de Energía Renovable y No Renovable en la Región de Ñuble, para el Año 2021"/>
    <m/>
    <s v="Gráfico"/>
    <s v="Región de Ñuble energía capacidad instalada MW ERNC renovable regional potencia neta"/>
    <s v="https://analytics.zoho.com/open-view/2395394000008378752?ZOHO_CRITERIA=%2216%20Energ%C3%ADas%20Renovables%20y%20No%20Renovables%22.%22Cod_Regi%C3%B3n%22%20%3D%2016"/>
    <x v="16"/>
    <s v="#1774B9"/>
  </r>
  <r>
    <s v="0335"/>
    <n v="990"/>
    <s v="Agencia Información"/>
    <s v="Agropecuario y Forestal"/>
    <n v="0"/>
    <x v="15"/>
    <x v="5"/>
    <x v="0"/>
    <x v="0"/>
    <x v="0"/>
    <x v="32"/>
    <s v="Periodo 1979-2020"/>
    <s v="Toneladas"/>
    <s v="Oficina de Estudios y Políticas Agrarias (ODEPA)"/>
    <s v="Producción Agrícola (t) en Chile en el Periodo 1979-2020"/>
    <m/>
    <s v="Gráfico de Evolución"/>
    <s v="Chile cultivos producción agrícola agricultura regional"/>
    <s v="https://analytics.zoho.com/open-view/2395394000007777467"/>
    <x v="0"/>
    <s v="#1774B9"/>
  </r>
  <r>
    <s v="0336"/>
    <n v="990"/>
    <s v="Agencia Información"/>
    <s v="Agropecuario y Forestal"/>
    <n v="1"/>
    <x v="15"/>
    <x v="5"/>
    <x v="1"/>
    <x v="1"/>
    <x v="1"/>
    <x v="32"/>
    <s v="Periodo 1979-2020"/>
    <s v="Toneladas"/>
    <s v="Oficina de Estudios y Políticas Agrarias (ODEPA)"/>
    <s v="Producción Agrícola (t) en la Región de Tarapacá en el Periodo 1979-2020"/>
    <m/>
    <s v="Gráfico de Evolución"/>
    <s v="Región de Tarapacá cultivos producción agrícola agricultura regional"/>
    <s v="https://analytics.zoho.com/open-view/2395394000008257083?ZOHO_CRITERIA=%22Trasposicion_4.10%22.%22Cod_regi%C3%B3n%22%20%3D%201"/>
    <x v="1"/>
    <s v="#1774B9"/>
  </r>
  <r>
    <s v="0337"/>
    <n v="990"/>
    <s v="Agencia Información"/>
    <s v="Agropecuario y Forestal"/>
    <n v="2"/>
    <x v="15"/>
    <x v="5"/>
    <x v="1"/>
    <x v="2"/>
    <x v="1"/>
    <x v="32"/>
    <s v="Periodo 1979-2020"/>
    <s v="Toneladas"/>
    <s v="Oficina de Estudios y Políticas Agrarias (ODEPA)"/>
    <s v="Producción Agrícola (t) en la Región de Antofagasta en el Periodo 1979-2020"/>
    <m/>
    <s v="Gráfico de Evolución"/>
    <s v="Región de Antofagasta cultivos producción agrícola agricultura regional"/>
    <s v="https://analytics.zoho.com/open-view/2395394000008257083?ZOHO_CRITERIA=%22Trasposicion_4.10%22.%22Cod_regi%C3%B3n%22%20%3D%202"/>
    <x v="2"/>
    <s v="#1774B9"/>
  </r>
  <r>
    <s v="0338"/>
    <n v="990"/>
    <s v="Agencia Información"/>
    <s v="Agropecuario y Forestal"/>
    <n v="3"/>
    <x v="15"/>
    <x v="5"/>
    <x v="1"/>
    <x v="3"/>
    <x v="1"/>
    <x v="32"/>
    <s v="Periodo 1979-2020"/>
    <s v="Toneladas"/>
    <s v="Oficina de Estudios y Políticas Agrarias (ODEPA)"/>
    <s v="Producción Agrícola (t) en la Región de Atacama en el Periodo 1979-2020"/>
    <m/>
    <s v="Gráfico de Evolución"/>
    <s v="Región de Atacama cultivos producción agrícola agricultura regional"/>
    <s v="https://analytics.zoho.com/open-view/2395394000008257083?ZOHO_CRITERIA=%22Trasposicion_4.10%22.%22Cod_regi%C3%B3n%22%20%3D%203"/>
    <x v="3"/>
    <s v="#1774B9"/>
  </r>
  <r>
    <s v="0339"/>
    <n v="990"/>
    <s v="Agencia Información"/>
    <s v="Agropecuario y Forestal"/>
    <n v="4"/>
    <x v="15"/>
    <x v="5"/>
    <x v="1"/>
    <x v="4"/>
    <x v="1"/>
    <x v="32"/>
    <s v="Periodo 1979-2020"/>
    <s v="Toneladas"/>
    <s v="Oficina de Estudios y Políticas Agrarias (ODEPA)"/>
    <s v="Producción Agrícola (t) en la Región de Coquimbo en el Periodo 1979-2020"/>
    <m/>
    <s v="Gráfico de Evolución"/>
    <s v="Región de Coquimbo cultivos producción agrícola agricultura regional"/>
    <s v="https://analytics.zoho.com/open-view/2395394000008257083?ZOHO_CRITERIA=%22Trasposicion_4.10%22.%22Cod_regi%C3%B3n%22%20%3D%204"/>
    <x v="4"/>
    <s v="#1774B9"/>
  </r>
  <r>
    <s v="0340"/>
    <n v="990"/>
    <s v="Agencia Información"/>
    <s v="Agropecuario y Forestal"/>
    <n v="5"/>
    <x v="15"/>
    <x v="5"/>
    <x v="1"/>
    <x v="5"/>
    <x v="1"/>
    <x v="32"/>
    <s v="Periodo 1979-2020"/>
    <s v="Toneladas"/>
    <s v="Oficina de Estudios y Políticas Agrarias (ODEPA)"/>
    <s v="Producción Agrícola (t) en la Región de Valparaíso en el Periodo 1979-2020"/>
    <m/>
    <s v="Gráfico de Evolución"/>
    <s v="Región de Valparaíso cultivos producción agrícola agricultura regional"/>
    <s v="https://analytics.zoho.com/open-view/2395394000008257083?ZOHO_CRITERIA=%22Trasposicion_4.10%22.%22Cod_regi%C3%B3n%22%20%3D%205"/>
    <x v="5"/>
    <s v="#1774B9"/>
  </r>
  <r>
    <s v="0341"/>
    <n v="990"/>
    <s v="Agencia Información"/>
    <s v="Agropecuario y Forestal"/>
    <n v="6"/>
    <x v="15"/>
    <x v="5"/>
    <x v="1"/>
    <x v="6"/>
    <x v="1"/>
    <x v="32"/>
    <s v="Periodo 1979-2020"/>
    <s v="Toneladas"/>
    <s v="Oficina de Estudios y Políticas Agrarias (ODEPA)"/>
    <s v="Producción Agrícola (t) en la Región de O'Higgins en el Periodo 1979-2020"/>
    <s v="La producción agrícola en la región de O'Higgins se mantuvo relativamente constante durante 35 temporadas, para luego repuntar entre los años 2012 y 2015, variando la producción de valores en torno a las 205.000 ton promedio por temporada, para alcanzar las 1.311.032 ton en la temporada 2014/15, lo que significa una variación cercana al 489%. En el año 2020 se observó una caída significativa alcanzando las 457.230 ton."/>
    <s v="Gráfico de Evolución"/>
    <s v="Región de O'Higgins cultivos producción agrícola agricultura regional"/>
    <s v="https://analytics.zoho.com/open-view/2395394000008257083?ZOHO_CRITERIA=%22Trasposicion_4.10%22.%22Cod_regi%C3%B3n%22%20%3D%206"/>
    <x v="6"/>
    <s v="#1774B9"/>
  </r>
  <r>
    <s v="0342"/>
    <n v="990"/>
    <s v="Agencia Información"/>
    <s v="Agropecuario y Forestal"/>
    <n v="7"/>
    <x v="15"/>
    <x v="5"/>
    <x v="1"/>
    <x v="7"/>
    <x v="1"/>
    <x v="32"/>
    <s v="Periodo 1979-2020"/>
    <s v="Toneladas"/>
    <s v="Oficina de Estudios y Políticas Agrarias (ODEPA)"/>
    <s v="Producción Agrícola (t) en la Región de Maule en el Periodo 1979-2020"/>
    <m/>
    <s v="Gráfico de Evolución"/>
    <s v="Región de Maule cultivos producción agrícola agricultura regional"/>
    <s v="https://analytics.zoho.com/open-view/2395394000008257083?ZOHO_CRITERIA=%22Trasposicion_4.10%22.%22Cod_regi%C3%B3n%22%20%3D%207"/>
    <x v="7"/>
    <s v="#1774B9"/>
  </r>
  <r>
    <s v="0343"/>
    <n v="990"/>
    <s v="Agencia Información"/>
    <s v="Agropecuario y Forestal"/>
    <n v="8"/>
    <x v="15"/>
    <x v="5"/>
    <x v="1"/>
    <x v="8"/>
    <x v="1"/>
    <x v="32"/>
    <s v="Periodo 1979-2020"/>
    <s v="Toneladas"/>
    <s v="Oficina de Estudios y Políticas Agrarias (ODEPA)"/>
    <s v="Producción Agrícola (t) en la Región del Biobío en el Periodo 1979-2020"/>
    <m/>
    <s v="Gráfico de Evolución"/>
    <s v="Región del Biobío cultivos producción agrícola agricultura regional"/>
    <s v="https://analytics.zoho.com/open-view/2395394000008257083?ZOHO_CRITERIA=%22Trasposicion_4.10%22.%22Cod_regi%C3%B3n%22%20%3D%208"/>
    <x v="8"/>
    <s v="#1774B9"/>
  </r>
  <r>
    <s v="0344"/>
    <n v="990"/>
    <s v="Agencia Información"/>
    <s v="Agropecuario y Forestal"/>
    <n v="9"/>
    <x v="15"/>
    <x v="5"/>
    <x v="1"/>
    <x v="9"/>
    <x v="1"/>
    <x v="32"/>
    <s v="Periodo 1979-2020"/>
    <s v="Toneladas"/>
    <s v="Oficina de Estudios y Políticas Agrarias (ODEPA)"/>
    <s v="Producción Agrícola (t) en la Región de La Araucanía en el Periodo 1979-2020"/>
    <m/>
    <s v="Gráfico de Evolución"/>
    <s v="Región de La Araucanía cultivos producción agrícola agricultura regional"/>
    <s v="https://analytics.zoho.com/open-view/2395394000008257083?ZOHO_CRITERIA=%22Trasposicion_4.10%22.%22Cod_regi%C3%B3n%22%20%3D%209"/>
    <x v="9"/>
    <s v="#1774B9"/>
  </r>
  <r>
    <s v="0345"/>
    <n v="990"/>
    <s v="Agencia Información"/>
    <s v="Agropecuario y Forestal"/>
    <n v="10"/>
    <x v="15"/>
    <x v="5"/>
    <x v="1"/>
    <x v="10"/>
    <x v="1"/>
    <x v="32"/>
    <s v="Periodo 1979-2020"/>
    <s v="Toneladas"/>
    <s v="Oficina de Estudios y Políticas Agrarias (ODEPA)"/>
    <s v="Producción Agrícola (t) en la Región de Los Lagos en el Periodo 1979-2020"/>
    <m/>
    <s v="Gráfico de Evolución"/>
    <s v="Región de Los Lagos cultivos producción agrícola agricultura regional"/>
    <s v="https://analytics.zoho.com/open-view/2395394000008257083?ZOHO_CRITERIA=%22Trasposicion_4.10%22.%22Cod_regi%C3%B3n%22%20%3D%2010"/>
    <x v="10"/>
    <s v="#1774B9"/>
  </r>
  <r>
    <s v="0346"/>
    <n v="990"/>
    <s v="Agencia Información"/>
    <s v="Agropecuario y Forestal"/>
    <n v="11"/>
    <x v="15"/>
    <x v="5"/>
    <x v="1"/>
    <x v="11"/>
    <x v="1"/>
    <x v="32"/>
    <s v="Periodo 1979-2020"/>
    <s v="Toneladas"/>
    <s v="Oficina de Estudios y Políticas Agrarias (ODEPA)"/>
    <s v="Producción Agrícola (t) en la Región de Aysén en el Periodo 1979-2020"/>
    <m/>
    <s v="Gráfico de Evolución"/>
    <s v="Región de Aysén cultivos producción agrícola agricultura regional"/>
    <s v="https://analytics.zoho.com/open-view/2395394000008257083?ZOHO_CRITERIA=%22Trasposicion_4.10%22.%22Cod_regi%C3%B3n%22%20%3D%2011"/>
    <x v="11"/>
    <s v="#1774B9"/>
  </r>
  <r>
    <s v="0347"/>
    <n v="990"/>
    <s v="Agencia Información"/>
    <s v="Agropecuario y Forestal"/>
    <n v="12"/>
    <x v="15"/>
    <x v="5"/>
    <x v="1"/>
    <x v="12"/>
    <x v="1"/>
    <x v="32"/>
    <s v="Periodo 1979-2020"/>
    <s v="Toneladas"/>
    <s v="Oficina de Estudios y Políticas Agrarias (ODEPA)"/>
    <s v="Producción Agrícola (t) en la Región de Magallanes en el Periodo 1979-2020"/>
    <m/>
    <s v="Gráfico de Evolución"/>
    <s v="Región de Magallanes cultivos producción agrícola agricultura regional"/>
    <s v="https://analytics.zoho.com/open-view/2395394000008257083?ZOHO_CRITERIA=%22Trasposicion_4.10%22.%22Cod_regi%C3%B3n%22%20%3D%2012"/>
    <x v="12"/>
    <s v="#1774B9"/>
  </r>
  <r>
    <s v="0348"/>
    <n v="990"/>
    <s v="Agencia Información"/>
    <s v="Agropecuario y Forestal"/>
    <n v="13"/>
    <x v="15"/>
    <x v="5"/>
    <x v="1"/>
    <x v="13"/>
    <x v="1"/>
    <x v="32"/>
    <s v="Periodo 1979-2020"/>
    <s v="Toneladas"/>
    <s v="Oficina de Estudios y Políticas Agrarias (ODEPA)"/>
    <s v="Producción Agrícola (t) en la Región Metropolitana en el Periodo 1979-2020"/>
    <m/>
    <s v="Gráfico de Evolución"/>
    <s v="Región Metropolitana cultivos producción agrícola agricultura regional"/>
    <s v="https://analytics.zoho.com/open-view/2395394000008257083?ZOHO_CRITERIA=%22Trasposicion_4.10%22.%22Cod_regi%C3%B3n%22%20%3D%2013"/>
    <x v="13"/>
    <s v="#1774B9"/>
  </r>
  <r>
    <s v="0349"/>
    <n v="990"/>
    <s v="Agencia Información"/>
    <s v="Agropecuario y Forestal"/>
    <n v="14"/>
    <x v="15"/>
    <x v="5"/>
    <x v="1"/>
    <x v="14"/>
    <x v="1"/>
    <x v="32"/>
    <s v="Periodo 1979-2020"/>
    <s v="Toneladas"/>
    <s v="Oficina de Estudios y Políticas Agrarias (ODEPA)"/>
    <s v="Producción Agrícola (t) en la Región de Los Ríos en el Periodo 1979-2020"/>
    <m/>
    <s v="Gráfico de Evolución"/>
    <s v="Región de Los Ríos cultivos producción agrícola agricultura regional"/>
    <s v="https://analytics.zoho.com/open-view/2395394000008257083?ZOHO_CRITERIA=%22Trasposicion_4.10%22.%22Cod_regi%C3%B3n%22%20%3D%2014"/>
    <x v="14"/>
    <s v="#1774B9"/>
  </r>
  <r>
    <s v="0350"/>
    <n v="990"/>
    <s v="Agencia Información"/>
    <s v="Agropecuario y Forestal"/>
    <n v="15"/>
    <x v="15"/>
    <x v="5"/>
    <x v="1"/>
    <x v="15"/>
    <x v="1"/>
    <x v="32"/>
    <s v="Periodo 1979-2020"/>
    <s v="Toneladas"/>
    <s v="Oficina de Estudios y Políticas Agrarias (ODEPA)"/>
    <s v="Producción Agrícola (t) en la Región de Arica y Parinacota en el Periodo 1979-2020"/>
    <m/>
    <s v="Gráfico de Evolución"/>
    <s v="Región de Arica y Parinacota cultivos producción agrícola agricultura regional"/>
    <s v="https://analytics.zoho.com/open-view/2395394000008257083?ZOHO_CRITERIA=%22Trasposicion_4.10%22.%22Cod_regi%C3%B3n%22%20%3D%2015"/>
    <x v="15"/>
    <s v="#1774B9"/>
  </r>
  <r>
    <s v="0351"/>
    <n v="990"/>
    <s v="Agencia Información"/>
    <s v="Agropecuario y Forestal"/>
    <n v="16"/>
    <x v="15"/>
    <x v="5"/>
    <x v="1"/>
    <x v="16"/>
    <x v="1"/>
    <x v="32"/>
    <s v="Periodo 1979-2020"/>
    <s v="Toneladas"/>
    <s v="Oficina de Estudios y Políticas Agrarias (ODEPA)"/>
    <s v="Producción Agrícola (t) en la Región de Ñuble en el Periodo 1979-2020"/>
    <m/>
    <s v="Gráfico de Evolución"/>
    <s v="Región de Ñuble cultivos producción agrícola agricultura regional"/>
    <s v="https://analytics.zoho.com/open-view/2395394000008257083?ZOHO_CRITERIA=%22Trasposicion_4.10%22.%22Cod_regi%C3%B3n%22%20%3D%2016"/>
    <x v="16"/>
    <s v="#1774B9"/>
  </r>
  <r>
    <s v="0352"/>
    <n v="990"/>
    <s v="Agencia Información"/>
    <s v="Agropecuario y Forestal"/>
    <n v="0"/>
    <x v="23"/>
    <x v="5"/>
    <x v="0"/>
    <x v="0"/>
    <x v="1"/>
    <x v="33"/>
    <s v="Periodo 2012-2020"/>
    <s v="Toneladas"/>
    <s v="Servicio Nacional de Aduanas"/>
    <s v="Volumen de Importaciones (t) de frutas tropicales y subtropicales, en el Periodo 2012-2020"/>
    <s v="Dentro del grupo de frutas Tropicales y Subtropicales, el plátano es la fruta con mayor importación en Chile. En el año 2020 se importaron 264.242 toneladas de esta fruta, superando en 1,4 veces la cantidad importada en el año 2012."/>
    <s v="Gráfico de Evolución"/>
    <s v="Chile importaciones fruta comercio tropical subtropical mango piña papaya coco plátano"/>
    <s v="https://analytics.zoho.com/open-view/2395394000007777591?ZOHO_CRITERIA=%22Trasposicion_4.3%22.%22Id_Producto%22%20%3D%20100108"/>
    <x v="34"/>
    <s v="#1774B9"/>
  </r>
  <r>
    <s v="0353"/>
    <n v="990"/>
    <s v="Agencia Información"/>
    <s v="Agropecuario y Forestal"/>
    <n v="0"/>
    <x v="23"/>
    <x v="5"/>
    <x v="0"/>
    <x v="0"/>
    <x v="1"/>
    <x v="33"/>
    <s v="Periodo 2012-2020"/>
    <s v="Toneladas"/>
    <s v="Servicio Nacional de Aduanas"/>
    <s v="Volumen de Importaciones (t) por Procesamiento, en el Periodo 2012-2020"/>
    <s v="Durante el periodo 2012 - 2020, la mayor cantidad de fruta importada por Chile corresponde a fruta fresca, alcanzando un total de 356.049 ton en el año 2020. Por el contrario, la menor cantidad de fruta importada por Chile, corresponde a la procesada como frutos secos, en que el año 2020 alcanzó las 7.006 ton."/>
    <s v="Gráfico de Evolución"/>
    <s v="Chile importaciones fruta procesamiento comercio fresca jugo congelado conservas"/>
    <s v="https://analytics.zoho.com/open-view/2395394000007777311"/>
    <x v="34"/>
    <s v="#1774B9"/>
  </r>
  <r>
    <s v="0354"/>
    <n v="990"/>
    <s v="Agencia Información"/>
    <s v="Mujeres"/>
    <n v="0"/>
    <x v="24"/>
    <x v="13"/>
    <x v="0"/>
    <x v="0"/>
    <x v="1"/>
    <x v="34"/>
    <s v="Periodo 2011-2018"/>
    <s v="Número de Casos"/>
    <s v="Departamento de Estadísticas e Información de la Salud (DEIS) - Ministerio de Salud"/>
    <s v="Evolución de Casos de Cáncer de Cuello Uterino en Chile durante el Periodo 2011-2018"/>
    <s v="Considerando la población en Control del Programa de Cáncer de Cuello Uterino, la que considera a las mujeres con PAP vigente entre los años 2012-2018, se observa que la cantidad máxima de casos positivos para Cáncer de Cuello Uterino se alcanzó en el año 2014. Desde esa fecha, la población en control ha ido a la baja, salvo por el año 2018 que subió un 3,3% en comparación al año anterior, lo que se traduce en un aumento de solo 8 casos."/>
    <s v="Gráfico de Evolución"/>
    <s v="Chile casos cáncer cuello uterino útero salud PAP examen papanicolaou"/>
    <s v="https://analytics.zoho.com/open-view/2395394000008047165"/>
    <x v="34"/>
    <s v="#1774B9"/>
  </r>
  <r>
    <s v="0355"/>
    <n v="990"/>
    <s v="Agencia Información"/>
    <s v="Salud"/>
    <n v="0"/>
    <x v="25"/>
    <x v="14"/>
    <x v="0"/>
    <x v="0"/>
    <x v="0"/>
    <x v="35"/>
    <s v="Periodo 2011-2018"/>
    <s v="Número de Casos"/>
    <s v="Departamento de Estadísticas e Información de la Salud (DEIS) - Ministerio de Salud"/>
    <s v="Evolución de Población en Control en el Programa de VIH/SIDA según sexo en Chile durante el Periodo 2011-2018"/>
    <s v="A nivel nacional, los casos confirmados de VIH/SIDA de acuerdo al Programa de VIH/SIDA, fueron en aumento durante el periodo 2012-2018, marcándose una clara diferencia en la cantidad de casos de acuerdo al sexo, siendo los hombres los que presentaron más de la mitad de los casos en cada año."/>
    <s v="Gráfico de Evolución"/>
    <s v="Chile VIH SIDA enfermedad transmisión sexual casos población control programa sexo hombre mujer"/>
    <s v="https://analytics.zoho.com/open-view/2395394000007991542"/>
    <x v="0"/>
    <s v="#1774B9"/>
  </r>
  <r>
    <s v="0356"/>
    <n v="990"/>
    <s v="Agencia Información"/>
    <s v="Salud"/>
    <n v="1"/>
    <x v="25"/>
    <x v="14"/>
    <x v="1"/>
    <x v="1"/>
    <x v="1"/>
    <x v="36"/>
    <s v="Periodo 2011-2018"/>
    <s v="Número de Casos"/>
    <s v="Departamento de Estadísticas e Información de la Salud (DEIS) - Ministerio de Salud"/>
    <s v="Evolución de Población en Control en el Programa de VIH/SIDA según sexo en Región de Tarapacá durante el Periodo 2011-2018"/>
    <m/>
    <s v="Gráfico de Evolución"/>
    <s v="Región de Tarapacá VIH SIDA enfermedad transmisión sexual casos población control programa sexo hombre mujer"/>
    <s v="https://analytics.zoho.com/open-view/2395394000007991542?ZOHO_CRITERIA=%22Localiza%20CL%22.%22Codreg%22%20%3D%201"/>
    <x v="1"/>
    <s v="#1774B9"/>
  </r>
  <r>
    <s v="0357"/>
    <n v="990"/>
    <s v="Agencia Información"/>
    <s v="Salud"/>
    <n v="2"/>
    <x v="25"/>
    <x v="14"/>
    <x v="1"/>
    <x v="2"/>
    <x v="1"/>
    <x v="36"/>
    <s v="Periodo 2011-2018"/>
    <s v="Número de Casos"/>
    <s v="Departamento de Estadísticas e Información de la Salud (DEIS) - Ministerio de Salud"/>
    <s v="Evolución de Población en Control en el Programa de VIH/SIDA según sexo en Región de Antofagasta durante el Periodo 2011-2018"/>
    <m/>
    <s v="Gráfico de Evolución"/>
    <s v="Región de Antofagasta VIH SIDA enfermedad transmisión sexual casos población control programa sexo hombre mujer"/>
    <s v="https://analytics.zoho.com/open-view/2395394000007991542?ZOHO_CRITERIA=%22Localiza%20CL%22.%22Codreg%22%20%3D%202"/>
    <x v="2"/>
    <s v="#1774B9"/>
  </r>
  <r>
    <s v="0358"/>
    <n v="990"/>
    <s v="Agencia Información"/>
    <s v="Salud"/>
    <n v="3"/>
    <x v="25"/>
    <x v="14"/>
    <x v="1"/>
    <x v="3"/>
    <x v="1"/>
    <x v="36"/>
    <s v="Periodo 2011-2018"/>
    <s v="Número de Casos"/>
    <s v="Departamento de Estadísticas e Información de la Salud (DEIS) - Ministerio de Salud"/>
    <s v="Evolución de Población en Control en el Programa de VIH/SIDA según sexo en Región de Atacama durante el Periodo 2011-2018"/>
    <m/>
    <s v="Gráfico de Evolución"/>
    <s v="Región de Atacama VIH SIDA enfermedad transmisión sexual casos población control programa sexo hombre mujer"/>
    <s v="https://analytics.zoho.com/open-view/2395394000007991542?ZOHO_CRITERIA=%22Localiza%20CL%22.%22Codreg%22%20%3D%203"/>
    <x v="3"/>
    <s v="#1774B9"/>
  </r>
  <r>
    <s v="0359"/>
    <n v="990"/>
    <s v="Agencia Información"/>
    <s v="Salud"/>
    <n v="4"/>
    <x v="25"/>
    <x v="14"/>
    <x v="1"/>
    <x v="4"/>
    <x v="1"/>
    <x v="36"/>
    <s v="Periodo 2011-2018"/>
    <s v="Número de Casos"/>
    <s v="Departamento de Estadísticas e Información de la Salud (DEIS) - Ministerio de Salud"/>
    <s v="Evolución de Población en Control en el Programa de VIH/SIDA según sexo en Región de Coquimbo durante el Periodo 2011-2018"/>
    <m/>
    <s v="Gráfico de Evolución"/>
    <s v="Región de Coquimbo VIH SIDA enfermedad transmisión sexual casos población control programa sexo hombre mujer"/>
    <s v="https://analytics.zoho.com/open-view/2395394000007991542?ZOHO_CRITERIA=%22Localiza%20CL%22.%22Codreg%22%20%3D%204"/>
    <x v="4"/>
    <s v="#1774B9"/>
  </r>
  <r>
    <s v="0360"/>
    <n v="990"/>
    <s v="Agencia Información"/>
    <s v="Salud"/>
    <n v="5"/>
    <x v="25"/>
    <x v="14"/>
    <x v="1"/>
    <x v="5"/>
    <x v="1"/>
    <x v="36"/>
    <s v="Periodo 2011-2018"/>
    <s v="Número de Casos"/>
    <s v="Departamento de Estadísticas e Información de la Salud (DEIS) - Ministerio de Salud"/>
    <s v="Evolución de Población en Control en el Programa de VIH/SIDA según sexo en Región de Valparaíso durante el Periodo 2011-2018"/>
    <m/>
    <s v="Gráfico de Evolución"/>
    <s v="Región de Valparaíso VIH SIDA enfermedad transmisión sexual casos población control programa sexo hombre mujer"/>
    <s v="https://analytics.zoho.com/open-view/2395394000007991542?ZOHO_CRITERIA=%22Localiza%20CL%22.%22Codreg%22%20%3D%205"/>
    <x v="5"/>
    <s v="#1774B9"/>
  </r>
  <r>
    <s v="0361"/>
    <n v="990"/>
    <s v="Agencia Información"/>
    <s v="Salud"/>
    <n v="6"/>
    <x v="25"/>
    <x v="14"/>
    <x v="1"/>
    <x v="6"/>
    <x v="1"/>
    <x v="36"/>
    <s v="Periodo 2011-2018"/>
    <s v="Número de Casos"/>
    <s v="Departamento de Estadísticas e Información de la Salud (DEIS) - Ministerio de Salud"/>
    <s v="Evolución de Población en Control en el Programa de VIH/SIDA según sexo en Región de O'Higgins durante el Periodo 2011-2018"/>
    <m/>
    <s v="Gráfico de Evolución"/>
    <s v="Región de O'Higgins VIH SIDA enfermedad transmisión sexual casos población control programa sexo hombre mujer"/>
    <s v="https://analytics.zoho.com/open-view/2395394000007991542?ZOHO_CRITERIA=%22Localiza%20CL%22.%22Codreg%22%20%3D%206"/>
    <x v="6"/>
    <s v="#1774B9"/>
  </r>
  <r>
    <s v="0362"/>
    <n v="990"/>
    <s v="Agencia Información"/>
    <s v="Salud"/>
    <n v="7"/>
    <x v="25"/>
    <x v="14"/>
    <x v="1"/>
    <x v="7"/>
    <x v="1"/>
    <x v="36"/>
    <s v="Periodo 2011-2018"/>
    <s v="Número de Casos"/>
    <s v="Departamento de Estadísticas e Información de la Salud (DEIS) - Ministerio de Salud"/>
    <s v="Evolución de Población en Control en el Programa de VIH/SIDA según sexo en Región de Maule durante el Periodo 2011-2018"/>
    <m/>
    <s v="Gráfico de Evolución"/>
    <s v="Región de Maule VIH SIDA enfermedad transmisión sexual casos población control programa sexo hombre mujer"/>
    <s v="https://analytics.zoho.com/open-view/2395394000007991542?ZOHO_CRITERIA=%22Localiza%20CL%22.%22Codreg%22%20%3D%207"/>
    <x v="7"/>
    <s v="#1774B9"/>
  </r>
  <r>
    <s v="0363"/>
    <n v="990"/>
    <s v="Agencia Información"/>
    <s v="Salud"/>
    <n v="8"/>
    <x v="25"/>
    <x v="14"/>
    <x v="1"/>
    <x v="8"/>
    <x v="1"/>
    <x v="36"/>
    <s v="Periodo 2011-2018"/>
    <s v="Número de Casos"/>
    <s v="Departamento de Estadísticas e Información de la Salud (DEIS) - Ministerio de Salud"/>
    <s v="Evolución de Población en Control en el Programa de VIH/SIDA según sexo en Región del Biobío durante el Periodo 2011-2018"/>
    <m/>
    <s v="Gráfico de Evolución"/>
    <s v="Región del Biobío VIH SIDA enfermedad transmisión sexual casos población control programa sexo hombre mujer"/>
    <s v="https://analytics.zoho.com/open-view/2395394000007991542?ZOHO_CRITERIA=%22Localiza%20CL%22.%22Codreg%22%20%3D%208"/>
    <x v="8"/>
    <s v="#1774B9"/>
  </r>
  <r>
    <s v="0364"/>
    <n v="990"/>
    <s v="Agencia Información"/>
    <s v="Salud"/>
    <n v="9"/>
    <x v="25"/>
    <x v="14"/>
    <x v="1"/>
    <x v="9"/>
    <x v="1"/>
    <x v="36"/>
    <s v="Periodo 2011-2018"/>
    <s v="Número de Casos"/>
    <s v="Departamento de Estadísticas e Información de la Salud (DEIS) - Ministerio de Salud"/>
    <s v="Evolución de Población en Control en el Programa de VIH/SIDA según sexo en Región de La Araucanía durante el Periodo 2011-2018"/>
    <m/>
    <s v="Gráfico de Evolución"/>
    <s v="Región de La Araucanía VIH SIDA enfermedad transmisión sexual casos población control programa sexo hombre mujer"/>
    <s v="https://analytics.zoho.com/open-view/2395394000007991542?ZOHO_CRITERIA=%22Localiza%20CL%22.%22Codreg%22%20%3D%209"/>
    <x v="9"/>
    <s v="#1774B9"/>
  </r>
  <r>
    <s v="0365"/>
    <n v="990"/>
    <s v="Agencia Información"/>
    <s v="Salud"/>
    <n v="10"/>
    <x v="25"/>
    <x v="14"/>
    <x v="1"/>
    <x v="10"/>
    <x v="1"/>
    <x v="36"/>
    <s v="Periodo 2011-2018"/>
    <s v="Número de Casos"/>
    <s v="Departamento de Estadísticas e Información de la Salud (DEIS) - Ministerio de Salud"/>
    <s v="Evolución de Población en Control en el Programa de VIH/SIDA según sexo en Región de Los Lagos durante el Periodo 2011-2018"/>
    <m/>
    <s v="Gráfico de Evolución"/>
    <s v="Región de Los Lagos VIH SIDA enfermedad transmisión sexual casos población control programa sexo hombre mujer"/>
    <s v="https://analytics.zoho.com/open-view/2395394000007991542?ZOHO_CRITERIA=%22Localiza%20CL%22.%22Codreg%22%20%3D%2010"/>
    <x v="10"/>
    <s v="#1774B9"/>
  </r>
  <r>
    <s v="0366"/>
    <n v="990"/>
    <s v="Agencia Información"/>
    <s v="Salud"/>
    <n v="11"/>
    <x v="25"/>
    <x v="14"/>
    <x v="1"/>
    <x v="11"/>
    <x v="1"/>
    <x v="36"/>
    <s v="Periodo 2011-2018"/>
    <s v="Número de Casos"/>
    <s v="Departamento de Estadísticas e Información de la Salud (DEIS) - Ministerio de Salud"/>
    <s v="Evolución de Población en Control en el Programa de VIH/SIDA según sexo en Región de Aysén durante el Periodo 2011-2018"/>
    <m/>
    <s v="Gráfico de Evolución"/>
    <s v="Región de Aysén VIH SIDA enfermedad transmisión sexual casos población control programa sexo hombre mujer"/>
    <s v="https://analytics.zoho.com/open-view/2395394000007991542?ZOHO_CRITERIA=%22Localiza%20CL%22.%22Codreg%22%20%3D%2011"/>
    <x v="11"/>
    <s v="#1774B9"/>
  </r>
  <r>
    <s v="0367"/>
    <n v="990"/>
    <s v="Agencia Información"/>
    <s v="Salud"/>
    <n v="12"/>
    <x v="25"/>
    <x v="14"/>
    <x v="1"/>
    <x v="12"/>
    <x v="1"/>
    <x v="36"/>
    <s v="Periodo 2011-2018"/>
    <s v="Número de Casos"/>
    <s v="Departamento de Estadísticas e Información de la Salud (DEIS) - Ministerio de Salud"/>
    <s v="Evolución de Población en Control en el Programa de VIH/SIDA según sexo en Región de Magallanes durante el Periodo 2011-2018"/>
    <m/>
    <s v="Gráfico de Evolución"/>
    <s v="Región de Magallanes VIH SIDA enfermedad transmisión sexual casos población control programa sexo hombre mujer"/>
    <s v="https://analytics.zoho.com/open-view/2395394000007991542?ZOHO_CRITERIA=%22Localiza%20CL%22.%22Codreg%22%20%3D%2012"/>
    <x v="12"/>
    <s v="#1774B9"/>
  </r>
  <r>
    <s v="0368"/>
    <n v="990"/>
    <s v="Agencia Información"/>
    <s v="Salud"/>
    <n v="13"/>
    <x v="25"/>
    <x v="14"/>
    <x v="1"/>
    <x v="13"/>
    <x v="1"/>
    <x v="36"/>
    <s v="Periodo 2011-2018"/>
    <s v="Número de Casos"/>
    <s v="Departamento de Estadísticas e Información de la Salud (DEIS) - Ministerio de Salud"/>
    <s v="Evolución de Población en Control en el Programa de VIH/SIDA según sexo en Región Metropolitana durante el Periodo 2011-2018"/>
    <m/>
    <s v="Gráfico de Evolución"/>
    <s v="Región Metropolitana VIH SIDA enfermedad transmisión sexual casos población control programa sexo hombre mujer"/>
    <s v="https://analytics.zoho.com/open-view/2395394000007991542?ZOHO_CRITERIA=%22Localiza%20CL%22.%22Codreg%22%20%3D%2013"/>
    <x v="13"/>
    <s v="#1774B9"/>
  </r>
  <r>
    <s v="0369"/>
    <n v="990"/>
    <s v="Agencia Información"/>
    <s v="Salud"/>
    <n v="14"/>
    <x v="25"/>
    <x v="14"/>
    <x v="1"/>
    <x v="14"/>
    <x v="1"/>
    <x v="36"/>
    <s v="Periodo 2011-2018"/>
    <s v="Número de Casos"/>
    <s v="Departamento de Estadísticas e Información de la Salud (DEIS) - Ministerio de Salud"/>
    <s v="Evolución de Población en Control en el Programa de VIH/SIDA según sexo en Región de Los Ríos durante el Periodo 2011-2018"/>
    <m/>
    <s v="Gráfico de Evolución"/>
    <s v="Región de Los Ríos VIH SIDA enfermedad transmisión sexual casos población control programa sexo hombre mujer"/>
    <s v="https://analytics.zoho.com/open-view/2395394000007991542?ZOHO_CRITERIA=%22Localiza%20CL%22.%22Codreg%22%20%3D%2014"/>
    <x v="14"/>
    <s v="#1774B9"/>
  </r>
  <r>
    <s v="0370"/>
    <n v="990"/>
    <s v="Agencia Información"/>
    <s v="Salud"/>
    <n v="15"/>
    <x v="25"/>
    <x v="14"/>
    <x v="1"/>
    <x v="15"/>
    <x v="1"/>
    <x v="36"/>
    <s v="Periodo 2011-2018"/>
    <s v="Número de Casos"/>
    <s v="Departamento de Estadísticas e Información de la Salud (DEIS) - Ministerio de Salud"/>
    <s v="Evolución de Población en Control en el Programa de VIH/SIDA según sexo en Región de Arica y Parinacota durante el Periodo 2011-2018"/>
    <m/>
    <s v="Gráfico de Evolución"/>
    <s v="Región de Arica y Parinacota VIH SIDA enfermedad transmisión sexual casos población control programa sexo hombre mujer"/>
    <s v="https://analytics.zoho.com/open-view/2395394000007991542?ZOHO_CRITERIA=%22Localiza%20CL%22.%22Codreg%22%20%3D%2015"/>
    <x v="15"/>
    <s v="#1774B9"/>
  </r>
  <r>
    <s v="0371"/>
    <n v="990"/>
    <s v="Agencia Información"/>
    <s v="Salud"/>
    <n v="16"/>
    <x v="25"/>
    <x v="14"/>
    <x v="1"/>
    <x v="16"/>
    <x v="1"/>
    <x v="36"/>
    <s v="Periodo 2011-2018"/>
    <s v="Número de Casos"/>
    <s v="Departamento de Estadísticas e Información de la Salud (DEIS) - Ministerio de Salud"/>
    <s v="Evolución de Población en Control en el Programa de VIH/SIDA según sexo en Región de Ñuble durante el Periodo 2011-2018"/>
    <m/>
    <s v="Gráfico de Evolución"/>
    <s v="Región de Ñuble VIH SIDA enfermedad transmisión sexual casos población control programa sexo hombre mujer"/>
    <s v="https://analytics.zoho.com/open-view/2395394000007991542?ZOHO_CRITERIA=%22Localiza%20CL%22.%22Codreg%22%20%3D%2016"/>
    <x v="16"/>
    <s v="#1774B9"/>
  </r>
  <r>
    <s v="0372"/>
    <n v="990"/>
    <s v="Agencia Información"/>
    <s v="Medio Ambiente"/>
    <n v="0"/>
    <x v="26"/>
    <x v="15"/>
    <x v="0"/>
    <x v="0"/>
    <x v="1"/>
    <x v="37"/>
    <s v="POR DEFINIR"/>
    <s v="Número de comunas"/>
    <s v="Elaboración propia con datos de CONAF/SUD-Austral, CASEN, CENSO 2017."/>
    <s v="Cantidad de comunas por región según grado de vulnerabilidad al cambio climático, POR DEFINIR"/>
    <s v="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La Región de O'Higgins es la que posee mayor cantidad de comunas (26) con un índice alto de vulnerabilidad al cambio climático, seguida de las regiones de Valparaíso (25) y Coquimbo (13). Esta última es la que posee mayor proporción de comunas (86,6%) con vulnerabilidad alta con respecto al total de comunas de la región."/>
    <s v="Gráfico"/>
    <s v="Chile cambio climático vulnerabilidad índice cantidad comunas"/>
    <s v="https://analytics.zoho.com/open-view/2395394000007806050"/>
    <x v="0"/>
    <s v="#1774B9"/>
  </r>
  <r>
    <s v="0373"/>
    <n v="990"/>
    <s v="Agencia Información"/>
    <s v="Medio Ambiente"/>
    <n v="1"/>
    <x v="26"/>
    <x v="15"/>
    <x v="1"/>
    <x v="1"/>
    <x v="1"/>
    <x v="37"/>
    <s v="POR DEFINIR"/>
    <s v="Número de comunas"/>
    <s v="Elaboración propia con datos de CONAF/SUD-Austral, CASEN, CENSO 2017."/>
    <s v="Cantidad de comunas según grado de vulnerabilidad al cambio climático, Región de Tarapacá, POR DEFINIR"/>
    <m/>
    <s v="Gráfico"/>
    <s v="Región de Tarapacá cambio climático vulnerabilidad índice cantidad comunas"/>
    <s v="PENDIENTE"/>
    <x v="1"/>
    <s v="#1774B9"/>
  </r>
  <r>
    <s v="0374"/>
    <n v="990"/>
    <s v="Agencia Información"/>
    <s v="Medio Ambiente"/>
    <n v="2"/>
    <x v="26"/>
    <x v="15"/>
    <x v="1"/>
    <x v="2"/>
    <x v="1"/>
    <x v="37"/>
    <s v="POR DEFINIR"/>
    <s v="Número de comunas"/>
    <s v="Elaboración propia con datos de CONAF/SUD-Austral, CASEN, CENSO 2017."/>
    <s v="Cantidad de comunas según grado de vulnerabilidad al cambio climático, Región de Antofagasta, POR DEFINIR"/>
    <m/>
    <s v="Gráfico"/>
    <s v="Región de Antofagasta cambio climático vulnerabilidad índice cantidad comunas"/>
    <s v="PENDIENTE"/>
    <x v="2"/>
    <s v="#1774B9"/>
  </r>
  <r>
    <s v="0375"/>
    <n v="990"/>
    <s v="Agencia Información"/>
    <s v="Medio Ambiente"/>
    <n v="3"/>
    <x v="26"/>
    <x v="15"/>
    <x v="1"/>
    <x v="3"/>
    <x v="1"/>
    <x v="37"/>
    <s v="POR DEFINIR"/>
    <s v="Número de comunas"/>
    <s v="Elaboración propia con datos de CONAF/SUD-Austral, CASEN, CENSO 2017."/>
    <s v="Cantidad de comunas según grado de vulnerabilidad al cambio climático, Región de Atacama, POR DEFINIR"/>
    <m/>
    <s v="Gráfico"/>
    <s v="Región de Atacama cambio climático vulnerabilidad índice cantidad comunas"/>
    <s v="PENDIENTE"/>
    <x v="3"/>
    <s v="#1774B9"/>
  </r>
  <r>
    <s v="0376"/>
    <n v="990"/>
    <s v="Agencia Información"/>
    <s v="Medio Ambiente"/>
    <n v="4"/>
    <x v="26"/>
    <x v="15"/>
    <x v="1"/>
    <x v="4"/>
    <x v="1"/>
    <x v="37"/>
    <s v="POR DEFINIR"/>
    <s v="Número de comunas"/>
    <s v="Elaboración propia con datos de CONAF/SUD-Austral, CASEN, CENSO 2017."/>
    <s v="Cantidad de comunas según grado de vulnerabilidad al cambio climático, Región de Coquimbo, POR DEFINIR"/>
    <m/>
    <s v="Gráfico"/>
    <s v="Región de Coquimbo cambio climático vulnerabilidad índice cantidad comunas"/>
    <s v="PENDIENTE"/>
    <x v="4"/>
    <s v="#1774B9"/>
  </r>
  <r>
    <s v="0377"/>
    <n v="990"/>
    <s v="Agencia Información"/>
    <s v="Medio Ambiente"/>
    <n v="5"/>
    <x v="26"/>
    <x v="15"/>
    <x v="1"/>
    <x v="5"/>
    <x v="1"/>
    <x v="37"/>
    <s v="POR DEFINIR"/>
    <s v="Número de comunas"/>
    <s v="Elaboración propia con datos de CONAF/SUD-Austral, CASEN, CENSO 2017."/>
    <s v="Cantidad de comunas según grado de vulnerabilidad al cambio climático, Región de Valparaíso, POR DEFINIR"/>
    <m/>
    <s v="Gráfico"/>
    <s v="Región de Valparaíso cambio climático vulnerabilidad índice cantidad comunas"/>
    <s v="PENDIENTE"/>
    <x v="5"/>
    <s v="#1774B9"/>
  </r>
  <r>
    <s v="0378"/>
    <n v="990"/>
    <s v="Agencia Información"/>
    <s v="Medio Ambiente"/>
    <n v="6"/>
    <x v="26"/>
    <x v="15"/>
    <x v="1"/>
    <x v="6"/>
    <x v="1"/>
    <x v="37"/>
    <s v="POR DEFINIR"/>
    <s v="Número de comunas"/>
    <s v="Elaboración propia con datos de CONAF/SUD-Austral, CASEN, CENSO 2017."/>
    <s v="Cantidad de comunas según grado de vulnerabilidad al cambio climático, Región de O'Higgins, POR DEFINIR"/>
    <m/>
    <s v="Gráfico"/>
    <s v="Región de O'Higgins cambio climático vulnerabilidad índice cantidad comunas"/>
    <s v="PENDIENTE"/>
    <x v="6"/>
    <s v="#1774B9"/>
  </r>
  <r>
    <s v="0379"/>
    <n v="990"/>
    <s v="Agencia Información"/>
    <s v="Medio Ambiente"/>
    <n v="7"/>
    <x v="26"/>
    <x v="15"/>
    <x v="1"/>
    <x v="7"/>
    <x v="1"/>
    <x v="37"/>
    <s v="POR DEFINIR"/>
    <s v="Número de comunas"/>
    <s v="Elaboración propia con datos de CONAF/SUD-Austral, CASEN, CENSO 2017."/>
    <s v="Cantidad de comunas según grado de vulnerabilidad al cambio climático, Región de Maule, POR DEFINIR"/>
    <m/>
    <s v="Gráfico"/>
    <s v="Región de Maule cambio climático vulnerabilidad índice cantidad comunas"/>
    <s v="PENDIENTE"/>
    <x v="7"/>
    <s v="#1774B9"/>
  </r>
  <r>
    <s v="0380"/>
    <n v="990"/>
    <s v="Agencia Información"/>
    <s v="Medio Ambiente"/>
    <n v="8"/>
    <x v="26"/>
    <x v="15"/>
    <x v="1"/>
    <x v="8"/>
    <x v="1"/>
    <x v="37"/>
    <s v="POR DEFINIR"/>
    <s v="Número de comunas"/>
    <s v="Elaboración propia con datos de CONAF/SUD-Austral, CASEN, CENSO 2017."/>
    <s v="Cantidad de comunas según grado de vulnerabilidad al cambio climático, Región del Biobío, POR DEFINIR"/>
    <m/>
    <s v="Gráfico"/>
    <s v="Región del Biobío cambio climático vulnerabilidad índice cantidad comunas"/>
    <s v="PENDIENTE"/>
    <x v="8"/>
    <s v="#1774B9"/>
  </r>
  <r>
    <s v="0381"/>
    <n v="990"/>
    <s v="Agencia Información"/>
    <s v="Medio Ambiente"/>
    <n v="9"/>
    <x v="26"/>
    <x v="15"/>
    <x v="1"/>
    <x v="9"/>
    <x v="1"/>
    <x v="37"/>
    <s v="POR DEFINIR"/>
    <s v="Número de comunas"/>
    <s v="Elaboración propia con datos de CONAF/SUD-Austral, CASEN, CENSO 2017."/>
    <s v="Cantidad de comunas según grado de vulnerabilidad al cambio climático, Región de La Araucanía, POR DEFINIR"/>
    <m/>
    <s v="Gráfico"/>
    <s v="Región de La Araucanía cambio climático vulnerabilidad índice cantidad comunas"/>
    <s v="PENDIENTE"/>
    <x v="9"/>
    <s v="#1774B9"/>
  </r>
  <r>
    <s v="0382"/>
    <n v="990"/>
    <s v="Agencia Información"/>
    <s v="Medio Ambiente"/>
    <n v="10"/>
    <x v="26"/>
    <x v="15"/>
    <x v="1"/>
    <x v="10"/>
    <x v="1"/>
    <x v="37"/>
    <s v="POR DEFINIR"/>
    <s v="Número de comunas"/>
    <s v="Elaboración propia con datos de CONAF/SUD-Austral, CASEN, CENSO 2017."/>
    <s v="Cantidad de comunas según grado de vulnerabilidad al cambio climático, Región de Los Lagos, POR DEFINIR"/>
    <m/>
    <s v="Gráfico"/>
    <s v="Región de Los Lagos cambio climático vulnerabilidad índice cantidad comunas"/>
    <s v="PENDIENTE"/>
    <x v="10"/>
    <s v="#1774B9"/>
  </r>
  <r>
    <s v="0383"/>
    <n v="990"/>
    <s v="Agencia Información"/>
    <s v="Medio Ambiente"/>
    <n v="11"/>
    <x v="26"/>
    <x v="15"/>
    <x v="1"/>
    <x v="11"/>
    <x v="1"/>
    <x v="37"/>
    <s v="POR DEFINIR"/>
    <s v="Número de comunas"/>
    <s v="Elaboración propia con datos de CONAF/SUD-Austral, CASEN, CENSO 2017."/>
    <s v="Cantidad de comunas según grado de vulnerabilidad al cambio climático, Región de Aysén, POR DEFINIR"/>
    <m/>
    <s v="Gráfico"/>
    <s v="Región de Aysén cambio climático vulnerabilidad índice cantidad comunas"/>
    <s v="PENDIENTE"/>
    <x v="11"/>
    <s v="#1774B9"/>
  </r>
  <r>
    <s v="0384"/>
    <n v="990"/>
    <s v="Agencia Información"/>
    <s v="Medio Ambiente"/>
    <n v="12"/>
    <x v="26"/>
    <x v="15"/>
    <x v="1"/>
    <x v="12"/>
    <x v="1"/>
    <x v="37"/>
    <s v="POR DEFINIR"/>
    <s v="Número de comunas"/>
    <s v="Elaboración propia con datos de CONAF/SUD-Austral, CASEN, CENSO 2017."/>
    <s v="Cantidad de comunas según grado de vulnerabilidad al cambio climático, Región de Magallanes, POR DEFINIR"/>
    <m/>
    <s v="Gráfico"/>
    <s v="Región de Magallanes cambio climático vulnerabilidad índice cantidad comunas"/>
    <s v="PENDIENTE"/>
    <x v="12"/>
    <s v="#1774B9"/>
  </r>
  <r>
    <s v="0385"/>
    <n v="990"/>
    <s v="Agencia Información"/>
    <s v="Medio Ambiente"/>
    <n v="13"/>
    <x v="26"/>
    <x v="15"/>
    <x v="1"/>
    <x v="13"/>
    <x v="1"/>
    <x v="37"/>
    <s v="POR DEFINIR"/>
    <s v="Número de comunas"/>
    <s v="Elaboración propia con datos de CONAF/SUD-Austral, CASEN, CENSO 2017."/>
    <s v="Cantidad de comunas según grado de vulnerabilidad al cambio climático, Región Metropolitana, POR DEFINIR"/>
    <m/>
    <s v="Gráfico"/>
    <s v="Región Metropolitana cambio climático vulnerabilidad índice cantidad comunas"/>
    <s v="PENDIENTE"/>
    <x v="13"/>
    <s v="#1774B9"/>
  </r>
  <r>
    <s v="0386"/>
    <n v="990"/>
    <s v="Agencia Información"/>
    <s v="Medio Ambiente"/>
    <n v="14"/>
    <x v="26"/>
    <x v="15"/>
    <x v="1"/>
    <x v="14"/>
    <x v="1"/>
    <x v="37"/>
    <s v="POR DEFINIR"/>
    <s v="Número de comunas"/>
    <s v="Elaboración propia con datos de CONAF/SUD-Austral, CASEN, CENSO 2017."/>
    <s v="Cantidad de comunas según grado de vulnerabilidad al cambio climático, Región de Los Ríos, POR DEFINIR"/>
    <m/>
    <s v="Gráfico"/>
    <s v="Región de Los Ríos cambio climático vulnerabilidad índice cantidad comunas"/>
    <s v="PENDIENTE"/>
    <x v="14"/>
    <s v="#1774B9"/>
  </r>
  <r>
    <s v="0387"/>
    <n v="990"/>
    <s v="Agencia Información"/>
    <s v="Medio Ambiente"/>
    <n v="15"/>
    <x v="26"/>
    <x v="15"/>
    <x v="1"/>
    <x v="15"/>
    <x v="1"/>
    <x v="37"/>
    <s v="POR DEFINIR"/>
    <s v="Número de comunas"/>
    <s v="Elaboración propia con datos de CONAF/SUD-Austral, CASEN, CENSO 2017."/>
    <s v="Cantidad de comunas según grado de vulnerabilidad al cambio climático, Región de Arica y Parinacota, POR DEFINIR"/>
    <m/>
    <s v="Gráfico"/>
    <s v="Región de Arica y Parinacota cambio climático vulnerabilidad índice cantidad comunas"/>
    <s v="PENDIENTE"/>
    <x v="15"/>
    <s v="#1774B9"/>
  </r>
  <r>
    <s v="0388"/>
    <n v="990"/>
    <s v="Agencia Información"/>
    <s v="Medio Ambiente"/>
    <n v="16"/>
    <x v="26"/>
    <x v="15"/>
    <x v="1"/>
    <x v="16"/>
    <x v="1"/>
    <x v="37"/>
    <s v="POR DEFINIR"/>
    <s v="Número de comunas"/>
    <s v="Elaboración propia con datos de CONAF/SUD-Austral, CASEN, CENSO 2017."/>
    <s v="Cantidad de comunas según grado de vulnerabilidad al cambio climático, Región de Ñuble, POR DEFINIR"/>
    <m/>
    <s v="Gráfico"/>
    <s v="Región de Ñuble cambio climático vulnerabilidad índice cantidad comunas"/>
    <s v="PENDIENTE"/>
    <x v="16"/>
    <s v="#1774B9"/>
  </r>
  <r>
    <s v="0389"/>
    <n v="990"/>
    <s v="Agencia Información"/>
    <s v="Medio Ambiente"/>
    <n v="0"/>
    <x v="26"/>
    <x v="15"/>
    <x v="0"/>
    <x v="0"/>
    <x v="1"/>
    <x v="38"/>
    <s v="POR DEFINIR"/>
    <s v="Número de comunas"/>
    <s v="Elaboración propia con datos de CONAF/SUD-Austral, CASEN, CENSO 2017."/>
    <s v="Mapa de Comunas con ALTA Vulnerabilidad al Cambio Climático en Chile, POR DEFINIR"/>
    <s v="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En Chile, las comunas con alta vulnerabilidad al cambio climático se concentran en la zona central del país, desde La Serena en la Región de Coquimbo, hasta Chimbarongo en la Región de O'Higgins. Además de ellas, existen algunas comunas en las regiones de Ñuble, Arica y Parinacota y Tarapacá."/>
    <s v="Mapa de calor"/>
    <s v="Chile cambio climático vulnerabilidad índice comunas alta"/>
    <s v="https://analytics.zoho.com/open-view/2395394000007806315"/>
    <x v="34"/>
    <s v="#1774B9"/>
  </r>
  <r>
    <s v="0390"/>
    <n v="990"/>
    <s v="Agencia Información"/>
    <s v="Medio Ambiente"/>
    <n v="0"/>
    <x v="26"/>
    <x v="15"/>
    <x v="0"/>
    <x v="0"/>
    <x v="1"/>
    <x v="39"/>
    <s v="POR DEFINIR"/>
    <s v="Número de comunas"/>
    <s v="Elaboración propia con datos de CONAF/SUD-Austral, CASEN, CENSO 2017."/>
    <s v="Ranking de las regiones con mayor Vulnerabilidad al Cambio Climático en Chile, POR DEFINIR"/>
    <s v="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Las regiones de O'Higgins, Valparaíso y Coquimbo encabezan la lista de las que poseen mayor número de comunas con alta vulnerabilidad al cambio climático. En cuanto a las que poseen una vulnerabilidad moderada destacan las regiones de Biobío, Metropolitana y Maule, todas ellas con más de 30 comunas en esta condición."/>
    <s v="Ranking"/>
    <s v="Chile cambio climático vulnerabilidad índice comunas alta moderada"/>
    <s v="https://analytics.zoho.com/open-view/2395394000007806463"/>
    <x v="34"/>
    <s v="#1774B9"/>
  </r>
  <r>
    <s v="0391"/>
    <n v="990"/>
    <s v="Agencia Información"/>
    <s v="Medio Ambiente"/>
    <n v="0"/>
    <x v="27"/>
    <x v="16"/>
    <x v="0"/>
    <x v="0"/>
    <x v="7"/>
    <x v="40"/>
    <s v="Periodo 2016-2021"/>
    <s v="Hectáreas"/>
    <s v="Elaboración propia con datos Dirección General de Aguas (DGA) e imágenes satelitales SENTINEL"/>
    <s v="Superficie de glaciares en Chile para el Periodo 2016-2021"/>
    <s v="PENDIENTE"/>
    <s v="Gráfico"/>
    <s v="Chile glaciares cambio climático monitoreo hectáreas superficie"/>
    <s v="PENDIENTE"/>
    <x v="0"/>
    <s v="#1774B9"/>
  </r>
  <r>
    <s v="0392"/>
    <n v="990"/>
    <s v="Agencia Información"/>
    <s v="Medio Ambiente"/>
    <n v="1"/>
    <x v="27"/>
    <x v="16"/>
    <x v="1"/>
    <x v="1"/>
    <x v="7"/>
    <x v="40"/>
    <s v="Periodo 2016-2021"/>
    <s v="Hectáreas"/>
    <s v="Elaboración propia con datos Dirección General de Aguas (DGA) e imágenes satelitales SENTINEL"/>
    <s v="Superficie de glaciares en la Región de Tarapacá para el Periodo 2016-2021"/>
    <m/>
    <s v="Gráfico"/>
    <s v="Región de Tarapacá glaciares cambio climático monitoreo hectáreas superficie"/>
    <s v="PENDIENTE"/>
    <x v="1"/>
    <s v="#1774B9"/>
  </r>
  <r>
    <s v="0393"/>
    <n v="990"/>
    <s v="Agencia Información"/>
    <s v="Medio Ambiente"/>
    <n v="2"/>
    <x v="27"/>
    <x v="16"/>
    <x v="1"/>
    <x v="2"/>
    <x v="7"/>
    <x v="40"/>
    <s v="Periodo 2016-2021"/>
    <s v="Hectáreas"/>
    <s v="Elaboración propia con datos Dirección General de Aguas (DGA) e imágenes satelitales SENTINEL"/>
    <s v="Superficie de glaciares en la Región de Antofagasta para el Periodo 2016-2021"/>
    <m/>
    <s v="Gráfico"/>
    <s v="Región de Antofagasta glaciares cambio climático monitoreo hectáreas superficie"/>
    <s v="PENDIENTE"/>
    <x v="2"/>
    <s v="#1774B9"/>
  </r>
  <r>
    <s v="0394"/>
    <n v="990"/>
    <s v="Agencia Información"/>
    <s v="Medio Ambiente"/>
    <n v="3"/>
    <x v="27"/>
    <x v="16"/>
    <x v="1"/>
    <x v="3"/>
    <x v="7"/>
    <x v="40"/>
    <s v="Periodo 2016-2021"/>
    <s v="Hectáreas"/>
    <s v="Elaboración propia con datos Dirección General de Aguas (DGA) e imágenes satelitales SENTINEL"/>
    <s v="Superficie de glaciares en la Región de Atacama para el Periodo 2016-2021"/>
    <m/>
    <s v="Gráfico"/>
    <s v="Región de Atacama glaciares cambio climático monitoreo hectáreas superficie"/>
    <s v="PENDIENTE"/>
    <x v="3"/>
    <s v="#1774B9"/>
  </r>
  <r>
    <s v="0395"/>
    <n v="990"/>
    <s v="Agencia Información"/>
    <s v="Medio Ambiente"/>
    <n v="4"/>
    <x v="27"/>
    <x v="16"/>
    <x v="1"/>
    <x v="4"/>
    <x v="7"/>
    <x v="40"/>
    <s v="Periodo 2016-2021"/>
    <s v="Hectáreas"/>
    <s v="Elaboración propia con datos Dirección General de Aguas (DGA) e imágenes satelitales SENTINEL"/>
    <s v="Superficie de glaciares en la Región de Coquimbo para el Periodo 2016-2021"/>
    <m/>
    <s v="Gráfico"/>
    <s v="Región de Coquimbo glaciares cambio climático monitoreo hectáreas superficie"/>
    <s v="PENDIENTE"/>
    <x v="4"/>
    <s v="#1774B9"/>
  </r>
  <r>
    <s v="0396"/>
    <n v="990"/>
    <s v="Agencia Información"/>
    <s v="Medio Ambiente"/>
    <n v="5"/>
    <x v="27"/>
    <x v="16"/>
    <x v="1"/>
    <x v="5"/>
    <x v="7"/>
    <x v="40"/>
    <s v="Periodo 2016-2021"/>
    <s v="Hectáreas"/>
    <s v="Elaboración propia con datos Dirección General de Aguas (DGA) e imágenes satelitales SENTINEL"/>
    <s v="Superficie de glaciares en la Región de Valparaíso para el Periodo 2016-2021"/>
    <m/>
    <s v="Gráfico"/>
    <s v="Región de Valparaíso glaciares cambio climático monitoreo hectáreas superficie"/>
    <s v="PENDIENTE"/>
    <x v="5"/>
    <s v="#1774B9"/>
  </r>
  <r>
    <s v="0397"/>
    <n v="990"/>
    <s v="Agencia Información"/>
    <s v="Medio Ambiente"/>
    <n v="6"/>
    <x v="27"/>
    <x v="16"/>
    <x v="1"/>
    <x v="6"/>
    <x v="7"/>
    <x v="40"/>
    <s v="Periodo 2016-2021"/>
    <s v="Hectáreas"/>
    <s v="Elaboración propia con datos Dirección General de Aguas (DGA) e imágenes satelitales SENTINEL"/>
    <s v="Superficie de glaciares en la Región de O'Higgins para el Periodo 2016-2021"/>
    <m/>
    <s v="Gráfico"/>
    <s v="Región de O'Higgins glaciares cambio climático monitoreo hectáreas superficie"/>
    <s v="PENDIENTE"/>
    <x v="6"/>
    <s v="#1774B9"/>
  </r>
  <r>
    <s v="0398"/>
    <n v="990"/>
    <s v="Agencia Información"/>
    <s v="Medio Ambiente"/>
    <n v="7"/>
    <x v="27"/>
    <x v="16"/>
    <x v="1"/>
    <x v="7"/>
    <x v="7"/>
    <x v="40"/>
    <s v="Periodo 2016-2021"/>
    <s v="Hectáreas"/>
    <s v="Elaboración propia con datos Dirección General de Aguas (DGA) e imágenes satelitales SENTINEL"/>
    <s v="Superficie de glaciares en la Región de Maule para el Periodo 2016-2021"/>
    <m/>
    <s v="Gráfico"/>
    <s v="Región de Maule glaciares cambio climático monitoreo hectáreas superficie"/>
    <s v="PENDIENTE"/>
    <x v="7"/>
    <s v="#1774B9"/>
  </r>
  <r>
    <s v="0399"/>
    <n v="990"/>
    <s v="Agencia Información"/>
    <s v="Medio Ambiente"/>
    <n v="8"/>
    <x v="27"/>
    <x v="16"/>
    <x v="1"/>
    <x v="8"/>
    <x v="7"/>
    <x v="40"/>
    <s v="Periodo 2016-2021"/>
    <s v="Hectáreas"/>
    <s v="Elaboración propia con datos Dirección General de Aguas (DGA) e imágenes satelitales SENTINEL"/>
    <s v="Superficie de glaciares en la Región del Biobío para el Periodo 2016-2021"/>
    <m/>
    <s v="Gráfico"/>
    <s v="Región del Biobío glaciares cambio climático monitoreo hectáreas superficie"/>
    <s v="PENDIENTE"/>
    <x v="8"/>
    <s v="#1774B9"/>
  </r>
  <r>
    <s v="0400"/>
    <n v="990"/>
    <s v="Agencia Información"/>
    <s v="Medio Ambiente"/>
    <n v="9"/>
    <x v="27"/>
    <x v="16"/>
    <x v="1"/>
    <x v="9"/>
    <x v="7"/>
    <x v="40"/>
    <s v="Periodo 2016-2021"/>
    <s v="Hectáreas"/>
    <s v="Elaboración propia con datos Dirección General de Aguas (DGA) e imágenes satelitales SENTINEL"/>
    <s v="Superficie de glaciares en la Región de La Araucanía para el Periodo 2016-2021"/>
    <m/>
    <s v="Gráfico"/>
    <s v="Región de La Araucanía glaciares cambio climático monitoreo hectáreas superficie"/>
    <s v="PENDIENTE"/>
    <x v="9"/>
    <s v="#1774B9"/>
  </r>
  <r>
    <s v="0401"/>
    <n v="990"/>
    <s v="Agencia Información"/>
    <s v="Medio Ambiente"/>
    <n v="10"/>
    <x v="27"/>
    <x v="16"/>
    <x v="1"/>
    <x v="10"/>
    <x v="7"/>
    <x v="40"/>
    <s v="Periodo 2016-2021"/>
    <s v="Hectáreas"/>
    <s v="Elaboración propia con datos Dirección General de Aguas (DGA) e imágenes satelitales SENTINEL"/>
    <s v="Superficie de glaciares en la Región de Los Lagos para el Periodo 2016-2021"/>
    <m/>
    <s v="Gráfico"/>
    <s v="Región de Los Lagos glaciares cambio climático monitoreo hectáreas superficie"/>
    <s v="PENDIENTE"/>
    <x v="10"/>
    <s v="#1774B9"/>
  </r>
  <r>
    <s v="0402"/>
    <n v="990"/>
    <s v="Agencia Información"/>
    <s v="Medio Ambiente"/>
    <n v="11"/>
    <x v="27"/>
    <x v="16"/>
    <x v="1"/>
    <x v="11"/>
    <x v="7"/>
    <x v="40"/>
    <s v="Periodo 2016-2021"/>
    <s v="Hectáreas"/>
    <s v="Elaboración propia con datos Dirección General de Aguas (DGA) e imágenes satelitales SENTINEL"/>
    <s v="Superficie de glaciares en la Región de Aysén para el Periodo 2016-2021"/>
    <m/>
    <s v="Gráfico"/>
    <s v="Región de Aysén glaciares cambio climático monitoreo hectáreas superficie"/>
    <s v="PENDIENTE"/>
    <x v="11"/>
    <s v="#1774B9"/>
  </r>
  <r>
    <s v="0403"/>
    <n v="990"/>
    <s v="Agencia Información"/>
    <s v="Medio Ambiente"/>
    <n v="12"/>
    <x v="27"/>
    <x v="16"/>
    <x v="1"/>
    <x v="12"/>
    <x v="7"/>
    <x v="40"/>
    <s v="Periodo 2016-2021"/>
    <s v="Hectáreas"/>
    <s v="Elaboración propia con datos Dirección General de Aguas (DGA) e imágenes satelitales SENTINEL"/>
    <s v="Superficie de glaciares en la Región de Magallanes para el Periodo 2016-2021"/>
    <m/>
    <s v="Gráfico"/>
    <s v="Región de Magallanes glaciares cambio climático monitoreo hectáreas superficie"/>
    <s v="PENDIENTE"/>
    <x v="12"/>
    <s v="#1774B9"/>
  </r>
  <r>
    <s v="0404"/>
    <n v="990"/>
    <s v="Agencia Información"/>
    <s v="Medio Ambiente"/>
    <n v="13"/>
    <x v="27"/>
    <x v="16"/>
    <x v="1"/>
    <x v="13"/>
    <x v="7"/>
    <x v="40"/>
    <s v="Periodo 2016-2021"/>
    <s v="Hectáreas"/>
    <s v="Elaboración propia con datos Dirección General de Aguas (DGA) e imágenes satelitales SENTINEL"/>
    <s v="Superficie de glaciares en la Región Metropolitana para el Periodo 2016-2021"/>
    <m/>
    <s v="Gráfico"/>
    <s v="Región Metropolitana glaciares cambio climático monitoreo hectáreas superficie"/>
    <s v="PENDIENTE"/>
    <x v="13"/>
    <s v="#1774B9"/>
  </r>
  <r>
    <s v="0405"/>
    <n v="990"/>
    <s v="Agencia Información"/>
    <s v="Medio Ambiente"/>
    <n v="14"/>
    <x v="27"/>
    <x v="16"/>
    <x v="1"/>
    <x v="14"/>
    <x v="7"/>
    <x v="40"/>
    <s v="Periodo 2016-2021"/>
    <s v="Hectáreas"/>
    <s v="Elaboración propia con datos Dirección General de Aguas (DGA) e imágenes satelitales SENTINEL"/>
    <s v="Superficie de glaciares en la Región de Los Ríos para el Periodo 2016-2021"/>
    <m/>
    <s v="Gráfico"/>
    <s v="Región de Los Ríos glaciares cambio climático monitoreo hectáreas superficie"/>
    <s v="PENDIENTE"/>
    <x v="14"/>
    <s v="#1774B9"/>
  </r>
  <r>
    <s v="0406"/>
    <n v="990"/>
    <s v="Agencia Información"/>
    <s v="Medio Ambiente"/>
    <n v="15"/>
    <x v="27"/>
    <x v="16"/>
    <x v="1"/>
    <x v="15"/>
    <x v="7"/>
    <x v="40"/>
    <s v="Periodo 2016-2021"/>
    <s v="Hectáreas"/>
    <s v="Elaboración propia con datos Dirección General de Aguas (DGA) e imágenes satelitales SENTINEL"/>
    <s v="Superficie de glaciares en la Región de Arica y Parinacota para el Periodo 2016-2021"/>
    <m/>
    <s v="Gráfico"/>
    <s v="Región de Arica y Parinacota glaciares cambio climático monitoreo hectáreas superficie"/>
    <s v="PENDIENTE"/>
    <x v="15"/>
    <s v="#1774B9"/>
  </r>
  <r>
    <s v="0407"/>
    <n v="990"/>
    <s v="Agencia Información"/>
    <s v="Medio Ambiente"/>
    <n v="16"/>
    <x v="27"/>
    <x v="16"/>
    <x v="1"/>
    <x v="16"/>
    <x v="7"/>
    <x v="40"/>
    <s v="Periodo 2016-2021"/>
    <s v="Hectáreas"/>
    <s v="Elaboración propia con datos Dirección General de Aguas (DGA) e imágenes satelitales SENTINEL"/>
    <s v="Superficie de glaciares en la Región de Ñuble para el Periodo 2016-2021"/>
    <m/>
    <s v="Gráfico"/>
    <s v="Región de Ñuble glaciares cambio climático monitoreo hectáreas superficie"/>
    <s v="PENDIENTE"/>
    <x v="16"/>
    <s v="#1774B9"/>
  </r>
  <r>
    <s v="0408"/>
    <n v="990"/>
    <s v="Agencia Información"/>
    <s v="Vivienda y Construcción"/>
    <n v="0"/>
    <x v="17"/>
    <x v="10"/>
    <x v="0"/>
    <x v="0"/>
    <x v="0"/>
    <x v="41"/>
    <s v="Año 2020"/>
    <s v="Porcentaje (%)"/>
    <s v="Observatorio Urbano - Ministerio de Vivienda y Urbanismo (MINVU)"/>
    <s v="Representación geográfica de regiones con la proporción de comunas que poseen IPT's locales, para el Año 2020"/>
    <s v="Las regiones de Coquimbo, Aysén y Los Ríos poseen menos de un 25% de comunas con Instrumentos de Planificación Territorial (IPT) vigentes, ya sea Plan Regulador Comunal, Límite Urbano o Plan Seccional. En el otro extremo se encuentran las regiones de Valparaíso, Metropolitana, O'Higgins, Ñuble y Biobío, con más del 75% de sus comunas con un IPT vigente."/>
    <s v="Dashboard"/>
    <s v="Chile plan regulador comunal instrumento planificación territorial local proporción comunas límite urbano plan seccional"/>
    <s v="https://app.powerbi.com/view?r=eyJrIjoiZWFlZTlkOTMtZjVmMS00ZTNjLWIwYjctMWQ3YTI0ZDIwMjlmIiwidCI6IjhmYmFhNWJmLTJlY2MtNGRjOC1iNTZiLThmOTJlMzA3ZjA3NiIsImMiOjR9"/>
    <x v="34"/>
    <s v="#1774B9"/>
  </r>
  <r>
    <s v="0409"/>
    <n v="990"/>
    <s v="Agencia Información"/>
    <s v="Agropecuario y Forestal"/>
    <n v="0"/>
    <x v="28"/>
    <x v="17"/>
    <x v="0"/>
    <x v="0"/>
    <x v="0"/>
    <x v="42"/>
    <s v="Año 2019"/>
    <s v="Toneladas"/>
    <s v="Servicio Nacional de Pesca y Acuicultura (SERNAPESCA)"/>
    <s v="Desembarque total por tipo (industrial o artesanal) a nivel regional en Chile para el Año 2019"/>
    <s v="PENDIENTE"/>
    <s v="Gráfico"/>
    <s v="Chile pesca artesanal industrial desembarque toneladas"/>
    <s v="PENDIENTE"/>
    <x v="17"/>
    <s v="#1774B9"/>
  </r>
  <r>
    <s v="0410"/>
    <n v="990"/>
    <s v="Agencia Información"/>
    <s v="Agropecuario y Forestal"/>
    <n v="1"/>
    <x v="28"/>
    <x v="17"/>
    <x v="1"/>
    <x v="1"/>
    <x v="1"/>
    <x v="42"/>
    <s v="Año 2019"/>
    <s v="Toneladas"/>
    <s v="Servicio Nacional de Pesca y Acuicultura (SERNAPESCA)"/>
    <s v="Desembarque total por tipo (industrial o artesanal) en la Región de Tarapacá para el Año 2019"/>
    <m/>
    <s v="Gráfico"/>
    <s v="Región de Tarapacá pesca artesanal industrial desembarque toneladas"/>
    <s v="PENDIENTE"/>
    <x v="18"/>
    <s v="#1774B9"/>
  </r>
  <r>
    <s v="0411"/>
    <n v="990"/>
    <s v="Agencia Información"/>
    <s v="Agropecuario y Forestal"/>
    <n v="2"/>
    <x v="28"/>
    <x v="17"/>
    <x v="1"/>
    <x v="2"/>
    <x v="1"/>
    <x v="42"/>
    <s v="Año 2019"/>
    <s v="Toneladas"/>
    <s v="Servicio Nacional de Pesca y Acuicultura (SERNAPESCA)"/>
    <s v="Sentencias Dictadas por delitos de Abuso Sexual en la Región de Antofagasta para el Año 2019"/>
    <m/>
    <s v="Gráfico"/>
    <s v="Región de Antofagasta pesca artesanal industrial desembarque toneladas"/>
    <s v="PENDIENTE"/>
    <x v="19"/>
    <s v="#1774B9"/>
  </r>
  <r>
    <s v="0412"/>
    <n v="990"/>
    <s v="Agencia Información"/>
    <s v="Agropecuario y Forestal"/>
    <n v="3"/>
    <x v="28"/>
    <x v="17"/>
    <x v="1"/>
    <x v="3"/>
    <x v="1"/>
    <x v="42"/>
    <s v="Año 2019"/>
    <s v="Toneladas"/>
    <s v="Servicio Nacional de Pesca y Acuicultura (SERNAPESCA)"/>
    <s v="Sentencias Dictadas por delitos de Abuso Sexual en la Región de Atacama para el Año 2019"/>
    <m/>
    <s v="Gráfico"/>
    <s v="Región de Atacama pesca artesanal industrial desembarque toneladas"/>
    <s v="PENDIENTE"/>
    <x v="20"/>
    <s v="#1774B9"/>
  </r>
  <r>
    <s v="0413"/>
    <n v="990"/>
    <s v="Agencia Información"/>
    <s v="Agropecuario y Forestal"/>
    <n v="4"/>
    <x v="28"/>
    <x v="17"/>
    <x v="1"/>
    <x v="4"/>
    <x v="1"/>
    <x v="42"/>
    <s v="Año 2019"/>
    <s v="Toneladas"/>
    <s v="Servicio Nacional de Pesca y Acuicultura (SERNAPESCA)"/>
    <s v="Sentencias Dictadas por delitos de Abuso Sexual en la Región de Coquimbo para el Año 2019"/>
    <m/>
    <s v="Gráfico"/>
    <s v="Región de Coquimbo pesca artesanal industrial desembarque toneladas"/>
    <s v="PENDIENTE"/>
    <x v="21"/>
    <s v="#1774B9"/>
  </r>
  <r>
    <s v="0414"/>
    <n v="990"/>
    <s v="Agencia Información"/>
    <s v="Agropecuario y Forestal"/>
    <n v="5"/>
    <x v="28"/>
    <x v="17"/>
    <x v="1"/>
    <x v="5"/>
    <x v="1"/>
    <x v="42"/>
    <s v="Año 2019"/>
    <s v="Toneladas"/>
    <s v="Servicio Nacional de Pesca y Acuicultura (SERNAPESCA)"/>
    <s v="Sentencias Dictadas por delitos de Abuso Sexual en la Región de Valparaíso para el Año 2019"/>
    <m/>
    <s v="Gráfico"/>
    <s v="Región de Valparaíso pesca artesanal industrial desembarque toneladas"/>
    <s v="PENDIENTE"/>
    <x v="22"/>
    <s v="#1774B9"/>
  </r>
  <r>
    <s v="0415"/>
    <n v="990"/>
    <s v="Agencia Información"/>
    <s v="Agropecuario y Forestal"/>
    <n v="6"/>
    <x v="28"/>
    <x v="17"/>
    <x v="1"/>
    <x v="6"/>
    <x v="1"/>
    <x v="42"/>
    <s v="Año 2019"/>
    <s v="Toneladas"/>
    <s v="Servicio Nacional de Pesca y Acuicultura (SERNAPESCA)"/>
    <s v="Sentencias Dictadas por delitos de Abuso Sexual en la Región de O'Higgins para el Año 2019"/>
    <m/>
    <s v="Gráfico"/>
    <s v="Región de O'Higgins pesca artesanal industrial desembarque toneladas"/>
    <s v="PENDIENTE"/>
    <x v="23"/>
    <s v="#1774B9"/>
  </r>
  <r>
    <s v="0416"/>
    <n v="990"/>
    <s v="Agencia Información"/>
    <s v="Agropecuario y Forestal"/>
    <n v="7"/>
    <x v="28"/>
    <x v="17"/>
    <x v="1"/>
    <x v="7"/>
    <x v="1"/>
    <x v="42"/>
    <s v="Año 2019"/>
    <s v="Toneladas"/>
    <s v="Servicio Nacional de Pesca y Acuicultura (SERNAPESCA)"/>
    <s v="Sentencias Dictadas por delitos de Abuso Sexual en la Región de Maule para el Año 2019"/>
    <m/>
    <s v="Gráfico"/>
    <s v="Región de Maule pesca artesanal industrial desembarque toneladas"/>
    <s v="PENDIENTE"/>
    <x v="24"/>
    <s v="#1774B9"/>
  </r>
  <r>
    <s v="0417"/>
    <n v="990"/>
    <s v="Agencia Información"/>
    <s v="Agropecuario y Forestal"/>
    <n v="8"/>
    <x v="28"/>
    <x v="17"/>
    <x v="1"/>
    <x v="8"/>
    <x v="1"/>
    <x v="42"/>
    <s v="Año 2019"/>
    <s v="Toneladas"/>
    <s v="Servicio Nacional de Pesca y Acuicultura (SERNAPESCA)"/>
    <s v="Sentencias Dictadas por delitos de Abuso Sexual en la Región del Biobío para el Año 2019"/>
    <m/>
    <s v="Gráfico"/>
    <s v="Región del Biobío pesca artesanal industrial desembarque toneladas"/>
    <s v="PENDIENTE"/>
    <x v="25"/>
    <s v="#1774B9"/>
  </r>
  <r>
    <s v="0418"/>
    <n v="990"/>
    <s v="Agencia Información"/>
    <s v="Agropecuario y Forestal"/>
    <n v="9"/>
    <x v="28"/>
    <x v="17"/>
    <x v="1"/>
    <x v="9"/>
    <x v="1"/>
    <x v="42"/>
    <s v="Año 2019"/>
    <s v="Toneladas"/>
    <s v="Servicio Nacional de Pesca y Acuicultura (SERNAPESCA)"/>
    <s v="Sentencias Dictadas por delitos de Abuso Sexual en la Región de La Araucanía para el Año 2019"/>
    <m/>
    <s v="Gráfico"/>
    <s v="Región de La Araucanía pesca artesanal industrial desembarque toneladas"/>
    <s v="PENDIENTE"/>
    <x v="26"/>
    <s v="#1774B9"/>
  </r>
  <r>
    <s v="0419"/>
    <n v="990"/>
    <s v="Agencia Información"/>
    <s v="Agropecuario y Forestal"/>
    <n v="10"/>
    <x v="28"/>
    <x v="17"/>
    <x v="1"/>
    <x v="10"/>
    <x v="1"/>
    <x v="42"/>
    <s v="Año 2019"/>
    <s v="Toneladas"/>
    <s v="Servicio Nacional de Pesca y Acuicultura (SERNAPESCA)"/>
    <s v="Sentencias Dictadas por delitos de Abuso Sexual en la Región de Los Lagos para el Año 2019"/>
    <m/>
    <s v="Gráfico"/>
    <s v="Región de Los Lagos pesca artesanal industrial desembarque toneladas"/>
    <s v="PENDIENTE"/>
    <x v="27"/>
    <s v="#1774B9"/>
  </r>
  <r>
    <s v="0420"/>
    <n v="990"/>
    <s v="Agencia Información"/>
    <s v="Agropecuario y Forestal"/>
    <n v="11"/>
    <x v="28"/>
    <x v="17"/>
    <x v="1"/>
    <x v="11"/>
    <x v="1"/>
    <x v="42"/>
    <s v="Año 2019"/>
    <s v="Toneladas"/>
    <s v="Servicio Nacional de Pesca y Acuicultura (SERNAPESCA)"/>
    <s v="Sentencias Dictadas por delitos de Abuso Sexual en la Región de Aysén para el Año 2019"/>
    <m/>
    <s v="Gráfico"/>
    <s v="Región de Aysén pesca artesanal industrial desembarque toneladas"/>
    <s v="PENDIENTE"/>
    <x v="28"/>
    <s v="#1774B9"/>
  </r>
  <r>
    <s v="0421"/>
    <n v="990"/>
    <s v="Agencia Información"/>
    <s v="Agropecuario y Forestal"/>
    <n v="12"/>
    <x v="28"/>
    <x v="17"/>
    <x v="1"/>
    <x v="12"/>
    <x v="1"/>
    <x v="42"/>
    <s v="Año 2019"/>
    <s v="Toneladas"/>
    <s v="Servicio Nacional de Pesca y Acuicultura (SERNAPESCA)"/>
    <s v="Sentencias Dictadas por delitos de Abuso Sexual en la Región de Magallanes para el Año 2019"/>
    <m/>
    <s v="Gráfico"/>
    <s v="Región de Magallanes pesca artesanal industrial desembarque toneladas"/>
    <s v="PENDIENTE"/>
    <x v="29"/>
    <s v="#1774B9"/>
  </r>
  <r>
    <s v="0422"/>
    <n v="990"/>
    <s v="Agencia Información"/>
    <s v="Agropecuario y Forestal"/>
    <n v="13"/>
    <x v="28"/>
    <x v="17"/>
    <x v="1"/>
    <x v="13"/>
    <x v="1"/>
    <x v="42"/>
    <s v="Año 2019"/>
    <s v="Toneladas"/>
    <s v="Servicio Nacional de Pesca y Acuicultura (SERNAPESCA)"/>
    <s v="Sentencias Dictadas por delitos de Abuso Sexual en la Región Metropolitana para el Año 2019"/>
    <m/>
    <s v="Gráfico"/>
    <s v="Región Metropolitana pesca artesanal industrial desembarque toneladas"/>
    <s v="PENDIENTE"/>
    <x v="30"/>
    <s v="#1774B9"/>
  </r>
  <r>
    <s v="0423"/>
    <n v="990"/>
    <s v="Agencia Información"/>
    <s v="Agropecuario y Forestal"/>
    <n v="14"/>
    <x v="28"/>
    <x v="17"/>
    <x v="1"/>
    <x v="14"/>
    <x v="1"/>
    <x v="42"/>
    <s v="Año 2019"/>
    <s v="Toneladas"/>
    <s v="Servicio Nacional de Pesca y Acuicultura (SERNAPESCA)"/>
    <s v="Sentencias Dictadas por delitos de Abuso Sexual en la Región de Los Ríos para el Año 2019"/>
    <m/>
    <s v="Gráfico"/>
    <s v="Región de Los Ríos pesca artesanal industrial desembarque toneladas"/>
    <s v="PENDIENTE"/>
    <x v="31"/>
    <s v="#1774B9"/>
  </r>
  <r>
    <s v="0424"/>
    <n v="990"/>
    <s v="Agencia Información"/>
    <s v="Agropecuario y Forestal"/>
    <n v="15"/>
    <x v="28"/>
    <x v="17"/>
    <x v="1"/>
    <x v="15"/>
    <x v="1"/>
    <x v="42"/>
    <s v="Año 2019"/>
    <s v="Toneladas"/>
    <s v="Servicio Nacional de Pesca y Acuicultura (SERNAPESCA)"/>
    <s v="Sentencias Dictadas por delitos de Abuso Sexual en la Región de Arica y Parinacota para el Año 2019"/>
    <m/>
    <s v="Gráfico"/>
    <s v="Región de Arica y Parinacota pesca artesanal industrial desembarque toneladas"/>
    <s v="PENDIENTE"/>
    <x v="32"/>
    <s v="#1774B9"/>
  </r>
  <r>
    <s v="0425"/>
    <n v="990"/>
    <s v="Agencia Información"/>
    <s v="Agropecuario y Forestal"/>
    <n v="16"/>
    <x v="28"/>
    <x v="17"/>
    <x v="1"/>
    <x v="16"/>
    <x v="1"/>
    <x v="42"/>
    <s v="Año 2019"/>
    <s v="Toneladas"/>
    <s v="Servicio Nacional de Pesca y Acuicultura (SERNAPESCA)"/>
    <s v="Sentencias Dictadas por delitos de Abuso Sexual en la Región de Ñuble para el Año 2019"/>
    <m/>
    <s v="Gráfico"/>
    <s v="Región de Ñuble pesca artesanal industrial desembarque toneladas"/>
    <s v="PENDIENTE"/>
    <x v="33"/>
    <s v="#1774B9"/>
  </r>
  <r>
    <s v="0426"/>
    <n v="990"/>
    <s v="Agencia Información"/>
    <s v="Social"/>
    <n v="0"/>
    <x v="29"/>
    <x v="18"/>
    <x v="0"/>
    <x v="0"/>
    <x v="0"/>
    <x v="43"/>
    <s v="POR DEFINIR"/>
    <s v="Número de personas"/>
    <s v="Instituto Nacional de Estadísticas (INE)"/>
    <s v="Población perteneciente a pueblos originarios por región en Chile, POR DEFINIR"/>
    <m/>
    <s v="Gráfico"/>
    <s v="Chile población pueblos originarios indígenas etnia sexo mujer hombre"/>
    <s v="https://analytics.zoho.com/open-view/2395394000008439156"/>
    <x v="34"/>
    <s v="#1774B9"/>
  </r>
  <r>
    <s v="0427"/>
    <n v="990"/>
    <s v="Agencia Información"/>
    <s v="Social"/>
    <n v="0"/>
    <x v="30"/>
    <x v="19"/>
    <x v="0"/>
    <x v="0"/>
    <x v="3"/>
    <x v="44"/>
    <s v="Periodo 2010-2021"/>
    <s v="Número de personas"/>
    <s v="Ministerio de Ciencia, Tecnología, Conocimiento e Innovación"/>
    <s v="Cantidad de defunciones anuales por región en Chile, Periodo 2010-2021"/>
    <s v="A nivel nacional, las defunciones presentan un incremento constante desde el año 2012 en adelante, sin embargo, el año 2020 aumentan significativamente más que los años anteriores, lo cual es atribuible a la pandemia producida por el SARS-CoV-2."/>
    <s v="Dashboard"/>
    <s v="Chile defunciones población cantidad número demografía"/>
    <s v="https://app.powerbi.com/view?r=eyJrIjoiZjJhYWRiZjAtNTRkMC00ZmZhLWFmZmUtMjljYjc5MzRiMTZjIiwidCI6IjhmYmFhNWJmLTJlY2MtNGRjOC1iNTZiLThmOTJlMzA3ZjA3NiIsImMiOjR9"/>
    <x v="17"/>
    <s v="#1774B9"/>
  </r>
  <r>
    <s v="0428"/>
    <n v="990"/>
    <s v="Agencia Información"/>
    <s v="Social"/>
    <n v="1"/>
    <x v="30"/>
    <x v="19"/>
    <x v="1"/>
    <x v="1"/>
    <x v="3"/>
    <x v="44"/>
    <s v="Periodo 2010-2021"/>
    <s v="Número de personas"/>
    <s v="Ministerio de Ciencia, Tecnología, Conocimiento e Innovación"/>
    <s v="Cantidad de defunciones anuales en la Región de Tarapacá, Periodo 2010-2021"/>
    <m/>
    <s v="Dashboard"/>
    <s v="Región de Tarapacá defunciones población cantidad número demografía"/>
    <s v="https://app.powerbi.com/view?r=eyJrIjoiODUwZTBkYWItOTg4OC00NTY4LThmOGYtNmY1Yjg4ZTBiYThlIiwidCI6IjhmYmFhNWJmLTJlY2MtNGRjOC1iNTZiLThmOTJlMzA3ZjA3NiIsImMiOjR9"/>
    <x v="18"/>
    <s v="#1774B9"/>
  </r>
  <r>
    <s v="0429"/>
    <n v="990"/>
    <s v="Agencia Información"/>
    <s v="Social"/>
    <n v="2"/>
    <x v="30"/>
    <x v="19"/>
    <x v="1"/>
    <x v="2"/>
    <x v="3"/>
    <x v="44"/>
    <s v="Periodo 2010-2021"/>
    <s v="Número de personas"/>
    <s v="Ministerio de Ciencia, Tecnología, Conocimiento e Innovación"/>
    <s v="Cantidad de defunciones anuales en la Región de Antofagasta, Periodo 2010-2021"/>
    <m/>
    <s v="Dashboard"/>
    <s v="Región de Antofagasta defunciones población cantidad número demografía"/>
    <s v="https://app.powerbi.com/view?r=eyJrIjoiNDJiYjBiMTgtMDI3MC00MTYzLWIyNjctOWY3YWI3MzQ5OTZmIiwidCI6IjhmYmFhNWJmLTJlY2MtNGRjOC1iNTZiLThmOTJlMzA3ZjA3NiIsImMiOjR9"/>
    <x v="19"/>
    <s v="#1774B9"/>
  </r>
  <r>
    <s v="0430"/>
    <n v="990"/>
    <s v="Agencia Información"/>
    <s v="Social"/>
    <n v="3"/>
    <x v="30"/>
    <x v="19"/>
    <x v="1"/>
    <x v="3"/>
    <x v="3"/>
    <x v="44"/>
    <s v="Periodo 2010-2021"/>
    <s v="Número de personas"/>
    <s v="Ministerio de Ciencia, Tecnología, Conocimiento e Innovación"/>
    <s v="Cantidad de defunciones anuales en la Región de Atacama, Periodo 2010-2021"/>
    <m/>
    <s v="Dashboard"/>
    <s v="Región de Atacama defunciones población cantidad número demografía"/>
    <s v="https://app.powerbi.com/view?r=eyJrIjoiYTkxMWQzMWItYjVkZC00MDM1LWI1N2YtODI3ZTcwMjZlMTJhIiwidCI6IjhmYmFhNWJmLTJlY2MtNGRjOC1iNTZiLThmOTJlMzA3ZjA3NiIsImMiOjR9"/>
    <x v="20"/>
    <s v="#1774B9"/>
  </r>
  <r>
    <s v="0431"/>
    <n v="990"/>
    <s v="Agencia Información"/>
    <s v="Social"/>
    <n v="4"/>
    <x v="30"/>
    <x v="19"/>
    <x v="1"/>
    <x v="4"/>
    <x v="3"/>
    <x v="44"/>
    <s v="Periodo 2010-2021"/>
    <s v="Número de personas"/>
    <s v="Ministerio de Ciencia, Tecnología, Conocimiento e Innovación"/>
    <s v="Cantidad de defunciones anuales en la Región de Coquimbo, Periodo 2010-2021"/>
    <m/>
    <s v="Dashboard"/>
    <s v="Región de Coquimbo defunciones población cantidad número demografía"/>
    <s v="https://app.powerbi.com/view?r=eyJrIjoiMzM3MzQwMDMtMzNkNS00ZmJjLWI4NTgtNzQzNDViZjM2ZDdhIiwidCI6IjhmYmFhNWJmLTJlY2MtNGRjOC1iNTZiLThmOTJlMzA3ZjA3NiIsImMiOjR9"/>
    <x v="21"/>
    <s v="#1774B9"/>
  </r>
  <r>
    <s v="0432"/>
    <n v="990"/>
    <s v="Agencia Información"/>
    <s v="Social"/>
    <n v="5"/>
    <x v="30"/>
    <x v="19"/>
    <x v="1"/>
    <x v="5"/>
    <x v="3"/>
    <x v="44"/>
    <s v="Periodo 2010-2021"/>
    <s v="Número de personas"/>
    <s v="Ministerio de Ciencia, Tecnología, Conocimiento e Innovación"/>
    <s v="Cantidad de defunciones anuales en la Región de Valparaíso, Periodo 2010-2021"/>
    <m/>
    <s v="Dashboard"/>
    <s v="Región de Valparaíso defunciones población cantidad número demografía"/>
    <s v="https://app.powerbi.com/view?r=eyJrIjoiYzQyZThjYTctOTk5OS00NTY4LWJmZWEtZDYzMjdhNDE5N2Y5IiwidCI6IjhmYmFhNWJmLTJlY2MtNGRjOC1iNTZiLThmOTJlMzA3ZjA3NiIsImMiOjR9"/>
    <x v="22"/>
    <s v="#1774B9"/>
  </r>
  <r>
    <s v="0433"/>
    <n v="990"/>
    <s v="Agencia Información"/>
    <s v="Social"/>
    <n v="6"/>
    <x v="30"/>
    <x v="19"/>
    <x v="1"/>
    <x v="6"/>
    <x v="3"/>
    <x v="44"/>
    <s v="Periodo 2010-2021"/>
    <s v="Número de personas"/>
    <s v="Ministerio de Ciencia, Tecnología, Conocimiento e Innovación"/>
    <s v="Cantidad de defunciones anuales en la Región de O'Higgins, Periodo 2010-2021"/>
    <m/>
    <s v="Dashboard"/>
    <s v="Región de O'Higgins defunciones población cantidad número demografía"/>
    <s v="https://app.powerbi.com/view?r=eyJrIjoiNGEyYjQ5YjQtM2RlMy00NzZmLTg2YjUtOWE5YTg4NmZmYTJiIiwidCI6IjhmYmFhNWJmLTJlY2MtNGRjOC1iNTZiLThmOTJlMzA3ZjA3NiIsImMiOjR9"/>
    <x v="23"/>
    <s v="#1774B9"/>
  </r>
  <r>
    <s v="0434"/>
    <n v="990"/>
    <s v="Agencia Información"/>
    <s v="Social"/>
    <n v="7"/>
    <x v="30"/>
    <x v="19"/>
    <x v="1"/>
    <x v="7"/>
    <x v="3"/>
    <x v="44"/>
    <s v="Periodo 2010-2021"/>
    <s v="Número de personas"/>
    <s v="Ministerio de Ciencia, Tecnología, Conocimiento e Innovación"/>
    <s v="Cantidad de defunciones anuales en la Región de Maule, Periodo 2010-2021"/>
    <m/>
    <s v="Dashboard"/>
    <s v="Región de Maule defunciones población cantidad número demografía"/>
    <s v="https://app.powerbi.com/view?r=eyJrIjoiZjFmZDM4OTItZTEwYi00Mjk2LWJiNWUtMGQ5ZTNlOTVkNjZlIiwidCI6IjhmYmFhNWJmLTJlY2MtNGRjOC1iNTZiLThmOTJlMzA3ZjA3NiIsImMiOjR9"/>
    <x v="24"/>
    <s v="#1774B9"/>
  </r>
  <r>
    <s v="0435"/>
    <n v="990"/>
    <s v="Agencia Información"/>
    <s v="Social"/>
    <n v="8"/>
    <x v="30"/>
    <x v="19"/>
    <x v="1"/>
    <x v="8"/>
    <x v="3"/>
    <x v="44"/>
    <s v="Periodo 2010-2021"/>
    <s v="Número de personas"/>
    <s v="Ministerio de Ciencia, Tecnología, Conocimiento e Innovación"/>
    <s v="Cantidad de defunciones anuales en la Región del Biobío, Periodo 2010-2021"/>
    <m/>
    <s v="Dashboard"/>
    <s v="Región del Biobío defunciones población cantidad número demografía"/>
    <s v="https://app.powerbi.com/view?r=eyJrIjoiMDI1ZjhhZTctMDhlZi00ZmI1LWIzMjctMzMxM2ZhYzMxN2QzIiwidCI6IjhmYmFhNWJmLTJlY2MtNGRjOC1iNTZiLThmOTJlMzA3ZjA3NiIsImMiOjR9"/>
    <x v="25"/>
    <s v="#1774B9"/>
  </r>
  <r>
    <s v="0436"/>
    <n v="990"/>
    <s v="Agencia Información"/>
    <s v="Social"/>
    <n v="9"/>
    <x v="30"/>
    <x v="19"/>
    <x v="1"/>
    <x v="9"/>
    <x v="3"/>
    <x v="44"/>
    <s v="Periodo 2010-2021"/>
    <s v="Número de personas"/>
    <s v="Ministerio de Ciencia, Tecnología, Conocimiento e Innovación"/>
    <s v="Cantidad de defunciones anuales en la Región de La Araucanía, Periodo 2010-2021"/>
    <m/>
    <s v="Dashboard"/>
    <s v="Región de La Araucanía defunciones población cantidad número demografía"/>
    <s v="https://app.powerbi.com/view?r=eyJrIjoiZDFmNjZkOGEtZmZjZS00NTVjLWFiYzgtN2M0NDQ0M2NiNmJjIiwidCI6IjhmYmFhNWJmLTJlY2MtNGRjOC1iNTZiLThmOTJlMzA3ZjA3NiIsImMiOjR9"/>
    <x v="26"/>
    <s v="#1774B9"/>
  </r>
  <r>
    <s v="0437"/>
    <n v="990"/>
    <s v="Agencia Información"/>
    <s v="Social"/>
    <n v="10"/>
    <x v="30"/>
    <x v="19"/>
    <x v="1"/>
    <x v="10"/>
    <x v="3"/>
    <x v="44"/>
    <s v="Periodo 2010-2021"/>
    <s v="Número de personas"/>
    <s v="Ministerio de Ciencia, Tecnología, Conocimiento e Innovación"/>
    <s v="Cantidad de defunciones anuales en la Región de Los Lagos, Periodo 2010-2021"/>
    <m/>
    <s v="Dashboard"/>
    <s v="Región de Los Lagos defunciones población cantidad número demografía"/>
    <s v="https://app.powerbi.com/view?r=eyJrIjoiZjg1YTE4MDktYzFmNi00YjcyLWFlMWMtM2I5ZjhlOGZiNjM1IiwidCI6IjhmYmFhNWJmLTJlY2MtNGRjOC1iNTZiLThmOTJlMzA3ZjA3NiIsImMiOjR9"/>
    <x v="27"/>
    <s v="#1774B9"/>
  </r>
  <r>
    <s v="0438"/>
    <n v="990"/>
    <s v="Agencia Información"/>
    <s v="Social"/>
    <n v="11"/>
    <x v="30"/>
    <x v="19"/>
    <x v="1"/>
    <x v="11"/>
    <x v="3"/>
    <x v="44"/>
    <s v="Periodo 2010-2021"/>
    <s v="Número de personas"/>
    <s v="Ministerio de Ciencia, Tecnología, Conocimiento e Innovación"/>
    <s v="Cantidad de defunciones anuales en la Región de Aysén, Periodo 2010-2021"/>
    <m/>
    <s v="Dashboard"/>
    <s v="Región de Aysén defunciones población cantidad número demografía"/>
    <s v="https://app.powerbi.com/view?r=eyJrIjoiYWFlYWExNTItZDc4YS00MmVlLThjYmQtZDE0Mjg4MDI4ZTZiIiwidCI6IjhmYmFhNWJmLTJlY2MtNGRjOC1iNTZiLThmOTJlMzA3ZjA3NiIsImMiOjR9"/>
    <x v="28"/>
    <s v="#1774B9"/>
  </r>
  <r>
    <s v="0439"/>
    <n v="990"/>
    <s v="Agencia Información"/>
    <s v="Social"/>
    <n v="12"/>
    <x v="30"/>
    <x v="19"/>
    <x v="1"/>
    <x v="12"/>
    <x v="3"/>
    <x v="44"/>
    <s v="Periodo 2010-2021"/>
    <s v="Número de personas"/>
    <s v="Ministerio de Ciencia, Tecnología, Conocimiento e Innovación"/>
    <s v="Cantidad de defunciones anuales en la Región de Magallanes, Periodo 2010-2021"/>
    <m/>
    <s v="Dashboard"/>
    <s v="Región de Magallanes defunciones población cantidad número demografía"/>
    <s v="https://app.powerbi.com/view?r=eyJrIjoiNmQ4YjE5NzAtZjZhYy00NzMxLWI5MTAtNGM4YzQzZGIyNTgwIiwidCI6IjhmYmFhNWJmLTJlY2MtNGRjOC1iNTZiLThmOTJlMzA3ZjA3NiIsImMiOjR9&amp;pageName=ReportSection9386d36f00b3701c0c1d"/>
    <x v="29"/>
    <s v="#1774B9"/>
  </r>
  <r>
    <s v="0440"/>
    <n v="990"/>
    <s v="Agencia Información"/>
    <s v="Social"/>
    <n v="13"/>
    <x v="30"/>
    <x v="19"/>
    <x v="1"/>
    <x v="13"/>
    <x v="3"/>
    <x v="44"/>
    <s v="Periodo 2010-2021"/>
    <s v="Número de personas"/>
    <s v="Ministerio de Ciencia, Tecnología, Conocimiento e Innovación"/>
    <s v="Cantidad de defunciones anuales en la Región Metropolitana, Periodo 2010-2021"/>
    <m/>
    <s v="Dashboard"/>
    <s v="Región Metropolitana defunciones población cantidad número demografía"/>
    <s v="https://app.powerbi.com/view?r=eyJrIjoiYjc2MjY2MjYtZDUyZS00MjUwLWI1MWItOTFkN2I5NzJhZWQzIiwidCI6IjhmYmFhNWJmLTJlY2MtNGRjOC1iNTZiLThmOTJlMzA3ZjA3NiIsImMiOjR9"/>
    <x v="30"/>
    <s v="#1774B9"/>
  </r>
  <r>
    <s v="0441"/>
    <n v="990"/>
    <s v="Agencia Información"/>
    <s v="Social"/>
    <n v="14"/>
    <x v="30"/>
    <x v="19"/>
    <x v="1"/>
    <x v="14"/>
    <x v="3"/>
    <x v="44"/>
    <s v="Periodo 2010-2021"/>
    <s v="Número de personas"/>
    <s v="Ministerio de Ciencia, Tecnología, Conocimiento e Innovación"/>
    <s v="Cantidad de defunciones anuales en la Región de Los Ríos, Periodo 2010-2021"/>
    <m/>
    <s v="Dashboard"/>
    <s v="Región de Los Ríos defunciones población cantidad número demografía"/>
    <s v="https://app.powerbi.com/view?r=eyJrIjoiNjllOGM2MWUtZmRjNS00ZGRjLTk2NDEtYTQ4MDRiMWY3MTQ0IiwidCI6IjhmYmFhNWJmLTJlY2MtNGRjOC1iNTZiLThmOTJlMzA3ZjA3NiIsImMiOjR9"/>
    <x v="31"/>
    <s v="#1774B9"/>
  </r>
  <r>
    <s v="0442"/>
    <n v="990"/>
    <s v="Agencia Información"/>
    <s v="Social"/>
    <n v="15"/>
    <x v="30"/>
    <x v="19"/>
    <x v="1"/>
    <x v="15"/>
    <x v="3"/>
    <x v="44"/>
    <s v="Periodo 2010-2021"/>
    <s v="Número de personas"/>
    <s v="Ministerio de Ciencia, Tecnología, Conocimiento e Innovación"/>
    <s v="Cantidad de defunciones anuales en la Región de Arica y Parinacota, Periodo 2010-2021"/>
    <m/>
    <s v="Dashboard"/>
    <s v="Región de Arica y Parinacota defunciones población cantidad número demografía"/>
    <s v="https://app.powerbi.com/view?r=eyJrIjoiYmM4NDNmZGQtNDEzMS00MzRkLWJiZWUtYjljYWE2MGU5NzgwIiwidCI6IjhmYmFhNWJmLTJlY2MtNGRjOC1iNTZiLThmOTJlMzA3ZjA3NiIsImMiOjR9"/>
    <x v="32"/>
    <s v="#1774B9"/>
  </r>
  <r>
    <s v="0443"/>
    <n v="990"/>
    <s v="Agencia Información"/>
    <s v="Social"/>
    <n v="16"/>
    <x v="30"/>
    <x v="19"/>
    <x v="1"/>
    <x v="16"/>
    <x v="3"/>
    <x v="44"/>
    <s v="Periodo 2010-2021"/>
    <s v="Número de personas"/>
    <s v="Ministerio de Ciencia, Tecnología, Conocimiento e Innovación"/>
    <s v="Cantidad de defunciones anuales en la Región de Ñuble, Periodo 2010-2021"/>
    <m/>
    <s v="Dashboard"/>
    <s v="Región de Ñuble defunciones población cantidad número demografía"/>
    <s v="https://app.powerbi.com/view?r=eyJrIjoiOWVmOWU0YTYtZWY0NS00ZTZlLWJlMDMtYTMwNWVjOTU5YTNhIiwidCI6IjhmYmFhNWJmLTJlY2MtNGRjOC1iNTZiLThmOTJlMzA3ZjA3NiIsImMiOjR9"/>
    <x v="33"/>
    <s v="#1774B9"/>
  </r>
  <r>
    <s v="0444"/>
    <n v="990"/>
    <s v="Agencia Información"/>
    <s v="Social"/>
    <n v="0"/>
    <x v="31"/>
    <x v="19"/>
    <x v="0"/>
    <x v="0"/>
    <x v="3"/>
    <x v="45"/>
    <s v="Periodo 2010-2021"/>
    <s v="Número de personas"/>
    <s v="Ministerio de Ciencia, Tecnología, Conocimiento e Innovación"/>
    <s v="Cantidad de nacimientos anuales por región en Chile, Periodo 2010-2021"/>
    <m/>
    <s v="Dashboard"/>
    <s v="Chile nacimientos población cantidad número demografía"/>
    <s v="https://app.powerbi.com/view?r=eyJrIjoiZDhlM2ZjNDQtYjE2My00NmY3LWE5ZjktNjI2NGZkMDA0Njc3IiwidCI6IjhmYmFhNWJmLTJlY2MtNGRjOC1iNTZiLThmOTJlMzA3ZjA3NiIsImMiOjR9&amp;pageName=ReportSection9386d36f00b3701c0c1d"/>
    <x v="17"/>
    <s v="#1774B9"/>
  </r>
  <r>
    <s v="0445"/>
    <n v="990"/>
    <s v="Agencia Información"/>
    <s v="Social"/>
    <n v="1"/>
    <x v="31"/>
    <x v="19"/>
    <x v="1"/>
    <x v="1"/>
    <x v="3"/>
    <x v="45"/>
    <s v="Periodo 2010-2021"/>
    <s v="Número de personas"/>
    <s v="Ministerio de Ciencia, Tecnología, Conocimiento e Innovación"/>
    <s v="Cantidad de nacimientos anuales en la Región de Tarapacá, Periodo 2010-2021"/>
    <m/>
    <s v="Dashboard"/>
    <s v="Región de Tarapacá nacimientos población cantidad número demografía"/>
    <s v="https://app.powerbi.com/view?r=eyJrIjoiNTY2Mjc1MmUtNDRjNy00NzU3LWE0MWYtOGE3MjJjM2Q1MzczIiwidCI6IjhmYmFhNWJmLTJlY2MtNGRjOC1iNTZiLThmOTJlMzA3ZjA3NiIsImMiOjR9"/>
    <x v="18"/>
    <s v="#1774B9"/>
  </r>
  <r>
    <s v="0446"/>
    <n v="990"/>
    <s v="Agencia Información"/>
    <s v="Social"/>
    <n v="2"/>
    <x v="31"/>
    <x v="19"/>
    <x v="1"/>
    <x v="2"/>
    <x v="3"/>
    <x v="45"/>
    <s v="Periodo 2010-2021"/>
    <s v="Número de personas"/>
    <s v="Ministerio de Ciencia, Tecnología, Conocimiento e Innovación"/>
    <s v="Cantidad de nacimientos anuales en la Región de Antofagasta, Periodo 2010-2021"/>
    <m/>
    <s v="Dashboard"/>
    <s v="Región de Antofagasta nacimientos población cantidad número demografía"/>
    <s v="https://app.powerbi.com/view?r=eyJrIjoiNzUwZmFjMGEtMTIyYy00YzZiLWFmYzEtZTc5N2IyNGYxZjEyIiwidCI6IjhmYmFhNWJmLTJlY2MtNGRjOC1iNTZiLThmOTJlMzA3ZjA3NiIsImMiOjR9"/>
    <x v="19"/>
    <s v="#1774B9"/>
  </r>
  <r>
    <s v="0447"/>
    <n v="990"/>
    <s v="Agencia Información"/>
    <s v="Social"/>
    <n v="3"/>
    <x v="31"/>
    <x v="19"/>
    <x v="1"/>
    <x v="3"/>
    <x v="3"/>
    <x v="45"/>
    <s v="Periodo 2010-2021"/>
    <s v="Número de personas"/>
    <s v="Ministerio de Ciencia, Tecnología, Conocimiento e Innovación"/>
    <s v="Cantidad de nacimientos anuales en la Región de Atacama, Periodo 2010-2021"/>
    <m/>
    <s v="Dashboard"/>
    <s v="Región de Atacama nacimientos población cantidad número demografía"/>
    <s v="https://app.powerbi.com/view?r=eyJrIjoiOGRjNzkwNzgtMWMzZS00NDhlLWEyNzAtZDJhMTkyZjc1Yjk5IiwidCI6IjhmYmFhNWJmLTJlY2MtNGRjOC1iNTZiLThmOTJlMzA3ZjA3NiIsImMiOjR9"/>
    <x v="20"/>
    <s v="#1774B9"/>
  </r>
  <r>
    <s v="0448"/>
    <n v="990"/>
    <s v="Agencia Información"/>
    <s v="Social"/>
    <n v="4"/>
    <x v="31"/>
    <x v="19"/>
    <x v="1"/>
    <x v="4"/>
    <x v="3"/>
    <x v="45"/>
    <s v="Periodo 2010-2021"/>
    <s v="Número de personas"/>
    <s v="Ministerio de Ciencia, Tecnología, Conocimiento e Innovación"/>
    <s v="Cantidad de nacimientos anuales en la Región de Coquimbo, Periodo 2010-2021"/>
    <m/>
    <s v="Dashboard"/>
    <s v="Región de Coquimbo nacimientos población cantidad número demografía"/>
    <s v="https://app.powerbi.com/view?r=eyJrIjoiODdiNDkxMDAtN2FhMC00YWU3LTg5NDEtOTU2ODRhN2E0ZjI3IiwidCI6IjhmYmFhNWJmLTJlY2MtNGRjOC1iNTZiLThmOTJlMzA3ZjA3NiIsImMiOjR9"/>
    <x v="21"/>
    <s v="#1774B9"/>
  </r>
  <r>
    <s v="0449"/>
    <n v="990"/>
    <s v="Agencia Información"/>
    <s v="Social"/>
    <n v="5"/>
    <x v="31"/>
    <x v="19"/>
    <x v="1"/>
    <x v="5"/>
    <x v="3"/>
    <x v="45"/>
    <s v="Periodo 2010-2021"/>
    <s v="Número de personas"/>
    <s v="Ministerio de Ciencia, Tecnología, Conocimiento e Innovación"/>
    <s v="Cantidad de nacimientos anuales en la Región de Valparaíso, Periodo 2010-2021"/>
    <m/>
    <s v="Dashboard"/>
    <s v="Región de Valparaíso nacimientos población cantidad número demografía"/>
    <s v="https://app.powerbi.com/view?r=eyJrIjoiYTZmOTVjYjUtNDdkNS00ODllLWIwNjctNjM3MjNkNmM2OTAwIiwidCI6IjhmYmFhNWJmLTJlY2MtNGRjOC1iNTZiLThmOTJlMzA3ZjA3NiIsImMiOjR9"/>
    <x v="22"/>
    <s v="#1774B9"/>
  </r>
  <r>
    <s v="0450"/>
    <n v="990"/>
    <s v="Agencia Información"/>
    <s v="Social"/>
    <n v="6"/>
    <x v="31"/>
    <x v="19"/>
    <x v="1"/>
    <x v="6"/>
    <x v="3"/>
    <x v="45"/>
    <s v="Periodo 2010-2021"/>
    <s v="Número de personas"/>
    <s v="Ministerio de Ciencia, Tecnología, Conocimiento e Innovación"/>
    <s v="Cantidad de nacimientos anuales en la Región de O'Higgins, Periodo 2010-2021"/>
    <m/>
    <s v="Dashboard"/>
    <s v="Región de O'Higgins nacimientos población cantidad número demografía"/>
    <s v="https://app.powerbi.com/view?r=eyJrIjoiOTI0NDRhY2ItZGVlZS00Mjk2LWE0NWMtZmJkMTJlMWZhZDk4IiwidCI6IjhmYmFhNWJmLTJlY2MtNGRjOC1iNTZiLThmOTJlMzA3ZjA3NiIsImMiOjR9"/>
    <x v="23"/>
    <s v="#1774B9"/>
  </r>
  <r>
    <s v="0451"/>
    <n v="990"/>
    <s v="Agencia Información"/>
    <s v="Social"/>
    <n v="7"/>
    <x v="31"/>
    <x v="19"/>
    <x v="1"/>
    <x v="7"/>
    <x v="3"/>
    <x v="45"/>
    <s v="Periodo 2010-2021"/>
    <s v="Número de personas"/>
    <s v="Ministerio de Ciencia, Tecnología, Conocimiento e Innovación"/>
    <s v="Cantidad de nacimientos anuales en la Región de Maule, Periodo 2010-2021"/>
    <m/>
    <s v="Dashboard"/>
    <s v="Región de Maule nacimientos población cantidad número demografía"/>
    <s v="https://app.powerbi.com/view?r=eyJrIjoiMTc0YzhlMjQtNWY1NC00Njc1LTgzOGItNzAzNGZjZTlhYTAxIiwidCI6IjhmYmFhNWJmLTJlY2MtNGRjOC1iNTZiLThmOTJlMzA3ZjA3NiIsImMiOjR9"/>
    <x v="24"/>
    <s v="#1774B9"/>
  </r>
  <r>
    <s v="0452"/>
    <n v="990"/>
    <s v="Agencia Información"/>
    <s v="Social"/>
    <n v="8"/>
    <x v="31"/>
    <x v="19"/>
    <x v="1"/>
    <x v="8"/>
    <x v="3"/>
    <x v="45"/>
    <s v="Periodo 2010-2021"/>
    <s v="Número de personas"/>
    <s v="Ministerio de Ciencia, Tecnología, Conocimiento e Innovación"/>
    <s v="Cantidad de nacimientos anuales en la Región del Biobío, Periodo 2010-2021"/>
    <m/>
    <s v="Dashboard"/>
    <s v="Región del Biobío nacimientos población cantidad número demografía"/>
    <s v="https://app.powerbi.com/view?r=eyJrIjoiZjc1MDVmYTEtY2RhMi00MjVlLWE4YmItODA0MmJhZmE0MzUwIiwidCI6IjhmYmFhNWJmLTJlY2MtNGRjOC1iNTZiLThmOTJlMzA3ZjA3NiIsImMiOjR9"/>
    <x v="25"/>
    <s v="#1774B9"/>
  </r>
  <r>
    <s v="0453"/>
    <n v="990"/>
    <s v="Agencia Información"/>
    <s v="Social"/>
    <n v="9"/>
    <x v="31"/>
    <x v="19"/>
    <x v="1"/>
    <x v="9"/>
    <x v="3"/>
    <x v="45"/>
    <s v="Periodo 2010-2021"/>
    <s v="Número de personas"/>
    <s v="Ministerio de Ciencia, Tecnología, Conocimiento e Innovación"/>
    <s v="Cantidad de nacimientos anuales en la Región de La Araucanía, Periodo 2010-2021"/>
    <m/>
    <s v="Dashboard"/>
    <s v="Región de La Araucanía nacimientos población cantidad número demografía"/>
    <s v="https://app.powerbi.com/view?r=eyJrIjoiMmY4NjE0ZDQtMzQxOC00MmExLWJmMDktNjhmNTA4NDkyMjNhIiwidCI6IjhmYmFhNWJmLTJlY2MtNGRjOC1iNTZiLThmOTJlMzA3ZjA3NiIsImMiOjR9"/>
    <x v="26"/>
    <s v="#1774B9"/>
  </r>
  <r>
    <s v="0454"/>
    <n v="990"/>
    <s v="Agencia Información"/>
    <s v="Social"/>
    <n v="10"/>
    <x v="31"/>
    <x v="19"/>
    <x v="1"/>
    <x v="10"/>
    <x v="3"/>
    <x v="45"/>
    <s v="Periodo 2010-2021"/>
    <s v="Número de personas"/>
    <s v="Ministerio de Ciencia, Tecnología, Conocimiento e Innovación"/>
    <s v="Cantidad de nacimientos anuales en la Región de Los Lagos, Periodo 2010-2021"/>
    <m/>
    <s v="Dashboard"/>
    <s v="Región de Los Lagos nacimientos población cantidad número demografía"/>
    <s v="https://app.powerbi.com/view?r=eyJrIjoiMTE2MzJkOTktMWEyNy00MzVjLWEzYzUtODYyZGQyMmVhMDU5IiwidCI6IjhmYmFhNWJmLTJlY2MtNGRjOC1iNTZiLThmOTJlMzA3ZjA3NiIsImMiOjR9"/>
    <x v="27"/>
    <s v="#1774B9"/>
  </r>
  <r>
    <s v="0455"/>
    <n v="990"/>
    <s v="Agencia Información"/>
    <s v="Social"/>
    <n v="11"/>
    <x v="31"/>
    <x v="19"/>
    <x v="1"/>
    <x v="11"/>
    <x v="3"/>
    <x v="45"/>
    <s v="Periodo 2010-2021"/>
    <s v="Número de personas"/>
    <s v="Ministerio de Ciencia, Tecnología, Conocimiento e Innovación"/>
    <s v="Cantidad de nacimientos anuales en la Región de Aysén, Periodo 2010-2021"/>
    <m/>
    <s v="Dashboard"/>
    <s v="Región de Aysén nacimientos población cantidad número demografía"/>
    <s v="https://app.powerbi.com/view?r=eyJrIjoiNjNlODQ2MDYtNDIzMy00MGQ4LTlhMWUtMjE3ZDA4NThlZWJhIiwidCI6IjhmYmFhNWJmLTJlY2MtNGRjOC1iNTZiLThmOTJlMzA3ZjA3NiIsImMiOjR9"/>
    <x v="28"/>
    <s v="#1774B9"/>
  </r>
  <r>
    <s v="0456"/>
    <n v="990"/>
    <s v="Agencia Información"/>
    <s v="Social"/>
    <n v="12"/>
    <x v="31"/>
    <x v="19"/>
    <x v="1"/>
    <x v="12"/>
    <x v="3"/>
    <x v="45"/>
    <s v="Periodo 2010-2021"/>
    <s v="Número de personas"/>
    <s v="Ministerio de Ciencia, Tecnología, Conocimiento e Innovación"/>
    <s v="Cantidad de nacimientos anuales en la Región de Magallanes, Periodo 2010-2021"/>
    <m/>
    <s v="Dashboard"/>
    <s v="Región de Magallanes nacimientos población cantidad número demografía"/>
    <s v="https://app.powerbi.com/view?r=eyJrIjoiNTEyOGRlNjgtOWJlOC00NTZkLTljZjMtYTRiOTYyMWM0NWJjIiwidCI6IjhmYmFhNWJmLTJlY2MtNGRjOC1iNTZiLThmOTJlMzA3ZjA3NiIsImMiOjR9"/>
    <x v="29"/>
    <s v="#1774B9"/>
  </r>
  <r>
    <s v="0457"/>
    <n v="990"/>
    <s v="Agencia Información"/>
    <s v="Social"/>
    <n v="13"/>
    <x v="31"/>
    <x v="19"/>
    <x v="1"/>
    <x v="13"/>
    <x v="3"/>
    <x v="45"/>
    <s v="Periodo 2010-2021"/>
    <s v="Número de personas"/>
    <s v="Ministerio de Ciencia, Tecnología, Conocimiento e Innovación"/>
    <s v="Cantidad de nacimientos anuales en la Región Metropolitana, Periodo 2010-2021"/>
    <m/>
    <s v="Dashboard"/>
    <s v="Región Metropolitana nacimientos población cantidad número demografía"/>
    <s v="https://app.powerbi.com/view?r=eyJrIjoiZmVjOGIxMzItZDY5Ni00ZTk0LWEwY2ItN2IyZmViZTM4YmE0IiwidCI6IjhmYmFhNWJmLTJlY2MtNGRjOC1iNTZiLThmOTJlMzA3ZjA3NiIsImMiOjR9"/>
    <x v="30"/>
    <s v="#1774B9"/>
  </r>
  <r>
    <s v="0458"/>
    <n v="990"/>
    <s v="Agencia Información"/>
    <s v="Social"/>
    <n v="14"/>
    <x v="31"/>
    <x v="19"/>
    <x v="1"/>
    <x v="14"/>
    <x v="3"/>
    <x v="45"/>
    <s v="Periodo 2010-2021"/>
    <s v="Número de personas"/>
    <s v="Ministerio de Ciencia, Tecnología, Conocimiento e Innovación"/>
    <s v="Cantidad de nacimientos anuales en la Región de Los Ríos, Periodo 2010-2021"/>
    <m/>
    <s v="Dashboard"/>
    <s v="Región de Los Ríos nacimientos población cantidad número demografía"/>
    <s v="https://app.powerbi.com/view?r=eyJrIjoiM2M2ZDRjNjctN2Y2MC00ZmYzLTgwOTktMTFhMzg5NTFmOTBjIiwidCI6IjhmYmFhNWJmLTJlY2MtNGRjOC1iNTZiLThmOTJlMzA3ZjA3NiIsImMiOjR9"/>
    <x v="31"/>
    <s v="#1774B9"/>
  </r>
  <r>
    <s v="0459"/>
    <n v="990"/>
    <s v="Agencia Información"/>
    <s v="Social"/>
    <n v="15"/>
    <x v="31"/>
    <x v="19"/>
    <x v="1"/>
    <x v="15"/>
    <x v="3"/>
    <x v="45"/>
    <s v="Periodo 2010-2021"/>
    <s v="Número de personas"/>
    <s v="Ministerio de Ciencia, Tecnología, Conocimiento e Innovación"/>
    <s v="Cantidad de nacimientos anuales en la Región de Arica y Parinacota, Periodo 2010-2021"/>
    <m/>
    <s v="Dashboard"/>
    <s v="Región de Arica y Parinacota nacimientos población cantidad número demografía"/>
    <s v="https://app.powerbi.com/view?r=eyJrIjoiNTk3NjE1MDYtZDViMS00M2YzLTkyZDAtNTY5ZDk5OTA3ZTM3IiwidCI6IjhmYmFhNWJmLTJlY2MtNGRjOC1iNTZiLThmOTJlMzA3ZjA3NiIsImMiOjR9"/>
    <x v="32"/>
    <s v="#1774B9"/>
  </r>
  <r>
    <s v="0460"/>
    <n v="990"/>
    <s v="Agencia Información"/>
    <s v="Social"/>
    <n v="16"/>
    <x v="31"/>
    <x v="19"/>
    <x v="1"/>
    <x v="16"/>
    <x v="3"/>
    <x v="45"/>
    <s v="Periodo 2010-2021"/>
    <s v="Número de personas"/>
    <s v="Ministerio de Ciencia, Tecnología, Conocimiento e Innovación"/>
    <s v="Cantidad de nacimientos anuales en la Región de Ñuble, Periodo 2010-2021"/>
    <m/>
    <s v="Dashboard"/>
    <s v="Región de Ñuble nacimientos población cantidad número demografía"/>
    <s v="https://app.powerbi.com/view?r=eyJrIjoiMjc0Mjg5ODMtZmYzMy00OWJhLWJiYWQtZjQ3ZWIzMjQwNzMxIiwidCI6IjhmYmFhNWJmLTJlY2MtNGRjOC1iNTZiLThmOTJlMzA3ZjA3NiIsImMiOjR9"/>
    <x v="33"/>
    <s v="#1774B9"/>
  </r>
  <r>
    <s v="0461"/>
    <n v="990"/>
    <s v="Agencia Información"/>
    <s v="Transporte y tránsito"/>
    <n v="0"/>
    <x v="32"/>
    <x v="20"/>
    <x v="0"/>
    <x v="0"/>
    <x v="0"/>
    <x v="46"/>
    <s v="Periodo 2008-2019"/>
    <s v="Número de permisos de circulación"/>
    <s v="Instituto Nacional de Estadísticas (INE)"/>
    <s v="Cantidad de permisos de circulación según tipo de vehículo en Chile, Periodo 2008-2019"/>
    <s v="Durante todo el periodo los vehículos de la categoría Automóvil y Station wagon fueron los que tuvieron mayor cantidad de permisos de circulación a nivel nacional siendo 790.146 para el año 2018 y de 819.684 para el año 2019.   "/>
    <s v="Nube de palabras"/>
    <s v="Chile permiso circulación cantidad número regional tipo vehículo"/>
    <s v="PENDIENTE"/>
    <x v="0"/>
    <s v="#1774B9"/>
  </r>
  <r>
    <s v="0462"/>
    <n v="990"/>
    <s v="Agencia Información"/>
    <s v="Transporte y tránsito"/>
    <n v="1"/>
    <x v="32"/>
    <x v="20"/>
    <x v="1"/>
    <x v="1"/>
    <x v="1"/>
    <x v="46"/>
    <s v="Periodo 2008-2019"/>
    <s v="Número de permisos de circulación"/>
    <s v="Instituto Nacional de Estadísticas (INE)"/>
    <s v="Cantidad de permisos de circulación según tipo de vehículo en la Región de Tarapacá, Periodo 2008-2019"/>
    <m/>
    <s v="Nube de palabras"/>
    <s v="Región de Tarapacá permiso circulación cantidad número regional tipo vehículo"/>
    <s v="https://analytics.zoho.com/open-view/2395394000008386951?ZOHO_CRITERIA=%228.1%20Permiso_circulaci%C3%B3n%22.%22Codreg%22%3D1"/>
    <x v="1"/>
    <s v="#1774B9"/>
  </r>
  <r>
    <s v="0463"/>
    <n v="990"/>
    <s v="Agencia Información"/>
    <s v="Transporte y tránsito"/>
    <n v="2"/>
    <x v="32"/>
    <x v="20"/>
    <x v="1"/>
    <x v="2"/>
    <x v="1"/>
    <x v="46"/>
    <s v="Periodo 2008-2019"/>
    <s v="Número de permisos de circulación"/>
    <s v="Instituto Nacional de Estadísticas (INE)"/>
    <s v="Cantidad de permisos de circulación según tipo de vehículo en la Región de Antofagasta, Periodo 2008-2019"/>
    <m/>
    <s v="Nube de palabras"/>
    <s v="Región de Antofagasta permiso circulación cantidad número regional tipo vehículo"/>
    <s v="https://analytics.zoho.com/open-view/2395394000008386951?ZOHO_CRITERIA=%228.1%20Permiso_circulaci%C3%B3n%22.%22Codreg%22%3D2"/>
    <x v="2"/>
    <s v="#1774B9"/>
  </r>
  <r>
    <s v="0464"/>
    <n v="990"/>
    <s v="Agencia Información"/>
    <s v="Transporte y tránsito"/>
    <n v="3"/>
    <x v="32"/>
    <x v="20"/>
    <x v="1"/>
    <x v="3"/>
    <x v="1"/>
    <x v="46"/>
    <s v="Periodo 2008-2019"/>
    <s v="Número de permisos de circulación"/>
    <s v="Instituto Nacional de Estadísticas (INE)"/>
    <s v="Cantidad de permisos de circulación según tipo de vehículo en la Región de Atacama, Periodo 2008-2019"/>
    <m/>
    <s v="Nube de palabras"/>
    <s v="Región de Atacama permiso circulación cantidad número regional tipo vehículo"/>
    <s v="https://analytics.zoho.com/open-view/2395394000008386951?ZOHO_CRITERIA=%228.1%20Permiso_circulaci%C3%B3n%22.%22Codreg%22%3D3"/>
    <x v="3"/>
    <s v="#1774B9"/>
  </r>
  <r>
    <s v="0465"/>
    <n v="990"/>
    <s v="Agencia Información"/>
    <s v="Transporte y tránsito"/>
    <n v="4"/>
    <x v="32"/>
    <x v="20"/>
    <x v="1"/>
    <x v="4"/>
    <x v="1"/>
    <x v="46"/>
    <s v="Periodo 2008-2019"/>
    <s v="Número de permisos de circulación"/>
    <s v="Instituto Nacional de Estadísticas (INE)"/>
    <s v="Cantidad de permisos de circulación según tipo de vehículo en la Región de Coquimbo, Periodo 2008-2019"/>
    <m/>
    <s v="Nube de palabras"/>
    <s v="Región de Coquimbo permiso circulación cantidad número regional tipo vehículo"/>
    <s v="https://analytics.zoho.com/open-view/2395394000008386951?ZOHO_CRITERIA=%228.1%20Permiso_circulaci%C3%B3n%22.%22Codreg%22%3D4"/>
    <x v="4"/>
    <s v="#1774B9"/>
  </r>
  <r>
    <s v="0466"/>
    <n v="990"/>
    <s v="Agencia Información"/>
    <s v="Transporte y tránsito"/>
    <n v="5"/>
    <x v="32"/>
    <x v="20"/>
    <x v="1"/>
    <x v="5"/>
    <x v="1"/>
    <x v="46"/>
    <s v="Periodo 2008-2019"/>
    <s v="Número de permisos de circulación"/>
    <s v="Instituto Nacional de Estadísticas (INE)"/>
    <s v="Cantidad de permisos de circulación según tipo de vehículo en la Región de Valparaíso, Periodo 2008-2019"/>
    <m/>
    <s v="Nube de palabras"/>
    <s v="Región de Valparaíso permiso circulación cantidad número regional tipo vehículo"/>
    <s v="https://analytics.zoho.com/open-view/2395394000008386951?ZOHO_CRITERIA=%228.1%20Permiso_circulaci%C3%B3n%22.%22Codreg%22%3D5"/>
    <x v="5"/>
    <s v="#1774B9"/>
  </r>
  <r>
    <s v="0467"/>
    <n v="990"/>
    <s v="Agencia Información"/>
    <s v="Transporte y tránsito"/>
    <n v="6"/>
    <x v="32"/>
    <x v="20"/>
    <x v="1"/>
    <x v="6"/>
    <x v="1"/>
    <x v="46"/>
    <s v="Periodo 2008-2019"/>
    <s v="Número de permisos de circulación"/>
    <s v="Instituto Nacional de Estadísticas (INE)"/>
    <s v="Cantidad de permisos de circulación según tipo de vehículo en la Región de O'Higgins, Periodo 2008-2019"/>
    <m/>
    <s v="Nube de palabras"/>
    <s v="Región de O'Higgins permiso circulación cantidad número regional tipo vehículo"/>
    <s v="https://analytics.zoho.com/open-view/2395394000008386951?ZOHO_CRITERIA=%228.1%20Permiso_circulaci%C3%B3n%22.%22Codreg%22%3D6"/>
    <x v="6"/>
    <s v="#1774B9"/>
  </r>
  <r>
    <s v="0468"/>
    <n v="990"/>
    <s v="Agencia Información"/>
    <s v="Transporte y tránsito"/>
    <n v="7"/>
    <x v="32"/>
    <x v="20"/>
    <x v="1"/>
    <x v="7"/>
    <x v="1"/>
    <x v="46"/>
    <s v="Periodo 2008-2019"/>
    <s v="Número de permisos de circulación"/>
    <s v="Instituto Nacional de Estadísticas (INE)"/>
    <s v="Cantidad de permisos de circulación según tipo de vehículo en la Región de Maule, Periodo 2008-2019"/>
    <m/>
    <s v="Nube de palabras"/>
    <s v="Región de Maule permiso circulación cantidad número regional tipo vehículo"/>
    <s v="https://analytics.zoho.com/open-view/2395394000008386951?ZOHO_CRITERIA=%228.1%20Permiso_circulaci%C3%B3n%22.%22Codreg%22%3D7"/>
    <x v="7"/>
    <s v="#1774B9"/>
  </r>
  <r>
    <s v="0469"/>
    <n v="990"/>
    <s v="Agencia Información"/>
    <s v="Transporte y tránsito"/>
    <n v="8"/>
    <x v="32"/>
    <x v="20"/>
    <x v="1"/>
    <x v="8"/>
    <x v="1"/>
    <x v="46"/>
    <s v="Periodo 2008-2019"/>
    <s v="Número de permisos de circulación"/>
    <s v="Instituto Nacional de Estadísticas (INE)"/>
    <s v="Cantidad de permisos de circulación según tipo de vehículo en la Región del Biobío, Periodo 2008-2019"/>
    <m/>
    <s v="Nube de palabras"/>
    <s v="Región del Biobío permiso circulación cantidad número regional tipo vehículo"/>
    <s v="https://analytics.zoho.com/open-view/2395394000008386951?ZOHO_CRITERIA=%228.1%20Permiso_circulaci%C3%B3n%22.%22Codreg%22%3D8"/>
    <x v="8"/>
    <s v="#1774B9"/>
  </r>
  <r>
    <s v="0470"/>
    <n v="990"/>
    <s v="Agencia Información"/>
    <s v="Transporte y tránsito"/>
    <n v="9"/>
    <x v="32"/>
    <x v="20"/>
    <x v="1"/>
    <x v="9"/>
    <x v="1"/>
    <x v="46"/>
    <s v="Periodo 2008-2019"/>
    <s v="Número de permisos de circulación"/>
    <s v="Instituto Nacional de Estadísticas (INE)"/>
    <s v="Cantidad de permisos de circulación según tipo de vehículo en la Región de La Araucanía, Periodo 2008-2019"/>
    <m/>
    <s v="Nube de palabras"/>
    <s v="Región de La Araucanía permiso circulación cantidad número regional tipo vehículo"/>
    <s v="https://analytics.zoho.com/open-view/2395394000008386951?ZOHO_CRITERIA=%228.1%20Permiso_circulaci%C3%B3n%22.%22Codreg%22%3D9"/>
    <x v="9"/>
    <s v="#1774B9"/>
  </r>
  <r>
    <s v="0471"/>
    <n v="990"/>
    <s v="Agencia Información"/>
    <s v="Transporte y tránsito"/>
    <n v="10"/>
    <x v="32"/>
    <x v="20"/>
    <x v="1"/>
    <x v="10"/>
    <x v="1"/>
    <x v="46"/>
    <s v="Periodo 2008-2019"/>
    <s v="Número de permisos de circulación"/>
    <s v="Instituto Nacional de Estadísticas (INE)"/>
    <s v="Cantidad de permisos de circulación según tipo de vehículo en la Región de Los Lagos, Periodo 2008-2019"/>
    <m/>
    <s v="Nube de palabras"/>
    <s v="Región de Los Lagos permiso circulación cantidad número regional tipo vehículo"/>
    <s v="https://analytics.zoho.com/open-view/2395394000008386951?ZOHO_CRITERIA=%228.1%20Permiso_circulaci%C3%B3n%22.%22Codreg%22%3D10"/>
    <x v="10"/>
    <s v="#1774B9"/>
  </r>
  <r>
    <s v="0472"/>
    <n v="990"/>
    <s v="Agencia Información"/>
    <s v="Transporte y tránsito"/>
    <n v="11"/>
    <x v="32"/>
    <x v="20"/>
    <x v="1"/>
    <x v="11"/>
    <x v="1"/>
    <x v="46"/>
    <s v="Periodo 2008-2019"/>
    <s v="Número de permisos de circulación"/>
    <s v="Instituto Nacional de Estadísticas (INE)"/>
    <s v="Cantidad de permisos de circulación según tipo de vehículo en la Región de Aysén, Periodo 2008-2019"/>
    <m/>
    <s v="Nube de palabras"/>
    <s v="Región de Aysén permiso circulación cantidad número regional tipo vehículo"/>
    <s v="https://analytics.zoho.com/open-view/2395394000008386951?ZOHO_CRITERIA=%228.1%20Permiso_circulaci%C3%B3n%22.%22Codreg%22%3D11"/>
    <x v="11"/>
    <s v="#1774B9"/>
  </r>
  <r>
    <s v="0473"/>
    <n v="990"/>
    <s v="Agencia Información"/>
    <s v="Transporte y tránsito"/>
    <n v="12"/>
    <x v="32"/>
    <x v="20"/>
    <x v="1"/>
    <x v="12"/>
    <x v="1"/>
    <x v="46"/>
    <s v="Periodo 2008-2019"/>
    <s v="Número de permisos de circulación"/>
    <s v="Instituto Nacional de Estadísticas (INE)"/>
    <s v="Cantidad de permisos de circulación según tipo de vehículo en la Región de Magallanes, Periodo 2008-2019"/>
    <m/>
    <s v="Nube de palabras"/>
    <s v="Región de Magallanes permiso circulación cantidad número regional tipo vehículo"/>
    <s v="https://analytics.zoho.com/open-view/2395394000008386951?ZOHO_CRITERIA=%228.1%20Permiso_circulaci%C3%B3n%22.%22Codreg%22%3D12"/>
    <x v="12"/>
    <s v="#1774B9"/>
  </r>
  <r>
    <s v="0474"/>
    <n v="990"/>
    <s v="Agencia Información"/>
    <s v="Transporte y tránsito"/>
    <n v="13"/>
    <x v="32"/>
    <x v="20"/>
    <x v="1"/>
    <x v="13"/>
    <x v="1"/>
    <x v="46"/>
    <s v="Periodo 2008-2019"/>
    <s v="Número de permisos de circulación"/>
    <s v="Instituto Nacional de Estadísticas (INE)"/>
    <s v="Cantidad de permisos de circulación según tipo de vehículo en la Región Metropolitana, Periodo 2008-2019"/>
    <m/>
    <s v="Nube de palabras"/>
    <s v="Región Metropolitana permiso circulación cantidad número regional tipo vehículo"/>
    <s v="https://analytics.zoho.com/open-view/2395394000008386951?ZOHO_CRITERIA=%228.1%20Permiso_circulaci%C3%B3n%22.%22Codreg%22%3D13"/>
    <x v="13"/>
    <s v="#1774B9"/>
  </r>
  <r>
    <s v="0475"/>
    <n v="990"/>
    <s v="Agencia Información"/>
    <s v="Transporte y tránsito"/>
    <n v="14"/>
    <x v="32"/>
    <x v="20"/>
    <x v="1"/>
    <x v="14"/>
    <x v="1"/>
    <x v="46"/>
    <s v="Periodo 2008-2019"/>
    <s v="Número de permisos de circulación"/>
    <s v="Instituto Nacional de Estadísticas (INE)"/>
    <s v="Cantidad de permisos de circulación según tipo de vehículo en la Región de Los Ríos, Periodo 2008-2019"/>
    <m/>
    <s v="Nube de palabras"/>
    <s v="Región de Los Ríos permiso circulación cantidad número regional tipo vehículo"/>
    <s v="https://analytics.zoho.com/open-view/2395394000008386951?ZOHO_CRITERIA=%228.1%20Permiso_circulaci%C3%B3n%22.%22Codreg%22%3D14"/>
    <x v="14"/>
    <s v="#1774B9"/>
  </r>
  <r>
    <s v="0476"/>
    <n v="990"/>
    <s v="Agencia Información"/>
    <s v="Transporte y tránsito"/>
    <n v="15"/>
    <x v="32"/>
    <x v="20"/>
    <x v="1"/>
    <x v="15"/>
    <x v="1"/>
    <x v="46"/>
    <s v="Periodo 2008-2019"/>
    <s v="Número de permisos de circulación"/>
    <s v="Instituto Nacional de Estadísticas (INE)"/>
    <s v="Cantidad de permisos de circulación según tipo de vehículo en la Región de Arica y Parinacota, Periodo 2008-2019"/>
    <m/>
    <s v="Nube de palabras"/>
    <s v="Región de Arica y Parinacota permiso circulación cantidad número regional tipo vehículo"/>
    <s v="https://analytics.zoho.com/open-view/2395394000008386951?ZOHO_CRITERIA=%228.1%20Permiso_circulaci%C3%B3n%22.%22Codreg%22%3D15"/>
    <x v="15"/>
    <s v="#1774B9"/>
  </r>
  <r>
    <s v="0477"/>
    <n v="990"/>
    <s v="Agencia Información"/>
    <s v="Transporte y tránsito"/>
    <n v="16"/>
    <x v="32"/>
    <x v="20"/>
    <x v="1"/>
    <x v="16"/>
    <x v="1"/>
    <x v="46"/>
    <s v="Periodo 2008-2019"/>
    <s v="Número de permisos de circulación"/>
    <s v="Instituto Nacional de Estadísticas (INE)"/>
    <s v="Cantidad de permisos de circulación según tipo de vehículo en la Región de Ñuble, Periodo 2008-2019"/>
    <m/>
    <s v="Nube de palabras"/>
    <s v="Región de Ñuble permiso circulación cantidad número regional tipo vehículo"/>
    <s v="https://analytics.zoho.com/open-view/2395394000008386951?ZOHO_CRITERIA=%228.1%20Permiso_circulaci%C3%B3n%22.%22Codreg%22%3D16"/>
    <x v="16"/>
    <s v="#1774B9"/>
  </r>
  <r>
    <s v="0478"/>
    <n v="990"/>
    <s v="Agencia Información"/>
    <s v="Medio Ambiente"/>
    <n v="0"/>
    <x v="33"/>
    <x v="21"/>
    <x v="0"/>
    <x v="0"/>
    <x v="1"/>
    <x v="47"/>
    <s v="Periodo 1990-2019"/>
    <s v="Toneladas"/>
    <s v="Our World In Data"/>
    <s v="Emisiones (t) de CO2 por Tipo de Combustible en Chile, Periodo 1990-2019"/>
    <s v="En Chile, durante el periodo 1990-2019, el uso de fuentes de energía convencionales ha ido en aumento y con esto las emisiones de CO2 hacia la atmósfera. El petróleo es la fuente que más emisiones de este gas realiza, registrando para el año 1990 18.527.236 toneladas y, para el año 2019, 47.431.109 toneladas, un valor 2,6 veces más grande."/>
    <s v="Gráfico de Evolución"/>
    <s v="Chile GEI emisiones CO2 combustibles petróleo carbón gas"/>
    <s v="https://analytics.zoho.com/open-view/2395394000007837327"/>
    <x v="34"/>
    <s v="#1774B9"/>
  </r>
  <r>
    <s v="0479"/>
    <n v="990"/>
    <s v="Agencia Información"/>
    <s v="Medio Ambiente"/>
    <n v="0"/>
    <x v="33"/>
    <x v="21"/>
    <x v="0"/>
    <x v="0"/>
    <x v="1"/>
    <x v="48"/>
    <s v="Periodo 1990-2019"/>
    <s v="Porcentaje (%)"/>
    <s v="Our World In Data"/>
    <s v="Variación Porcentual (%) Anual de Emisiones de CO2 por Quema de Combustible en Chile, Periodo 1990-2019"/>
    <s v="Las emisiones de CO2 que han sufrido las más amplias variaciones entre los años 1990 y 2019 son las del gas. La variación porcentual anual más alta fue en el año 1997 y la más negativa fue en 2008."/>
    <s v="Gráfico de Evolución"/>
    <s v="Chile GEI emisiones CO2 variación anual combustibles petróleo gas carbón"/>
    <s v="https://analytics.zoho.com/open-view/2395394000007837543"/>
    <x v="34"/>
    <s v="#1774B9"/>
  </r>
  <r>
    <s v="0480"/>
    <n v="990"/>
    <s v="Agencia Información"/>
    <s v="Medio Ambiente"/>
    <n v="0"/>
    <x v="33"/>
    <x v="21"/>
    <x v="0"/>
    <x v="0"/>
    <x v="1"/>
    <x v="49"/>
    <s v="Periodo 1990-2019"/>
    <s v="Toneladas"/>
    <s v="Elaboración propia basada en Our World In Data"/>
    <s v="Emisiones per cápita (t) de CO2 por Quema de Combustible en Chile, para el Periodo 1990-2019 y previsión 2020-2025"/>
    <s v="Dada la predicción para el año 2025, las emisiones per cápita de CO2 por quema de petróleo serán de 4,1 (t), mientras que para el gas serán de 0,6 (t) y para el carbón de 1 (t)."/>
    <s v="Gráfico de Evolución"/>
    <s v="Chile GEI emisiones CO2 per cápita combustibles petróleo gas carbón"/>
    <s v="https://analytics.zoho.com/open-view/2395394000007837090"/>
    <x v="34"/>
    <s v="#1774B9"/>
  </r>
  <r>
    <s v="0481"/>
    <n v="990"/>
    <s v="Agencia Información"/>
    <s v="Medio Ambiente"/>
    <n v="0"/>
    <x v="33"/>
    <x v="21"/>
    <x v="0"/>
    <x v="0"/>
    <x v="1"/>
    <x v="50"/>
    <s v="Periodo 1990-2019"/>
    <s v="Porcentaje (%)"/>
    <s v="Our World In Data"/>
    <s v="Proporción de CO2 Emitido por Quema de Combustible con respecto al Año Anterior en Chile, Periodo 1990-2019"/>
    <s v="La tendencia de las emisiones de CO2 por quema de combustible, que considera petróleo, gas y carbón, va al alza desde el año 2017, alcanzando en 2019 las 83.355.309 toneladas. En el año 1997 se registró la proporción mas alta con respecto al año anterior, alcanzando un porcentaje de 116,9%. La más baja ocurrió en el año 2001, con una proporción respecto al año 2000 de 90,2%."/>
    <s v="Gráfico de Evolución"/>
    <s v="Chile GEI emisiones CO2 petróleo gas carbón tendencia proporción"/>
    <s v="https://analytics.zoho.com/open-view/2395394000007891846"/>
    <x v="34"/>
    <s v="#1774B9"/>
  </r>
  <r>
    <s v="0482"/>
    <n v="990"/>
    <s v="Agencia Información"/>
    <s v="Economía"/>
    <n v="0"/>
    <x v="34"/>
    <x v="11"/>
    <x v="0"/>
    <x v="0"/>
    <x v="8"/>
    <x v="51"/>
    <s v="Periodo 2005-2019"/>
    <s v="Personas"/>
    <s v="Servicio de Impuestos Internos (SII)"/>
    <s v="Diferencia porcentual con respecto al año anterior de trabajadores dependientes informados por género, Periodo 2005-2019"/>
    <s v="A nivel nacional, en el año 2009 se observa la mayor disminución del número de trabajadores dependientes informados tanto para hombres como para mujeres, reduciéndose respecto al año anterior en un 4,7% y un 2,7% respectivamente. Por el contrario, las mayores alzas se registraron el año 2007 para mujeres, con un 12,3%, y el año 2011 para hombres, con un 8,2%, respecto del año anterior. Estos porcentajes varían de acuerdo al Tramo según Ventas que caracteriza a los tipos de empresas y por sus respectivos tramos específicos."/>
    <s v="Gráfico de Evolución"/>
    <s v="Chile trabajadores dependientes informados anual sii hombres mujeres sexo género nacional"/>
    <s v="https://analytics.zoho.com/open-view/2395394000008038511"/>
    <x v="34"/>
    <s v="#1774B9"/>
  </r>
  <r>
    <s v="0483"/>
    <n v="990"/>
    <s v="Agencia Información"/>
    <s v="Economía"/>
    <n v="0"/>
    <x v="35"/>
    <x v="11"/>
    <x v="0"/>
    <x v="0"/>
    <x v="0"/>
    <x v="52"/>
    <s v="Periodo 2005-2019"/>
    <s v="Personas"/>
    <s v="Servicio de Impuestos Internos (SII)"/>
    <s v="Número de trabajadores informados por tipo de contrato para cada año en Chile, Periodo 2005-2019"/>
    <m/>
    <s v="Gráfico de Evolución"/>
    <s v="Chile regional trabajadores dependientes informados honorarios anual sii"/>
    <s v="https://analytics.zoho.com/open-view/2395394000008435674"/>
    <x v="0"/>
    <s v="#1774B9"/>
  </r>
  <r>
    <s v="0484"/>
    <n v="990"/>
    <s v="Agencia Información"/>
    <s v="Economía"/>
    <n v="1"/>
    <x v="35"/>
    <x v="11"/>
    <x v="1"/>
    <x v="1"/>
    <x v="1"/>
    <x v="52"/>
    <s v="Periodo 2005-2019"/>
    <s v="Personas"/>
    <s v="Servicio de Impuestos Internos (SII)"/>
    <s v="Número de trabajadores informados por tipo de contrato para cada año en la Región de Tarapacá, Periodo 2005-2019"/>
    <m/>
    <s v="Gráfico de Evolución"/>
    <s v="Región de Tarapacá regional trabajadores dependientes informados honorarios anual sii"/>
    <s v="https://analytics.zoho.com/open-view/2395394000008038797?ZOHO_CRITERIA=%225.1%20Empresas_Tama%C3%B1o%22.%22Cod_Regi%C3%B3n%22%3D1"/>
    <x v="1"/>
    <s v="#1774B9"/>
  </r>
  <r>
    <s v="0485"/>
    <n v="990"/>
    <s v="Agencia Información"/>
    <s v="Economía"/>
    <n v="2"/>
    <x v="35"/>
    <x v="11"/>
    <x v="1"/>
    <x v="2"/>
    <x v="1"/>
    <x v="52"/>
    <s v="Periodo 2005-2019"/>
    <s v="Personas"/>
    <s v="Servicio de Impuestos Internos (SII)"/>
    <s v="Número de trabajadores informados por tipo de contrato para cada año en la Región de Antofagasta, Periodo 2005-2019"/>
    <m/>
    <s v="Gráfico de Evolución"/>
    <s v="Región de Antofagasta regional trabajadores dependientes informados honorarios anual sii"/>
    <s v="https://analytics.zoho.com/open-view/2395394000008038797?ZOHO_CRITERIA=%225.1%20Empresas_Tama%C3%B1o%22.%22Cod_Regi%C3%B3n%22%3D2"/>
    <x v="2"/>
    <s v="#1774B9"/>
  </r>
  <r>
    <s v="0486"/>
    <n v="990"/>
    <s v="Agencia Información"/>
    <s v="Economía"/>
    <n v="3"/>
    <x v="35"/>
    <x v="11"/>
    <x v="1"/>
    <x v="3"/>
    <x v="1"/>
    <x v="52"/>
    <s v="Periodo 2005-2019"/>
    <s v="Personas"/>
    <s v="Servicio de Impuestos Internos (SII)"/>
    <s v="Número de trabajadores informados por tipo de contrato para cada año en la Región de Atacama, Periodo 2005-2019"/>
    <m/>
    <s v="Gráfico de Evolución"/>
    <s v="Región de Atacama regional trabajadores dependientes informados honorarios anual sii"/>
    <s v="https://analytics.zoho.com/open-view/2395394000008038797?ZOHO_CRITERIA=%225.1%20Empresas_Tama%C3%B1o%22.%22Cod_Regi%C3%B3n%22%3D3"/>
    <x v="3"/>
    <s v="#1774B9"/>
  </r>
  <r>
    <s v="0487"/>
    <n v="990"/>
    <s v="Agencia Información"/>
    <s v="Economía"/>
    <n v="4"/>
    <x v="35"/>
    <x v="11"/>
    <x v="1"/>
    <x v="4"/>
    <x v="1"/>
    <x v="52"/>
    <s v="Periodo 2005-2019"/>
    <s v="Personas"/>
    <s v="Servicio de Impuestos Internos (SII)"/>
    <s v="Número de trabajadores informados por tipo de contrato para cada año en la Región de Coquimbo, Periodo 2005-2019"/>
    <m/>
    <s v="Gráfico de Evolución"/>
    <s v="Región de Coquimbo regional trabajadores dependientes informados honorarios anual sii"/>
    <s v="https://analytics.zoho.com/open-view/2395394000008038797?ZOHO_CRITERIA=%225.1%20Empresas_Tama%C3%B1o%22.%22Cod_Regi%C3%B3n%22%3D4"/>
    <x v="4"/>
    <s v="#1774B9"/>
  </r>
  <r>
    <s v="0488"/>
    <n v="990"/>
    <s v="Agencia Información"/>
    <s v="Economía"/>
    <n v="5"/>
    <x v="35"/>
    <x v="11"/>
    <x v="1"/>
    <x v="5"/>
    <x v="1"/>
    <x v="52"/>
    <s v="Periodo 2005-2019"/>
    <s v="Personas"/>
    <s v="Servicio de Impuestos Internos (SII)"/>
    <s v="Número de trabajadores informados por tipo de contrato para cada año en la Región de Valparaíso, Periodo 2005-2019"/>
    <m/>
    <s v="Gráfico de Evolución"/>
    <s v="Región de Valparaíso regional trabajadores dependientes informados honorarios anual sii"/>
    <s v="https://analytics.zoho.com/open-view/2395394000008038797?ZOHO_CRITERIA=%225.1%20Empresas_Tama%C3%B1o%22.%22Cod_Regi%C3%B3n%22%3D5"/>
    <x v="5"/>
    <s v="#1774B9"/>
  </r>
  <r>
    <s v="0489"/>
    <n v="990"/>
    <s v="Agencia Información"/>
    <s v="Economía"/>
    <n v="6"/>
    <x v="35"/>
    <x v="11"/>
    <x v="1"/>
    <x v="6"/>
    <x v="1"/>
    <x v="52"/>
    <s v="Periodo 2005-2019"/>
    <s v="Personas"/>
    <s v="Servicio de Impuestos Internos (SII)"/>
    <s v="Número de trabajadores informados por tipo de contrato para cada año en la Región de O'Higgins, Periodo 2005-2019"/>
    <m/>
    <s v="Gráfico de Evolución"/>
    <s v="Región de O'Higgins regional trabajadores dependientes informados honorarios anual sii"/>
    <s v="https://analytics.zoho.com/open-view/2395394000008038797?ZOHO_CRITERIA=%225.1%20Empresas_Tama%C3%B1o%22.%22Cod_Regi%C3%B3n%22%3D6"/>
    <x v="6"/>
    <s v="#1774B9"/>
  </r>
  <r>
    <s v="0490"/>
    <n v="990"/>
    <s v="Agencia Información"/>
    <s v="Economía"/>
    <n v="7"/>
    <x v="35"/>
    <x v="11"/>
    <x v="1"/>
    <x v="7"/>
    <x v="1"/>
    <x v="52"/>
    <s v="Periodo 2005-2019"/>
    <s v="Personas"/>
    <s v="Servicio de Impuestos Internos (SII)"/>
    <s v="Número de trabajadores informados por tipo de contrato para cada año en la Región de Maule, Periodo 2005-2019"/>
    <m/>
    <s v="Gráfico de Evolución"/>
    <s v="Región de Maule regional trabajadores dependientes informados honorarios anual sii"/>
    <s v="https://analytics.zoho.com/open-view/2395394000008038797?ZOHO_CRITERIA=%225.1%20Empresas_Tama%C3%B1o%22.%22Cod_Regi%C3%B3n%22%3D7"/>
    <x v="7"/>
    <s v="#1774B9"/>
  </r>
  <r>
    <s v="0491"/>
    <n v="990"/>
    <s v="Agencia Información"/>
    <s v="Economía"/>
    <n v="8"/>
    <x v="35"/>
    <x v="11"/>
    <x v="1"/>
    <x v="8"/>
    <x v="1"/>
    <x v="52"/>
    <s v="Periodo 2005-2019"/>
    <s v="Personas"/>
    <s v="Servicio de Impuestos Internos (SII)"/>
    <s v="Número de trabajadores informados por tipo de contrato para cada año en la Región del Biobío, Periodo 2005-2019"/>
    <s v="En la región del Biobío, los trabajadores dependientes informados superaron en más de 450.000 a los trabajadores a honorarios informados en el año 2005. Se observa que esta brecha tiende a aumentar cada año, alcanzando en el año 2019 una diferencia de mas de 670.00 trabajadores."/>
    <s v="Gráfico de Evolución"/>
    <s v="Región del Biobío regional trabajadores dependientes informados honorarios anual sii"/>
    <s v="https://analytics.zoho.com/open-view/2395394000008038797?ZOHO_CRITERIA=%225.1%20Empresas_Tama%C3%B1o%22.%22Cod_Regi%C3%B3n%22%3D8"/>
    <x v="8"/>
    <s v="#1774B9"/>
  </r>
  <r>
    <s v="0492"/>
    <n v="990"/>
    <s v="Agencia Información"/>
    <s v="Economía"/>
    <n v="9"/>
    <x v="35"/>
    <x v="11"/>
    <x v="1"/>
    <x v="9"/>
    <x v="1"/>
    <x v="52"/>
    <s v="Periodo 2005-2019"/>
    <s v="Personas"/>
    <s v="Servicio de Impuestos Internos (SII)"/>
    <s v="Número de trabajadores informados por tipo de contrato para cada año en la Región de La Araucanía, Periodo 2005-2019"/>
    <m/>
    <s v="Gráfico de Evolución"/>
    <s v="Región de La Araucanía regional trabajadores dependientes informados honorarios anual sii"/>
    <s v="https://analytics.zoho.com/open-view/2395394000008038797?ZOHO_CRITERIA=%225.1%20Empresas_Tama%C3%B1o%22.%22Cod_Regi%C3%B3n%22%3D9"/>
    <x v="9"/>
    <s v="#1774B9"/>
  </r>
  <r>
    <s v="0493"/>
    <n v="990"/>
    <s v="Agencia Información"/>
    <s v="Economía"/>
    <n v="10"/>
    <x v="35"/>
    <x v="11"/>
    <x v="1"/>
    <x v="10"/>
    <x v="1"/>
    <x v="52"/>
    <s v="Periodo 2005-2019"/>
    <s v="Personas"/>
    <s v="Servicio de Impuestos Internos (SII)"/>
    <s v="Número de trabajadores informados por tipo de contrato para cada año en la Región de Los Lagos, Periodo 2005-2019"/>
    <m/>
    <s v="Gráfico de Evolución"/>
    <s v="Región de Los Lagos regional trabajadores dependientes informados honorarios anual sii"/>
    <s v="https://analytics.zoho.com/open-view/2395394000008038797?ZOHO_CRITERIA=%225.1%20Empresas_Tama%C3%B1o%22.%22Cod_Regi%C3%B3n%22%3D10"/>
    <x v="10"/>
    <s v="#1774B9"/>
  </r>
  <r>
    <s v="0494"/>
    <n v="990"/>
    <s v="Agencia Información"/>
    <s v="Economía"/>
    <n v="11"/>
    <x v="35"/>
    <x v="11"/>
    <x v="1"/>
    <x v="11"/>
    <x v="1"/>
    <x v="52"/>
    <s v="Periodo 2005-2019"/>
    <s v="Personas"/>
    <s v="Servicio de Impuestos Internos (SII)"/>
    <s v="Número de trabajadores informados por tipo de contrato para cada año en la Región de Aysén, Periodo 2005-2019"/>
    <m/>
    <s v="Gráfico de Evolución"/>
    <s v="Región de Aysén regional trabajadores dependientes informados honorarios anual sii"/>
    <s v="https://analytics.zoho.com/open-view/2395394000008038797?ZOHO_CRITERIA=%225.1%20Empresas_Tama%C3%B1o%22.%22Cod_Regi%C3%B3n%22%3D11"/>
    <x v="11"/>
    <s v="#1774B9"/>
  </r>
  <r>
    <s v="0495"/>
    <n v="990"/>
    <s v="Agencia Información"/>
    <s v="Economía"/>
    <n v="12"/>
    <x v="35"/>
    <x v="11"/>
    <x v="1"/>
    <x v="12"/>
    <x v="1"/>
    <x v="52"/>
    <s v="Periodo 2005-2019"/>
    <s v="Personas"/>
    <s v="Servicio de Impuestos Internos (SII)"/>
    <s v="Número de trabajadores informados por tipo de contrato para cada año en la Región de Magallanes, Periodo 2005-2019"/>
    <m/>
    <s v="Gráfico de Evolución"/>
    <s v="Región de Magallanes regional trabajadores dependientes informados honorarios anual sii"/>
    <s v="https://analytics.zoho.com/open-view/2395394000008038797?ZOHO_CRITERIA=%225.1%20Empresas_Tama%C3%B1o%22.%22Cod_Regi%C3%B3n%22%3D12"/>
    <x v="12"/>
    <s v="#1774B9"/>
  </r>
  <r>
    <s v="0496"/>
    <n v="990"/>
    <s v="Agencia Información"/>
    <s v="Economía"/>
    <n v="13"/>
    <x v="35"/>
    <x v="11"/>
    <x v="1"/>
    <x v="13"/>
    <x v="1"/>
    <x v="52"/>
    <s v="Periodo 2005-2019"/>
    <s v="Personas"/>
    <s v="Servicio de Impuestos Internos (SII)"/>
    <s v="Número de trabajadores informados por tipo de contrato para cada año en la Región Metropolitana, Periodo 2005-2019"/>
    <m/>
    <s v="Gráfico de Evolución"/>
    <s v="Región Metropolitana regional trabajadores dependientes informados honorarios anual sii"/>
    <s v="https://analytics.zoho.com/open-view/2395394000008038797?ZOHO_CRITERIA=%225.1%20Empresas_Tama%C3%B1o%22.%22Cod_Regi%C3%B3n%22%3D13"/>
    <x v="13"/>
    <s v="#1774B9"/>
  </r>
  <r>
    <s v="0497"/>
    <n v="990"/>
    <s v="Agencia Información"/>
    <s v="Economía"/>
    <n v="14"/>
    <x v="35"/>
    <x v="11"/>
    <x v="1"/>
    <x v="14"/>
    <x v="1"/>
    <x v="52"/>
    <s v="Periodo 2005-2019"/>
    <s v="Personas"/>
    <s v="Servicio de Impuestos Internos (SII)"/>
    <s v="Número de trabajadores informados por tipo de contrato para cada año en la Región de Los Ríos, Periodo 2005-2019"/>
    <m/>
    <s v="Gráfico de Evolución"/>
    <s v="Región de Los Ríos regional trabajadores dependientes informados honorarios anual sii"/>
    <s v="https://analytics.zoho.com/open-view/2395394000008038797?ZOHO_CRITERIA=%225.1%20Empresas_Tama%C3%B1o%22.%22Cod_Regi%C3%B3n%22%3D14"/>
    <x v="14"/>
    <s v="#1774B9"/>
  </r>
  <r>
    <s v="0498"/>
    <n v="990"/>
    <s v="Agencia Información"/>
    <s v="Economía"/>
    <n v="15"/>
    <x v="35"/>
    <x v="11"/>
    <x v="1"/>
    <x v="15"/>
    <x v="1"/>
    <x v="52"/>
    <s v="Periodo 2005-2019"/>
    <s v="Personas"/>
    <s v="Servicio de Impuestos Internos (SII)"/>
    <s v="Número de trabajadores informados por tipo de contrato para cada año en la Región de Arica y Parinacota, Periodo 2005-2019"/>
    <m/>
    <s v="Gráfico de Evolución"/>
    <s v="Región de Arica y Parinacota regional trabajadores dependientes informados honorarios anual sii"/>
    <s v="https://analytics.zoho.com/open-view/2395394000008038797?ZOHO_CRITERIA=%225.1%20Empresas_Tama%C3%B1o%22.%22Cod_Regi%C3%B3n%22%3D15"/>
    <x v="15"/>
    <s v="#1774B9"/>
  </r>
  <r>
    <s v="0499"/>
    <n v="990"/>
    <s v="Agencia Información"/>
    <s v="Economía"/>
    <n v="16"/>
    <x v="35"/>
    <x v="11"/>
    <x v="1"/>
    <x v="16"/>
    <x v="1"/>
    <x v="52"/>
    <s v="Periodo 2005-2019"/>
    <s v="Personas"/>
    <s v="Servicio de Impuestos Internos (SII)"/>
    <s v="Número de trabajadores informados por tipo de contrato para cada año en la Región de Ñuble, Periodo 2005-2019"/>
    <m/>
    <s v="Gráfico de Evolución"/>
    <s v="Región de Ñuble regional trabajadores dependientes informados honorarios anual sii"/>
    <s v="https://analytics.zoho.com/open-view/2395394000008038797?ZOHO_CRITERIA=%225.1%20Empresas_Tama%C3%B1o%22.%22Cod_Regi%C3%B3n%22%3D16"/>
    <x v="16"/>
    <s v="#1774B9"/>
  </r>
  <r>
    <s v="0500"/>
    <n v="990"/>
    <s v="Agencia Información"/>
    <s v="Educación"/>
    <n v="0"/>
    <x v="36"/>
    <x v="1"/>
    <x v="0"/>
    <x v="0"/>
    <x v="2"/>
    <x v="53"/>
    <s v="Periodo 2015 - 2018"/>
    <s v="Puntaje"/>
    <s v="Agencia de Calidad de la Educación"/>
    <s v="Evolución de Puntaje SIMCE de Lectura por Dependencia de Establecimientos para 4° Básico en Chile para el Periodo 2015 - 2018"/>
    <s v="Los colegios particulares, han obtenido un puntaje promedio sobre los 130 puntos, en la prueba SIMCE de lectura tomada a los alumnos de 4° Básico, superando por más de 30 puntos a los colegios de otras dependencias del país, en los años 2015, 2016, 2017 y 2018."/>
    <s v="Gráfico de Evolución"/>
    <s v="Chile SIMCE básica cuarto educación puntaje lectura municipal subvencionado corporación lenguaje particular"/>
    <s v="https://analytics.zoho.com/open-view/2395394000007908466"/>
    <x v="17"/>
    <s v="#1774B9"/>
  </r>
  <r>
    <s v="0501"/>
    <n v="990"/>
    <s v="Agencia Información"/>
    <s v="Educación"/>
    <n v="1"/>
    <x v="36"/>
    <x v="1"/>
    <x v="1"/>
    <x v="1"/>
    <x v="3"/>
    <x v="53"/>
    <s v="Periodo 2015 - 2018"/>
    <s v="Puntaje"/>
    <s v="Agencia de Calidad de la Educación"/>
    <s v="Evolución de Puntaje SIMCE de Lectura por Dependencia de Establecimientos para 4° Básico en la Región de Tarapacá para el Periodo 2015 - 2018"/>
    <m/>
    <s v="Gráfico de Evolución"/>
    <s v="Región de Tarapacá SIMCE básica cuarto educación puntaje lectura municipal subvencionado corporación lenguaje particular"/>
    <s v="PENDIENTE"/>
    <x v="18"/>
    <s v="#1774B9"/>
  </r>
  <r>
    <s v="0502"/>
    <n v="990"/>
    <s v="Agencia Información"/>
    <s v="Educación"/>
    <n v="2"/>
    <x v="36"/>
    <x v="1"/>
    <x v="1"/>
    <x v="2"/>
    <x v="3"/>
    <x v="53"/>
    <s v="Periodo 2015 - 2018"/>
    <s v="Puntaje"/>
    <s v="Agencia de Calidad de la Educación"/>
    <s v="Evolución de Puntaje SIMCE de Lectura por Dependencia de Establecimientos para 4° Básico en la Región de Antofagasta para el Periodo 2015 - 2018"/>
    <m/>
    <s v="Gráfico de Evolución"/>
    <s v="Región de Antofagasta SIMCE básica cuarto educación puntaje lectura municipal subvencionado corporación lenguaje particular"/>
    <s v="PENDIENTE"/>
    <x v="19"/>
    <s v="#1774B9"/>
  </r>
  <r>
    <s v="0503"/>
    <n v="990"/>
    <s v="Agencia Información"/>
    <s v="Educación"/>
    <n v="3"/>
    <x v="36"/>
    <x v="1"/>
    <x v="1"/>
    <x v="3"/>
    <x v="3"/>
    <x v="53"/>
    <s v="Periodo 2015 - 2018"/>
    <s v="Puntaje"/>
    <s v="Agencia de Calidad de la Educación"/>
    <s v="Evolución de Puntaje SIMCE de Lectura por Dependencia de Establecimientos para 4° Básico en la Región de Atacama para el Periodo 2015 - 2018"/>
    <m/>
    <s v="Gráfico de Evolución"/>
    <s v="Región de Atacama SIMCE básica cuarto educación puntaje lectura municipal subvencionado corporación lenguaje particular"/>
    <s v="PENDIENTE"/>
    <x v="20"/>
    <s v="#1774B9"/>
  </r>
  <r>
    <s v="0504"/>
    <n v="990"/>
    <s v="Agencia Información"/>
    <s v="Educación"/>
    <n v="4"/>
    <x v="36"/>
    <x v="1"/>
    <x v="1"/>
    <x v="4"/>
    <x v="3"/>
    <x v="53"/>
    <s v="Periodo 2015 - 2018"/>
    <s v="Puntaje"/>
    <s v="Agencia de Calidad de la Educación"/>
    <s v="Evolución de Puntaje SIMCE de Lectura por Dependencia de Establecimientos para 4° Básico en la Región de Coquimbo para el Periodo 2015 - 2018"/>
    <m/>
    <s v="Gráfico de Evolución"/>
    <s v="Región de Coquimbo SIMCE básica cuarto educación puntaje lectura municipal subvencionado corporación lenguaje particular"/>
    <s v="PENDIENTE"/>
    <x v="21"/>
    <s v="#1774B9"/>
  </r>
  <r>
    <s v="0505"/>
    <n v="990"/>
    <s v="Agencia Información"/>
    <s v="Educación"/>
    <n v="5"/>
    <x v="36"/>
    <x v="1"/>
    <x v="1"/>
    <x v="5"/>
    <x v="3"/>
    <x v="53"/>
    <s v="Periodo 2015 - 2018"/>
    <s v="Puntaje"/>
    <s v="Agencia de Calidad de la Educación"/>
    <s v="Evolución de Puntaje SIMCE de Lectura por Dependencia de Establecimientos para 4° Básico en la Región de Valparaíso para el Periodo 2015 - 2018"/>
    <m/>
    <s v="Gráfico de Evolución"/>
    <s v="Región de Valparaíso SIMCE básica cuarto educación puntaje lectura municipal subvencionado corporación lenguaje particular"/>
    <s v="PENDIENTE"/>
    <x v="22"/>
    <s v="#1774B9"/>
  </r>
  <r>
    <s v="0506"/>
    <n v="990"/>
    <s v="Agencia Información"/>
    <s v="Educación"/>
    <n v="6"/>
    <x v="36"/>
    <x v="1"/>
    <x v="1"/>
    <x v="6"/>
    <x v="3"/>
    <x v="53"/>
    <s v="Periodo 2015 - 2018"/>
    <s v="Puntaje"/>
    <s v="Agencia de Calidad de la Educación"/>
    <s v="Evolución de Puntaje SIMCE de Lectura por Dependencia de Establecimientos para 4° Básico en la Región de O'Higgins para el Periodo 2015 - 2018"/>
    <m/>
    <s v="Gráfico de Evolución"/>
    <s v="Región de O'Higgins SIMCE básica cuarto educación puntaje lectura municipal subvencionado corporación lenguaje particular"/>
    <s v="PENDIENTE"/>
    <x v="23"/>
    <s v="#1774B9"/>
  </r>
  <r>
    <s v="0507"/>
    <n v="990"/>
    <s v="Agencia Información"/>
    <s v="Educación"/>
    <n v="7"/>
    <x v="36"/>
    <x v="1"/>
    <x v="1"/>
    <x v="7"/>
    <x v="3"/>
    <x v="53"/>
    <s v="Periodo 2015 - 2018"/>
    <s v="Puntaje"/>
    <s v="Agencia de Calidad de la Educación"/>
    <s v="Evolución de Puntaje SIMCE de Lectura por Dependencia de Establecimientos para 4° Básico en la Región de Maule para el Periodo 2015 - 2018"/>
    <m/>
    <s v="Gráfico de Evolución"/>
    <s v="Región de Maule SIMCE básica cuarto educación puntaje lectura municipal subvencionado corporación lenguaje particular"/>
    <s v="PENDIENTE"/>
    <x v="24"/>
    <s v="#1774B9"/>
  </r>
  <r>
    <s v="0508"/>
    <n v="990"/>
    <s v="Agencia Información"/>
    <s v="Educación"/>
    <n v="8"/>
    <x v="36"/>
    <x v="1"/>
    <x v="1"/>
    <x v="8"/>
    <x v="3"/>
    <x v="53"/>
    <s v="Periodo 2015 - 2018"/>
    <s v="Puntaje"/>
    <s v="Agencia de Calidad de la Educación"/>
    <s v="Evolución de Puntaje SIMCE de Lectura por Dependencia de Establecimientos para 4° Básico en la Región del Biobío para el Periodo 2015 - 2018"/>
    <m/>
    <s v="Gráfico de Evolución"/>
    <s v="Región del Biobío SIMCE básica cuarto educación puntaje lectura municipal subvencionado corporación lenguaje particular"/>
    <s v="PENDIENTE"/>
    <x v="25"/>
    <s v="#1774B9"/>
  </r>
  <r>
    <s v="0509"/>
    <n v="990"/>
    <s v="Agencia Información"/>
    <s v="Educación"/>
    <n v="9"/>
    <x v="36"/>
    <x v="1"/>
    <x v="1"/>
    <x v="9"/>
    <x v="3"/>
    <x v="53"/>
    <s v="Periodo 2015 - 2018"/>
    <s v="Puntaje"/>
    <s v="Agencia de Calidad de la Educación"/>
    <s v="Evolución de Puntaje SIMCE de Lectura por Dependencia de Establecimientos para 4° Básico en la Región de La Araucanía para el Periodo 2015 - 2018"/>
    <m/>
    <s v="Gráfico de Evolución"/>
    <s v="Región de La Araucanía SIMCE básica cuarto educación puntaje lectura municipal subvencionado corporación lenguaje particular"/>
    <s v="PENDIENTE"/>
    <x v="26"/>
    <s v="#1774B9"/>
  </r>
  <r>
    <s v="0510"/>
    <n v="990"/>
    <s v="Agencia Información"/>
    <s v="Educación"/>
    <n v="10"/>
    <x v="36"/>
    <x v="1"/>
    <x v="1"/>
    <x v="10"/>
    <x v="3"/>
    <x v="53"/>
    <s v="Periodo 2015 - 2018"/>
    <s v="Puntaje"/>
    <s v="Agencia de Calidad de la Educación"/>
    <s v="Evolución de Puntaje SIMCE de Lectura por Dependencia de Establecimientos para 4° Básico en la Región de Los Lagos para el Periodo 2015 - 2018"/>
    <m/>
    <s v="Gráfico de Evolución"/>
    <s v="Región de Los Lagos SIMCE básica cuarto educación puntaje lectura municipal subvencionado corporación lenguaje particular"/>
    <s v="PENDIENTE"/>
    <x v="27"/>
    <s v="#1774B9"/>
  </r>
  <r>
    <s v="0511"/>
    <n v="990"/>
    <s v="Agencia Información"/>
    <s v="Educación"/>
    <n v="11"/>
    <x v="36"/>
    <x v="1"/>
    <x v="1"/>
    <x v="11"/>
    <x v="3"/>
    <x v="53"/>
    <s v="Periodo 2015 - 2018"/>
    <s v="Puntaje"/>
    <s v="Agencia de Calidad de la Educación"/>
    <s v="Evolución de Puntaje SIMCE de Lectura por Dependencia de Establecimientos para 4° Básico en la Región de Aysén para el Periodo 2015 - 2018"/>
    <m/>
    <s v="Gráfico de Evolución"/>
    <s v="Región de Aysén SIMCE básica cuarto educación puntaje lectura municipal subvencionado corporación lenguaje particular"/>
    <s v="PENDIENTE"/>
    <x v="28"/>
    <s v="#1774B9"/>
  </r>
  <r>
    <s v="0512"/>
    <n v="990"/>
    <s v="Agencia Información"/>
    <s v="Educación"/>
    <n v="12"/>
    <x v="36"/>
    <x v="1"/>
    <x v="1"/>
    <x v="12"/>
    <x v="3"/>
    <x v="53"/>
    <s v="Periodo 2015 - 2018"/>
    <s v="Puntaje"/>
    <s v="Agencia de Calidad de la Educación"/>
    <s v="Evolución de Puntaje SIMCE de Lectura por Dependencia de Establecimientos para 4° Básico en la Región de Magallanes para el Periodo 2015 - 2018"/>
    <m/>
    <s v="Gráfico de Evolución"/>
    <s v="Región de Magallanes SIMCE básica cuarto educación puntaje lectura municipal subvencionado corporación lenguaje particular"/>
    <s v="PENDIENTE"/>
    <x v="29"/>
    <s v="#1774B9"/>
  </r>
  <r>
    <s v="0513"/>
    <n v="990"/>
    <s v="Agencia Información"/>
    <s v="Educación"/>
    <n v="13"/>
    <x v="36"/>
    <x v="1"/>
    <x v="1"/>
    <x v="13"/>
    <x v="3"/>
    <x v="53"/>
    <s v="Periodo 2015 - 2018"/>
    <s v="Puntaje"/>
    <s v="Agencia de Calidad de la Educación"/>
    <s v="Evolución de Puntaje SIMCE de Lectura por Dependencia de Establecimientos para 4° Básico en la Región Metropolitana para el Periodo 2015 - 2018"/>
    <m/>
    <s v="Gráfico de Evolución"/>
    <s v="Región Metropolitana SIMCE básica cuarto educación puntaje lectura municipal subvencionado corporación lenguaje particular"/>
    <s v="PENDIENTE"/>
    <x v="30"/>
    <s v="#1774B9"/>
  </r>
  <r>
    <s v="0514"/>
    <n v="990"/>
    <s v="Agencia Información"/>
    <s v="Educación"/>
    <n v="14"/>
    <x v="36"/>
    <x v="1"/>
    <x v="1"/>
    <x v="14"/>
    <x v="3"/>
    <x v="53"/>
    <s v="Periodo 2015 - 2018"/>
    <s v="Puntaje"/>
    <s v="Agencia de Calidad de la Educación"/>
    <s v="Evolución de Puntaje SIMCE de Lectura por Dependencia de Establecimientos para 4° Básico en la Región de Los Ríos para el Periodo 2015 - 2018"/>
    <m/>
    <s v="Gráfico de Evolución"/>
    <s v="Región de Los Ríos SIMCE básica cuarto educación puntaje lectura municipal subvencionado corporación lenguaje particular"/>
    <s v="PENDIENTE"/>
    <x v="31"/>
    <s v="#1774B9"/>
  </r>
  <r>
    <s v="0515"/>
    <n v="990"/>
    <s v="Agencia Información"/>
    <s v="Educación"/>
    <n v="15"/>
    <x v="36"/>
    <x v="1"/>
    <x v="1"/>
    <x v="15"/>
    <x v="3"/>
    <x v="53"/>
    <s v="Periodo 2015 - 2018"/>
    <s v="Puntaje"/>
    <s v="Agencia de Calidad de la Educación"/>
    <s v="Evolución de Puntaje SIMCE de Lectura por Dependencia de Establecimientos para 4° Básico en la Región de Arica y Parinacota para el Periodo 2015 - 2018"/>
    <m/>
    <s v="Gráfico de Evolución"/>
    <s v="Región de Arica y Parinacota SIMCE básica cuarto educación puntaje lectura municipal subvencionado corporación lenguaje particular"/>
    <s v="PENDIENTE"/>
    <x v="32"/>
    <s v="#1774B9"/>
  </r>
  <r>
    <s v="0516"/>
    <n v="990"/>
    <s v="Agencia Información"/>
    <s v="Educación"/>
    <n v="16"/>
    <x v="36"/>
    <x v="1"/>
    <x v="1"/>
    <x v="16"/>
    <x v="3"/>
    <x v="53"/>
    <s v="Periodo 2015 - 2018"/>
    <s v="Puntaje"/>
    <s v="Agencia de Calidad de la Educación"/>
    <s v="Evolución de Puntaje SIMCE de Lectura por Dependencia de Establecimientos para 4° Básico en la Región de Ñuble para el Periodo 2015 - 2018"/>
    <m/>
    <s v="Gráfico de Evolución"/>
    <s v="Región de Ñuble SIMCE básica cuarto educación puntaje lectura municipal subvencionado corporación lenguaje particular"/>
    <s v="PENDIENTE"/>
    <x v="33"/>
    <s v="#1774B9"/>
  </r>
  <r>
    <s v="0517"/>
    <n v="990"/>
    <s v="Agencia Información"/>
    <s v="Educación"/>
    <n v="0"/>
    <x v="36"/>
    <x v="1"/>
    <x v="0"/>
    <x v="0"/>
    <x v="2"/>
    <x v="54"/>
    <s v="Periodo 2015 - 2018"/>
    <s v="Puntaje"/>
    <s v="Agencia de Calidad de la Educación"/>
    <s v="Evolución de Puntaje SIMCE de Lectura según área urbana o rural para 6° Básico en Chile para el Periodo 2015 - 2018"/>
    <s v="Los colegios de áreas urbana, han obtenidos un puntaje promedio mayor en la prueba SIMCE de lectura tomada a los alumnos de 6° Básico, en los años 2015, 2016 y 2018, que aquellos colegios ubicados en áreas rurales, con diferentes puntajes según la región en la que se ubican."/>
    <s v="Gráfico de Evolución"/>
    <s v="Chile SIMCE básica sexto educación puntaje lectura rural urbano lenguaje"/>
    <s v="https://analytics.zoho.com/open-view/2395394000007909646"/>
    <x v="17"/>
    <s v="#1774B9"/>
  </r>
  <r>
    <s v="0518"/>
    <n v="990"/>
    <s v="Agencia Información"/>
    <s v="Educación"/>
    <n v="1"/>
    <x v="36"/>
    <x v="1"/>
    <x v="1"/>
    <x v="1"/>
    <x v="3"/>
    <x v="54"/>
    <s v="Periodo 2015 - 2018"/>
    <s v="Puntaje"/>
    <s v="Agencia de Calidad de la Educación"/>
    <s v="Evolución de Puntaje SIMCE de Lectura según área urbana o rural para 6° Básico en la Región de Tarapacá para el Periodo 2015 - 2018"/>
    <m/>
    <s v="Gráfico de Evolución"/>
    <s v="Región de Tarapacá SIMCE básica sexto educación puntaje lectura rural urbano lenguaje"/>
    <s v="PENDIENTE"/>
    <x v="18"/>
    <s v="#1774B9"/>
  </r>
  <r>
    <s v="0519"/>
    <n v="990"/>
    <s v="Agencia Información"/>
    <s v="Educación"/>
    <n v="2"/>
    <x v="36"/>
    <x v="1"/>
    <x v="1"/>
    <x v="2"/>
    <x v="3"/>
    <x v="54"/>
    <s v="Periodo 2015 - 2018"/>
    <s v="Puntaje"/>
    <s v="Agencia de Calidad de la Educación"/>
    <s v="Evolución de Puntaje SIMCE de Lectura según área urbana o rural para 6° Básico en la Región de Antofagasta para el Periodo 2015 - 2018"/>
    <m/>
    <s v="Gráfico de Evolución"/>
    <s v="Región de Antofagasta SIMCE básica sexto educación puntaje lectura rural urbano lenguaje"/>
    <s v="PENDIENTE"/>
    <x v="19"/>
    <s v="#1774B9"/>
  </r>
  <r>
    <s v="0520"/>
    <n v="990"/>
    <s v="Agencia Información"/>
    <s v="Educación"/>
    <n v="3"/>
    <x v="36"/>
    <x v="1"/>
    <x v="1"/>
    <x v="3"/>
    <x v="3"/>
    <x v="54"/>
    <s v="Periodo 2015 - 2018"/>
    <s v="Puntaje"/>
    <s v="Agencia de Calidad de la Educación"/>
    <s v="Evolución de Puntaje SIMCE de Lectura según área urbana o rural para 6° Básico en la Región de Atacama para el Periodo 2015 - 2018"/>
    <m/>
    <s v="Gráfico de Evolución"/>
    <s v="Región de Atacama SIMCE básica sexto educación puntaje lectura rural urbano lenguaje"/>
    <s v="PENDIENTE"/>
    <x v="20"/>
    <s v="#1774B9"/>
  </r>
  <r>
    <s v="0521"/>
    <n v="990"/>
    <s v="Agencia Información"/>
    <s v="Educación"/>
    <n v="4"/>
    <x v="36"/>
    <x v="1"/>
    <x v="1"/>
    <x v="4"/>
    <x v="3"/>
    <x v="54"/>
    <s v="Periodo 2015 - 2018"/>
    <s v="Puntaje"/>
    <s v="Agencia de Calidad de la Educación"/>
    <s v="Evolución de Puntaje SIMCE de Lectura según área urbana o rural para 6° Básico en la Región de Coquimbo para el Periodo 2015 - 2018"/>
    <m/>
    <s v="Gráfico de Evolución"/>
    <s v="Región de Coquimbo SIMCE básica sexto educación puntaje lectura rural urbano lenguaje"/>
    <s v="PENDIENTE"/>
    <x v="21"/>
    <s v="#1774B9"/>
  </r>
  <r>
    <s v="0522"/>
    <n v="990"/>
    <s v="Agencia Información"/>
    <s v="Educación"/>
    <n v="5"/>
    <x v="36"/>
    <x v="1"/>
    <x v="1"/>
    <x v="5"/>
    <x v="3"/>
    <x v="54"/>
    <s v="Periodo 2015 - 2018"/>
    <s v="Puntaje"/>
    <s v="Agencia de Calidad de la Educación"/>
    <s v="Evolución de Puntaje SIMCE de Lectura según área urbana o rural para 6° Básico en la Región de Valparaíso para el Periodo 2015 - 2018"/>
    <m/>
    <s v="Gráfico de Evolución"/>
    <s v="Región de Valparaíso SIMCE básica sexto educación puntaje lectura rural urbano lenguaje"/>
    <s v="PENDIENTE"/>
    <x v="22"/>
    <s v="#1774B9"/>
  </r>
  <r>
    <s v="0523"/>
    <n v="990"/>
    <s v="Agencia Información"/>
    <s v="Educación"/>
    <n v="6"/>
    <x v="36"/>
    <x v="1"/>
    <x v="1"/>
    <x v="6"/>
    <x v="3"/>
    <x v="54"/>
    <s v="Periodo 2015 - 2018"/>
    <s v="Puntaje"/>
    <s v="Agencia de Calidad de la Educación"/>
    <s v="Evolución de Puntaje SIMCE de Lectura según área urbana o rural para 6° Básico en la Región de O'Higgins para el Periodo 2015 - 2018"/>
    <m/>
    <s v="Gráfico de Evolución"/>
    <s v="Región de O'Higgins SIMCE básica sexto educación puntaje lectura rural urbano lenguaje"/>
    <s v="PENDIENTE"/>
    <x v="23"/>
    <s v="#1774B9"/>
  </r>
  <r>
    <s v="0524"/>
    <n v="990"/>
    <s v="Agencia Información"/>
    <s v="Educación"/>
    <n v="7"/>
    <x v="36"/>
    <x v="1"/>
    <x v="1"/>
    <x v="7"/>
    <x v="3"/>
    <x v="54"/>
    <s v="Periodo 2015 - 2018"/>
    <s v="Puntaje"/>
    <s v="Agencia de Calidad de la Educación"/>
    <s v="Evolución de Puntaje SIMCE de Lectura según área urbana o rural para 6° Básico en la Región de Maule para el Periodo 2015 - 2018"/>
    <m/>
    <s v="Gráfico de Evolución"/>
    <s v="Región de Maule SIMCE básica sexto educación puntaje lectura rural urbano lenguaje"/>
    <s v="PENDIENTE"/>
    <x v="24"/>
    <s v="#1774B9"/>
  </r>
  <r>
    <s v="0525"/>
    <n v="990"/>
    <s v="Agencia Información"/>
    <s v="Educación"/>
    <n v="8"/>
    <x v="36"/>
    <x v="1"/>
    <x v="1"/>
    <x v="8"/>
    <x v="3"/>
    <x v="54"/>
    <s v="Periodo 2015 - 2018"/>
    <s v="Puntaje"/>
    <s v="Agencia de Calidad de la Educación"/>
    <s v="Evolución de Puntaje SIMCE de Lectura según área urbana o rural para 6° Básico en la Región del Biobío para el Periodo 2015 - 2018"/>
    <m/>
    <s v="Gráfico de Evolución"/>
    <s v="Región del Biobío SIMCE básica sexto educación puntaje lectura rural urbano lenguaje"/>
    <s v="PENDIENTE"/>
    <x v="25"/>
    <s v="#1774B9"/>
  </r>
  <r>
    <s v="0526"/>
    <n v="990"/>
    <s v="Agencia Información"/>
    <s v="Educación"/>
    <n v="9"/>
    <x v="36"/>
    <x v="1"/>
    <x v="1"/>
    <x v="9"/>
    <x v="3"/>
    <x v="54"/>
    <s v="Periodo 2015 - 2018"/>
    <s v="Puntaje"/>
    <s v="Agencia de Calidad de la Educación"/>
    <s v="Evolución de Puntaje SIMCE de Lectura según área urbana o rural para 6° Básico en la Región de La Araucanía para el Periodo 2015 - 2018"/>
    <m/>
    <s v="Gráfico de Evolución"/>
    <s v="Región de La Araucanía SIMCE básica sexto educación puntaje lectura rural urbano lenguaje"/>
    <s v="PENDIENTE"/>
    <x v="26"/>
    <s v="#1774B9"/>
  </r>
  <r>
    <s v="0527"/>
    <n v="990"/>
    <s v="Agencia Información"/>
    <s v="Educación"/>
    <n v="10"/>
    <x v="36"/>
    <x v="1"/>
    <x v="1"/>
    <x v="10"/>
    <x v="3"/>
    <x v="54"/>
    <s v="Periodo 2015 - 2018"/>
    <s v="Puntaje"/>
    <s v="Agencia de Calidad de la Educación"/>
    <s v="Evolución de Puntaje SIMCE de Lectura según área urbana o rural para 6° Básico en la Región de Los Lagos para el Periodo 2015 - 2018"/>
    <m/>
    <s v="Gráfico de Evolución"/>
    <s v="Región de Los Lagos SIMCE básica sexto educación puntaje lectura rural urbano lenguaje"/>
    <s v="PENDIENTE"/>
    <x v="27"/>
    <s v="#1774B9"/>
  </r>
  <r>
    <s v="0528"/>
    <n v="990"/>
    <s v="Agencia Información"/>
    <s v="Educación"/>
    <n v="11"/>
    <x v="36"/>
    <x v="1"/>
    <x v="1"/>
    <x v="11"/>
    <x v="3"/>
    <x v="54"/>
    <s v="Periodo 2015 - 2018"/>
    <s v="Puntaje"/>
    <s v="Agencia de Calidad de la Educación"/>
    <s v="Evolución de Puntaje SIMCE de Lectura según área urbana o rural para 6° Básico en la Región de Aysén para el Periodo 2015 - 2018"/>
    <m/>
    <s v="Gráfico de Evolución"/>
    <s v="Región de Aysén SIMCE básica sexto educación puntaje lectura rural urbano lenguaje"/>
    <s v="PENDIENTE"/>
    <x v="28"/>
    <s v="#1774B9"/>
  </r>
  <r>
    <s v="0529"/>
    <n v="990"/>
    <s v="Agencia Información"/>
    <s v="Educación"/>
    <n v="12"/>
    <x v="36"/>
    <x v="1"/>
    <x v="1"/>
    <x v="12"/>
    <x v="3"/>
    <x v="54"/>
    <s v="Periodo 2015 - 2018"/>
    <s v="Puntaje"/>
    <s v="Agencia de Calidad de la Educación"/>
    <s v="Evolución de Puntaje SIMCE de Lectura según área urbana o rural para 6° Básico en la Región de Magallanes para el Periodo 2015 - 2018"/>
    <m/>
    <s v="Gráfico de Evolución"/>
    <s v="Región de Magallanes SIMCE básica sexto educación puntaje lectura rural urbano lenguaje"/>
    <s v="PENDIENTE"/>
    <x v="29"/>
    <s v="#1774B9"/>
  </r>
  <r>
    <s v="0530"/>
    <n v="990"/>
    <s v="Agencia Información"/>
    <s v="Educación"/>
    <n v="13"/>
    <x v="36"/>
    <x v="1"/>
    <x v="1"/>
    <x v="13"/>
    <x v="3"/>
    <x v="54"/>
    <s v="Periodo 2015 - 2018"/>
    <s v="Puntaje"/>
    <s v="Agencia de Calidad de la Educación"/>
    <s v="Evolución de Puntaje SIMCE de Lectura según área urbana o rural para 6° Básico en la Región Metropolitana para el Periodo 2015 - 2018"/>
    <m/>
    <s v="Gráfico de Evolución"/>
    <s v="Región Metropolitana SIMCE básica sexto educación puntaje lectura rural urbano lenguaje"/>
    <s v="PENDIENTE"/>
    <x v="30"/>
    <s v="#1774B9"/>
  </r>
  <r>
    <s v="0531"/>
    <n v="990"/>
    <s v="Agencia Información"/>
    <s v="Educación"/>
    <n v="14"/>
    <x v="36"/>
    <x v="1"/>
    <x v="1"/>
    <x v="14"/>
    <x v="3"/>
    <x v="54"/>
    <s v="Periodo 2015 - 2018"/>
    <s v="Puntaje"/>
    <s v="Agencia de Calidad de la Educación"/>
    <s v="Evolución de Puntaje SIMCE de Lectura según área urbana o rural para 6° Básico en la Región de Los Ríos para el Periodo 2015 - 2018"/>
    <m/>
    <s v="Gráfico de Evolución"/>
    <s v="Región de Los Ríos SIMCE básica sexto educación puntaje lectura rural urbano lenguaje"/>
    <s v="PENDIENTE"/>
    <x v="31"/>
    <s v="#1774B9"/>
  </r>
  <r>
    <s v="0532"/>
    <n v="990"/>
    <s v="Agencia Información"/>
    <s v="Educación"/>
    <n v="15"/>
    <x v="36"/>
    <x v="1"/>
    <x v="1"/>
    <x v="15"/>
    <x v="3"/>
    <x v="54"/>
    <s v="Periodo 2015 - 2018"/>
    <s v="Puntaje"/>
    <s v="Agencia de Calidad de la Educación"/>
    <s v="Evolución de Puntaje SIMCE de Lectura según área urbana o rural para 6° Básico en la Región de Arica y Parinacota para el Periodo 2015 - 2018"/>
    <m/>
    <s v="Gráfico de Evolución"/>
    <s v="Región de Arica y Parinacota SIMCE básica sexto educación puntaje lectura rural urbano lenguaje"/>
    <s v="PENDIENTE"/>
    <x v="32"/>
    <s v="#1774B9"/>
  </r>
  <r>
    <s v="0533"/>
    <n v="990"/>
    <s v="Agencia Información"/>
    <s v="Educación"/>
    <n v="16"/>
    <x v="36"/>
    <x v="1"/>
    <x v="1"/>
    <x v="16"/>
    <x v="3"/>
    <x v="54"/>
    <s v="Periodo 2015 - 2018"/>
    <s v="Puntaje"/>
    <s v="Agencia de Calidad de la Educación"/>
    <s v="Evolución de Puntaje SIMCE de Lectura según área urbana o rural para 6° Básico en la Región de Ñuble para el Periodo 2015 - 2018"/>
    <m/>
    <s v="Gráfico de Evolución"/>
    <s v="Región de Ñuble SIMCE básica sexto educación puntaje lectura rural urbano lenguaje"/>
    <s v="PENDIENTE"/>
    <x v="33"/>
    <s v="#1774B9"/>
  </r>
  <r>
    <s v="0534"/>
    <n v="990"/>
    <s v="Agencia Información"/>
    <s v="Educación"/>
    <n v="0"/>
    <x v="36"/>
    <x v="1"/>
    <x v="0"/>
    <x v="0"/>
    <x v="0"/>
    <x v="55"/>
    <s v="Año 2020"/>
    <s v="Puntaje"/>
    <s v="Agencia de Calidad de la Educación"/>
    <s v="Mapa Puntaje Promedio y Máximo en prueba SIMCE de Lectura de 8vo Básico por Comuna en Chile para el Año 2020"/>
    <s v="La Comuna de Tortel es la que presenta un mayor puntaje promedio en la prueba SIMCE de lectura tomada a los alumnos de 8° Básico, el año 2020, obteniendo 160 puntos, y un puntaje máximo de 274 puntos, mientras que la comuna de Vitacura presenta un puntaje promedio de 154 puntos y un máximo de 306 puntos."/>
    <s v="Mapa de calor"/>
    <s v="Chile SIMCE básica octavo educación puntaje lectura promedio máximo lenguaje"/>
    <s v="https://analytics.zoho.com/open-view/2395394000007908947"/>
    <x v="17"/>
    <s v="#1774B9"/>
  </r>
  <r>
    <s v="0535"/>
    <n v="990"/>
    <s v="Agencia Información"/>
    <s v="Educación"/>
    <n v="1"/>
    <x v="36"/>
    <x v="1"/>
    <x v="1"/>
    <x v="1"/>
    <x v="1"/>
    <x v="55"/>
    <s v="Año 2020"/>
    <s v="Puntaje"/>
    <s v="Agencia de Calidad de la Educación"/>
    <s v="Mapa Puntaje Promedio y Máximo en prueba SIMCE de Lectura de 8vo Básico por Comuna en la Región de Tarapacá para el Año 2020"/>
    <m/>
    <s v="Mapa de calor"/>
    <s v="Región de Tarapacá SIMCE básica octavo educación puntaje lectura promedio máximo lenguaje"/>
    <s v="PENDIENTE"/>
    <x v="18"/>
    <s v="#1774B9"/>
  </r>
  <r>
    <s v="0536"/>
    <n v="990"/>
    <s v="Agencia Información"/>
    <s v="Educación"/>
    <n v="2"/>
    <x v="36"/>
    <x v="1"/>
    <x v="1"/>
    <x v="2"/>
    <x v="1"/>
    <x v="55"/>
    <s v="Año 2020"/>
    <s v="Puntaje"/>
    <s v="Agencia de Calidad de la Educación"/>
    <s v="Mapa Puntaje Promedio y Máximo en prueba SIMCE de Lectura de 8vo Básico por Comuna en la Región de Antofagasta para el Año 2020"/>
    <m/>
    <s v="Mapa de calor"/>
    <s v="Región de Antofagasta SIMCE básica octavo educación puntaje lectura promedio máximo lenguaje"/>
    <s v="PENDIENTE"/>
    <x v="19"/>
    <s v="#1774B9"/>
  </r>
  <r>
    <s v="0537"/>
    <n v="990"/>
    <s v="Agencia Información"/>
    <s v="Educación"/>
    <n v="3"/>
    <x v="36"/>
    <x v="1"/>
    <x v="1"/>
    <x v="3"/>
    <x v="1"/>
    <x v="55"/>
    <s v="Año 2020"/>
    <s v="Puntaje"/>
    <s v="Agencia de Calidad de la Educación"/>
    <s v="Mapa Puntaje Promedio y Máximo en prueba SIMCE de Lectura de 8vo Básico por Comuna en la Región de Atacama para el Año 2020"/>
    <m/>
    <s v="Mapa de calor"/>
    <s v="Región de Atacama SIMCE básica octavo educación puntaje lectura promedio máximo lenguaje"/>
    <s v="PENDIENTE"/>
    <x v="20"/>
    <s v="#1774B9"/>
  </r>
  <r>
    <s v="0538"/>
    <n v="990"/>
    <s v="Agencia Información"/>
    <s v="Educación"/>
    <n v="4"/>
    <x v="36"/>
    <x v="1"/>
    <x v="1"/>
    <x v="4"/>
    <x v="1"/>
    <x v="55"/>
    <s v="Año 2020"/>
    <s v="Puntaje"/>
    <s v="Agencia de Calidad de la Educación"/>
    <s v="Mapa Puntaje Promedio y Máximo en prueba SIMCE de Lectura de 8vo Básico por Comuna en la Región de Coquimbo para el Año 2020"/>
    <m/>
    <s v="Mapa de calor"/>
    <s v="Región de Coquimbo SIMCE básica octavo educación puntaje lectura promedio máximo lenguaje"/>
    <s v="PENDIENTE"/>
    <x v="21"/>
    <s v="#1774B9"/>
  </r>
  <r>
    <s v="0539"/>
    <n v="990"/>
    <s v="Agencia Información"/>
    <s v="Educación"/>
    <n v="5"/>
    <x v="36"/>
    <x v="1"/>
    <x v="1"/>
    <x v="5"/>
    <x v="1"/>
    <x v="55"/>
    <s v="Año 2020"/>
    <s v="Puntaje"/>
    <s v="Agencia de Calidad de la Educación"/>
    <s v="Mapa Puntaje Promedio y Máximo en prueba SIMCE de Lectura de 8vo Básico por Comuna en la Región de Valparaíso para el Año 2020"/>
    <m/>
    <s v="Mapa de calor"/>
    <s v="Región de Valparaíso SIMCE básica octavo educación puntaje lectura promedio máximo lenguaje"/>
    <s v="PENDIENTE"/>
    <x v="22"/>
    <s v="#1774B9"/>
  </r>
  <r>
    <s v="0540"/>
    <n v="990"/>
    <s v="Agencia Información"/>
    <s v="Educación"/>
    <n v="6"/>
    <x v="36"/>
    <x v="1"/>
    <x v="1"/>
    <x v="6"/>
    <x v="1"/>
    <x v="55"/>
    <s v="Año 2020"/>
    <s v="Puntaje"/>
    <s v="Agencia de Calidad de la Educación"/>
    <s v="Mapa Puntaje Promedio y Máximo en prueba SIMCE de Lectura de 8vo Básico por Comuna en la Región de O'Higgins para el Año 2020"/>
    <m/>
    <s v="Mapa de calor"/>
    <s v="Región de O'Higgins SIMCE básica octavo educación puntaje lectura promedio máximo lenguaje"/>
    <s v="PENDIENTE"/>
    <x v="23"/>
    <s v="#1774B9"/>
  </r>
  <r>
    <s v="0541"/>
    <n v="990"/>
    <s v="Agencia Información"/>
    <s v="Educación"/>
    <n v="7"/>
    <x v="36"/>
    <x v="1"/>
    <x v="1"/>
    <x v="7"/>
    <x v="1"/>
    <x v="55"/>
    <s v="Año 2020"/>
    <s v="Puntaje"/>
    <s v="Agencia de Calidad de la Educación"/>
    <s v="Mapa Puntaje Promedio y Máximo en prueba SIMCE de Lectura de 8vo Básico por Comuna en la Región de Maule para el Año 2020"/>
    <m/>
    <s v="Mapa de calor"/>
    <s v="Región de Maule SIMCE básica octavo educación puntaje lectura promedio máximo lenguaje"/>
    <s v="PENDIENTE"/>
    <x v="24"/>
    <s v="#1774B9"/>
  </r>
  <r>
    <s v="0542"/>
    <n v="990"/>
    <s v="Agencia Información"/>
    <s v="Educación"/>
    <n v="8"/>
    <x v="36"/>
    <x v="1"/>
    <x v="1"/>
    <x v="8"/>
    <x v="1"/>
    <x v="55"/>
    <s v="Año 2020"/>
    <s v="Puntaje"/>
    <s v="Agencia de Calidad de la Educación"/>
    <s v="Mapa Puntaje Promedio y Máximo en prueba SIMCE de Lectura de 8vo Básico por Comuna en la Región del Biobío para el Año 2020"/>
    <m/>
    <s v="Mapa de calor"/>
    <s v="Región del Biobío SIMCE básica octavo educación puntaje lectura promedio máximo lenguaje"/>
    <s v="PENDIENTE"/>
    <x v="25"/>
    <s v="#1774B9"/>
  </r>
  <r>
    <s v="0543"/>
    <n v="990"/>
    <s v="Agencia Información"/>
    <s v="Educación"/>
    <n v="9"/>
    <x v="36"/>
    <x v="1"/>
    <x v="1"/>
    <x v="9"/>
    <x v="1"/>
    <x v="55"/>
    <s v="Año 2020"/>
    <s v="Puntaje"/>
    <s v="Agencia de Calidad de la Educación"/>
    <s v="Mapa Puntaje Promedio y Máximo en prueba SIMCE de Lectura de 8vo Básico por Comuna en la Región de La Araucanía para el Año 2020"/>
    <m/>
    <s v="Mapa de calor"/>
    <s v="Región de La Araucanía SIMCE básica octavo educación puntaje lectura promedio máximo lenguaje"/>
    <s v="PENDIENTE"/>
    <x v="26"/>
    <s v="#1774B9"/>
  </r>
  <r>
    <s v="0544"/>
    <n v="990"/>
    <s v="Agencia Información"/>
    <s v="Educación"/>
    <n v="10"/>
    <x v="36"/>
    <x v="1"/>
    <x v="1"/>
    <x v="10"/>
    <x v="1"/>
    <x v="55"/>
    <s v="Año 2020"/>
    <s v="Puntaje"/>
    <s v="Agencia de Calidad de la Educación"/>
    <s v="Mapa Puntaje Promedio y Máximo en prueba SIMCE de Lectura de 8vo Básico por Comuna en la Región de Los Lagos para el Año 2020"/>
    <m/>
    <s v="Mapa de calor"/>
    <s v="Región de Los Lagos SIMCE básica octavo educación puntaje lectura promedio máximo lenguaje"/>
    <s v="PENDIENTE"/>
    <x v="27"/>
    <s v="#1774B9"/>
  </r>
  <r>
    <s v="0545"/>
    <n v="990"/>
    <s v="Agencia Información"/>
    <s v="Educación"/>
    <n v="11"/>
    <x v="36"/>
    <x v="1"/>
    <x v="1"/>
    <x v="11"/>
    <x v="1"/>
    <x v="55"/>
    <s v="Año 2020"/>
    <s v="Puntaje"/>
    <s v="Agencia de Calidad de la Educación"/>
    <s v="Mapa Puntaje Promedio y Máximo en prueba SIMCE de Lectura de 8vo Básico por Comuna en la Región de Aysén para el Año 2020"/>
    <m/>
    <s v="Mapa de calor"/>
    <s v="Región de Aysén SIMCE básica octavo educación puntaje lectura promedio máximo lenguaje"/>
    <s v="PENDIENTE"/>
    <x v="28"/>
    <s v="#1774B9"/>
  </r>
  <r>
    <s v="0546"/>
    <n v="990"/>
    <s v="Agencia Información"/>
    <s v="Educación"/>
    <n v="12"/>
    <x v="36"/>
    <x v="1"/>
    <x v="1"/>
    <x v="12"/>
    <x v="1"/>
    <x v="55"/>
    <s v="Año 2020"/>
    <s v="Puntaje"/>
    <s v="Agencia de Calidad de la Educación"/>
    <s v="Mapa Puntaje Promedio y Máximo en prueba SIMCE de Lectura de 8vo Básico por Comuna en la Región de Magallanes para el Año 2020"/>
    <m/>
    <s v="Mapa de calor"/>
    <s v="Región de Magallanes SIMCE básica octavo educación puntaje lectura promedio máximo lenguaje"/>
    <s v="PENDIENTE"/>
    <x v="29"/>
    <s v="#1774B9"/>
  </r>
  <r>
    <s v="0547"/>
    <n v="990"/>
    <s v="Agencia Información"/>
    <s v="Educación"/>
    <n v="13"/>
    <x v="36"/>
    <x v="1"/>
    <x v="1"/>
    <x v="13"/>
    <x v="1"/>
    <x v="55"/>
    <s v="Año 2020"/>
    <s v="Puntaje"/>
    <s v="Agencia de Calidad de la Educación"/>
    <s v="Mapa Puntaje Promedio y Máximo en prueba SIMCE de Lectura de 8vo Básico por Comuna en la Región Metropolitana para el Año 2020"/>
    <m/>
    <s v="Mapa de calor"/>
    <s v="Región Metropolitana SIMCE básica octavo educación puntaje lectura promedio máximo lenguaje"/>
    <s v="PENDIENTE"/>
    <x v="30"/>
    <s v="#1774B9"/>
  </r>
  <r>
    <s v="0548"/>
    <n v="990"/>
    <s v="Agencia Información"/>
    <s v="Educación"/>
    <n v="14"/>
    <x v="36"/>
    <x v="1"/>
    <x v="1"/>
    <x v="14"/>
    <x v="1"/>
    <x v="55"/>
    <s v="Año 2020"/>
    <s v="Puntaje"/>
    <s v="Agencia de Calidad de la Educación"/>
    <s v="Mapa Puntaje Promedio y Máximo en prueba SIMCE de Lectura de 8vo Básico por Comuna en la Región de Los Ríos para el Año 2020"/>
    <m/>
    <s v="Mapa de calor"/>
    <s v="Región de Los Ríos SIMCE básica octavo educación puntaje lectura promedio máximo lenguaje"/>
    <s v="PENDIENTE"/>
    <x v="31"/>
    <s v="#1774B9"/>
  </r>
  <r>
    <s v="0549"/>
    <n v="990"/>
    <s v="Agencia Información"/>
    <s v="Educación"/>
    <n v="15"/>
    <x v="36"/>
    <x v="1"/>
    <x v="1"/>
    <x v="15"/>
    <x v="1"/>
    <x v="55"/>
    <s v="Año 2020"/>
    <s v="Puntaje"/>
    <s v="Agencia de Calidad de la Educación"/>
    <s v="Mapa Puntaje Promedio y Máximo en prueba SIMCE de Lectura de 8vo Básico por Comuna en la Región de Arica y Parinacota para el Año 2020"/>
    <m/>
    <s v="Mapa de calor"/>
    <s v="Región de Arica y Parinacota SIMCE básica octavo educación puntaje lectura promedio máximo lenguaje"/>
    <s v="PENDIENTE"/>
    <x v="32"/>
    <s v="#1774B9"/>
  </r>
  <r>
    <s v="0550"/>
    <n v="990"/>
    <s v="Agencia Información"/>
    <s v="Educación"/>
    <n v="16"/>
    <x v="36"/>
    <x v="1"/>
    <x v="1"/>
    <x v="16"/>
    <x v="1"/>
    <x v="55"/>
    <s v="Año 2020"/>
    <s v="Puntaje"/>
    <s v="Agencia de Calidad de la Educación"/>
    <s v="Mapa Puntaje Promedio y Máximo en prueba SIMCE de Lectura de 8vo Básico por Comuna en la Región de Ñuble para el Año 2020"/>
    <m/>
    <s v="Mapa de calor"/>
    <s v="Región de Ñuble SIMCE básica octavo educación puntaje lectura promedio máximo lenguaje"/>
    <s v="PENDIENTE"/>
    <x v="33"/>
    <s v="#1774B9"/>
  </r>
  <r>
    <s v="0551"/>
    <n v="990"/>
    <s v="Agencia Información"/>
    <s v="Educación"/>
    <n v="0"/>
    <x v="37"/>
    <x v="1"/>
    <x v="0"/>
    <x v="0"/>
    <x v="0"/>
    <x v="56"/>
    <s v="Periodo 2014 - 2019"/>
    <s v="Puntaje"/>
    <s v="Agencia de Calidad de la Educación"/>
    <s v="Evolución del Indicador de Participación y formación ciudadana por Dependencia de Establecimientos en Chile para el Periodo 2014 - 2019"/>
    <s v="Durante el periodo comprendido entre los años 2014 al 2019, los establecimientos de educación Municipal muestran una disminución, hacia el fin del periodo, en el puntaje del indicador de Participación y formación ciudadana, que mide las percepciones de estudiantes y padres y apoderados sobre el grado en que la institución fomenta la participación y el compromiso de los miembros de la comunidad educativa."/>
    <s v="Gráfico de Evolución"/>
    <s v="Chile calidad educación puntaje municipal subvencionado corporación particular indicador participación formación ciudadana"/>
    <s v="https://analytics.zoho.com/open-view/2395394000007832763"/>
    <x v="0"/>
    <s v="#1774B9"/>
  </r>
  <r>
    <s v="0552"/>
    <n v="990"/>
    <s v="Agencia Información"/>
    <s v="Educación"/>
    <n v="1"/>
    <x v="37"/>
    <x v="1"/>
    <x v="1"/>
    <x v="1"/>
    <x v="1"/>
    <x v="56"/>
    <s v="Periodo 2014 - 2019"/>
    <s v="Puntaje"/>
    <s v="Agencia de Calidad de la Educación"/>
    <s v="Evolución del Indicador de Participación y formación ciudadana por Dependencia de Establecimientos en la Región de Tarapacá para el Periodo 2014 - 2019"/>
    <m/>
    <s v="Gráfico de Evolución"/>
    <s v="Región de Tarapacá calidad educación puntaje municipal subvencionado corporación particular indicador participación formación ciudadana"/>
    <s v="PENDIENTE"/>
    <x v="1"/>
    <s v="#1774B9"/>
  </r>
  <r>
    <s v="0553"/>
    <n v="990"/>
    <s v="Agencia Información"/>
    <s v="Educación"/>
    <n v="2"/>
    <x v="37"/>
    <x v="1"/>
    <x v="1"/>
    <x v="2"/>
    <x v="1"/>
    <x v="56"/>
    <s v="Periodo 2014 - 2019"/>
    <s v="Puntaje"/>
    <s v="Agencia de Calidad de la Educación"/>
    <s v="Evolución del Indicador de Participación y formación ciudadana por Dependencia de Establecimientos en la Región de Antofagasta para el Periodo 2014 - 2019"/>
    <m/>
    <s v="Gráfico de Evolución"/>
    <s v="Región de Antofagasta calidad educación puntaje municipal subvencionado corporación particular indicador participación formación ciudadana"/>
    <s v="PENDIENTE"/>
    <x v="2"/>
    <s v="#1774B9"/>
  </r>
  <r>
    <s v="0554"/>
    <n v="990"/>
    <s v="Agencia Información"/>
    <s v="Educación"/>
    <n v="3"/>
    <x v="37"/>
    <x v="1"/>
    <x v="1"/>
    <x v="3"/>
    <x v="1"/>
    <x v="56"/>
    <s v="Periodo 2014 - 2019"/>
    <s v="Puntaje"/>
    <s v="Agencia de Calidad de la Educación"/>
    <s v="Evolución del Indicador de Participación y formación ciudadana por Dependencia de Establecimientos en la Región de Atacama para el Periodo 2014 - 2019"/>
    <m/>
    <s v="Gráfico de Evolución"/>
    <s v="Región de Atacama calidad educación puntaje municipal subvencionado corporación particular indicador participación formación ciudadana"/>
    <s v="PENDIENTE"/>
    <x v="3"/>
    <s v="#1774B9"/>
  </r>
  <r>
    <s v="0555"/>
    <n v="990"/>
    <s v="Agencia Información"/>
    <s v="Educación"/>
    <n v="4"/>
    <x v="37"/>
    <x v="1"/>
    <x v="1"/>
    <x v="4"/>
    <x v="1"/>
    <x v="56"/>
    <s v="Periodo 2014 - 2019"/>
    <s v="Puntaje"/>
    <s v="Agencia de Calidad de la Educación"/>
    <s v="Evolución del Indicador de Participación y formación ciudadana por Dependencia de Establecimientos en la Región de Coquimbo para el Periodo 2014 - 2019"/>
    <m/>
    <s v="Gráfico de Evolución"/>
    <s v="Región de Coquimbo calidad educación puntaje municipal subvencionado corporación particular indicador participación formación ciudadana"/>
    <s v="PENDIENTE"/>
    <x v="4"/>
    <s v="#1774B9"/>
  </r>
  <r>
    <s v="0556"/>
    <n v="990"/>
    <s v="Agencia Información"/>
    <s v="Educación"/>
    <n v="5"/>
    <x v="37"/>
    <x v="1"/>
    <x v="1"/>
    <x v="5"/>
    <x v="1"/>
    <x v="56"/>
    <s v="Periodo 2014 - 2019"/>
    <s v="Puntaje"/>
    <s v="Agencia de Calidad de la Educación"/>
    <s v="Evolución del Indicador de Participación y formación ciudadana por Dependencia de Establecimientos en la Región de Valparaíso para el Periodo 2014 - 2019"/>
    <m/>
    <s v="Gráfico de Evolución"/>
    <s v="Región de Valparaíso calidad educación puntaje municipal subvencionado corporación particular indicador participación formación ciudadana"/>
    <s v="PENDIENTE"/>
    <x v="5"/>
    <s v="#1774B9"/>
  </r>
  <r>
    <s v="0557"/>
    <n v="990"/>
    <s v="Agencia Información"/>
    <s v="Educación"/>
    <n v="6"/>
    <x v="37"/>
    <x v="1"/>
    <x v="1"/>
    <x v="6"/>
    <x v="1"/>
    <x v="56"/>
    <s v="Periodo 2014 - 2019"/>
    <s v="Puntaje"/>
    <s v="Agencia de Calidad de la Educación"/>
    <s v="Evolución del Indicador de Participación y formación ciudadana por Dependencia de Establecimientos en la Región de O'Higgins para el Periodo 2014 - 2019"/>
    <m/>
    <s v="Gráfico de Evolución"/>
    <s v="Región de O'Higgins calidad educación puntaje municipal subvencionado corporación particular indicador participación formación ciudadana"/>
    <s v="PENDIENTE"/>
    <x v="6"/>
    <s v="#1774B9"/>
  </r>
  <r>
    <s v="0558"/>
    <n v="990"/>
    <s v="Agencia Información"/>
    <s v="Educación"/>
    <n v="7"/>
    <x v="37"/>
    <x v="1"/>
    <x v="1"/>
    <x v="7"/>
    <x v="1"/>
    <x v="56"/>
    <s v="Periodo 2014 - 2019"/>
    <s v="Puntaje"/>
    <s v="Agencia de Calidad de la Educación"/>
    <s v="Evolución del Indicador de Participación y formación ciudadana por Dependencia de Establecimientos en la Región de Maule para el Periodo 2014 - 2019"/>
    <m/>
    <s v="Gráfico de Evolución"/>
    <s v="Región de Maule calidad educación puntaje municipal subvencionado corporación particular indicador participación formación ciudadana"/>
    <s v="PENDIENTE"/>
    <x v="7"/>
    <s v="#1774B9"/>
  </r>
  <r>
    <s v="0559"/>
    <n v="990"/>
    <s v="Agencia Información"/>
    <s v="Educación"/>
    <n v="8"/>
    <x v="37"/>
    <x v="1"/>
    <x v="1"/>
    <x v="8"/>
    <x v="1"/>
    <x v="56"/>
    <s v="Periodo 2014 - 2019"/>
    <s v="Puntaje"/>
    <s v="Agencia de Calidad de la Educación"/>
    <s v="Evolución del Indicador de Participación y formación ciudadana por Dependencia de Establecimientos en la Región del Biobío para el Periodo 2014 - 2019"/>
    <m/>
    <s v="Gráfico de Evolución"/>
    <s v="Región del Biobío calidad educación puntaje municipal subvencionado corporación particular indicador participación formación ciudadana"/>
    <s v="PENDIENTE"/>
    <x v="8"/>
    <s v="#1774B9"/>
  </r>
  <r>
    <s v="0560"/>
    <n v="990"/>
    <s v="Agencia Información"/>
    <s v="Educación"/>
    <n v="9"/>
    <x v="37"/>
    <x v="1"/>
    <x v="1"/>
    <x v="9"/>
    <x v="1"/>
    <x v="56"/>
    <s v="Periodo 2014 - 2019"/>
    <s v="Puntaje"/>
    <s v="Agencia de Calidad de la Educación"/>
    <s v="Evolución del Indicador de Participación y formación ciudadana por Dependencia de Establecimientos en la Región de La Araucanía para el Periodo 2014 - 2019"/>
    <m/>
    <s v="Gráfico de Evolución"/>
    <s v="Región de La Araucanía calidad educación puntaje municipal subvencionado corporación particular indicador participación formación ciudadana"/>
    <s v="PENDIENTE"/>
    <x v="9"/>
    <s v="#1774B9"/>
  </r>
  <r>
    <s v="0561"/>
    <n v="990"/>
    <s v="Agencia Información"/>
    <s v="Educación"/>
    <n v="10"/>
    <x v="37"/>
    <x v="1"/>
    <x v="1"/>
    <x v="10"/>
    <x v="1"/>
    <x v="56"/>
    <s v="Periodo 2014 - 2019"/>
    <s v="Puntaje"/>
    <s v="Agencia de Calidad de la Educación"/>
    <s v="Evolución del Indicador de Participación y formación ciudadana por Dependencia de Establecimientos en la Región de Los Lagos para el Periodo 2014 - 2019"/>
    <m/>
    <s v="Gráfico de Evolución"/>
    <s v="Región de Los Lagos calidad educación puntaje municipal subvencionado corporación particular indicador participación formación ciudadana"/>
    <s v="PENDIENTE"/>
    <x v="10"/>
    <s v="#1774B9"/>
  </r>
  <r>
    <s v="0562"/>
    <n v="990"/>
    <s v="Agencia Información"/>
    <s v="Educación"/>
    <n v="11"/>
    <x v="37"/>
    <x v="1"/>
    <x v="1"/>
    <x v="11"/>
    <x v="1"/>
    <x v="56"/>
    <s v="Periodo 2014 - 2019"/>
    <s v="Puntaje"/>
    <s v="Agencia de Calidad de la Educación"/>
    <s v="Evolución del Indicador de Participación y formación ciudadana por Dependencia de Establecimientos en la Región de Aysén para el Periodo 2014 - 2019"/>
    <m/>
    <s v="Gráfico de Evolución"/>
    <s v="Región de Aysén calidad educación puntaje municipal subvencionado corporación particular indicador participación formación ciudadana"/>
    <s v="PENDIENTE"/>
    <x v="11"/>
    <s v="#1774B9"/>
  </r>
  <r>
    <s v="0563"/>
    <n v="990"/>
    <s v="Agencia Información"/>
    <s v="Educación"/>
    <n v="12"/>
    <x v="37"/>
    <x v="1"/>
    <x v="1"/>
    <x v="12"/>
    <x v="1"/>
    <x v="56"/>
    <s v="Periodo 2014 - 2019"/>
    <s v="Puntaje"/>
    <s v="Agencia de Calidad de la Educación"/>
    <s v="Evolución del Indicador de Participación y formación ciudadana por Dependencia de Establecimientos en la Región de Magallanes para el Periodo 2014 - 2019"/>
    <m/>
    <s v="Gráfico de Evolución"/>
    <s v="Región de Magallanes calidad educación puntaje municipal subvencionado corporación particular indicador participación formación ciudadana"/>
    <s v="PENDIENTE"/>
    <x v="12"/>
    <s v="#1774B9"/>
  </r>
  <r>
    <s v="0564"/>
    <n v="990"/>
    <s v="Agencia Información"/>
    <s v="Educación"/>
    <n v="13"/>
    <x v="37"/>
    <x v="1"/>
    <x v="1"/>
    <x v="13"/>
    <x v="1"/>
    <x v="56"/>
    <s v="Periodo 2014 - 2019"/>
    <s v="Puntaje"/>
    <s v="Agencia de Calidad de la Educación"/>
    <s v="Evolución del Indicador de Participación y formación ciudadana por Dependencia de Establecimientos en la Región Metropolitana para el Periodo 2014 - 2019"/>
    <m/>
    <s v="Gráfico de Evolución"/>
    <s v="Región Metropolitana calidad educación puntaje municipal subvencionado corporación particular indicador participación formación ciudadana"/>
    <s v="PENDIENTE"/>
    <x v="13"/>
    <s v="#1774B9"/>
  </r>
  <r>
    <s v="0565"/>
    <n v="990"/>
    <s v="Agencia Información"/>
    <s v="Educación"/>
    <n v="14"/>
    <x v="37"/>
    <x v="1"/>
    <x v="1"/>
    <x v="14"/>
    <x v="1"/>
    <x v="56"/>
    <s v="Periodo 2014 - 2019"/>
    <s v="Puntaje"/>
    <s v="Agencia de Calidad de la Educación"/>
    <s v="Evolución del Indicador de Participación y formación ciudadana por Dependencia de Establecimientos en la Región de Los Ríos para el Periodo 2014 - 2019"/>
    <m/>
    <s v="Gráfico de Evolución"/>
    <s v="Región de Los Ríos calidad educación puntaje municipal subvencionado corporación particular indicador participación formación ciudadana"/>
    <s v="PENDIENTE"/>
    <x v="14"/>
    <s v="#1774B9"/>
  </r>
  <r>
    <s v="0566"/>
    <n v="990"/>
    <s v="Agencia Información"/>
    <s v="Educación"/>
    <n v="15"/>
    <x v="37"/>
    <x v="1"/>
    <x v="1"/>
    <x v="15"/>
    <x v="1"/>
    <x v="56"/>
    <s v="Periodo 2014 - 2019"/>
    <s v="Puntaje"/>
    <s v="Agencia de Calidad de la Educación"/>
    <s v="Evolución del Indicador de Participación y formación ciudadana por Dependencia de Establecimientos en la Región de Arica y Parinacota para el Periodo 2014 - 2019"/>
    <m/>
    <s v="Gráfico de Evolución"/>
    <s v="Región de Arica y Parinacota calidad educación puntaje municipal subvencionado corporación particular indicador participación formación ciudadana"/>
    <s v="PENDIENTE"/>
    <x v="15"/>
    <s v="#1774B9"/>
  </r>
  <r>
    <s v="0567"/>
    <n v="990"/>
    <s v="Agencia Información"/>
    <s v="Educación"/>
    <n v="16"/>
    <x v="37"/>
    <x v="1"/>
    <x v="1"/>
    <x v="16"/>
    <x v="1"/>
    <x v="56"/>
    <s v="Periodo 2014 - 2019"/>
    <s v="Puntaje"/>
    <s v="Agencia de Calidad de la Educación"/>
    <s v="Evolución del Indicador de Participación y formación ciudadana por Dependencia de Establecimientos en la Región de Ñuble para el Periodo 2014 - 2019"/>
    <m/>
    <s v="Gráfico de Evolución"/>
    <s v="Región de Ñuble calidad educación puntaje municipal subvencionado corporación particular indicador participación formación ciudadana"/>
    <s v="PENDIENTE"/>
    <x v="16"/>
    <s v="#1774B9"/>
  </r>
  <r>
    <s v="0568"/>
    <n v="990"/>
    <s v="Agencia Información"/>
    <s v="Mujeres"/>
    <n v="0"/>
    <x v="38"/>
    <x v="2"/>
    <x v="0"/>
    <x v="0"/>
    <x v="0"/>
    <x v="57"/>
    <s v="Periodo 2010-2021"/>
    <s v="Número de víctimas"/>
    <s v="POR DEFINIR"/>
    <s v="Edad de Víctimas de Femicidios en Chile para el Periodo 2010-2021"/>
    <s v="Entre los 0 y 95 años se registran victimas de femicidio a partir del año 2010 a la fecha, concentrándose la mayor cantidad de víctimas en el rango etario comprendido entre los 16 y los 54 años."/>
    <s v="Gráfico"/>
    <s v="Chile femicidio edad víctima mujer"/>
    <s v="https://analytics.zoho.com/open-view/2395394000007849686"/>
    <x v="0"/>
    <s v="#1774B9"/>
  </r>
  <r>
    <s v="0569"/>
    <n v="990"/>
    <s v="Agencia Información"/>
    <s v="Mujeres"/>
    <n v="1"/>
    <x v="38"/>
    <x v="2"/>
    <x v="1"/>
    <x v="1"/>
    <x v="0"/>
    <x v="57"/>
    <s v="Periodo 2010-2021"/>
    <s v="Número de víctimas"/>
    <s v="POR DEFINIR"/>
    <s v="Edad de Víctimas de Femicidios en la Región de Tarapacá para el Periodo 2010-2021"/>
    <m/>
    <s v="Gráfico"/>
    <s v="Región de Tarapacá femicidio edad víctima mujer"/>
    <s v="PENDIENTE"/>
    <x v="1"/>
    <s v="#1774B9"/>
  </r>
  <r>
    <s v="0570"/>
    <n v="990"/>
    <s v="Agencia Información"/>
    <s v="Mujeres"/>
    <n v="2"/>
    <x v="38"/>
    <x v="2"/>
    <x v="1"/>
    <x v="2"/>
    <x v="0"/>
    <x v="57"/>
    <s v="Periodo 2010-2021"/>
    <s v="Número de víctimas"/>
    <s v="POR DEFINIR"/>
    <s v="Edad de Víctimas de Femicidios en la Región de Antofagasta para el Periodo 2010-2021"/>
    <m/>
    <s v="Gráfico"/>
    <s v="Región de Antofagasta femicidio edad víctima mujer"/>
    <s v="PENDIENTE"/>
    <x v="2"/>
    <s v="#1774B9"/>
  </r>
  <r>
    <s v="0571"/>
    <n v="990"/>
    <s v="Agencia Información"/>
    <s v="Mujeres"/>
    <n v="3"/>
    <x v="38"/>
    <x v="2"/>
    <x v="1"/>
    <x v="3"/>
    <x v="0"/>
    <x v="57"/>
    <s v="Periodo 2010-2021"/>
    <s v="Número de víctimas"/>
    <s v="POR DEFINIR"/>
    <s v="Edad de Víctimas de Femicidios en la Región de Atacama para el Periodo 2010-2021"/>
    <m/>
    <s v="Gráfico"/>
    <s v="Región de Atacama femicidio edad víctima mujer"/>
    <s v="PENDIENTE"/>
    <x v="3"/>
    <s v="#1774B9"/>
  </r>
  <r>
    <s v="0572"/>
    <n v="990"/>
    <s v="Agencia Información"/>
    <s v="Mujeres"/>
    <n v="4"/>
    <x v="38"/>
    <x v="2"/>
    <x v="1"/>
    <x v="4"/>
    <x v="0"/>
    <x v="57"/>
    <s v="Periodo 2010-2021"/>
    <s v="Número de víctimas"/>
    <s v="POR DEFINIR"/>
    <s v="Edad de Víctimas de Femicidios en la Región de Coquimbo para el Periodo 2010-2021"/>
    <m/>
    <s v="Gráfico"/>
    <s v="Región de Coquimbo femicidio edad víctima mujer"/>
    <s v="PENDIENTE"/>
    <x v="4"/>
    <s v="#1774B9"/>
  </r>
  <r>
    <s v="0573"/>
    <n v="990"/>
    <s v="Agencia Información"/>
    <s v="Mujeres"/>
    <n v="5"/>
    <x v="38"/>
    <x v="2"/>
    <x v="1"/>
    <x v="5"/>
    <x v="0"/>
    <x v="57"/>
    <s v="Periodo 2010-2021"/>
    <s v="Número de víctimas"/>
    <s v="POR DEFINIR"/>
    <s v="Edad de Víctimas de Femicidios en la Región de Valparaíso para el Periodo 2010-2021"/>
    <m/>
    <s v="Gráfico"/>
    <s v="Región de Valparaíso femicidio edad víctima mujer"/>
    <s v="PENDIENTE"/>
    <x v="5"/>
    <s v="#1774B9"/>
  </r>
  <r>
    <s v="0574"/>
    <n v="990"/>
    <s v="Agencia Información"/>
    <s v="Mujeres"/>
    <n v="6"/>
    <x v="38"/>
    <x v="2"/>
    <x v="1"/>
    <x v="6"/>
    <x v="0"/>
    <x v="57"/>
    <s v="Periodo 2010-2021"/>
    <s v="Número de víctimas"/>
    <s v="POR DEFINIR"/>
    <s v="Edad de Víctimas de Femicidios en la Región de O'Higgins para el Periodo 2010-2021"/>
    <m/>
    <s v="Gráfico"/>
    <s v="Región de O'Higgins femicidio edad víctima mujer"/>
    <s v="PENDIENTE"/>
    <x v="6"/>
    <s v="#1774B9"/>
  </r>
  <r>
    <s v="0575"/>
    <n v="990"/>
    <s v="Agencia Información"/>
    <s v="Mujeres"/>
    <n v="7"/>
    <x v="38"/>
    <x v="2"/>
    <x v="1"/>
    <x v="7"/>
    <x v="0"/>
    <x v="57"/>
    <s v="Periodo 2010-2021"/>
    <s v="Número de víctimas"/>
    <s v="POR DEFINIR"/>
    <s v="Edad de Víctimas de Femicidios en la Región de Maule para el Periodo 2010-2021"/>
    <m/>
    <s v="Gráfico"/>
    <s v="Región de Maule femicidio edad víctima mujer"/>
    <s v="PENDIENTE"/>
    <x v="7"/>
    <s v="#1774B9"/>
  </r>
  <r>
    <s v="0576"/>
    <n v="990"/>
    <s v="Agencia Información"/>
    <s v="Mujeres"/>
    <n v="8"/>
    <x v="38"/>
    <x v="2"/>
    <x v="1"/>
    <x v="8"/>
    <x v="0"/>
    <x v="57"/>
    <s v="Periodo 2010-2021"/>
    <s v="Número de víctimas"/>
    <s v="POR DEFINIR"/>
    <s v="Edad de Víctimas de Femicidios en la Región del Biobío para el Periodo 2010-2021"/>
    <m/>
    <s v="Gráfico"/>
    <s v="Región del Biobío femicidio edad víctima mujer"/>
    <s v="PENDIENTE"/>
    <x v="8"/>
    <s v="#1774B9"/>
  </r>
  <r>
    <s v="0577"/>
    <n v="990"/>
    <s v="Agencia Información"/>
    <s v="Mujeres"/>
    <n v="9"/>
    <x v="38"/>
    <x v="2"/>
    <x v="1"/>
    <x v="9"/>
    <x v="0"/>
    <x v="57"/>
    <s v="Periodo 2010-2021"/>
    <s v="Número de víctimas"/>
    <s v="POR DEFINIR"/>
    <s v="Edad de Víctimas de Femicidios en la Región de La Araucanía para el Periodo 2010-2021"/>
    <m/>
    <s v="Gráfico"/>
    <s v="Región de La Araucanía femicidio edad víctima mujer"/>
    <s v="PENDIENTE"/>
    <x v="9"/>
    <s v="#1774B9"/>
  </r>
  <r>
    <s v="0578"/>
    <n v="990"/>
    <s v="Agencia Información"/>
    <s v="Mujeres"/>
    <n v="10"/>
    <x v="38"/>
    <x v="2"/>
    <x v="1"/>
    <x v="10"/>
    <x v="0"/>
    <x v="57"/>
    <s v="Periodo 2010-2021"/>
    <s v="Número de víctimas"/>
    <s v="POR DEFINIR"/>
    <s v="Edad de Víctimas de Femicidios en la Región de Los Lagos para el Periodo 2010-2021"/>
    <m/>
    <s v="Gráfico"/>
    <s v="Región de Los Lagos femicidio edad víctima mujer"/>
    <s v="PENDIENTE"/>
    <x v="10"/>
    <s v="#1774B9"/>
  </r>
  <r>
    <s v="0579"/>
    <n v="990"/>
    <s v="Agencia Información"/>
    <s v="Mujeres"/>
    <n v="11"/>
    <x v="38"/>
    <x v="2"/>
    <x v="1"/>
    <x v="11"/>
    <x v="0"/>
    <x v="57"/>
    <s v="Periodo 2010-2021"/>
    <s v="Número de víctimas"/>
    <s v="POR DEFINIR"/>
    <s v="Edad de Víctimas de Femicidios en la Región de Aysén para el Periodo 2010-2021"/>
    <m/>
    <s v="Gráfico"/>
    <s v="Región de Aysén femicidio edad víctima mujer"/>
    <s v="PENDIENTE"/>
    <x v="11"/>
    <s v="#1774B9"/>
  </r>
  <r>
    <s v="0580"/>
    <n v="990"/>
    <s v="Agencia Información"/>
    <s v="Mujeres"/>
    <n v="12"/>
    <x v="38"/>
    <x v="2"/>
    <x v="1"/>
    <x v="12"/>
    <x v="0"/>
    <x v="57"/>
    <s v="Periodo 2010-2021"/>
    <s v="Número de víctimas"/>
    <s v="POR DEFINIR"/>
    <s v="Edad de Víctimas de Femicidios en la Región de Magallanes para el Periodo 2010-2021"/>
    <m/>
    <s v="Gráfico"/>
    <s v="Región de Magallanes femicidio edad víctima mujer"/>
    <s v="PENDIENTE"/>
    <x v="12"/>
    <s v="#1774B9"/>
  </r>
  <r>
    <s v="0581"/>
    <n v="990"/>
    <s v="Agencia Información"/>
    <s v="Mujeres"/>
    <n v="13"/>
    <x v="38"/>
    <x v="2"/>
    <x v="1"/>
    <x v="13"/>
    <x v="0"/>
    <x v="57"/>
    <s v="Periodo 2010-2021"/>
    <s v="Número de víctimas"/>
    <s v="POR DEFINIR"/>
    <s v="Edad de Víctimas de Femicidios en la Región Metropolitana para el Periodo 2010-2021"/>
    <m/>
    <s v="Gráfico"/>
    <s v="Región Metropolitana femicidio edad víctima mujer"/>
    <s v="PENDIENTE"/>
    <x v="13"/>
    <s v="#1774B9"/>
  </r>
  <r>
    <s v="0582"/>
    <n v="990"/>
    <s v="Agencia Información"/>
    <s v="Mujeres"/>
    <n v="14"/>
    <x v="38"/>
    <x v="2"/>
    <x v="1"/>
    <x v="14"/>
    <x v="0"/>
    <x v="57"/>
    <s v="Periodo 2010-2021"/>
    <s v="Número de víctimas"/>
    <s v="POR DEFINIR"/>
    <s v="Edad de Víctimas de Femicidios en la Región de Los Ríos para el Periodo 2010-2021"/>
    <m/>
    <s v="Gráfico"/>
    <s v="Región de Los Ríos femicidio edad víctima mujer"/>
    <s v="PENDIENTE"/>
    <x v="14"/>
    <s v="#1774B9"/>
  </r>
  <r>
    <s v="0583"/>
    <n v="990"/>
    <s v="Agencia Información"/>
    <s v="Mujeres"/>
    <n v="15"/>
    <x v="38"/>
    <x v="2"/>
    <x v="1"/>
    <x v="15"/>
    <x v="0"/>
    <x v="57"/>
    <s v="Periodo 2010-2021"/>
    <s v="Número de víctimas"/>
    <s v="POR DEFINIR"/>
    <s v="Edad de Víctimas de Femicidios en la Región de Arica y Parinacota para el Periodo 2010-2021"/>
    <m/>
    <s v="Gráfico"/>
    <s v="Región de Arica y Parinacota femicidio edad víctima mujer"/>
    <s v="PENDIENTE"/>
    <x v="15"/>
    <s v="#1774B9"/>
  </r>
  <r>
    <s v="0584"/>
    <n v="990"/>
    <s v="Agencia Información"/>
    <s v="Mujeres"/>
    <n v="16"/>
    <x v="38"/>
    <x v="2"/>
    <x v="1"/>
    <x v="16"/>
    <x v="0"/>
    <x v="57"/>
    <s v="Periodo 2010-2021"/>
    <s v="Número de víctimas"/>
    <s v="POR DEFINIR"/>
    <s v="Edad de Víctimas de Femicidios en la Región de Ñuble para el Periodo 2010-2021"/>
    <m/>
    <s v="Gráfico"/>
    <s v="Región de Ñuble femicidio edad víctima mujer"/>
    <s v="PENDIENTE"/>
    <x v="16"/>
    <s v="#1774B9"/>
  </r>
  <r>
    <s v="0585"/>
    <n v="990"/>
    <s v="Agencia Información"/>
    <s v="Mujeres"/>
    <n v="0"/>
    <x v="38"/>
    <x v="2"/>
    <x v="0"/>
    <x v="0"/>
    <x v="0"/>
    <x v="58"/>
    <s v="Periodo 2010-2021"/>
    <s v="Número de víctimas"/>
    <s v="Red Chilena contra la violencia hacia la Mujer"/>
    <s v="Relación Víctima-Femicida en Chile para el Periodo 2010-2021"/>
    <s v="La mayor cantidad de femicidios se llevan a cabo por los convivientes, cónyuges, ex convivientes o ex cónyuges."/>
    <s v="Nube de palabras"/>
    <s v="Chile femicidio víctima mujer conviviente cónyuge pareja ex relación femicida"/>
    <s v="https://analytics.zoho.com/open-view/2395394000007849604"/>
    <x v="0"/>
    <s v="#1774B9"/>
  </r>
  <r>
    <s v="0586"/>
    <n v="990"/>
    <s v="Agencia Información"/>
    <s v="Mujeres"/>
    <n v="1"/>
    <x v="38"/>
    <x v="2"/>
    <x v="1"/>
    <x v="1"/>
    <x v="1"/>
    <x v="58"/>
    <s v="Periodo 2010-2021"/>
    <s v="Número de víctimas"/>
    <s v="Red Chilena contra la violencia hacia la Mujer"/>
    <s v="Relación Víctima-Femicida en la Región de Tarapacá para el Periodo 2010-2021"/>
    <m/>
    <s v="Nube de palabras"/>
    <s v="Región de Tarapacá femicidio víctima mujer conviviente cónyuge pareja ex relación femicida"/>
    <s v="PENDIENTE"/>
    <x v="1"/>
    <s v="#1774B9"/>
  </r>
  <r>
    <s v="0587"/>
    <n v="990"/>
    <s v="Agencia Información"/>
    <s v="Mujeres"/>
    <n v="2"/>
    <x v="38"/>
    <x v="2"/>
    <x v="1"/>
    <x v="2"/>
    <x v="1"/>
    <x v="58"/>
    <s v="Periodo 2010-2021"/>
    <s v="Número de víctimas"/>
    <s v="Red Chilena contra la violencia hacia la Mujer"/>
    <s v="Relación Víctima-Femicida en la Región de Antofagasta para el Periodo 2010-2021"/>
    <m/>
    <s v="Nube de palabras"/>
    <s v="Región de Antofagasta femicidio víctima mujer conviviente cónyuge pareja ex relación femicida"/>
    <s v="PENDIENTE"/>
    <x v="2"/>
    <s v="#1774B9"/>
  </r>
  <r>
    <s v="0588"/>
    <n v="990"/>
    <s v="Agencia Información"/>
    <s v="Mujeres"/>
    <n v="3"/>
    <x v="38"/>
    <x v="2"/>
    <x v="1"/>
    <x v="3"/>
    <x v="1"/>
    <x v="58"/>
    <s v="Periodo 2010-2021"/>
    <s v="Número de víctimas"/>
    <s v="Red Chilena contra la violencia hacia la Mujer"/>
    <s v="Relación Víctima-Femicida en la Región de Atacama para el Periodo 2010-2021"/>
    <m/>
    <s v="Nube de palabras"/>
    <s v="Región de Atacama femicidio víctima mujer conviviente cónyuge pareja ex relación femicida"/>
    <s v="PENDIENTE"/>
    <x v="3"/>
    <s v="#1774B9"/>
  </r>
  <r>
    <s v="0589"/>
    <n v="990"/>
    <s v="Agencia Información"/>
    <s v="Mujeres"/>
    <n v="4"/>
    <x v="38"/>
    <x v="2"/>
    <x v="1"/>
    <x v="4"/>
    <x v="1"/>
    <x v="58"/>
    <s v="Periodo 2010-2021"/>
    <s v="Número de víctimas"/>
    <s v="Red Chilena contra la violencia hacia la Mujer"/>
    <s v="Relación Víctima-Femicida en la Región de Coquimbo para el Periodo 2010-2021"/>
    <m/>
    <s v="Nube de palabras"/>
    <s v="Región de Coquimbo femicidio víctima mujer conviviente cónyuge pareja ex relación femicida"/>
    <s v="PENDIENTE"/>
    <x v="4"/>
    <s v="#1774B9"/>
  </r>
  <r>
    <s v="0590"/>
    <n v="990"/>
    <s v="Agencia Información"/>
    <s v="Mujeres"/>
    <n v="5"/>
    <x v="38"/>
    <x v="2"/>
    <x v="1"/>
    <x v="5"/>
    <x v="1"/>
    <x v="58"/>
    <s v="Periodo 2010-2021"/>
    <s v="Número de víctimas"/>
    <s v="Red Chilena contra la violencia hacia la Mujer"/>
    <s v="Relación Víctima-Femicida en la Región de Valparaíso para el Periodo 2010-2021"/>
    <m/>
    <s v="Nube de palabras"/>
    <s v="Región de Valparaíso femicidio víctima mujer conviviente cónyuge pareja ex relación femicida"/>
    <s v="PENDIENTE"/>
    <x v="5"/>
    <s v="#1774B9"/>
  </r>
  <r>
    <s v="0591"/>
    <n v="990"/>
    <s v="Agencia Información"/>
    <s v="Mujeres"/>
    <n v="6"/>
    <x v="38"/>
    <x v="2"/>
    <x v="1"/>
    <x v="6"/>
    <x v="1"/>
    <x v="58"/>
    <s v="Periodo 2010-2021"/>
    <s v="Número de víctimas"/>
    <s v="Red Chilena contra la violencia hacia la Mujer"/>
    <s v="Relación Víctima-Femicida en la Región de O'Higgins para el Periodo 2010-2021"/>
    <m/>
    <s v="Nube de palabras"/>
    <s v="Región de O'Higgins femicidio víctima mujer conviviente cónyuge pareja ex relación femicida"/>
    <s v="PENDIENTE"/>
    <x v="6"/>
    <s v="#1774B9"/>
  </r>
  <r>
    <s v="0592"/>
    <n v="990"/>
    <s v="Agencia Información"/>
    <s v="Mujeres"/>
    <n v="7"/>
    <x v="38"/>
    <x v="2"/>
    <x v="1"/>
    <x v="7"/>
    <x v="1"/>
    <x v="58"/>
    <s v="Periodo 2010-2021"/>
    <s v="Número de víctimas"/>
    <s v="Red Chilena contra la violencia hacia la Mujer"/>
    <s v="Relación Víctima-Femicida en la Región de Maule para el Periodo 2010-2021"/>
    <m/>
    <s v="Nube de palabras"/>
    <s v="Región de Maule femicidio víctima mujer conviviente cónyuge pareja ex relación femicida"/>
    <s v="PENDIENTE"/>
    <x v="7"/>
    <s v="#1774B9"/>
  </r>
  <r>
    <s v="0593"/>
    <n v="990"/>
    <s v="Agencia Información"/>
    <s v="Mujeres"/>
    <n v="8"/>
    <x v="38"/>
    <x v="2"/>
    <x v="1"/>
    <x v="8"/>
    <x v="1"/>
    <x v="58"/>
    <s v="Periodo 2010-2021"/>
    <s v="Número de víctimas"/>
    <s v="Red Chilena contra la violencia hacia la Mujer"/>
    <s v="Relación Víctima-Femicida en la Región del Biobío para el Periodo 2010-2021"/>
    <m/>
    <s v="Nube de palabras"/>
    <s v="Región del Biobío femicidio víctima mujer conviviente cónyuge pareja ex relación femicida"/>
    <s v="PENDIENTE"/>
    <x v="8"/>
    <s v="#1774B9"/>
  </r>
  <r>
    <s v="0594"/>
    <n v="990"/>
    <s v="Agencia Información"/>
    <s v="Mujeres"/>
    <n v="9"/>
    <x v="38"/>
    <x v="2"/>
    <x v="1"/>
    <x v="9"/>
    <x v="1"/>
    <x v="58"/>
    <s v="Periodo 2010-2021"/>
    <s v="Número de víctimas"/>
    <s v="Red Chilena contra la violencia hacia la Mujer"/>
    <s v="Relación Víctima-Femicida en la Región de La Araucanía para el Periodo 2010-2021"/>
    <m/>
    <s v="Nube de palabras"/>
    <s v="Región de La Araucanía femicidio víctima mujer conviviente cónyuge pareja ex relación femicida"/>
    <s v="PENDIENTE"/>
    <x v="9"/>
    <s v="#1774B9"/>
  </r>
  <r>
    <s v="0595"/>
    <n v="990"/>
    <s v="Agencia Información"/>
    <s v="Mujeres"/>
    <n v="10"/>
    <x v="38"/>
    <x v="2"/>
    <x v="1"/>
    <x v="10"/>
    <x v="1"/>
    <x v="58"/>
    <s v="Periodo 2010-2021"/>
    <s v="Número de víctimas"/>
    <s v="Red Chilena contra la violencia hacia la Mujer"/>
    <s v="Relación Víctima-Femicida en la Región de Los Lagos para el Periodo 2010-2021"/>
    <m/>
    <s v="Nube de palabras"/>
    <s v="Región de Los Lagos femicidio víctima mujer conviviente cónyuge pareja ex relación femicida"/>
    <s v="PENDIENTE"/>
    <x v="10"/>
    <s v="#1774B9"/>
  </r>
  <r>
    <s v="0596"/>
    <n v="990"/>
    <s v="Agencia Información"/>
    <s v="Mujeres"/>
    <n v="11"/>
    <x v="38"/>
    <x v="2"/>
    <x v="1"/>
    <x v="11"/>
    <x v="1"/>
    <x v="58"/>
    <s v="Periodo 2010-2021"/>
    <s v="Número de víctimas"/>
    <s v="Red Chilena contra la violencia hacia la Mujer"/>
    <s v="Relación Víctima-Femicida en la Región de Aysén para el Periodo 2010-2021"/>
    <m/>
    <s v="Nube de palabras"/>
    <s v="Región de Aysén femicidio víctima mujer conviviente cónyuge pareja ex relación femicida"/>
    <s v="PENDIENTE"/>
    <x v="11"/>
    <s v="#1774B9"/>
  </r>
  <r>
    <s v="0597"/>
    <n v="990"/>
    <s v="Agencia Información"/>
    <s v="Mujeres"/>
    <n v="12"/>
    <x v="38"/>
    <x v="2"/>
    <x v="1"/>
    <x v="12"/>
    <x v="1"/>
    <x v="58"/>
    <s v="Periodo 2010-2021"/>
    <s v="Número de víctimas"/>
    <s v="Red Chilena contra la violencia hacia la Mujer"/>
    <s v="Relación Víctima-Femicida en la Región de Magallanes para el Periodo 2010-2021"/>
    <m/>
    <s v="Nube de palabras"/>
    <s v="Región de Magallanes femicidio víctima mujer conviviente cónyuge pareja ex relación femicida"/>
    <s v="PENDIENTE"/>
    <x v="12"/>
    <s v="#1774B9"/>
  </r>
  <r>
    <s v="0598"/>
    <n v="990"/>
    <s v="Agencia Información"/>
    <s v="Mujeres"/>
    <n v="13"/>
    <x v="38"/>
    <x v="2"/>
    <x v="1"/>
    <x v="13"/>
    <x v="1"/>
    <x v="58"/>
    <s v="Periodo 2010-2021"/>
    <s v="Número de víctimas"/>
    <s v="Red Chilena contra la violencia hacia la Mujer"/>
    <s v="Relación Víctima-Femicida en la Región Metropolitana para el Periodo 2010-2021"/>
    <m/>
    <s v="Nube de palabras"/>
    <s v="Región Metropolitana femicidio víctima mujer conviviente cónyuge pareja ex relación femicida"/>
    <s v="PENDIENTE"/>
    <x v="13"/>
    <s v="#1774B9"/>
  </r>
  <r>
    <s v="0599"/>
    <n v="990"/>
    <s v="Agencia Información"/>
    <s v="Mujeres"/>
    <n v="14"/>
    <x v="38"/>
    <x v="2"/>
    <x v="1"/>
    <x v="14"/>
    <x v="1"/>
    <x v="58"/>
    <s v="Periodo 2010-2021"/>
    <s v="Número de víctimas"/>
    <s v="Red Chilena contra la violencia hacia la Mujer"/>
    <s v="Relación Víctima-Femicida en la Región de Los Ríos para el Periodo 2010-2021"/>
    <m/>
    <s v="Nube de palabras"/>
    <s v="Región de Los Ríos femicidio víctima mujer conviviente cónyuge pareja ex relación femicida"/>
    <s v="PENDIENTE"/>
    <x v="14"/>
    <s v="#1774B9"/>
  </r>
  <r>
    <s v="0600"/>
    <n v="990"/>
    <s v="Agencia Información"/>
    <s v="Mujeres"/>
    <n v="15"/>
    <x v="38"/>
    <x v="2"/>
    <x v="1"/>
    <x v="15"/>
    <x v="1"/>
    <x v="58"/>
    <s v="Periodo 2010-2021"/>
    <s v="Número de víctimas"/>
    <s v="Red Chilena contra la violencia hacia la Mujer"/>
    <s v="Relación Víctima-Femicida en la Región de Arica y Parinacota para el Periodo 2010-2021"/>
    <m/>
    <s v="Nube de palabras"/>
    <s v="Región de Arica y Parinacota femicidio víctima mujer conviviente cónyuge pareja ex relación femicida"/>
    <s v="PENDIENTE"/>
    <x v="15"/>
    <s v="#1774B9"/>
  </r>
  <r>
    <s v="0601"/>
    <n v="990"/>
    <s v="Agencia Información"/>
    <s v="Mujeres"/>
    <n v="16"/>
    <x v="38"/>
    <x v="2"/>
    <x v="1"/>
    <x v="16"/>
    <x v="1"/>
    <x v="58"/>
    <s v="Periodo 2010-2021"/>
    <s v="Número de víctimas"/>
    <s v="Red Chilena contra la violencia hacia la Mujer"/>
    <s v="Relación Víctima-Femicida en la Región de Ñuble para el Periodo 2010-2021"/>
    <m/>
    <s v="Nube de palabras"/>
    <s v="Región de Ñuble femicidio víctima mujer conviviente cónyuge pareja ex relación femicida"/>
    <s v="PENDIENTE"/>
    <x v="16"/>
    <s v="#1774B9"/>
  </r>
  <r>
    <s v="0602"/>
    <n v="990"/>
    <s v="Agencia Información"/>
    <s v="Mujeres"/>
    <n v="0"/>
    <x v="38"/>
    <x v="2"/>
    <x v="0"/>
    <x v="0"/>
    <x v="1"/>
    <x v="59"/>
    <s v="Periodo 2018-2021"/>
    <s v="Número de víctimas"/>
    <s v="Ministerio de la Mujer y Equidad de Género (MINMEG)"/>
    <s v="Evolución Comparada Anual de Femicidios en Chile para el Periodo 2018-2021"/>
    <s v="Comparando los últimos 4 años, coincide el número de víctimas registradas a finales del primer semestre, las que bordean los 20 casos."/>
    <s v="Gráfico"/>
    <s v="Chile femicidio víctima mujer semestre año"/>
    <s v="https://analytics.zoho.com/open-view/2395394000007774595"/>
    <x v="34"/>
    <s v="#1774B9"/>
  </r>
  <r>
    <s v="0603"/>
    <n v="990"/>
    <s v="Agencia Información"/>
    <s v="Mujeres"/>
    <n v="0"/>
    <x v="38"/>
    <x v="2"/>
    <x v="0"/>
    <x v="0"/>
    <x v="9"/>
    <x v="59"/>
    <s v="Periodo 2010-2021"/>
    <s v="Número de víctimas"/>
    <s v="Red Chilena contra la violencia hacia la Mujer"/>
    <s v="Evolución de Femicidios por mes en Chile para el Periodo 2010-2021"/>
    <s v="El mes de marzo del año 2016 es el que registra un mayor número de víctimas de femicidio, con 11 casos. Lo siguen el mes de octubre del mismo año, diciembre de 2010 y mayo de 2015, con 10 casos. Por su parte, el mes de Septiembre es el que registra menos casos a lo largo de los años, sin embargo la línea de tendencia muestra una ocurrencia promedio de 5 víctimas al mes."/>
    <s v="Gráfico"/>
    <s v="Chile femicidio víctima mujer mes año tendencia"/>
    <s v="https://analytics.zoho.com/open-view/2395394000006644987"/>
    <x v="34"/>
    <s v="#1774B9"/>
  </r>
  <r>
    <s v="0604"/>
    <n v="990"/>
    <s v="Agencia Información"/>
    <s v="Transporte y tránsito"/>
    <n v="0"/>
    <x v="39"/>
    <x v="22"/>
    <x v="0"/>
    <x v="0"/>
    <x v="1"/>
    <x v="60"/>
    <s v="Periodo 2014-2021"/>
    <s v="Número de vehículos"/>
    <s v="Ministerio de Transportes y Telecomunicaciones"/>
    <s v="Evolución de Parque Vehicular Escolar por Región en Chile para el Periodo 2014-2021"/>
    <s v="Al mes de mayo del año 2021, el parque vehicular escolar registra 26.550 vehículos, siendo la región Metropolitana la que lidera la cifra con un total de 8.268 vehículos. La región del Biobío es la segunda región con la mayor cantidad de estos, alcanzando los 2.974 vehículos."/>
    <s v="Gráfico animado"/>
    <s v="Chile vehículo escolar vehicular evolución cantidad"/>
    <s v="https://public.flourish.studio/visualisation/6688416/"/>
    <x v="34"/>
    <s v="#1774B9"/>
  </r>
  <r>
    <s v="0605"/>
    <n v="990"/>
    <s v="Agencia Información"/>
    <s v="Política y Gobierno"/>
    <n v="0"/>
    <x v="40"/>
    <x v="6"/>
    <x v="0"/>
    <x v="0"/>
    <x v="10"/>
    <x v="61"/>
    <s v="Periodo 1997-2020"/>
    <s v="Grado de desempeño"/>
    <s v="Dirección de Presupuestos (DIPRES)"/>
    <s v="Detalle de programas e instituciones evaluados por ministerio en Chile durante el Periodo 1997-2020"/>
    <s v="Durante los años 1997 y 2020 se evaluaron 621 programas/instituciones del Servicio Público, bajo diferentes modalidades, según el año de evaluación. Las categorías de evaluación son Ajustes menores, Buen desempeño, Desempeño insuficiente, Rediseño sustantivo, Resultados No demostrados, entre otras. En esta última categoría, 19 programas/institución obtuvieron esta clasificación, entre los años 2009 y 2014."/>
    <s v="Dashboard"/>
    <s v="Chile programas desempeño gobierno servicio evaluación instituciones público ministerio"/>
    <s v="https://app.powerbi.com/view?r=eyJrIjoiOTYzMmNhMzUtZjhhZi00ZWU2LTgwMGQtZGJmMjk4MGE3YzE3IiwidCI6IjhmYmFhNWJmLTJlY2MtNGRjOC1iNTZiLThmOTJlMzA3ZjA3NiIsImMiOjR9"/>
    <x v="34"/>
    <s v="#1774B9"/>
  </r>
  <r>
    <s v="0606"/>
    <n v="990"/>
    <s v="Agencia Información"/>
    <s v="Salud"/>
    <n v="0"/>
    <x v="6"/>
    <x v="4"/>
    <x v="0"/>
    <x v="0"/>
    <x v="2"/>
    <x v="62"/>
    <s v="Periodo 2020-2021"/>
    <s v="Número de fallecidos"/>
    <s v="Ministerio de Ciencia, Tecnología, Conocimiento e Innovación"/>
    <s v="Evolución de número de fallecidos por 1 millón de habitantes por comuna en Chile durante el Periodo 2020-2021"/>
    <m/>
    <s v="Gráfico de Evolución"/>
    <s v="Chile COVID-19 región comuna casos activos fallecidos recuperados acumulados evolución"/>
    <s v="https://analytics.zoho.com/open-view/2395394000008117468"/>
    <x v="17"/>
    <s v="#1774B9"/>
  </r>
  <r>
    <s v="0607"/>
    <n v="990"/>
    <s v="Agencia Información"/>
    <s v="Salud"/>
    <n v="1"/>
    <x v="6"/>
    <x v="4"/>
    <x v="1"/>
    <x v="1"/>
    <x v="3"/>
    <x v="62"/>
    <s v="Periodo 2020-2021"/>
    <s v="Número de fallecidos"/>
    <s v="Ministerio de Ciencia, Tecnología, Conocimiento e Innovación"/>
    <s v="Evolución de número de fallecidos por 1 millón de habitantes por comuna en la Región de Tarapacá durante el Periodo 2020-2021"/>
    <s v="La comuna de Iquique, que posee una población de 223.463 habitantes, a la fecha ya supera los 2.300 fallecidos por millón de habitantes producto de la pandemia de COVID-19. El día 9 de julio se registran 523 fallecidos totales, lo que se traduce en 2340 fallecidos por millón de habitantes."/>
    <s v="Gráfico de Evolución"/>
    <s v="Región de Tarapacá COVID-19 comuna casos activos fallecidos recuperados acumulados evolución"/>
    <s v="https://analytics.zoho.com/open-view/2395394000008117468?ZOHO_CRITERIA=%22Localiza_CL_Poblacion%22.%22Codreg%22%3D1"/>
    <x v="18"/>
    <s v="#1774B9"/>
  </r>
  <r>
    <s v="0608"/>
    <n v="990"/>
    <s v="Agencia Información"/>
    <s v="Salud"/>
    <n v="2"/>
    <x v="6"/>
    <x v="4"/>
    <x v="1"/>
    <x v="2"/>
    <x v="3"/>
    <x v="62"/>
    <s v="Periodo 2020-2021"/>
    <s v="Número de fallecidos"/>
    <s v="Ministerio de Ciencia, Tecnología, Conocimiento e Innovación"/>
    <s v="Evolución de número de fallecidos por 1 millón de habitantes por comuna en la Región de Antofagasta durante el Periodo 2020-2021"/>
    <m/>
    <s v="Gráfico de Evolución"/>
    <s v="Región de Antofagasta COVID-19 comuna casos activos fallecidos recuperados acumulados evolución"/>
    <s v="https://analytics.zoho.com/open-view/2395394000008117468?ZOHO_CRITERIA=%22Localiza_CL_Poblacion%22.%22Codreg%22%3D2"/>
    <x v="19"/>
    <s v="#1774B9"/>
  </r>
  <r>
    <s v="0609"/>
    <n v="990"/>
    <s v="Agencia Información"/>
    <s v="Salud"/>
    <n v="3"/>
    <x v="6"/>
    <x v="4"/>
    <x v="1"/>
    <x v="3"/>
    <x v="3"/>
    <x v="62"/>
    <s v="Periodo 2020-2021"/>
    <s v="Número de fallecidos"/>
    <s v="Ministerio de Ciencia, Tecnología, Conocimiento e Innovación"/>
    <s v="Evolución de número de fallecidos por 1 millón de habitantes por comuna en la Región de Atacama durante el Periodo 2020-2021"/>
    <m/>
    <s v="Gráfico de Evolución"/>
    <s v="Región de Atacama COVID-19 comuna casos activos fallecidos recuperados acumulados evolución"/>
    <s v="https://analytics.zoho.com/open-view/2395394000008117468?ZOHO_CRITERIA=%22Localiza_CL_Poblacion%22.%22Codreg%22%3D3"/>
    <x v="20"/>
    <s v="#1774B9"/>
  </r>
  <r>
    <s v="0610"/>
    <n v="990"/>
    <s v="Agencia Información"/>
    <s v="Salud"/>
    <n v="4"/>
    <x v="6"/>
    <x v="4"/>
    <x v="1"/>
    <x v="4"/>
    <x v="3"/>
    <x v="62"/>
    <s v="Periodo 2020-2021"/>
    <s v="Número de fallecidos"/>
    <s v="Ministerio de Ciencia, Tecnología, Conocimiento e Innovación"/>
    <s v="Evolución de número de fallecidos por 1 millón de habitantes por comuna en la Región de Coquimbo durante el Periodo 2020-2021"/>
    <m/>
    <s v="Gráfico de Evolución"/>
    <s v="Región de Coquimbo COVID-19 comuna casos activos fallecidos recuperados acumulados evolución"/>
    <s v="https://analytics.zoho.com/open-view/2395394000008117468?ZOHO_CRITERIA=%22Localiza_CL_Poblacion%22.%22Codreg%22%3D4"/>
    <x v="21"/>
    <s v="#1774B9"/>
  </r>
  <r>
    <s v="0611"/>
    <n v="990"/>
    <s v="Agencia Información"/>
    <s v="Salud"/>
    <n v="5"/>
    <x v="6"/>
    <x v="4"/>
    <x v="1"/>
    <x v="5"/>
    <x v="3"/>
    <x v="62"/>
    <s v="Periodo 2020-2021"/>
    <s v="Número de fallecidos"/>
    <s v="Ministerio de Ciencia, Tecnología, Conocimiento e Innovación"/>
    <s v="Evolución de número de fallecidos por 1 millón de habitantes por comuna en la Región de Valparaíso durante el Periodo 2020-2021"/>
    <m/>
    <s v="Gráfico de Evolución"/>
    <s v="Región de Valparaíso COVID-19 comuna casos activos fallecidos recuperados acumulados evolución"/>
    <s v="https://analytics.zoho.com/open-view/2395394000008117468?ZOHO_CRITERIA=%22Localiza_CL_Poblacion%22.%22Codreg%22%3D5"/>
    <x v="22"/>
    <s v="#1774B9"/>
  </r>
  <r>
    <s v="0612"/>
    <n v="990"/>
    <s v="Agencia Información"/>
    <s v="Salud"/>
    <n v="6"/>
    <x v="6"/>
    <x v="4"/>
    <x v="1"/>
    <x v="6"/>
    <x v="3"/>
    <x v="62"/>
    <s v="Periodo 2020-2021"/>
    <s v="Número de fallecidos"/>
    <s v="Ministerio de Ciencia, Tecnología, Conocimiento e Innovación"/>
    <s v="Evolución de número de fallecidos por 1 millón de habitantes por comuna en la Región de O'Higgins durante el Periodo 2020-2021"/>
    <m/>
    <s v="Gráfico de Evolución"/>
    <s v="Región de O'Higgins COVID-19 comuna casos activos fallecidos recuperados acumulados evolución"/>
    <s v="https://analytics.zoho.com/open-view/2395394000008117468?ZOHO_CRITERIA=%22Localiza_CL_Poblacion%22.%22Codreg%22%3D6"/>
    <x v="23"/>
    <s v="#1774B9"/>
  </r>
  <r>
    <s v="0613"/>
    <n v="990"/>
    <s v="Agencia Información"/>
    <s v="Salud"/>
    <n v="7"/>
    <x v="6"/>
    <x v="4"/>
    <x v="1"/>
    <x v="7"/>
    <x v="3"/>
    <x v="62"/>
    <s v="Periodo 2020-2021"/>
    <s v="Número de fallecidos"/>
    <s v="Ministerio de Ciencia, Tecnología, Conocimiento e Innovación"/>
    <s v="Evolución de número de fallecidos por 1 millón de habitantes por comuna en la Región de Maule durante el Periodo 2020-2021"/>
    <m/>
    <s v="Gráfico de Evolución"/>
    <s v="Región de Maule COVID-19 comuna casos activos fallecidos recuperados acumulados evolución"/>
    <s v="https://analytics.zoho.com/open-view/2395394000008117468?ZOHO_CRITERIA=%22Localiza_CL_Poblacion%22.%22Codreg%22%3D7"/>
    <x v="24"/>
    <s v="#1774B9"/>
  </r>
  <r>
    <s v="0614"/>
    <n v="990"/>
    <s v="Agencia Información"/>
    <s v="Salud"/>
    <n v="8"/>
    <x v="6"/>
    <x v="4"/>
    <x v="1"/>
    <x v="8"/>
    <x v="3"/>
    <x v="62"/>
    <s v="Periodo 2020-2021"/>
    <s v="Número de fallecidos"/>
    <s v="Ministerio de Ciencia, Tecnología, Conocimiento e Innovación"/>
    <s v="Evolución de número de fallecidos por 1 millón de habitantes por comuna en la Región del Biobío durante el Periodo 2020-2021"/>
    <m/>
    <s v="Gráfico de Evolución"/>
    <s v="Región del Biobío COVID-19 comuna casos activos fallecidos recuperados acumulados evolución"/>
    <s v="https://analytics.zoho.com/open-view/2395394000008117468?ZOHO_CRITERIA=%22Localiza_CL_Poblacion%22.%22Codreg%22%3D8"/>
    <x v="25"/>
    <s v="#1774B9"/>
  </r>
  <r>
    <s v="0615"/>
    <n v="990"/>
    <s v="Agencia Información"/>
    <s v="Salud"/>
    <n v="9"/>
    <x v="6"/>
    <x v="4"/>
    <x v="1"/>
    <x v="9"/>
    <x v="3"/>
    <x v="62"/>
    <s v="Periodo 2020-2021"/>
    <s v="Número de fallecidos"/>
    <s v="Ministerio de Ciencia, Tecnología, Conocimiento e Innovación"/>
    <s v="Evolución de número de fallecidos por 1 millón de habitantes por comuna en la Región de La Araucanía durante el Periodo 2020-2021"/>
    <m/>
    <s v="Gráfico de Evolución"/>
    <s v="Región de La Araucanía COVID-19 comuna casos activos fallecidos recuperados acumulados evolución"/>
    <s v="https://analytics.zoho.com/open-view/2395394000008117468?ZOHO_CRITERIA=%22Localiza_CL_Poblacion%22.%22Codreg%22%3D9"/>
    <x v="26"/>
    <s v="#1774B9"/>
  </r>
  <r>
    <s v="0616"/>
    <n v="990"/>
    <s v="Agencia Información"/>
    <s v="Salud"/>
    <n v="10"/>
    <x v="6"/>
    <x v="4"/>
    <x v="1"/>
    <x v="10"/>
    <x v="3"/>
    <x v="62"/>
    <s v="Periodo 2020-2021"/>
    <s v="Número de fallecidos"/>
    <s v="Ministerio de Ciencia, Tecnología, Conocimiento e Innovación"/>
    <s v="Evolución de número de fallecidos por 1 millón de habitantes por comuna en la Región de Los Lagos durante el Periodo 2020-2021"/>
    <m/>
    <s v="Gráfico de Evolución"/>
    <s v="Región de Los Lagos COVID-19 comuna casos activos fallecidos recuperados acumulados evolución"/>
    <s v="https://analytics.zoho.com/open-view/2395394000008117468?ZOHO_CRITERIA=%22Localiza_CL_Poblacion%22.%22Codreg%22%3D10"/>
    <x v="27"/>
    <s v="#1774B9"/>
  </r>
  <r>
    <s v="0617"/>
    <n v="990"/>
    <s v="Agencia Información"/>
    <s v="Salud"/>
    <n v="11"/>
    <x v="6"/>
    <x v="4"/>
    <x v="1"/>
    <x v="11"/>
    <x v="3"/>
    <x v="62"/>
    <s v="Periodo 2020-2021"/>
    <s v="Número de fallecidos"/>
    <s v="Ministerio de Ciencia, Tecnología, Conocimiento e Innovación"/>
    <s v="Evolución de número de fallecidos por 1 millón de habitantes por comuna en la Región de Aysén durante el Periodo 2020-2021"/>
    <m/>
    <s v="Gráfico de Evolución"/>
    <s v="Región de Aysén COVID-19 comuna casos activos fallecidos recuperados acumulados evolución"/>
    <s v="https://analytics.zoho.com/open-view/2395394000008117468?ZOHO_CRITERIA=%22Localiza_CL_Poblacion%22.%22Codreg%22%3D11"/>
    <x v="28"/>
    <s v="#1774B9"/>
  </r>
  <r>
    <s v="0618"/>
    <n v="990"/>
    <s v="Agencia Información"/>
    <s v="Salud"/>
    <n v="12"/>
    <x v="6"/>
    <x v="4"/>
    <x v="1"/>
    <x v="12"/>
    <x v="3"/>
    <x v="62"/>
    <s v="Periodo 2020-2021"/>
    <s v="Número de fallecidos"/>
    <s v="Ministerio de Ciencia, Tecnología, Conocimiento e Innovación"/>
    <s v="Evolución de número de fallecidos por 1 millón de habitantes por comuna en la Región de Magallanes durante el Periodo 2020-2021"/>
    <m/>
    <s v="Gráfico de Evolución"/>
    <s v="Región de Magallanes COVID-19 comuna casos activos fallecidos recuperados acumulados evolución"/>
    <s v="https://analytics.zoho.com/open-view/2395394000008117468?ZOHO_CRITERIA=%22Localiza_CL_Poblacion%22.%22Codreg%22%3D12"/>
    <x v="29"/>
    <s v="#1774B9"/>
  </r>
  <r>
    <s v="0619"/>
    <n v="990"/>
    <s v="Agencia Información"/>
    <s v="Salud"/>
    <n v="13"/>
    <x v="6"/>
    <x v="4"/>
    <x v="1"/>
    <x v="13"/>
    <x v="3"/>
    <x v="62"/>
    <s v="Periodo 2020-2021"/>
    <s v="Número de fallecidos"/>
    <s v="Ministerio de Ciencia, Tecnología, Conocimiento e Innovación"/>
    <s v="Evolución de número de fallecidos por 1 millón de habitantes por comuna en la Región Metropolitana durante el Periodo 2020-2021"/>
    <m/>
    <s v="Gráfico de Evolución"/>
    <s v="Región Metropolitana COVID-19 comuna casos activos fallecidos recuperados acumulados evolución"/>
    <s v="https://analytics.zoho.com/open-view/2395394000008117468?ZOHO_CRITERIA=%22Localiza_CL_Poblacion%22.%22Codreg%22%3D13"/>
    <x v="30"/>
    <s v="#1774B9"/>
  </r>
  <r>
    <s v="0620"/>
    <n v="990"/>
    <s v="Agencia Información"/>
    <s v="Salud"/>
    <n v="14"/>
    <x v="6"/>
    <x v="4"/>
    <x v="1"/>
    <x v="14"/>
    <x v="3"/>
    <x v="62"/>
    <s v="Periodo 2020-2021"/>
    <s v="Número de fallecidos"/>
    <s v="Ministerio de Ciencia, Tecnología, Conocimiento e Innovación"/>
    <s v="Evolución de número de fallecidos por 1 millón de habitantes por comuna en la Región de Los Ríos durante el Periodo 2020-2021"/>
    <m/>
    <s v="Gráfico de Evolución"/>
    <s v="Región de Los Ríos COVID-19 comuna casos activos fallecidos recuperados acumulados evolución"/>
    <s v="https://analytics.zoho.com/open-view/2395394000008117468?ZOHO_CRITERIA=%22Localiza_CL_Poblacion%22.%22Codreg%22%3D14"/>
    <x v="31"/>
    <s v="#1774B9"/>
  </r>
  <r>
    <s v="0621"/>
    <n v="990"/>
    <s v="Agencia Información"/>
    <s v="Salud"/>
    <n v="15"/>
    <x v="6"/>
    <x v="4"/>
    <x v="1"/>
    <x v="15"/>
    <x v="3"/>
    <x v="62"/>
    <s v="Periodo 2020-2021"/>
    <s v="Número de fallecidos"/>
    <s v="Ministerio de Ciencia, Tecnología, Conocimiento e Innovación"/>
    <s v="Evolución de número de fallecidos por 1 millón de habitantes por comuna en la Región de Arica y Parinacota durante el Periodo 2020-2021"/>
    <m/>
    <s v="Gráfico de Evolución"/>
    <s v="Región de Arica y Parinacota COVID-19 comuna casos activos fallecidos recuperados acumulados evolución"/>
    <s v="https://analytics.zoho.com/open-view/2395394000008117468?ZOHO_CRITERIA=%22Localiza_CL_Poblacion%22.%22Codreg%22%3D15"/>
    <x v="32"/>
    <s v="#1774B9"/>
  </r>
  <r>
    <s v="0622"/>
    <n v="990"/>
    <s v="Agencia Información"/>
    <s v="Salud"/>
    <n v="16"/>
    <x v="6"/>
    <x v="4"/>
    <x v="1"/>
    <x v="16"/>
    <x v="3"/>
    <x v="62"/>
    <s v="Periodo 2020-2021"/>
    <s v="Número de fallecidos"/>
    <s v="Ministerio de Ciencia, Tecnología, Conocimiento e Innovación"/>
    <s v="Evolución de número de fallecidos por 1 millón de habitantes por comuna en la Región de Ñuble durante el Periodo 2020-2021"/>
    <m/>
    <s v="Gráfico de Evolución"/>
    <s v="Región de Ñuble COVID-19 comuna casos activos fallecidos recuperados acumulados evolución"/>
    <s v="https://analytics.zoho.com/open-view/2395394000008117468?ZOHO_CRITERIA=%22Localiza_CL_Poblacion%22.%22Codreg%22%3D16"/>
    <x v="33"/>
    <s v="#1774B9"/>
  </r>
  <r>
    <s v="0623"/>
    <n v="990"/>
    <s v="Agencia Información"/>
    <s v="Educación"/>
    <n v="0"/>
    <x v="36"/>
    <x v="1"/>
    <x v="0"/>
    <x v="0"/>
    <x v="2"/>
    <x v="63"/>
    <s v="Periodo 2015-2018"/>
    <s v="Puntaje"/>
    <s v="Agencia de Calidad de la Educación"/>
    <s v="Evolución de Puntaje SIMCE de Lectura por Dependencia de Establecimientos para 2° Medio en Chile, Periodo 2015-2018"/>
    <s v="Los colegios particulares, han obtenido un puntaje sobre los 225 puntos, en la prueba SIMCE de matemáticas tomada a los alumnos de 2° Medio, superando por más de 80 puntos a los colegios municipales, subvencionados y de otras dependencias del país, en los años 2015, 2016, 2017 y 2018."/>
    <s v="Gráfico de Evolución"/>
    <s v="Chile SIMCE media segundo educación puntaje lectura municipal subvencionado corporación lenguaje particular"/>
    <s v="https://analytics.zoho.com/open-view/2395394000007908748"/>
    <x v="17"/>
    <s v="#1774B9"/>
  </r>
  <r>
    <s v="0624"/>
    <n v="990"/>
    <s v="Agencia Información"/>
    <s v="Educación"/>
    <n v="1"/>
    <x v="36"/>
    <x v="1"/>
    <x v="1"/>
    <x v="1"/>
    <x v="3"/>
    <x v="63"/>
    <s v="Periodo 2015-2018"/>
    <s v="Puntaje"/>
    <s v="Agencia de Calidad de la Educación"/>
    <s v="Evolución de Puntaje SIMCE de Lectura por Dependencia de Establecimientos para 2° Medio en la Región de Tarapacá, Periodo 2015-2018"/>
    <m/>
    <s v="Gráfico de Evolución"/>
    <s v="Región de Tarapacá SIMCE media segundo educación puntaje lectura municipal subvencionado corporación lenguaje particular"/>
    <s v="PENDIENTE"/>
    <x v="18"/>
    <s v="#1774B9"/>
  </r>
  <r>
    <s v="0625"/>
    <n v="990"/>
    <s v="Agencia Información"/>
    <s v="Educación"/>
    <n v="2"/>
    <x v="36"/>
    <x v="1"/>
    <x v="1"/>
    <x v="2"/>
    <x v="3"/>
    <x v="63"/>
    <s v="Periodo 2015-2018"/>
    <s v="Puntaje"/>
    <s v="Agencia de Calidad de la Educación"/>
    <s v="Evolución de Puntaje SIMCE de Lectura por Dependencia de Establecimientos para 2° Medio en la Región de Antofagasta, Periodo 2015-2018"/>
    <m/>
    <s v="Gráfico de Evolución"/>
    <s v="Región de Antofagasta SIMCE media segundo educación puntaje lectura municipal subvencionado corporación lenguaje particular"/>
    <s v="PENDIENTE"/>
    <x v="19"/>
    <s v="#1774B9"/>
  </r>
  <r>
    <s v="0626"/>
    <n v="990"/>
    <s v="Agencia Información"/>
    <s v="Educación"/>
    <n v="3"/>
    <x v="36"/>
    <x v="1"/>
    <x v="1"/>
    <x v="3"/>
    <x v="3"/>
    <x v="63"/>
    <s v="Periodo 2015-2018"/>
    <s v="Puntaje"/>
    <s v="Agencia de Calidad de la Educación"/>
    <s v="Evolución de Puntaje SIMCE de Lectura por Dependencia de Establecimientos para 2° Medio en la Región de Atacama, Periodo 2015-2018"/>
    <m/>
    <s v="Gráfico de Evolución"/>
    <s v="Región de Atacama SIMCE media segundo educación puntaje lectura municipal subvencionado corporación lenguaje particular"/>
    <s v="PENDIENTE"/>
    <x v="20"/>
    <s v="#1774B9"/>
  </r>
  <r>
    <s v="0627"/>
    <n v="990"/>
    <s v="Agencia Información"/>
    <s v="Educación"/>
    <n v="4"/>
    <x v="36"/>
    <x v="1"/>
    <x v="1"/>
    <x v="4"/>
    <x v="3"/>
    <x v="63"/>
    <s v="Periodo 2015-2018"/>
    <s v="Puntaje"/>
    <s v="Agencia de Calidad de la Educación"/>
    <s v="Evolución de Puntaje SIMCE de Lectura por Dependencia de Establecimientos para 2° Medio en la Región de Coquimbo, Periodo 2015-2018"/>
    <m/>
    <s v="Gráfico de Evolución"/>
    <s v="Región de Coquimbo SIMCE media segundo educación puntaje lectura municipal subvencionado corporación lenguaje particular"/>
    <s v="PENDIENTE"/>
    <x v="21"/>
    <s v="#1774B9"/>
  </r>
  <r>
    <s v="0628"/>
    <n v="990"/>
    <s v="Agencia Información"/>
    <s v="Educación"/>
    <n v="5"/>
    <x v="36"/>
    <x v="1"/>
    <x v="1"/>
    <x v="5"/>
    <x v="3"/>
    <x v="63"/>
    <s v="Periodo 2015-2018"/>
    <s v="Puntaje"/>
    <s v="Agencia de Calidad de la Educación"/>
    <s v="Evolución de Puntaje SIMCE de Lectura por Dependencia de Establecimientos para 2° Medio en la Región de Valparaíso, Periodo 2015-2018"/>
    <m/>
    <s v="Gráfico de Evolución"/>
    <s v="Región de Valparaíso SIMCE media segundo educación puntaje lectura municipal subvencionado corporación lenguaje particular"/>
    <s v="PENDIENTE"/>
    <x v="22"/>
    <s v="#1774B9"/>
  </r>
  <r>
    <s v="0629"/>
    <n v="990"/>
    <s v="Agencia Información"/>
    <s v="Educación"/>
    <n v="6"/>
    <x v="36"/>
    <x v="1"/>
    <x v="1"/>
    <x v="6"/>
    <x v="3"/>
    <x v="63"/>
    <s v="Periodo 2015-2018"/>
    <s v="Puntaje"/>
    <s v="Agencia de Calidad de la Educación"/>
    <s v="Evolución de Puntaje SIMCE de Lectura por Dependencia de Establecimientos para 2° Medio en la Región de O'Higgins, Periodo 2015-2018"/>
    <m/>
    <s v="Gráfico de Evolución"/>
    <s v="Región de O'Higgins SIMCE media segundo educación puntaje lectura municipal subvencionado corporación lenguaje particular"/>
    <s v="PENDIENTE"/>
    <x v="23"/>
    <s v="#1774B9"/>
  </r>
  <r>
    <s v="0630"/>
    <n v="990"/>
    <s v="Agencia Información"/>
    <s v="Educación"/>
    <n v="7"/>
    <x v="36"/>
    <x v="1"/>
    <x v="1"/>
    <x v="7"/>
    <x v="3"/>
    <x v="63"/>
    <s v="Periodo 2015-2018"/>
    <s v="Puntaje"/>
    <s v="Agencia de Calidad de la Educación"/>
    <s v="Evolución de Puntaje SIMCE de Lectura por Dependencia de Establecimientos para 2° Medio en la Región de Maule, Periodo 2015-2018"/>
    <m/>
    <s v="Gráfico de Evolución"/>
    <s v="Región de Maule SIMCE media segundo educación puntaje lectura municipal subvencionado corporación lenguaje particular"/>
    <s v="PENDIENTE"/>
    <x v="24"/>
    <s v="#1774B9"/>
  </r>
  <r>
    <s v="0631"/>
    <n v="990"/>
    <s v="Agencia Información"/>
    <s v="Educación"/>
    <n v="8"/>
    <x v="36"/>
    <x v="1"/>
    <x v="1"/>
    <x v="8"/>
    <x v="3"/>
    <x v="63"/>
    <s v="Periodo 2015-2018"/>
    <s v="Puntaje"/>
    <s v="Agencia de Calidad de la Educación"/>
    <s v="Evolución de Puntaje SIMCE de Lectura por Dependencia de Establecimientos para 2° Medio en la Región del Biobío, Periodo 2015-2018"/>
    <m/>
    <s v="Gráfico de Evolución"/>
    <s v="Región del Biobío SIMCE media segundo educación puntaje lectura municipal subvencionado corporación lenguaje particular"/>
    <s v="PENDIENTE"/>
    <x v="25"/>
    <s v="#1774B9"/>
  </r>
  <r>
    <s v="0632"/>
    <n v="990"/>
    <s v="Agencia Información"/>
    <s v="Educación"/>
    <n v="9"/>
    <x v="36"/>
    <x v="1"/>
    <x v="1"/>
    <x v="9"/>
    <x v="3"/>
    <x v="63"/>
    <s v="Periodo 2015-2018"/>
    <s v="Puntaje"/>
    <s v="Agencia de Calidad de la Educación"/>
    <s v="Evolución de Puntaje SIMCE de Lectura por Dependencia de Establecimientos para 2° Medio en la Región de La Araucanía, Periodo 2015-2018"/>
    <m/>
    <s v="Gráfico de Evolución"/>
    <s v="Región de La Araucanía SIMCE media segundo educación puntaje lectura municipal subvencionado corporación lenguaje particular"/>
    <s v="PENDIENTE"/>
    <x v="26"/>
    <s v="#1774B9"/>
  </r>
  <r>
    <s v="0633"/>
    <n v="990"/>
    <s v="Agencia Información"/>
    <s v="Educación"/>
    <n v="10"/>
    <x v="36"/>
    <x v="1"/>
    <x v="1"/>
    <x v="10"/>
    <x v="3"/>
    <x v="63"/>
    <s v="Periodo 2015-2018"/>
    <s v="Puntaje"/>
    <s v="Agencia de Calidad de la Educación"/>
    <s v="Evolución de Puntaje SIMCE de Lectura por Dependencia de Establecimientos para 2° Medio en la Región de Los Lagos, Periodo 2015-2018"/>
    <m/>
    <s v="Gráfico de Evolución"/>
    <s v="Región de Los Lagos SIMCE media segundo educación puntaje lectura municipal subvencionado corporación lenguaje particular"/>
    <s v="PENDIENTE"/>
    <x v="27"/>
    <s v="#1774B9"/>
  </r>
  <r>
    <s v="0634"/>
    <n v="990"/>
    <s v="Agencia Información"/>
    <s v="Educación"/>
    <n v="11"/>
    <x v="36"/>
    <x v="1"/>
    <x v="1"/>
    <x v="11"/>
    <x v="3"/>
    <x v="63"/>
    <s v="Periodo 2015-2018"/>
    <s v="Puntaje"/>
    <s v="Agencia de Calidad de la Educación"/>
    <s v="Evolución de Puntaje SIMCE de Lectura por Dependencia de Establecimientos para 2° Medio en la Región de Aysén, Periodo 2015-2018"/>
    <m/>
    <s v="Gráfico de Evolución"/>
    <s v="Región de Aysén SIMCE media segundo educación puntaje lectura municipal subvencionado corporación lenguaje particular"/>
    <s v="PENDIENTE"/>
    <x v="28"/>
    <s v="#1774B9"/>
  </r>
  <r>
    <s v="0635"/>
    <n v="990"/>
    <s v="Agencia Información"/>
    <s v="Educación"/>
    <n v="12"/>
    <x v="36"/>
    <x v="1"/>
    <x v="1"/>
    <x v="12"/>
    <x v="3"/>
    <x v="63"/>
    <s v="Periodo 2015-2018"/>
    <s v="Puntaje"/>
    <s v="Agencia de Calidad de la Educación"/>
    <s v="Evolución de Puntaje SIMCE de Lectura por Dependencia de Establecimientos para 2° Medio en la Región de Magallanes, Periodo 2015-2018"/>
    <m/>
    <s v="Gráfico de Evolución"/>
    <s v="Región de Magallanes SIMCE media segundo educación puntaje lectura municipal subvencionado corporación lenguaje particular"/>
    <s v="PENDIENTE"/>
    <x v="29"/>
    <s v="#1774B9"/>
  </r>
  <r>
    <s v="0636"/>
    <n v="990"/>
    <s v="Agencia Información"/>
    <s v="Educación"/>
    <n v="13"/>
    <x v="36"/>
    <x v="1"/>
    <x v="1"/>
    <x v="13"/>
    <x v="3"/>
    <x v="63"/>
    <s v="Periodo 2015-2018"/>
    <s v="Puntaje"/>
    <s v="Agencia de Calidad de la Educación"/>
    <s v="Evolución de Puntaje SIMCE de Lectura por Dependencia de Establecimientos para 2° Medio en la Región Metropolitana, Periodo 2015-2018"/>
    <m/>
    <s v="Gráfico de Evolución"/>
    <s v="Región Metropolitana SIMCE media segundo educación puntaje lectura municipal subvencionado corporación lenguaje particular"/>
    <s v="PENDIENTE"/>
    <x v="30"/>
    <s v="#1774B9"/>
  </r>
  <r>
    <s v="0637"/>
    <n v="990"/>
    <s v="Agencia Información"/>
    <s v="Educación"/>
    <n v="14"/>
    <x v="36"/>
    <x v="1"/>
    <x v="1"/>
    <x v="14"/>
    <x v="3"/>
    <x v="63"/>
    <s v="Periodo 2015-2018"/>
    <s v="Puntaje"/>
    <s v="Agencia de Calidad de la Educación"/>
    <s v="Evolución de Puntaje SIMCE de Lectura por Dependencia de Establecimientos para 2° Medio en la Región de Los Ríos, Periodo 2015-2018"/>
    <m/>
    <s v="Gráfico de Evolución"/>
    <s v="Región de Los Ríos SIMCE media segundo educación puntaje lectura municipal subvencionado corporación lenguaje particular"/>
    <s v="PENDIENTE"/>
    <x v="31"/>
    <s v="#1774B9"/>
  </r>
  <r>
    <s v="0638"/>
    <n v="990"/>
    <s v="Agencia Información"/>
    <s v="Educación"/>
    <n v="15"/>
    <x v="36"/>
    <x v="1"/>
    <x v="1"/>
    <x v="15"/>
    <x v="3"/>
    <x v="63"/>
    <s v="Periodo 2015-2018"/>
    <s v="Puntaje"/>
    <s v="Agencia de Calidad de la Educación"/>
    <s v="Evolución de Puntaje SIMCE de Lectura por Dependencia de Establecimientos para 2° Medio en la Región de Arica y Parinacota, Periodo 2015-2018"/>
    <m/>
    <s v="Gráfico de Evolución"/>
    <s v="Región de Arica y Parinacota SIMCE media segundo educación puntaje lectura municipal subvencionado corporación lenguaje particular"/>
    <s v="PENDIENTE"/>
    <x v="32"/>
    <s v="#1774B9"/>
  </r>
  <r>
    <s v="0639"/>
    <n v="990"/>
    <s v="Agencia Información"/>
    <s v="Educación"/>
    <n v="16"/>
    <x v="36"/>
    <x v="1"/>
    <x v="1"/>
    <x v="16"/>
    <x v="3"/>
    <x v="63"/>
    <s v="Periodo 2015-2018"/>
    <s v="Puntaje"/>
    <s v="Agencia de Calidad de la Educación"/>
    <s v="Evolución de Puntaje SIMCE de Lectura por Dependencia de Establecimientos para 2° Medio en la Región de Ñuble, Periodo 2015-2018"/>
    <m/>
    <s v="Gráfico de Evolución"/>
    <s v="Región de Ñuble SIMCE media segundo educación puntaje lectura municipal subvencionado corporación lenguaje particular"/>
    <s v="PENDIENTE"/>
    <x v="33"/>
    <s v="#1774B9"/>
  </r>
  <r>
    <s v="0640"/>
    <n v="990"/>
    <s v="Agencia Información"/>
    <s v="Educación"/>
    <n v="0"/>
    <x v="36"/>
    <x v="1"/>
    <x v="0"/>
    <x v="0"/>
    <x v="2"/>
    <x v="63"/>
    <s v="Periodo 2015-2018"/>
    <s v="Puntaje"/>
    <s v="Agencia de Calidad de la Educación"/>
    <s v="Evolución de Puntaje SIMCE de Matemáticas por Dependencia de Establecimientos para 2° Medio en Chile, Periodo 2015-2018"/>
    <s v="Los colegios particulares, han obtenido un puntaje sobre los 225 puntos, en la prueba SIMCE de matemáticas tomada a los alumnos de 2° Medio, superando por más de 80 puntos a los colegios municipales, subvencionados y de otras dependencias del país, en los años 2015, 2016, 2017 y 2018."/>
    <s v="Gráfico de Evolución"/>
    <s v="Chile SIMCE media segundo educación puntaje matemáticas municipal subvencionado corporación lenguaje particular"/>
    <s v="https://analytics.zoho.com/open-view/2395394000007946692"/>
    <x v="17"/>
    <s v="#1774B9"/>
  </r>
  <r>
    <s v="0641"/>
    <n v="990"/>
    <s v="Agencia Información"/>
    <s v="Educación"/>
    <n v="1"/>
    <x v="36"/>
    <x v="1"/>
    <x v="1"/>
    <x v="1"/>
    <x v="3"/>
    <x v="63"/>
    <s v="Periodo 2015-2018"/>
    <s v="Puntaje"/>
    <s v="Agencia de Calidad de la Educación"/>
    <s v="Evolución de Puntaje SIMCE de Matemáticas por Dependencia de Establecimientos para 2° Medio en la Región de Tarapacá, Periodo 2015-2018"/>
    <m/>
    <s v="Gráfico de Evolución"/>
    <s v="Región de Tarapacá SIMCE media segundo educación puntaje matemáticas municipal subvencionado corporación lenguaje particular"/>
    <s v="PENDIENTE"/>
    <x v="18"/>
    <s v="#1774B9"/>
  </r>
  <r>
    <s v="0642"/>
    <n v="990"/>
    <s v="Agencia Información"/>
    <s v="Educación"/>
    <n v="2"/>
    <x v="36"/>
    <x v="1"/>
    <x v="1"/>
    <x v="2"/>
    <x v="3"/>
    <x v="63"/>
    <s v="Periodo 2015-2018"/>
    <s v="Puntaje"/>
    <s v="Agencia de Calidad de la Educación"/>
    <s v="Evolución de Puntaje SIMCE de Matemáticas por Dependencia de Establecimientos para 2° Medio en la Región de Antofagasta, Periodo 2015-2018"/>
    <m/>
    <s v="Gráfico de Evolución"/>
    <s v="Región de Antofagasta SIMCE media segundo educación puntaje matemáticas municipal subvencionado corporación lenguaje particular"/>
    <s v="PENDIENTE"/>
    <x v="19"/>
    <s v="#1774B9"/>
  </r>
  <r>
    <s v="0643"/>
    <n v="990"/>
    <s v="Agencia Información"/>
    <s v="Educación"/>
    <n v="3"/>
    <x v="36"/>
    <x v="1"/>
    <x v="1"/>
    <x v="3"/>
    <x v="3"/>
    <x v="63"/>
    <s v="Periodo 2015-2018"/>
    <s v="Puntaje"/>
    <s v="Agencia de Calidad de la Educación"/>
    <s v="Evolución de Puntaje SIMCE de Matemáticas por Dependencia de Establecimientos para 2° Medio en la Región de Atacama, Periodo 2015-2018"/>
    <m/>
    <s v="Gráfico de Evolución"/>
    <s v="Región de Atacama SIMCE media segundo educación puntaje matemáticas municipal subvencionado corporación lenguaje particular"/>
    <s v="PENDIENTE"/>
    <x v="20"/>
    <s v="#1774B9"/>
  </r>
  <r>
    <s v="0644"/>
    <n v="990"/>
    <s v="Agencia Información"/>
    <s v="Educación"/>
    <n v="4"/>
    <x v="36"/>
    <x v="1"/>
    <x v="1"/>
    <x v="4"/>
    <x v="3"/>
    <x v="63"/>
    <s v="Periodo 2015-2018"/>
    <s v="Puntaje"/>
    <s v="Agencia de Calidad de la Educación"/>
    <s v="Evolución de Puntaje SIMCE de Matemáticas por Dependencia de Establecimientos para 2° Medio en la Región de Coquimbo, Periodo 2015-2018"/>
    <m/>
    <s v="Gráfico de Evolución"/>
    <s v="Región de Coquimbo SIMCE media segundo educación puntaje matemáticas municipal subvencionado corporación lenguaje particular"/>
    <s v="PENDIENTE"/>
    <x v="21"/>
    <s v="#1774B9"/>
  </r>
  <r>
    <s v="0645"/>
    <n v="990"/>
    <s v="Agencia Información"/>
    <s v="Educación"/>
    <n v="5"/>
    <x v="36"/>
    <x v="1"/>
    <x v="1"/>
    <x v="5"/>
    <x v="3"/>
    <x v="63"/>
    <s v="Periodo 2015-2018"/>
    <s v="Puntaje"/>
    <s v="Agencia de Calidad de la Educación"/>
    <s v="Evolución de Puntaje SIMCE de Matemáticas por Dependencia de Establecimientos para 2° Medio en la Región de Valparaíso, Periodo 2015-2018"/>
    <m/>
    <s v="Gráfico de Evolución"/>
    <s v="Región de Valparaíso SIMCE media segundo educación puntaje matemáticas municipal subvencionado corporación lenguaje particular"/>
    <s v="PENDIENTE"/>
    <x v="22"/>
    <s v="#1774B9"/>
  </r>
  <r>
    <s v="0646"/>
    <n v="990"/>
    <s v="Agencia Información"/>
    <s v="Educación"/>
    <n v="6"/>
    <x v="36"/>
    <x v="1"/>
    <x v="1"/>
    <x v="6"/>
    <x v="3"/>
    <x v="63"/>
    <s v="Periodo 2015-2018"/>
    <s v="Puntaje"/>
    <s v="Agencia de Calidad de la Educación"/>
    <s v="Evolución de Puntaje SIMCE de Matemáticas por Dependencia de Establecimientos para 2° Medio en la Región de O'Higgins, Periodo 2015-2018"/>
    <m/>
    <s v="Gráfico de Evolución"/>
    <s v="Región de O'Higgins SIMCE media segundo educación puntaje matemáticas municipal subvencionado corporación lenguaje particular"/>
    <s v="PENDIENTE"/>
    <x v="23"/>
    <s v="#1774B9"/>
  </r>
  <r>
    <s v="0647"/>
    <n v="990"/>
    <s v="Agencia Información"/>
    <s v="Educación"/>
    <n v="7"/>
    <x v="36"/>
    <x v="1"/>
    <x v="1"/>
    <x v="7"/>
    <x v="3"/>
    <x v="63"/>
    <s v="Periodo 2015-2018"/>
    <s v="Puntaje"/>
    <s v="Agencia de Calidad de la Educación"/>
    <s v="Evolución de Puntaje SIMCE de Matemáticas por Dependencia de Establecimientos para 2° Medio en la Región de Maule, Periodo 2015-2018"/>
    <m/>
    <s v="Gráfico de Evolución"/>
    <s v="Región de Maule SIMCE media segundo educación puntaje matemáticas municipal subvencionado corporación lenguaje particular"/>
    <s v="PENDIENTE"/>
    <x v="24"/>
    <s v="#1774B9"/>
  </r>
  <r>
    <s v="0648"/>
    <n v="990"/>
    <s v="Agencia Información"/>
    <s v="Educación"/>
    <n v="8"/>
    <x v="36"/>
    <x v="1"/>
    <x v="1"/>
    <x v="8"/>
    <x v="3"/>
    <x v="63"/>
    <s v="Periodo 2015-2018"/>
    <s v="Puntaje"/>
    <s v="Agencia de Calidad de la Educación"/>
    <s v="Evolución de Puntaje SIMCE de Matemáticas por Dependencia de Establecimientos para 2° Medio en la Región del Biobío, Periodo 2015-2018"/>
    <m/>
    <s v="Gráfico de Evolución"/>
    <s v="Región del Biobío SIMCE media segundo educación puntaje matemáticas municipal subvencionado corporación lenguaje particular"/>
    <s v="PENDIENTE"/>
    <x v="25"/>
    <s v="#1774B9"/>
  </r>
  <r>
    <s v="0649"/>
    <n v="990"/>
    <s v="Agencia Información"/>
    <s v="Educación"/>
    <n v="9"/>
    <x v="36"/>
    <x v="1"/>
    <x v="1"/>
    <x v="9"/>
    <x v="3"/>
    <x v="63"/>
    <s v="Periodo 2015-2018"/>
    <s v="Puntaje"/>
    <s v="Agencia de Calidad de la Educación"/>
    <s v="Evolución de Puntaje SIMCE de Matemáticas por Dependencia de Establecimientos para 2° Medio en la Región de La Araucanía, Periodo 2015-2018"/>
    <m/>
    <s v="Gráfico de Evolución"/>
    <s v="Región de La Araucanía SIMCE media segundo educación puntaje matemáticas municipal subvencionado corporación lenguaje particular"/>
    <s v="PENDIENTE"/>
    <x v="26"/>
    <s v="#1774B9"/>
  </r>
  <r>
    <s v="0650"/>
    <n v="990"/>
    <s v="Agencia Información"/>
    <s v="Educación"/>
    <n v="10"/>
    <x v="36"/>
    <x v="1"/>
    <x v="1"/>
    <x v="10"/>
    <x v="3"/>
    <x v="63"/>
    <s v="Periodo 2015-2018"/>
    <s v="Puntaje"/>
    <s v="Agencia de Calidad de la Educación"/>
    <s v="Evolución de Puntaje SIMCE de Matemáticas por Dependencia de Establecimientos para 2° Medio en la Región de Los Lagos, Periodo 2015-2018"/>
    <m/>
    <s v="Gráfico de Evolución"/>
    <s v="Región de Los Lagos SIMCE media segundo educación puntaje matemáticas municipal subvencionado corporación lenguaje particular"/>
    <s v="PENDIENTE"/>
    <x v="27"/>
    <s v="#1774B9"/>
  </r>
  <r>
    <s v="0651"/>
    <n v="990"/>
    <s v="Agencia Información"/>
    <s v="Educación"/>
    <n v="11"/>
    <x v="36"/>
    <x v="1"/>
    <x v="1"/>
    <x v="11"/>
    <x v="3"/>
    <x v="63"/>
    <s v="Periodo 2015-2018"/>
    <s v="Puntaje"/>
    <s v="Agencia de Calidad de la Educación"/>
    <s v="Evolución de Puntaje SIMCE de Matemáticas por Dependencia de Establecimientos para 2° Medio en la Región de Aysén, Periodo 2015-2018"/>
    <m/>
    <s v="Gráfico de Evolución"/>
    <s v="Región de Aysén SIMCE media segundo educación puntaje matemáticas municipal subvencionado corporación lenguaje particular"/>
    <s v="PENDIENTE"/>
    <x v="28"/>
    <s v="#1774B9"/>
  </r>
  <r>
    <s v="0652"/>
    <n v="990"/>
    <s v="Agencia Información"/>
    <s v="Educación"/>
    <n v="12"/>
    <x v="36"/>
    <x v="1"/>
    <x v="1"/>
    <x v="12"/>
    <x v="3"/>
    <x v="63"/>
    <s v="Periodo 2015-2018"/>
    <s v="Puntaje"/>
    <s v="Agencia de Calidad de la Educación"/>
    <s v="Evolución de Puntaje SIMCE de Matemáticas por Dependencia de Establecimientos para 2° Medio en la Región de Magallanes, Periodo 2015-2018"/>
    <m/>
    <s v="Gráfico de Evolución"/>
    <s v="Región de Magallanes SIMCE media segundo educación puntaje matemáticas municipal subvencionado corporación lenguaje particular"/>
    <s v="PENDIENTE"/>
    <x v="29"/>
    <s v="#1774B9"/>
  </r>
  <r>
    <s v="0653"/>
    <n v="990"/>
    <s v="Agencia Información"/>
    <s v="Educación"/>
    <n v="13"/>
    <x v="36"/>
    <x v="1"/>
    <x v="1"/>
    <x v="13"/>
    <x v="3"/>
    <x v="63"/>
    <s v="Periodo 2015-2018"/>
    <s v="Puntaje"/>
    <s v="Agencia de Calidad de la Educación"/>
    <s v="Evolución de Puntaje SIMCE de Matemáticas por Dependencia de Establecimientos para 2° Medio en la Región Metropolitana, Periodo 2015-2018"/>
    <m/>
    <s v="Gráfico de Evolución"/>
    <s v="Región Metropolitana SIMCE media segundo educación puntaje matemáticas municipal subvencionado corporación lenguaje particular"/>
    <s v="PENDIENTE"/>
    <x v="30"/>
    <s v="#1774B9"/>
  </r>
  <r>
    <s v="0654"/>
    <n v="990"/>
    <s v="Agencia Información"/>
    <s v="Educación"/>
    <n v="14"/>
    <x v="36"/>
    <x v="1"/>
    <x v="1"/>
    <x v="14"/>
    <x v="3"/>
    <x v="63"/>
    <s v="Periodo 2015-2018"/>
    <s v="Puntaje"/>
    <s v="Agencia de Calidad de la Educación"/>
    <s v="Evolución de Puntaje SIMCE de Matemáticas por Dependencia de Establecimientos para 2° Medio en la Región de Los Ríos, Periodo 2015-2018"/>
    <m/>
    <s v="Gráfico de Evolución"/>
    <s v="Región de Los Ríos SIMCE media segundo educación puntaje matemáticas municipal subvencionado corporación lenguaje particular"/>
    <s v="PENDIENTE"/>
    <x v="31"/>
    <s v="#1774B9"/>
  </r>
  <r>
    <s v="0655"/>
    <n v="990"/>
    <s v="Agencia Información"/>
    <s v="Educación"/>
    <n v="15"/>
    <x v="36"/>
    <x v="1"/>
    <x v="1"/>
    <x v="15"/>
    <x v="3"/>
    <x v="63"/>
    <s v="Periodo 2015-2018"/>
    <s v="Puntaje"/>
    <s v="Agencia de Calidad de la Educación"/>
    <s v="Evolución de Puntaje SIMCE de Matemáticas por Dependencia de Establecimientos para 2° Medio en la Región de Arica y Parinacota, Periodo 2015-2018"/>
    <m/>
    <s v="Gráfico de Evolución"/>
    <s v="Región de Arica y Parinacota SIMCE media segundo educación puntaje matemáticas municipal subvencionado corporación lenguaje particular"/>
    <s v="PENDIENTE"/>
    <x v="32"/>
    <s v="#1774B9"/>
  </r>
  <r>
    <s v="0656"/>
    <n v="990"/>
    <s v="Agencia Información"/>
    <s v="Educación"/>
    <n v="16"/>
    <x v="36"/>
    <x v="1"/>
    <x v="1"/>
    <x v="16"/>
    <x v="3"/>
    <x v="63"/>
    <s v="Periodo 2015-2018"/>
    <s v="Puntaje"/>
    <s v="Agencia de Calidad de la Educación"/>
    <s v="Evolución de Puntaje SIMCE de Matemáticas por Dependencia de Establecimientos para 2° Medio en la Región de Ñuble, Periodo 2015-2018"/>
    <m/>
    <s v="Gráfico de Evolución"/>
    <s v="Región de Ñuble SIMCE media segundo educación puntaje matemáticas municipal subvencionado corporación lenguaje particular"/>
    <s v="PENDIENTE"/>
    <x v="33"/>
    <s v="#1774B9"/>
  </r>
  <r>
    <s v="0657"/>
    <n v="990"/>
    <s v="Agencia Información"/>
    <s v="Educación"/>
    <n v="0"/>
    <x v="41"/>
    <x v="1"/>
    <x v="0"/>
    <x v="0"/>
    <x v="3"/>
    <x v="64"/>
    <s v="Periodo 2014-2019"/>
    <s v="Puntaje"/>
    <s v="Agencia de Calidad de la Educación"/>
    <s v="Resumen de Indicadores de Desarrollo Personal y Social por Dependencia de Establecimiento por comuna en Chile, Periodo 2014-2019"/>
    <m/>
    <s v="Gráfico de Evolución"/>
    <s v="Chile calidad educación puntaje municipal subvencionado corporación particular autoestima convivencia hábitos salud participación desarrollo personal indicadores"/>
    <s v="PENDIENTE"/>
    <x v="17"/>
    <s v="#1774B9"/>
  </r>
  <r>
    <s v="0658"/>
    <n v="990"/>
    <s v="Agencia Información"/>
    <s v="Educación"/>
    <n v="1"/>
    <x v="41"/>
    <x v="1"/>
    <x v="1"/>
    <x v="1"/>
    <x v="3"/>
    <x v="64"/>
    <s v="Periodo 2014-2019"/>
    <s v="Puntaje"/>
    <s v="Agencia de Calidad de la Educación"/>
    <s v="Resumen de Indicadores de Desarrollo Personal y Social por Dependencia de Establecimiento por comuna en la Región de Tarapacá, Periodo 2014-2019"/>
    <m/>
    <s v="Gráfico de Evolución"/>
    <s v="Región de Tarapacá calidad educación puntaje municipal subvencionado corporación particular autoestima convivencia hábitos salud participación desarrollo personal indicadores"/>
    <s v="https://analytics.zoho.com/open-view/2395394000007990413?ZOHO_CRITERIA=%22Localiza%20CL%22.%22Codreg%22%3D1"/>
    <x v="18"/>
    <s v="#1774B9"/>
  </r>
  <r>
    <s v="0659"/>
    <n v="990"/>
    <s v="Agencia Información"/>
    <s v="Educación"/>
    <n v="2"/>
    <x v="41"/>
    <x v="1"/>
    <x v="1"/>
    <x v="2"/>
    <x v="3"/>
    <x v="64"/>
    <s v="Periodo 2014-2019"/>
    <s v="Puntaje"/>
    <s v="Agencia de Calidad de la Educación"/>
    <s v="Resumen de Indicadores de Desarrollo Personal y Social por Dependencia de Establecimiento por comuna en la Región de Antofagasta, Periodo 2014-2019"/>
    <m/>
    <s v="Gráfico de Evolución"/>
    <s v="Región de Antofagasta calidad educación puntaje municipal subvencionado corporación particular autoestima convivencia hábitos salud participación desarrollo personal indicadores"/>
    <s v="https://analytics.zoho.com/open-view/2395394000007990413?ZOHO_CRITERIA=%22Localiza%20CL%22.%22Codreg%22%3D2"/>
    <x v="19"/>
    <s v="#1774B9"/>
  </r>
  <r>
    <s v="0660"/>
    <n v="990"/>
    <s v="Agencia Información"/>
    <s v="Educación"/>
    <n v="3"/>
    <x v="41"/>
    <x v="1"/>
    <x v="1"/>
    <x v="3"/>
    <x v="3"/>
    <x v="64"/>
    <s v="Periodo 2014-2019"/>
    <s v="Puntaje"/>
    <s v="Agencia de Calidad de la Educación"/>
    <s v="Resumen de Indicadores de Desarrollo Personal y Social por Dependencia de Establecimiento por comuna en la Región de Atacama, Periodo 2014-2019"/>
    <m/>
    <s v="Gráfico de Evolución"/>
    <s v="Región de Atacama calidad educación puntaje municipal subvencionado corporación particular autoestima convivencia hábitos salud participación desarrollo personal indicadores"/>
    <s v="https://analytics.zoho.com/open-view/2395394000007990413?ZOHO_CRITERIA=%22Localiza%20CL%22.%22Codreg%22%3D3"/>
    <x v="20"/>
    <s v="#1774B9"/>
  </r>
  <r>
    <s v="0661"/>
    <n v="990"/>
    <s v="Agencia Información"/>
    <s v="Educación"/>
    <n v="4"/>
    <x v="41"/>
    <x v="1"/>
    <x v="1"/>
    <x v="4"/>
    <x v="3"/>
    <x v="64"/>
    <s v="Periodo 2014-2019"/>
    <s v="Puntaje"/>
    <s v="Agencia de Calidad de la Educación"/>
    <s v="Resumen de Indicadores de Desarrollo Personal y Social por Dependencia de Establecimiento por comuna en la Región de Coquimbo, Periodo 2014-2019"/>
    <m/>
    <s v="Gráfico de Evolución"/>
    <s v="Región de Coquimbo calidad educación puntaje municipal subvencionado corporación particular autoestima convivencia hábitos salud participación desarrollo personal indicadores"/>
    <s v="https://analytics.zoho.com/open-view/2395394000007990413?ZOHO_CRITERIA=%22Localiza%20CL%22.%22Codreg%22%3D4"/>
    <x v="21"/>
    <s v="#1774B9"/>
  </r>
  <r>
    <s v="0662"/>
    <n v="990"/>
    <s v="Agencia Información"/>
    <s v="Educación"/>
    <n v="5"/>
    <x v="41"/>
    <x v="1"/>
    <x v="1"/>
    <x v="5"/>
    <x v="3"/>
    <x v="64"/>
    <s v="Periodo 2014-2019"/>
    <s v="Puntaje"/>
    <s v="Agencia de Calidad de la Educación"/>
    <s v="Resumen de Indicadores de Desarrollo Personal y Social por Dependencia de Establecimiento por comuna en la Región de Valparaíso, Periodo 2014-2019"/>
    <s v="En la región de Valparaíso, los Indicadores de Desarrollo Personal y Social, relativos a la Autoestima académica y motivación escolar, Convivencia escolar, Hábitos de vida Saludable y Participación y formación ciudadana, muestran un descenso hacia el año 2019; mientras en el año 2014 arrojaron valores por sobre los 66 puntos, el año 2019, todos los indicadores arrojaron valores entre los 20 y 30 puntos, los que varían según el tipo de dependencia del establecimiento y por cada establecimiento en particular."/>
    <s v="Gráfico de Evolución"/>
    <s v="Región de Valparaíso calidad educación puntaje municipal subvencionado corporación particular autoestima convivencia hábitos salud participación desarrollo personal indicadores"/>
    <s v="https://analytics.zoho.com/open-view/2395394000007990413?ZOHO_CRITERIA=%22Localiza%20CL%22.%22Codreg%22%3D5"/>
    <x v="22"/>
    <s v="#1774B9"/>
  </r>
  <r>
    <s v="0663"/>
    <n v="990"/>
    <s v="Agencia Información"/>
    <s v="Educación"/>
    <n v="6"/>
    <x v="41"/>
    <x v="1"/>
    <x v="1"/>
    <x v="6"/>
    <x v="3"/>
    <x v="64"/>
    <s v="Periodo 2014-2019"/>
    <s v="Puntaje"/>
    <s v="Agencia de Calidad de la Educación"/>
    <s v="Resumen de Indicadores de Desarrollo Personal y Social por Dependencia de Establecimiento por comuna en la Región de O'Higgins, Periodo 2014-2019"/>
    <m/>
    <s v="Gráfico de Evolución"/>
    <s v="Región de O'Higgins calidad educación puntaje municipal subvencionado corporación particular autoestima convivencia hábitos salud participación desarrollo personal indicadores"/>
    <s v="https://analytics.zoho.com/open-view/2395394000007990413?ZOHO_CRITERIA=%22Localiza%20CL%22.%22Codreg%22%3D6"/>
    <x v="23"/>
    <s v="#1774B9"/>
  </r>
  <r>
    <s v="0664"/>
    <n v="990"/>
    <s v="Agencia Información"/>
    <s v="Educación"/>
    <n v="7"/>
    <x v="41"/>
    <x v="1"/>
    <x v="1"/>
    <x v="7"/>
    <x v="3"/>
    <x v="64"/>
    <s v="Periodo 2014-2019"/>
    <s v="Puntaje"/>
    <s v="Agencia de Calidad de la Educación"/>
    <s v="Resumen de Indicadores de Desarrollo Personal y Social por Dependencia de Establecimiento por comuna en la Región de Maule, Periodo 2014-2019"/>
    <m/>
    <s v="Gráfico de Evolución"/>
    <s v="Región de Maule calidad educación puntaje municipal subvencionado corporación particular autoestima convivencia hábitos salud participación desarrollo personal indicadores"/>
    <s v="https://analytics.zoho.com/open-view/2395394000007990413?ZOHO_CRITERIA=%22Localiza%20CL%22.%22Codreg%22%3D7"/>
    <x v="24"/>
    <s v="#1774B9"/>
  </r>
  <r>
    <s v="0665"/>
    <n v="990"/>
    <s v="Agencia Información"/>
    <s v="Educación"/>
    <n v="8"/>
    <x v="41"/>
    <x v="1"/>
    <x v="1"/>
    <x v="8"/>
    <x v="3"/>
    <x v="64"/>
    <s v="Periodo 2014-2019"/>
    <s v="Puntaje"/>
    <s v="Agencia de Calidad de la Educación"/>
    <s v="Resumen de Indicadores de Desarrollo Personal y Social por Dependencia de Establecimiento por comuna en la Región del Biobío, Periodo 2014-2019"/>
    <m/>
    <s v="Gráfico de Evolución"/>
    <s v="Región del Biobío calidad educación puntaje municipal subvencionado corporación particular autoestima convivencia hábitos salud participación desarrollo personal indicadores"/>
    <s v="https://analytics.zoho.com/open-view/2395394000007990413?ZOHO_CRITERIA=%22Localiza%20CL%22.%22Codreg%22%3D8"/>
    <x v="25"/>
    <s v="#1774B9"/>
  </r>
  <r>
    <s v="0666"/>
    <n v="990"/>
    <s v="Agencia Información"/>
    <s v="Educación"/>
    <n v="9"/>
    <x v="41"/>
    <x v="1"/>
    <x v="1"/>
    <x v="9"/>
    <x v="3"/>
    <x v="64"/>
    <s v="Periodo 2014-2019"/>
    <s v="Puntaje"/>
    <s v="Agencia de Calidad de la Educación"/>
    <s v="Resumen de Indicadores de Desarrollo Personal y Social por Dependencia de Establecimiento por comuna en la Región de La Araucanía, Periodo 2014-2019"/>
    <m/>
    <s v="Gráfico de Evolución"/>
    <s v="Región de La Araucanía calidad educación puntaje municipal subvencionado corporación particular autoestima convivencia hábitos salud participación desarrollo personal indicadores"/>
    <s v="https://analytics.zoho.com/open-view/2395394000007990413?ZOHO_CRITERIA=%22Localiza%20CL%22.%22Codreg%22%3D9"/>
    <x v="26"/>
    <s v="#1774B9"/>
  </r>
  <r>
    <s v="0667"/>
    <n v="990"/>
    <s v="Agencia Información"/>
    <s v="Educación"/>
    <n v="10"/>
    <x v="41"/>
    <x v="1"/>
    <x v="1"/>
    <x v="10"/>
    <x v="3"/>
    <x v="64"/>
    <s v="Periodo 2014-2019"/>
    <s v="Puntaje"/>
    <s v="Agencia de Calidad de la Educación"/>
    <s v="Resumen de Indicadores de Desarrollo Personal y Social por Dependencia de Establecimiento por comuna en la Región de Los Lagos, Periodo 2014-2019"/>
    <m/>
    <s v="Gráfico de Evolución"/>
    <s v="Región de Los Lagos calidad educación puntaje municipal subvencionado corporación particular autoestima convivencia hábitos salud participación desarrollo personal indicadores"/>
    <s v="https://analytics.zoho.com/open-view/2395394000007990413?ZOHO_CRITERIA=%22Localiza%20CL%22.%22Codreg%22%3D10"/>
    <x v="27"/>
    <s v="#1774B9"/>
  </r>
  <r>
    <s v="0668"/>
    <n v="990"/>
    <s v="Agencia Información"/>
    <s v="Educación"/>
    <n v="11"/>
    <x v="41"/>
    <x v="1"/>
    <x v="1"/>
    <x v="11"/>
    <x v="3"/>
    <x v="64"/>
    <s v="Periodo 2014-2019"/>
    <s v="Puntaje"/>
    <s v="Agencia de Calidad de la Educación"/>
    <s v="Resumen de Indicadores de Desarrollo Personal y Social por Dependencia de Establecimiento por comuna en la Región de Aysén, Periodo 2014-2019"/>
    <m/>
    <s v="Gráfico de Evolución"/>
    <s v="Región de Aysén calidad educación puntaje municipal subvencionado corporación particular autoestima convivencia hábitos salud participación desarrollo personal indicadores"/>
    <s v="https://analytics.zoho.com/open-view/2395394000007990413?ZOHO_CRITERIA=%22Localiza%20CL%22.%22Codreg%22%3D11"/>
    <x v="28"/>
    <s v="#1774B9"/>
  </r>
  <r>
    <s v="0669"/>
    <n v="990"/>
    <s v="Agencia Información"/>
    <s v="Educación"/>
    <n v="12"/>
    <x v="41"/>
    <x v="1"/>
    <x v="1"/>
    <x v="12"/>
    <x v="3"/>
    <x v="64"/>
    <s v="Periodo 2014-2019"/>
    <s v="Puntaje"/>
    <s v="Agencia de Calidad de la Educación"/>
    <s v="Resumen de Indicadores de Desarrollo Personal y Social por Dependencia de Establecimiento por comuna en la Región de Magallanes, Periodo 2014-2019"/>
    <m/>
    <s v="Gráfico de Evolución"/>
    <s v="Región de Magallanes calidad educación puntaje municipal subvencionado corporación particular autoestima convivencia hábitos salud participación desarrollo personal indicadores"/>
    <s v="https://analytics.zoho.com/open-view/2395394000007990413?ZOHO_CRITERIA=%22Localiza%20CL%22.%22Codreg%22%3D12"/>
    <x v="29"/>
    <s v="#1774B9"/>
  </r>
  <r>
    <s v="0670"/>
    <n v="990"/>
    <s v="Agencia Información"/>
    <s v="Educación"/>
    <n v="13"/>
    <x v="41"/>
    <x v="1"/>
    <x v="1"/>
    <x v="13"/>
    <x v="3"/>
    <x v="64"/>
    <s v="Periodo 2014-2019"/>
    <s v="Puntaje"/>
    <s v="Agencia de Calidad de la Educación"/>
    <s v="Resumen de Indicadores de Desarrollo Personal y Social por Dependencia de Establecimiento por comuna en la Región Metropolitana, Periodo 2014-2019"/>
    <m/>
    <s v="Gráfico de Evolución"/>
    <s v="Región Metropolitana calidad educación puntaje municipal subvencionado corporación particular autoestima convivencia hábitos salud participación desarrollo personal indicadores"/>
    <s v="https://analytics.zoho.com/open-view/2395394000007990413?ZOHO_CRITERIA=%22Localiza%20CL%22.%22Codreg%22%3D13"/>
    <x v="30"/>
    <s v="#1774B9"/>
  </r>
  <r>
    <s v="0671"/>
    <n v="990"/>
    <s v="Agencia Información"/>
    <s v="Educación"/>
    <n v="14"/>
    <x v="41"/>
    <x v="1"/>
    <x v="1"/>
    <x v="14"/>
    <x v="3"/>
    <x v="64"/>
    <s v="Periodo 2014-2019"/>
    <s v="Puntaje"/>
    <s v="Agencia de Calidad de la Educación"/>
    <s v="Resumen de Indicadores de Desarrollo Personal y Social por Dependencia de Establecimiento por comuna en la Región de Los Ríos, Periodo 2014-2019"/>
    <m/>
    <s v="Gráfico de Evolución"/>
    <s v="Región de Los Ríos calidad educación puntaje municipal subvencionado corporación particular autoestima convivencia hábitos salud participación desarrollo personal indicadores"/>
    <s v="https://analytics.zoho.com/open-view/2395394000007990413?ZOHO_CRITERIA=%22Localiza%20CL%22.%22Codreg%22%3D14"/>
    <x v="31"/>
    <s v="#1774B9"/>
  </r>
  <r>
    <s v="0672"/>
    <n v="990"/>
    <s v="Agencia Información"/>
    <s v="Educación"/>
    <n v="15"/>
    <x v="41"/>
    <x v="1"/>
    <x v="1"/>
    <x v="15"/>
    <x v="3"/>
    <x v="64"/>
    <s v="Periodo 2014-2019"/>
    <s v="Puntaje"/>
    <s v="Agencia de Calidad de la Educación"/>
    <s v="Resumen de Indicadores de Desarrollo Personal y Social por Dependencia de Establecimiento por comuna en la Región de Arica y Parinacota, Periodo 2014-2019"/>
    <m/>
    <s v="Gráfico de Evolución"/>
    <s v="Región de Arica y Parinacota calidad educación puntaje municipal subvencionado corporación particular autoestima convivencia hábitos salud participación desarrollo personal indicadores"/>
    <s v="https://analytics.zoho.com/open-view/2395394000007990413?ZOHO_CRITERIA=%22Localiza%20CL%22.%22Codreg%22%3D15"/>
    <x v="32"/>
    <s v="#1774B9"/>
  </r>
  <r>
    <s v="0673"/>
    <n v="990"/>
    <s v="Agencia Información"/>
    <s v="Educación"/>
    <n v="16"/>
    <x v="41"/>
    <x v="1"/>
    <x v="1"/>
    <x v="16"/>
    <x v="3"/>
    <x v="64"/>
    <s v="Periodo 2014-2019"/>
    <s v="Puntaje"/>
    <s v="Agencia de Calidad de la Educación"/>
    <s v="Resumen de Indicadores de Desarrollo Personal y Social por Dependencia de Establecimiento por comuna en la Región de Ñuble, Periodo 2014-2019"/>
    <m/>
    <s v="Gráfico de Evolución"/>
    <s v="Región de Ñuble calidad educación puntaje municipal subvencionado corporación particular autoestima convivencia hábitos salud participación desarrollo personal indicadores"/>
    <s v="https://analytics.zoho.com/open-view/2395394000007990413?ZOHO_CRITERIA=%22Localiza%20CL%22.%22Codreg%22%3D16"/>
    <x v="33"/>
    <s v="#1774B9"/>
  </r>
  <r>
    <s v="0674"/>
    <n v="990"/>
    <s v="Agencia Información"/>
    <s v="Educación"/>
    <n v="0"/>
    <x v="41"/>
    <x v="1"/>
    <x v="0"/>
    <x v="0"/>
    <x v="0"/>
    <x v="65"/>
    <s v="Periodo 2014-2019"/>
    <s v="Puntaje"/>
    <s v="Agencia de Calidad de la Educación"/>
    <s v="Mapa de distribución geográfica en Chile del Indicador de Autoestima Académica y Motivación Escolar, Periodo 2014-2019"/>
    <s v="La comuna de Pichidegua, de la región de O'Higgins, es la que presenta el mayor puntaje promedio del indicador de Autoestima académica y motivación escolar, alcanzando los 59,4 puntos, seguido de la comuna, seguido por la Comuna de Catemu, de la Región de Valparaíso, con 59 puntos, sin embargo a nivel nacional, para el año 2019, ninguna comuna del país supera los 44 puntos, para un indicador que va del 0 a 100 puntos."/>
    <s v="Mapa de calor"/>
    <s v="Chile calidad educación puntaje autoestima motivación escolar desarrollo personal indicador académica"/>
    <s v="https://analytics.zoho.com/open-view/2395394000007959800"/>
    <x v="0"/>
    <s v="#1774B9"/>
  </r>
  <r>
    <s v="0675"/>
    <n v="990"/>
    <s v="Agencia Información"/>
    <s v="Educación"/>
    <n v="1"/>
    <x v="41"/>
    <x v="1"/>
    <x v="1"/>
    <x v="1"/>
    <x v="1"/>
    <x v="65"/>
    <s v="Periodo 2014-2019"/>
    <s v="Puntaje"/>
    <s v="Agencia de Calidad de la Educación"/>
    <s v="Mapa de distribución geográfica en la Región de Tarapacá del Indicador de Autoestima Académica y Motivación Escolar, Periodo 2014-2019"/>
    <m/>
    <s v="Mapa de calor"/>
    <s v="Región de Tarapacá calidad educación puntaje autoestima motivación escolar desarrollo personal indicador académica"/>
    <s v="PENDIENTE"/>
    <x v="1"/>
    <s v="#1774B9"/>
  </r>
  <r>
    <s v="0676"/>
    <n v="990"/>
    <s v="Agencia Información"/>
    <s v="Educación"/>
    <n v="2"/>
    <x v="41"/>
    <x v="1"/>
    <x v="1"/>
    <x v="2"/>
    <x v="1"/>
    <x v="65"/>
    <s v="Periodo 2014-2019"/>
    <s v="Puntaje"/>
    <s v="Agencia de Calidad de la Educación"/>
    <s v="Mapa de distribución geográfica en la Región de Antofagasta del Indicador de Autoestima Académica y Motivación Escolar, Periodo 2014-2019"/>
    <m/>
    <s v="Mapa de calor"/>
    <s v="Región de Antofagasta calidad educación puntaje autoestima motivación escolar desarrollo personal indicador académica"/>
    <s v="PENDIENTE"/>
    <x v="2"/>
    <s v="#1774B9"/>
  </r>
  <r>
    <s v="0677"/>
    <n v="990"/>
    <s v="Agencia Información"/>
    <s v="Educación"/>
    <n v="3"/>
    <x v="41"/>
    <x v="1"/>
    <x v="1"/>
    <x v="3"/>
    <x v="1"/>
    <x v="65"/>
    <s v="Periodo 2014-2019"/>
    <s v="Puntaje"/>
    <s v="Agencia de Calidad de la Educación"/>
    <s v="Mapa de distribución geográfica en la Región de Atacama del Indicador de Autoestima Académica y Motivación Escolar, Periodo 2014-2019"/>
    <m/>
    <s v="Mapa de calor"/>
    <s v="Región de Atacama calidad educación puntaje autoestima motivación escolar desarrollo personal indicador académica"/>
    <s v="PENDIENTE"/>
    <x v="3"/>
    <s v="#1774B9"/>
  </r>
  <r>
    <s v="0678"/>
    <n v="990"/>
    <s v="Agencia Información"/>
    <s v="Educación"/>
    <n v="4"/>
    <x v="41"/>
    <x v="1"/>
    <x v="1"/>
    <x v="4"/>
    <x v="1"/>
    <x v="65"/>
    <s v="Periodo 2014-2019"/>
    <s v="Puntaje"/>
    <s v="Agencia de Calidad de la Educación"/>
    <s v="Mapa de distribución geográfica en la Región de Coquimbo del Indicador de Autoestima Académica y Motivación Escolar, Periodo 2014-2019"/>
    <m/>
    <s v="Mapa de calor"/>
    <s v="Región de Coquimbo calidad educación puntaje autoestima motivación escolar desarrollo personal indicador académica"/>
    <s v="PENDIENTE"/>
    <x v="4"/>
    <s v="#1774B9"/>
  </r>
  <r>
    <s v="0679"/>
    <n v="990"/>
    <s v="Agencia Información"/>
    <s v="Educación"/>
    <n v="5"/>
    <x v="41"/>
    <x v="1"/>
    <x v="1"/>
    <x v="5"/>
    <x v="1"/>
    <x v="65"/>
    <s v="Periodo 2014-2019"/>
    <s v="Puntaje"/>
    <s v="Agencia de Calidad de la Educación"/>
    <s v="Mapa de distribución geográfica en la Región de Valparaíso del Indicador de Autoestima Académica y Motivación Escolar, Periodo 2014-2019"/>
    <m/>
    <s v="Mapa de calor"/>
    <s v="Región de Valparaíso calidad educación puntaje autoestima motivación escolar desarrollo personal indicador académica"/>
    <s v="PENDIENTE"/>
    <x v="5"/>
    <s v="#1774B9"/>
  </r>
  <r>
    <s v="0680"/>
    <n v="990"/>
    <s v="Agencia Información"/>
    <s v="Educación"/>
    <n v="6"/>
    <x v="41"/>
    <x v="1"/>
    <x v="1"/>
    <x v="6"/>
    <x v="1"/>
    <x v="65"/>
    <s v="Periodo 2014-2019"/>
    <s v="Puntaje"/>
    <s v="Agencia de Calidad de la Educación"/>
    <s v="Mapa de distribución geográfica en la Región de O'Higgins del Indicador de Autoestima Académica y Motivación Escolar, Periodo 2014-2019"/>
    <m/>
    <s v="Mapa de calor"/>
    <s v="Región de O'Higgins calidad educación puntaje autoestima motivación escolar desarrollo personal indicador académica"/>
    <s v="PENDIENTE"/>
    <x v="6"/>
    <s v="#1774B9"/>
  </r>
  <r>
    <s v="0681"/>
    <n v="990"/>
    <s v="Agencia Información"/>
    <s v="Educación"/>
    <n v="7"/>
    <x v="41"/>
    <x v="1"/>
    <x v="1"/>
    <x v="7"/>
    <x v="1"/>
    <x v="65"/>
    <s v="Periodo 2014-2019"/>
    <s v="Puntaje"/>
    <s v="Agencia de Calidad de la Educación"/>
    <s v="Mapa de distribución geográfica en la Región de Maule del Indicador de Autoestima Académica y Motivación Escolar, Periodo 2014-2019"/>
    <m/>
    <s v="Mapa de calor"/>
    <s v="Región de Maule calidad educación puntaje autoestima motivación escolar desarrollo personal indicador académica"/>
    <s v="PENDIENTE"/>
    <x v="7"/>
    <s v="#1774B9"/>
  </r>
  <r>
    <s v="0682"/>
    <n v="990"/>
    <s v="Agencia Información"/>
    <s v="Educación"/>
    <n v="8"/>
    <x v="41"/>
    <x v="1"/>
    <x v="1"/>
    <x v="8"/>
    <x v="1"/>
    <x v="65"/>
    <s v="Periodo 2014-2019"/>
    <s v="Puntaje"/>
    <s v="Agencia de Calidad de la Educación"/>
    <s v="Mapa de distribución geográfica en la Región del Biobío del Indicador de Autoestima Académica y Motivación Escolar, Periodo 2014-2019"/>
    <m/>
    <s v="Mapa de calor"/>
    <s v="Región del Biobío calidad educación puntaje autoestima motivación escolar desarrollo personal indicador académica"/>
    <s v="PENDIENTE"/>
    <x v="8"/>
    <s v="#1774B9"/>
  </r>
  <r>
    <s v="0683"/>
    <n v="990"/>
    <s v="Agencia Información"/>
    <s v="Educación"/>
    <n v="9"/>
    <x v="41"/>
    <x v="1"/>
    <x v="1"/>
    <x v="9"/>
    <x v="1"/>
    <x v="65"/>
    <s v="Periodo 2014-2019"/>
    <s v="Puntaje"/>
    <s v="Agencia de Calidad de la Educación"/>
    <s v="Mapa de distribución geográfica en la Región de La Araucanía del Indicador de Autoestima Académica y Motivación Escolar, Periodo 2014-2019"/>
    <m/>
    <s v="Mapa de calor"/>
    <s v="Región de La Araucanía calidad educación puntaje autoestima motivación escolar desarrollo personal indicador académica"/>
    <s v="PENDIENTE"/>
    <x v="9"/>
    <s v="#1774B9"/>
  </r>
  <r>
    <s v="0684"/>
    <n v="990"/>
    <s v="Agencia Información"/>
    <s v="Educación"/>
    <n v="10"/>
    <x v="41"/>
    <x v="1"/>
    <x v="1"/>
    <x v="10"/>
    <x v="1"/>
    <x v="65"/>
    <s v="Periodo 2014-2019"/>
    <s v="Puntaje"/>
    <s v="Agencia de Calidad de la Educación"/>
    <s v="Mapa de distribución geográfica en la Región de Los Lagos del Indicador de Autoestima Académica y Motivación Escolar, Periodo 2014-2019"/>
    <m/>
    <s v="Mapa de calor"/>
    <s v="Región de Los Lagos calidad educación puntaje autoestima motivación escolar desarrollo personal indicador académica"/>
    <s v="PENDIENTE"/>
    <x v="10"/>
    <s v="#1774B9"/>
  </r>
  <r>
    <s v="0685"/>
    <n v="990"/>
    <s v="Agencia Información"/>
    <s v="Educación"/>
    <n v="11"/>
    <x v="41"/>
    <x v="1"/>
    <x v="1"/>
    <x v="11"/>
    <x v="1"/>
    <x v="65"/>
    <s v="Periodo 2014-2019"/>
    <s v="Puntaje"/>
    <s v="Agencia de Calidad de la Educación"/>
    <s v="Mapa de distribución geográfica en la Región de Aysén del Indicador de Autoestima Académica y Motivación Escolar, Periodo 2014-2019"/>
    <m/>
    <s v="Mapa de calor"/>
    <s v="Región de Aysén calidad educación puntaje autoestima motivación escolar desarrollo personal indicador académica"/>
    <s v="PENDIENTE"/>
    <x v="11"/>
    <s v="#1774B9"/>
  </r>
  <r>
    <s v="0686"/>
    <n v="990"/>
    <s v="Agencia Información"/>
    <s v="Educación"/>
    <n v="12"/>
    <x v="41"/>
    <x v="1"/>
    <x v="1"/>
    <x v="12"/>
    <x v="1"/>
    <x v="65"/>
    <s v="Periodo 2014-2019"/>
    <s v="Puntaje"/>
    <s v="Agencia de Calidad de la Educación"/>
    <s v="Mapa de distribución geográfica en la Región de Magallanes del Indicador de Autoestima Académica y Motivación Escolar, Periodo 2014-2019"/>
    <m/>
    <s v="Mapa de calor"/>
    <s v="Región de Magallanes calidad educación puntaje autoestima motivación escolar desarrollo personal indicador académica"/>
    <s v="PENDIENTE"/>
    <x v="12"/>
    <s v="#1774B9"/>
  </r>
  <r>
    <s v="0687"/>
    <n v="990"/>
    <s v="Agencia Información"/>
    <s v="Educación"/>
    <n v="13"/>
    <x v="41"/>
    <x v="1"/>
    <x v="1"/>
    <x v="13"/>
    <x v="1"/>
    <x v="65"/>
    <s v="Periodo 2014-2019"/>
    <s v="Puntaje"/>
    <s v="Agencia de Calidad de la Educación"/>
    <s v="Mapa de distribución geográfica en la Región Metropolitana del Indicador de Autoestima Académica y Motivación Escolar, Periodo 2014-2019"/>
    <m/>
    <s v="Mapa de calor"/>
    <s v="Región Metropolitana calidad educación puntaje autoestima motivación escolar desarrollo personal indicador académica"/>
    <s v="PENDIENTE"/>
    <x v="13"/>
    <s v="#1774B9"/>
  </r>
  <r>
    <s v="0688"/>
    <n v="990"/>
    <s v="Agencia Información"/>
    <s v="Educación"/>
    <n v="14"/>
    <x v="41"/>
    <x v="1"/>
    <x v="1"/>
    <x v="14"/>
    <x v="1"/>
    <x v="65"/>
    <s v="Periodo 2014-2019"/>
    <s v="Puntaje"/>
    <s v="Agencia de Calidad de la Educación"/>
    <s v="Mapa de distribución geográfica en la Región de Los Ríos del Indicador de Autoestima Académica y Motivación Escolar, Periodo 2014-2019"/>
    <m/>
    <s v="Mapa de calor"/>
    <s v="Región de Los Ríos calidad educación puntaje autoestima motivación escolar desarrollo personal indicador académica"/>
    <s v="PENDIENTE"/>
    <x v="14"/>
    <s v="#1774B9"/>
  </r>
  <r>
    <s v="0689"/>
    <n v="990"/>
    <s v="Agencia Información"/>
    <s v="Educación"/>
    <n v="15"/>
    <x v="41"/>
    <x v="1"/>
    <x v="1"/>
    <x v="15"/>
    <x v="1"/>
    <x v="65"/>
    <s v="Periodo 2014-2019"/>
    <s v="Puntaje"/>
    <s v="Agencia de Calidad de la Educación"/>
    <s v="Mapa de distribución geográfica en la Región de Arica y Parinacota del Indicador de Autoestima Académica y Motivación Escolar, Periodo 2014-2019"/>
    <m/>
    <s v="Mapa de calor"/>
    <s v="Región de Arica y Parinacota calidad educación puntaje autoestima motivación escolar desarrollo personal indicador académica"/>
    <s v="PENDIENTE"/>
    <x v="15"/>
    <s v="#1774B9"/>
  </r>
  <r>
    <s v="0690"/>
    <n v="990"/>
    <s v="Agencia Información"/>
    <s v="Educación"/>
    <n v="16"/>
    <x v="41"/>
    <x v="1"/>
    <x v="1"/>
    <x v="16"/>
    <x v="1"/>
    <x v="65"/>
    <s v="Periodo 2014-2019"/>
    <s v="Puntaje"/>
    <s v="Agencia de Calidad de la Educación"/>
    <s v="Mapa de distribución geográfica en la Región de Ñuble del Indicador de Autoestima Académica y Motivación Escolar, Periodo 2014-2019"/>
    <m/>
    <s v="Mapa de calor"/>
    <s v="Región de Ñuble calidad educación puntaje autoestima motivación escolar desarrollo personal indicador académica"/>
    <s v="PENDIENTE"/>
    <x v="16"/>
    <s v="#1774B9"/>
  </r>
  <r>
    <s v="0691"/>
    <n v="990"/>
    <s v="Agencia Información"/>
    <s v="Educación"/>
    <n v="0"/>
    <x v="41"/>
    <x v="1"/>
    <x v="0"/>
    <x v="0"/>
    <x v="0"/>
    <x v="66"/>
    <s v="Periodo 2014-2019"/>
    <s v="Puntaje"/>
    <s v="Agencia de Calidad de la Educación"/>
    <s v="Evolución del Indicador de Clima de Convivencia Escolar por Dependencia de Establecimientos en Chile, Periodo 2014-2019"/>
    <s v="Durante el periodo comprendido entre los años 2014 al 2019, los establecimientos de educación de Corporación de administración delegada, es decir aquellos establecimientos de educación técnico profesional, de propiedad del Estado, que son financiados a través de convenios de administración suscritos por entidades de derecho privado, son los que presentan el mayor puntaje del indicador de Clima de Convivencia Escolar, sin embargo el año 2019, el puntaje cae considerablemente, incluso con puntajes más bajos que los colegios de otras dependencias."/>
    <s v="Gráfico de Evolución"/>
    <s v="Chile calidad educación puntaje municipal subvencionado corporación particular convivencia escolar indicador"/>
    <s v="https://analytics.zoho.com/open-view/2395394000007946934"/>
    <x v="0"/>
    <s v="#1774B9"/>
  </r>
  <r>
    <s v="0692"/>
    <n v="990"/>
    <s v="Agencia Información"/>
    <s v="Educación"/>
    <n v="1"/>
    <x v="41"/>
    <x v="1"/>
    <x v="1"/>
    <x v="1"/>
    <x v="1"/>
    <x v="66"/>
    <s v="Periodo 2014-2019"/>
    <s v="Puntaje"/>
    <s v="Agencia de Calidad de la Educación"/>
    <s v="Evolución del Indicador de Clima de Convivencia Escolar por Dependencia de Establecimientos en la Región de Tarapacá, Periodo 2014-2019"/>
    <m/>
    <s v="Gráfico de Evolución"/>
    <s v="Región de Tarapacá calidad educación puntaje municipal subvencionado corporación particular convivencia escolar indicador"/>
    <s v="PENDIENTE"/>
    <x v="1"/>
    <s v="#1774B9"/>
  </r>
  <r>
    <s v="0693"/>
    <n v="990"/>
    <s v="Agencia Información"/>
    <s v="Educación"/>
    <n v="2"/>
    <x v="41"/>
    <x v="1"/>
    <x v="1"/>
    <x v="2"/>
    <x v="1"/>
    <x v="66"/>
    <s v="Periodo 2014-2019"/>
    <s v="Puntaje"/>
    <s v="Agencia de Calidad de la Educación"/>
    <s v="Evolución del Indicador de Clima de Convivencia Escolar por Dependencia de Establecimientos en la Región de Antofagasta, Periodo 2014-2019"/>
    <m/>
    <s v="Gráfico de Evolución"/>
    <s v="Región de Antofagasta calidad educación puntaje municipal subvencionado corporación particular convivencia escolar indicador"/>
    <s v="PENDIENTE"/>
    <x v="2"/>
    <s v="#1774B9"/>
  </r>
  <r>
    <s v="0694"/>
    <n v="990"/>
    <s v="Agencia Información"/>
    <s v="Educación"/>
    <n v="3"/>
    <x v="41"/>
    <x v="1"/>
    <x v="1"/>
    <x v="3"/>
    <x v="1"/>
    <x v="66"/>
    <s v="Periodo 2014-2019"/>
    <s v="Puntaje"/>
    <s v="Agencia de Calidad de la Educación"/>
    <s v="Evolución del Indicador de Clima de Convivencia Escolar por Dependencia de Establecimientos en la Región de Atacama, Periodo 2014-2019"/>
    <m/>
    <s v="Gráfico de Evolución"/>
    <s v="Región de Atacama calidad educación puntaje municipal subvencionado corporación particular convivencia escolar indicador"/>
    <s v="PENDIENTE"/>
    <x v="3"/>
    <s v="#1774B9"/>
  </r>
  <r>
    <s v="0695"/>
    <n v="990"/>
    <s v="Agencia Información"/>
    <s v="Educación"/>
    <n v="4"/>
    <x v="41"/>
    <x v="1"/>
    <x v="1"/>
    <x v="4"/>
    <x v="1"/>
    <x v="66"/>
    <s v="Periodo 2014-2019"/>
    <s v="Puntaje"/>
    <s v="Agencia de Calidad de la Educación"/>
    <s v="Evolución del Indicador de Clima de Convivencia Escolar por Dependencia de Establecimientos en la Región de Coquimbo, Periodo 2014-2019"/>
    <m/>
    <s v="Gráfico de Evolución"/>
    <s v="Región de Coquimbo calidad educación puntaje municipal subvencionado corporación particular convivencia escolar indicador"/>
    <s v="PENDIENTE"/>
    <x v="4"/>
    <s v="#1774B9"/>
  </r>
  <r>
    <s v="0696"/>
    <n v="990"/>
    <s v="Agencia Información"/>
    <s v="Educación"/>
    <n v="5"/>
    <x v="41"/>
    <x v="1"/>
    <x v="1"/>
    <x v="5"/>
    <x v="1"/>
    <x v="66"/>
    <s v="Periodo 2014-2019"/>
    <s v="Puntaje"/>
    <s v="Agencia de Calidad de la Educación"/>
    <s v="Evolución del Indicador de Clima de Convivencia Escolar por Dependencia de Establecimientos en la Región de Valparaíso, Periodo 2014-2019"/>
    <m/>
    <s v="Gráfico de Evolución"/>
    <s v="Región de Valparaíso calidad educación puntaje municipal subvencionado corporación particular convivencia escolar indicador"/>
    <s v="PENDIENTE"/>
    <x v="5"/>
    <s v="#1774B9"/>
  </r>
  <r>
    <s v="0697"/>
    <n v="990"/>
    <s v="Agencia Información"/>
    <s v="Educación"/>
    <n v="6"/>
    <x v="41"/>
    <x v="1"/>
    <x v="1"/>
    <x v="6"/>
    <x v="1"/>
    <x v="66"/>
    <s v="Periodo 2014-2019"/>
    <s v="Puntaje"/>
    <s v="Agencia de Calidad de la Educación"/>
    <s v="Evolución del Indicador de Clima de Convivencia Escolar por Dependencia de Establecimientos en la Región de O'Higgins, Periodo 2014-2019"/>
    <m/>
    <s v="Gráfico de Evolución"/>
    <s v="Región de O'Higgins calidad educación puntaje municipal subvencionado corporación particular convivencia escolar indicador"/>
    <s v="PENDIENTE"/>
    <x v="6"/>
    <s v="#1774B9"/>
  </r>
  <r>
    <s v="0698"/>
    <n v="990"/>
    <s v="Agencia Información"/>
    <s v="Educación"/>
    <n v="7"/>
    <x v="41"/>
    <x v="1"/>
    <x v="1"/>
    <x v="7"/>
    <x v="1"/>
    <x v="66"/>
    <s v="Periodo 2014-2019"/>
    <s v="Puntaje"/>
    <s v="Agencia de Calidad de la Educación"/>
    <s v="Evolución del Indicador de Clima de Convivencia Escolar por Dependencia de Establecimientos en la Región de Maule, Periodo 2014-2019"/>
    <m/>
    <s v="Gráfico de Evolución"/>
    <s v="Región de Maule calidad educación puntaje municipal subvencionado corporación particular convivencia escolar indicador"/>
    <s v="PENDIENTE"/>
    <x v="7"/>
    <s v="#1774B9"/>
  </r>
  <r>
    <s v="0699"/>
    <n v="990"/>
    <s v="Agencia Información"/>
    <s v="Educación"/>
    <n v="8"/>
    <x v="41"/>
    <x v="1"/>
    <x v="1"/>
    <x v="8"/>
    <x v="1"/>
    <x v="66"/>
    <s v="Periodo 2014-2019"/>
    <s v="Puntaje"/>
    <s v="Agencia de Calidad de la Educación"/>
    <s v="Evolución del Indicador de Clima de Convivencia Escolar por Dependencia de Establecimientos en la Región del Biobío, Periodo 2014-2019"/>
    <m/>
    <s v="Gráfico de Evolución"/>
    <s v="Región del Biobío calidad educación puntaje municipal subvencionado corporación particular convivencia escolar indicador"/>
    <s v="PENDIENTE"/>
    <x v="8"/>
    <s v="#1774B9"/>
  </r>
  <r>
    <s v="0700"/>
    <n v="990"/>
    <s v="Agencia Información"/>
    <s v="Educación"/>
    <n v="9"/>
    <x v="41"/>
    <x v="1"/>
    <x v="1"/>
    <x v="9"/>
    <x v="1"/>
    <x v="66"/>
    <s v="Periodo 2014-2019"/>
    <s v="Puntaje"/>
    <s v="Agencia de Calidad de la Educación"/>
    <s v="Evolución del Indicador de Clima de Convivencia Escolar por Dependencia de Establecimientos en la Región de La Araucanía, Periodo 2014-2019"/>
    <m/>
    <s v="Gráfico de Evolución"/>
    <s v="Región de La Araucanía calidad educación puntaje municipal subvencionado corporación particular convivencia escolar indicador"/>
    <s v="PENDIENTE"/>
    <x v="9"/>
    <s v="#1774B9"/>
  </r>
  <r>
    <s v="0701"/>
    <n v="990"/>
    <s v="Agencia Información"/>
    <s v="Educación"/>
    <n v="10"/>
    <x v="41"/>
    <x v="1"/>
    <x v="1"/>
    <x v="10"/>
    <x v="1"/>
    <x v="66"/>
    <s v="Periodo 2014-2019"/>
    <s v="Puntaje"/>
    <s v="Agencia de Calidad de la Educación"/>
    <s v="Evolución del Indicador de Clima de Convivencia Escolar por Dependencia de Establecimientos en la Región de Los Lagos, Periodo 2014-2019"/>
    <m/>
    <s v="Gráfico de Evolución"/>
    <s v="Región de Los Lagos calidad educación puntaje municipal subvencionado corporación particular convivencia escolar indicador"/>
    <s v="PENDIENTE"/>
    <x v="10"/>
    <s v="#1774B9"/>
  </r>
  <r>
    <s v="0702"/>
    <n v="990"/>
    <s v="Agencia Información"/>
    <s v="Educación"/>
    <n v="11"/>
    <x v="41"/>
    <x v="1"/>
    <x v="1"/>
    <x v="11"/>
    <x v="1"/>
    <x v="66"/>
    <s v="Periodo 2014-2019"/>
    <s v="Puntaje"/>
    <s v="Agencia de Calidad de la Educación"/>
    <s v="Evolución del Indicador de Clima de Convivencia Escolar por Dependencia de Establecimientos en la Región de Aysén, Periodo 2014-2019"/>
    <m/>
    <s v="Gráfico de Evolución"/>
    <s v="Región de Aysén calidad educación puntaje municipal subvencionado corporación particular convivencia escolar indicador"/>
    <s v="PENDIENTE"/>
    <x v="11"/>
    <s v="#1774B9"/>
  </r>
  <r>
    <s v="0703"/>
    <n v="990"/>
    <s v="Agencia Información"/>
    <s v="Educación"/>
    <n v="12"/>
    <x v="41"/>
    <x v="1"/>
    <x v="1"/>
    <x v="12"/>
    <x v="1"/>
    <x v="66"/>
    <s v="Periodo 2014-2019"/>
    <s v="Puntaje"/>
    <s v="Agencia de Calidad de la Educación"/>
    <s v="Evolución del Indicador de Clima de Convivencia Escolar por Dependencia de Establecimientos en la Región de Magallanes, Periodo 2014-2019"/>
    <m/>
    <s v="Gráfico de Evolución"/>
    <s v="Región de Magallanes calidad educación puntaje municipal subvencionado corporación particular convivencia escolar indicador"/>
    <s v="PENDIENTE"/>
    <x v="12"/>
    <s v="#1774B9"/>
  </r>
  <r>
    <s v="0704"/>
    <n v="990"/>
    <s v="Agencia Información"/>
    <s v="Educación"/>
    <n v="13"/>
    <x v="41"/>
    <x v="1"/>
    <x v="1"/>
    <x v="13"/>
    <x v="1"/>
    <x v="66"/>
    <s v="Periodo 2014-2019"/>
    <s v="Puntaje"/>
    <s v="Agencia de Calidad de la Educación"/>
    <s v="Evolución del Indicador de Clima de Convivencia Escolar por Dependencia de Establecimientos en la Región Metropolitana, Periodo 2014-2019"/>
    <m/>
    <s v="Gráfico de Evolución"/>
    <s v="Región Metropolitana calidad educación puntaje municipal subvencionado corporación particular convivencia escolar indicador"/>
    <s v="PENDIENTE"/>
    <x v="13"/>
    <s v="#1774B9"/>
  </r>
  <r>
    <s v="0705"/>
    <n v="990"/>
    <s v="Agencia Información"/>
    <s v="Educación"/>
    <n v="14"/>
    <x v="41"/>
    <x v="1"/>
    <x v="1"/>
    <x v="14"/>
    <x v="1"/>
    <x v="66"/>
    <s v="Periodo 2014-2019"/>
    <s v="Puntaje"/>
    <s v="Agencia de Calidad de la Educación"/>
    <s v="Evolución del Indicador de Clima de Convivencia Escolar por Dependencia de Establecimientos en la Región de Los Ríos, Periodo 2014-2019"/>
    <m/>
    <s v="Gráfico de Evolución"/>
    <s v="Región de Los Ríos calidad educación puntaje municipal subvencionado corporación particular convivencia escolar indicador"/>
    <s v="PENDIENTE"/>
    <x v="14"/>
    <s v="#1774B9"/>
  </r>
  <r>
    <s v="0706"/>
    <n v="990"/>
    <s v="Agencia Información"/>
    <s v="Educación"/>
    <n v="15"/>
    <x v="41"/>
    <x v="1"/>
    <x v="1"/>
    <x v="15"/>
    <x v="1"/>
    <x v="66"/>
    <s v="Periodo 2014-2019"/>
    <s v="Puntaje"/>
    <s v="Agencia de Calidad de la Educación"/>
    <s v="Evolución del Indicador de Clima de Convivencia Escolar por Dependencia de Establecimientos en la Región de Arica y Parinacota, Periodo 2014-2019"/>
    <m/>
    <s v="Gráfico de Evolución"/>
    <s v="Región de Arica y Parinacota calidad educación puntaje municipal subvencionado corporación particular convivencia escolar indicador"/>
    <s v="PENDIENTE"/>
    <x v="15"/>
    <s v="#1774B9"/>
  </r>
  <r>
    <s v="0707"/>
    <n v="990"/>
    <s v="Agencia Información"/>
    <s v="Educación"/>
    <n v="16"/>
    <x v="41"/>
    <x v="1"/>
    <x v="1"/>
    <x v="16"/>
    <x v="1"/>
    <x v="66"/>
    <s v="Periodo 2014-2019"/>
    <s v="Puntaje"/>
    <s v="Agencia de Calidad de la Educación"/>
    <s v="Evolución del Indicador de Clima de Convivencia Escolar por Dependencia de Establecimientos en la Región de Ñuble, Periodo 2014-2019"/>
    <m/>
    <s v="Gráfico de Evolución"/>
    <s v="Región de Ñuble calidad educación puntaje municipal subvencionado corporación particular convivencia escolar indicador"/>
    <s v="PENDIENTE"/>
    <x v="16"/>
    <s v="#1774B9"/>
  </r>
  <r>
    <s v="0708"/>
    <n v="990"/>
    <s v="Agencia Información"/>
    <s v="Vivienda y Construcción"/>
    <n v="0"/>
    <x v="42"/>
    <x v="23"/>
    <x v="0"/>
    <x v="0"/>
    <x v="1"/>
    <x v="67"/>
    <s v="Periodo 2020-2021"/>
    <s v="m2"/>
    <s v="Instituto Nacional de Estadísticas (INE)"/>
    <s v="Superficie de Solicitudes de Edificación Autorizadas por Categoría en Chile, Periodo 2020-2021"/>
    <s v="Al comparar la superficie autorizada para edificaciones entre los meses de mayo del 2020 y 2021, se observa que las obras nuevas disminuyeron, mientras que las ampliaciones aumentaron, sin importar si la edificación posee un uso habitacional o no habitacional."/>
    <s v="Gráfico animado"/>
    <s v="Chile solicitudes edificación superficie autorizadas habitacional ampliaciones obras nuevas"/>
    <s v="https://public.flourish.studio/visualisation/6691988/"/>
    <x v="34"/>
    <s v="#1774B9"/>
  </r>
  <r>
    <s v="0709"/>
    <n v="990"/>
    <s v="Agencia Información"/>
    <s v="Economía"/>
    <n v="0"/>
    <x v="43"/>
    <x v="11"/>
    <x v="0"/>
    <x v="0"/>
    <x v="0"/>
    <x v="68"/>
    <s v="Año 2019"/>
    <s v="Personas"/>
    <s v="Servicio de Impuestos Internos (SII)"/>
    <s v="Número trabajadores dependientes informados por género según tamaño de empresa en Chile, Año 2019"/>
    <s v="Para el año 2019, las empresas que tuvieron más trabajadores dependientes informados fueron las correspondientes al tramo Grande 4, es decir, empresas con ganancias mayores a UF 1.000.000. En este tramo, la cantidad de trabajadores hombres superó en aproximadamente 1.000.000 a la cantidad de trabajadoras mujeres."/>
    <s v="Gráfico"/>
    <s v="Chile trabajadores dependientes informados tramo empresas ventas anuales grande mediana pequeña micro mujeres sexo hombres género sii"/>
    <s v="https://analytics.zoho.com/open-view/2395394000008038558"/>
    <x v="0"/>
    <s v="#1774B9"/>
  </r>
  <r>
    <s v="0710"/>
    <n v="990"/>
    <s v="Agencia Información"/>
    <s v="Economía"/>
    <n v="1"/>
    <x v="43"/>
    <x v="11"/>
    <x v="1"/>
    <x v="1"/>
    <x v="1"/>
    <x v="68"/>
    <s v="Año 2019"/>
    <s v="Personas"/>
    <s v="Servicio de Impuestos Internos (SII)"/>
    <s v="Número trabajadores dependientes informados por sexo según tamaño de empresa en la Región de Tarapacá, Año 2019"/>
    <m/>
    <s v="Gráfico"/>
    <s v="Región de Tarapacá trabajadores dependientes informados tramo empresas ventas anuales grande mediana pequeña micro mujeres sexo hombres género sii"/>
    <s v="https://analytics.zoho.com/open-view/2395394000008435819?ZOHO_CRITERIA=%225.1%20Empresas_Tama%C3%B1o%22.%22Cod_Regi%C3%B3n%22%3D1"/>
    <x v="1"/>
    <s v="#1774B9"/>
  </r>
  <r>
    <s v="0711"/>
    <n v="990"/>
    <s v="Agencia Información"/>
    <s v="Economía"/>
    <n v="2"/>
    <x v="43"/>
    <x v="11"/>
    <x v="1"/>
    <x v="2"/>
    <x v="1"/>
    <x v="68"/>
    <s v="Año 2019"/>
    <s v="Personas"/>
    <s v="Servicio de Impuestos Internos (SII)"/>
    <s v="Número trabajadores dependientes informados por sexo según tamaño de empresa en la Región de Antofagasta, Año 2019"/>
    <m/>
    <s v="Gráfico"/>
    <s v="Región de Antofagasta trabajadores dependientes informados tramo empresas ventas anuales grande mediana pequeña micro mujeres sexo hombres género sii"/>
    <s v="https://analytics.zoho.com/open-view/2395394000008435819?ZOHO_CRITERIA=%225.1%20Empresas_Tama%C3%B1o%22.%22Cod_Regi%C3%B3n%22%3D2"/>
    <x v="2"/>
    <s v="#1774B9"/>
  </r>
  <r>
    <s v="0712"/>
    <n v="990"/>
    <s v="Agencia Información"/>
    <s v="Economía"/>
    <n v="3"/>
    <x v="43"/>
    <x v="11"/>
    <x v="1"/>
    <x v="3"/>
    <x v="1"/>
    <x v="68"/>
    <s v="Año 2019"/>
    <s v="Personas"/>
    <s v="Servicio de Impuestos Internos (SII)"/>
    <s v="Número trabajadores dependientes informados por sexo según tamaño de empresa en la Región de Atacama, Año 2019"/>
    <m/>
    <s v="Gráfico"/>
    <s v="Región de Atacama trabajadores dependientes informados tramo empresas ventas anuales grande mediana pequeña micro mujeres sexo hombres género sii"/>
    <s v="https://analytics.zoho.com/open-view/2395394000008435819?ZOHO_CRITERIA=%225.1%20Empresas_Tama%C3%B1o%22.%22Cod_Regi%C3%B3n%22%3D3"/>
    <x v="3"/>
    <s v="#1774B9"/>
  </r>
  <r>
    <s v="0713"/>
    <n v="990"/>
    <s v="Agencia Información"/>
    <s v="Economía"/>
    <n v="4"/>
    <x v="43"/>
    <x v="11"/>
    <x v="1"/>
    <x v="4"/>
    <x v="1"/>
    <x v="68"/>
    <s v="Año 2019"/>
    <s v="Personas"/>
    <s v="Servicio de Impuestos Internos (SII)"/>
    <s v="Número trabajadores dependientes informados por sexo según tamaño de empresa en la Región de Coquimbo, Año 2019"/>
    <m/>
    <s v="Gráfico"/>
    <s v="Región de Coquimbo trabajadores dependientes informados tramo empresas ventas anuales grande mediana pequeña micro mujeres sexo hombres género sii"/>
    <s v="https://analytics.zoho.com/open-view/2395394000008435819?ZOHO_CRITERIA=%225.1%20Empresas_Tama%C3%B1o%22.%22Cod_Regi%C3%B3n%22%3D4"/>
    <x v="4"/>
    <s v="#1774B9"/>
  </r>
  <r>
    <s v="0714"/>
    <n v="990"/>
    <s v="Agencia Información"/>
    <s v="Economía"/>
    <n v="5"/>
    <x v="43"/>
    <x v="11"/>
    <x v="1"/>
    <x v="5"/>
    <x v="1"/>
    <x v="68"/>
    <s v="Año 2019"/>
    <s v="Personas"/>
    <s v="Servicio de Impuestos Internos (SII)"/>
    <s v="Número trabajadores dependientes informados por sexo según tamaño de empresa en la Región de Valparaíso, Año 2019"/>
    <m/>
    <s v="Gráfico"/>
    <s v="Región de Valparaíso trabajadores dependientes informados tramo empresas ventas anuales grande mediana pequeña micro mujeres sexo hombres género sii"/>
    <s v="https://analytics.zoho.com/open-view/2395394000008435819?ZOHO_CRITERIA=%225.1%20Empresas_Tama%C3%B1o%22.%22Cod_Regi%C3%B3n%22%3D5"/>
    <x v="5"/>
    <s v="#1774B9"/>
  </r>
  <r>
    <s v="0715"/>
    <n v="990"/>
    <s v="Agencia Información"/>
    <s v="Economía"/>
    <n v="6"/>
    <x v="43"/>
    <x v="11"/>
    <x v="1"/>
    <x v="6"/>
    <x v="1"/>
    <x v="68"/>
    <s v="Año 2019"/>
    <s v="Personas"/>
    <s v="Servicio de Impuestos Internos (SII)"/>
    <s v="Número trabajadores dependientes informados por sexo según tamaño de empresa en la Región de O'Higgins, Año 2019"/>
    <m/>
    <s v="Gráfico"/>
    <s v="Región de O'Higgins trabajadores dependientes informados tramo empresas ventas anuales grande mediana pequeña micro mujeres sexo hombres género sii"/>
    <s v="https://analytics.zoho.com/open-view/2395394000008435819?ZOHO_CRITERIA=%225.1%20Empresas_Tama%C3%B1o%22.%22Cod_Regi%C3%B3n%22%3D6"/>
    <x v="6"/>
    <s v="#1774B9"/>
  </r>
  <r>
    <s v="0716"/>
    <n v="990"/>
    <s v="Agencia Información"/>
    <s v="Economía"/>
    <n v="7"/>
    <x v="43"/>
    <x v="11"/>
    <x v="1"/>
    <x v="7"/>
    <x v="1"/>
    <x v="68"/>
    <s v="Año 2019"/>
    <s v="Personas"/>
    <s v="Servicio de Impuestos Internos (SII)"/>
    <s v="Número trabajadores dependientes informados por sexo según tamaño de empresa en la Región de Maule, Año 2019"/>
    <m/>
    <s v="Gráfico"/>
    <s v="Región de Maule trabajadores dependientes informados tramo empresas ventas anuales grande mediana pequeña micro mujeres sexo hombres género sii"/>
    <s v="https://analytics.zoho.com/open-view/2395394000008435819?ZOHO_CRITERIA=%225.1%20Empresas_Tama%C3%B1o%22.%22Cod_Regi%C3%B3n%22%3D7"/>
    <x v="7"/>
    <s v="#1774B9"/>
  </r>
  <r>
    <s v="0717"/>
    <n v="990"/>
    <s v="Agencia Información"/>
    <s v="Economía"/>
    <n v="8"/>
    <x v="43"/>
    <x v="11"/>
    <x v="1"/>
    <x v="8"/>
    <x v="1"/>
    <x v="68"/>
    <s v="Año 2019"/>
    <s v="Personas"/>
    <s v="Servicio de Impuestos Internos (SII)"/>
    <s v="Número trabajadores dependientes informados por sexo según tamaño de empresa en la Región del Biobío, Año 2019"/>
    <m/>
    <s v="Gráfico"/>
    <s v="Región del Biobío trabajadores dependientes informados tramo empresas ventas anuales grande mediana pequeña micro mujeres sexo hombres género sii"/>
    <s v="https://analytics.zoho.com/open-view/2395394000008435819?ZOHO_CRITERIA=%225.1%20Empresas_Tama%C3%B1o%22.%22Cod_Regi%C3%B3n%22%3D8"/>
    <x v="8"/>
    <s v="#1774B9"/>
  </r>
  <r>
    <s v="0718"/>
    <n v="990"/>
    <s v="Agencia Información"/>
    <s v="Economía"/>
    <n v="9"/>
    <x v="43"/>
    <x v="11"/>
    <x v="1"/>
    <x v="9"/>
    <x v="1"/>
    <x v="68"/>
    <s v="Año 2019"/>
    <s v="Personas"/>
    <s v="Servicio de Impuestos Internos (SII)"/>
    <s v="Número trabajadores dependientes informados por sexo según tamaño de empresa en la Región de La Araucanía, Año 2019"/>
    <m/>
    <s v="Gráfico"/>
    <s v="Región de La Araucanía trabajadores dependientes informados tramo empresas ventas anuales grande mediana pequeña micro mujeres sexo hombres género sii"/>
    <s v="https://analytics.zoho.com/open-view/2395394000008435819?ZOHO_CRITERIA=%225.1%20Empresas_Tama%C3%B1o%22.%22Cod_Regi%C3%B3n%22%3D9"/>
    <x v="9"/>
    <s v="#1774B9"/>
  </r>
  <r>
    <s v="0719"/>
    <n v="990"/>
    <s v="Agencia Información"/>
    <s v="Economía"/>
    <n v="10"/>
    <x v="43"/>
    <x v="11"/>
    <x v="1"/>
    <x v="10"/>
    <x v="1"/>
    <x v="68"/>
    <s v="Año 2019"/>
    <s v="Personas"/>
    <s v="Servicio de Impuestos Internos (SII)"/>
    <s v="Número trabajadores dependientes informados por sexo según tamaño de empresa en la Región de Los Lagos, Año 2019"/>
    <m/>
    <s v="Gráfico"/>
    <s v="Región de Los Lagos trabajadores dependientes informados tramo empresas ventas anuales grande mediana pequeña micro mujeres sexo hombres género sii"/>
    <s v="https://analytics.zoho.com/open-view/2395394000008435819?ZOHO_CRITERIA=%225.1%20Empresas_Tama%C3%B1o%22.%22Cod_Regi%C3%B3n%22%3D10"/>
    <x v="10"/>
    <s v="#1774B9"/>
  </r>
  <r>
    <s v="0720"/>
    <n v="990"/>
    <s v="Agencia Información"/>
    <s v="Economía"/>
    <n v="11"/>
    <x v="43"/>
    <x v="11"/>
    <x v="1"/>
    <x v="11"/>
    <x v="1"/>
    <x v="68"/>
    <s v="Año 2019"/>
    <s v="Personas"/>
    <s v="Servicio de Impuestos Internos (SII)"/>
    <s v="Número trabajadores dependientes informados por sexo según tamaño de empresa en la Región de Aysén, Año 2019"/>
    <m/>
    <s v="Gráfico"/>
    <s v="Región de Aysén trabajadores dependientes informados tramo empresas ventas anuales grande mediana pequeña micro mujeres sexo hombres género sii"/>
    <s v="https://analytics.zoho.com/open-view/2395394000008435819?ZOHO_CRITERIA=%225.1%20Empresas_Tama%C3%B1o%22.%22Cod_Regi%C3%B3n%22%3D11"/>
    <x v="11"/>
    <s v="#1774B9"/>
  </r>
  <r>
    <s v="0721"/>
    <n v="990"/>
    <s v="Agencia Información"/>
    <s v="Economía"/>
    <n v="12"/>
    <x v="43"/>
    <x v="11"/>
    <x v="1"/>
    <x v="12"/>
    <x v="1"/>
    <x v="68"/>
    <s v="Año 2019"/>
    <s v="Personas"/>
    <s v="Servicio de Impuestos Internos (SII)"/>
    <s v="Número trabajadores dependientes informados por sexo según tamaño de empresa en la Región de Magallanes, Año 2019"/>
    <m/>
    <s v="Gráfico"/>
    <s v="Región de Magallanes trabajadores dependientes informados tramo empresas ventas anuales grande mediana pequeña micro mujeres sexo hombres género sii"/>
    <s v="https://analytics.zoho.com/open-view/2395394000008435819?ZOHO_CRITERIA=%225.1%20Empresas_Tama%C3%B1o%22.%22Cod_Regi%C3%B3n%22%3D12"/>
    <x v="12"/>
    <s v="#1774B9"/>
  </r>
  <r>
    <s v="0722"/>
    <n v="990"/>
    <s v="Agencia Información"/>
    <s v="Economía"/>
    <n v="13"/>
    <x v="43"/>
    <x v="11"/>
    <x v="1"/>
    <x v="13"/>
    <x v="1"/>
    <x v="68"/>
    <s v="Año 2019"/>
    <s v="Personas"/>
    <s v="Servicio de Impuestos Internos (SII)"/>
    <s v="Número trabajadores dependientes informados por sexo según tamaño de empresa en la Región Metropolitana, Año 2019"/>
    <m/>
    <s v="Gráfico"/>
    <s v="Región Metropolitana trabajadores dependientes informados tramo empresas ventas anuales grande mediana pequeña micro mujeres sexo hombres género sii"/>
    <s v="https://analytics.zoho.com/open-view/2395394000008435819?ZOHO_CRITERIA=%225.1%20Empresas_Tama%C3%B1o%22.%22Cod_Regi%C3%B3n%22%3D13"/>
    <x v="13"/>
    <s v="#1774B9"/>
  </r>
  <r>
    <s v="0723"/>
    <n v="990"/>
    <s v="Agencia Información"/>
    <s v="Economía"/>
    <n v="14"/>
    <x v="43"/>
    <x v="11"/>
    <x v="1"/>
    <x v="14"/>
    <x v="1"/>
    <x v="68"/>
    <s v="Año 2019"/>
    <s v="Personas"/>
    <s v="Servicio de Impuestos Internos (SII)"/>
    <s v="Número trabajadores dependientes informados por sexo según tamaño de empresa en la Región de Los Ríos, Año 2019"/>
    <m/>
    <s v="Gráfico"/>
    <s v="Región de Los Ríos trabajadores dependientes informados tramo empresas ventas anuales grande mediana pequeña micro mujeres sexo hombres género sii"/>
    <s v="https://analytics.zoho.com/open-view/2395394000008435819?ZOHO_CRITERIA=%225.1%20Empresas_Tama%C3%B1o%22.%22Cod_Regi%C3%B3n%22%3D14"/>
    <x v="14"/>
    <s v="#1774B9"/>
  </r>
  <r>
    <s v="0724"/>
    <n v="990"/>
    <s v="Agencia Información"/>
    <s v="Economía"/>
    <n v="15"/>
    <x v="43"/>
    <x v="11"/>
    <x v="1"/>
    <x v="15"/>
    <x v="1"/>
    <x v="68"/>
    <s v="Año 2019"/>
    <s v="Personas"/>
    <s v="Servicio de Impuestos Internos (SII)"/>
    <s v="Número trabajadores dependientes informados por sexo según tamaño de empresa en la Región de Arica y Parinacota, Año 2019"/>
    <m/>
    <s v="Gráfico"/>
    <s v="Región de Arica y Parinacota trabajadores dependientes informados tramo empresas ventas anuales grande mediana pequeña micro mujeres sexo hombres género sii"/>
    <s v="https://analytics.zoho.com/open-view/2395394000008435819?ZOHO_CRITERIA=%225.1%20Empresas_Tama%C3%B1o%22.%22Cod_Regi%C3%B3n%22%3D15"/>
    <x v="15"/>
    <s v="#1774B9"/>
  </r>
  <r>
    <s v="0725"/>
    <n v="990"/>
    <s v="Agencia Información"/>
    <s v="Economía"/>
    <n v="16"/>
    <x v="43"/>
    <x v="11"/>
    <x v="1"/>
    <x v="16"/>
    <x v="1"/>
    <x v="68"/>
    <s v="Año 2019"/>
    <s v="Personas"/>
    <s v="Servicio de Impuestos Internos (SII)"/>
    <s v="Número trabajadores dependientes informados por sexo según tamaño de empresa en la Región de Ñuble, Año 2019"/>
    <m/>
    <s v="Gráfico"/>
    <s v="Región de Ñuble trabajadores dependientes informados tramo empresas ventas anuales grande mediana pequeña micro mujeres sexo hombres género sii"/>
    <s v="https://analytics.zoho.com/open-view/2395394000008435819?ZOHO_CRITERIA=%225.1%20Empresas_Tama%C3%B1o%22.%22Cod_Regi%C3%B3n%22%3D16"/>
    <x v="16"/>
    <s v="#1774B9"/>
  </r>
  <r>
    <s v="0726"/>
    <n v="990"/>
    <s v="Agencia Información"/>
    <s v="Economía"/>
    <n v="0"/>
    <x v="44"/>
    <x v="11"/>
    <x v="0"/>
    <x v="0"/>
    <x v="0"/>
    <x v="69"/>
    <s v="Periodo 2005-2019"/>
    <s v="CLP"/>
    <s v="Servicio de Impuestos Internos (SII)"/>
    <s v="Renta neta informada de trabajadoras en Chile, Periodo 2005-2019"/>
    <m/>
    <s v="Gráfico de Evolución"/>
    <s v="Chile regional trabajadoras mujeres renta neta informada sii tamaño empresa micro"/>
    <s v="https://analytics.zoho.com/open-view/2395394000008435942"/>
    <x v="0"/>
    <s v="#1774B9"/>
  </r>
  <r>
    <s v="0727"/>
    <n v="990"/>
    <s v="Agencia Información"/>
    <s v="Economía"/>
    <n v="1"/>
    <x v="44"/>
    <x v="11"/>
    <x v="1"/>
    <x v="1"/>
    <x v="1"/>
    <x v="69"/>
    <s v="Periodo 2005-2019"/>
    <s v="CLP"/>
    <s v="Servicio de Impuestos Internos (SII)"/>
    <s v="Renta neta informada de trabajadoras en la Región de Tarapacá, Periodo 2005-2019"/>
    <m/>
    <s v="Gráfico de Evolución"/>
    <s v="Región de Tarapacá regional trabajadoras mujeres renta neta informada sii tamaño empresa micro"/>
    <s v="https://analytics.zoho.com/open-view/2395394000008038636?ZOHO_CRITERIA=%225.1%20Empresas_Tama%C3%B1o%22.%22Cod_Regi%C3%B3n%22%3D1"/>
    <x v="1"/>
    <s v="#1774B9"/>
  </r>
  <r>
    <s v="0728"/>
    <n v="990"/>
    <s v="Agencia Información"/>
    <s v="Economía"/>
    <n v="2"/>
    <x v="44"/>
    <x v="11"/>
    <x v="1"/>
    <x v="2"/>
    <x v="1"/>
    <x v="69"/>
    <s v="Periodo 2005-2019"/>
    <s v="CLP"/>
    <s v="Servicio de Impuestos Internos (SII)"/>
    <s v="Renta neta informada de trabajadoras en la Región de Antofagasta, Periodo 2005-2019"/>
    <m/>
    <s v="Gráfico de Evolución"/>
    <s v="Región de Antofagasta regional trabajadoras mujeres renta neta informada sii tamaño empresa micro"/>
    <s v="https://analytics.zoho.com/open-view/2395394000008038636?ZOHO_CRITERIA=%225.1%20Empresas_Tama%C3%B1o%22.%22Cod_Regi%C3%B3n%22%3D2"/>
    <x v="2"/>
    <s v="#1774B9"/>
  </r>
  <r>
    <s v="0729"/>
    <n v="990"/>
    <s v="Agencia Información"/>
    <s v="Economía"/>
    <n v="3"/>
    <x v="44"/>
    <x v="11"/>
    <x v="1"/>
    <x v="3"/>
    <x v="1"/>
    <x v="69"/>
    <s v="Periodo 2005-2019"/>
    <s v="CLP"/>
    <s v="Servicio de Impuestos Internos (SII)"/>
    <s v="Renta neta informada de trabajadoras en la Región de Atacama, Periodo 2005-2019"/>
    <m/>
    <s v="Gráfico de Evolución"/>
    <s v="Región de Atacama regional trabajadoras mujeres renta neta informada sii tamaño empresa micro"/>
    <s v="https://analytics.zoho.com/open-view/2395394000008038636?ZOHO_CRITERIA=%225.1%20Empresas_Tama%C3%B1o%22.%22Cod_Regi%C3%B3n%22%3D3"/>
    <x v="3"/>
    <s v="#1774B9"/>
  </r>
  <r>
    <s v="0730"/>
    <n v="990"/>
    <s v="Agencia Información"/>
    <s v="Economía"/>
    <n v="4"/>
    <x v="44"/>
    <x v="11"/>
    <x v="1"/>
    <x v="4"/>
    <x v="1"/>
    <x v="69"/>
    <s v="Periodo 2005-2019"/>
    <s v="CLP"/>
    <s v="Servicio de Impuestos Internos (SII)"/>
    <s v="Renta neta informada de trabajadoras en la Región de Coquimbo, Periodo 2005-2019"/>
    <s v="El año 2018 y 2019, la renta neta de las trabajadoras en Coquimbo aumentó considerablemente en la empresas consideradas en los tramos Micro 1 y Micro 2. La renta neta de mujeres en las empresas Micro 1, registró un aumento de $354.986 a $1.157.370 y en las empresas Micro 2 el aumento fue desde $389.344 a $780.590. La Renta Neta corresponde a la suma de las rentas recibidas cada mes, descontadas las cotizaciones previsionales de carácter obligatorio y/o voluntaria."/>
    <s v="Gráfico de Evolución"/>
    <s v="Región de Coquimbo regional trabajadoras mujeres renta neta informada sii tamaño empresa micro"/>
    <s v="https://analytics.zoho.com/open-view/2395394000008038636?ZOHO_CRITERIA=%225.1%20Empresas_Tama%C3%B1o%22.%22Cod_Regi%C3%B3n%22%3D4"/>
    <x v="4"/>
    <s v="#1774B9"/>
  </r>
  <r>
    <s v="0731"/>
    <n v="990"/>
    <s v="Agencia Información"/>
    <s v="Economía"/>
    <n v="5"/>
    <x v="44"/>
    <x v="11"/>
    <x v="1"/>
    <x v="5"/>
    <x v="1"/>
    <x v="69"/>
    <s v="Periodo 2005-2019"/>
    <s v="CLP"/>
    <s v="Servicio de Impuestos Internos (SII)"/>
    <s v="Renta neta informada de trabajadoras en la Región de Valparaíso, Periodo 2005-2019"/>
    <m/>
    <s v="Gráfico de Evolución"/>
    <s v="Región de Valparaíso regional trabajadoras mujeres renta neta informada sii tamaño empresa micro"/>
    <s v="https://analytics.zoho.com/open-view/2395394000008038636?ZOHO_CRITERIA=%225.1%20Empresas_Tama%C3%B1o%22.%22Cod_Regi%C3%B3n%22%3D5"/>
    <x v="5"/>
    <s v="#1774B9"/>
  </r>
  <r>
    <s v="0732"/>
    <n v="990"/>
    <s v="Agencia Información"/>
    <s v="Economía"/>
    <n v="6"/>
    <x v="44"/>
    <x v="11"/>
    <x v="1"/>
    <x v="6"/>
    <x v="1"/>
    <x v="69"/>
    <s v="Periodo 2005-2019"/>
    <s v="CLP"/>
    <s v="Servicio de Impuestos Internos (SII)"/>
    <s v="Renta neta informada de trabajadoras en la Región de O'Higgins, Periodo 2005-2019"/>
    <m/>
    <s v="Gráfico de Evolución"/>
    <s v="Región de O'Higgins regional trabajadoras mujeres renta neta informada sii tamaño empresa micro"/>
    <s v="https://analytics.zoho.com/open-view/2395394000008038636?ZOHO_CRITERIA=%225.1%20Empresas_Tama%C3%B1o%22.%22Cod_Regi%C3%B3n%22%3D6"/>
    <x v="6"/>
    <s v="#1774B9"/>
  </r>
  <r>
    <s v="0733"/>
    <n v="990"/>
    <s v="Agencia Información"/>
    <s v="Economía"/>
    <n v="7"/>
    <x v="44"/>
    <x v="11"/>
    <x v="1"/>
    <x v="7"/>
    <x v="1"/>
    <x v="69"/>
    <s v="Periodo 2005-2019"/>
    <s v="CLP"/>
    <s v="Servicio de Impuestos Internos (SII)"/>
    <s v="Renta neta informada de trabajadoras en la Región de Maule, Periodo 2005-2019"/>
    <m/>
    <s v="Gráfico de Evolución"/>
    <s v="Región de Maule regional trabajadoras mujeres renta neta informada sii tamaño empresa micro"/>
    <s v="https://analytics.zoho.com/open-view/2395394000008038636?ZOHO_CRITERIA=%225.1%20Empresas_Tama%C3%B1o%22.%22Cod_Regi%C3%B3n%22%3D7"/>
    <x v="7"/>
    <s v="#1774B9"/>
  </r>
  <r>
    <s v="0734"/>
    <n v="990"/>
    <s v="Agencia Información"/>
    <s v="Economía"/>
    <n v="8"/>
    <x v="44"/>
    <x v="11"/>
    <x v="1"/>
    <x v="8"/>
    <x v="1"/>
    <x v="69"/>
    <s v="Periodo 2005-2019"/>
    <s v="CLP"/>
    <s v="Servicio de Impuestos Internos (SII)"/>
    <s v="Renta neta informada de trabajadoras en la Región del Biobío, Periodo 2005-2019"/>
    <m/>
    <s v="Gráfico de Evolución"/>
    <s v="Región del Biobío regional trabajadoras mujeres renta neta informada sii tamaño empresa micro"/>
    <s v="https://analytics.zoho.com/open-view/2395394000008038636?ZOHO_CRITERIA=%225.1%20Empresas_Tama%C3%B1o%22.%22Cod_Regi%C3%B3n%22%3D8"/>
    <x v="8"/>
    <s v="#1774B9"/>
  </r>
  <r>
    <s v="0735"/>
    <n v="990"/>
    <s v="Agencia Información"/>
    <s v="Economía"/>
    <n v="9"/>
    <x v="44"/>
    <x v="11"/>
    <x v="1"/>
    <x v="9"/>
    <x v="1"/>
    <x v="69"/>
    <s v="Periodo 2005-2019"/>
    <s v="CLP"/>
    <s v="Servicio de Impuestos Internos (SII)"/>
    <s v="Renta neta informada de trabajadoras en la Región de La Araucanía, Periodo 2005-2019"/>
    <m/>
    <s v="Gráfico de Evolución"/>
    <s v="Región de La Araucanía regional trabajadoras mujeres renta neta informada sii tamaño empresa micro"/>
    <s v="https://analytics.zoho.com/open-view/2395394000008038636?ZOHO_CRITERIA=%225.1%20Empresas_Tama%C3%B1o%22.%22Cod_Regi%C3%B3n%22%3D9"/>
    <x v="9"/>
    <s v="#1774B9"/>
  </r>
  <r>
    <s v="0736"/>
    <n v="990"/>
    <s v="Agencia Información"/>
    <s v="Economía"/>
    <n v="10"/>
    <x v="44"/>
    <x v="11"/>
    <x v="1"/>
    <x v="10"/>
    <x v="1"/>
    <x v="69"/>
    <s v="Periodo 2005-2019"/>
    <s v="CLP"/>
    <s v="Servicio de Impuestos Internos (SII)"/>
    <s v="Renta neta informada de trabajadoras en la Región de Los Lagos, Periodo 2005-2019"/>
    <m/>
    <s v="Gráfico de Evolución"/>
    <s v="Región de Los Lagos regional trabajadoras mujeres renta neta informada sii tamaño empresa micro"/>
    <s v="https://analytics.zoho.com/open-view/2395394000008038636?ZOHO_CRITERIA=%225.1%20Empresas_Tama%C3%B1o%22.%22Cod_Regi%C3%B3n%22%3D10"/>
    <x v="10"/>
    <s v="#1774B9"/>
  </r>
  <r>
    <s v="0737"/>
    <n v="990"/>
    <s v="Agencia Información"/>
    <s v="Economía"/>
    <n v="11"/>
    <x v="44"/>
    <x v="11"/>
    <x v="1"/>
    <x v="11"/>
    <x v="1"/>
    <x v="69"/>
    <s v="Periodo 2005-2019"/>
    <s v="CLP"/>
    <s v="Servicio de Impuestos Internos (SII)"/>
    <s v="Renta neta informada de trabajadoras en la Región de Aysén, Periodo 2005-2019"/>
    <m/>
    <s v="Gráfico de Evolución"/>
    <s v="Región de Aysén regional trabajadoras mujeres renta neta informada sii tamaño empresa micro"/>
    <s v="https://analytics.zoho.com/open-view/2395394000008038636?ZOHO_CRITERIA=%225.1%20Empresas_Tama%C3%B1o%22.%22Cod_Regi%C3%B3n%22%3D11"/>
    <x v="11"/>
    <s v="#1774B9"/>
  </r>
  <r>
    <s v="0738"/>
    <n v="990"/>
    <s v="Agencia Información"/>
    <s v="Economía"/>
    <n v="12"/>
    <x v="44"/>
    <x v="11"/>
    <x v="1"/>
    <x v="12"/>
    <x v="1"/>
    <x v="69"/>
    <s v="Periodo 2005-2019"/>
    <s v="CLP"/>
    <s v="Servicio de Impuestos Internos (SII)"/>
    <s v="Renta neta informada de trabajadoras en la Región de Magallanes, Periodo 2005-2019"/>
    <m/>
    <s v="Gráfico de Evolución"/>
    <s v="Región de Magallanes regional trabajadoras mujeres renta neta informada sii tamaño empresa micro"/>
    <s v="https://analytics.zoho.com/open-view/2395394000008038636?ZOHO_CRITERIA=%225.1%20Empresas_Tama%C3%B1o%22.%22Cod_Regi%C3%B3n%22%3D12"/>
    <x v="12"/>
    <s v="#1774B9"/>
  </r>
  <r>
    <s v="0739"/>
    <n v="990"/>
    <s v="Agencia Información"/>
    <s v="Economía"/>
    <n v="13"/>
    <x v="44"/>
    <x v="11"/>
    <x v="1"/>
    <x v="13"/>
    <x v="1"/>
    <x v="69"/>
    <s v="Periodo 2005-2019"/>
    <s v="CLP"/>
    <s v="Servicio de Impuestos Internos (SII)"/>
    <s v="Renta neta informada de trabajadoras en la Región Metropolitana, Periodo 2005-2019"/>
    <m/>
    <s v="Gráfico de Evolución"/>
    <s v="Región Metropolitana regional trabajadoras mujeres renta neta informada sii tamaño empresa micro"/>
    <s v="https://analytics.zoho.com/open-view/2395394000008038636?ZOHO_CRITERIA=%225.1%20Empresas_Tama%C3%B1o%22.%22Cod_Regi%C3%B3n%22%3D13"/>
    <x v="13"/>
    <s v="#1774B9"/>
  </r>
  <r>
    <s v="0740"/>
    <n v="990"/>
    <s v="Agencia Información"/>
    <s v="Economía"/>
    <n v="14"/>
    <x v="44"/>
    <x v="11"/>
    <x v="1"/>
    <x v="14"/>
    <x v="1"/>
    <x v="69"/>
    <s v="Periodo 2005-2019"/>
    <s v="CLP"/>
    <s v="Servicio de Impuestos Internos (SII)"/>
    <s v="Renta neta informada de trabajadoras en la Región de Los Ríos, Periodo 2005-2019"/>
    <m/>
    <s v="Gráfico de Evolución"/>
    <s v="Región de Los Ríos regional trabajadoras mujeres renta neta informada sii tamaño empresa micro"/>
    <s v="https://analytics.zoho.com/open-view/2395394000008038636?ZOHO_CRITERIA=%225.1%20Empresas_Tama%C3%B1o%22.%22Cod_Regi%C3%B3n%22%3D14"/>
    <x v="14"/>
    <s v="#1774B9"/>
  </r>
  <r>
    <s v="0741"/>
    <n v="990"/>
    <s v="Agencia Información"/>
    <s v="Economía"/>
    <n v="15"/>
    <x v="44"/>
    <x v="11"/>
    <x v="1"/>
    <x v="15"/>
    <x v="1"/>
    <x v="69"/>
    <s v="Periodo 2005-2019"/>
    <s v="CLP"/>
    <s v="Servicio de Impuestos Internos (SII)"/>
    <s v="Renta neta informada de trabajadoras en la Región de Arica y Parinacota, Periodo 2005-2019"/>
    <m/>
    <s v="Gráfico de Evolución"/>
    <s v="Región de Arica y Parinacota regional trabajadoras mujeres renta neta informada sii tamaño empresa micro"/>
    <s v="https://analytics.zoho.com/open-view/2395394000008038636?ZOHO_CRITERIA=%225.1%20Empresas_Tama%C3%B1o%22.%22Cod_Regi%C3%B3n%22%3D15"/>
    <x v="15"/>
    <s v="#1774B9"/>
  </r>
  <r>
    <s v="0742"/>
    <n v="990"/>
    <s v="Agencia Información"/>
    <s v="Economía"/>
    <n v="16"/>
    <x v="44"/>
    <x v="11"/>
    <x v="1"/>
    <x v="16"/>
    <x v="1"/>
    <x v="69"/>
    <s v="Periodo 2005-2019"/>
    <s v="CLP"/>
    <s v="Servicio de Impuestos Internos (SII)"/>
    <s v="Renta neta informada de trabajadoras en la Región de Ñuble, Periodo 2005-2019"/>
    <m/>
    <s v="Gráfico de Evolución"/>
    <s v="Región de Ñuble regional trabajadoras mujeres renta neta informada sii tamaño empresa micro"/>
    <s v="https://analytics.zoho.com/open-view/2395394000008038636?ZOHO_CRITERIA=%225.1%20Empresas_Tama%C3%B1o%22.%22Cod_Regi%C3%B3n%22%3D16"/>
    <x v="16"/>
    <s v="#1774B9"/>
  </r>
  <r>
    <s v="0743"/>
    <n v="990"/>
    <s v="Agencia Información"/>
    <s v="Economía"/>
    <n v="0"/>
    <x v="45"/>
    <x v="11"/>
    <x v="0"/>
    <x v="0"/>
    <x v="0"/>
    <x v="70"/>
    <s v="Periodo 2005-2019"/>
    <s v="Número de empresas"/>
    <s v="Servicio de Impuestos Internos (SII)"/>
    <s v="Número de Empresas por Tamaño según ventas en Chile, Periodo 2005-2019"/>
    <m/>
    <s v="Gráfico de Evolución"/>
    <s v="Chile empresas regional tramos ventas uf micro mediana grande sii"/>
    <s v="https://analytics.zoho.com/open-view/2395394000008438077"/>
    <x v="0"/>
    <s v="#1774B9"/>
  </r>
  <r>
    <s v="0744"/>
    <n v="990"/>
    <s v="Agencia Información"/>
    <s v="Economía"/>
    <n v="1"/>
    <x v="45"/>
    <x v="11"/>
    <x v="1"/>
    <x v="1"/>
    <x v="1"/>
    <x v="70"/>
    <s v="Periodo 2005-2019"/>
    <s v="Número de empresas"/>
    <s v="Servicio de Impuestos Internos (SII)"/>
    <s v="Número de Empresas por Tamaño según ventas en la Región de Tarapacá, Periodo 2005-2019"/>
    <m/>
    <s v="Gráfico de Evolución"/>
    <s v="Región de Tarapacá empresas regional tramos ventas uf micro mediana grande sii"/>
    <s v="https://analytics.zoho.com/open-view/2395394000008039000?ZOHO_CRITERIA=%225.1%20Empresas_Tama%C3%B1o%22.%22Cod_Regi%C3%B3n%22%3D1"/>
    <x v="1"/>
    <s v="#1774B9"/>
  </r>
  <r>
    <s v="0745"/>
    <n v="990"/>
    <s v="Agencia Información"/>
    <s v="Economía"/>
    <n v="2"/>
    <x v="45"/>
    <x v="11"/>
    <x v="1"/>
    <x v="2"/>
    <x v="1"/>
    <x v="70"/>
    <s v="Periodo 2005-2019"/>
    <s v="Número de empresas"/>
    <s v="Servicio de Impuestos Internos (SII)"/>
    <s v="Número de Empresas por Tamaño según ventas en la Región de Antofagasta, Periodo 2005-2019"/>
    <m/>
    <s v="Gráfico de Evolución"/>
    <s v="Región de Antofagasta empresas regional tramos ventas uf micro mediana grande sii"/>
    <s v="https://analytics.zoho.com/open-view/2395394000008039000?ZOHO_CRITERIA=%225.1%20Empresas_Tama%C3%B1o%22.%22Cod_Regi%C3%B3n%22%3D2"/>
    <x v="2"/>
    <s v="#1774B9"/>
  </r>
  <r>
    <s v="0746"/>
    <n v="990"/>
    <s v="Agencia Información"/>
    <s v="Economía"/>
    <n v="3"/>
    <x v="45"/>
    <x v="11"/>
    <x v="1"/>
    <x v="3"/>
    <x v="1"/>
    <x v="70"/>
    <s v="Periodo 2005-2019"/>
    <s v="Número de empresas"/>
    <s v="Servicio de Impuestos Internos (SII)"/>
    <s v="Número de Empresas por Tamaño según ventas en la Región de Atacama, Periodo 2005-2019"/>
    <m/>
    <s v="Gráfico de Evolución"/>
    <s v="Región de Atacama empresas regional tramos ventas uf micro mediana grande sii"/>
    <s v="https://analytics.zoho.com/open-view/2395394000008039000?ZOHO_CRITERIA=%225.1%20Empresas_Tama%C3%B1o%22.%22Cod_Regi%C3%B3n%22%3D3"/>
    <x v="3"/>
    <s v="#1774B9"/>
  </r>
  <r>
    <s v="0747"/>
    <n v="990"/>
    <s v="Agencia Información"/>
    <s v="Economía"/>
    <n v="4"/>
    <x v="45"/>
    <x v="11"/>
    <x v="1"/>
    <x v="4"/>
    <x v="1"/>
    <x v="70"/>
    <s v="Periodo 2005-2019"/>
    <s v="Número de empresas"/>
    <s v="Servicio de Impuestos Internos (SII)"/>
    <s v="Número de Empresas por Tamaño según ventas en la Región de Coquimbo, Periodo 2005-2019"/>
    <m/>
    <s v="Gráfico de Evolución"/>
    <s v="Región de Coquimbo empresas regional tramos ventas uf micro mediana grande sii"/>
    <s v="https://analytics.zoho.com/open-view/2395394000008039000?ZOHO_CRITERIA=%225.1%20Empresas_Tama%C3%B1o%22.%22Cod_Regi%C3%B3n%22%3D4"/>
    <x v="4"/>
    <s v="#1774B9"/>
  </r>
  <r>
    <s v="0748"/>
    <n v="990"/>
    <s v="Agencia Información"/>
    <s v="Economía"/>
    <n v="5"/>
    <x v="45"/>
    <x v="11"/>
    <x v="1"/>
    <x v="5"/>
    <x v="1"/>
    <x v="70"/>
    <s v="Periodo 2005-2019"/>
    <s v="Número de empresas"/>
    <s v="Servicio de Impuestos Internos (SII)"/>
    <s v="Número de Empresas por Tamaño según ventas en la Región de Valparaíso, Periodo 2005-2019"/>
    <m/>
    <s v="Gráfico de Evolución"/>
    <s v="Región de Valparaíso empresas regional tramos ventas uf micro mediana grande sii"/>
    <s v="https://analytics.zoho.com/open-view/2395394000008039000?ZOHO_CRITERIA=%225.1%20Empresas_Tama%C3%B1o%22.%22Cod_Regi%C3%B3n%22%3D5"/>
    <x v="5"/>
    <s v="#1774B9"/>
  </r>
  <r>
    <s v="0749"/>
    <n v="990"/>
    <s v="Agencia Información"/>
    <s v="Economía"/>
    <n v="6"/>
    <x v="45"/>
    <x v="11"/>
    <x v="1"/>
    <x v="6"/>
    <x v="1"/>
    <x v="70"/>
    <s v="Periodo 2005-2019"/>
    <s v="Número de empresas"/>
    <s v="Servicio de Impuestos Internos (SII)"/>
    <s v="Número de Empresas por Tamaño según ventas en la Región de O'Higgins, Periodo 2005-2019"/>
    <m/>
    <s v="Gráfico de Evolución"/>
    <s v="Región de O'Higgins empresas regional tramos ventas uf micro mediana grande sii"/>
    <s v="https://analytics.zoho.com/open-view/2395394000008039000?ZOHO_CRITERIA=%225.1%20Empresas_Tama%C3%B1o%22.%22Cod_Regi%C3%B3n%22%3D6"/>
    <x v="6"/>
    <s v="#1774B9"/>
  </r>
  <r>
    <s v="0750"/>
    <n v="990"/>
    <s v="Agencia Información"/>
    <s v="Economía"/>
    <n v="7"/>
    <x v="45"/>
    <x v="11"/>
    <x v="1"/>
    <x v="7"/>
    <x v="1"/>
    <x v="70"/>
    <s v="Periodo 2005-2019"/>
    <s v="Número de empresas"/>
    <s v="Servicio de Impuestos Internos (SII)"/>
    <s v="Número de Empresas por Tamaño según ventas en la Región de Maule, Periodo 2005-2019"/>
    <m/>
    <s v="Gráfico de Evolución"/>
    <s v="Región de Maule empresas regional tramos ventas uf micro mediana grande sii"/>
    <s v="https://analytics.zoho.com/open-view/2395394000008039000?ZOHO_CRITERIA=%225.1%20Empresas_Tama%C3%B1o%22.%22Cod_Regi%C3%B3n%22%3D7"/>
    <x v="7"/>
    <s v="#1774B9"/>
  </r>
  <r>
    <s v="0751"/>
    <n v="990"/>
    <s v="Agencia Información"/>
    <s v="Economía"/>
    <n v="8"/>
    <x v="45"/>
    <x v="11"/>
    <x v="1"/>
    <x v="8"/>
    <x v="1"/>
    <x v="70"/>
    <s v="Periodo 2005-2019"/>
    <s v="Número de empresas"/>
    <s v="Servicio de Impuestos Internos (SII)"/>
    <s v="Número de Empresas por Tamaño según ventas en la Región del Biobío, Periodo 2005-2019"/>
    <m/>
    <s v="Gráfico de Evolución"/>
    <s v="Región del Biobío empresas regional tramos ventas uf micro mediana grande sii"/>
    <s v="https://analytics.zoho.com/open-view/2395394000008039000?ZOHO_CRITERIA=%225.1%20Empresas_Tama%C3%B1o%22.%22Cod_Regi%C3%B3n%22%3D8"/>
    <x v="8"/>
    <s v="#1774B9"/>
  </r>
  <r>
    <s v="0752"/>
    <n v="990"/>
    <s v="Agencia Información"/>
    <s v="Economía"/>
    <n v="9"/>
    <x v="45"/>
    <x v="11"/>
    <x v="1"/>
    <x v="9"/>
    <x v="1"/>
    <x v="70"/>
    <s v="Periodo 2005-2019"/>
    <s v="Número de empresas"/>
    <s v="Servicio de Impuestos Internos (SII)"/>
    <s v="Número de Empresas por Tamaño según ventas en la Región de La Araucanía, Periodo 2005-2019"/>
    <m/>
    <s v="Gráfico de Evolución"/>
    <s v="Región de La Araucanía empresas regional tramos ventas uf micro mediana grande sii"/>
    <s v="https://analytics.zoho.com/open-view/2395394000008039000?ZOHO_CRITERIA=%225.1%20Empresas_Tama%C3%B1o%22.%22Cod_Regi%C3%B3n%22%3D9"/>
    <x v="9"/>
    <s v="#1774B9"/>
  </r>
  <r>
    <s v="0753"/>
    <n v="990"/>
    <s v="Agencia Información"/>
    <s v="Economía"/>
    <n v="10"/>
    <x v="45"/>
    <x v="11"/>
    <x v="1"/>
    <x v="10"/>
    <x v="1"/>
    <x v="70"/>
    <s v="Periodo 2005-2019"/>
    <s v="Número de empresas"/>
    <s v="Servicio de Impuestos Internos (SII)"/>
    <s v="Número de Empresas por Tamaño según ventas en la Región de Los Lagos, Periodo 2005-2019"/>
    <m/>
    <s v="Gráfico de Evolución"/>
    <s v="Región de Los Lagos empresas regional tramos ventas uf micro mediana grande sii"/>
    <s v="https://analytics.zoho.com/open-view/2395394000008039000?ZOHO_CRITERIA=%225.1%20Empresas_Tama%C3%B1o%22.%22Cod_Regi%C3%B3n%22%3D10"/>
    <x v="10"/>
    <s v="#1774B9"/>
  </r>
  <r>
    <s v="0754"/>
    <n v="990"/>
    <s v="Agencia Información"/>
    <s v="Economía"/>
    <n v="11"/>
    <x v="45"/>
    <x v="11"/>
    <x v="1"/>
    <x v="11"/>
    <x v="1"/>
    <x v="70"/>
    <s v="Periodo 2005-2019"/>
    <s v="Número de empresas"/>
    <s v="Servicio de Impuestos Internos (SII)"/>
    <s v="Número de Empresas por Tamaño según ventas en la Región de Aysén, Periodo 2005-2019"/>
    <m/>
    <s v="Gráfico de Evolución"/>
    <s v="Región de Aysén empresas regional tramos ventas uf micro mediana grande sii"/>
    <s v="https://analytics.zoho.com/open-view/2395394000008039000?ZOHO_CRITERIA=%225.1%20Empresas_Tama%C3%B1o%22.%22Cod_Regi%C3%B3n%22%3D11"/>
    <x v="11"/>
    <s v="#1774B9"/>
  </r>
  <r>
    <s v="0755"/>
    <n v="990"/>
    <s v="Agencia Información"/>
    <s v="Economía"/>
    <n v="12"/>
    <x v="45"/>
    <x v="11"/>
    <x v="1"/>
    <x v="12"/>
    <x v="1"/>
    <x v="70"/>
    <s v="Periodo 2005-2019"/>
    <s v="Número de empresas"/>
    <s v="Servicio de Impuestos Internos (SII)"/>
    <s v="Número de Empresas por Tamaño según ventas en la Región de Magallanes, Periodo 2005-2019"/>
    <m/>
    <s v="Gráfico de Evolución"/>
    <s v="Región de Magallanes empresas regional tramos ventas uf micro mediana grande sii"/>
    <s v="https://analytics.zoho.com/open-view/2395394000008039000?ZOHO_CRITERIA=%225.1%20Empresas_Tama%C3%B1o%22.%22Cod_Regi%C3%B3n%22%3D12"/>
    <x v="12"/>
    <s v="#1774B9"/>
  </r>
  <r>
    <s v="0756"/>
    <n v="990"/>
    <s v="Agencia Información"/>
    <s v="Economía"/>
    <n v="13"/>
    <x v="45"/>
    <x v="11"/>
    <x v="1"/>
    <x v="13"/>
    <x v="1"/>
    <x v="70"/>
    <s v="Periodo 2005-2019"/>
    <s v="Número de empresas"/>
    <s v="Servicio de Impuestos Internos (SII)"/>
    <s v="Número de Empresas por Tamaño según ventas en la Región Metropolitana, Periodo 2005-2019"/>
    <s v="El número de empresas aumentó sostenidamente durante los años comprendidos en el periodo 2005-2019. Las empresas correspondientes al tramo Sin Ventas, presentan el mayor crecimiento durante todo este periodo, seguido por los tramos Micro 3 y Micro 1."/>
    <s v="Gráfico de Evolución"/>
    <s v="Región Metropolitana empresas regional tramos ventas uf micro mediana grande sii"/>
    <s v="https://analytics.zoho.com/open-view/2395394000008039000?ZOHO_CRITERIA=%225.1%20Empresas_Tama%C3%B1o%22.%22Cod_Regi%C3%B3n%22%3D13"/>
    <x v="13"/>
    <s v="#1774B9"/>
  </r>
  <r>
    <s v="0757"/>
    <n v="990"/>
    <s v="Agencia Información"/>
    <s v="Economía"/>
    <n v="14"/>
    <x v="45"/>
    <x v="11"/>
    <x v="1"/>
    <x v="14"/>
    <x v="1"/>
    <x v="70"/>
    <s v="Periodo 2005-2019"/>
    <s v="Número de empresas"/>
    <s v="Servicio de Impuestos Internos (SII)"/>
    <s v="Número de Empresas por Tamaño según ventas en la Región de Los Ríos, Periodo 2005-2019"/>
    <m/>
    <s v="Gráfico de Evolución"/>
    <s v="Región de Los Ríos empresas regional tramos ventas uf micro mediana grande sii"/>
    <s v="https://analytics.zoho.com/open-view/2395394000008039000?ZOHO_CRITERIA=%225.1%20Empresas_Tama%C3%B1o%22.%22Cod_Regi%C3%B3n%22%3D14"/>
    <x v="14"/>
    <s v="#1774B9"/>
  </r>
  <r>
    <s v="0758"/>
    <n v="990"/>
    <s v="Agencia Información"/>
    <s v="Economía"/>
    <n v="15"/>
    <x v="45"/>
    <x v="11"/>
    <x v="1"/>
    <x v="15"/>
    <x v="1"/>
    <x v="70"/>
    <s v="Periodo 2005-2019"/>
    <s v="Número de empresas"/>
    <s v="Servicio de Impuestos Internos (SII)"/>
    <s v="Número de Empresas por Tamaño según ventas en la Región de Arica y Parinacota, Periodo 2005-2019"/>
    <m/>
    <s v="Gráfico de Evolución"/>
    <s v="Región de Arica y Parinacota empresas regional tramos ventas uf micro mediana grande sii"/>
    <s v="https://analytics.zoho.com/open-view/2395394000008039000?ZOHO_CRITERIA=%225.1%20Empresas_Tama%C3%B1o%22.%22Cod_Regi%C3%B3n%22%3D15"/>
    <x v="15"/>
    <s v="#1774B9"/>
  </r>
  <r>
    <s v="0759"/>
    <n v="990"/>
    <s v="Agencia Información"/>
    <s v="Economía"/>
    <n v="16"/>
    <x v="45"/>
    <x v="11"/>
    <x v="1"/>
    <x v="16"/>
    <x v="1"/>
    <x v="70"/>
    <s v="Periodo 2005-2019"/>
    <s v="Número de empresas"/>
    <s v="Servicio de Impuestos Internos (SII)"/>
    <s v="Número de Empresas por Tamaño según ventas en la Región de Ñuble, Periodo 2005-2019"/>
    <m/>
    <s v="Gráfico de Evolución"/>
    <s v="Región de Ñuble empresas regional tramos ventas uf micro mediana grande sii"/>
    <s v="https://analytics.zoho.com/open-view/2395394000008039000?ZOHO_CRITERIA=%225.1%20Empresas_Tama%C3%B1o%22.%22Cod_Regi%C3%B3n%22%3D16"/>
    <x v="16"/>
    <s v="#1774B9"/>
  </r>
  <r>
    <s v="0760"/>
    <n v="990"/>
    <s v="Agencia Información"/>
    <s v="Salud"/>
    <n v="0"/>
    <x v="46"/>
    <x v="14"/>
    <x v="0"/>
    <x v="0"/>
    <x v="11"/>
    <x v="71"/>
    <s v="Año 2018"/>
    <s v="Personas"/>
    <s v="Departamento de Estadísticas e Información de la Salud (DEIS) - Ministerio de Salud"/>
    <s v="Población en Control del Programa de Salud Cardiovascular en Chile, Año 2018"/>
    <m/>
    <s v="Gráfico"/>
    <s v="Chile cardiovascular corazón hipertensión enfermedad renal dislipidemias infarto salud programa población control"/>
    <s v="https://analytics.zoho.com/open-view/2395394000008043046"/>
    <x v="34"/>
    <s v="#1774B9"/>
  </r>
  <r>
    <s v="0761"/>
    <n v="990"/>
    <s v="Agencia Información"/>
    <s v="Medio Ambiente"/>
    <n v="0"/>
    <x v="47"/>
    <x v="21"/>
    <x v="0"/>
    <x v="0"/>
    <x v="1"/>
    <x v="72"/>
    <s v="Periodo 1990-2018"/>
    <s v="Kilotoneladas"/>
    <s v="Sistema Nacional de Inventarios de Gases de Efecto Invernadero"/>
    <s v="Mapa de Absorciones (kt) de CO2 por Región, Chile, Periodo 1990-2018"/>
    <s v="La absorción de un gas se mide en kilotoneladas (kt) y se identifica con un signo negativo. Durante el periodo 1990-2018, la región que absorbió más dióxido de carbono (CO2) fue Biobío, con 711.829,8 (kt) absorbidas. Por el contrario, la que menos CO2 absorbió fue Arica y Parinacota, con 0,2 (kt)."/>
    <s v="Mapa de calor"/>
    <s v="Chile GEI absorciones CO2 dióxido carbono mapa regiones gas efecto invernadero"/>
    <s v="https://analytics.zoho.com/open-view/2395394000007900622"/>
    <x v="34"/>
    <s v="#1774B9"/>
  </r>
  <r>
    <s v="0762"/>
    <n v="990"/>
    <s v="Agencia Información"/>
    <s v="Medio Ambiente"/>
    <n v="0"/>
    <x v="48"/>
    <x v="21"/>
    <x v="0"/>
    <x v="0"/>
    <x v="1"/>
    <x v="73"/>
    <s v="Periodo 1990-2018"/>
    <s v="Kilotoneladas"/>
    <s v="Sistema Nacional de Inventarios de Gases de Efecto Invernadero"/>
    <s v="Promedio de Emisiones Netas (kt) de CO2 equivalente, Chile, Periodo 1990-2018"/>
    <s v="En el año 1990, se observó la cantidad más baja de emisiones netas de CO2 en el país, con -684 kilotoneladas (kt), mientras que en el año 2017 ocurrió la más alta, alcanzando 6.219 (kt)."/>
    <s v="Gráfico de Evolución"/>
    <s v="Chile GEI emisiones netas CO2 equivalente dióxido carbono gas efecto invernadero"/>
    <s v="https://analytics.zoho.com/open-view/2395394000007906094"/>
    <x v="34"/>
    <s v="#1774B9"/>
  </r>
  <r>
    <s v="0763"/>
    <n v="990"/>
    <s v="Agencia Información"/>
    <s v="Medio Ambiente"/>
    <n v="0"/>
    <x v="49"/>
    <x v="21"/>
    <x v="0"/>
    <x v="0"/>
    <x v="1"/>
    <x v="74"/>
    <s v="Periodo 1990-2018"/>
    <s v="Kilotoneladas"/>
    <s v="Sistema Nacional de Inventarios de Gases de Efecto Invernadero"/>
    <s v="Emisiones (kt) de CO2 equivalente por Gas en Chile, durante el Periodo 1990-2018"/>
    <s v="El gas que más se emitió durante el periodo comprendido entre los años 1990 y 2018 fue el dióxido de carbono (CO2). En segundo lugar se encuentra el metano (CH4) y el menos emitido fue el hexafluoruro de azufre (SF6). Durante el año 2017, se emitió la mayor cantidad de CO2 y de CH4, alcanzando 236.062 kilotoneladas (kt) de CO2eq y 15.948 (kt) de CO2eq, respectivamente."/>
    <s v="Gráfico de Evolución"/>
    <s v="Chile GEI emisiones CO2 equivalente dióxido carbono gas efecto invernadero metano óxido nitroso CH4 N2O HFC SF6"/>
    <s v="https://analytics.zoho.com/open-view/2395394000007972705"/>
    <x v="34"/>
    <s v="#1774B9"/>
  </r>
  <r>
    <s v="0764"/>
    <n v="990"/>
    <s v="Agencia Información"/>
    <s v="Medio Ambiente"/>
    <n v="0"/>
    <x v="50"/>
    <x v="21"/>
    <x v="0"/>
    <x v="0"/>
    <x v="1"/>
    <x v="75"/>
    <s v="Año 2018"/>
    <s v="Kilotoneladas"/>
    <s v="Sistema Nacional de Inventarios de Gases de Efecto Invernadero"/>
    <s v="Emisiones y Absorciones (kt) de CO2 equivalente por Subsector en Chile, para el Año 2018"/>
    <s v="El subsector que más CO2 equivalente emitió en el año 2018 fue &quot;Actividades de quema de combustible&quot;, alcanzando 85.974 kilotoneladas (kt). Por el contrario, el subsector que absorbió más CO2 equivalente fue &quot;Tierras forestales&quot;, llegando a absorber 61.344 (kt)."/>
    <s v="Gráfico"/>
    <s v="Chile GEI emisiones absorciones CO2 equivalente dióxido carbono subsector gas efecto invernadero"/>
    <s v="https://analytics.zoho.com/open-view/2395394000008027347"/>
    <x v="34"/>
    <s v="#1774B9"/>
  </r>
  <r>
    <s v="0765"/>
    <n v="990"/>
    <s v="Agencia Información"/>
    <s v="Economía"/>
    <n v="0"/>
    <x v="43"/>
    <x v="11"/>
    <x v="0"/>
    <x v="0"/>
    <x v="0"/>
    <x v="76"/>
    <s v="Periodo 2005-2019"/>
    <s v="Personas"/>
    <s v="Servicio de Impuestos Internos (SII)"/>
    <s v="Número de trabajadores dependientes por sexo, en el rubro B-Explotación minera y canteras, según año comercial y a nivel regional en Chile, Periodo 2005-2019"/>
    <m/>
    <s v="Gráfico"/>
    <s v="Chile personas trabajadores género sexo mujeres hombres proporción explotación canteras mineras sii"/>
    <s v="https://analytics.zoho.com/open-view/2395394000008532437"/>
    <x v="0"/>
    <s v="#1774B9"/>
  </r>
  <r>
    <s v="0766"/>
    <n v="990"/>
    <s v="Agencia Información"/>
    <s v="Economía"/>
    <n v="1"/>
    <x v="43"/>
    <x v="11"/>
    <x v="1"/>
    <x v="1"/>
    <x v="1"/>
    <x v="76"/>
    <s v="Periodo 2005-2019"/>
    <s v="Personas"/>
    <s v="Servicio de Impuestos Internos (SII)"/>
    <s v="Número de trabajadores dependientes por sexo, en el rubro B-Explotación minera y canteras, según año comercial en la Región de Tarapacá, Periodo 2005-2019"/>
    <m/>
    <s v="Gráfico"/>
    <s v="Región de Tarapacá personas trabajadores género sexo mujeres hombres proporción explotación canteras mineras sii"/>
    <s v="https://analytics.zoho.com/open-view/2395394000008438205?ZOHO_CRITERIA=%22Rubros_Todo%22.%22Id_Regi%C3%B3n%22%3D1"/>
    <x v="1"/>
    <s v="#1774B9"/>
  </r>
  <r>
    <s v="0767"/>
    <n v="990"/>
    <s v="Agencia Información"/>
    <s v="Economía"/>
    <n v="2"/>
    <x v="43"/>
    <x v="11"/>
    <x v="1"/>
    <x v="2"/>
    <x v="1"/>
    <x v="76"/>
    <s v="Periodo 2005-2019"/>
    <s v="Personas"/>
    <s v="Servicio de Impuestos Internos (SII)"/>
    <s v="Número de trabajadores dependientes por sexo, en el rubro B-Explotación minera y canteras, según año comercial en la Región de Antofagasta, Periodo 2005-2019"/>
    <m/>
    <s v="Gráfico"/>
    <s v="Región de Antofagasta personas trabajadores género sexo mujeres hombres proporción explotación canteras mineras sii"/>
    <s v="https://analytics.zoho.com/open-view/2395394000008438205?ZOHO_CRITERIA=%22Rubros_Todo%22.%22Id_Regi%C3%B3n%22%3D2"/>
    <x v="2"/>
    <s v="#1774B9"/>
  </r>
  <r>
    <s v="0768"/>
    <n v="990"/>
    <s v="Agencia Información"/>
    <s v="Economía"/>
    <n v="3"/>
    <x v="43"/>
    <x v="11"/>
    <x v="1"/>
    <x v="3"/>
    <x v="1"/>
    <x v="76"/>
    <s v="Periodo 2005-2019"/>
    <s v="Personas"/>
    <s v="Servicio de Impuestos Internos (SII)"/>
    <s v="Número de trabajadores dependientes por sexo, en el rubro B-Explotación minera y canteras, según año comercial en la Región de Atacama, Periodo 2005-2019"/>
    <m/>
    <s v="Gráfico"/>
    <s v="Región de Atacama personas trabajadores género sexo mujeres hombres proporción explotación canteras mineras sii"/>
    <s v="https://analytics.zoho.com/open-view/2395394000008438205?ZOHO_CRITERIA=%22Rubros_Todo%22.%22Id_Regi%C3%B3n%22%3D3"/>
    <x v="3"/>
    <s v="#1774B9"/>
  </r>
  <r>
    <s v="0769"/>
    <n v="990"/>
    <s v="Agencia Información"/>
    <s v="Economía"/>
    <n v="4"/>
    <x v="43"/>
    <x v="11"/>
    <x v="1"/>
    <x v="4"/>
    <x v="1"/>
    <x v="76"/>
    <s v="Periodo 2005-2019"/>
    <s v="Personas"/>
    <s v="Servicio de Impuestos Internos (SII)"/>
    <s v="Número de trabajadores dependientes por sexo, en el rubro B-Explotación minera y canteras, según año comercial en la Región de Coquimbo, Periodo 2005-2019"/>
    <m/>
    <s v="Gráfico"/>
    <s v="Región de Coquimbo personas trabajadores género sexo mujeres hombres proporción explotación canteras mineras sii"/>
    <s v="https://analytics.zoho.com/open-view/2395394000008438205?ZOHO_CRITERIA=%22Rubros_Todo%22.%22Id_Regi%C3%B3n%22%3D4"/>
    <x v="4"/>
    <s v="#1774B9"/>
  </r>
  <r>
    <s v="0770"/>
    <n v="990"/>
    <s v="Agencia Información"/>
    <s v="Economía"/>
    <n v="5"/>
    <x v="43"/>
    <x v="11"/>
    <x v="1"/>
    <x v="5"/>
    <x v="1"/>
    <x v="76"/>
    <s v="Periodo 2005-2019"/>
    <s v="Personas"/>
    <s v="Servicio de Impuestos Internos (SII)"/>
    <s v="Número de trabajadores dependientes por sexo, en el rubro B-Explotación minera y canteras, según año comercial en la Región de Valparaíso, Periodo 2005-2019"/>
    <m/>
    <s v="Gráfico"/>
    <s v="Región de Valparaíso personas trabajadores género sexo mujeres hombres proporción explotación canteras mineras sii"/>
    <s v="https://analytics.zoho.com/open-view/2395394000008438205?ZOHO_CRITERIA=%22Rubros_Todo%22.%22Id_Regi%C3%B3n%22%3D5"/>
    <x v="5"/>
    <s v="#1774B9"/>
  </r>
  <r>
    <s v="0771"/>
    <n v="990"/>
    <s v="Agencia Información"/>
    <s v="Economía"/>
    <n v="6"/>
    <x v="43"/>
    <x v="11"/>
    <x v="1"/>
    <x v="6"/>
    <x v="1"/>
    <x v="76"/>
    <s v="Periodo 2005-2019"/>
    <s v="Personas"/>
    <s v="Servicio de Impuestos Internos (SII)"/>
    <s v="Número de trabajadores dependientes por sexo, en el rubro B-Explotación minera y canteras, según año comercial en la Región de O'Higgins, Periodo 2005-2019"/>
    <m/>
    <s v="Gráfico"/>
    <s v="Región de O'Higgins personas trabajadores género sexo mujeres hombres proporción explotación canteras mineras sii"/>
    <s v="https://analytics.zoho.com/open-view/2395394000008438205?ZOHO_CRITERIA=%22Rubros_Todo%22.%22Id_Regi%C3%B3n%22%3D6"/>
    <x v="6"/>
    <s v="#1774B9"/>
  </r>
  <r>
    <s v="0772"/>
    <n v="990"/>
    <s v="Agencia Información"/>
    <s v="Economía"/>
    <n v="7"/>
    <x v="43"/>
    <x v="11"/>
    <x v="1"/>
    <x v="7"/>
    <x v="1"/>
    <x v="76"/>
    <s v="Periodo 2005-2019"/>
    <s v="Personas"/>
    <s v="Servicio de Impuestos Internos (SII)"/>
    <s v="Número de trabajadores dependientes por sexo, en el rubro B-Explotación minera y canteras, según año comercial en la Región de Maule, Periodo 2005-2019"/>
    <m/>
    <s v="Gráfico"/>
    <s v="Región de Maule personas trabajadores género sexo mujeres hombres proporción explotación canteras mineras sii"/>
    <s v="https://analytics.zoho.com/open-view/2395394000008438205?ZOHO_CRITERIA=%22Rubros_Todo%22.%22Id_Regi%C3%B3n%22%3D7"/>
    <x v="7"/>
    <s v="#1774B9"/>
  </r>
  <r>
    <s v="0773"/>
    <n v="990"/>
    <s v="Agencia Información"/>
    <s v="Economía"/>
    <n v="8"/>
    <x v="43"/>
    <x v="11"/>
    <x v="1"/>
    <x v="8"/>
    <x v="1"/>
    <x v="76"/>
    <s v="Periodo 2005-2019"/>
    <s v="Personas"/>
    <s v="Servicio de Impuestos Internos (SII)"/>
    <s v="Número de trabajadores dependientes por sexo, en el rubro B-Explotación minera y canteras, según año comercial en la Región del Biobío, Periodo 2005-2019"/>
    <m/>
    <s v="Gráfico"/>
    <s v="Región del Biobío personas trabajadores género sexo mujeres hombres proporción explotación canteras mineras sii"/>
    <s v="https://analytics.zoho.com/open-view/2395394000008438205?ZOHO_CRITERIA=%22Rubros_Todo%22.%22Id_Regi%C3%B3n%22%3D8"/>
    <x v="8"/>
    <s v="#1774B9"/>
  </r>
  <r>
    <s v="0774"/>
    <n v="990"/>
    <s v="Agencia Información"/>
    <s v="Economía"/>
    <n v="9"/>
    <x v="43"/>
    <x v="11"/>
    <x v="1"/>
    <x v="9"/>
    <x v="1"/>
    <x v="76"/>
    <s v="Periodo 2005-2019"/>
    <s v="Personas"/>
    <s v="Servicio de Impuestos Internos (SII)"/>
    <s v="Número de trabajadores dependientes por sexo, en el rubro B-Explotación minera y canteras, según año comercial en la Región de La Araucanía, Periodo 2005-2019"/>
    <m/>
    <s v="Gráfico"/>
    <s v="Región de La Araucanía personas trabajadores género sexo mujeres hombres proporción explotación canteras mineras sii"/>
    <s v="https://analytics.zoho.com/open-view/2395394000008438205?ZOHO_CRITERIA=%22Rubros_Todo%22.%22Id_Regi%C3%B3n%22%3D9"/>
    <x v="9"/>
    <s v="#1774B9"/>
  </r>
  <r>
    <s v="0775"/>
    <n v="990"/>
    <s v="Agencia Información"/>
    <s v="Economía"/>
    <n v="10"/>
    <x v="43"/>
    <x v="11"/>
    <x v="1"/>
    <x v="10"/>
    <x v="1"/>
    <x v="76"/>
    <s v="Periodo 2005-2019"/>
    <s v="Personas"/>
    <s v="Servicio de Impuestos Internos (SII)"/>
    <s v="Número de trabajadores dependientes por sexo, en el rubro B-Explotación minera y canteras, según año comercial en la Región de Los Lagos, Periodo 2005-2019"/>
    <m/>
    <s v="Gráfico"/>
    <s v="Región de Los Lagos personas trabajadores género sexo mujeres hombres proporción explotación canteras mineras sii"/>
    <s v="https://analytics.zoho.com/open-view/2395394000008438205?ZOHO_CRITERIA=%22Rubros_Todo%22.%22Id_Regi%C3%B3n%22%3D10"/>
    <x v="10"/>
    <s v="#1774B9"/>
  </r>
  <r>
    <s v="0776"/>
    <n v="990"/>
    <s v="Agencia Información"/>
    <s v="Economía"/>
    <n v="11"/>
    <x v="43"/>
    <x v="11"/>
    <x v="1"/>
    <x v="11"/>
    <x v="1"/>
    <x v="76"/>
    <s v="Periodo 2005-2019"/>
    <s v="Personas"/>
    <s v="Servicio de Impuestos Internos (SII)"/>
    <s v="Número de trabajadores dependientes por sexo, en el rubro B-Explotación minera y canteras, según año comercial en la Región de Aysén, Periodo 2005-2019"/>
    <m/>
    <s v="Gráfico"/>
    <s v="Región de Aysén personas trabajadores género sexo mujeres hombres proporción explotación canteras mineras sii"/>
    <s v="https://analytics.zoho.com/open-view/2395394000008438205?ZOHO_CRITERIA=%22Rubros_Todo%22.%22Id_Regi%C3%B3n%22%3D11"/>
    <x v="11"/>
    <s v="#1774B9"/>
  </r>
  <r>
    <s v="0777"/>
    <n v="990"/>
    <s v="Agencia Información"/>
    <s v="Economía"/>
    <n v="12"/>
    <x v="43"/>
    <x v="11"/>
    <x v="1"/>
    <x v="12"/>
    <x v="1"/>
    <x v="76"/>
    <s v="Periodo 2005-2019"/>
    <s v="Personas"/>
    <s v="Servicio de Impuestos Internos (SII)"/>
    <s v="Número de trabajadores dependientes por sexo, en el rubro B-Explotación minera y canteras, según año comercial en la Región de Magallanes, Periodo 2005-2019"/>
    <s v="Durante el año tributario 2019, en la región de Magallanes se registraron 855 hombres trabajadores dependientes informados y 83 mujeres trabajadoras dependientes informadas, en el rubro B-Explotación minera y canteras."/>
    <s v="Gráfico"/>
    <s v="Región de Magallanes personas trabajadores género sexo mujeres hombres proporción explotación canteras mineras sii"/>
    <s v="https://analytics.zoho.com/open-view/2395394000008438205?ZOHO_CRITERIA=%22Rubros_Todo%22.%22Id_Regi%C3%B3n%22%3D12"/>
    <x v="12"/>
    <s v="#1774B9"/>
  </r>
  <r>
    <s v="0778"/>
    <n v="990"/>
    <s v="Agencia Información"/>
    <s v="Economía"/>
    <n v="13"/>
    <x v="43"/>
    <x v="11"/>
    <x v="1"/>
    <x v="13"/>
    <x v="1"/>
    <x v="76"/>
    <s v="Periodo 2005-2019"/>
    <s v="Personas"/>
    <s v="Servicio de Impuestos Internos (SII)"/>
    <s v="Número de trabajadores dependientes por sexo, en el rubro B-Explotación minera y canteras, según año comercial en la Región Metropolitana, Periodo 2005-2019"/>
    <m/>
    <s v="Gráfico"/>
    <s v="Región Metropolitana personas trabajadores género sexo mujeres hombres proporción explotación canteras mineras sii"/>
    <s v="https://analytics.zoho.com/open-view/2395394000008438205?ZOHO_CRITERIA=%22Rubros_Todo%22.%22Id_Regi%C3%B3n%22%3D13"/>
    <x v="13"/>
    <s v="#1774B9"/>
  </r>
  <r>
    <s v="0779"/>
    <n v="990"/>
    <s v="Agencia Información"/>
    <s v="Economía"/>
    <n v="14"/>
    <x v="43"/>
    <x v="11"/>
    <x v="1"/>
    <x v="14"/>
    <x v="1"/>
    <x v="76"/>
    <s v="Periodo 2005-2019"/>
    <s v="Personas"/>
    <s v="Servicio de Impuestos Internos (SII)"/>
    <s v="Número de trabajadores dependientes por sexo, en el rubro B-Explotación minera y canteras, según año comercial en la Región de Los Ríos, Periodo 2005-2019"/>
    <m/>
    <s v="Gráfico"/>
    <s v="Región de Los Ríos personas trabajadores género sexo mujeres hombres proporción explotación canteras mineras sii"/>
    <s v="https://analytics.zoho.com/open-view/2395394000008438205?ZOHO_CRITERIA=%22Rubros_Todo%22.%22Id_Regi%C3%B3n%22%3D14"/>
    <x v="14"/>
    <s v="#1774B9"/>
  </r>
  <r>
    <s v="0780"/>
    <n v="990"/>
    <s v="Agencia Información"/>
    <s v="Economía"/>
    <n v="15"/>
    <x v="43"/>
    <x v="11"/>
    <x v="1"/>
    <x v="15"/>
    <x v="1"/>
    <x v="76"/>
    <s v="Periodo 2005-2019"/>
    <s v="Personas"/>
    <s v="Servicio de Impuestos Internos (SII)"/>
    <s v="Número de trabajadores dependientes por sexo, en el rubro B-Explotación minera y canteras, según año comercial en la Región de Arica y Parinacota, Periodo 2005-2019"/>
    <m/>
    <s v="Gráfico"/>
    <s v="Región de Arica y Parinacota personas trabajadores género sexo mujeres hombres proporción explotación canteras mineras sii"/>
    <s v="https://analytics.zoho.com/open-view/2395394000008438205?ZOHO_CRITERIA=%22Rubros_Todo%22.%22Id_Regi%C3%B3n%22%3D15"/>
    <x v="15"/>
    <s v="#1774B9"/>
  </r>
  <r>
    <s v="0781"/>
    <n v="990"/>
    <s v="Agencia Información"/>
    <s v="Economía"/>
    <n v="16"/>
    <x v="43"/>
    <x v="11"/>
    <x v="1"/>
    <x v="16"/>
    <x v="1"/>
    <x v="76"/>
    <s v="Periodo 2005-2019"/>
    <s v="Personas"/>
    <s v="Servicio de Impuestos Internos (SII)"/>
    <s v="Número de trabajadores dependientes por sexo, en el rubro B-Explotación minera y canteras, según año comercial en la Región de Ñuble, Periodo 2005-2019"/>
    <m/>
    <s v="Gráfico"/>
    <s v="Región de Ñuble personas trabajadores género sexo mujeres hombres proporción explotación canteras mineras sii"/>
    <s v="https://analytics.zoho.com/open-view/2395394000008438205?ZOHO_CRITERIA=%22Rubros_Todo%22.%22Id_Regi%C3%B3n%22%3D16"/>
    <x v="16"/>
    <s v="#1774B9"/>
  </r>
  <r>
    <s v="0782"/>
    <n v="990"/>
    <s v="Agencia Información"/>
    <s v="Economía"/>
    <n v="0"/>
    <x v="51"/>
    <x v="11"/>
    <x v="0"/>
    <x v="0"/>
    <x v="1"/>
    <x v="77"/>
    <s v="Periodo 2005-2019"/>
    <s v="UF"/>
    <s v="Servicio de Impuestos Internos (SII)"/>
    <s v="Evolución de las Ventas Anuales en UF para el rubro L-Actividades Inmobiliarias en Chile, Periodo 2005-2019"/>
    <s v="A nivel nacional, las ventas anuales en UF muestran una tendencia de crecimiento exponencial, llegando hasta 529.791.788 UF en el rubro de L-Actividades Inmobiliarias."/>
    <s v="Gráfico de Evolución"/>
    <s v="Chile evolución anual ventas uf unidad fomento rubro actividades inmobiliarias nivel nacional"/>
    <s v="https://analytics.zoho.com/open-view/2395394000008025748"/>
    <x v="34"/>
    <s v="#1774B9"/>
  </r>
  <r>
    <s v="0783"/>
    <n v="990"/>
    <s v="Agencia Información"/>
    <s v="Mujeres"/>
    <n v="0"/>
    <x v="24"/>
    <x v="13"/>
    <x v="0"/>
    <x v="0"/>
    <x v="12"/>
    <x v="78"/>
    <s v="Periodo 2011-2018"/>
    <s v="Número de Casos"/>
    <s v="Departamento de Estadísticas e Información de la Salud (DEIS) - Ministerio de Salud"/>
    <s v="Evolución Casos de Cáncer de Cuello Uterino por Comuna en Chile, Periodo 2011-2018"/>
    <s v="Para el año 2018, las comunas con la mayor cantidad de casos de Cáncer de Cuello Uterino fueron Temuco con 30 casos, seguido por La Serena y Valparaíso con 23 casos cada una y luego Santiago con 22 casos para el mismo año."/>
    <s v="Gráfico de Evolución"/>
    <s v="Chile salud cáncer cérvico uterino cuello útero casos tumor servicio nacional programa"/>
    <s v="https://analytics.zoho.com/open-view/2395394000008034444"/>
    <x v="0"/>
    <s v="#1774B9"/>
  </r>
  <r>
    <s v="0784"/>
    <n v="990"/>
    <s v="Agencia Información"/>
    <s v="Mujeres"/>
    <n v="1"/>
    <x v="24"/>
    <x v="13"/>
    <x v="1"/>
    <x v="1"/>
    <x v="13"/>
    <x v="78"/>
    <s v="Periodo 2011-2018"/>
    <s v="Número de Casos"/>
    <s v="Departamento de Estadísticas e Información de la Salud (DEIS) - Ministerio de Salud"/>
    <s v="Evolución Casos de Cáncer de Cuello Uterino por Comuna en la Región de Tarapacá, Periodo 2011-2018"/>
    <m/>
    <s v="Gráfico de Evolución"/>
    <s v="Región de Tarapacá salud cáncer cérvico uterino cuello útero casos tumor servicio nacional programa"/>
    <s v="https://analytics.zoho.com/open-view/2395394000008389657?ZOHO_CRITERIA=%22Localiza%20CL%22.%22Codreg%22%20%3D%201"/>
    <x v="1"/>
    <s v="#1774B9"/>
  </r>
  <r>
    <s v="0785"/>
    <n v="990"/>
    <s v="Agencia Información"/>
    <s v="Mujeres"/>
    <n v="2"/>
    <x v="24"/>
    <x v="13"/>
    <x v="1"/>
    <x v="2"/>
    <x v="13"/>
    <x v="78"/>
    <s v="Periodo 2011-2018"/>
    <s v="Número de Casos"/>
    <s v="Departamento de Estadísticas e Información de la Salud (DEIS) - Ministerio de Salud"/>
    <s v="Evolución Casos de Cáncer de Cuello Uterino por Comuna en la Región de Antofagasta, Periodo 2011-2018"/>
    <m/>
    <s v="Gráfico de Evolución"/>
    <s v="Región de Antofagasta salud cáncer cérvico uterino cuello útero casos tumor servicio nacional programa"/>
    <s v="https://analytics.zoho.com/open-view/2395394000008389657?ZOHO_CRITERIA=%22Localiza%20CL%22.%22Codreg%22%20%3D%202"/>
    <x v="2"/>
    <s v="#1774B9"/>
  </r>
  <r>
    <s v="0786"/>
    <n v="990"/>
    <s v="Agencia Información"/>
    <s v="Mujeres"/>
    <n v="3"/>
    <x v="24"/>
    <x v="13"/>
    <x v="1"/>
    <x v="3"/>
    <x v="13"/>
    <x v="78"/>
    <s v="Periodo 2011-2018"/>
    <s v="Número de Casos"/>
    <s v="Departamento de Estadísticas e Información de la Salud (DEIS) - Ministerio de Salud"/>
    <s v="Evolución Casos de Cáncer de Cuello Uterino por Comuna en la Región de Atacama, Periodo 2011-2018"/>
    <m/>
    <s v="Gráfico de Evolución"/>
    <s v="Región de Atacama salud cáncer cérvico uterino cuello útero casos tumor servicio nacional programa"/>
    <s v="https://analytics.zoho.com/open-view/2395394000008389657?ZOHO_CRITERIA=%22Localiza%20CL%22.%22Codreg%22%20%3D%203"/>
    <x v="3"/>
    <s v="#1774B9"/>
  </r>
  <r>
    <s v="0787"/>
    <n v="990"/>
    <s v="Agencia Información"/>
    <s v="Mujeres"/>
    <n v="4"/>
    <x v="24"/>
    <x v="13"/>
    <x v="1"/>
    <x v="4"/>
    <x v="13"/>
    <x v="78"/>
    <s v="Periodo 2011-2018"/>
    <s v="Número de Casos"/>
    <s v="Departamento de Estadísticas e Información de la Salud (DEIS) - Ministerio de Salud"/>
    <s v="Evolución Casos de Cáncer de Cuello Uterino por Comuna en la Región de Coquimbo, Periodo 2011-2018"/>
    <m/>
    <s v="Gráfico de Evolución"/>
    <s v="Región de Coquimbo salud cáncer cérvico uterino cuello útero casos tumor servicio nacional programa"/>
    <s v="https://analytics.zoho.com/open-view/2395394000008389657?ZOHO_CRITERIA=%22Localiza%20CL%22.%22Codreg%22%20%3D%204"/>
    <x v="4"/>
    <s v="#1774B9"/>
  </r>
  <r>
    <s v="0788"/>
    <n v="990"/>
    <s v="Agencia Información"/>
    <s v="Mujeres"/>
    <n v="5"/>
    <x v="24"/>
    <x v="13"/>
    <x v="1"/>
    <x v="5"/>
    <x v="13"/>
    <x v="78"/>
    <s v="Periodo 2011-2018"/>
    <s v="Número de Casos"/>
    <s v="Departamento de Estadísticas e Información de la Salud (DEIS) - Ministerio de Salud"/>
    <s v="Evolución Casos de Cáncer de Cuello Uterino por Comuna en la Región de Valparaíso, Periodo 2011-2018"/>
    <m/>
    <s v="Gráfico de Evolución"/>
    <s v="Región de Valparaíso salud cáncer cérvico uterino cuello útero casos tumor servicio nacional programa"/>
    <s v="https://analytics.zoho.com/open-view/2395394000008389657?ZOHO_CRITERIA=%22Localiza%20CL%22.%22Codreg%22%20%3D%205"/>
    <x v="5"/>
    <s v="#1774B9"/>
  </r>
  <r>
    <s v="0789"/>
    <n v="990"/>
    <s v="Agencia Información"/>
    <s v="Mujeres"/>
    <n v="6"/>
    <x v="24"/>
    <x v="13"/>
    <x v="1"/>
    <x v="6"/>
    <x v="13"/>
    <x v="78"/>
    <s v="Periodo 2011-2018"/>
    <s v="Número de Casos"/>
    <s v="Departamento de Estadísticas e Información de la Salud (DEIS) - Ministerio de Salud"/>
    <s v="Evolución Casos de Cáncer de Cuello Uterino por Comuna en la Región de O'Higgins, Periodo 2011-2018"/>
    <m/>
    <s v="Gráfico de Evolución"/>
    <s v="Región de O'Higgins salud cáncer cérvico uterino cuello útero casos tumor servicio nacional programa"/>
    <s v="https://analytics.zoho.com/open-view/2395394000008389657?ZOHO_CRITERIA=%22Localiza%20CL%22.%22Codreg%22%20%3D%206"/>
    <x v="6"/>
    <s v="#1774B9"/>
  </r>
  <r>
    <s v="0790"/>
    <n v="990"/>
    <s v="Agencia Información"/>
    <s v="Mujeres"/>
    <n v="7"/>
    <x v="24"/>
    <x v="13"/>
    <x v="1"/>
    <x v="7"/>
    <x v="13"/>
    <x v="78"/>
    <s v="Periodo 2011-2018"/>
    <s v="Número de Casos"/>
    <s v="Departamento de Estadísticas e Información de la Salud (DEIS) - Ministerio de Salud"/>
    <s v="Evolución Casos de Cáncer de Cuello Uterino por Comuna en la Región de Maule, Periodo 2011-2018"/>
    <m/>
    <s v="Gráfico de Evolución"/>
    <s v="Región de Maule salud cáncer cérvico uterino cuello útero casos tumor servicio nacional programa"/>
    <s v="https://analytics.zoho.com/open-view/2395394000008389657?ZOHO_CRITERIA=%22Localiza%20CL%22.%22Codreg%22%20%3D%207"/>
    <x v="7"/>
    <s v="#1774B9"/>
  </r>
  <r>
    <s v="0791"/>
    <n v="990"/>
    <s v="Agencia Información"/>
    <s v="Mujeres"/>
    <n v="8"/>
    <x v="24"/>
    <x v="13"/>
    <x v="1"/>
    <x v="8"/>
    <x v="13"/>
    <x v="78"/>
    <s v="Periodo 2011-2018"/>
    <s v="Número de Casos"/>
    <s v="Departamento de Estadísticas e Información de la Salud (DEIS) - Ministerio de Salud"/>
    <s v="Evolución Casos de Cáncer de Cuello Uterino por Comuna en la Región del Biobío, Periodo 2011-2018"/>
    <m/>
    <s v="Gráfico de Evolución"/>
    <s v="Región del Biobío salud cáncer cérvico uterino cuello útero casos tumor servicio nacional programa"/>
    <s v="https://analytics.zoho.com/open-view/2395394000008389657?ZOHO_CRITERIA=%22Localiza%20CL%22.%22Codreg%22%20%3D%208"/>
    <x v="8"/>
    <s v="#1774B9"/>
  </r>
  <r>
    <s v="0792"/>
    <n v="990"/>
    <s v="Agencia Información"/>
    <s v="Mujeres"/>
    <n v="9"/>
    <x v="24"/>
    <x v="13"/>
    <x v="1"/>
    <x v="9"/>
    <x v="13"/>
    <x v="78"/>
    <s v="Periodo 2011-2018"/>
    <s v="Número de Casos"/>
    <s v="Departamento de Estadísticas e Información de la Salud (DEIS) - Ministerio de Salud"/>
    <s v="Evolución Casos de Cáncer de Cuello Uterino por Comuna en la Región de La Araucanía, Periodo 2011-2018"/>
    <m/>
    <s v="Gráfico de Evolución"/>
    <s v="Región de La Araucanía salud cáncer cérvico uterino cuello útero casos tumor servicio nacional programa"/>
    <s v="https://analytics.zoho.com/open-view/2395394000008389657?ZOHO_CRITERIA=%22Localiza%20CL%22.%22Codreg%22%20%3D%209"/>
    <x v="9"/>
    <s v="#1774B9"/>
  </r>
  <r>
    <s v="0793"/>
    <n v="990"/>
    <s v="Agencia Información"/>
    <s v="Mujeres"/>
    <n v="10"/>
    <x v="24"/>
    <x v="13"/>
    <x v="1"/>
    <x v="10"/>
    <x v="13"/>
    <x v="78"/>
    <s v="Periodo 2011-2018"/>
    <s v="Número de Casos"/>
    <s v="Departamento de Estadísticas e Información de la Salud (DEIS) - Ministerio de Salud"/>
    <s v="Evolución Casos de Cáncer de Cuello Uterino por Comuna en la Región de Los Lagos, Periodo 2011-2018"/>
    <m/>
    <s v="Gráfico de Evolución"/>
    <s v="Región de Los Lagos salud cáncer cérvico uterino cuello útero casos tumor servicio nacional programa"/>
    <s v="https://analytics.zoho.com/open-view/2395394000008389657?ZOHO_CRITERIA=%22Localiza%20CL%22.%22Codreg%22%20%3D%2010"/>
    <x v="10"/>
    <s v="#1774B9"/>
  </r>
  <r>
    <s v="0794"/>
    <n v="990"/>
    <s v="Agencia Información"/>
    <s v="Mujeres"/>
    <n v="11"/>
    <x v="24"/>
    <x v="13"/>
    <x v="1"/>
    <x v="11"/>
    <x v="13"/>
    <x v="78"/>
    <s v="Periodo 2011-2018"/>
    <s v="Número de Casos"/>
    <s v="Departamento de Estadísticas e Información de la Salud (DEIS) - Ministerio de Salud"/>
    <s v="Evolución Casos de Cáncer de Cuello Uterino por Comuna en la Región de Aysén, Periodo 2011-2018"/>
    <m/>
    <s v="Gráfico de Evolución"/>
    <s v="Región de Aysén salud cáncer cérvico uterino cuello útero casos tumor servicio nacional programa"/>
    <s v="https://analytics.zoho.com/open-view/2395394000008389657?ZOHO_CRITERIA=%22Localiza%20CL%22.%22Codreg%22%20%3D%2011"/>
    <x v="11"/>
    <s v="#1774B9"/>
  </r>
  <r>
    <s v="0795"/>
    <n v="990"/>
    <s v="Agencia Información"/>
    <s v="Mujeres"/>
    <n v="12"/>
    <x v="24"/>
    <x v="13"/>
    <x v="1"/>
    <x v="12"/>
    <x v="13"/>
    <x v="78"/>
    <s v="Periodo 2011-2018"/>
    <s v="Número de Casos"/>
    <s v="Departamento de Estadísticas e Información de la Salud (DEIS) - Ministerio de Salud"/>
    <s v="Evolución Casos de Cáncer de Cuello Uterino por Comuna en la Región de Magallanes, Periodo 2011-2018"/>
    <m/>
    <s v="Gráfico de Evolución"/>
    <s v="Región de Magallanes salud cáncer cérvico uterino cuello útero casos tumor servicio nacional programa"/>
    <s v="https://analytics.zoho.com/open-view/2395394000008389657?ZOHO_CRITERIA=%22Localiza%20CL%22.%22Codreg%22%20%3D%2012"/>
    <x v="12"/>
    <s v="#1774B9"/>
  </r>
  <r>
    <s v="0796"/>
    <n v="990"/>
    <s v="Agencia Información"/>
    <s v="Mujeres"/>
    <n v="13"/>
    <x v="24"/>
    <x v="13"/>
    <x v="1"/>
    <x v="13"/>
    <x v="13"/>
    <x v="78"/>
    <s v="Periodo 2011-2018"/>
    <s v="Número de Casos"/>
    <s v="Departamento de Estadísticas e Información de la Salud (DEIS) - Ministerio de Salud"/>
    <s v="Evolución Casos de Cáncer de Cuello Uterino por Comuna en la Región Metropolitana, Periodo 2011-2018"/>
    <m/>
    <s v="Gráfico de Evolución"/>
    <s v="Región Metropolitana salud cáncer cérvico uterino cuello útero casos tumor servicio nacional programa"/>
    <s v="https://analytics.zoho.com/open-view/2395394000008389657?ZOHO_CRITERIA=%22Localiza%20CL%22.%22Codreg%22%20%3D%2013"/>
    <x v="13"/>
    <s v="#1774B9"/>
  </r>
  <r>
    <s v="0797"/>
    <n v="990"/>
    <s v="Agencia Información"/>
    <s v="Mujeres"/>
    <n v="14"/>
    <x v="24"/>
    <x v="13"/>
    <x v="1"/>
    <x v="14"/>
    <x v="13"/>
    <x v="78"/>
    <s v="Periodo 2011-2018"/>
    <s v="Número de Casos"/>
    <s v="Departamento de Estadísticas e Información de la Salud (DEIS) - Ministerio de Salud"/>
    <s v="Evolución Casos de Cáncer de Cuello Uterino por Comuna en la Región de Los Ríos, Periodo 2011-2018"/>
    <m/>
    <s v="Gráfico de Evolución"/>
    <s v="Región de Los Ríos salud cáncer cérvico uterino cuello útero casos tumor servicio nacional programa"/>
    <s v="https://analytics.zoho.com/open-view/2395394000008389657?ZOHO_CRITERIA=%22Localiza%20CL%22.%22Codreg%22%20%3D%2014"/>
    <x v="14"/>
    <s v="#1774B9"/>
  </r>
  <r>
    <s v="0798"/>
    <n v="990"/>
    <s v="Agencia Información"/>
    <s v="Mujeres"/>
    <n v="15"/>
    <x v="24"/>
    <x v="13"/>
    <x v="1"/>
    <x v="15"/>
    <x v="13"/>
    <x v="78"/>
    <s v="Periodo 2011-2018"/>
    <s v="Número de Casos"/>
    <s v="Departamento de Estadísticas e Información de la Salud (DEIS) - Ministerio de Salud"/>
    <s v="Evolución Casos de Cáncer de Cuello Uterino por Comuna en la Región de Arica y Parinacota, Periodo 2011-2018"/>
    <m/>
    <s v="Gráfico de Evolución"/>
    <s v="Región de Arica y Parinacota salud cáncer cérvico uterino cuello útero casos tumor servicio nacional programa"/>
    <s v="https://analytics.zoho.com/open-view/2395394000008389657?ZOHO_CRITERIA=%22Localiza%20CL%22.%22Codreg%22%20%3D%2015"/>
    <x v="15"/>
    <s v="#1774B9"/>
  </r>
  <r>
    <s v="0799"/>
    <n v="990"/>
    <s v="Agencia Información"/>
    <s v="Mujeres"/>
    <n v="16"/>
    <x v="24"/>
    <x v="13"/>
    <x v="1"/>
    <x v="16"/>
    <x v="13"/>
    <x v="78"/>
    <s v="Periodo 2011-2018"/>
    <s v="Número de Casos"/>
    <s v="Departamento de Estadísticas e Información de la Salud (DEIS) - Ministerio de Salud"/>
    <s v="Evolución Casos de Cáncer de Cuello Uterino por Comuna en la Región de Ñuble, Periodo 2011-2018"/>
    <m/>
    <s v="Gráfico de Evolución"/>
    <s v="Región de Ñuble salud cáncer cérvico uterino cuello útero casos tumor servicio nacional programa"/>
    <s v="https://analytics.zoho.com/open-view/2395394000008389657?ZOHO_CRITERIA=%22Localiza%20CL%22.%22Codreg%22%20%3D%2016"/>
    <x v="16"/>
    <s v="#1774B9"/>
  </r>
  <r>
    <s v="0800"/>
    <n v="990"/>
    <s v="Agencia Información"/>
    <s v="Medio Ambiente"/>
    <n v="0"/>
    <x v="48"/>
    <x v="21"/>
    <x v="0"/>
    <x v="0"/>
    <x v="1"/>
    <x v="79"/>
    <s v="Año 2018"/>
    <s v="Kilotoneladas"/>
    <s v="Sistema Nacional de Inventarios de Gases de Efecto Invernadero"/>
    <s v="Emisiones Netas (kt) de CO2 equivalente por Región en Chile, Año 2018"/>
    <s v="En el año 2018, la región que emitió más CO2 equivalente fue la Metropolitana, con 22.259 kilotoneladas (kt), mientras que la que menos emitió fue la región de Arica y Parinacota, con 709 (kt). Por el contrario, las absorciones más altas ocurrieron en la región de Aysén, con -18.390 (kt) de CO2 equivalente."/>
    <s v="Gráfico"/>
    <s v="Chile GEI emisiones netas CO2 equivalente dióxido carbono regiones gas efecto invernadero"/>
    <s v="https://analytics.zoho.com/open-view/2395394000008034280"/>
    <x v="34"/>
    <s v="#1774B9"/>
  </r>
  <r>
    <s v="0801"/>
    <n v="990"/>
    <s v="Agencia Información"/>
    <s v="Agropecuario y Forestal"/>
    <n v="0"/>
    <x v="10"/>
    <x v="7"/>
    <x v="0"/>
    <x v="0"/>
    <x v="1"/>
    <x v="80"/>
    <s v="Periodo 2010-2020"/>
    <s v="Hectáreas"/>
    <s v="Corporación Nacional Forestal (CONAF)"/>
    <s v="Superficie de Incendios Forestales por Comuna en Chile, Periodo 2010-2020"/>
    <m/>
    <s v="Gráfico animado"/>
    <s v="Chile incendios forestales hectáreas superficie comunas"/>
    <s v="PENDIENTE"/>
    <x v="17"/>
    <s v="#1774B9"/>
  </r>
  <r>
    <s v="0802"/>
    <n v="990"/>
    <s v="Agencia Información"/>
    <s v="Agropecuario y Forestal"/>
    <n v="1"/>
    <x v="10"/>
    <x v="7"/>
    <x v="1"/>
    <x v="1"/>
    <x v="1"/>
    <x v="81"/>
    <s v="Periodo 2010-2020"/>
    <s v="Hectáreas"/>
    <s v="Corporación Nacional Forestal (CONAF)"/>
    <s v="Superficie de Incendios Forestales por Comuna en la Región de Tarapacá, Periodo 2010-2020"/>
    <m/>
    <s v="Gráfico animado"/>
    <s v="Región de Tarapacá incendios forestales hectáreas superficie comunas"/>
    <s v="PENDIENTE"/>
    <x v="18"/>
    <s v="#1774B9"/>
  </r>
  <r>
    <s v="0803"/>
    <n v="990"/>
    <s v="Agencia Información"/>
    <s v="Agropecuario y Forestal"/>
    <n v="2"/>
    <x v="10"/>
    <x v="7"/>
    <x v="1"/>
    <x v="2"/>
    <x v="1"/>
    <x v="81"/>
    <s v="Periodo 2010-2020"/>
    <s v="Hectáreas"/>
    <s v="Corporación Nacional Forestal (CONAF)"/>
    <s v="Superficie de Incendios Forestales por Comuna en la Región de Antofagasta, Periodo 2010-2020"/>
    <m/>
    <s v="Gráfico animado"/>
    <s v="Región de Antofagasta incendios forestales hectáreas superficie comunas"/>
    <s v="PENDIENTE"/>
    <x v="19"/>
    <s v="#1774B9"/>
  </r>
  <r>
    <s v="0804"/>
    <n v="990"/>
    <s v="Agencia Información"/>
    <s v="Agropecuario y Forestal"/>
    <n v="3"/>
    <x v="10"/>
    <x v="7"/>
    <x v="1"/>
    <x v="3"/>
    <x v="1"/>
    <x v="81"/>
    <s v="Periodo 2010-2020"/>
    <s v="Hectáreas"/>
    <s v="Corporación Nacional Forestal (CONAF)"/>
    <s v="Superficie de Incendios Forestales por Comuna en la Región de Atacama, Periodo 2010-2020"/>
    <m/>
    <s v="Gráfico animado"/>
    <s v="Región de Atacama incendios forestales hectáreas superficie comunas"/>
    <s v="PENDIENTE"/>
    <x v="20"/>
    <s v="#1774B9"/>
  </r>
  <r>
    <s v="0805"/>
    <n v="990"/>
    <s v="Agencia Información"/>
    <s v="Agropecuario y Forestal"/>
    <n v="4"/>
    <x v="10"/>
    <x v="7"/>
    <x v="1"/>
    <x v="4"/>
    <x v="1"/>
    <x v="81"/>
    <s v="Periodo 2010-2020"/>
    <s v="Hectáreas"/>
    <s v="Corporación Nacional Forestal (CONAF)"/>
    <s v="Superficie de Incendios Forestales por Comuna en la Región de Coquimbo, Periodo 2010-2020"/>
    <m/>
    <s v="Gráfico animado"/>
    <s v="Región de Coquimbo incendios forestales hectáreas superficie comunas"/>
    <s v="PENDIENTE"/>
    <x v="21"/>
    <s v="#1774B9"/>
  </r>
  <r>
    <s v="0806"/>
    <n v="990"/>
    <s v="Agencia Información"/>
    <s v="Agropecuario y Forestal"/>
    <n v="5"/>
    <x v="10"/>
    <x v="7"/>
    <x v="1"/>
    <x v="5"/>
    <x v="1"/>
    <x v="81"/>
    <s v="Periodo 2010-2020"/>
    <s v="Hectáreas"/>
    <s v="Corporación Nacional Forestal (CONAF)"/>
    <s v="Superficie de Incendios Forestales por Comuna en la Región de Valparaíso, Periodo 2010-2020"/>
    <m/>
    <s v="Gráfico animado"/>
    <s v="Región de Valparaíso incendios forestales hectáreas superficie comunas"/>
    <s v="PENDIENTE"/>
    <x v="22"/>
    <s v="#1774B9"/>
  </r>
  <r>
    <s v="0807"/>
    <n v="990"/>
    <s v="Agencia Información"/>
    <s v="Agropecuario y Forestal"/>
    <n v="6"/>
    <x v="10"/>
    <x v="7"/>
    <x v="1"/>
    <x v="6"/>
    <x v="1"/>
    <x v="81"/>
    <s v="Periodo 2010-2020"/>
    <s v="Hectáreas"/>
    <s v="Corporación Nacional Forestal (CONAF)"/>
    <s v="Superficie de Incendios Forestales por Comuna en la Región de O'Higgins, Periodo 2010-2020"/>
    <m/>
    <s v="Gráfico animado"/>
    <s v="Región de O'Higgins incendios forestales hectáreas superficie comunas"/>
    <s v="PENDIENTE"/>
    <x v="23"/>
    <s v="#1774B9"/>
  </r>
  <r>
    <s v="0808"/>
    <n v="990"/>
    <s v="Agencia Información"/>
    <s v="Agropecuario y Forestal"/>
    <n v="7"/>
    <x v="10"/>
    <x v="7"/>
    <x v="1"/>
    <x v="7"/>
    <x v="1"/>
    <x v="81"/>
    <s v="Periodo 2010-2020"/>
    <s v="Hectáreas"/>
    <s v="Corporación Nacional Forestal (CONAF)"/>
    <s v="Superficie de Incendios Forestales por Comuna en la Región de Maule, Periodo 2010-2020"/>
    <m/>
    <s v="Gráfico animado"/>
    <s v="Región de Maule incendios forestales hectáreas superficie comunas"/>
    <s v="PENDIENTE"/>
    <x v="24"/>
    <s v="#1774B9"/>
  </r>
  <r>
    <s v="0809"/>
    <n v="990"/>
    <s v="Agencia Información"/>
    <s v="Agropecuario y Forestal"/>
    <n v="8"/>
    <x v="10"/>
    <x v="7"/>
    <x v="1"/>
    <x v="8"/>
    <x v="1"/>
    <x v="81"/>
    <s v="Periodo 2010-2020"/>
    <s v="Hectáreas"/>
    <s v="Corporación Nacional Forestal (CONAF)"/>
    <s v="Superficie de Incendios Forestales por Comuna en la Región del Biobío, Periodo 2010-2020"/>
    <m/>
    <s v="Gráfico animado"/>
    <s v="Región del Biobío incendios forestales hectáreas superficie comunas"/>
    <s v="PENDIENTE"/>
    <x v="25"/>
    <s v="#1774B9"/>
  </r>
  <r>
    <s v="0810"/>
    <n v="990"/>
    <s v="Agencia Información"/>
    <s v="Agropecuario y Forestal"/>
    <n v="9"/>
    <x v="10"/>
    <x v="7"/>
    <x v="1"/>
    <x v="9"/>
    <x v="1"/>
    <x v="81"/>
    <s v="Periodo 2010-2020"/>
    <s v="Hectáreas"/>
    <s v="Corporación Nacional Forestal (CONAF)"/>
    <s v="Superficie de Incendios Forestales por Comuna en la Región de La Araucanía, Periodo 2010-2020"/>
    <s v="Durante el periodo 2010-2020 mas de 1,2 millones de hectáreas han sido afectadas por incendios forestales en la Región de la Araucanía."/>
    <s v="Gráfico animado"/>
    <s v="Región de La Araucanía incendios forestales hectáreas superficie comunas"/>
    <s v="https://infogram.com/incendios-2010-2020-1h1749vvopnyq6z?live"/>
    <x v="26"/>
    <s v="#1774B9"/>
  </r>
  <r>
    <s v="0811"/>
    <n v="990"/>
    <s v="Agencia Información"/>
    <s v="Agropecuario y Forestal"/>
    <n v="10"/>
    <x v="10"/>
    <x v="7"/>
    <x v="1"/>
    <x v="10"/>
    <x v="1"/>
    <x v="81"/>
    <s v="Periodo 2010-2020"/>
    <s v="Hectáreas"/>
    <s v="Corporación Nacional Forestal (CONAF)"/>
    <s v="Superficie de Incendios Forestales por Comuna en la Región de Los Lagos, Periodo 2010-2020"/>
    <m/>
    <s v="Gráfico animado"/>
    <s v="Región de Los Lagos incendios forestales hectáreas superficie comunas"/>
    <s v="PENDIENTE"/>
    <x v="27"/>
    <s v="#1774B9"/>
  </r>
  <r>
    <s v="0812"/>
    <n v="990"/>
    <s v="Agencia Información"/>
    <s v="Agropecuario y Forestal"/>
    <n v="11"/>
    <x v="10"/>
    <x v="7"/>
    <x v="1"/>
    <x v="11"/>
    <x v="1"/>
    <x v="81"/>
    <s v="Periodo 2010-2020"/>
    <s v="Hectáreas"/>
    <s v="Corporación Nacional Forestal (CONAF)"/>
    <s v="Superficie de Incendios Forestales por Comuna en la Región de Aysén, Periodo 2010-2020"/>
    <m/>
    <s v="Gráfico animado"/>
    <s v="Región de Aysén incendios forestales hectáreas superficie comunas"/>
    <s v="PENDIENTE"/>
    <x v="28"/>
    <s v="#1774B9"/>
  </r>
  <r>
    <s v="0813"/>
    <n v="990"/>
    <s v="Agencia Información"/>
    <s v="Agropecuario y Forestal"/>
    <n v="12"/>
    <x v="10"/>
    <x v="7"/>
    <x v="1"/>
    <x v="12"/>
    <x v="1"/>
    <x v="81"/>
    <s v="Periodo 2010-2020"/>
    <s v="Hectáreas"/>
    <s v="Corporación Nacional Forestal (CONAF)"/>
    <s v="Superficie de Incendios Forestales por Comuna en la Región de Magallanes, Periodo 2010-2020"/>
    <m/>
    <s v="Gráfico animado"/>
    <s v="Región de Magallanes incendios forestales hectáreas superficie comunas"/>
    <s v="PENDIENTE"/>
    <x v="29"/>
    <s v="#1774B9"/>
  </r>
  <r>
    <s v="0814"/>
    <n v="990"/>
    <s v="Agencia Información"/>
    <s v="Agropecuario y Forestal"/>
    <n v="13"/>
    <x v="10"/>
    <x v="7"/>
    <x v="1"/>
    <x v="13"/>
    <x v="1"/>
    <x v="81"/>
    <s v="Periodo 2010-2020"/>
    <s v="Hectáreas"/>
    <s v="Corporación Nacional Forestal (CONAF)"/>
    <s v="Superficie de Incendios Forestales por Comuna en la Región Metropolitana, Periodo 2010-2020"/>
    <m/>
    <s v="Gráfico animado"/>
    <s v="Región Metropolitana incendios forestales hectáreas superficie comunas"/>
    <s v="PENDIENTE"/>
    <x v="30"/>
    <s v="#1774B9"/>
  </r>
  <r>
    <s v="0815"/>
    <n v="990"/>
    <s v="Agencia Información"/>
    <s v="Agropecuario y Forestal"/>
    <n v="14"/>
    <x v="10"/>
    <x v="7"/>
    <x v="1"/>
    <x v="14"/>
    <x v="1"/>
    <x v="81"/>
    <s v="Periodo 2010-2020"/>
    <s v="Hectáreas"/>
    <s v="Corporación Nacional Forestal (CONAF)"/>
    <s v="Superficie de Incendios Forestales por Comuna en la Región de Los Ríos, Periodo 2010-2020"/>
    <m/>
    <s v="Gráfico animado"/>
    <s v="Región de Los Ríos incendios forestales hectáreas superficie comunas"/>
    <s v="PENDIENTE"/>
    <x v="31"/>
    <s v="#1774B9"/>
  </r>
  <r>
    <s v="0816"/>
    <n v="990"/>
    <s v="Agencia Información"/>
    <s v="Agropecuario y Forestal"/>
    <n v="15"/>
    <x v="10"/>
    <x v="7"/>
    <x v="1"/>
    <x v="15"/>
    <x v="1"/>
    <x v="81"/>
    <s v="Periodo 2010-2020"/>
    <s v="Hectáreas"/>
    <s v="Corporación Nacional Forestal (CONAF)"/>
    <s v="Superficie de Incendios Forestales por Comuna en la Región de Arica y Parinacota, Periodo 2010-2020"/>
    <m/>
    <s v="Gráfico animado"/>
    <s v="Región de Arica y Parinacota incendios forestales hectáreas superficie comunas"/>
    <s v="PENDIENTE"/>
    <x v="32"/>
    <s v="#1774B9"/>
  </r>
  <r>
    <s v="0817"/>
    <n v="990"/>
    <s v="Agencia Información"/>
    <s v="Agropecuario y Forestal"/>
    <n v="16"/>
    <x v="10"/>
    <x v="7"/>
    <x v="1"/>
    <x v="16"/>
    <x v="1"/>
    <x v="81"/>
    <s v="Periodo 2010-2020"/>
    <s v="Hectáreas"/>
    <s v="Corporación Nacional Forestal (CONAF)"/>
    <s v="Superficie de Incendios Forestales por Comuna en la Región de Ñuble, Periodo 2010-2020"/>
    <m/>
    <s v="Gráfico animado"/>
    <s v="Región de Ñuble incendios forestales hectáreas superficie comunas"/>
    <s v="PENDIENTE"/>
    <x v="33"/>
    <s v="#1774B9"/>
  </r>
  <r>
    <s v="0818"/>
    <n v="990"/>
    <s v="Agencia Información"/>
    <s v="Agropecuario y Forestal"/>
    <n v="0"/>
    <x v="10"/>
    <x v="7"/>
    <x v="0"/>
    <x v="0"/>
    <x v="1"/>
    <x v="80"/>
    <s v="Periodo 2010-2020"/>
    <s v="Hectáreas"/>
    <s v="Corporación Nacional Forestal (CONAF)"/>
    <s v="Evolución Anual de la superficie afectada por Incendios Forestales en Chile, Periodo 2010-2020"/>
    <m/>
    <s v="Dashboard"/>
    <s v="Chile incendios forestales hectáreas superficie vegetación natural plantaciones temporada"/>
    <s v="PENDIENTE"/>
    <x v="17"/>
    <s v="#1774B9"/>
  </r>
  <r>
    <s v="0819"/>
    <n v="990"/>
    <s v="Agencia Información"/>
    <s v="Agropecuario y Forestal"/>
    <n v="1"/>
    <x v="10"/>
    <x v="7"/>
    <x v="1"/>
    <x v="1"/>
    <x v="1"/>
    <x v="81"/>
    <s v="Periodo 2010-2020"/>
    <s v="Hectáreas"/>
    <s v="Corporación Nacional Forestal (CONAF)"/>
    <s v="Evolución Anual de la superficie afectada por Incendios Forestales en la Región de Tarapacá, Periodo 2010-2020"/>
    <m/>
    <s v="Dashboard"/>
    <s v="Región de Tarapacá incendios forestales hectáreas superficie vegetación natural plantaciones temporada"/>
    <s v="PENDIENTE"/>
    <x v="18"/>
    <s v="#1774B9"/>
  </r>
  <r>
    <s v="0820"/>
    <n v="990"/>
    <s v="Agencia Información"/>
    <s v="Agropecuario y Forestal"/>
    <n v="2"/>
    <x v="10"/>
    <x v="7"/>
    <x v="1"/>
    <x v="2"/>
    <x v="1"/>
    <x v="81"/>
    <s v="Periodo 2010-2020"/>
    <s v="Hectáreas"/>
    <s v="Corporación Nacional Forestal (CONAF)"/>
    <s v="Evolución Anual de la superficie afectada por Incendios Forestales en la Región de Antofagasta, Periodo 2010-2020"/>
    <m/>
    <s v="Dashboard"/>
    <s v="Región de Antofagasta incendios forestales hectáreas superficie vegetación natural plantaciones temporada"/>
    <s v="PENDIENTE"/>
    <x v="19"/>
    <s v="#1774B9"/>
  </r>
  <r>
    <s v="0821"/>
    <n v="990"/>
    <s v="Agencia Información"/>
    <s v="Agropecuario y Forestal"/>
    <n v="3"/>
    <x v="10"/>
    <x v="7"/>
    <x v="1"/>
    <x v="3"/>
    <x v="1"/>
    <x v="81"/>
    <s v="Periodo 2010-2020"/>
    <s v="Hectáreas"/>
    <s v="Corporación Nacional Forestal (CONAF)"/>
    <s v="Evolución Anual de la superficie afectada por Incendios Forestales en la Región de Atacama, Periodo 2010-2020"/>
    <m/>
    <s v="Dashboard"/>
    <s v="Región de Atacama incendios forestales hectáreas superficie vegetación natural plantaciones temporada"/>
    <s v="PENDIENTE"/>
    <x v="20"/>
    <s v="#1774B9"/>
  </r>
  <r>
    <s v="0822"/>
    <n v="990"/>
    <s v="Agencia Información"/>
    <s v="Agropecuario y Forestal"/>
    <n v="4"/>
    <x v="10"/>
    <x v="7"/>
    <x v="1"/>
    <x v="4"/>
    <x v="1"/>
    <x v="81"/>
    <s v="Periodo 2010-2020"/>
    <s v="Hectáreas"/>
    <s v="Corporación Nacional Forestal (CONAF)"/>
    <s v="Evolución Anual de la superficie afectada por Incendios Forestales en la Región de Coquimbo, Periodo 2010-2020"/>
    <m/>
    <s v="Dashboard"/>
    <s v="Región de Coquimbo incendios forestales hectáreas superficie vegetación natural plantaciones temporada"/>
    <s v="PENDIENTE"/>
    <x v="21"/>
    <s v="#1774B9"/>
  </r>
  <r>
    <s v="0823"/>
    <n v="990"/>
    <s v="Agencia Información"/>
    <s v="Agropecuario y Forestal"/>
    <n v="5"/>
    <x v="10"/>
    <x v="7"/>
    <x v="1"/>
    <x v="5"/>
    <x v="1"/>
    <x v="81"/>
    <s v="Periodo 2010-2020"/>
    <s v="Hectáreas"/>
    <s v="Corporación Nacional Forestal (CONAF)"/>
    <s v="Evolución Anual de la superficie afectada por Incendios Forestales en la Región de Valparaíso, Periodo 2010-2020"/>
    <m/>
    <s v="Dashboard"/>
    <s v="Región de Valparaíso incendios forestales hectáreas superficie vegetación natural plantaciones temporada"/>
    <s v="PENDIENTE"/>
    <x v="22"/>
    <s v="#1774B9"/>
  </r>
  <r>
    <s v="0824"/>
    <n v="990"/>
    <s v="Agencia Información"/>
    <s v="Agropecuario y Forestal"/>
    <n v="6"/>
    <x v="10"/>
    <x v="7"/>
    <x v="1"/>
    <x v="6"/>
    <x v="1"/>
    <x v="81"/>
    <s v="Periodo 2010-2020"/>
    <s v="Hectáreas"/>
    <s v="Corporación Nacional Forestal (CONAF)"/>
    <s v="Evolución Anual de la superficie afectada por Incendios Forestales en la Región de O'Higgins, Periodo 2010-2020"/>
    <m/>
    <s v="Dashboard"/>
    <s v="Región de O'Higgins incendios forestales hectáreas superficie vegetación natural plantaciones temporada"/>
    <s v="PENDIENTE"/>
    <x v="23"/>
    <s v="#1774B9"/>
  </r>
  <r>
    <s v="0825"/>
    <n v="990"/>
    <s v="Agencia Información"/>
    <s v="Agropecuario y Forestal"/>
    <n v="7"/>
    <x v="10"/>
    <x v="7"/>
    <x v="1"/>
    <x v="7"/>
    <x v="1"/>
    <x v="81"/>
    <s v="Periodo 2010-2020"/>
    <s v="Hectáreas"/>
    <s v="Corporación Nacional Forestal (CONAF)"/>
    <s v="Evolución Anual de la superficie afectada por Incendios Forestales en la Región de Maule, Periodo 2010-2020"/>
    <m/>
    <s v="Dashboard"/>
    <s v="Región de Maule incendios forestales hectáreas superficie vegetación natural plantaciones temporada"/>
    <s v="PENDIENTE"/>
    <x v="24"/>
    <s v="#1774B9"/>
  </r>
  <r>
    <s v="0826"/>
    <n v="990"/>
    <s v="Agencia Información"/>
    <s v="Agropecuario y Forestal"/>
    <n v="8"/>
    <x v="10"/>
    <x v="7"/>
    <x v="1"/>
    <x v="8"/>
    <x v="1"/>
    <x v="81"/>
    <s v="Periodo 2010-2020"/>
    <s v="Hectáreas"/>
    <s v="Corporación Nacional Forestal (CONAF)"/>
    <s v="Evolución Anual de la superficie afectada por Incendios Forestales en la Región del Biobío, Periodo 2010-2020"/>
    <m/>
    <s v="Dashboard"/>
    <s v="Región del Biobío incendios forestales hectáreas superficie vegetación natural plantaciones temporada"/>
    <s v="PENDIENTE"/>
    <x v="25"/>
    <s v="#1774B9"/>
  </r>
  <r>
    <s v="0827"/>
    <n v="990"/>
    <s v="Agencia Información"/>
    <s v="Agropecuario y Forestal"/>
    <n v="9"/>
    <x v="10"/>
    <x v="7"/>
    <x v="1"/>
    <x v="9"/>
    <x v="1"/>
    <x v="81"/>
    <s v="Periodo 2010-2020"/>
    <s v="Hectáreas"/>
    <s v="Corporación Nacional Forestal (CONAF)"/>
    <s v="Evolución Anual de la superficie afectada por Incendios Forestales en la Región de La Araucanía, Periodo 2010-2020"/>
    <m/>
    <s v="Dashboard"/>
    <s v="Región de La Araucanía incendios forestales hectáreas superficie vegetación natural plantaciones temporada"/>
    <s v="PENDIENTE"/>
    <x v="26"/>
    <s v="#1774B9"/>
  </r>
  <r>
    <s v="0828"/>
    <n v="990"/>
    <s v="Agencia Información"/>
    <s v="Agropecuario y Forestal"/>
    <n v="10"/>
    <x v="10"/>
    <x v="7"/>
    <x v="1"/>
    <x v="10"/>
    <x v="1"/>
    <x v="81"/>
    <s v="Periodo 2010-2020"/>
    <s v="Hectáreas"/>
    <s v="Corporación Nacional Forestal (CONAF)"/>
    <s v="Evolución Anual de la superficie afectada por Incendios Forestales en la Región de Los Lagos, Periodo 2010-2020"/>
    <s v="Durante la temporada de incendios 2014-2015, en la región de Los Lagos ocurrieron 434 incendios que afectaron 4.934 hectáreas, de las cuales un 89,5% correspondían a vegetación natural, 6,5% a otros usos de la tierra y un 4% a plantaciones forestales. Es la temporada con mayor superficie afectada por incendios en el periodo comprendido entre los años 2010 y 2020."/>
    <s v="Dashboard"/>
    <s v="Región de Los Lagos incendios forestales hectáreas superficie vegetación natural plantaciones temporada"/>
    <s v="https://app.powerbi.com/view?r=eyJrIjoiMzMzOTNiMzAtNWQzYy00YWRjLWFkZjEtODJlNGU0ODlkZmNmIiwidCI6IjhmYmFhNWJmLTJlY2MtNGRjOC1iNTZiLThmOTJlMzA3ZjA3NiIsImMiOjR9&amp;pageName=ReportSection08bca2e0063b013060ea"/>
    <x v="27"/>
    <s v="#1774B9"/>
  </r>
  <r>
    <s v="0829"/>
    <n v="990"/>
    <s v="Agencia Información"/>
    <s v="Agropecuario y Forestal"/>
    <n v="11"/>
    <x v="10"/>
    <x v="7"/>
    <x v="1"/>
    <x v="11"/>
    <x v="1"/>
    <x v="81"/>
    <s v="Periodo 2010-2020"/>
    <s v="Hectáreas"/>
    <s v="Corporación Nacional Forestal (CONAF)"/>
    <s v="Evolución Anual de la superficie afectada por Incendios Forestales en la Región de Aysén, Periodo 2010-2020"/>
    <m/>
    <s v="Dashboard"/>
    <s v="Región de Aysén incendios forestales hectáreas superficie vegetación natural plantaciones temporada"/>
    <s v="PENDIENTE"/>
    <x v="28"/>
    <s v="#1774B9"/>
  </r>
  <r>
    <s v="0830"/>
    <n v="990"/>
    <s v="Agencia Información"/>
    <s v="Agropecuario y Forestal"/>
    <n v="12"/>
    <x v="10"/>
    <x v="7"/>
    <x v="1"/>
    <x v="12"/>
    <x v="1"/>
    <x v="81"/>
    <s v="Periodo 2010-2020"/>
    <s v="Hectáreas"/>
    <s v="Corporación Nacional Forestal (CONAF)"/>
    <s v="Evolución Anual de la superficie afectada por Incendios Forestales en la Región de Magallanes, Periodo 2010-2020"/>
    <m/>
    <s v="Dashboard"/>
    <s v="Región de Magallanes incendios forestales hectáreas superficie vegetación natural plantaciones temporada"/>
    <s v="PENDIENTE"/>
    <x v="29"/>
    <s v="#1774B9"/>
  </r>
  <r>
    <s v="0831"/>
    <n v="990"/>
    <s v="Agencia Información"/>
    <s v="Agropecuario y Forestal"/>
    <n v="13"/>
    <x v="10"/>
    <x v="7"/>
    <x v="1"/>
    <x v="13"/>
    <x v="1"/>
    <x v="81"/>
    <s v="Periodo 2010-2020"/>
    <s v="Hectáreas"/>
    <s v="Corporación Nacional Forestal (CONAF)"/>
    <s v="Evolución Anual de la superficie afectada por Incendios Forestales en la Región Metropolitana, Periodo 2010-2020"/>
    <m/>
    <s v="Dashboard"/>
    <s v="Región Metropolitana incendios forestales hectáreas superficie vegetación natural plantaciones temporada"/>
    <s v="PENDIENTE"/>
    <x v="30"/>
    <s v="#1774B9"/>
  </r>
  <r>
    <s v="0832"/>
    <n v="990"/>
    <s v="Agencia Información"/>
    <s v="Agropecuario y Forestal"/>
    <n v="14"/>
    <x v="10"/>
    <x v="7"/>
    <x v="1"/>
    <x v="14"/>
    <x v="1"/>
    <x v="81"/>
    <s v="Periodo 2010-2020"/>
    <s v="Hectáreas"/>
    <s v="Corporación Nacional Forestal (CONAF)"/>
    <s v="Evolución Anual de la superficie afectada por Incendios Forestales en la Región de Los Ríos, Periodo 2010-2020"/>
    <m/>
    <s v="Dashboard"/>
    <s v="Región de Los Ríos incendios forestales hectáreas superficie vegetación natural plantaciones temporada"/>
    <s v="PENDIENTE"/>
    <x v="31"/>
    <s v="#1774B9"/>
  </r>
  <r>
    <s v="0833"/>
    <n v="990"/>
    <s v="Agencia Información"/>
    <s v="Agropecuario y Forestal"/>
    <n v="15"/>
    <x v="10"/>
    <x v="7"/>
    <x v="1"/>
    <x v="15"/>
    <x v="1"/>
    <x v="81"/>
    <s v="Periodo 2010-2020"/>
    <s v="Hectáreas"/>
    <s v="Corporación Nacional Forestal (CONAF)"/>
    <s v="Evolución Anual de la superficie afectada por Incendios Forestales en la Región de Arica y Parinacota, Periodo 2010-2020"/>
    <m/>
    <s v="Dashboard"/>
    <s v="Región de Arica y Parinacota incendios forestales hectáreas superficie vegetación natural plantaciones temporada"/>
    <s v="PENDIENTE"/>
    <x v="32"/>
    <s v="#1774B9"/>
  </r>
  <r>
    <s v="0834"/>
    <n v="990"/>
    <s v="Agencia Información"/>
    <s v="Agropecuario y Forestal"/>
    <n v="16"/>
    <x v="10"/>
    <x v="7"/>
    <x v="1"/>
    <x v="16"/>
    <x v="1"/>
    <x v="81"/>
    <s v="Periodo 2010-2020"/>
    <s v="Hectáreas"/>
    <s v="Corporación Nacional Forestal (CONAF)"/>
    <s v="Evolución Anual de la superficie afectada por Incendios Forestales en la Región de Ñuble, Periodo 2010-2020"/>
    <m/>
    <s v="Dashboard"/>
    <s v="Región de Ñuble incendios forestales hectáreas superficie vegetación natural plantaciones temporada"/>
    <s v="PENDIENTE"/>
    <x v="33"/>
    <s v="#1774B9"/>
  </r>
  <r>
    <s v="0835"/>
    <n v="990"/>
    <s v="Agencia Información"/>
    <s v="Agropecuario y Forestal"/>
    <n v="0"/>
    <x v="10"/>
    <x v="7"/>
    <x v="0"/>
    <x v="0"/>
    <x v="1"/>
    <x v="82"/>
    <s v="Periodo 2010-2020"/>
    <s v="Número de incendios y Hectáreas"/>
    <s v="Corporación Nacional Forestal (CONAF)"/>
    <s v="Incendios y superficie afectada de plantaciones Forestales según causas específicas en Chile, Periodo 2010-2020"/>
    <m/>
    <s v="Dashboard"/>
    <s v="Chile incendios forestales hectáreas superficie cantidad número causa plantaciones temporada fuego"/>
    <s v="PENDIENTE"/>
    <x v="0"/>
    <s v="#1774B9"/>
  </r>
  <r>
    <s v="0836"/>
    <n v="990"/>
    <s v="Agencia Información"/>
    <s v="Agropecuario y Forestal"/>
    <n v="1"/>
    <x v="10"/>
    <x v="7"/>
    <x v="1"/>
    <x v="1"/>
    <x v="1"/>
    <x v="82"/>
    <s v="Periodo 2010-2020"/>
    <s v="Número de incendios y Hectáreas"/>
    <s v="Corporación Nacional Forestal (CONAF)"/>
    <s v="Incendios y superficie afectada de plantaciones Forestales según causas específicas en la Región de Tarapacá, Periodo 2010-2020"/>
    <m/>
    <s v="Dashboard"/>
    <s v="Región de Tarapacá incendios forestales hectáreas superficie cantidad número causa plantaciones temporada fuego"/>
    <s v="PENDIENTE"/>
    <x v="1"/>
    <s v="#1774B9"/>
  </r>
  <r>
    <s v="0837"/>
    <n v="990"/>
    <s v="Agencia Información"/>
    <s v="Agropecuario y Forestal"/>
    <n v="2"/>
    <x v="10"/>
    <x v="7"/>
    <x v="1"/>
    <x v="2"/>
    <x v="1"/>
    <x v="82"/>
    <s v="Periodo 2010-2020"/>
    <s v="Número de incendios y Hectáreas"/>
    <s v="Corporación Nacional Forestal (CONAF)"/>
    <s v="Incendios y superficie afectada de plantaciones Forestales según causas específicas en la Región de Antofagasta, Periodo 2010-2020"/>
    <m/>
    <s v="Dashboard"/>
    <s v="Región de Antofagasta incendios forestales hectáreas superficie cantidad número causa plantaciones temporada fuego"/>
    <s v="PENDIENTE"/>
    <x v="2"/>
    <s v="#1774B9"/>
  </r>
  <r>
    <s v="0838"/>
    <n v="990"/>
    <s v="Agencia Información"/>
    <s v="Agropecuario y Forestal"/>
    <n v="3"/>
    <x v="10"/>
    <x v="7"/>
    <x v="1"/>
    <x v="3"/>
    <x v="1"/>
    <x v="82"/>
    <s v="Periodo 2010-2020"/>
    <s v="Número de incendios y Hectáreas"/>
    <s v="Corporación Nacional Forestal (CONAF)"/>
    <s v="Incendios y superficie afectada de plantaciones Forestales según causas específicas en la Región de Atacama, Periodo 2010-2020"/>
    <m/>
    <s v="Dashboard"/>
    <s v="Región de Atacama incendios forestales hectáreas superficie cantidad número causa plantaciones temporada fuego"/>
    <s v="PENDIENTE"/>
    <x v="3"/>
    <s v="#1774B9"/>
  </r>
  <r>
    <s v="0839"/>
    <n v="990"/>
    <s v="Agencia Información"/>
    <s v="Agropecuario y Forestal"/>
    <n v="4"/>
    <x v="10"/>
    <x v="7"/>
    <x v="1"/>
    <x v="4"/>
    <x v="1"/>
    <x v="82"/>
    <s v="Periodo 2010-2020"/>
    <s v="Número de incendios y Hectáreas"/>
    <s v="Corporación Nacional Forestal (CONAF)"/>
    <s v="Incendios y superficie afectada de plantaciones Forestales según causas específicas en la Región de Coquimbo, Periodo 2010-2020"/>
    <m/>
    <s v="Dashboard"/>
    <s v="Región de Coquimbo incendios forestales hectáreas superficie cantidad número causa plantaciones temporada fuego"/>
    <s v="PENDIENTE"/>
    <x v="4"/>
    <s v="#1774B9"/>
  </r>
  <r>
    <s v="0840"/>
    <n v="990"/>
    <s v="Agencia Información"/>
    <s v="Agropecuario y Forestal"/>
    <n v="5"/>
    <x v="10"/>
    <x v="7"/>
    <x v="1"/>
    <x v="5"/>
    <x v="1"/>
    <x v="82"/>
    <s v="Periodo 2010-2020"/>
    <s v="Número de incendios y Hectáreas"/>
    <s v="Corporación Nacional Forestal (CONAF)"/>
    <s v="Incendios y superficie afectada de plantaciones Forestales según causas específicas en la Región de Valparaíso, Periodo 2010-2020"/>
    <m/>
    <s v="Dashboard"/>
    <s v="Región de Valparaíso incendios forestales hectáreas superficie cantidad número causa plantaciones temporada fuego"/>
    <s v="PENDIENTE"/>
    <x v="5"/>
    <s v="#1774B9"/>
  </r>
  <r>
    <s v="0841"/>
    <n v="990"/>
    <s v="Agencia Información"/>
    <s v="Agropecuario y Forestal"/>
    <n v="6"/>
    <x v="10"/>
    <x v="7"/>
    <x v="1"/>
    <x v="6"/>
    <x v="1"/>
    <x v="82"/>
    <s v="Periodo 2010-2020"/>
    <s v="Número de incendios y Hectáreas"/>
    <s v="Corporación Nacional Forestal (CONAF)"/>
    <s v="Incendios y superficie afectada de plantaciones Forestales según causas específicas en la Región de O'Higgins, Periodo 2010-2020"/>
    <m/>
    <s v="Dashboard"/>
    <s v="Región de O'Higgins incendios forestales hectáreas superficie cantidad número causa plantaciones temporada fuego"/>
    <s v="PENDIENTE"/>
    <x v="6"/>
    <s v="#1774B9"/>
  </r>
  <r>
    <s v="0842"/>
    <n v="990"/>
    <s v="Agencia Información"/>
    <s v="Agropecuario y Forestal"/>
    <n v="7"/>
    <x v="10"/>
    <x v="7"/>
    <x v="1"/>
    <x v="7"/>
    <x v="1"/>
    <x v="82"/>
    <s v="Periodo 2010-2020"/>
    <s v="Número de incendios y Hectáreas"/>
    <s v="Corporación Nacional Forestal (CONAF)"/>
    <s v="Incendios y superficie afectada de plantaciones Forestales según causas específicas en la Región de Maule, Periodo 2010-2020"/>
    <m/>
    <s v="Dashboard"/>
    <s v="Región de Maule incendios forestales hectáreas superficie cantidad número causa plantaciones temporada fuego"/>
    <s v="PENDIENTE"/>
    <x v="7"/>
    <s v="#1774B9"/>
  </r>
  <r>
    <s v="0843"/>
    <n v="990"/>
    <s v="Agencia Información"/>
    <s v="Agropecuario y Forestal"/>
    <n v="8"/>
    <x v="10"/>
    <x v="7"/>
    <x v="1"/>
    <x v="8"/>
    <x v="1"/>
    <x v="82"/>
    <s v="Periodo 2010-2020"/>
    <s v="Número de incendios y Hectáreas"/>
    <s v="Corporación Nacional Forestal (CONAF)"/>
    <s v="Incendios y superficie afectada de plantaciones Forestales según causas específicas en la Región del Biobío, Periodo 2010-2020"/>
    <m/>
    <s v="Dashboard"/>
    <s v="Región del Biobío incendios forestales hectáreas superficie cantidad número causa plantaciones temporada fuego"/>
    <s v="https://app.powerbi.com/view?r=eyJrIjoiNjMzYThjMGUtNjRjNy00OTM5LTgxOGEtNTk0YzE5MWU3M2YxIiwidCI6IjhmYmFhNWJmLTJlY2MtNGRjOC1iNTZiLThmOTJlMzA3ZjA3NiIsImMiOjR9"/>
    <x v="8"/>
    <s v="#1774B9"/>
  </r>
  <r>
    <s v="0844"/>
    <n v="990"/>
    <s v="Agencia Información"/>
    <s v="Agropecuario y Forestal"/>
    <n v="9"/>
    <x v="10"/>
    <x v="7"/>
    <x v="1"/>
    <x v="9"/>
    <x v="1"/>
    <x v="82"/>
    <s v="Periodo 2010-2020"/>
    <s v="Número de incendios y Hectáreas"/>
    <s v="Corporación Nacional Forestal (CONAF)"/>
    <s v="Incendios y superficie afectada de plantaciones Forestales según causas específicas en la Región de La Araucanía, Periodo 2010-2020"/>
    <m/>
    <s v="Dashboard"/>
    <s v="Región de La Araucanía incendios forestales hectáreas superficie cantidad número causa plantaciones temporada fuego"/>
    <s v="PENDIENTE"/>
    <x v="9"/>
    <s v="#1774B9"/>
  </r>
  <r>
    <s v="0845"/>
    <n v="990"/>
    <s v="Agencia Información"/>
    <s v="Agropecuario y Forestal"/>
    <n v="10"/>
    <x v="10"/>
    <x v="7"/>
    <x v="1"/>
    <x v="10"/>
    <x v="1"/>
    <x v="82"/>
    <s v="Periodo 2010-2020"/>
    <s v="Número de incendios y Hectáreas"/>
    <s v="Corporación Nacional Forestal (CONAF)"/>
    <s v="Incendios y superficie afectada de plantaciones Forestales según causas específicas en la Región de Los Lagos, Periodo 2010-2020"/>
    <m/>
    <s v="Dashboard"/>
    <s v="Región de Los Lagos incendios forestales hectáreas superficie cantidad número causa plantaciones temporada fuego"/>
    <s v="PENDIENTE"/>
    <x v="10"/>
    <s v="#1774B9"/>
  </r>
  <r>
    <s v="0846"/>
    <n v="990"/>
    <s v="Agencia Información"/>
    <s v="Agropecuario y Forestal"/>
    <n v="11"/>
    <x v="10"/>
    <x v="7"/>
    <x v="1"/>
    <x v="11"/>
    <x v="1"/>
    <x v="82"/>
    <s v="Periodo 2010-2020"/>
    <s v="Número de incendios y Hectáreas"/>
    <s v="Corporación Nacional Forestal (CONAF)"/>
    <s v="Incendios y superficie afectada de plantaciones Forestales según causas específicas en la Región de Aysén, Periodo 2010-2020"/>
    <m/>
    <s v="Dashboard"/>
    <s v="Región de Aysén incendios forestales hectáreas superficie cantidad número causa plantaciones temporada fuego"/>
    <s v="PENDIENTE"/>
    <x v="11"/>
    <s v="#1774B9"/>
  </r>
  <r>
    <s v="0847"/>
    <n v="990"/>
    <s v="Agencia Información"/>
    <s v="Agropecuario y Forestal"/>
    <n v="12"/>
    <x v="10"/>
    <x v="7"/>
    <x v="1"/>
    <x v="12"/>
    <x v="1"/>
    <x v="82"/>
    <s v="Periodo 2010-2020"/>
    <s v="Número de incendios y Hectáreas"/>
    <s v="Corporación Nacional Forestal (CONAF)"/>
    <s v="Incendios y superficie afectada de plantaciones Forestales según causas específicas en la Región de Magallanes, Periodo 2010-2020"/>
    <m/>
    <s v="Dashboard"/>
    <s v="Región de Magallanes incendios forestales hectáreas superficie cantidad número causa plantaciones temporada fuego"/>
    <s v="PENDIENTE"/>
    <x v="12"/>
    <s v="#1774B9"/>
  </r>
  <r>
    <s v="0848"/>
    <n v="990"/>
    <s v="Agencia Información"/>
    <s v="Agropecuario y Forestal"/>
    <n v="13"/>
    <x v="10"/>
    <x v="7"/>
    <x v="1"/>
    <x v="13"/>
    <x v="1"/>
    <x v="82"/>
    <s v="Periodo 2010-2020"/>
    <s v="Número de incendios y Hectáreas"/>
    <s v="Corporación Nacional Forestal (CONAF)"/>
    <s v="Incendios y superficie afectada de plantaciones Forestales según causas específicas en la Región Metropolitana, Periodo 2010-2020"/>
    <m/>
    <s v="Dashboard"/>
    <s v="Región Metropolitana incendios forestales hectáreas superficie cantidad número causa plantaciones temporada fuego"/>
    <s v="PENDIENTE"/>
    <x v="13"/>
    <s v="#1774B9"/>
  </r>
  <r>
    <s v="0849"/>
    <n v="990"/>
    <s v="Agencia Información"/>
    <s v="Agropecuario y Forestal"/>
    <n v="14"/>
    <x v="10"/>
    <x v="7"/>
    <x v="1"/>
    <x v="14"/>
    <x v="1"/>
    <x v="82"/>
    <s v="Periodo 2010-2020"/>
    <s v="Número de incendios y Hectáreas"/>
    <s v="Corporación Nacional Forestal (CONAF)"/>
    <s v="Incendios y superficie afectada de plantaciones Forestales según causas específicas en la Región de Los Ríos, Periodo 2010-2020"/>
    <m/>
    <s v="Dashboard"/>
    <s v="Región de Los Ríos incendios forestales hectáreas superficie cantidad número causa plantaciones temporada fuego"/>
    <s v="PENDIENTE"/>
    <x v="14"/>
    <s v="#1774B9"/>
  </r>
  <r>
    <s v="0850"/>
    <n v="990"/>
    <s v="Agencia Información"/>
    <s v="Agropecuario y Forestal"/>
    <n v="15"/>
    <x v="10"/>
    <x v="7"/>
    <x v="1"/>
    <x v="15"/>
    <x v="1"/>
    <x v="82"/>
    <s v="Periodo 2010-2020"/>
    <s v="Número de incendios y Hectáreas"/>
    <s v="Corporación Nacional Forestal (CONAF)"/>
    <s v="Incendios y superficie afectada de plantaciones Forestales según causas específicas en la Región de Arica y Parinacota, Periodo 2010-2020"/>
    <m/>
    <s v="Dashboard"/>
    <s v="Región de Arica y Parinacota incendios forestales hectáreas superficie cantidad número causa plantaciones temporada fuego"/>
    <s v="PENDIENTE"/>
    <x v="15"/>
    <s v="#1774B9"/>
  </r>
  <r>
    <s v="0851"/>
    <n v="990"/>
    <s v="Agencia Información"/>
    <s v="Agropecuario y Forestal"/>
    <n v="16"/>
    <x v="10"/>
    <x v="7"/>
    <x v="1"/>
    <x v="16"/>
    <x v="1"/>
    <x v="82"/>
    <s v="Periodo 2010-2020"/>
    <s v="Número de incendios y Hectáreas"/>
    <s v="Corporación Nacional Forestal (CONAF)"/>
    <s v="Incendios y superficie afectada de plantaciones Forestales según causas específicas en la Región de Ñuble, Periodo 2010-2020"/>
    <m/>
    <s v="Dashboard"/>
    <s v="Región de Ñuble incendios forestales hectáreas superficie cantidad número causa plantaciones temporada fuego"/>
    <s v="PENDIENTE"/>
    <x v="16"/>
    <s v="#1774B9"/>
  </r>
  <r>
    <s v="0852"/>
    <n v="990"/>
    <s v="Agencia Información"/>
    <s v="Agropecuario y Forestal"/>
    <n v="0"/>
    <x v="10"/>
    <x v="7"/>
    <x v="0"/>
    <x v="0"/>
    <x v="1"/>
    <x v="82"/>
    <s v="Periodo 2010-2020"/>
    <s v="Número de incendios y Hectáreas"/>
    <s v="Corporación Nacional Forestal (CONAF)"/>
    <s v="Incendios y superficie afectada según causas generales y específicas en Chile, Periodo 2010-2020"/>
    <m/>
    <s v="Dashboard"/>
    <s v="Chile incendios forestales hectáreas superficie cantidad número causa general especifica plantaciones temporada fuego"/>
    <s v="PENDIENTE"/>
    <x v="0"/>
    <s v="#1774B9"/>
  </r>
  <r>
    <s v="0853"/>
    <n v="990"/>
    <s v="Agencia Información"/>
    <s v="Agropecuario y Forestal"/>
    <n v="1"/>
    <x v="10"/>
    <x v="7"/>
    <x v="1"/>
    <x v="1"/>
    <x v="1"/>
    <x v="82"/>
    <s v="Periodo 2010-2020"/>
    <s v="Número de incendios y Hectáreas"/>
    <s v="Corporación Nacional Forestal (CONAF)"/>
    <s v="Incendios y superficie afectada según causas generales y específicas en la Región de Tarapacá, Periodo 2010-2020"/>
    <m/>
    <s v="Dashboard"/>
    <s v="Región de Tarapacá incendios forestales hectáreas superficie cantidad número causa general especifica plantaciones temporada fuego"/>
    <s v="PENDIENTE"/>
    <x v="1"/>
    <s v="#1774B9"/>
  </r>
  <r>
    <s v="0854"/>
    <n v="990"/>
    <s v="Agencia Información"/>
    <s v="Agropecuario y Forestal"/>
    <n v="2"/>
    <x v="10"/>
    <x v="7"/>
    <x v="1"/>
    <x v="2"/>
    <x v="1"/>
    <x v="82"/>
    <s v="Periodo 2010-2020"/>
    <s v="Número de incendios y Hectáreas"/>
    <s v="Corporación Nacional Forestal (CONAF)"/>
    <s v="Incendios y superficie afectada según causas generales y específicas en la Región de Antofagasta, Periodo 2010-2020"/>
    <m/>
    <s v="Dashboard"/>
    <s v="Región de Antofagasta incendios forestales hectáreas superficie cantidad número causa general especifica plantaciones temporada fuego"/>
    <s v="PENDIENTE"/>
    <x v="2"/>
    <s v="#1774B9"/>
  </r>
  <r>
    <s v="0855"/>
    <n v="990"/>
    <s v="Agencia Información"/>
    <s v="Agropecuario y Forestal"/>
    <n v="3"/>
    <x v="10"/>
    <x v="7"/>
    <x v="1"/>
    <x v="3"/>
    <x v="1"/>
    <x v="82"/>
    <s v="Periodo 2010-2020"/>
    <s v="Número de incendios y Hectáreas"/>
    <s v="Corporación Nacional Forestal (CONAF)"/>
    <s v="Incendios y superficie afectada según causas generales y específicas en la Región de Atacama, Periodo 2010-2020"/>
    <m/>
    <s v="Dashboard"/>
    <s v="Región de Atacama incendios forestales hectáreas superficie cantidad número causa general especifica plantaciones temporada fuego"/>
    <s v="PENDIENTE"/>
    <x v="3"/>
    <s v="#1774B9"/>
  </r>
  <r>
    <s v="0856"/>
    <n v="990"/>
    <s v="Agencia Información"/>
    <s v="Agropecuario y Forestal"/>
    <n v="4"/>
    <x v="10"/>
    <x v="7"/>
    <x v="1"/>
    <x v="4"/>
    <x v="1"/>
    <x v="82"/>
    <s v="Periodo 2010-2020"/>
    <s v="Número de incendios y Hectáreas"/>
    <s v="Corporación Nacional Forestal (CONAF)"/>
    <s v="Incendios y superficie afectada según causas generales y específicas en la Región de Coquimbo, Periodo 2010-2020"/>
    <m/>
    <s v="Dashboard"/>
    <s v="Región de Coquimbo incendios forestales hectáreas superficie cantidad número causa general especifica plantaciones temporada fuego"/>
    <s v="PENDIENTE"/>
    <x v="4"/>
    <s v="#1774B9"/>
  </r>
  <r>
    <s v="0857"/>
    <n v="990"/>
    <s v="Agencia Información"/>
    <s v="Agropecuario y Forestal"/>
    <n v="5"/>
    <x v="10"/>
    <x v="7"/>
    <x v="1"/>
    <x v="5"/>
    <x v="1"/>
    <x v="82"/>
    <s v="Periodo 2010-2020"/>
    <s v="Número de incendios y Hectáreas"/>
    <s v="Corporación Nacional Forestal (CONAF)"/>
    <s v="Incendios y superficie afectada según causas generales y específicas en la Región de Valparaíso, Periodo 2010-2020"/>
    <s v="Durante la temporada de incendios forestales 2016-2017 se afectaron 16.663 hectáreas en la región del Valparaíso, siendo la causa general más recurrente reportada el &quot;Tránsito de personas vehículos o aeronaves&quot;. De esta superficie 16.637 hectáreas fueron clasificadas dentro de la causa específica &quot;Uso de fuego por transeúntes&quot;, en segundo lugar, con 25,5 hectáreas, son atribuidas a la causa específica definida como &quot;Accidente o incendio de vehículo en tránsito&quot;."/>
    <s v="Dashboard"/>
    <s v="Región de Valparaíso incendios forestales hectáreas superficie cantidad número causa general especifica plantaciones temporada fuego"/>
    <s v="https://app.powerbi.com/view?r=eyJrIjoiYTI3ZjVjZDMtZGI1My00ZmI2LWIzNTQtZTEzYTg0OTBiOTJhIiwidCI6IjhmYmFhNWJmLTJlY2MtNGRjOC1iNTZiLThmOTJlMzA3ZjA3NiIsImMiOjR9&amp;pageName=ReportSectiond48f98dfacc7e0670cf6"/>
    <x v="5"/>
    <s v="#1774B9"/>
  </r>
  <r>
    <s v="0858"/>
    <n v="990"/>
    <s v="Agencia Información"/>
    <s v="Agropecuario y Forestal"/>
    <n v="6"/>
    <x v="10"/>
    <x v="7"/>
    <x v="1"/>
    <x v="6"/>
    <x v="1"/>
    <x v="82"/>
    <s v="Periodo 2010-2020"/>
    <s v="Número de incendios y Hectáreas"/>
    <s v="Corporación Nacional Forestal (CONAF)"/>
    <s v="Incendios y superficie afectada según causas generales y específicas en la Región de O'Higgins, Periodo 2010-2020"/>
    <m/>
    <s v="Dashboard"/>
    <s v="Región de O'Higgins incendios forestales hectáreas superficie cantidad número causa general especifica plantaciones temporada fuego"/>
    <s v="PENDIENTE"/>
    <x v="6"/>
    <s v="#1774B9"/>
  </r>
  <r>
    <s v="0859"/>
    <n v="990"/>
    <s v="Agencia Información"/>
    <s v="Agropecuario y Forestal"/>
    <n v="7"/>
    <x v="10"/>
    <x v="7"/>
    <x v="1"/>
    <x v="7"/>
    <x v="1"/>
    <x v="82"/>
    <s v="Periodo 2010-2020"/>
    <s v="Número de incendios y Hectáreas"/>
    <s v="Corporación Nacional Forestal (CONAF)"/>
    <s v="Incendios y superficie afectada según causas generales y específicas en la Región de Maule, Periodo 2010-2020"/>
    <m/>
    <s v="Dashboard"/>
    <s v="Región de Maule incendios forestales hectáreas superficie cantidad número causa general especifica plantaciones temporada fuego"/>
    <s v="PENDIENTE"/>
    <x v="7"/>
    <s v="#1774B9"/>
  </r>
  <r>
    <s v="0860"/>
    <n v="990"/>
    <s v="Agencia Información"/>
    <s v="Agropecuario y Forestal"/>
    <n v="8"/>
    <x v="10"/>
    <x v="7"/>
    <x v="1"/>
    <x v="8"/>
    <x v="1"/>
    <x v="82"/>
    <s v="Periodo 2010-2020"/>
    <s v="Número de incendios y Hectáreas"/>
    <s v="Corporación Nacional Forestal (CONAF)"/>
    <s v="Incendios y superficie afectada según causas generales y específicas en la Región del Biobío, Periodo 2010-2020"/>
    <m/>
    <s v="Dashboard"/>
    <s v="Región del Biobío incendios forestales hectáreas superficie cantidad número causa general especifica plantaciones temporada fuego"/>
    <m/>
    <x v="8"/>
    <s v="#1774B9"/>
  </r>
  <r>
    <s v="0861"/>
    <n v="990"/>
    <s v="Agencia Información"/>
    <s v="Agropecuario y Forestal"/>
    <n v="9"/>
    <x v="10"/>
    <x v="7"/>
    <x v="1"/>
    <x v="9"/>
    <x v="1"/>
    <x v="82"/>
    <s v="Periodo 2010-2020"/>
    <s v="Número de incendios y Hectáreas"/>
    <s v="Corporación Nacional Forestal (CONAF)"/>
    <s v="Incendios y superficie afectada según causas generales y específicas en la Región de La Araucanía, Periodo 2010-2020"/>
    <m/>
    <s v="Dashboard"/>
    <s v="Región de La Araucanía incendios forestales hectáreas superficie cantidad número causa general especifica plantaciones temporada fuego"/>
    <s v="PENDIENTE"/>
    <x v="9"/>
    <s v="#1774B9"/>
  </r>
  <r>
    <s v="0862"/>
    <n v="990"/>
    <s v="Agencia Información"/>
    <s v="Agropecuario y Forestal"/>
    <n v="10"/>
    <x v="10"/>
    <x v="7"/>
    <x v="1"/>
    <x v="10"/>
    <x v="1"/>
    <x v="82"/>
    <s v="Periodo 2010-2020"/>
    <s v="Número de incendios y Hectáreas"/>
    <s v="Corporación Nacional Forestal (CONAF)"/>
    <s v="Incendios y superficie afectada según causas generales y específicas en la Región de Los Lagos, Periodo 2010-2020"/>
    <m/>
    <s v="Dashboard"/>
    <s v="Región de Los Lagos incendios forestales hectáreas superficie cantidad número causa general especifica plantaciones temporada fuego"/>
    <s v="PENDIENTE"/>
    <x v="10"/>
    <s v="#1774B9"/>
  </r>
  <r>
    <s v="0863"/>
    <n v="990"/>
    <s v="Agencia Información"/>
    <s v="Agropecuario y Forestal"/>
    <n v="11"/>
    <x v="10"/>
    <x v="7"/>
    <x v="1"/>
    <x v="11"/>
    <x v="1"/>
    <x v="82"/>
    <s v="Periodo 2010-2020"/>
    <s v="Número de incendios y Hectáreas"/>
    <s v="Corporación Nacional Forestal (CONAF)"/>
    <s v="Incendios y superficie afectada según causas generales y específicas en la Región de Aysén, Periodo 2010-2020"/>
    <m/>
    <s v="Dashboard"/>
    <s v="Región de Aysén incendios forestales hectáreas superficie cantidad número causa general especifica plantaciones temporada fuego"/>
    <s v="PENDIENTE"/>
    <x v="11"/>
    <s v="#1774B9"/>
  </r>
  <r>
    <s v="0864"/>
    <n v="990"/>
    <s v="Agencia Información"/>
    <s v="Agropecuario y Forestal"/>
    <n v="12"/>
    <x v="10"/>
    <x v="7"/>
    <x v="1"/>
    <x v="12"/>
    <x v="1"/>
    <x v="82"/>
    <s v="Periodo 2010-2020"/>
    <s v="Número de incendios y Hectáreas"/>
    <s v="Corporación Nacional Forestal (CONAF)"/>
    <s v="Incendios y superficie afectada según causas generales y específicas en la Región de Magallanes, Periodo 2010-2020"/>
    <m/>
    <s v="Dashboard"/>
    <s v="Región de Magallanes incendios forestales hectáreas superficie cantidad número causa general especifica plantaciones temporada fuego"/>
    <s v="PENDIENTE"/>
    <x v="12"/>
    <s v="#1774B9"/>
  </r>
  <r>
    <s v="0865"/>
    <n v="990"/>
    <s v="Agencia Información"/>
    <s v="Agropecuario y Forestal"/>
    <n v="13"/>
    <x v="10"/>
    <x v="7"/>
    <x v="1"/>
    <x v="13"/>
    <x v="1"/>
    <x v="82"/>
    <s v="Periodo 2010-2020"/>
    <s v="Número de incendios y Hectáreas"/>
    <s v="Corporación Nacional Forestal (CONAF)"/>
    <s v="Incendios y superficie afectada según causas generales y específicas en la Región Metropolitana, Periodo 2010-2020"/>
    <m/>
    <s v="Dashboard"/>
    <s v="Región Metropolitana incendios forestales hectáreas superficie cantidad número causa general especifica plantaciones temporada fuego"/>
    <s v="PENDIENTE"/>
    <x v="13"/>
    <s v="#1774B9"/>
  </r>
  <r>
    <s v="0866"/>
    <n v="990"/>
    <s v="Agencia Información"/>
    <s v="Agropecuario y Forestal"/>
    <n v="14"/>
    <x v="10"/>
    <x v="7"/>
    <x v="1"/>
    <x v="14"/>
    <x v="1"/>
    <x v="82"/>
    <s v="Periodo 2010-2020"/>
    <s v="Número de incendios y Hectáreas"/>
    <s v="Corporación Nacional Forestal (CONAF)"/>
    <s v="Incendios y superficie afectada según causas generales y específicas en la Región de Los Ríos, Periodo 2010-2020"/>
    <m/>
    <s v="Dashboard"/>
    <s v="Región de Los Ríos incendios forestales hectáreas superficie cantidad número causa general especifica plantaciones temporada fuego"/>
    <s v="PENDIENTE"/>
    <x v="14"/>
    <s v="#1774B9"/>
  </r>
  <r>
    <s v="0867"/>
    <n v="990"/>
    <s v="Agencia Información"/>
    <s v="Agropecuario y Forestal"/>
    <n v="15"/>
    <x v="10"/>
    <x v="7"/>
    <x v="1"/>
    <x v="15"/>
    <x v="1"/>
    <x v="82"/>
    <s v="Periodo 2010-2020"/>
    <s v="Número de incendios y Hectáreas"/>
    <s v="Corporación Nacional Forestal (CONAF)"/>
    <s v="Incendios y superficie afectada según causas generales y específicas en la Región de Arica y Parinacota, Periodo 2010-2020"/>
    <m/>
    <s v="Dashboard"/>
    <s v="Región de Arica y Parinacota incendios forestales hectáreas superficie cantidad número causa general especifica plantaciones temporada fuego"/>
    <s v="PENDIENTE"/>
    <x v="15"/>
    <s v="#1774B9"/>
  </r>
  <r>
    <s v="0868"/>
    <n v="990"/>
    <s v="Agencia Información"/>
    <s v="Agropecuario y Forestal"/>
    <n v="16"/>
    <x v="10"/>
    <x v="7"/>
    <x v="1"/>
    <x v="16"/>
    <x v="1"/>
    <x v="82"/>
    <s v="Periodo 2010-2020"/>
    <s v="Número de incendios y Hectáreas"/>
    <s v="Corporación Nacional Forestal (CONAF)"/>
    <s v="Incendios y superficie afectada según causas generales y específicas en la Región de Ñuble, Periodo 2010-2020"/>
    <m/>
    <s v="Dashboard"/>
    <s v="Región de Ñuble incendios forestales hectáreas superficie cantidad número causa general especifica plantaciones temporada fuego"/>
    <s v="PENDIENTE"/>
    <x v="16"/>
    <s v="#1774B9"/>
  </r>
  <r>
    <s v="0869"/>
    <n v="990"/>
    <s v="Agencia Información"/>
    <s v="Política y Gobierno"/>
    <n v="0"/>
    <x v="52"/>
    <x v="24"/>
    <x v="0"/>
    <x v="0"/>
    <x v="2"/>
    <x v="83"/>
    <s v="Periodo 1990-2020"/>
    <s v="Número de candidatos"/>
    <s v="Servicio Electoral (SERVEL)"/>
    <s v="Candidatos electos, Lista-Partido y Votación Obtenida a los cargos de Elección Popular, para 7 comunas en Chile, Periodo 1990-2020"/>
    <m/>
    <s v="Dashboard"/>
    <s v="Chile elecciones candidatos electos consejeros regionales senadores diputados alcaldes concejales cargos votación"/>
    <s v="PENDIENTE"/>
    <x v="17"/>
    <s v="#1774B9"/>
  </r>
  <r>
    <s v="0870"/>
    <n v="990"/>
    <s v="Agencia Información"/>
    <s v="Política y Gobierno"/>
    <n v="1"/>
    <x v="52"/>
    <x v="24"/>
    <x v="1"/>
    <x v="1"/>
    <x v="3"/>
    <x v="83"/>
    <s v="Periodo 1990-2020"/>
    <s v="Número de candidatos"/>
    <s v="Servicio Electoral (SERVEL)"/>
    <s v="Candidatos electos, Lista-Partido y Votación Obtenida a los cargos de Elección Popular, para 7 comunas en la Región de Tarapacá, Periodo 1990-2020"/>
    <m/>
    <s v="Dashboard"/>
    <s v="Región de Tarapacá elecciones candidatos electos consejeros regionales senadores diputados alcaldes concejales cargos votación"/>
    <s v="PENDIENTE"/>
    <x v="18"/>
    <s v="#1774B9"/>
  </r>
  <r>
    <s v="0871"/>
    <n v="990"/>
    <s v="Agencia Información"/>
    <s v="Política y Gobierno"/>
    <n v="2"/>
    <x v="52"/>
    <x v="24"/>
    <x v="1"/>
    <x v="2"/>
    <x v="3"/>
    <x v="83"/>
    <s v="Periodo 1990-2020"/>
    <s v="Número de candidatos"/>
    <s v="Servicio Electoral (SERVEL)"/>
    <s v="Candidatos electos, Lista-Partido y Votación Obtenida a los cargos de Elección Popular, para 7 comunas en la Región de Antofagasta, Periodo 1990-2020"/>
    <m/>
    <s v="Dashboard"/>
    <s v="Región de Antofagasta elecciones candidatos electos consejeros regionales senadores diputados alcaldes concejales cargos votación"/>
    <s v="PENDIENTE"/>
    <x v="19"/>
    <s v="#1774B9"/>
  </r>
  <r>
    <s v="0872"/>
    <n v="990"/>
    <s v="Agencia Información"/>
    <s v="Política y Gobierno"/>
    <n v="3"/>
    <x v="52"/>
    <x v="24"/>
    <x v="1"/>
    <x v="3"/>
    <x v="3"/>
    <x v="83"/>
    <s v="Periodo 1990-2020"/>
    <s v="Número de candidatos"/>
    <s v="Servicio Electoral (SERVEL)"/>
    <s v="Candidatos electos, Lista-Partido y Votación Obtenida a los cargos de Elección Popular, para 7 comunas en la Región de Atacama, Periodo 1990-2020"/>
    <m/>
    <s v="Dashboard"/>
    <s v="Región de Atacama elecciones candidatos electos consejeros regionales senadores diputados alcaldes concejales cargos votación"/>
    <s v="PENDIENTE"/>
    <x v="20"/>
    <s v="#1774B9"/>
  </r>
  <r>
    <s v="0873"/>
    <n v="990"/>
    <s v="Agencia Información"/>
    <s v="Política y Gobierno"/>
    <n v="4"/>
    <x v="52"/>
    <x v="24"/>
    <x v="1"/>
    <x v="4"/>
    <x v="3"/>
    <x v="83"/>
    <s v="Periodo 1990-2020"/>
    <s v="Número de candidatos"/>
    <s v="Servicio Electoral (SERVEL)"/>
    <s v="Candidatos electos, Lista-Partido y Votación Obtenida a los cargos de Elección Popular, para 7 comunas en la Región de Coquimbo, Periodo 1990-2020"/>
    <m/>
    <s v="Dashboard"/>
    <s v="Región de Coquimbo elecciones candidatos electos consejeros regionales senadores diputados alcaldes concejales cargos votación"/>
    <s v="PENDIENTE"/>
    <x v="21"/>
    <s v="#1774B9"/>
  </r>
  <r>
    <s v="0874"/>
    <n v="990"/>
    <s v="Agencia Información"/>
    <s v="Política y Gobierno"/>
    <n v="5"/>
    <x v="52"/>
    <x v="24"/>
    <x v="1"/>
    <x v="5"/>
    <x v="3"/>
    <x v="83"/>
    <s v="Periodo 1990-2020"/>
    <s v="Número de candidatos"/>
    <s v="Servicio Electoral (SERVEL)"/>
    <s v="Candidatos electos, Lista-Partido y Votación Obtenida a los cargos de Elección Popular, para 7 comunas en la Región de Valparaíso, Periodo 1990-2020"/>
    <m/>
    <s v="Dashboard"/>
    <s v="Región de Valparaíso elecciones candidatos electos consejeros regionales senadores diputados alcaldes concejales cargos votación"/>
    <s v="PENDIENTE"/>
    <x v="22"/>
    <s v="#1774B9"/>
  </r>
  <r>
    <s v="0875"/>
    <n v="990"/>
    <s v="Agencia Información"/>
    <s v="Política y Gobierno"/>
    <n v="6"/>
    <x v="52"/>
    <x v="24"/>
    <x v="1"/>
    <x v="6"/>
    <x v="3"/>
    <x v="83"/>
    <s v="Periodo 1990-2020"/>
    <s v="Número de candidatos"/>
    <s v="Servicio Electoral (SERVEL)"/>
    <s v="Candidatos electos, Lista-Partido y Votación Obtenida a los cargos de Elección Popular, para 7 comunas en la Región de O'Higgins, Periodo 1990-2020"/>
    <m/>
    <s v="Dashboard"/>
    <s v="Región de O'Higgins elecciones candidatos electos consejeros regionales senadores diputados alcaldes concejales cargos votación"/>
    <s v="PENDIENTE"/>
    <x v="23"/>
    <s v="#1774B9"/>
  </r>
  <r>
    <s v="0876"/>
    <n v="990"/>
    <s v="Agencia Información"/>
    <s v="Política y Gobierno"/>
    <n v="7"/>
    <x v="52"/>
    <x v="24"/>
    <x v="1"/>
    <x v="7"/>
    <x v="3"/>
    <x v="83"/>
    <s v="Periodo 1990-2020"/>
    <s v="Número de candidatos"/>
    <s v="Servicio Electoral (SERVEL)"/>
    <s v="Candidatos electos, Lista-Partido y Votación Obtenida a los cargos de Elección Popular, para 7 comunas en la Región de Maule, Periodo 1990-2020"/>
    <m/>
    <s v="Dashboard"/>
    <s v="Región de Maule elecciones candidatos electos consejeros regionales senadores diputados alcaldes concejales cargos votación"/>
    <s v="PENDIENTE"/>
    <x v="24"/>
    <s v="#1774B9"/>
  </r>
  <r>
    <s v="0877"/>
    <n v="990"/>
    <s v="Agencia Información"/>
    <s v="Política y Gobierno"/>
    <n v="8"/>
    <x v="52"/>
    <x v="24"/>
    <x v="1"/>
    <x v="8"/>
    <x v="3"/>
    <x v="83"/>
    <s v="Periodo 1990-2020"/>
    <s v="Número de candidatos"/>
    <s v="Servicio Electoral (SERVEL)"/>
    <s v="Candidatos electos, Lista-Partido y Votación Obtenida a los cargos de Elección Popular, para 7 comunas en la Región del Biobío, Periodo 1990-2020"/>
    <m/>
    <s v="Dashboard"/>
    <s v="Región del Biobío elecciones candidatos electos consejeros regionales senadores diputados alcaldes concejales cargos votación"/>
    <s v="PENDIENTE"/>
    <x v="25"/>
    <s v="#1774B9"/>
  </r>
  <r>
    <s v="0878"/>
    <n v="990"/>
    <s v="Agencia Información"/>
    <s v="Política y Gobierno"/>
    <n v="9"/>
    <x v="52"/>
    <x v="24"/>
    <x v="1"/>
    <x v="9"/>
    <x v="3"/>
    <x v="83"/>
    <s v="Periodo 1990-2020"/>
    <s v="Número de candidatos"/>
    <s v="Servicio Electoral (SERVEL)"/>
    <s v="Candidatos electos, Lista-Partido y Votación Obtenida a los cargos de Elección Popular, para 7 comunas en la Región de La Araucanía, Periodo 1990-2020"/>
    <m/>
    <s v="Dashboard"/>
    <s v="Región de La Araucanía elecciones candidatos electos consejeros regionales senadores diputados alcaldes concejales cargos votación"/>
    <s v="PENDIENTE"/>
    <x v="26"/>
    <s v="#1774B9"/>
  </r>
  <r>
    <s v="0879"/>
    <n v="990"/>
    <s v="Agencia Información"/>
    <s v="Política y Gobierno"/>
    <n v="10"/>
    <x v="52"/>
    <x v="24"/>
    <x v="1"/>
    <x v="10"/>
    <x v="3"/>
    <x v="83"/>
    <s v="Periodo 1990-2020"/>
    <s v="Número de candidatos"/>
    <s v="Servicio Electoral (SERVEL)"/>
    <s v="Candidatos electos, Lista-Partido y Votación Obtenida a los cargos de Elección Popular, para 7 comunas en la Región de Los Lagos, Periodo 1990-2020"/>
    <m/>
    <s v="Dashboard"/>
    <s v="Región de Los Lagos elecciones candidatos electos consejeros regionales senadores diputados alcaldes concejales cargos votación"/>
    <s v="PENDIENTE"/>
    <x v="27"/>
    <s v="#1774B9"/>
  </r>
  <r>
    <s v="0880"/>
    <n v="990"/>
    <s v="Agencia Información"/>
    <s v="Política y Gobierno"/>
    <n v="11"/>
    <x v="52"/>
    <x v="24"/>
    <x v="1"/>
    <x v="11"/>
    <x v="3"/>
    <x v="83"/>
    <s v="Periodo 1990-2020"/>
    <s v="Número de candidatos"/>
    <s v="Servicio Electoral (SERVEL)"/>
    <s v="Candidatos electos, Lista-Partido y Votación Obtenida a los cargos de Elección Popular, para 7 comunas en la Región de Aysén, Periodo 1990-2020"/>
    <m/>
    <s v="Dashboard"/>
    <s v="Región de Aysén elecciones candidatos electos consejeros regionales senadores diputados alcaldes concejales cargos votación"/>
    <s v="PENDIENTE"/>
    <x v="28"/>
    <s v="#1774B9"/>
  </r>
  <r>
    <s v="0881"/>
    <n v="990"/>
    <s v="Agencia Información"/>
    <s v="Política y Gobierno"/>
    <n v="12"/>
    <x v="52"/>
    <x v="24"/>
    <x v="1"/>
    <x v="12"/>
    <x v="3"/>
    <x v="83"/>
    <s v="Periodo 1990-2020"/>
    <s v="Número de candidatos"/>
    <s v="Servicio Electoral (SERVEL)"/>
    <s v="Candidatos electos, Lista-Partido y Votación Obtenida a los cargos de Elección Popular, para 7 comunas en la Región de Magallanes, Periodo 1990-2020"/>
    <m/>
    <s v="Dashboard"/>
    <s v="Región de Magallanes elecciones candidatos electos consejeros regionales senadores diputados alcaldes concejales cargos votación"/>
    <s v="PENDIENTE"/>
    <x v="29"/>
    <s v="#1774B9"/>
  </r>
  <r>
    <s v="0882"/>
    <n v="990"/>
    <s v="Agencia Información"/>
    <s v="Política y Gobierno"/>
    <n v="13"/>
    <x v="52"/>
    <x v="24"/>
    <x v="1"/>
    <x v="13"/>
    <x v="3"/>
    <x v="83"/>
    <s v="Periodo 1990-2020"/>
    <s v="Número de candidatos"/>
    <s v="Servicio Electoral (SERVEL)"/>
    <s v="Candidatos electos, Lista-Partido y Votación Obtenida a los cargos de Elección Popular, para 7 comunas en la Región Metropolitana, Periodo 1990-2020"/>
    <s v="Candidatos electos, Lista-Partido y Votación Obtenida a los cargos de Elección Popular, para 7 comunas"/>
    <s v="Dashboard"/>
    <s v="Región Metropolitana elecciones candidatos electos consejeros regionales senadores diputados alcaldes concejales cargos votación"/>
    <s v="https://app.powerbi.com/view?r=eyJrIjoiZmYzNzdjZDQtZGYyZS00MTVhLThmMDYtNjY2ZTA0YjIwOGM0IiwidCI6IjhmYmFhNWJmLTJlY2MtNGRjOC1iNTZiLThmOTJlMzA3ZjA3NiIsImMiOjR9"/>
    <x v="30"/>
    <s v="#1774B9"/>
  </r>
  <r>
    <s v="0883"/>
    <n v="990"/>
    <s v="Agencia Información"/>
    <s v="Política y Gobierno"/>
    <n v="14"/>
    <x v="52"/>
    <x v="24"/>
    <x v="1"/>
    <x v="14"/>
    <x v="3"/>
    <x v="83"/>
    <s v="Periodo 1990-2020"/>
    <s v="Número de candidatos"/>
    <s v="Servicio Electoral (SERVEL)"/>
    <s v="Candidatos electos, Lista-Partido y Votación Obtenida a los cargos de Elección Popular, para 7 comunas en la Región de Los Ríos, Periodo 1990-2020"/>
    <m/>
    <s v="Dashboard"/>
    <s v="Región de Los Ríos elecciones candidatos electos consejeros regionales senadores diputados alcaldes concejales cargos votación"/>
    <s v="PENDIENTE"/>
    <x v="31"/>
    <s v="#1774B9"/>
  </r>
  <r>
    <s v="0884"/>
    <n v="990"/>
    <s v="Agencia Información"/>
    <s v="Política y Gobierno"/>
    <n v="15"/>
    <x v="52"/>
    <x v="24"/>
    <x v="1"/>
    <x v="15"/>
    <x v="3"/>
    <x v="83"/>
    <s v="Periodo 1990-2020"/>
    <s v="Número de candidatos"/>
    <s v="Servicio Electoral (SERVEL)"/>
    <s v="Candidatos electos, Lista-Partido y Votación Obtenida a los cargos de Elección Popular, para 7 comunas en la Región de Arica y Parinacota, Periodo 1990-2020"/>
    <m/>
    <s v="Dashboard"/>
    <s v="Región de Arica y Parinacota elecciones candidatos electos consejeros regionales senadores diputados alcaldes concejales cargos votación"/>
    <s v="PENDIENTE"/>
    <x v="32"/>
    <s v="#1774B9"/>
  </r>
  <r>
    <s v="0885"/>
    <n v="990"/>
    <s v="Agencia Información"/>
    <s v="Política y Gobierno"/>
    <n v="16"/>
    <x v="52"/>
    <x v="24"/>
    <x v="1"/>
    <x v="16"/>
    <x v="3"/>
    <x v="83"/>
    <s v="Periodo 1990-2020"/>
    <s v="Número de candidatos"/>
    <s v="Servicio Electoral (SERVEL)"/>
    <s v="Candidatos electos, Lista-Partido y Votación Obtenida a los cargos de Elección Popular, para 7 comunas en la Región de Ñuble, Periodo 1990-2020"/>
    <m/>
    <s v="Dashboard"/>
    <s v="Región de Ñuble elecciones candidatos electos consejeros regionales senadores diputados alcaldes concejales cargos votación"/>
    <s v="PENDIENTE"/>
    <x v="33"/>
    <s v="#1774B9"/>
  </r>
  <r>
    <s v="0886"/>
    <n v="990"/>
    <s v="Agencia Información"/>
    <s v="Política y Gobierno"/>
    <n v="0"/>
    <x v="53"/>
    <x v="24"/>
    <x v="0"/>
    <x v="0"/>
    <x v="2"/>
    <x v="84"/>
    <m/>
    <s v="Número de cupos"/>
    <s v="Servicio Electoral (SERVEL)"/>
    <s v="Cupos para cargos de Elección Popular, a nivel regional y comunal en Chile"/>
    <s v="Números de Cupos para ocupar en cargos de Elección Popular, específicamente, para senadores, diputados, consejeros regionales alcaldes y concejales, los que varían según el cargo a ocupar y la densidad poblacional para las diferentes regiones y comunas."/>
    <s v="Dashboard"/>
    <s v="Chile elecciones candidatos consejeros regionales senadores diputados alcaldes concejales municipal municipio comuna distrito cargos circunscripción"/>
    <s v="https://app.powerbi.com/view?r=eyJrIjoiNzk5ZjYxMTUtMTIwZi00NWEwLTk4NzUtZWZmYmFlOTk2ODljIiwidCI6IjhmYmFhNWJmLTJlY2MtNGRjOC1iNTZiLThmOTJlMzA3ZjA3NiIsImMiOjR9"/>
    <x v="17"/>
    <s v="#1774B9"/>
  </r>
  <r>
    <s v="0887"/>
    <n v="990"/>
    <s v="Agencia Información"/>
    <s v="Política y Gobierno"/>
    <n v="1"/>
    <x v="53"/>
    <x v="24"/>
    <x v="1"/>
    <x v="1"/>
    <x v="3"/>
    <x v="84"/>
    <n v="0"/>
    <s v="Número de cupos"/>
    <s v="Servicio Electoral (SERVEL)"/>
    <s v="Cupos para cargos de Elección Popular, a nivel regional y comunal en la Región de Tarapacá"/>
    <m/>
    <s v="Dashboard"/>
    <s v="Región de Tarapacá elecciones candidatos consejeros regionales senadores diputados alcaldes concejales municipal municipio comuna distrito cargos circunscripción"/>
    <s v="PENDIENTE"/>
    <x v="18"/>
    <s v="#1774B9"/>
  </r>
  <r>
    <s v="0888"/>
    <n v="990"/>
    <s v="Agencia Información"/>
    <s v="Política y Gobierno"/>
    <n v="2"/>
    <x v="53"/>
    <x v="24"/>
    <x v="1"/>
    <x v="2"/>
    <x v="3"/>
    <x v="84"/>
    <n v="0"/>
    <s v="Número de cupos"/>
    <s v="Servicio Electoral (SERVEL)"/>
    <s v="Cupos para cargos de Elección Popular, a nivel regional y comunal en la Región de Antofagasta"/>
    <m/>
    <s v="Dashboard"/>
    <s v="Región de Antofagasta elecciones candidatos consejeros regionales senadores diputados alcaldes concejales municipal municipio comuna distrito cargos circunscripción"/>
    <s v="PENDIENTE"/>
    <x v="19"/>
    <s v="#1774B9"/>
  </r>
  <r>
    <s v="0889"/>
    <n v="990"/>
    <s v="Agencia Información"/>
    <s v="Política y Gobierno"/>
    <n v="3"/>
    <x v="53"/>
    <x v="24"/>
    <x v="1"/>
    <x v="3"/>
    <x v="3"/>
    <x v="84"/>
    <n v="0"/>
    <s v="Número de cupos"/>
    <s v="Servicio Electoral (SERVEL)"/>
    <s v="Cupos para cargos de Elección Popular, a nivel regional y comunal en la Región de Atacama"/>
    <m/>
    <s v="Dashboard"/>
    <s v="Región de Atacama elecciones candidatos consejeros regionales senadores diputados alcaldes concejales municipal municipio comuna distrito cargos circunscripción"/>
    <s v="PENDIENTE"/>
    <x v="20"/>
    <s v="#1774B9"/>
  </r>
  <r>
    <s v="0890"/>
    <n v="990"/>
    <s v="Agencia Información"/>
    <s v="Política y Gobierno"/>
    <n v="4"/>
    <x v="53"/>
    <x v="24"/>
    <x v="1"/>
    <x v="4"/>
    <x v="3"/>
    <x v="84"/>
    <n v="0"/>
    <s v="Número de cupos"/>
    <s v="Servicio Electoral (SERVEL)"/>
    <s v="Cupos para cargos de Elección Popular, a nivel regional y comunal en la Región de Coquimbo"/>
    <m/>
    <s v="Dashboard"/>
    <s v="Región de Coquimbo elecciones candidatos consejeros regionales senadores diputados alcaldes concejales municipal municipio comuna distrito cargos circunscripción"/>
    <s v="PENDIENTE"/>
    <x v="21"/>
    <s v="#1774B9"/>
  </r>
  <r>
    <s v="0891"/>
    <n v="990"/>
    <s v="Agencia Información"/>
    <s v="Política y Gobierno"/>
    <n v="5"/>
    <x v="53"/>
    <x v="24"/>
    <x v="1"/>
    <x v="5"/>
    <x v="3"/>
    <x v="84"/>
    <n v="0"/>
    <s v="Número de cupos"/>
    <s v="Servicio Electoral (SERVEL)"/>
    <s v="Cupos para cargos de Elección Popular, a nivel regional y comunal en la Región de Valparaíso"/>
    <m/>
    <s v="Dashboard"/>
    <s v="Región de Valparaíso elecciones candidatos consejeros regionales senadores diputados alcaldes concejales municipal municipio comuna distrito cargos circunscripción"/>
    <s v="PENDIENTE"/>
    <x v="22"/>
    <s v="#1774B9"/>
  </r>
  <r>
    <s v="0892"/>
    <n v="990"/>
    <s v="Agencia Información"/>
    <s v="Política y Gobierno"/>
    <n v="6"/>
    <x v="53"/>
    <x v="24"/>
    <x v="1"/>
    <x v="6"/>
    <x v="3"/>
    <x v="84"/>
    <n v="0"/>
    <s v="Número de cupos"/>
    <s v="Servicio Electoral (SERVEL)"/>
    <s v="Cupos para cargos de Elección Popular, a nivel regional y comunal en la Región de O'Higgins"/>
    <m/>
    <s v="Dashboard"/>
    <s v="Región de O'Higgins elecciones candidatos consejeros regionales senadores diputados alcaldes concejales municipal municipio comuna distrito cargos circunscripción"/>
    <s v="PENDIENTE"/>
    <x v="23"/>
    <s v="#1774B9"/>
  </r>
  <r>
    <s v="0893"/>
    <n v="990"/>
    <s v="Agencia Información"/>
    <s v="Política y Gobierno"/>
    <n v="7"/>
    <x v="53"/>
    <x v="24"/>
    <x v="1"/>
    <x v="7"/>
    <x v="3"/>
    <x v="84"/>
    <n v="0"/>
    <s v="Número de cupos"/>
    <s v="Servicio Electoral (SERVEL)"/>
    <s v="Cupos para cargos de Elección Popular, a nivel regional y comunal en la Región de Maule"/>
    <m/>
    <s v="Dashboard"/>
    <s v="Región de Maule elecciones candidatos consejeros regionales senadores diputados alcaldes concejales municipal municipio comuna distrito cargos circunscripción"/>
    <s v="PENDIENTE"/>
    <x v="24"/>
    <s v="#1774B9"/>
  </r>
  <r>
    <s v="0894"/>
    <n v="990"/>
    <s v="Agencia Información"/>
    <s v="Política y Gobierno"/>
    <n v="8"/>
    <x v="53"/>
    <x v="24"/>
    <x v="1"/>
    <x v="8"/>
    <x v="3"/>
    <x v="84"/>
    <n v="0"/>
    <s v="Número de cupos"/>
    <s v="Servicio Electoral (SERVEL)"/>
    <s v="Cupos para cargos de Elección Popular, a nivel regional y comunal en la Región del Biobío"/>
    <m/>
    <s v="Dashboard"/>
    <s v="Región del Biobío elecciones candidatos consejeros regionales senadores diputados alcaldes concejales municipal municipio comuna distrito cargos circunscripción"/>
    <m/>
    <x v="25"/>
    <s v="#1774B9"/>
  </r>
  <r>
    <s v="0895"/>
    <n v="990"/>
    <s v="Agencia Información"/>
    <s v="Política y Gobierno"/>
    <n v="9"/>
    <x v="53"/>
    <x v="24"/>
    <x v="1"/>
    <x v="9"/>
    <x v="3"/>
    <x v="84"/>
    <n v="0"/>
    <s v="Número de cupos"/>
    <s v="Servicio Electoral (SERVEL)"/>
    <s v="Cupos para cargos de Elección Popular, a nivel regional y comunal en la Región de La Araucanía"/>
    <m/>
    <s v="Dashboard"/>
    <s v="Región de La Araucanía elecciones candidatos consejeros regionales senadores diputados alcaldes concejales municipal municipio comuna distrito cargos circunscripción"/>
    <s v="PENDIENTE"/>
    <x v="26"/>
    <s v="#1774B9"/>
  </r>
  <r>
    <s v="0896"/>
    <n v="990"/>
    <s v="Agencia Información"/>
    <s v="Política y Gobierno"/>
    <n v="10"/>
    <x v="53"/>
    <x v="24"/>
    <x v="1"/>
    <x v="10"/>
    <x v="3"/>
    <x v="84"/>
    <n v="0"/>
    <s v="Número de cupos"/>
    <s v="Servicio Electoral (SERVEL)"/>
    <s v="Cupos para cargos de Elección Popular, a nivel regional y comunal en la Región de Los Lagos"/>
    <m/>
    <s v="Dashboard"/>
    <s v="Región de Los Lagos elecciones candidatos consejeros regionales senadores diputados alcaldes concejales municipal municipio comuna distrito cargos circunscripción"/>
    <s v="PENDIENTE"/>
    <x v="27"/>
    <s v="#1774B9"/>
  </r>
  <r>
    <s v="0897"/>
    <n v="990"/>
    <s v="Agencia Información"/>
    <s v="Política y Gobierno"/>
    <n v="11"/>
    <x v="53"/>
    <x v="24"/>
    <x v="1"/>
    <x v="11"/>
    <x v="3"/>
    <x v="84"/>
    <n v="0"/>
    <s v="Número de cupos"/>
    <s v="Servicio Electoral (SERVEL)"/>
    <s v="Cupos para cargos de Elección Popular, a nivel regional y comunal en la Región de Aysén"/>
    <m/>
    <s v="Dashboard"/>
    <s v="Región de Aysén elecciones candidatos consejeros regionales senadores diputados alcaldes concejales municipal municipio comuna distrito cargos circunscripción"/>
    <s v="PENDIENTE"/>
    <x v="28"/>
    <s v="#1774B9"/>
  </r>
  <r>
    <s v="0898"/>
    <n v="990"/>
    <s v="Agencia Información"/>
    <s v="Política y Gobierno"/>
    <n v="12"/>
    <x v="53"/>
    <x v="24"/>
    <x v="1"/>
    <x v="12"/>
    <x v="3"/>
    <x v="84"/>
    <n v="0"/>
    <s v="Número de cupos"/>
    <s v="Servicio Electoral (SERVEL)"/>
    <s v="Cupos para cargos de Elección Popular, a nivel regional y comunal en la Región de Magallanes"/>
    <m/>
    <s v="Dashboard"/>
    <s v="Región de Magallanes elecciones candidatos consejeros regionales senadores diputados alcaldes concejales municipal municipio comuna distrito cargos circunscripción"/>
    <s v="PENDIENTE"/>
    <x v="29"/>
    <s v="#1774B9"/>
  </r>
  <r>
    <s v="0899"/>
    <n v="990"/>
    <s v="Agencia Información"/>
    <s v="Política y Gobierno"/>
    <n v="13"/>
    <x v="53"/>
    <x v="24"/>
    <x v="1"/>
    <x v="13"/>
    <x v="3"/>
    <x v="84"/>
    <n v="0"/>
    <s v="Número de cupos"/>
    <s v="Servicio Electoral (SERVEL)"/>
    <s v="Cupos para cargos de Elección Popular, a nivel regional y comunal en la Región Metropolitana"/>
    <m/>
    <s v="Dashboard"/>
    <s v="Región Metropolitana elecciones candidatos consejeros regionales senadores diputados alcaldes concejales municipal municipio comuna distrito cargos circunscripción"/>
    <s v="PENDIENTE"/>
    <x v="30"/>
    <s v="#1774B9"/>
  </r>
  <r>
    <s v="0900"/>
    <n v="990"/>
    <s v="Agencia Información"/>
    <s v="Política y Gobierno"/>
    <n v="14"/>
    <x v="53"/>
    <x v="24"/>
    <x v="1"/>
    <x v="14"/>
    <x v="3"/>
    <x v="84"/>
    <n v="0"/>
    <s v="Número de cupos"/>
    <s v="Servicio Electoral (SERVEL)"/>
    <s v="Cupos para cargos de Elección Popular, a nivel regional y comunal en la Región de Los Ríos"/>
    <m/>
    <s v="Dashboard"/>
    <s v="Región de Los Ríos elecciones candidatos consejeros regionales senadores diputados alcaldes concejales municipal municipio comuna distrito cargos circunscripción"/>
    <s v="PENDIENTE"/>
    <x v="31"/>
    <s v="#1774B9"/>
  </r>
  <r>
    <s v="0901"/>
    <n v="990"/>
    <s v="Agencia Información"/>
    <s v="Política y Gobierno"/>
    <n v="15"/>
    <x v="53"/>
    <x v="24"/>
    <x v="1"/>
    <x v="15"/>
    <x v="3"/>
    <x v="84"/>
    <n v="0"/>
    <s v="Número de cupos"/>
    <s v="Servicio Electoral (SERVEL)"/>
    <s v="Cupos para cargos de Elección Popular, a nivel regional y comunal en la Región de Arica y Parinacota"/>
    <m/>
    <s v="Dashboard"/>
    <s v="Región de Arica y Parinacota elecciones candidatos consejeros regionales senadores diputados alcaldes concejales municipal municipio comuna distrito cargos circunscripción"/>
    <s v="PENDIENTE"/>
    <x v="32"/>
    <s v="#1774B9"/>
  </r>
  <r>
    <s v="0902"/>
    <n v="990"/>
    <s v="Agencia Información"/>
    <s v="Política y Gobierno"/>
    <n v="16"/>
    <x v="53"/>
    <x v="24"/>
    <x v="1"/>
    <x v="16"/>
    <x v="3"/>
    <x v="84"/>
    <n v="0"/>
    <s v="Número de cupos"/>
    <s v="Servicio Electoral (SERVEL)"/>
    <s v="Cupos para cargos de Elección Popular, a nivel regional y comunal en la Región de Ñuble"/>
    <m/>
    <s v="Dashboard"/>
    <s v="Región de Ñuble elecciones candidatos consejeros regionales senadores diputados alcaldes concejales municipal municipio comuna distrito cargos circunscripción"/>
    <s v="PENDIENTE"/>
    <x v="33"/>
    <s v="#1774B9"/>
  </r>
  <r>
    <s v="0903"/>
    <n v="990"/>
    <s v="Agencia Información"/>
    <s v="Economía"/>
    <n v="0"/>
    <x v="54"/>
    <x v="11"/>
    <x v="0"/>
    <x v="0"/>
    <x v="2"/>
    <x v="85"/>
    <s v="Periodo 1993-2019"/>
    <s v="Número de empresas"/>
    <s v="Servicio de Impuestos Internos (SII)"/>
    <s v="Número de empresas vigentes según año de inicio de actividades y tipo de contribuyente en Chile, Periodo 1993-2019"/>
    <m/>
    <s v="Gráfico de Evolución"/>
    <s v="Chile evolución anual cantidad número empresas tipo contribuyente SII regional activas año tributario fiscal inicio actividades"/>
    <s v="https://analytics.zoho.com/open-view/2395394000008461061"/>
    <x v="17"/>
    <s v="#1774B9"/>
  </r>
  <r>
    <s v="0904"/>
    <n v="990"/>
    <s v="Agencia Información"/>
    <s v="Economía"/>
    <n v="1"/>
    <x v="54"/>
    <x v="11"/>
    <x v="1"/>
    <x v="1"/>
    <x v="3"/>
    <x v="84"/>
    <s v="Periodo 1993-2019"/>
    <s v="Número de empresas"/>
    <s v="Servicio de Impuestos Internos (SII)"/>
    <s v="Número de empresas vigentes según año de inicio de actividades y tipo de contribuyente en la Región de Tarapacá, Periodo 1993-2019"/>
    <m/>
    <s v="Gráfico de Evolución"/>
    <s v="Región de Tarapacá evolución anual cantidad número empresas tipo contribuyente SII regional activas año tributario fiscal inicio actividades"/>
    <s v="https://analytics.zoho.com/open-view/2395394000008062255?ZOHO_CRITERIA=%22Directorio_Todo%22.%22Cod_Regi%C3%B3n%22%3D1"/>
    <x v="18"/>
    <s v="#1774B9"/>
  </r>
  <r>
    <s v="0905"/>
    <n v="990"/>
    <s v="Agencia Información"/>
    <s v="Economía"/>
    <n v="2"/>
    <x v="54"/>
    <x v="11"/>
    <x v="1"/>
    <x v="2"/>
    <x v="3"/>
    <x v="84"/>
    <s v="Periodo 1993-2019"/>
    <s v="Número de empresas"/>
    <s v="Servicio de Impuestos Internos (SII)"/>
    <s v="Número de empresas vigentes según año de inicio de actividades y tipo de contribuyente en la Región de Antofagasta, Periodo 1993-2019"/>
    <s v="El año 1993 fue el primer año en que se registró la información de empresas por tipo de contribuyente, incluyendo en este año, las empresas creadas con anterioridad. A partir del año 1994 comienza el registro individual anual. En este contexto, en la Región de Antofagasta, las empresas cuyo contribuyente se clasifica como &quot;Persona Jurídica Comercial&quot;, aumentaron exponencialmente hasta el año 2018, alcanzando las 2.555 empresas."/>
    <s v="Gráfico de Evolución"/>
    <s v="Región de Antofagasta evolución anual cantidad número empresas tipo contribuyente SII regional activas año tributario fiscal inicio actividades"/>
    <s v="https://analytics.zoho.com/open-view/2395394000008062255?ZOHO_CRITERIA=%22Directorio_Todo%22.%22Cod_Regi%C3%B3n%22%3D2"/>
    <x v="19"/>
    <s v="#1774B9"/>
  </r>
  <r>
    <s v="0906"/>
    <n v="990"/>
    <s v="Agencia Información"/>
    <s v="Economía"/>
    <n v="3"/>
    <x v="54"/>
    <x v="11"/>
    <x v="1"/>
    <x v="3"/>
    <x v="3"/>
    <x v="84"/>
    <s v="Periodo 1993-2019"/>
    <s v="Número de empresas"/>
    <s v="Servicio de Impuestos Internos (SII)"/>
    <s v="Número de empresas vigentes según año de inicio de actividades y tipo de contribuyente en la Región de Atacama, Periodo 1993-2019"/>
    <m/>
    <s v="Gráfico de Evolución"/>
    <s v="Región de Atacama evolución anual cantidad número empresas tipo contribuyente SII regional activas año tributario fiscal inicio actividades"/>
    <s v="https://analytics.zoho.com/open-view/2395394000008062255?ZOHO_CRITERIA=%22Directorio_Todo%22.%22Cod_Regi%C3%B3n%22%3D3"/>
    <x v="20"/>
    <s v="#1774B9"/>
  </r>
  <r>
    <s v="0907"/>
    <n v="990"/>
    <s v="Agencia Información"/>
    <s v="Economía"/>
    <n v="4"/>
    <x v="54"/>
    <x v="11"/>
    <x v="1"/>
    <x v="4"/>
    <x v="3"/>
    <x v="84"/>
    <s v="Periodo 1993-2019"/>
    <s v="Número de empresas"/>
    <s v="Servicio de Impuestos Internos (SII)"/>
    <s v="Número de empresas vigentes según año de inicio de actividades y tipo de contribuyente en la Región de Coquimbo, Periodo 1993-2019"/>
    <m/>
    <s v="Gráfico de Evolución"/>
    <s v="Región de Coquimbo evolución anual cantidad número empresas tipo contribuyente SII regional activas año tributario fiscal inicio actividades"/>
    <s v="https://analytics.zoho.com/open-view/2395394000008062255?ZOHO_CRITERIA=%22Directorio_Todo%22.%22Cod_Regi%C3%B3n%22%3D4"/>
    <x v="21"/>
    <s v="#1774B9"/>
  </r>
  <r>
    <s v="0908"/>
    <n v="990"/>
    <s v="Agencia Información"/>
    <s v="Economía"/>
    <n v="5"/>
    <x v="54"/>
    <x v="11"/>
    <x v="1"/>
    <x v="5"/>
    <x v="3"/>
    <x v="84"/>
    <s v="Periodo 1993-2019"/>
    <s v="Número de empresas"/>
    <s v="Servicio de Impuestos Internos (SII)"/>
    <s v="Número de empresas vigentes según año de inicio de actividades y tipo de contribuyente en la Región de Valparaíso, Periodo 1993-2019"/>
    <m/>
    <s v="Gráfico de Evolución"/>
    <s v="Región de Valparaíso evolución anual cantidad número empresas tipo contribuyente SII regional activas año tributario fiscal inicio actividades"/>
    <s v="https://analytics.zoho.com/open-view/2395394000008062255?ZOHO_CRITERIA=%22Directorio_Todo%22.%22Cod_Regi%C3%B3n%22%3D5"/>
    <x v="22"/>
    <s v="#1774B9"/>
  </r>
  <r>
    <s v="0909"/>
    <n v="990"/>
    <s v="Agencia Información"/>
    <s v="Economía"/>
    <n v="6"/>
    <x v="54"/>
    <x v="11"/>
    <x v="1"/>
    <x v="6"/>
    <x v="3"/>
    <x v="84"/>
    <s v="Periodo 1993-2019"/>
    <s v="Número de empresas"/>
    <s v="Servicio de Impuestos Internos (SII)"/>
    <s v="Número de empresas vigentes según año de inicio de actividades y tipo de contribuyente en la Región de O'Higgins, Periodo 1993-2019"/>
    <m/>
    <s v="Gráfico de Evolución"/>
    <s v="Región de O'Higgins evolución anual cantidad número empresas tipo contribuyente SII regional activas año tributario fiscal inicio actividades"/>
    <s v="https://analytics.zoho.com/open-view/2395394000008062255?ZOHO_CRITERIA=%22Directorio_Todo%22.%22Cod_Regi%C3%B3n%22%3D6"/>
    <x v="23"/>
    <s v="#1774B9"/>
  </r>
  <r>
    <s v="0910"/>
    <n v="990"/>
    <s v="Agencia Información"/>
    <s v="Economía"/>
    <n v="7"/>
    <x v="54"/>
    <x v="11"/>
    <x v="1"/>
    <x v="7"/>
    <x v="3"/>
    <x v="84"/>
    <s v="Periodo 1993-2019"/>
    <s v="Número de empresas"/>
    <s v="Servicio de Impuestos Internos (SII)"/>
    <s v="Número de empresas vigentes según año de inicio de actividades y tipo de contribuyente en la Región de Maule, Periodo 1993-2019"/>
    <m/>
    <s v="Gráfico de Evolución"/>
    <s v="Región de Maule evolución anual cantidad número empresas tipo contribuyente SII regional activas año tributario fiscal inicio actividades"/>
    <s v="https://analytics.zoho.com/open-view/2395394000008062255?ZOHO_CRITERIA=%22Directorio_Todo%22.%22Cod_Regi%C3%B3n%22%3D7"/>
    <x v="24"/>
    <s v="#1774B9"/>
  </r>
  <r>
    <s v="0911"/>
    <n v="990"/>
    <s v="Agencia Información"/>
    <s v="Economía"/>
    <n v="8"/>
    <x v="54"/>
    <x v="11"/>
    <x v="1"/>
    <x v="8"/>
    <x v="3"/>
    <x v="84"/>
    <s v="Periodo 1993-2019"/>
    <s v="Número de empresas"/>
    <s v="Servicio de Impuestos Internos (SII)"/>
    <s v="Número de empresas vigentes según año de inicio de actividades y tipo de contribuyente en la Región del Biobío, Periodo 1993-2019"/>
    <m/>
    <s v="Gráfico de Evolución"/>
    <s v="Región del Biobío evolución anual cantidad número empresas tipo contribuyente SII regional activas año tributario fiscal inicio actividades"/>
    <s v="https://analytics.zoho.com/open-view/2395394000008062255?ZOHO_CRITERIA=%22Directorio_Todo%22.%22Cod_Regi%C3%B3n%22%3D8"/>
    <x v="25"/>
    <s v="#1774B9"/>
  </r>
  <r>
    <s v="0912"/>
    <n v="990"/>
    <s v="Agencia Información"/>
    <s v="Economía"/>
    <n v="9"/>
    <x v="54"/>
    <x v="11"/>
    <x v="1"/>
    <x v="9"/>
    <x v="3"/>
    <x v="84"/>
    <s v="Periodo 1993-2019"/>
    <s v="Número de empresas"/>
    <s v="Servicio de Impuestos Internos (SII)"/>
    <s v="Número de empresas vigentes según año de inicio de actividades y tipo de contribuyente en la Región de La Araucanía, Periodo 1993-2019"/>
    <m/>
    <s v="Gráfico de Evolución"/>
    <s v="Región de La Araucanía evolución anual cantidad número empresas tipo contribuyente SII regional activas año tributario fiscal inicio actividades"/>
    <s v="https://analytics.zoho.com/open-view/2395394000008062255?ZOHO_CRITERIA=%22Directorio_Todo%22.%22Cod_Regi%C3%B3n%22%3D9"/>
    <x v="26"/>
    <s v="#1774B9"/>
  </r>
  <r>
    <s v="0913"/>
    <n v="990"/>
    <s v="Agencia Información"/>
    <s v="Economía"/>
    <n v="10"/>
    <x v="54"/>
    <x v="11"/>
    <x v="1"/>
    <x v="10"/>
    <x v="3"/>
    <x v="84"/>
    <s v="Periodo 1993-2019"/>
    <s v="Número de empresas"/>
    <s v="Servicio de Impuestos Internos (SII)"/>
    <s v="Número de empresas vigentes según año de inicio de actividades y tipo de contribuyente en la Región de Los Lagos, Periodo 1993-2019"/>
    <m/>
    <s v="Gráfico de Evolución"/>
    <s v="Región de Los Lagos evolución anual cantidad número empresas tipo contribuyente SII regional activas año tributario fiscal inicio actividades"/>
    <s v="https://analytics.zoho.com/open-view/2395394000008062255?ZOHO_CRITERIA=%22Directorio_Todo%22.%22Cod_Regi%C3%B3n%22%3D10"/>
    <x v="27"/>
    <s v="#1774B9"/>
  </r>
  <r>
    <s v="0914"/>
    <n v="990"/>
    <s v="Agencia Información"/>
    <s v="Economía"/>
    <n v="11"/>
    <x v="54"/>
    <x v="11"/>
    <x v="1"/>
    <x v="11"/>
    <x v="3"/>
    <x v="84"/>
    <s v="Periodo 1993-2019"/>
    <s v="Número de empresas"/>
    <s v="Servicio de Impuestos Internos (SII)"/>
    <s v="Número de empresas vigentes según año de inicio de actividades y tipo de contribuyente en la Región de Aysén, Periodo 1993-2019"/>
    <m/>
    <s v="Gráfico de Evolución"/>
    <s v="Región de Aysén evolución anual cantidad número empresas tipo contribuyente SII regional activas año tributario fiscal inicio actividades"/>
    <s v="https://analytics.zoho.com/open-view/2395394000008062255?ZOHO_CRITERIA=%22Directorio_Todo%22.%22Cod_Regi%C3%B3n%22%3D11"/>
    <x v="28"/>
    <s v="#1774B9"/>
  </r>
  <r>
    <s v="0915"/>
    <n v="990"/>
    <s v="Agencia Información"/>
    <s v="Economía"/>
    <n v="12"/>
    <x v="54"/>
    <x v="11"/>
    <x v="1"/>
    <x v="12"/>
    <x v="3"/>
    <x v="84"/>
    <s v="Periodo 1993-2019"/>
    <s v="Número de empresas"/>
    <s v="Servicio de Impuestos Internos (SII)"/>
    <s v="Número de empresas vigentes según año de inicio de actividades y tipo de contribuyente en la Región de Magallanes, Periodo 1993-2019"/>
    <m/>
    <s v="Gráfico de Evolución"/>
    <s v="Región de Magallanes evolución anual cantidad número empresas tipo contribuyente SII regional activas año tributario fiscal inicio actividades"/>
    <s v="https://analytics.zoho.com/open-view/2395394000008062255?ZOHO_CRITERIA=%22Directorio_Todo%22.%22Cod_Regi%C3%B3n%22%3D12"/>
    <x v="29"/>
    <s v="#1774B9"/>
  </r>
  <r>
    <s v="0916"/>
    <n v="990"/>
    <s v="Agencia Información"/>
    <s v="Economía"/>
    <n v="13"/>
    <x v="54"/>
    <x v="11"/>
    <x v="1"/>
    <x v="13"/>
    <x v="3"/>
    <x v="84"/>
    <s v="Periodo 1993-2019"/>
    <s v="Número de empresas"/>
    <s v="Servicio de Impuestos Internos (SII)"/>
    <s v="Número de empresas vigentes según año de inicio de actividades y tipo de contribuyente en la Región Metropolitana, Periodo 1993-2019"/>
    <m/>
    <s v="Gráfico de Evolución"/>
    <s v="Región Metropolitana evolución anual cantidad número empresas tipo contribuyente SII regional activas año tributario fiscal inicio actividades"/>
    <s v="https://analytics.zoho.com/open-view/2395394000008062255?ZOHO_CRITERIA=%22Directorio_Todo%22.%22Cod_Regi%C3%B3n%22%3D13"/>
    <x v="30"/>
    <s v="#1774B9"/>
  </r>
  <r>
    <s v="0917"/>
    <n v="990"/>
    <s v="Agencia Información"/>
    <s v="Economía"/>
    <n v="14"/>
    <x v="54"/>
    <x v="11"/>
    <x v="1"/>
    <x v="14"/>
    <x v="3"/>
    <x v="84"/>
    <s v="Periodo 1993-2019"/>
    <s v="Número de empresas"/>
    <s v="Servicio de Impuestos Internos (SII)"/>
    <s v="Número de empresas vigentes según año de inicio de actividades y tipo de contribuyente en la Región de Los Ríos, Periodo 1993-2019"/>
    <m/>
    <s v="Gráfico de Evolución"/>
    <s v="Región de Los Ríos evolución anual cantidad número empresas tipo contribuyente SII regional activas año tributario fiscal inicio actividades"/>
    <s v="https://analytics.zoho.com/open-view/2395394000008062255?ZOHO_CRITERIA=%22Directorio_Todo%22.%22Cod_Regi%C3%B3n%22%3D14"/>
    <x v="31"/>
    <s v="#1774B9"/>
  </r>
  <r>
    <s v="0918"/>
    <n v="990"/>
    <s v="Agencia Información"/>
    <s v="Economía"/>
    <n v="15"/>
    <x v="54"/>
    <x v="11"/>
    <x v="1"/>
    <x v="15"/>
    <x v="3"/>
    <x v="84"/>
    <s v="Periodo 1993-2019"/>
    <s v="Número de empresas"/>
    <s v="Servicio de Impuestos Internos (SII)"/>
    <s v="Número de empresas vigentes según año de inicio de actividades y tipo de contribuyente en la Región de Arica y Parinacota, Periodo 1993-2019"/>
    <m/>
    <s v="Gráfico de Evolución"/>
    <s v="Región de Arica y Parinacota evolución anual cantidad número empresas tipo contribuyente SII regional activas año tributario fiscal inicio actividades"/>
    <s v="https://analytics.zoho.com/open-view/2395394000008062255?ZOHO_CRITERIA=%22Directorio_Todo%22.%22Cod_Regi%C3%B3n%22%3D15"/>
    <x v="32"/>
    <s v="#1774B9"/>
  </r>
  <r>
    <s v="0919"/>
    <n v="990"/>
    <s v="Agencia Información"/>
    <s v="Economía"/>
    <n v="16"/>
    <x v="54"/>
    <x v="11"/>
    <x v="1"/>
    <x v="16"/>
    <x v="3"/>
    <x v="84"/>
    <s v="Periodo 1993-2019"/>
    <s v="Número de empresas"/>
    <s v="Servicio de Impuestos Internos (SII)"/>
    <s v="Número de empresas vigentes según año de inicio de actividades y tipo de contribuyente en la Región de Ñuble, Periodo 1993-2019"/>
    <m/>
    <s v="Gráfico de Evolución"/>
    <s v="Región de Ñuble evolución anual cantidad número empresas tipo contribuyente SII regional activas año tributario fiscal inicio actividades"/>
    <s v="https://analytics.zoho.com/open-view/2395394000008062255?ZOHO_CRITERIA=%22Directorio_Todo%22.%22Cod_Regi%C3%B3n%22%3D16"/>
    <x v="33"/>
    <s v="#1774B9"/>
  </r>
  <r>
    <s v="0920"/>
    <n v="990"/>
    <s v="Agencia Información"/>
    <s v="Economía"/>
    <n v="0"/>
    <x v="55"/>
    <x v="11"/>
    <x v="0"/>
    <x v="0"/>
    <x v="2"/>
    <x v="86"/>
    <s v="Periodo 1993-2019"/>
    <s v="Número de trabajadores"/>
    <s v="Servicio de Impuestos Internos (SII)"/>
    <s v="Número de trabajadores de empresas vigentes, por año de inicio de actividades y tipo de contribuyentes en Chile, Periodo 1993-2019"/>
    <s v="PENDIENTE"/>
    <s v="Gráfico de Evolución"/>
    <s v="Chile evolución anual trabajadores tipo contribuyente empresas activas vigente SII año tributario fiscal"/>
    <s v="https://analytics.zoho.com/open-view/2395394000008461297"/>
    <x v="17"/>
    <s v="#1774B9"/>
  </r>
  <r>
    <s v="0921"/>
    <n v="990"/>
    <s v="Agencia Información"/>
    <s v="Economía"/>
    <n v="1"/>
    <x v="55"/>
    <x v="11"/>
    <x v="1"/>
    <x v="1"/>
    <x v="3"/>
    <x v="86"/>
    <s v="Periodo 1993-2019"/>
    <s v="Número de trabajadores"/>
    <s v="Servicio de Impuestos Internos (SII)"/>
    <s v="Número de trabajadores de empresas vigentes, por año de inicio de actividades y tipo de contribuyentes en la Región de Tarapacá, Periodo 1993-2019"/>
    <m/>
    <s v="Gráfico de Evolución"/>
    <s v="Región de Tarapacá evolución anual trabajadores tipo contribuyente empresas activas vigente SII año tributario fiscal"/>
    <s v="https://analytics.zoho.com/open-view/2395394000008062434?ZOHO_CRITERIA=%22Directorio_Todo%22.%22Cod_Regi%C3%B3n%22%3D1"/>
    <x v="18"/>
    <s v="#1774B9"/>
  </r>
  <r>
    <s v="0922"/>
    <n v="990"/>
    <s v="Agencia Información"/>
    <s v="Economía"/>
    <n v="2"/>
    <x v="55"/>
    <x v="11"/>
    <x v="1"/>
    <x v="2"/>
    <x v="3"/>
    <x v="86"/>
    <s v="Periodo 1993-2019"/>
    <s v="Número de trabajadores"/>
    <s v="Servicio de Impuestos Internos (SII)"/>
    <s v="Número de trabajadores de empresas vigentes, por año de inicio de actividades y tipo de contribuyentes en la Región de Antofagasta, Periodo 1993-2019"/>
    <m/>
    <s v="Gráfico de Evolución"/>
    <s v="Región de Antofagasta evolución anual trabajadores tipo contribuyente empresas activas vigente SII año tributario fiscal"/>
    <s v="https://analytics.zoho.com/open-view/2395394000008062434?ZOHO_CRITERIA=%22Directorio_Todo%22.%22Cod_Regi%C3%B3n%22%3D2"/>
    <x v="19"/>
    <s v="#1774B9"/>
  </r>
  <r>
    <s v="0923"/>
    <n v="990"/>
    <s v="Agencia Información"/>
    <s v="Economía"/>
    <n v="3"/>
    <x v="55"/>
    <x v="11"/>
    <x v="1"/>
    <x v="3"/>
    <x v="3"/>
    <x v="86"/>
    <s v="Periodo 1993-2019"/>
    <s v="Número de trabajadores"/>
    <s v="Servicio de Impuestos Internos (SII)"/>
    <s v="Número de trabajadores de empresas vigentes, por año de inicio de actividades y tipo de contribuyentes en la Región de Atacama, Periodo 1993-2019"/>
    <m/>
    <s v="Gráfico de Evolución"/>
    <s v="Región de Atacama evolución anual trabajadores tipo contribuyente empresas activas vigente SII año tributario fiscal"/>
    <s v="https://analytics.zoho.com/open-view/2395394000008062434?ZOHO_CRITERIA=%22Directorio_Todo%22.%22Cod_Regi%C3%B3n%22%3D3"/>
    <x v="20"/>
    <s v="#1774B9"/>
  </r>
  <r>
    <s v="0924"/>
    <n v="990"/>
    <s v="Agencia Información"/>
    <s v="Economía"/>
    <n v="4"/>
    <x v="55"/>
    <x v="11"/>
    <x v="1"/>
    <x v="4"/>
    <x v="3"/>
    <x v="86"/>
    <s v="Periodo 1993-2019"/>
    <s v="Número de trabajadores"/>
    <s v="Servicio de Impuestos Internos (SII)"/>
    <s v="Número de trabajadores de empresas vigentes, por año de inicio de actividades y tipo de contribuyentes en la Región de Coquimbo, Periodo 1993-2019"/>
    <m/>
    <s v="Gráfico de Evolución"/>
    <s v="Región de Coquimbo evolución anual trabajadores tipo contribuyente empresas activas vigente SII año tributario fiscal"/>
    <s v="https://analytics.zoho.com/open-view/2395394000008062434?ZOHO_CRITERIA=%22Directorio_Todo%22.%22Cod_Regi%C3%B3n%22%3D4"/>
    <x v="21"/>
    <s v="#1774B9"/>
  </r>
  <r>
    <s v="0925"/>
    <n v="990"/>
    <s v="Agencia Información"/>
    <s v="Economía"/>
    <n v="5"/>
    <x v="55"/>
    <x v="11"/>
    <x v="1"/>
    <x v="5"/>
    <x v="3"/>
    <x v="86"/>
    <s v="Periodo 1993-2019"/>
    <s v="Número de trabajadores"/>
    <s v="Servicio de Impuestos Internos (SII)"/>
    <s v="Número de trabajadores de empresas vigentes, por año de inicio de actividades y tipo de contribuyentes en la Región de Valparaíso, Periodo 1993-2019"/>
    <m/>
    <s v="Gráfico de Evolución"/>
    <s v="Región de Valparaíso evolución anual trabajadores tipo contribuyente empresas activas vigente SII año tributario fiscal"/>
    <s v="https://analytics.zoho.com/open-view/2395394000008062434?ZOHO_CRITERIA=%22Directorio_Todo%22.%22Cod_Regi%C3%B3n%22%3D5"/>
    <x v="22"/>
    <s v="#1774B9"/>
  </r>
  <r>
    <s v="0926"/>
    <n v="990"/>
    <s v="Agencia Información"/>
    <s v="Economía"/>
    <n v="6"/>
    <x v="55"/>
    <x v="11"/>
    <x v="1"/>
    <x v="6"/>
    <x v="3"/>
    <x v="86"/>
    <s v="Periodo 1993-2019"/>
    <s v="Número de trabajadores"/>
    <s v="Servicio de Impuestos Internos (SII)"/>
    <s v="Número de trabajadores de empresas vigentes, por año de inicio de actividades y tipo de contribuyentes en la Región de O'Higgins, Periodo 1993-2019"/>
    <m/>
    <s v="Gráfico de Evolución"/>
    <s v="Región de O'Higgins evolución anual trabajadores tipo contribuyente empresas activas vigente SII año tributario fiscal"/>
    <s v="https://analytics.zoho.com/open-view/2395394000008062434?ZOHO_CRITERIA=%22Directorio_Todo%22.%22Cod_Regi%C3%B3n%22%3D6"/>
    <x v="23"/>
    <s v="#1774B9"/>
  </r>
  <r>
    <s v="0927"/>
    <n v="990"/>
    <s v="Agencia Información"/>
    <s v="Economía"/>
    <n v="7"/>
    <x v="55"/>
    <x v="11"/>
    <x v="1"/>
    <x v="7"/>
    <x v="3"/>
    <x v="86"/>
    <s v="Periodo 1993-2019"/>
    <s v="Número de trabajadores"/>
    <s v="Servicio de Impuestos Internos (SII)"/>
    <s v="Número de trabajadores de empresas vigentes, por año de inicio de actividades y tipo de contribuyentes en la Región de Maule, Periodo 1993-2019"/>
    <m/>
    <s v="Gráfico de Evolución"/>
    <s v="Región de Maule evolución anual trabajadores tipo contribuyente empresas activas vigente SII año tributario fiscal"/>
    <s v="https://analytics.zoho.com/open-view/2395394000008062434?ZOHO_CRITERIA=%22Directorio_Todo%22.%22Cod_Regi%C3%B3n%22%3D7"/>
    <x v="24"/>
    <s v="#1774B9"/>
  </r>
  <r>
    <s v="0928"/>
    <n v="990"/>
    <s v="Agencia Información"/>
    <s v="Economía"/>
    <n v="8"/>
    <x v="55"/>
    <x v="11"/>
    <x v="1"/>
    <x v="8"/>
    <x v="3"/>
    <x v="86"/>
    <s v="Periodo 1993-2019"/>
    <s v="Número de trabajadores"/>
    <s v="Servicio de Impuestos Internos (SII)"/>
    <s v="Número de trabajadores de empresas vigentes, por año de inicio de actividades y tipo de contribuyentes en la Región del Biobío, Periodo 1993-2019"/>
    <m/>
    <s v="Gráfico de Evolución"/>
    <s v="Región del Biobío evolución anual trabajadores tipo contribuyente empresas activas vigente SII año tributario fiscal"/>
    <s v="https://analytics.zoho.com/open-view/2395394000008062434?ZOHO_CRITERIA=%22Directorio_Todo%22.%22Cod_Regi%C3%B3n%22%3D8"/>
    <x v="25"/>
    <s v="#1774B9"/>
  </r>
  <r>
    <s v="0929"/>
    <n v="990"/>
    <s v="Agencia Información"/>
    <s v="Economía"/>
    <n v="9"/>
    <x v="55"/>
    <x v="11"/>
    <x v="1"/>
    <x v="9"/>
    <x v="3"/>
    <x v="86"/>
    <s v="Periodo 1993-2019"/>
    <s v="Número de trabajadores"/>
    <s v="Servicio de Impuestos Internos (SII)"/>
    <s v="Número de trabajadores de empresas vigentes, por año de inicio de actividades y tipo de contribuyentes en la Región de La Araucanía, Periodo 1993-2019"/>
    <m/>
    <s v="Gráfico de Evolución"/>
    <s v="Región de La Araucanía evolución anual trabajadores tipo contribuyente empresas activas vigente SII año tributario fiscal"/>
    <s v="https://analytics.zoho.com/open-view/2395394000008062434?ZOHO_CRITERIA=%22Directorio_Todo%22.%22Cod_Regi%C3%B3n%22%3D9"/>
    <x v="26"/>
    <s v="#1774B9"/>
  </r>
  <r>
    <s v="0930"/>
    <n v="990"/>
    <s v="Agencia Información"/>
    <s v="Economía"/>
    <n v="10"/>
    <x v="55"/>
    <x v="11"/>
    <x v="1"/>
    <x v="10"/>
    <x v="3"/>
    <x v="86"/>
    <s v="Periodo 1993-2019"/>
    <s v="Número de trabajadores"/>
    <s v="Servicio de Impuestos Internos (SII)"/>
    <s v="Número de trabajadores de empresas vigentes, por año de inicio de actividades y tipo de contribuyentes en la Región de Los Lagos, Periodo 1993-2019"/>
    <m/>
    <s v="Gráfico de Evolución"/>
    <s v="Región de Los Lagos evolución anual trabajadores tipo contribuyente empresas activas vigente SII año tributario fiscal"/>
    <s v="https://analytics.zoho.com/open-view/2395394000008062434?ZOHO_CRITERIA=%22Directorio_Todo%22.%22Cod_Regi%C3%B3n%22%3D10"/>
    <x v="27"/>
    <s v="#1774B9"/>
  </r>
  <r>
    <s v="0931"/>
    <n v="990"/>
    <s v="Agencia Información"/>
    <s v="Economía"/>
    <n v="11"/>
    <x v="55"/>
    <x v="11"/>
    <x v="1"/>
    <x v="11"/>
    <x v="3"/>
    <x v="86"/>
    <s v="Periodo 1993-2019"/>
    <s v="Número de trabajadores"/>
    <s v="Servicio de Impuestos Internos (SII)"/>
    <s v="Número de trabajadores de empresas vigentes, por año de inicio de actividades y tipo de contribuyentes en la Región de Aysén, Periodo 1993-2019"/>
    <m/>
    <s v="Gráfico de Evolución"/>
    <s v="Región de Aysén evolución anual trabajadores tipo contribuyente empresas activas vigente SII año tributario fiscal"/>
    <s v="https://analytics.zoho.com/open-view/2395394000008062434?ZOHO_CRITERIA=%22Directorio_Todo%22.%22Cod_Regi%C3%B3n%22%3D11"/>
    <x v="28"/>
    <s v="#1774B9"/>
  </r>
  <r>
    <s v="0932"/>
    <n v="990"/>
    <s v="Agencia Información"/>
    <s v="Economía"/>
    <n v="12"/>
    <x v="55"/>
    <x v="11"/>
    <x v="1"/>
    <x v="12"/>
    <x v="3"/>
    <x v="86"/>
    <s v="Periodo 1993-2019"/>
    <s v="Número de trabajadores"/>
    <s v="Servicio de Impuestos Internos (SII)"/>
    <s v="Número de trabajadores de empresas vigentes, por año de inicio de actividades y tipo de contribuyentes en la Región de Magallanes, Periodo 1993-2019"/>
    <m/>
    <s v="Gráfico de Evolución"/>
    <s v="Región de Magallanes evolución anual trabajadores tipo contribuyente empresas activas vigente SII año tributario fiscal"/>
    <s v="https://analytics.zoho.com/open-view/2395394000008062434?ZOHO_CRITERIA=%22Directorio_Todo%22.%22Cod_Regi%C3%B3n%22%3D12"/>
    <x v="29"/>
    <s v="#1774B9"/>
  </r>
  <r>
    <s v="0933"/>
    <n v="990"/>
    <s v="Agencia Información"/>
    <s v="Economía"/>
    <n v="13"/>
    <x v="55"/>
    <x v="11"/>
    <x v="1"/>
    <x v="13"/>
    <x v="3"/>
    <x v="86"/>
    <s v="Periodo 1993-2019"/>
    <s v="Número de trabajadores"/>
    <s v="Servicio de Impuestos Internos (SII)"/>
    <s v="Número de trabajadores de empresas vigentes, por año de inicio de actividades y tipo de contribuyentes en la Región Metropolitana, Periodo 1993-2019"/>
    <m/>
    <s v="Gráfico de Evolución"/>
    <s v="Región Metropolitana evolución anual trabajadores tipo contribuyente empresas activas vigente SII año tributario fiscal"/>
    <s v="https://analytics.zoho.com/open-view/2395394000008062434?ZOHO_CRITERIA=%22Directorio_Todo%22.%22Cod_Regi%C3%B3n%22%3D13"/>
    <x v="30"/>
    <s v="#1774B9"/>
  </r>
  <r>
    <s v="0934"/>
    <n v="990"/>
    <s v="Agencia Información"/>
    <s v="Economía"/>
    <n v="14"/>
    <x v="55"/>
    <x v="11"/>
    <x v="1"/>
    <x v="14"/>
    <x v="3"/>
    <x v="86"/>
    <s v="Periodo 1993-2019"/>
    <s v="Número de trabajadores"/>
    <s v="Servicio de Impuestos Internos (SII)"/>
    <s v="Número de trabajadores de empresas vigentes, por año de inicio de actividades y tipo de contribuyentes en la Región de Los Ríos, Periodo 1993-2019"/>
    <m/>
    <s v="Gráfico de Evolución"/>
    <s v="Región de Los Ríos evolución anual trabajadores tipo contribuyente empresas activas vigente SII año tributario fiscal"/>
    <s v="https://analytics.zoho.com/open-view/2395394000008062434?ZOHO_CRITERIA=%22Directorio_Todo%22.%22Cod_Regi%C3%B3n%22%3D14"/>
    <x v="31"/>
    <s v="#1774B9"/>
  </r>
  <r>
    <s v="0935"/>
    <n v="990"/>
    <s v="Agencia Información"/>
    <s v="Economía"/>
    <n v="15"/>
    <x v="55"/>
    <x v="11"/>
    <x v="1"/>
    <x v="15"/>
    <x v="3"/>
    <x v="86"/>
    <s v="Periodo 1993-2019"/>
    <s v="Número de trabajadores"/>
    <s v="Servicio de Impuestos Internos (SII)"/>
    <s v="Número de trabajadores de empresas vigentes, por año de inicio de actividades y tipo de contribuyentes en la Región de Arica y Parinacota, Periodo 1993-2019"/>
    <m/>
    <s v="Gráfico de Evolución"/>
    <s v="Región de Arica y Parinacota evolución anual trabajadores tipo contribuyente empresas activas vigente SII año tributario fiscal"/>
    <s v="https://analytics.zoho.com/open-view/2395394000008062434?ZOHO_CRITERIA=%22Directorio_Todo%22.%22Cod_Regi%C3%B3n%22%3D15"/>
    <x v="32"/>
    <s v="#1774B9"/>
  </r>
  <r>
    <s v="0936"/>
    <n v="990"/>
    <s v="Agencia Información"/>
    <s v="Economía"/>
    <n v="16"/>
    <x v="55"/>
    <x v="11"/>
    <x v="1"/>
    <x v="16"/>
    <x v="3"/>
    <x v="86"/>
    <s v="Periodo 1993-2019"/>
    <s v="Número de trabajadores"/>
    <s v="Servicio de Impuestos Internos (SII)"/>
    <s v="Número de trabajadores de empresas vigentes, por año de inicio de actividades y tipo de contribuyentes en la Región de Ñuble, Periodo 1993-2019"/>
    <m/>
    <s v="Gráfico de Evolución"/>
    <s v="Región de Ñuble evolución anual trabajadores tipo contribuyente empresas activas vigente SII año tributario fiscal"/>
    <s v="https://analytics.zoho.com/open-view/2395394000008062434?ZOHO_CRITERIA=%22Directorio_Todo%22.%22Cod_Regi%C3%B3n%22%3D16"/>
    <x v="33"/>
    <s v="#1774B9"/>
  </r>
  <r>
    <s v="0937"/>
    <n v="990"/>
    <s v="Agencia Información"/>
    <s v="Salud"/>
    <n v="0"/>
    <x v="25"/>
    <x v="14"/>
    <x v="0"/>
    <x v="0"/>
    <x v="2"/>
    <x v="87"/>
    <s v="Periodo 2012-2018"/>
    <s v="Número de Casos"/>
    <s v="Departamento de Estadísticas e Información de la Salud (DEIS) - Ministerio de Salud"/>
    <s v="Evolución de Población en el Programa de VIH/SIDA según Comuna en Chile, Periodo 2012-2018"/>
    <s v="La Población en Control del Programa VIH/SIDA aumentó en el periodo comprendido entre los años 2012 y 2018, con más de 35 mil casos para el último año. La comuna de Santiago fue la que más casos registró, acumulando más de 25 mil casos entre los años 2015 y 2018, seguida de San Miguel y Providencia, ambas con mas de 11 mil casos."/>
    <s v="Gráfico de Evolución"/>
    <s v="Chile VIH SIDA enfermedad transmisión sexual programa casos número población"/>
    <s v="https://analytics.zoho.com/open-view/2395394000008049492"/>
    <x v="17"/>
    <s v="#1774B9"/>
  </r>
  <r>
    <s v="0938"/>
    <n v="990"/>
    <s v="Agencia Información"/>
    <s v="Salud"/>
    <n v="1"/>
    <x v="25"/>
    <x v="14"/>
    <x v="1"/>
    <x v="1"/>
    <x v="3"/>
    <x v="87"/>
    <s v="Periodo 2012-2018"/>
    <s v="Número de Casos"/>
    <s v="Departamento de Estadísticas e Información de la Salud (DEIS) - Ministerio de Salud"/>
    <s v="Evolución de Población en el Programa de VIH/SIDA según Comuna en la Región de Tarapacá, Periodo 2012-2018"/>
    <m/>
    <s v="Gráfico de Evolución"/>
    <s v="Región de Tarapacá VIH SIDA enfermedad transmisión sexual programa casos número población"/>
    <s v="https://analytics.zoho.com/open-view/2395394000008389806?ZOHO_CRITERIA=%22Localiza%20CL%22.%22Codreg%22%20%3D%201"/>
    <x v="18"/>
    <s v="#1774B9"/>
  </r>
  <r>
    <s v="0939"/>
    <n v="990"/>
    <s v="Agencia Información"/>
    <s v="Salud"/>
    <n v="2"/>
    <x v="25"/>
    <x v="14"/>
    <x v="1"/>
    <x v="2"/>
    <x v="3"/>
    <x v="87"/>
    <s v="Periodo 2012-2018"/>
    <s v="Número de Casos"/>
    <s v="Departamento de Estadísticas e Información de la Salud (DEIS) - Ministerio de Salud"/>
    <s v="Evolución de Población en el Programa de VIH/SIDA según Comuna en la Región de Antofagasta, Periodo 2012-2018"/>
    <m/>
    <s v="Gráfico de Evolución"/>
    <s v="Región de Antofagasta VIH SIDA enfermedad transmisión sexual programa casos número población"/>
    <s v="https://analytics.zoho.com/open-view/2395394000008389806?ZOHO_CRITERIA=%22Localiza%20CL%22.%22Codreg%22%20%3D%202"/>
    <x v="19"/>
    <s v="#1774B9"/>
  </r>
  <r>
    <s v="0940"/>
    <n v="990"/>
    <s v="Agencia Información"/>
    <s v="Salud"/>
    <n v="3"/>
    <x v="25"/>
    <x v="14"/>
    <x v="1"/>
    <x v="3"/>
    <x v="3"/>
    <x v="87"/>
    <s v="Periodo 2012-2018"/>
    <s v="Número de Casos"/>
    <s v="Departamento de Estadísticas e Información de la Salud (DEIS) - Ministerio de Salud"/>
    <s v="Evolución de Población en el Programa de VIH/SIDA según Comuna en la Región de Atacama, Periodo 2012-2018"/>
    <m/>
    <s v="Gráfico de Evolución"/>
    <s v="Región de Atacama VIH SIDA enfermedad transmisión sexual programa casos número población"/>
    <s v="https://analytics.zoho.com/open-view/2395394000008389806?ZOHO_CRITERIA=%22Localiza%20CL%22.%22Codreg%22%20%3D%203"/>
    <x v="20"/>
    <s v="#1774B9"/>
  </r>
  <r>
    <s v="0941"/>
    <n v="990"/>
    <s v="Agencia Información"/>
    <s v="Salud"/>
    <n v="4"/>
    <x v="25"/>
    <x v="14"/>
    <x v="1"/>
    <x v="4"/>
    <x v="3"/>
    <x v="87"/>
    <s v="Periodo 2012-2018"/>
    <s v="Número de Casos"/>
    <s v="Departamento de Estadísticas e Información de la Salud (DEIS) - Ministerio de Salud"/>
    <s v="Evolución de Población en el Programa de VIH/SIDA según Comuna en la Región de Coquimbo, Periodo 2012-2018"/>
    <m/>
    <s v="Gráfico de Evolución"/>
    <s v="Región de Coquimbo VIH SIDA enfermedad transmisión sexual programa casos número población"/>
    <s v="https://analytics.zoho.com/open-view/2395394000008389806?ZOHO_CRITERIA=%22Localiza%20CL%22.%22Codreg%22%20%3D%204"/>
    <x v="21"/>
    <s v="#1774B9"/>
  </r>
  <r>
    <s v="0942"/>
    <n v="990"/>
    <s v="Agencia Información"/>
    <s v="Salud"/>
    <n v="5"/>
    <x v="25"/>
    <x v="14"/>
    <x v="1"/>
    <x v="5"/>
    <x v="3"/>
    <x v="87"/>
    <s v="Periodo 2012-2018"/>
    <s v="Número de Casos"/>
    <s v="Departamento de Estadísticas e Información de la Salud (DEIS) - Ministerio de Salud"/>
    <s v="Evolución de Población en el Programa de VIH/SIDA según Comuna en la Región de Valparaíso, Periodo 2012-2018"/>
    <m/>
    <s v="Gráfico de Evolución"/>
    <s v="Región de Valparaíso VIH SIDA enfermedad transmisión sexual programa casos número población"/>
    <s v="https://analytics.zoho.com/open-view/2395394000008389806?ZOHO_CRITERIA=%22Localiza%20CL%22.%22Codreg%22%20%3D%205"/>
    <x v="22"/>
    <s v="#1774B9"/>
  </r>
  <r>
    <s v="0943"/>
    <n v="990"/>
    <s v="Agencia Información"/>
    <s v="Salud"/>
    <n v="6"/>
    <x v="25"/>
    <x v="14"/>
    <x v="1"/>
    <x v="6"/>
    <x v="3"/>
    <x v="87"/>
    <s v="Periodo 2012-2018"/>
    <s v="Número de Casos"/>
    <s v="Departamento de Estadísticas e Información de la Salud (DEIS) - Ministerio de Salud"/>
    <s v="Evolución de Población en el Programa de VIH/SIDA según Comuna en la Región de O'Higgins, Periodo 2012-2018"/>
    <m/>
    <s v="Gráfico de Evolución"/>
    <s v="Región de O'Higgins VIH SIDA enfermedad transmisión sexual programa casos número población"/>
    <s v="https://analytics.zoho.com/open-view/2395394000008389806?ZOHO_CRITERIA=%22Localiza%20CL%22.%22Codreg%22%20%3D%206"/>
    <x v="23"/>
    <s v="#1774B9"/>
  </r>
  <r>
    <s v="0944"/>
    <n v="990"/>
    <s v="Agencia Información"/>
    <s v="Salud"/>
    <n v="7"/>
    <x v="25"/>
    <x v="14"/>
    <x v="1"/>
    <x v="7"/>
    <x v="3"/>
    <x v="87"/>
    <s v="Periodo 2012-2018"/>
    <s v="Número de Casos"/>
    <s v="Departamento de Estadísticas e Información de la Salud (DEIS) - Ministerio de Salud"/>
    <s v="Evolución de Población en el Programa de VIH/SIDA según Comuna en la Región de Maule, Periodo 2012-2018"/>
    <m/>
    <s v="Gráfico de Evolución"/>
    <s v="Región de Maule VIH SIDA enfermedad transmisión sexual programa casos número población"/>
    <s v="https://analytics.zoho.com/open-view/2395394000008389806?ZOHO_CRITERIA=%22Localiza%20CL%22.%22Codreg%22%20%3D%207"/>
    <x v="24"/>
    <s v="#1774B9"/>
  </r>
  <r>
    <s v="0945"/>
    <n v="990"/>
    <s v="Agencia Información"/>
    <s v="Salud"/>
    <n v="8"/>
    <x v="25"/>
    <x v="14"/>
    <x v="1"/>
    <x v="8"/>
    <x v="3"/>
    <x v="87"/>
    <s v="Periodo 2012-2018"/>
    <s v="Número de Casos"/>
    <s v="Departamento de Estadísticas e Información de la Salud (DEIS) - Ministerio de Salud"/>
    <s v="Evolución de Población en el Programa de VIH/SIDA según Comuna en la Región del Biobío, Periodo 2012-2018"/>
    <m/>
    <s v="Gráfico de Evolución"/>
    <s v="Región del Biobío VIH SIDA enfermedad transmisión sexual programa casos número población"/>
    <s v="https://analytics.zoho.com/open-view/2395394000008389806?ZOHO_CRITERIA=%22Localiza%20CL%22.%22Codreg%22%20%3D%208"/>
    <x v="25"/>
    <s v="#1774B9"/>
  </r>
  <r>
    <s v="0946"/>
    <n v="990"/>
    <s v="Agencia Información"/>
    <s v="Salud"/>
    <n v="9"/>
    <x v="25"/>
    <x v="14"/>
    <x v="1"/>
    <x v="9"/>
    <x v="3"/>
    <x v="87"/>
    <s v="Periodo 2012-2018"/>
    <s v="Número de Casos"/>
    <s v="Departamento de Estadísticas e Información de la Salud (DEIS) - Ministerio de Salud"/>
    <s v="Evolución de Población en el Programa de VIH/SIDA según Comuna en la Región de La Araucanía, Periodo 2012-2018"/>
    <m/>
    <s v="Gráfico de Evolución"/>
    <s v="Región de La Araucanía VIH SIDA enfermedad transmisión sexual programa casos número población"/>
    <s v="https://analytics.zoho.com/open-view/2395394000008389806?ZOHO_CRITERIA=%22Localiza%20CL%22.%22Codreg%22%20%3D%209"/>
    <x v="26"/>
    <s v="#1774B9"/>
  </r>
  <r>
    <s v="0947"/>
    <n v="990"/>
    <s v="Agencia Información"/>
    <s v="Salud"/>
    <n v="10"/>
    <x v="25"/>
    <x v="14"/>
    <x v="1"/>
    <x v="10"/>
    <x v="3"/>
    <x v="87"/>
    <s v="Periodo 2012-2018"/>
    <s v="Número de Casos"/>
    <s v="Departamento de Estadísticas e Información de la Salud (DEIS) - Ministerio de Salud"/>
    <s v="Evolución de Población en el Programa de VIH/SIDA según Comuna en la Región de Los Lagos, Periodo 2012-2018"/>
    <m/>
    <s v="Gráfico de Evolución"/>
    <s v="Región de Los Lagos VIH SIDA enfermedad transmisión sexual programa casos número población"/>
    <s v="https://analytics.zoho.com/open-view/2395394000008389806?ZOHO_CRITERIA=%22Localiza%20CL%22.%22Codreg%22%20%3D%2010"/>
    <x v="27"/>
    <s v="#1774B9"/>
  </r>
  <r>
    <s v="0948"/>
    <n v="990"/>
    <s v="Agencia Información"/>
    <s v="Salud"/>
    <n v="11"/>
    <x v="25"/>
    <x v="14"/>
    <x v="1"/>
    <x v="11"/>
    <x v="3"/>
    <x v="87"/>
    <s v="Periodo 2012-2018"/>
    <s v="Número de Casos"/>
    <s v="Departamento de Estadísticas e Información de la Salud (DEIS) - Ministerio de Salud"/>
    <s v="Evolución de Población en el Programa de VIH/SIDA según Comuna en la Región de Aysén, Periodo 2012-2018"/>
    <m/>
    <s v="Gráfico de Evolución"/>
    <s v="Región de Aysén VIH SIDA enfermedad transmisión sexual programa casos número población"/>
    <s v="https://analytics.zoho.com/open-view/2395394000008389806?ZOHO_CRITERIA=%22Localiza%20CL%22.%22Codreg%22%20%3D%2011"/>
    <x v="28"/>
    <s v="#1774B9"/>
  </r>
  <r>
    <s v="0949"/>
    <n v="990"/>
    <s v="Agencia Información"/>
    <s v="Salud"/>
    <n v="12"/>
    <x v="25"/>
    <x v="14"/>
    <x v="1"/>
    <x v="12"/>
    <x v="3"/>
    <x v="87"/>
    <s v="Periodo 2012-2018"/>
    <s v="Número de Casos"/>
    <s v="Departamento de Estadísticas e Información de la Salud (DEIS) - Ministerio de Salud"/>
    <s v="Evolución de Población en el Programa de VIH/SIDA según Comuna en la Región de Magallanes, Periodo 2012-2018"/>
    <m/>
    <s v="Gráfico de Evolución"/>
    <s v="Región de Magallanes VIH SIDA enfermedad transmisión sexual programa casos número población"/>
    <s v="https://analytics.zoho.com/open-view/2395394000008389806?ZOHO_CRITERIA=%22Localiza%20CL%22.%22Codreg%22%20%3D%2012"/>
    <x v="29"/>
    <s v="#1774B9"/>
  </r>
  <r>
    <s v="0950"/>
    <n v="990"/>
    <s v="Agencia Información"/>
    <s v="Salud"/>
    <n v="13"/>
    <x v="25"/>
    <x v="14"/>
    <x v="1"/>
    <x v="13"/>
    <x v="3"/>
    <x v="87"/>
    <s v="Periodo 2012-2018"/>
    <s v="Número de Casos"/>
    <s v="Departamento de Estadísticas e Información de la Salud (DEIS) - Ministerio de Salud"/>
    <s v="Evolución de Población en el Programa de VIH/SIDA según Comuna en la Región Metropolitana, Periodo 2012-2018"/>
    <m/>
    <s v="Gráfico de Evolución"/>
    <s v="Región Metropolitana VIH SIDA enfermedad transmisión sexual programa casos número población"/>
    <s v="https://analytics.zoho.com/open-view/2395394000008389806?ZOHO_CRITERIA=%22Localiza%20CL%22.%22Codreg%22%20%3D%2013"/>
    <x v="30"/>
    <s v="#1774B9"/>
  </r>
  <r>
    <s v="0951"/>
    <n v="990"/>
    <s v="Agencia Información"/>
    <s v="Salud"/>
    <n v="14"/>
    <x v="25"/>
    <x v="14"/>
    <x v="1"/>
    <x v="14"/>
    <x v="3"/>
    <x v="87"/>
    <s v="Periodo 2012-2018"/>
    <s v="Número de Casos"/>
    <s v="Departamento de Estadísticas e Información de la Salud (DEIS) - Ministerio de Salud"/>
    <s v="Evolución de Población en el Programa de VIH/SIDA según Comuna en la Región de Los Ríos, Periodo 2012-2018"/>
    <m/>
    <s v="Gráfico de Evolución"/>
    <s v="Región de Los Ríos VIH SIDA enfermedad transmisión sexual programa casos número población"/>
    <s v="https://analytics.zoho.com/open-view/2395394000008389806?ZOHO_CRITERIA=%22Localiza%20CL%22.%22Codreg%22%20%3D%2014"/>
    <x v="31"/>
    <s v="#1774B9"/>
  </r>
  <r>
    <s v="0952"/>
    <n v="990"/>
    <s v="Agencia Información"/>
    <s v="Salud"/>
    <n v="15"/>
    <x v="25"/>
    <x v="14"/>
    <x v="1"/>
    <x v="15"/>
    <x v="3"/>
    <x v="87"/>
    <s v="Periodo 2012-2018"/>
    <s v="Número de Casos"/>
    <s v="Departamento de Estadísticas e Información de la Salud (DEIS) - Ministerio de Salud"/>
    <s v="Evolución de Población en el Programa de VIH/SIDA según Comuna en la Región de Arica y Parinacota, Periodo 2012-2018"/>
    <m/>
    <s v="Gráfico de Evolución"/>
    <s v="Región de Arica y Parinacota VIH SIDA enfermedad transmisión sexual programa casos número población"/>
    <s v="https://analytics.zoho.com/open-view/2395394000008389806?ZOHO_CRITERIA=%22Localiza%20CL%22.%22Codreg%22%20%3D%2015"/>
    <x v="32"/>
    <s v="#1774B9"/>
  </r>
  <r>
    <s v="0953"/>
    <n v="990"/>
    <s v="Agencia Información"/>
    <s v="Salud"/>
    <n v="16"/>
    <x v="25"/>
    <x v="14"/>
    <x v="1"/>
    <x v="16"/>
    <x v="3"/>
    <x v="87"/>
    <s v="Periodo 2012-2018"/>
    <s v="Número de Casos"/>
    <s v="Departamento de Estadísticas e Información de la Salud (DEIS) - Ministerio de Salud"/>
    <s v="Evolución de Población en el Programa de VIH/SIDA según Comuna en la Región de Ñuble, Periodo 2012-2018"/>
    <m/>
    <s v="Gráfico de Evolución"/>
    <s v="Región de Ñuble VIH SIDA enfermedad transmisión sexual programa casos número población"/>
    <s v="https://analytics.zoho.com/open-view/2395394000008389806?ZOHO_CRITERIA=%22Localiza%20CL%22.%22Codreg%22%20%3D%2016"/>
    <x v="33"/>
    <s v="#1774B9"/>
  </r>
  <r>
    <s v="0954"/>
    <n v="990"/>
    <s v="Agencia Información"/>
    <s v="Salud"/>
    <n v="0"/>
    <x v="25"/>
    <x v="14"/>
    <x v="0"/>
    <x v="0"/>
    <x v="0"/>
    <x v="88"/>
    <s v="Periodo 2012-2018"/>
    <s v="Personas"/>
    <s v="Departamento de Estadísticas e Información de la Salud (DEIS) - Ministerio de Salud"/>
    <s v="Evolución de Población en Control en el Programa de VIH/SIDA según Región en Chile, Periodo 2012-2018"/>
    <s v="La Población en Control del Programa VIH/SIDA ha ido en aumento a medida que avanzan los años, terminando en el 2018 con más de 35 mil casos. Al analizar este periodo y sus casos acumulados, la región Metropolitana fue la que contó con la mayor cantidad de casos, sumando un total de 98 mil. Por otro lado, la región que presentó la menor cantidad de casos acumulados fue Aysén, con 308 casos desde el 2012 al 2018."/>
    <s v="Gráfico de Evolución"/>
    <s v="Chile VIH SIDA enfermedad transmisión sexual casos personas población control programa"/>
    <s v="https://analytics.zoho.com/open-view/2395394000008049248"/>
    <x v="0"/>
    <s v="#1774B9"/>
  </r>
  <r>
    <s v="0955"/>
    <n v="990"/>
    <s v="Agencia Información"/>
    <s v="Salud"/>
    <n v="1"/>
    <x v="25"/>
    <x v="14"/>
    <x v="1"/>
    <x v="1"/>
    <x v="1"/>
    <x v="88"/>
    <s v="Periodo 2012-2018"/>
    <s v="Personas"/>
    <s v="Departamento de Estadísticas e Información de la Salud (DEIS) - Ministerio de Salud"/>
    <s v="Evolución de Población en Control en el Programa de VIH/SIDA en la Región de Tarapacá, Periodo 2012-2018"/>
    <m/>
    <s v="Gráfico de Evolución"/>
    <s v="Región de Tarapacá VIH SIDA enfermedad transmisión sexual casos personas población control programa"/>
    <s v="https://analytics.zoho.com/open-view/2395394000008049248?ZOHO_CRITERIA=%22Localiza%20CL%22.%22Codreg%22%20%3D%201"/>
    <x v="1"/>
    <s v="#1774B9"/>
  </r>
  <r>
    <s v="0956"/>
    <n v="990"/>
    <s v="Agencia Información"/>
    <s v="Salud"/>
    <n v="2"/>
    <x v="25"/>
    <x v="14"/>
    <x v="1"/>
    <x v="2"/>
    <x v="1"/>
    <x v="88"/>
    <s v="Periodo 2012-2018"/>
    <s v="Personas"/>
    <s v="Departamento de Estadísticas e Información de la Salud (DEIS) - Ministerio de Salud"/>
    <s v="Evolución de Población en Control en el Programa de VIH/SIDA en la Región de Antofagasta, Periodo 2012-2018"/>
    <m/>
    <s v="Gráfico de Evolución"/>
    <s v="Región de Antofagasta VIH SIDA enfermedad transmisión sexual casos personas población control programa"/>
    <s v="https://analytics.zoho.com/open-view/2395394000008049248?ZOHO_CRITERIA=%22Localiza%20CL%22.%22Codreg%22%20%3D%202"/>
    <x v="2"/>
    <s v="#1774B9"/>
  </r>
  <r>
    <s v="0957"/>
    <n v="990"/>
    <s v="Agencia Información"/>
    <s v="Salud"/>
    <n v="3"/>
    <x v="25"/>
    <x v="14"/>
    <x v="1"/>
    <x v="3"/>
    <x v="1"/>
    <x v="88"/>
    <s v="Periodo 2012-2018"/>
    <s v="Personas"/>
    <s v="Departamento de Estadísticas e Información de la Salud (DEIS) - Ministerio de Salud"/>
    <s v="Evolución de Población en Control en el Programa de VIH/SIDA en la Región de Atacama, Periodo 2012-2018"/>
    <m/>
    <s v="Gráfico de Evolución"/>
    <s v="Región de Atacama VIH SIDA enfermedad transmisión sexual casos personas población control programa"/>
    <s v="https://analytics.zoho.com/open-view/2395394000008049248?ZOHO_CRITERIA=%22Localiza%20CL%22.%22Codreg%22%20%3D%203"/>
    <x v="3"/>
    <s v="#1774B9"/>
  </r>
  <r>
    <s v="0958"/>
    <n v="990"/>
    <s v="Agencia Información"/>
    <s v="Salud"/>
    <n v="4"/>
    <x v="25"/>
    <x v="14"/>
    <x v="1"/>
    <x v="4"/>
    <x v="1"/>
    <x v="88"/>
    <s v="Periodo 2012-2018"/>
    <s v="Personas"/>
    <s v="Departamento de Estadísticas e Información de la Salud (DEIS) - Ministerio de Salud"/>
    <s v="Evolución de Población en Control en el Programa de VIH/SIDA en la Región de Coquimbo, Periodo 2012-2018"/>
    <m/>
    <s v="Gráfico de Evolución"/>
    <s v="Región de Coquimbo VIH SIDA enfermedad transmisión sexual casos personas población control programa"/>
    <s v="https://analytics.zoho.com/open-view/2395394000008049248?ZOHO_CRITERIA=%22Localiza%20CL%22.%22Codreg%22%20%3D%204"/>
    <x v="4"/>
    <s v="#1774B9"/>
  </r>
  <r>
    <s v="0959"/>
    <n v="990"/>
    <s v="Agencia Información"/>
    <s v="Salud"/>
    <n v="5"/>
    <x v="25"/>
    <x v="14"/>
    <x v="1"/>
    <x v="5"/>
    <x v="1"/>
    <x v="88"/>
    <s v="Periodo 2012-2018"/>
    <s v="Personas"/>
    <s v="Departamento de Estadísticas e Información de la Salud (DEIS) - Ministerio de Salud"/>
    <s v="Evolución de Población en Control en el Programa de VIH/SIDA en la Región de Valparaíso, Periodo 2012-2018"/>
    <m/>
    <s v="Gráfico de Evolución"/>
    <s v="Región de Valparaíso VIH SIDA enfermedad transmisión sexual casos personas población control programa"/>
    <s v="https://analytics.zoho.com/open-view/2395394000008049248?ZOHO_CRITERIA=%22Localiza%20CL%22.%22Codreg%22%20%3D%205"/>
    <x v="5"/>
    <s v="#1774B9"/>
  </r>
  <r>
    <s v="0960"/>
    <n v="990"/>
    <s v="Agencia Información"/>
    <s v="Salud"/>
    <n v="6"/>
    <x v="25"/>
    <x v="14"/>
    <x v="1"/>
    <x v="6"/>
    <x v="1"/>
    <x v="88"/>
    <s v="Periodo 2012-2018"/>
    <s v="Personas"/>
    <s v="Departamento de Estadísticas e Información de la Salud (DEIS) - Ministerio de Salud"/>
    <s v="Evolución de Población en Control en el Programa de VIH/SIDA en la Región de O'Higgins, Periodo 2012-2018"/>
    <m/>
    <s v="Gráfico de Evolución"/>
    <s v="Región de O'Higgins VIH SIDA enfermedad transmisión sexual casos personas población control programa"/>
    <s v="https://analytics.zoho.com/open-view/2395394000008049248?ZOHO_CRITERIA=%22Localiza%20CL%22.%22Codreg%22%20%3D%206"/>
    <x v="6"/>
    <s v="#1774B9"/>
  </r>
  <r>
    <s v="0961"/>
    <n v="990"/>
    <s v="Agencia Información"/>
    <s v="Salud"/>
    <n v="7"/>
    <x v="25"/>
    <x v="14"/>
    <x v="1"/>
    <x v="7"/>
    <x v="1"/>
    <x v="88"/>
    <s v="Periodo 2012-2018"/>
    <s v="Personas"/>
    <s v="Departamento de Estadísticas e Información de la Salud (DEIS) - Ministerio de Salud"/>
    <s v="Evolución de Población en Control en el Programa de VIH/SIDA en la Región de Maule, Periodo 2012-2018"/>
    <m/>
    <s v="Gráfico de Evolución"/>
    <s v="Región de Maule VIH SIDA enfermedad transmisión sexual casos personas población control programa"/>
    <s v="https://analytics.zoho.com/open-view/2395394000008049248?ZOHO_CRITERIA=%22Localiza%20CL%22.%22Codreg%22%20%3D%207"/>
    <x v="7"/>
    <s v="#1774B9"/>
  </r>
  <r>
    <s v="0962"/>
    <n v="990"/>
    <s v="Agencia Información"/>
    <s v="Salud"/>
    <n v="8"/>
    <x v="25"/>
    <x v="14"/>
    <x v="1"/>
    <x v="8"/>
    <x v="1"/>
    <x v="88"/>
    <s v="Periodo 2012-2018"/>
    <s v="Personas"/>
    <s v="Departamento de Estadísticas e Información de la Salud (DEIS) - Ministerio de Salud"/>
    <s v="Evolución de Población en Control en el Programa de VIH/SIDA en la Región del Biobío, Periodo 2012-2018"/>
    <m/>
    <s v="Gráfico de Evolución"/>
    <s v="Región del Biobío VIH SIDA enfermedad transmisión sexual casos personas población control programa"/>
    <s v="https://analytics.zoho.com/open-view/2395394000008049248?ZOHO_CRITERIA=%22Localiza%20CL%22.%22Codreg%22%20%3D%208"/>
    <x v="8"/>
    <s v="#1774B9"/>
  </r>
  <r>
    <s v="0963"/>
    <n v="990"/>
    <s v="Agencia Información"/>
    <s v="Salud"/>
    <n v="9"/>
    <x v="25"/>
    <x v="14"/>
    <x v="1"/>
    <x v="9"/>
    <x v="1"/>
    <x v="88"/>
    <s v="Periodo 2012-2018"/>
    <s v="Personas"/>
    <s v="Departamento de Estadísticas e Información de la Salud (DEIS) - Ministerio de Salud"/>
    <s v="Evolución de Población en Control en el Programa de VIH/SIDA en la Región de La Araucanía, Periodo 2012-2018"/>
    <m/>
    <s v="Gráfico de Evolución"/>
    <s v="Región de La Araucanía VIH SIDA enfermedad transmisión sexual casos personas población control programa"/>
    <s v="https://analytics.zoho.com/open-view/2395394000008049248?ZOHO_CRITERIA=%22Localiza%20CL%22.%22Codreg%22%20%3D%209"/>
    <x v="9"/>
    <s v="#1774B9"/>
  </r>
  <r>
    <s v="0964"/>
    <n v="990"/>
    <s v="Agencia Información"/>
    <s v="Salud"/>
    <n v="10"/>
    <x v="25"/>
    <x v="14"/>
    <x v="1"/>
    <x v="10"/>
    <x v="1"/>
    <x v="88"/>
    <s v="Periodo 2012-2018"/>
    <s v="Personas"/>
    <s v="Departamento de Estadísticas e Información de la Salud (DEIS) - Ministerio de Salud"/>
    <s v="Evolución de Población en Control en el Programa de VIH/SIDA en la Región de Los Lagos, Periodo 2012-2018"/>
    <m/>
    <s v="Gráfico de Evolución"/>
    <s v="Región de Los Lagos VIH SIDA enfermedad transmisión sexual casos personas población control programa"/>
    <s v="https://analytics.zoho.com/open-view/2395394000008049248?ZOHO_CRITERIA=%22Localiza%20CL%22.%22Codreg%22%20%3D%2010"/>
    <x v="10"/>
    <s v="#1774B9"/>
  </r>
  <r>
    <s v="0965"/>
    <n v="990"/>
    <s v="Agencia Información"/>
    <s v="Salud"/>
    <n v="11"/>
    <x v="25"/>
    <x v="14"/>
    <x v="1"/>
    <x v="11"/>
    <x v="1"/>
    <x v="88"/>
    <s v="Periodo 2012-2018"/>
    <s v="Personas"/>
    <s v="Departamento de Estadísticas e Información de la Salud (DEIS) - Ministerio de Salud"/>
    <s v="Evolución de Población en Control en el Programa de VIH/SIDA en la Región de Aysén, Periodo 2012-2018"/>
    <m/>
    <s v="Gráfico de Evolución"/>
    <s v="Región de Aysén VIH SIDA enfermedad transmisión sexual casos personas población control programa"/>
    <s v="https://analytics.zoho.com/open-view/2395394000008049248?ZOHO_CRITERIA=%22Localiza%20CL%22.%22Codreg%22%20%3D%2011"/>
    <x v="11"/>
    <s v="#1774B9"/>
  </r>
  <r>
    <s v="0966"/>
    <n v="990"/>
    <s v="Agencia Información"/>
    <s v="Salud"/>
    <n v="12"/>
    <x v="25"/>
    <x v="14"/>
    <x v="1"/>
    <x v="12"/>
    <x v="1"/>
    <x v="88"/>
    <s v="Periodo 2012-2018"/>
    <s v="Personas"/>
    <s v="Departamento de Estadísticas e Información de la Salud (DEIS) - Ministerio de Salud"/>
    <s v="Evolución de Población en Control en el Programa de VIH/SIDA en la Región de Magallanes, Periodo 2012-2018"/>
    <m/>
    <s v="Gráfico de Evolución"/>
    <s v="Región de Magallanes VIH SIDA enfermedad transmisión sexual casos personas población control programa"/>
    <s v="https://analytics.zoho.com/open-view/2395394000008049248?ZOHO_CRITERIA=%22Localiza%20CL%22.%22Codreg%22%20%3D%2012"/>
    <x v="12"/>
    <s v="#1774B9"/>
  </r>
  <r>
    <s v="0967"/>
    <n v="990"/>
    <s v="Agencia Información"/>
    <s v="Salud"/>
    <n v="13"/>
    <x v="25"/>
    <x v="14"/>
    <x v="1"/>
    <x v="13"/>
    <x v="1"/>
    <x v="88"/>
    <s v="Periodo 2012-2018"/>
    <s v="Personas"/>
    <s v="Departamento de Estadísticas e Información de la Salud (DEIS) - Ministerio de Salud"/>
    <s v="Evolución de Población en Control en el Programa de VIH/SIDA en la Región Metropolitana, Periodo 2012-2018"/>
    <m/>
    <s v="Gráfico de Evolución"/>
    <s v="Región Metropolitana VIH SIDA enfermedad transmisión sexual casos personas población control programa"/>
    <s v="https://analytics.zoho.com/open-view/2395394000008049248?ZOHO_CRITERIA=%22Localiza%20CL%22.%22Codreg%22%20%3D%2013"/>
    <x v="13"/>
    <s v="#1774B9"/>
  </r>
  <r>
    <s v="0968"/>
    <n v="990"/>
    <s v="Agencia Información"/>
    <s v="Salud"/>
    <n v="14"/>
    <x v="25"/>
    <x v="14"/>
    <x v="1"/>
    <x v="14"/>
    <x v="1"/>
    <x v="88"/>
    <s v="Periodo 2012-2018"/>
    <s v="Personas"/>
    <s v="Departamento de Estadísticas e Información de la Salud (DEIS) - Ministerio de Salud"/>
    <s v="Evolución de Población en Control en el Programa de VIH/SIDA en la Región de Los Ríos, Periodo 2012-2018"/>
    <m/>
    <s v="Gráfico de Evolución"/>
    <s v="Región de Los Ríos VIH SIDA enfermedad transmisión sexual casos personas población control programa"/>
    <s v="https://analytics.zoho.com/open-view/2395394000008049248?ZOHO_CRITERIA=%22Localiza%20CL%22.%22Codreg%22%20%3D%2014"/>
    <x v="14"/>
    <s v="#1774B9"/>
  </r>
  <r>
    <s v="0969"/>
    <n v="990"/>
    <s v="Agencia Información"/>
    <s v="Salud"/>
    <n v="15"/>
    <x v="25"/>
    <x v="14"/>
    <x v="1"/>
    <x v="15"/>
    <x v="1"/>
    <x v="88"/>
    <s v="Periodo 2012-2018"/>
    <s v="Personas"/>
    <s v="Departamento de Estadísticas e Información de la Salud (DEIS) - Ministerio de Salud"/>
    <s v="Evolución de Población en Control en el Programa de VIH/SIDA en la Región de Arica y Parinacota, Periodo 2012-2018"/>
    <m/>
    <s v="Gráfico de Evolución"/>
    <s v="Región de Arica y Parinacota VIH SIDA enfermedad transmisión sexual casos personas población control programa"/>
    <s v="https://analytics.zoho.com/open-view/2395394000008049248?ZOHO_CRITERIA=%22Localiza%20CL%22.%22Codreg%22%20%3D%2015"/>
    <x v="15"/>
    <s v="#1774B9"/>
  </r>
  <r>
    <s v="0970"/>
    <n v="990"/>
    <s v="Agencia Información"/>
    <s v="Salud"/>
    <n v="16"/>
    <x v="25"/>
    <x v="14"/>
    <x v="1"/>
    <x v="16"/>
    <x v="1"/>
    <x v="88"/>
    <s v="Periodo 2012-2018"/>
    <s v="Personas"/>
    <s v="Departamento de Estadísticas e Información de la Salud (DEIS) - Ministerio de Salud"/>
    <s v="Evolución de Población en Control en el Programa de VIH/SIDA en la Región de Ñuble, Periodo 2012-2018"/>
    <m/>
    <s v="Gráfico de Evolución"/>
    <s v="Región de Ñuble VIH SIDA enfermedad transmisión sexual casos personas población control programa"/>
    <s v="https://analytics.zoho.com/open-view/2395394000008049248?ZOHO_CRITERIA=%22Localiza%20CL%22.%22Codreg%22%20%3D%2016"/>
    <x v="16"/>
    <s v="#1774B9"/>
  </r>
  <r>
    <s v="0971"/>
    <n v="990"/>
    <s v="Agencia Información"/>
    <s v="Salud"/>
    <n v="0"/>
    <x v="25"/>
    <x v="14"/>
    <x v="0"/>
    <x v="0"/>
    <x v="0"/>
    <x v="89"/>
    <s v="Periodo 2012-2018"/>
    <s v="Personas"/>
    <s v="Departamento de Estadísticas e Información de la Salud (DEIS) - Ministerio de Salud"/>
    <s v="Evolución de Población en Control en el Programa de VIH/SIDA según Rango Etario en Chile, Periodo 2012-2018"/>
    <s v="A grandes rasgos, se observa que la Población en Control del Programa VIH/SIDA ha ido en aumento a través de los años, terminando el 2018 con más de 35 mil casos. Al observar la Población en Control de acuerdo a su edad, el rango etario 25-64 años se lleva el 80% de los casos de VIH/SIDA para el periodo 2012-2018. Por otro lado, el rango etario que tuvo menos casos fue &quot;menos de un año - 1 año&quot; que contó con 87 casos, lo que corresponde a un 0,1%."/>
    <s v="Gráfico de Evolución"/>
    <s v="Chile VIH SIDA enfermedad transmisión sexual casos personas población programa"/>
    <s v="https://analytics.zoho.com/open-view/2395394000008049343"/>
    <x v="0"/>
    <s v="#1774B9"/>
  </r>
  <r>
    <s v="0972"/>
    <n v="990"/>
    <s v="Agencia Información"/>
    <s v="Salud"/>
    <n v="1"/>
    <x v="25"/>
    <x v="14"/>
    <x v="1"/>
    <x v="1"/>
    <x v="1"/>
    <x v="89"/>
    <s v="Periodo 2012-2018"/>
    <s v="Personas"/>
    <s v="Departamento de Estadísticas e Información de la Salud (DEIS) - Ministerio de Salud"/>
    <s v="Evolución de Población en Control en el Programa de VIH/SIDA según Rango Etario en la Región de Tarapacá, Periodo 2012-2018"/>
    <m/>
    <s v="Gráfico de Evolución"/>
    <s v="Región de Tarapacá VIH SIDA enfermedad transmisión sexual casos personas población programa"/>
    <s v="https://analytics.zoho.com/open-view/2395394000008463151?ZOHO_CRITERIA=%22Localiza%20CL%22.%22Codreg%22%20%3D%201"/>
    <x v="1"/>
    <s v="#1774B9"/>
  </r>
  <r>
    <s v="0973"/>
    <n v="990"/>
    <s v="Agencia Información"/>
    <s v="Salud"/>
    <n v="2"/>
    <x v="25"/>
    <x v="14"/>
    <x v="1"/>
    <x v="2"/>
    <x v="1"/>
    <x v="89"/>
    <s v="Periodo 2012-2018"/>
    <s v="Personas"/>
    <s v="Departamento de Estadísticas e Información de la Salud (DEIS) - Ministerio de Salud"/>
    <s v="Evolución de Población en Control en el Programa de VIH/SIDA según Rango Etario en la Región de Antofagasta, Periodo 2012-2018"/>
    <m/>
    <s v="Gráfico de Evolución"/>
    <s v="Región de Antofagasta VIH SIDA enfermedad transmisión sexual casos personas población programa"/>
    <s v="https://analytics.zoho.com/open-view/2395394000008463151?ZOHO_CRITERIA=%22Localiza%20CL%22.%22Codreg%22%20%3D%202"/>
    <x v="2"/>
    <s v="#1774B9"/>
  </r>
  <r>
    <s v="0974"/>
    <n v="990"/>
    <s v="Agencia Información"/>
    <s v="Salud"/>
    <n v="3"/>
    <x v="25"/>
    <x v="14"/>
    <x v="1"/>
    <x v="3"/>
    <x v="1"/>
    <x v="89"/>
    <s v="Periodo 2012-2018"/>
    <s v="Personas"/>
    <s v="Departamento de Estadísticas e Información de la Salud (DEIS) - Ministerio de Salud"/>
    <s v="Evolución de Población en Control en el Programa de VIH/SIDA según Rango Etario en la Región de Atacama, Periodo 2012-2018"/>
    <m/>
    <s v="Gráfico de Evolución"/>
    <s v="Región de Atacama VIH SIDA enfermedad transmisión sexual casos personas población programa"/>
    <s v="https://analytics.zoho.com/open-view/2395394000008463151?ZOHO_CRITERIA=%22Localiza%20CL%22.%22Codreg%22%20%3D%203"/>
    <x v="3"/>
    <s v="#1774B9"/>
  </r>
  <r>
    <s v="0975"/>
    <n v="990"/>
    <s v="Agencia Información"/>
    <s v="Salud"/>
    <n v="4"/>
    <x v="25"/>
    <x v="14"/>
    <x v="1"/>
    <x v="4"/>
    <x v="1"/>
    <x v="89"/>
    <s v="Periodo 2012-2018"/>
    <s v="Personas"/>
    <s v="Departamento de Estadísticas e Información de la Salud (DEIS) - Ministerio de Salud"/>
    <s v="Evolución de Población en Control en el Programa de VIH/SIDA según Rango Etario en la Región de Coquimbo, Periodo 2012-2018"/>
    <m/>
    <s v="Gráfico de Evolución"/>
    <s v="Región de Coquimbo VIH SIDA enfermedad transmisión sexual casos personas población programa"/>
    <s v="https://analytics.zoho.com/open-view/2395394000008463151?ZOHO_CRITERIA=%22Localiza%20CL%22.%22Codreg%22%20%3D%204"/>
    <x v="4"/>
    <s v="#1774B9"/>
  </r>
  <r>
    <s v="0976"/>
    <n v="990"/>
    <s v="Agencia Información"/>
    <s v="Salud"/>
    <n v="5"/>
    <x v="25"/>
    <x v="14"/>
    <x v="1"/>
    <x v="5"/>
    <x v="1"/>
    <x v="89"/>
    <s v="Periodo 2012-2018"/>
    <s v="Personas"/>
    <s v="Departamento de Estadísticas e Información de la Salud (DEIS) - Ministerio de Salud"/>
    <s v="Evolución de Población en Control en el Programa de VIH/SIDA según Rango Etario en la Región de Valparaíso, Periodo 2012-2018"/>
    <m/>
    <s v="Gráfico de Evolución"/>
    <s v="Región de Valparaíso VIH SIDA enfermedad transmisión sexual casos personas población programa"/>
    <s v="https://analytics.zoho.com/open-view/2395394000008463151?ZOHO_CRITERIA=%22Localiza%20CL%22.%22Codreg%22%20%3D%205"/>
    <x v="5"/>
    <s v="#1774B9"/>
  </r>
  <r>
    <s v="0977"/>
    <n v="990"/>
    <s v="Agencia Información"/>
    <s v="Salud"/>
    <n v="6"/>
    <x v="25"/>
    <x v="14"/>
    <x v="1"/>
    <x v="6"/>
    <x v="1"/>
    <x v="89"/>
    <s v="Periodo 2012-2018"/>
    <s v="Personas"/>
    <s v="Departamento de Estadísticas e Información de la Salud (DEIS) - Ministerio de Salud"/>
    <s v="Evolución de Población en Control en el Programa de VIH/SIDA según Rango Etario en la Región de O'Higgins, Periodo 2012-2018"/>
    <m/>
    <s v="Gráfico de Evolución"/>
    <s v="Región de O'Higgins VIH SIDA enfermedad transmisión sexual casos personas población programa"/>
    <s v="https://analytics.zoho.com/open-view/2395394000008463151?ZOHO_CRITERIA=%22Localiza%20CL%22.%22Codreg%22%20%3D%206"/>
    <x v="6"/>
    <s v="#1774B9"/>
  </r>
  <r>
    <s v="0978"/>
    <n v="990"/>
    <s v="Agencia Información"/>
    <s v="Salud"/>
    <n v="7"/>
    <x v="25"/>
    <x v="14"/>
    <x v="1"/>
    <x v="7"/>
    <x v="1"/>
    <x v="89"/>
    <s v="Periodo 2012-2018"/>
    <s v="Personas"/>
    <s v="Departamento de Estadísticas e Información de la Salud (DEIS) - Ministerio de Salud"/>
    <s v="Evolución de Población en Control en el Programa de VIH/SIDA según Rango Etario en la Región de Maule, Periodo 2012-2018"/>
    <m/>
    <s v="Gráfico de Evolución"/>
    <s v="Región de Maule VIH SIDA enfermedad transmisión sexual casos personas población programa"/>
    <s v="https://analytics.zoho.com/open-view/2395394000008463151?ZOHO_CRITERIA=%22Localiza%20CL%22.%22Codreg%22%20%3D%207"/>
    <x v="7"/>
    <s v="#1774B9"/>
  </r>
  <r>
    <s v="0979"/>
    <n v="990"/>
    <s v="Agencia Información"/>
    <s v="Salud"/>
    <n v="8"/>
    <x v="25"/>
    <x v="14"/>
    <x v="1"/>
    <x v="8"/>
    <x v="1"/>
    <x v="89"/>
    <s v="Periodo 2012-2018"/>
    <s v="Personas"/>
    <s v="Departamento de Estadísticas e Información de la Salud (DEIS) - Ministerio de Salud"/>
    <s v="Evolución de Población en Control en el Programa de VIH/SIDA según Rango Etario en la Región del Biobío, Periodo 2012-2018"/>
    <m/>
    <s v="Gráfico de Evolución"/>
    <s v="Región del Biobío VIH SIDA enfermedad transmisión sexual casos personas población programa"/>
    <s v="https://analytics.zoho.com/open-view/2395394000008463151?ZOHO_CRITERIA=%22Localiza%20CL%22.%22Codreg%22%20%3D%208"/>
    <x v="8"/>
    <s v="#1774B9"/>
  </r>
  <r>
    <s v="0980"/>
    <n v="990"/>
    <s v="Agencia Información"/>
    <s v="Salud"/>
    <n v="9"/>
    <x v="25"/>
    <x v="14"/>
    <x v="1"/>
    <x v="9"/>
    <x v="1"/>
    <x v="89"/>
    <s v="Periodo 2012-2018"/>
    <s v="Personas"/>
    <s v="Departamento de Estadísticas e Información de la Salud (DEIS) - Ministerio de Salud"/>
    <s v="Evolución de Población en Control en el Programa de VIH/SIDA según Rango Etario en la Región de La Araucanía, Periodo 2012-2018"/>
    <m/>
    <s v="Gráfico de Evolución"/>
    <s v="Región de La Araucanía VIH SIDA enfermedad transmisión sexual casos personas población programa"/>
    <s v="https://analytics.zoho.com/open-view/2395394000008463151?ZOHO_CRITERIA=%22Localiza%20CL%22.%22Codreg%22%20%3D%209"/>
    <x v="9"/>
    <s v="#1774B9"/>
  </r>
  <r>
    <s v="0981"/>
    <n v="990"/>
    <s v="Agencia Información"/>
    <s v="Salud"/>
    <n v="10"/>
    <x v="25"/>
    <x v="14"/>
    <x v="1"/>
    <x v="10"/>
    <x v="1"/>
    <x v="89"/>
    <s v="Periodo 2012-2018"/>
    <s v="Personas"/>
    <s v="Departamento de Estadísticas e Información de la Salud (DEIS) - Ministerio de Salud"/>
    <s v="Evolución de Población en Control en el Programa de VIH/SIDA según Rango Etario en la Región de Los Lagos, Periodo 2012-2018"/>
    <m/>
    <s v="Gráfico de Evolución"/>
    <s v="Región de Los Lagos VIH SIDA enfermedad transmisión sexual casos personas población programa"/>
    <s v="https://analytics.zoho.com/open-view/2395394000008463151?ZOHO_CRITERIA=%22Localiza%20CL%22.%22Codreg%22%20%3D%2010"/>
    <x v="10"/>
    <s v="#1774B9"/>
  </r>
  <r>
    <s v="0982"/>
    <n v="990"/>
    <s v="Agencia Información"/>
    <s v="Salud"/>
    <n v="11"/>
    <x v="25"/>
    <x v="14"/>
    <x v="1"/>
    <x v="11"/>
    <x v="1"/>
    <x v="89"/>
    <s v="Periodo 2012-2018"/>
    <s v="Personas"/>
    <s v="Departamento de Estadísticas e Información de la Salud (DEIS) - Ministerio de Salud"/>
    <s v="Evolución de Población en Control en el Programa de VIH/SIDA según Rango Etario en la Región de Aysén, Periodo 2012-2018"/>
    <m/>
    <s v="Gráfico de Evolución"/>
    <s v="Región de Aysén VIH SIDA enfermedad transmisión sexual casos personas población programa"/>
    <s v="https://analytics.zoho.com/open-view/2395394000008463151?ZOHO_CRITERIA=%22Localiza%20CL%22.%22Codreg%22%20%3D%2011"/>
    <x v="11"/>
    <s v="#1774B9"/>
  </r>
  <r>
    <s v="0983"/>
    <n v="990"/>
    <s v="Agencia Información"/>
    <s v="Salud"/>
    <n v="12"/>
    <x v="25"/>
    <x v="14"/>
    <x v="1"/>
    <x v="12"/>
    <x v="1"/>
    <x v="89"/>
    <s v="Periodo 2012-2018"/>
    <s v="Personas"/>
    <s v="Departamento de Estadísticas e Información de la Salud (DEIS) - Ministerio de Salud"/>
    <s v="Evolución de Población en Control en el Programa de VIH/SIDA según Rango Etario en la Región de Magallanes, Periodo 2012-2018"/>
    <m/>
    <s v="Gráfico de Evolución"/>
    <s v="Región de Magallanes VIH SIDA enfermedad transmisión sexual casos personas población programa"/>
    <s v="https://analytics.zoho.com/open-view/2395394000008463151?ZOHO_CRITERIA=%22Localiza%20CL%22.%22Codreg%22%20%3D%2012"/>
    <x v="12"/>
    <s v="#1774B9"/>
  </r>
  <r>
    <s v="0984"/>
    <n v="990"/>
    <s v="Agencia Información"/>
    <s v="Salud"/>
    <n v="13"/>
    <x v="25"/>
    <x v="14"/>
    <x v="1"/>
    <x v="13"/>
    <x v="1"/>
    <x v="89"/>
    <s v="Periodo 2012-2018"/>
    <s v="Personas"/>
    <s v="Departamento de Estadísticas e Información de la Salud (DEIS) - Ministerio de Salud"/>
    <s v="Evolución de Población en Control en el Programa de VIH/SIDA según Rango Etario en la Región Metropolitana, Periodo 2012-2018"/>
    <m/>
    <s v="Gráfico de Evolución"/>
    <s v="Región Metropolitana VIH SIDA enfermedad transmisión sexual casos personas población programa"/>
    <s v="https://analytics.zoho.com/open-view/2395394000008463151?ZOHO_CRITERIA=%22Localiza%20CL%22.%22Codreg%22%20%3D%2013"/>
    <x v="13"/>
    <s v="#1774B9"/>
  </r>
  <r>
    <s v="0985"/>
    <n v="990"/>
    <s v="Agencia Información"/>
    <s v="Salud"/>
    <n v="14"/>
    <x v="25"/>
    <x v="14"/>
    <x v="1"/>
    <x v="14"/>
    <x v="1"/>
    <x v="89"/>
    <s v="Periodo 2012-2018"/>
    <s v="Personas"/>
    <s v="Departamento de Estadísticas e Información de la Salud (DEIS) - Ministerio de Salud"/>
    <s v="Evolución de Población en Control en el Programa de VIH/SIDA según Rango Etario en la Región de Los Ríos, Periodo 2012-2018"/>
    <m/>
    <s v="Gráfico de Evolución"/>
    <s v="Región de Los Ríos VIH SIDA enfermedad transmisión sexual casos personas población programa"/>
    <s v="https://analytics.zoho.com/open-view/2395394000008463151?ZOHO_CRITERIA=%22Localiza%20CL%22.%22Codreg%22%20%3D%2014"/>
    <x v="14"/>
    <s v="#1774B9"/>
  </r>
  <r>
    <s v="0986"/>
    <n v="990"/>
    <s v="Agencia Información"/>
    <s v="Salud"/>
    <n v="15"/>
    <x v="25"/>
    <x v="14"/>
    <x v="1"/>
    <x v="15"/>
    <x v="1"/>
    <x v="89"/>
    <s v="Periodo 2012-2018"/>
    <s v="Personas"/>
    <s v="Departamento de Estadísticas e Información de la Salud (DEIS) - Ministerio de Salud"/>
    <s v="Evolución de Población en Control en el Programa de VIH/SIDA según Rango Etario en la Región de Arica y Parinacota, Periodo 2012-2018"/>
    <m/>
    <s v="Gráfico de Evolución"/>
    <s v="Región de Arica y Parinacota VIH SIDA enfermedad transmisión sexual casos personas población programa"/>
    <s v="https://analytics.zoho.com/open-view/2395394000008463151?ZOHO_CRITERIA=%22Localiza%20CL%22.%22Codreg%22%20%3D%2015"/>
    <x v="15"/>
    <s v="#1774B9"/>
  </r>
  <r>
    <s v="0987"/>
    <n v="990"/>
    <s v="Agencia Información"/>
    <s v="Salud"/>
    <n v="16"/>
    <x v="25"/>
    <x v="14"/>
    <x v="1"/>
    <x v="16"/>
    <x v="1"/>
    <x v="89"/>
    <s v="Periodo 2012-2018"/>
    <s v="Personas"/>
    <s v="Departamento de Estadísticas e Información de la Salud (DEIS) - Ministerio de Salud"/>
    <s v="Evolución de Población en Control en el Programa de VIH/SIDA según Rango Etario en la Región de Ñuble, Periodo 2012-2018"/>
    <m/>
    <s v="Gráfico de Evolución"/>
    <s v="Región de Ñuble VIH SIDA enfermedad transmisión sexual casos personas población programa"/>
    <s v="https://analytics.zoho.com/open-view/2395394000008463151?ZOHO_CRITERIA=%22Localiza%20CL%22.%22Codreg%22%20%3D%2016"/>
    <x v="16"/>
    <s v="#1774B9"/>
  </r>
  <r>
    <s v="0988"/>
    <n v="990"/>
    <s v="Agencia Información"/>
    <s v="Arte y cultura"/>
    <n v="0"/>
    <x v="56"/>
    <x v="8"/>
    <x v="0"/>
    <x v="0"/>
    <x v="0"/>
    <x v="14"/>
    <s v="Año 2021"/>
    <s v="Número de espacios culturales"/>
    <s v="Observatorio Cultural"/>
    <s v="Mapa de la Cantidad de Espacios Culturales por Comuna en Chile, Año 2021"/>
    <s v="Las comunas que tienen más de 50 espacios culturales son Santiago, Valparaíso y Providencia, con 104, 60 y 51 espacios, respectivamente."/>
    <s v="Mapa de calor"/>
    <s v="Chile espacio cultural cultura infraestructura número cantidad"/>
    <s v="https://analytics.zoho.com/open-view/2395394000008046482"/>
    <x v="17"/>
    <s v="#1774B9"/>
  </r>
  <r>
    <s v="0989"/>
    <n v="990"/>
    <s v="Agencia Información"/>
    <s v="Arte y cultura"/>
    <n v="1"/>
    <x v="56"/>
    <x v="8"/>
    <x v="1"/>
    <x v="1"/>
    <x v="1"/>
    <x v="14"/>
    <s v="Año 2021"/>
    <s v="Número de espacios culturales"/>
    <s v="Observatorio Cultural"/>
    <s v="Mapa de la Cantidad de Espacios Culturales por Comuna en la Región de Tarapacá, Año 2021"/>
    <m/>
    <s v="Mapa de calor"/>
    <s v="Región de Tarapacá espacio cultural cultura infraestructura número cantidad"/>
    <s v="https://analytics.zoho.com/open-view/2395394000008464012?ZOHO_CRITERIA=%22Espacios_Culturales_Completo%201%22.%22C%C3%B3digo_Regi%C3%B3n%22%20%3D%201"/>
    <x v="18"/>
    <s v="#1774B9"/>
  </r>
  <r>
    <s v="0990"/>
    <n v="990"/>
    <s v="Agencia Información"/>
    <s v="Arte y cultura"/>
    <n v="2"/>
    <x v="56"/>
    <x v="8"/>
    <x v="1"/>
    <x v="2"/>
    <x v="1"/>
    <x v="14"/>
    <s v="Año 2021"/>
    <s v="Número de espacios culturales"/>
    <s v="Observatorio Cultural"/>
    <s v="Mapa de la Cantidad de Espacios Culturales por Comuna en la Región de Antofagasta, Año 2021"/>
    <m/>
    <s v="Mapa de calor"/>
    <s v="Región de Antofagasta espacio cultural cultura infraestructura número cantidad"/>
    <s v="https://analytics.zoho.com/open-view/2395394000008464012?ZOHO_CRITERIA=%22Espacios_Culturales_Completo%201%22.%22C%C3%B3digo_Regi%C3%B3n%22%20%3D%202"/>
    <x v="19"/>
    <s v="#1774B9"/>
  </r>
  <r>
    <s v="0991"/>
    <n v="990"/>
    <s v="Agencia Información"/>
    <s v="Arte y cultura"/>
    <n v="3"/>
    <x v="56"/>
    <x v="8"/>
    <x v="1"/>
    <x v="3"/>
    <x v="1"/>
    <x v="14"/>
    <s v="Año 2021"/>
    <s v="Número de espacios culturales"/>
    <s v="Observatorio Cultural"/>
    <s v="Mapa de la Cantidad de Espacios Culturales por Comuna en la Región de Atacama, Año 2021"/>
    <m/>
    <s v="Mapa de calor"/>
    <s v="Región de Atacama espacio cultural cultura infraestructura número cantidad"/>
    <s v="https://analytics.zoho.com/open-view/2395394000008464012?ZOHO_CRITERIA=%22Espacios_Culturales_Completo%201%22.%22C%C3%B3digo_Regi%C3%B3n%22%20%3D%203"/>
    <x v="20"/>
    <s v="#1774B9"/>
  </r>
  <r>
    <s v="0992"/>
    <n v="990"/>
    <s v="Agencia Información"/>
    <s v="Arte y cultura"/>
    <n v="4"/>
    <x v="56"/>
    <x v="8"/>
    <x v="1"/>
    <x v="4"/>
    <x v="1"/>
    <x v="14"/>
    <s v="Año 2021"/>
    <s v="Número de espacios culturales"/>
    <s v="Observatorio Cultural"/>
    <s v="Mapa de la Cantidad de Espacios Culturales por Comuna en la Región de Coquimbo, Año 2021"/>
    <m/>
    <s v="Mapa de calor"/>
    <s v="Región de Coquimbo espacio cultural cultura infraestructura número cantidad"/>
    <s v="https://analytics.zoho.com/open-view/2395394000008464012?ZOHO_CRITERIA=%22Espacios_Culturales_Completo%201%22.%22C%C3%B3digo_Regi%C3%B3n%22%20%3D%204"/>
    <x v="21"/>
    <s v="#1774B9"/>
  </r>
  <r>
    <s v="0993"/>
    <n v="990"/>
    <s v="Agencia Información"/>
    <s v="Arte y cultura"/>
    <n v="5"/>
    <x v="56"/>
    <x v="8"/>
    <x v="1"/>
    <x v="5"/>
    <x v="1"/>
    <x v="14"/>
    <s v="Año 2021"/>
    <s v="Número de espacios culturales"/>
    <s v="Observatorio Cultural"/>
    <s v="Mapa de la Cantidad de Espacios Culturales por Comuna en la Región de Valparaíso, Año 2021"/>
    <m/>
    <s v="Mapa de calor"/>
    <s v="Región de Valparaíso espacio cultural cultura infraestructura número cantidad"/>
    <s v="https://analytics.zoho.com/open-view/2395394000008464012?ZOHO_CRITERIA=%22Espacios_Culturales_Completo%201%22.%22C%C3%B3digo_Regi%C3%B3n%22%20%3D%205"/>
    <x v="22"/>
    <s v="#1774B9"/>
  </r>
  <r>
    <s v="0994"/>
    <n v="990"/>
    <s v="Agencia Información"/>
    <s v="Arte y cultura"/>
    <n v="6"/>
    <x v="56"/>
    <x v="8"/>
    <x v="1"/>
    <x v="6"/>
    <x v="1"/>
    <x v="14"/>
    <s v="Año 2021"/>
    <s v="Número de espacios culturales"/>
    <s v="Observatorio Cultural"/>
    <s v="Mapa de la Cantidad de Espacios Culturales por Comuna en la Región de O'Higgins, Año 2021"/>
    <m/>
    <s v="Mapa de calor"/>
    <s v="Región de O'Higgins espacio cultural cultura infraestructura número cantidad"/>
    <s v="https://analytics.zoho.com/open-view/2395394000008464012?ZOHO_CRITERIA=%22Espacios_Culturales_Completo%201%22.%22C%C3%B3digo_Regi%C3%B3n%22%20%3D%206"/>
    <x v="23"/>
    <s v="#1774B9"/>
  </r>
  <r>
    <s v="0995"/>
    <n v="990"/>
    <s v="Agencia Información"/>
    <s v="Arte y cultura"/>
    <n v="7"/>
    <x v="56"/>
    <x v="8"/>
    <x v="1"/>
    <x v="7"/>
    <x v="1"/>
    <x v="14"/>
    <s v="Año 2021"/>
    <s v="Número de espacios culturales"/>
    <s v="Observatorio Cultural"/>
    <s v="Mapa de la Cantidad de Espacios Culturales por Comuna en la Región de Maule, Año 2021"/>
    <m/>
    <s v="Mapa de calor"/>
    <s v="Región de Maule espacio cultural cultura infraestructura número cantidad"/>
    <s v="https://analytics.zoho.com/open-view/2395394000008464012?ZOHO_CRITERIA=%22Espacios_Culturales_Completo%201%22.%22C%C3%B3digo_Regi%C3%B3n%22%20%3D%207"/>
    <x v="24"/>
    <s v="#1774B9"/>
  </r>
  <r>
    <s v="0996"/>
    <n v="990"/>
    <s v="Agencia Información"/>
    <s v="Arte y cultura"/>
    <n v="8"/>
    <x v="56"/>
    <x v="8"/>
    <x v="1"/>
    <x v="8"/>
    <x v="1"/>
    <x v="14"/>
    <s v="Año 2021"/>
    <s v="Número de espacios culturales"/>
    <s v="Observatorio Cultural"/>
    <s v="Mapa de la Cantidad de Espacios Culturales por Comuna en la Región del Biobío, Año 2021"/>
    <m/>
    <s v="Mapa de calor"/>
    <s v="Región del Biobío espacio cultural cultura infraestructura número cantidad"/>
    <s v="https://analytics.zoho.com/open-view/2395394000008464012?ZOHO_CRITERIA=%22Espacios_Culturales_Completo%201%22.%22C%C3%B3digo_Regi%C3%B3n%22%20%3D%208"/>
    <x v="25"/>
    <s v="#1774B9"/>
  </r>
  <r>
    <s v="0997"/>
    <n v="990"/>
    <s v="Agencia Información"/>
    <s v="Arte y cultura"/>
    <n v="9"/>
    <x v="56"/>
    <x v="8"/>
    <x v="1"/>
    <x v="9"/>
    <x v="1"/>
    <x v="14"/>
    <s v="Año 2021"/>
    <s v="Número de espacios culturales"/>
    <s v="Observatorio Cultural"/>
    <s v="Mapa de la Cantidad de Espacios Culturales por Comuna en la Región de La Araucanía, Año 2021"/>
    <m/>
    <s v="Mapa de calor"/>
    <s v="Región de La Araucanía espacio cultural cultura infraestructura número cantidad"/>
    <s v="https://analytics.zoho.com/open-view/2395394000008464012?ZOHO_CRITERIA=%22Espacios_Culturales_Completo%201%22.%22C%C3%B3digo_Regi%C3%B3n%22%20%3D%209"/>
    <x v="26"/>
    <s v="#1774B9"/>
  </r>
  <r>
    <s v="0998"/>
    <n v="990"/>
    <s v="Agencia Información"/>
    <s v="Arte y cultura"/>
    <n v="10"/>
    <x v="56"/>
    <x v="8"/>
    <x v="1"/>
    <x v="10"/>
    <x v="1"/>
    <x v="14"/>
    <s v="Año 2021"/>
    <s v="Número de espacios culturales"/>
    <s v="Observatorio Cultural"/>
    <s v="Mapa de la Cantidad de Espacios Culturales por Comuna en la Región de Los Lagos, Año 2021"/>
    <m/>
    <s v="Mapa de calor"/>
    <s v="Región de Los Lagos espacio cultural cultura infraestructura número cantidad"/>
    <s v="https://analytics.zoho.com/open-view/2395394000008464012?ZOHO_CRITERIA=%22Espacios_Culturales_Completo%201%22.%22C%C3%B3digo_Regi%C3%B3n%22%20%3D%2010"/>
    <x v="27"/>
    <s v="#1774B9"/>
  </r>
  <r>
    <s v="0999"/>
    <n v="990"/>
    <s v="Agencia Información"/>
    <s v="Arte y cultura"/>
    <n v="11"/>
    <x v="56"/>
    <x v="8"/>
    <x v="1"/>
    <x v="11"/>
    <x v="1"/>
    <x v="14"/>
    <s v="Año 2021"/>
    <s v="Número de espacios culturales"/>
    <s v="Observatorio Cultural"/>
    <s v="Mapa de la Cantidad de Espacios Culturales por Comuna en la Región de Aysén, Año 2021"/>
    <m/>
    <s v="Mapa de calor"/>
    <s v="Región de Aysén espacio cultural cultura infraestructura número cantidad"/>
    <s v="https://analytics.zoho.com/open-view/2395394000008464012?ZOHO_CRITERIA=%22Espacios_Culturales_Completo%201%22.%22C%C3%B3digo_Regi%C3%B3n%22%20%3D%2011"/>
    <x v="28"/>
    <s v="#1774B9"/>
  </r>
  <r>
    <s v="1000"/>
    <n v="990"/>
    <s v="Agencia Información"/>
    <s v="Arte y cultura"/>
    <n v="12"/>
    <x v="56"/>
    <x v="8"/>
    <x v="1"/>
    <x v="12"/>
    <x v="1"/>
    <x v="14"/>
    <s v="Año 2021"/>
    <s v="Número de espacios culturales"/>
    <s v="Observatorio Cultural"/>
    <s v="Mapa de la Cantidad de Espacios Culturales por Comuna en la Región de Magallanes, Año 2021"/>
    <m/>
    <s v="Mapa de calor"/>
    <s v="Región de Magallanes espacio cultural cultura infraestructura número cantidad"/>
    <s v="https://analytics.zoho.com/open-view/2395394000008464012?ZOHO_CRITERIA=%22Espacios_Culturales_Completo%201%22.%22C%C3%B3digo_Regi%C3%B3n%22%20%3D%2012"/>
    <x v="29"/>
    <s v="#1774B9"/>
  </r>
  <r>
    <s v="1001"/>
    <n v="990"/>
    <s v="Agencia Información"/>
    <s v="Arte y cultura"/>
    <n v="13"/>
    <x v="56"/>
    <x v="8"/>
    <x v="1"/>
    <x v="13"/>
    <x v="1"/>
    <x v="14"/>
    <s v="Año 2021"/>
    <s v="Número de espacios culturales"/>
    <s v="Observatorio Cultural"/>
    <s v="Mapa de la Cantidad de Espacios Culturales por Comuna en la Región Metropolitana, Año 2021"/>
    <m/>
    <s v="Mapa de calor"/>
    <s v="Región Metropolitana espacio cultural cultura infraestructura número cantidad"/>
    <s v="https://analytics.zoho.com/open-view/2395394000008464012?ZOHO_CRITERIA=%22Espacios_Culturales_Completo%201%22.%22C%C3%B3digo_Regi%C3%B3n%22%20%3D%2013"/>
    <x v="30"/>
    <s v="#1774B9"/>
  </r>
  <r>
    <s v="1002"/>
    <n v="990"/>
    <s v="Agencia Información"/>
    <s v="Arte y cultura"/>
    <n v="14"/>
    <x v="56"/>
    <x v="8"/>
    <x v="1"/>
    <x v="14"/>
    <x v="1"/>
    <x v="14"/>
    <s v="Año 2021"/>
    <s v="Número de espacios culturales"/>
    <s v="Observatorio Cultural"/>
    <s v="Mapa de la Cantidad de Espacios Culturales por Comuna en la Región de Los Ríos, Año 2021"/>
    <m/>
    <s v="Mapa de calor"/>
    <s v="Región de Los Ríos espacio cultural cultura infraestructura número cantidad"/>
    <s v="https://analytics.zoho.com/open-view/2395394000008464012?ZOHO_CRITERIA=%22Espacios_Culturales_Completo%201%22.%22C%C3%B3digo_Regi%C3%B3n%22%20%3D%2014"/>
    <x v="31"/>
    <s v="#1774B9"/>
  </r>
  <r>
    <s v="1003"/>
    <n v="990"/>
    <s v="Agencia Información"/>
    <s v="Arte y cultura"/>
    <n v="15"/>
    <x v="56"/>
    <x v="8"/>
    <x v="1"/>
    <x v="15"/>
    <x v="1"/>
    <x v="14"/>
    <s v="Año 2021"/>
    <s v="Número de espacios culturales"/>
    <s v="Observatorio Cultural"/>
    <s v="Mapa de la Cantidad de Espacios Culturales por Comuna en la Región de Arica y Parinacota, Año 2021"/>
    <m/>
    <s v="Mapa de calor"/>
    <s v="Región de Arica y Parinacota espacio cultural cultura infraestructura número cantidad"/>
    <s v="https://analytics.zoho.com/open-view/2395394000008464012?ZOHO_CRITERIA=%22Espacios_Culturales_Completo%201%22.%22C%C3%B3digo_Regi%C3%B3n%22%20%3D%2015"/>
    <x v="32"/>
    <s v="#1774B9"/>
  </r>
  <r>
    <s v="1004"/>
    <n v="990"/>
    <s v="Agencia Información"/>
    <s v="Arte y cultura"/>
    <n v="16"/>
    <x v="56"/>
    <x v="8"/>
    <x v="1"/>
    <x v="16"/>
    <x v="1"/>
    <x v="14"/>
    <s v="Año 2021"/>
    <s v="Número de espacios culturales"/>
    <s v="Observatorio Cultural"/>
    <s v="Mapa de la Cantidad de Espacios Culturales por Comuna en la Región de Ñuble, Año 2021"/>
    <m/>
    <s v="Mapa de calor"/>
    <s v="Región de Ñuble espacio cultural cultura infraestructura número cantidad"/>
    <s v="https://analytics.zoho.com/open-view/2395394000008464012?ZOHO_CRITERIA=%22Espacios_Culturales_Completo%201%22.%22C%C3%B3digo_Regi%C3%B3n%22%20%3D%2016"/>
    <x v="33"/>
    <s v="#1774B9"/>
  </r>
  <r>
    <s v="1005"/>
    <n v="990"/>
    <s v="Agencia Información"/>
    <s v="Arte y cultura"/>
    <n v="0"/>
    <x v="57"/>
    <x v="8"/>
    <x v="0"/>
    <x v="0"/>
    <x v="3"/>
    <x v="90"/>
    <s v="Año 2021"/>
    <s v="Número de espacios culturales"/>
    <s v="Observatorio Cultural"/>
    <s v="Cantidad de Espacios Culturales por Fuente de Financiamiento y Región en Chile, Año 2021"/>
    <s v="La mayoría de los espacios culturales se financian por fuentes públicas, seguido por las fuentes privadas y las mixtas. La región que cuenta con más espacios financiados por fuentes públicas es la Metropolitana, con 146. Por otro lado, la que menos tiene es Arica y Parinacota, con 18."/>
    <s v="Gráfico"/>
    <s v="Chile espacio cultural cultura infraestructura fuente financiamiento pública privada mixta"/>
    <s v="https://analytics.zoho.com/open-view/2395394000008056809"/>
    <x v="17"/>
    <s v="#1774B9"/>
  </r>
  <r>
    <s v="1006"/>
    <n v="990"/>
    <s v="Agencia Información"/>
    <s v="Arte y cultura"/>
    <n v="1"/>
    <x v="57"/>
    <x v="8"/>
    <x v="1"/>
    <x v="1"/>
    <x v="3"/>
    <x v="90"/>
    <s v="Año 2021"/>
    <s v="Número de espacios culturales"/>
    <s v="Observatorio Cultural"/>
    <s v="Cantidad de Espacios Culturales por Fuente de Financiamiento en la Región de Tarapacá, Año 2021"/>
    <m/>
    <s v="Gráfico"/>
    <s v="Región de Tarapacá espacio cultural cultura infraestructura fuente financiamiento pública privada mixta"/>
    <s v="https://analytics.zoho.com/open-view/2395394000008464140?ZOHO_CRITERIA=%22Espacios_Culturales_Completo%201%22.%22C%C3%B3digo_Regi%C3%B3n%22%20%3D%201"/>
    <x v="18"/>
    <s v="#1774B9"/>
  </r>
  <r>
    <s v="1007"/>
    <n v="990"/>
    <s v="Agencia Información"/>
    <s v="Arte y cultura"/>
    <n v="2"/>
    <x v="57"/>
    <x v="8"/>
    <x v="1"/>
    <x v="2"/>
    <x v="3"/>
    <x v="90"/>
    <s v="Año 2021"/>
    <s v="Número de espacios culturales"/>
    <s v="Observatorio Cultural"/>
    <s v="Cantidad de Espacios Culturales por Fuente de Financiamiento en la Región de Antofagasta, Año 2021"/>
    <m/>
    <s v="Gráfico"/>
    <s v="Región de Antofagasta espacio cultural cultura infraestructura fuente financiamiento pública privada mixta"/>
    <s v="https://analytics.zoho.com/open-view/2395394000008464140?ZOHO_CRITERIA=%22Espacios_Culturales_Completo%201%22.%22C%C3%B3digo_Regi%C3%B3n%22%20%3D%202"/>
    <x v="19"/>
    <s v="#1774B9"/>
  </r>
  <r>
    <s v="1008"/>
    <n v="990"/>
    <s v="Agencia Información"/>
    <s v="Arte y cultura"/>
    <n v="3"/>
    <x v="57"/>
    <x v="8"/>
    <x v="1"/>
    <x v="3"/>
    <x v="3"/>
    <x v="90"/>
    <s v="Año 2021"/>
    <s v="Número de espacios culturales"/>
    <s v="Observatorio Cultural"/>
    <s v="Cantidad de Espacios Culturales por Fuente de Financiamiento en la Región de Atacama, Año 2021"/>
    <m/>
    <s v="Gráfico"/>
    <s v="Región de Atacama espacio cultural cultura infraestructura fuente financiamiento pública privada mixta"/>
    <s v="https://analytics.zoho.com/open-view/2395394000008464140?ZOHO_CRITERIA=%22Espacios_Culturales_Completo%201%22.%22C%C3%B3digo_Regi%C3%B3n%22%20%3D%203"/>
    <x v="20"/>
    <s v="#1774B9"/>
  </r>
  <r>
    <s v="1009"/>
    <n v="990"/>
    <s v="Agencia Información"/>
    <s v="Arte y cultura"/>
    <n v="4"/>
    <x v="57"/>
    <x v="8"/>
    <x v="1"/>
    <x v="4"/>
    <x v="3"/>
    <x v="90"/>
    <s v="Año 2021"/>
    <s v="Número de espacios culturales"/>
    <s v="Observatorio Cultural"/>
    <s v="Cantidad de Espacios Culturales por Fuente de Financiamiento en la Región de Coquimbo, Año 2021"/>
    <m/>
    <s v="Gráfico"/>
    <s v="Región de Coquimbo espacio cultural cultura infraestructura fuente financiamiento pública privada mixta"/>
    <s v="https://analytics.zoho.com/open-view/2395394000008464140?ZOHO_CRITERIA=%22Espacios_Culturales_Completo%201%22.%22C%C3%B3digo_Regi%C3%B3n%22%20%3D%204"/>
    <x v="21"/>
    <s v="#1774B9"/>
  </r>
  <r>
    <s v="1010"/>
    <n v="990"/>
    <s v="Agencia Información"/>
    <s v="Arte y cultura"/>
    <n v="5"/>
    <x v="57"/>
    <x v="8"/>
    <x v="1"/>
    <x v="5"/>
    <x v="3"/>
    <x v="90"/>
    <s v="Año 2021"/>
    <s v="Número de espacios culturales"/>
    <s v="Observatorio Cultural"/>
    <s v="Cantidad de Espacios Culturales por Fuente de Financiamiento en la Región de Valparaíso, Año 2021"/>
    <m/>
    <s v="Gráfico"/>
    <s v="Región de Valparaíso espacio cultural cultura infraestructura fuente financiamiento pública privada mixta"/>
    <s v="https://analytics.zoho.com/open-view/2395394000008464140?ZOHO_CRITERIA=%22Espacios_Culturales_Completo%201%22.%22C%C3%B3digo_Regi%C3%B3n%22%20%3D%205"/>
    <x v="22"/>
    <s v="#1774B9"/>
  </r>
  <r>
    <s v="1011"/>
    <n v="990"/>
    <s v="Agencia Información"/>
    <s v="Arte y cultura"/>
    <n v="6"/>
    <x v="57"/>
    <x v="8"/>
    <x v="1"/>
    <x v="6"/>
    <x v="3"/>
    <x v="90"/>
    <s v="Año 2021"/>
    <s v="Número de espacios culturales"/>
    <s v="Observatorio Cultural"/>
    <s v="Cantidad de Espacios Culturales por Fuente de Financiamiento en la Región de O'Higgins, Año 2021"/>
    <m/>
    <s v="Gráfico"/>
    <s v="Región de O'Higgins espacio cultural cultura infraestructura fuente financiamiento pública privada mixta"/>
    <s v="https://analytics.zoho.com/open-view/2395394000008464140?ZOHO_CRITERIA=%22Espacios_Culturales_Completo%201%22.%22C%C3%B3digo_Regi%C3%B3n%22%20%3D%206"/>
    <x v="23"/>
    <s v="#1774B9"/>
  </r>
  <r>
    <s v="1012"/>
    <n v="990"/>
    <s v="Agencia Información"/>
    <s v="Arte y cultura"/>
    <n v="7"/>
    <x v="57"/>
    <x v="8"/>
    <x v="1"/>
    <x v="7"/>
    <x v="3"/>
    <x v="90"/>
    <s v="Año 2021"/>
    <s v="Número de espacios culturales"/>
    <s v="Observatorio Cultural"/>
    <s v="Cantidad de Espacios Culturales por Fuente de Financiamiento en la Región de Maule, Año 2021"/>
    <m/>
    <s v="Gráfico"/>
    <s v="Región de Maule espacio cultural cultura infraestructura fuente financiamiento pública privada mixta"/>
    <s v="https://analytics.zoho.com/open-view/2395394000008464140?ZOHO_CRITERIA=%22Espacios_Culturales_Completo%201%22.%22C%C3%B3digo_Regi%C3%B3n%22%20%3D%207"/>
    <x v="24"/>
    <s v="#1774B9"/>
  </r>
  <r>
    <s v="1013"/>
    <n v="990"/>
    <s v="Agencia Información"/>
    <s v="Arte y cultura"/>
    <n v="8"/>
    <x v="57"/>
    <x v="8"/>
    <x v="1"/>
    <x v="8"/>
    <x v="3"/>
    <x v="90"/>
    <s v="Año 2021"/>
    <s v="Número de espacios culturales"/>
    <s v="Observatorio Cultural"/>
    <s v="Cantidad de Espacios Culturales por Fuente de Financiamiento en la Región del Biobío, Año 2021"/>
    <m/>
    <s v="Gráfico"/>
    <s v="Región del Biobío espacio cultural cultura infraestructura fuente financiamiento pública privada mixta"/>
    <s v="https://analytics.zoho.com/open-view/2395394000008464140?ZOHO_CRITERIA=%22Espacios_Culturales_Completo%201%22.%22C%C3%B3digo_Regi%C3%B3n%22%20%3D%208"/>
    <x v="25"/>
    <s v="#1774B9"/>
  </r>
  <r>
    <s v="1014"/>
    <n v="990"/>
    <s v="Agencia Información"/>
    <s v="Arte y cultura"/>
    <n v="9"/>
    <x v="57"/>
    <x v="8"/>
    <x v="1"/>
    <x v="9"/>
    <x v="3"/>
    <x v="90"/>
    <s v="Año 2021"/>
    <s v="Número de espacios culturales"/>
    <s v="Observatorio Cultural"/>
    <s v="Cantidad de Espacios Culturales por Fuente de Financiamiento en la Región de La Araucanía, Año 2021"/>
    <m/>
    <s v="Gráfico"/>
    <s v="Región de La Araucanía espacio cultural cultura infraestructura fuente financiamiento pública privada mixta"/>
    <s v="https://analytics.zoho.com/open-view/2395394000008464140?ZOHO_CRITERIA=%22Espacios_Culturales_Completo%201%22.%22C%C3%B3digo_Regi%C3%B3n%22%20%3D%209"/>
    <x v="26"/>
    <s v="#1774B9"/>
  </r>
  <r>
    <s v="1015"/>
    <n v="990"/>
    <s v="Agencia Información"/>
    <s v="Arte y cultura"/>
    <n v="10"/>
    <x v="57"/>
    <x v="8"/>
    <x v="1"/>
    <x v="10"/>
    <x v="3"/>
    <x v="90"/>
    <s v="Año 2021"/>
    <s v="Número de espacios culturales"/>
    <s v="Observatorio Cultural"/>
    <s v="Cantidad de Espacios Culturales por Fuente de Financiamiento en la Región de Los Lagos, Año 2021"/>
    <m/>
    <s v="Gráfico"/>
    <s v="Región de Los Lagos espacio cultural cultura infraestructura fuente financiamiento pública privada mixta"/>
    <s v="https://analytics.zoho.com/open-view/2395394000008464140?ZOHO_CRITERIA=%22Espacios_Culturales_Completo%201%22.%22C%C3%B3digo_Regi%C3%B3n%22%20%3D%2010"/>
    <x v="27"/>
    <s v="#1774B9"/>
  </r>
  <r>
    <s v="1016"/>
    <n v="990"/>
    <s v="Agencia Información"/>
    <s v="Arte y cultura"/>
    <n v="11"/>
    <x v="57"/>
    <x v="8"/>
    <x v="1"/>
    <x v="11"/>
    <x v="3"/>
    <x v="90"/>
    <s v="Año 2021"/>
    <s v="Número de espacios culturales"/>
    <s v="Observatorio Cultural"/>
    <s v="Cantidad de Espacios Culturales por Fuente de Financiamiento en la Región de Aysén, Año 2021"/>
    <m/>
    <s v="Gráfico"/>
    <s v="Región de Aysén espacio cultural cultura infraestructura fuente financiamiento pública privada mixta"/>
    <s v="https://analytics.zoho.com/open-view/2395394000008464140?ZOHO_CRITERIA=%22Espacios_Culturales_Completo%201%22.%22C%C3%B3digo_Regi%C3%B3n%22%20%3D%2011"/>
    <x v="28"/>
    <s v="#1774B9"/>
  </r>
  <r>
    <s v="1017"/>
    <n v="990"/>
    <s v="Agencia Información"/>
    <s v="Arte y cultura"/>
    <n v="12"/>
    <x v="57"/>
    <x v="8"/>
    <x v="1"/>
    <x v="12"/>
    <x v="3"/>
    <x v="90"/>
    <s v="Año 2021"/>
    <s v="Número de espacios culturales"/>
    <s v="Observatorio Cultural"/>
    <s v="Cantidad de Espacios Culturales por Fuente de Financiamiento en la Región de Magallanes, Año 2021"/>
    <m/>
    <s v="Gráfico"/>
    <s v="Región de Magallanes espacio cultural cultura infraestructura fuente financiamiento pública privada mixta"/>
    <s v="https://analytics.zoho.com/open-view/2395394000008464140?ZOHO_CRITERIA=%22Espacios_Culturales_Completo%201%22.%22C%C3%B3digo_Regi%C3%B3n%22%20%3D%2012"/>
    <x v="29"/>
    <s v="#1774B9"/>
  </r>
  <r>
    <s v="1018"/>
    <n v="990"/>
    <s v="Agencia Información"/>
    <s v="Arte y cultura"/>
    <n v="13"/>
    <x v="57"/>
    <x v="8"/>
    <x v="1"/>
    <x v="13"/>
    <x v="3"/>
    <x v="90"/>
    <s v="Año 2021"/>
    <s v="Número de espacios culturales"/>
    <s v="Observatorio Cultural"/>
    <s v="Cantidad de Espacios Culturales por Fuente de Financiamiento en la Región Metropolitana, Año 2021"/>
    <m/>
    <s v="Gráfico"/>
    <s v="Región Metropolitana espacio cultural cultura infraestructura fuente financiamiento pública privada mixta"/>
    <s v="https://analytics.zoho.com/open-view/2395394000008464140?ZOHO_CRITERIA=%22Espacios_Culturales_Completo%201%22.%22C%C3%B3digo_Regi%C3%B3n%22%20%3D%2013"/>
    <x v="30"/>
    <s v="#1774B9"/>
  </r>
  <r>
    <s v="1019"/>
    <n v="990"/>
    <s v="Agencia Información"/>
    <s v="Arte y cultura"/>
    <n v="14"/>
    <x v="57"/>
    <x v="8"/>
    <x v="1"/>
    <x v="14"/>
    <x v="3"/>
    <x v="90"/>
    <s v="Año 2021"/>
    <s v="Número de espacios culturales"/>
    <s v="Observatorio Cultural"/>
    <s v="Cantidad de Espacios Culturales por Fuente de Financiamiento en la Región de Los Ríos, Año 2021"/>
    <m/>
    <s v="Gráfico"/>
    <s v="Región de Los Ríos espacio cultural cultura infraestructura fuente financiamiento pública privada mixta"/>
    <s v="https://analytics.zoho.com/open-view/2395394000008464140?ZOHO_CRITERIA=%22Espacios_Culturales_Completo%201%22.%22C%C3%B3digo_Regi%C3%B3n%22%20%3D%2014"/>
    <x v="31"/>
    <s v="#1774B9"/>
  </r>
  <r>
    <s v="1020"/>
    <n v="990"/>
    <s v="Agencia Información"/>
    <s v="Arte y cultura"/>
    <n v="15"/>
    <x v="57"/>
    <x v="8"/>
    <x v="1"/>
    <x v="15"/>
    <x v="3"/>
    <x v="90"/>
    <s v="Año 2021"/>
    <s v="Número de espacios culturales"/>
    <s v="Observatorio Cultural"/>
    <s v="Cantidad de Espacios Culturales por Fuente de Financiamiento en la Región de Arica y Parinacota, Año 2021"/>
    <m/>
    <s v="Gráfico"/>
    <s v="Región de Arica y Parinacota espacio cultural cultura infraestructura fuente financiamiento pública privada mixta"/>
    <s v="https://analytics.zoho.com/open-view/2395394000008464140?ZOHO_CRITERIA=%22Espacios_Culturales_Completo%201%22.%22C%C3%B3digo_Regi%C3%B3n%22%20%3D%2015"/>
    <x v="32"/>
    <s v="#1774B9"/>
  </r>
  <r>
    <s v="1021"/>
    <n v="990"/>
    <s v="Agencia Información"/>
    <s v="Arte y cultura"/>
    <n v="16"/>
    <x v="57"/>
    <x v="8"/>
    <x v="1"/>
    <x v="16"/>
    <x v="3"/>
    <x v="90"/>
    <s v="Año 2021"/>
    <s v="Número de espacios culturales"/>
    <s v="Observatorio Cultural"/>
    <s v="Cantidad de Espacios Culturales por Fuente de Financiamiento en la Región de Ñuble, Año 2021"/>
    <m/>
    <s v="Gráfico"/>
    <s v="Región de Ñuble espacio cultural cultura infraestructura fuente financiamiento pública privada mixta"/>
    <s v="https://analytics.zoho.com/open-view/2395394000008464140?ZOHO_CRITERIA=%22Espacios_Culturales_Completo%201%22.%22C%C3%B3digo_Regi%C3%B3n%22%20%3D%2016"/>
    <x v="33"/>
    <s v="#1774B9"/>
  </r>
  <r>
    <s v="1022"/>
    <n v="990"/>
    <s v="Agencia Información"/>
    <s v="Arte y cultura"/>
    <n v="0"/>
    <x v="56"/>
    <x v="8"/>
    <x v="0"/>
    <x v="0"/>
    <x v="3"/>
    <x v="14"/>
    <s v="Año 2021"/>
    <s v="Número de espacios culturales"/>
    <s v="Observatorio Cultural"/>
    <s v="Cantidad de Espacios Culturales por Categoría y Región en Chile, Año 2021"/>
    <s v="La categoría de espacio cultural que predomina en Chile es &quot;Otros espacios con uso cultural&quot;. En ella, Valparaíso tiene 153 espacios. Por otro lado, la categoría menos habitual es &quot;Carpa de Circo&quot;, con solo 5 espacios, repartidos en Coquimbo, Valparaíso y Ñuble."/>
    <s v="Gráfico"/>
    <s v="Chile espacio cultural cultura infraestructura categoría tipo biblioteca museo archivo"/>
    <s v="https://analytics.zoho.com/open-view/2395394000008049343"/>
    <x v="17"/>
    <s v="#1774B9"/>
  </r>
  <r>
    <s v="1023"/>
    <n v="990"/>
    <s v="Agencia Información"/>
    <s v="Arte y cultura"/>
    <n v="1"/>
    <x v="56"/>
    <x v="8"/>
    <x v="1"/>
    <x v="1"/>
    <x v="3"/>
    <x v="14"/>
    <s v="Año 2021"/>
    <s v="Número de espacios culturales"/>
    <s v="Observatorio Cultural"/>
    <s v="Cantidad de Espacios Culturales por Categoría en la Región de Tarapacá, Año 2021"/>
    <m/>
    <s v="Gráfico"/>
    <s v="Región de Tarapacá espacio cultural cultura infraestructura categoría tipo biblioteca museo archivo"/>
    <s v="https://analytics.zoho.com/open-view/2395394000008463151?ZOHO_CRITERIA=%22Localiza%20CL%22.%22Codreg%22%20%3D%201"/>
    <x v="18"/>
    <s v="#1774B9"/>
  </r>
  <r>
    <s v="1024"/>
    <n v="990"/>
    <s v="Agencia Información"/>
    <s v="Arte y cultura"/>
    <n v="2"/>
    <x v="56"/>
    <x v="8"/>
    <x v="1"/>
    <x v="2"/>
    <x v="3"/>
    <x v="14"/>
    <s v="Año 2021"/>
    <s v="Número de espacios culturales"/>
    <s v="Observatorio Cultural"/>
    <s v="Cantidad de Espacios Culturales por Categoría en la Región de Antofagasta, Año 2021"/>
    <m/>
    <s v="Gráfico"/>
    <s v="Región de Antofagasta espacio cultural cultura infraestructura categoría tipo biblioteca museo archivo"/>
    <s v="https://analytics.zoho.com/open-view/2395394000008463151?ZOHO_CRITERIA=%22Localiza%20CL%22.%22Codreg%22%20%3D%202"/>
    <x v="19"/>
    <s v="#1774B9"/>
  </r>
  <r>
    <s v="1025"/>
    <n v="990"/>
    <s v="Agencia Información"/>
    <s v="Arte y cultura"/>
    <n v="3"/>
    <x v="56"/>
    <x v="8"/>
    <x v="1"/>
    <x v="3"/>
    <x v="3"/>
    <x v="14"/>
    <s v="Año 2021"/>
    <s v="Número de espacios culturales"/>
    <s v="Observatorio Cultural"/>
    <s v="Cantidad de Espacios Culturales por Categoría en la Región de Atacama, Año 2021"/>
    <m/>
    <s v="Gráfico"/>
    <s v="Región de Atacama espacio cultural cultura infraestructura categoría tipo biblioteca museo archivo"/>
    <s v="https://analytics.zoho.com/open-view/2395394000008463151?ZOHO_CRITERIA=%22Localiza%20CL%22.%22Codreg%22%20%3D%203"/>
    <x v="20"/>
    <s v="#1774B9"/>
  </r>
  <r>
    <s v="1026"/>
    <n v="990"/>
    <s v="Agencia Información"/>
    <s v="Arte y cultura"/>
    <n v="4"/>
    <x v="56"/>
    <x v="8"/>
    <x v="1"/>
    <x v="4"/>
    <x v="3"/>
    <x v="14"/>
    <s v="Año 2021"/>
    <s v="Número de espacios culturales"/>
    <s v="Observatorio Cultural"/>
    <s v="Cantidad de Espacios Culturales por Categoría en la Región de Coquimbo, Año 2021"/>
    <m/>
    <s v="Gráfico"/>
    <s v="Región de Coquimbo espacio cultural cultura infraestructura categoría tipo biblioteca museo archivo"/>
    <s v="https://analytics.zoho.com/open-view/2395394000008463151?ZOHO_CRITERIA=%22Localiza%20CL%22.%22Codreg%22%20%3D%204"/>
    <x v="21"/>
    <s v="#1774B9"/>
  </r>
  <r>
    <s v="1027"/>
    <n v="990"/>
    <s v="Agencia Información"/>
    <s v="Arte y cultura"/>
    <n v="5"/>
    <x v="56"/>
    <x v="8"/>
    <x v="1"/>
    <x v="5"/>
    <x v="3"/>
    <x v="14"/>
    <s v="Año 2021"/>
    <s v="Número de espacios culturales"/>
    <s v="Observatorio Cultural"/>
    <s v="Cantidad de Espacios Culturales por Categoría en la Región de Valparaíso, Año 2021"/>
    <m/>
    <s v="Gráfico"/>
    <s v="Región de Valparaíso espacio cultural cultura infraestructura categoría tipo biblioteca museo archivo"/>
    <s v="https://analytics.zoho.com/open-view/2395394000008463151?ZOHO_CRITERIA=%22Localiza%20CL%22.%22Codreg%22%20%3D%205"/>
    <x v="22"/>
    <s v="#1774B9"/>
  </r>
  <r>
    <s v="1028"/>
    <n v="990"/>
    <s v="Agencia Información"/>
    <s v="Arte y cultura"/>
    <n v="6"/>
    <x v="56"/>
    <x v="8"/>
    <x v="1"/>
    <x v="6"/>
    <x v="3"/>
    <x v="14"/>
    <s v="Año 2021"/>
    <s v="Número de espacios culturales"/>
    <s v="Observatorio Cultural"/>
    <s v="Cantidad de Espacios Culturales por Categoría en la Región de O'Higgins, Año 2021"/>
    <m/>
    <s v="Gráfico"/>
    <s v="Región de O'Higgins espacio cultural cultura infraestructura categoría tipo biblioteca museo archivo"/>
    <s v="https://analytics.zoho.com/open-view/2395394000008463151?ZOHO_CRITERIA=%22Localiza%20CL%22.%22Codreg%22%20%3D%206"/>
    <x v="23"/>
    <s v="#1774B9"/>
  </r>
  <r>
    <s v="1029"/>
    <n v="990"/>
    <s v="Agencia Información"/>
    <s v="Arte y cultura"/>
    <n v="7"/>
    <x v="56"/>
    <x v="8"/>
    <x v="1"/>
    <x v="7"/>
    <x v="3"/>
    <x v="14"/>
    <s v="Año 2021"/>
    <s v="Número de espacios culturales"/>
    <s v="Observatorio Cultural"/>
    <s v="Cantidad de Espacios Culturales por Categoría en la Región de Maule, Año 2021"/>
    <m/>
    <s v="Gráfico"/>
    <s v="Región de Maule espacio cultural cultura infraestructura categoría tipo biblioteca museo archivo"/>
    <s v="https://analytics.zoho.com/open-view/2395394000008463151?ZOHO_CRITERIA=%22Localiza%20CL%22.%22Codreg%22%20%3D%207"/>
    <x v="24"/>
    <s v="#1774B9"/>
  </r>
  <r>
    <s v="1030"/>
    <n v="990"/>
    <s v="Agencia Información"/>
    <s v="Arte y cultura"/>
    <n v="8"/>
    <x v="56"/>
    <x v="8"/>
    <x v="1"/>
    <x v="8"/>
    <x v="3"/>
    <x v="14"/>
    <s v="Año 2021"/>
    <s v="Número de espacios culturales"/>
    <s v="Observatorio Cultural"/>
    <s v="Cantidad de Espacios Culturales por Categoría en la Región del Biobío, Año 2021"/>
    <m/>
    <s v="Gráfico"/>
    <s v="Región del Biobío espacio cultural cultura infraestructura categoría tipo biblioteca museo archivo"/>
    <s v="https://analytics.zoho.com/open-view/2395394000008463151?ZOHO_CRITERIA=%22Localiza%20CL%22.%22Codreg%22%20%3D%208"/>
    <x v="25"/>
    <s v="#1774B9"/>
  </r>
  <r>
    <s v="1031"/>
    <n v="990"/>
    <s v="Agencia Información"/>
    <s v="Arte y cultura"/>
    <n v="9"/>
    <x v="56"/>
    <x v="8"/>
    <x v="1"/>
    <x v="9"/>
    <x v="3"/>
    <x v="14"/>
    <s v="Año 2021"/>
    <s v="Número de espacios culturales"/>
    <s v="Observatorio Cultural"/>
    <s v="Cantidad de Espacios Culturales por Categoría en la Región de La Araucanía, Año 2021"/>
    <m/>
    <s v="Gráfico"/>
    <s v="Región de La Araucanía espacio cultural cultura infraestructura categoría tipo biblioteca museo archivo"/>
    <s v="https://analytics.zoho.com/open-view/2395394000008463151?ZOHO_CRITERIA=%22Localiza%20CL%22.%22Codreg%22%20%3D%209"/>
    <x v="26"/>
    <s v="#1774B9"/>
  </r>
  <r>
    <s v="1032"/>
    <n v="990"/>
    <s v="Agencia Información"/>
    <s v="Arte y cultura"/>
    <n v="10"/>
    <x v="56"/>
    <x v="8"/>
    <x v="1"/>
    <x v="10"/>
    <x v="3"/>
    <x v="14"/>
    <s v="Año 2021"/>
    <s v="Número de espacios culturales"/>
    <s v="Observatorio Cultural"/>
    <s v="Cantidad de Espacios Culturales por Categoría en la Región de Los Lagos, Año 2021"/>
    <m/>
    <s v="Gráfico"/>
    <s v="Región de Los Lagos espacio cultural cultura infraestructura categoría tipo biblioteca museo archivo"/>
    <s v="https://analytics.zoho.com/open-view/2395394000008463151?ZOHO_CRITERIA=%22Localiza%20CL%22.%22Codreg%22%20%3D%2010"/>
    <x v="27"/>
    <s v="#1774B9"/>
  </r>
  <r>
    <s v="1033"/>
    <n v="990"/>
    <s v="Agencia Información"/>
    <s v="Arte y cultura"/>
    <n v="11"/>
    <x v="56"/>
    <x v="8"/>
    <x v="1"/>
    <x v="11"/>
    <x v="3"/>
    <x v="14"/>
    <s v="Año 2021"/>
    <s v="Número de espacios culturales"/>
    <s v="Observatorio Cultural"/>
    <s v="Cantidad de Espacios Culturales por Categoría en la Región de Aysén, Año 2021"/>
    <m/>
    <s v="Gráfico"/>
    <s v="Región de Aysén espacio cultural cultura infraestructura categoría tipo biblioteca museo archivo"/>
    <s v="https://analytics.zoho.com/open-view/2395394000008463151?ZOHO_CRITERIA=%22Localiza%20CL%22.%22Codreg%22%20%3D%2011"/>
    <x v="28"/>
    <s v="#1774B9"/>
  </r>
  <r>
    <s v="1034"/>
    <n v="990"/>
    <s v="Agencia Información"/>
    <s v="Arte y cultura"/>
    <n v="12"/>
    <x v="56"/>
    <x v="8"/>
    <x v="1"/>
    <x v="12"/>
    <x v="3"/>
    <x v="14"/>
    <s v="Año 2021"/>
    <s v="Número de espacios culturales"/>
    <s v="Observatorio Cultural"/>
    <s v="Cantidad de Espacios Culturales por Categoría en la Región de Magallanes, Año 2021"/>
    <m/>
    <s v="Gráfico"/>
    <s v="Región de Magallanes espacio cultural cultura infraestructura categoría tipo biblioteca museo archivo"/>
    <s v="https://analytics.zoho.com/open-view/2395394000008463151?ZOHO_CRITERIA=%22Localiza%20CL%22.%22Codreg%22%20%3D%2012"/>
    <x v="29"/>
    <s v="#1774B9"/>
  </r>
  <r>
    <s v="1035"/>
    <n v="990"/>
    <s v="Agencia Información"/>
    <s v="Arte y cultura"/>
    <n v="13"/>
    <x v="56"/>
    <x v="8"/>
    <x v="1"/>
    <x v="13"/>
    <x v="3"/>
    <x v="14"/>
    <s v="Año 2021"/>
    <s v="Número de espacios culturales"/>
    <s v="Observatorio Cultural"/>
    <s v="Cantidad de Espacios Culturales por Categoría en la Región Metropolitana, Año 2021"/>
    <m/>
    <s v="Gráfico"/>
    <s v="Región Metropolitana espacio cultural cultura infraestructura categoría tipo biblioteca museo archivo"/>
    <s v="https://analytics.zoho.com/open-view/2395394000008463151?ZOHO_CRITERIA=%22Localiza%20CL%22.%22Codreg%22%20%3D%2013"/>
    <x v="30"/>
    <s v="#1774B9"/>
  </r>
  <r>
    <s v="1036"/>
    <n v="990"/>
    <s v="Agencia Información"/>
    <s v="Arte y cultura"/>
    <n v="14"/>
    <x v="56"/>
    <x v="8"/>
    <x v="1"/>
    <x v="14"/>
    <x v="3"/>
    <x v="14"/>
    <s v="Año 2021"/>
    <s v="Número de espacios culturales"/>
    <s v="Observatorio Cultural"/>
    <s v="Cantidad de Espacios Culturales por Categoría en la Región de Los Ríos, Año 2021"/>
    <m/>
    <s v="Gráfico"/>
    <s v="Región de Los Ríos espacio cultural cultura infraestructura categoría tipo biblioteca museo archivo"/>
    <s v="https://analytics.zoho.com/open-view/2395394000008463151?ZOHO_CRITERIA=%22Localiza%20CL%22.%22Codreg%22%20%3D%2014"/>
    <x v="31"/>
    <s v="#1774B9"/>
  </r>
  <r>
    <s v="1037"/>
    <n v="990"/>
    <s v="Agencia Información"/>
    <s v="Arte y cultura"/>
    <n v="15"/>
    <x v="56"/>
    <x v="8"/>
    <x v="1"/>
    <x v="15"/>
    <x v="3"/>
    <x v="14"/>
    <s v="Año 2021"/>
    <s v="Número de espacios culturales"/>
    <s v="Observatorio Cultural"/>
    <s v="Cantidad de Espacios Culturales por Categoría en la Región de Arica y Parinacota, Año 2021"/>
    <m/>
    <s v="Gráfico"/>
    <s v="Región de Arica y Parinacota espacio cultural cultura infraestructura categoría tipo biblioteca museo archivo"/>
    <s v="https://analytics.zoho.com/open-view/2395394000008463151?ZOHO_CRITERIA=%22Localiza%20CL%22.%22Codreg%22%20%3D%2015"/>
    <x v="32"/>
    <s v="#1774B9"/>
  </r>
  <r>
    <s v="1038"/>
    <n v="990"/>
    <s v="Agencia Información"/>
    <s v="Arte y cultura"/>
    <n v="16"/>
    <x v="56"/>
    <x v="8"/>
    <x v="1"/>
    <x v="16"/>
    <x v="3"/>
    <x v="14"/>
    <s v="Año 2021"/>
    <s v="Número de espacios culturales"/>
    <s v="Observatorio Cultural"/>
    <s v="Cantidad de Espacios Culturales por Categoría en la Región de Ñuble, Año 2021"/>
    <m/>
    <s v="Gráfico"/>
    <s v="Región de Ñuble espacio cultural cultura infraestructura categoría tipo biblioteca museo archivo"/>
    <s v="https://analytics.zoho.com/open-view/2395394000008463151?ZOHO_CRITERIA=%22Localiza%20CL%22.%22Codreg%22%20%3D%2016"/>
    <x v="33"/>
    <s v="#1774B9"/>
  </r>
  <r>
    <s v="1039"/>
    <n v="990"/>
    <s v="Agencia Información"/>
    <s v="Arte y cultura"/>
    <n v="0"/>
    <x v="58"/>
    <x v="8"/>
    <x v="0"/>
    <x v="0"/>
    <x v="3"/>
    <x v="14"/>
    <s v="Año 2021"/>
    <s v="Número de espacios culturales"/>
    <s v="Observatorio Cultural"/>
    <s v="Cantidad de Espacios Culturales por Estado de Mantención y Región en Chile, Año 2021"/>
    <s v="La mayoría de los espacios culturales en el país, se encuentra en buen estado de mantención. La región Metropolitana tiene 281 espacios en buen estado, seguido de Valparaíso, con 208, sin embargo Valparaíso es la región que posee la mayor cantidad de espacios culturales en estado Regular, con 62 espacios culturales en esta categoría."/>
    <s v="Gráfico"/>
    <s v="Chile espacio cultural cultura infraestructura estado mantención"/>
    <s v="https://analytics.zoho.com/open-view/2395394000008056334"/>
    <x v="17"/>
    <s v="#1774B9"/>
  </r>
  <r>
    <s v="1040"/>
    <n v="990"/>
    <s v="Agencia Información"/>
    <s v="Arte y cultura"/>
    <n v="1"/>
    <x v="58"/>
    <x v="8"/>
    <x v="1"/>
    <x v="1"/>
    <x v="3"/>
    <x v="14"/>
    <s v="Año 2021"/>
    <s v="Número de espacios culturales"/>
    <s v="Observatorio Cultural"/>
    <s v="Cantidad de Espacios Culturales por Estado de Mantención en la Región de Tarapacá, Año 2021"/>
    <m/>
    <s v="Gráfico"/>
    <s v="Región de Tarapacá espacio cultural cultura infraestructura estado mantención"/>
    <s v="https://analytics.zoho.com/open-view/2395394000008464286?ZOHO_CRITERIA=%22Espacios_Culturales_Completo%201%22.%22C%C3%B3digo_Regi%C3%B3n%22%20%3D%201"/>
    <x v="18"/>
    <s v="#1774B9"/>
  </r>
  <r>
    <s v="1041"/>
    <n v="990"/>
    <s v="Agencia Información"/>
    <s v="Arte y cultura"/>
    <n v="2"/>
    <x v="58"/>
    <x v="8"/>
    <x v="1"/>
    <x v="2"/>
    <x v="3"/>
    <x v="14"/>
    <s v="Año 2021"/>
    <s v="Número de espacios culturales"/>
    <s v="Observatorio Cultural"/>
    <s v="Cantidad de Espacios Culturales por Estado de Mantención en la Región de Antofagasta, Año 2021"/>
    <m/>
    <s v="Gráfico"/>
    <s v="Región de Antofagasta espacio cultural cultura infraestructura estado mantención"/>
    <s v="https://analytics.zoho.com/open-view/2395394000008464286?ZOHO_CRITERIA=%22Espacios_Culturales_Completo%201%22.%22C%C3%B3digo_Regi%C3%B3n%22%20%3D%202"/>
    <x v="19"/>
    <s v="#1774B9"/>
  </r>
  <r>
    <s v="1042"/>
    <n v="990"/>
    <s v="Agencia Información"/>
    <s v="Arte y cultura"/>
    <n v="3"/>
    <x v="58"/>
    <x v="8"/>
    <x v="1"/>
    <x v="3"/>
    <x v="3"/>
    <x v="14"/>
    <s v="Año 2021"/>
    <s v="Número de espacios culturales"/>
    <s v="Observatorio Cultural"/>
    <s v="Cantidad de Espacios Culturales por Estado de Mantención en la Región de Atacama, Año 2021"/>
    <m/>
    <s v="Gráfico"/>
    <s v="Región de Atacama espacio cultural cultura infraestructura estado mantención"/>
    <s v="https://analytics.zoho.com/open-view/2395394000008464286?ZOHO_CRITERIA=%22Espacios_Culturales_Completo%201%22.%22C%C3%B3digo_Regi%C3%B3n%22%20%3D%203"/>
    <x v="20"/>
    <s v="#1774B9"/>
  </r>
  <r>
    <s v="1043"/>
    <n v="990"/>
    <s v="Agencia Información"/>
    <s v="Arte y cultura"/>
    <n v="4"/>
    <x v="58"/>
    <x v="8"/>
    <x v="1"/>
    <x v="4"/>
    <x v="3"/>
    <x v="14"/>
    <s v="Año 2021"/>
    <s v="Número de espacios culturales"/>
    <s v="Observatorio Cultural"/>
    <s v="Cantidad de Espacios Culturales por Estado de Mantención en la Región de Coquimbo, Año 2021"/>
    <m/>
    <s v="Gráfico"/>
    <s v="Región de Coquimbo espacio cultural cultura infraestructura estado mantención"/>
    <s v="https://analytics.zoho.com/open-view/2395394000008464286?ZOHO_CRITERIA=%22Espacios_Culturales_Completo%201%22.%22C%C3%B3digo_Regi%C3%B3n%22%20%3D%204"/>
    <x v="21"/>
    <s v="#1774B9"/>
  </r>
  <r>
    <s v="1044"/>
    <n v="990"/>
    <s v="Agencia Información"/>
    <s v="Arte y cultura"/>
    <n v="5"/>
    <x v="58"/>
    <x v="8"/>
    <x v="1"/>
    <x v="5"/>
    <x v="3"/>
    <x v="14"/>
    <s v="Año 2021"/>
    <s v="Número de espacios culturales"/>
    <s v="Observatorio Cultural"/>
    <s v="Cantidad de Espacios Culturales por Estado de Mantención en la Región de Valparaíso, Año 2021"/>
    <m/>
    <s v="Gráfico"/>
    <s v="Región de Valparaíso espacio cultural cultura infraestructura estado mantención"/>
    <s v="https://analytics.zoho.com/open-view/2395394000008464286?ZOHO_CRITERIA=%22Espacios_Culturales_Completo%201%22.%22C%C3%B3digo_Regi%C3%B3n%22%20%3D%205"/>
    <x v="22"/>
    <s v="#1774B9"/>
  </r>
  <r>
    <s v="1045"/>
    <n v="990"/>
    <s v="Agencia Información"/>
    <s v="Arte y cultura"/>
    <n v="6"/>
    <x v="58"/>
    <x v="8"/>
    <x v="1"/>
    <x v="6"/>
    <x v="3"/>
    <x v="14"/>
    <s v="Año 2021"/>
    <s v="Número de espacios culturales"/>
    <s v="Observatorio Cultural"/>
    <s v="Cantidad de Espacios Culturales por Estado de Mantención en la Región de O'Higgins, Año 2021"/>
    <m/>
    <s v="Gráfico"/>
    <s v="Región de O'Higgins espacio cultural cultura infraestructura estado mantención"/>
    <s v="https://analytics.zoho.com/open-view/2395394000008464286?ZOHO_CRITERIA=%22Espacios_Culturales_Completo%201%22.%22C%C3%B3digo_Regi%C3%B3n%22%20%3D%206"/>
    <x v="23"/>
    <s v="#1774B9"/>
  </r>
  <r>
    <s v="1046"/>
    <n v="990"/>
    <s v="Agencia Información"/>
    <s v="Arte y cultura"/>
    <n v="7"/>
    <x v="58"/>
    <x v="8"/>
    <x v="1"/>
    <x v="7"/>
    <x v="3"/>
    <x v="14"/>
    <s v="Año 2021"/>
    <s v="Número de espacios culturales"/>
    <s v="Observatorio Cultural"/>
    <s v="Cantidad de Espacios Culturales por Estado de Mantención en la Región de Maule, Año 2021"/>
    <m/>
    <s v="Gráfico"/>
    <s v="Región de Maule espacio cultural cultura infraestructura estado mantención"/>
    <s v="https://analytics.zoho.com/open-view/2395394000008464286?ZOHO_CRITERIA=%22Espacios_Culturales_Completo%201%22.%22C%C3%B3digo_Regi%C3%B3n%22%20%3D%207"/>
    <x v="24"/>
    <s v="#1774B9"/>
  </r>
  <r>
    <s v="1047"/>
    <n v="990"/>
    <s v="Agencia Información"/>
    <s v="Arte y cultura"/>
    <n v="8"/>
    <x v="58"/>
    <x v="8"/>
    <x v="1"/>
    <x v="8"/>
    <x v="3"/>
    <x v="14"/>
    <s v="Año 2021"/>
    <s v="Número de espacios culturales"/>
    <s v="Observatorio Cultural"/>
    <s v="Cantidad de Espacios Culturales por Estado de Mantención en la Región del Biobío, Año 2021"/>
    <m/>
    <s v="Gráfico"/>
    <s v="Región del Biobío espacio cultural cultura infraestructura estado mantención"/>
    <s v="https://analytics.zoho.com/open-view/2395394000008464286?ZOHO_CRITERIA=%22Espacios_Culturales_Completo%201%22.%22C%C3%B3digo_Regi%C3%B3n%22%20%3D%208"/>
    <x v="25"/>
    <s v="#1774B9"/>
  </r>
  <r>
    <s v="1048"/>
    <n v="990"/>
    <s v="Agencia Información"/>
    <s v="Arte y cultura"/>
    <n v="9"/>
    <x v="58"/>
    <x v="8"/>
    <x v="1"/>
    <x v="9"/>
    <x v="3"/>
    <x v="14"/>
    <s v="Año 2021"/>
    <s v="Número de espacios culturales"/>
    <s v="Observatorio Cultural"/>
    <s v="Cantidad de Espacios Culturales por Estado de Mantención en la Región de La Araucanía, Año 2021"/>
    <m/>
    <s v="Gráfico"/>
    <s v="Región de La Araucanía espacio cultural cultura infraestructura estado mantención"/>
    <s v="https://analytics.zoho.com/open-view/2395394000008464286?ZOHO_CRITERIA=%22Espacios_Culturales_Completo%201%22.%22C%C3%B3digo_Regi%C3%B3n%22%20%3D%209"/>
    <x v="26"/>
    <s v="#1774B9"/>
  </r>
  <r>
    <s v="1049"/>
    <n v="990"/>
    <s v="Agencia Información"/>
    <s v="Arte y cultura"/>
    <n v="10"/>
    <x v="58"/>
    <x v="8"/>
    <x v="1"/>
    <x v="10"/>
    <x v="3"/>
    <x v="14"/>
    <s v="Año 2021"/>
    <s v="Número de espacios culturales"/>
    <s v="Observatorio Cultural"/>
    <s v="Cantidad de Espacios Culturales por Estado de Mantención en la Región de Los Lagos, Año 2021"/>
    <m/>
    <s v="Gráfico"/>
    <s v="Región de Los Lagos espacio cultural cultura infraestructura estado mantención"/>
    <s v="https://analytics.zoho.com/open-view/2395394000008464286?ZOHO_CRITERIA=%22Espacios_Culturales_Completo%201%22.%22C%C3%B3digo_Regi%C3%B3n%22%20%3D%2010"/>
    <x v="27"/>
    <s v="#1774B9"/>
  </r>
  <r>
    <s v="1050"/>
    <n v="990"/>
    <s v="Agencia Información"/>
    <s v="Arte y cultura"/>
    <n v="11"/>
    <x v="58"/>
    <x v="8"/>
    <x v="1"/>
    <x v="11"/>
    <x v="3"/>
    <x v="14"/>
    <s v="Año 2021"/>
    <s v="Número de espacios culturales"/>
    <s v="Observatorio Cultural"/>
    <s v="Cantidad de Espacios Culturales por Estado de Mantención en la Región de Aysén, Año 2021"/>
    <m/>
    <s v="Gráfico"/>
    <s v="Región de Aysén espacio cultural cultura infraestructura estado mantención"/>
    <s v="https://analytics.zoho.com/open-view/2395394000008464286?ZOHO_CRITERIA=%22Espacios_Culturales_Completo%201%22.%22C%C3%B3digo_Regi%C3%B3n%22%20%3D%2011"/>
    <x v="28"/>
    <s v="#1774B9"/>
  </r>
  <r>
    <s v="1051"/>
    <n v="990"/>
    <s v="Agencia Información"/>
    <s v="Arte y cultura"/>
    <n v="12"/>
    <x v="58"/>
    <x v="8"/>
    <x v="1"/>
    <x v="12"/>
    <x v="3"/>
    <x v="14"/>
    <s v="Año 2021"/>
    <s v="Número de espacios culturales"/>
    <s v="Observatorio Cultural"/>
    <s v="Cantidad de Espacios Culturales por Estado de Mantención en la Región de Magallanes, Año 2021"/>
    <m/>
    <s v="Gráfico"/>
    <s v="Región de Magallanes espacio cultural cultura infraestructura estado mantención"/>
    <s v="https://analytics.zoho.com/open-view/2395394000008464286?ZOHO_CRITERIA=%22Espacios_Culturales_Completo%201%22.%22C%C3%B3digo_Regi%C3%B3n%22%20%3D%2012"/>
    <x v="29"/>
    <s v="#1774B9"/>
  </r>
  <r>
    <s v="1052"/>
    <n v="990"/>
    <s v="Agencia Información"/>
    <s v="Arte y cultura"/>
    <n v="13"/>
    <x v="58"/>
    <x v="8"/>
    <x v="1"/>
    <x v="13"/>
    <x v="3"/>
    <x v="14"/>
    <s v="Año 2021"/>
    <s v="Número de espacios culturales"/>
    <s v="Observatorio Cultural"/>
    <s v="Cantidad de Espacios Culturales por Estado de Mantención en la Región Metropolitana, Año 2021"/>
    <m/>
    <s v="Gráfico"/>
    <s v="Región Metropolitana espacio cultural cultura infraestructura estado mantención"/>
    <s v="https://analytics.zoho.com/open-view/2395394000008464286?ZOHO_CRITERIA=%22Espacios_Culturales_Completo%201%22.%22C%C3%B3digo_Regi%C3%B3n%22%20%3D%2013"/>
    <x v="30"/>
    <s v="#1774B9"/>
  </r>
  <r>
    <s v="1053"/>
    <n v="990"/>
    <s v="Agencia Información"/>
    <s v="Arte y cultura"/>
    <n v="14"/>
    <x v="58"/>
    <x v="8"/>
    <x v="1"/>
    <x v="14"/>
    <x v="3"/>
    <x v="14"/>
    <s v="Año 2021"/>
    <s v="Número de espacios culturales"/>
    <s v="Observatorio Cultural"/>
    <s v="Cantidad de Espacios Culturales por Estado de Mantención en la Región de Los Ríos, Año 2021"/>
    <m/>
    <s v="Gráfico"/>
    <s v="Región de Los Ríos espacio cultural cultura infraestructura estado mantención"/>
    <s v="https://analytics.zoho.com/open-view/2395394000008464286?ZOHO_CRITERIA=%22Espacios_Culturales_Completo%201%22.%22C%C3%B3digo_Regi%C3%B3n%22%20%3D%2014"/>
    <x v="31"/>
    <s v="#1774B9"/>
  </r>
  <r>
    <s v="1054"/>
    <n v="990"/>
    <s v="Agencia Información"/>
    <s v="Arte y cultura"/>
    <n v="15"/>
    <x v="58"/>
    <x v="8"/>
    <x v="1"/>
    <x v="15"/>
    <x v="3"/>
    <x v="14"/>
    <s v="Año 2021"/>
    <s v="Número de espacios culturales"/>
    <s v="Observatorio Cultural"/>
    <s v="Cantidad de Espacios Culturales por Estado de Mantención en la Región de Arica y Parinacota, Año 2021"/>
    <m/>
    <s v="Gráfico"/>
    <s v="Región de Arica y Parinacota espacio cultural cultura infraestructura estado mantención"/>
    <s v="https://analytics.zoho.com/open-view/2395394000008464286?ZOHO_CRITERIA=%22Espacios_Culturales_Completo%201%22.%22C%C3%B3digo_Regi%C3%B3n%22%20%3D%2015"/>
    <x v="32"/>
    <s v="#1774B9"/>
  </r>
  <r>
    <s v="1055"/>
    <n v="990"/>
    <s v="Agencia Información"/>
    <s v="Arte y cultura"/>
    <n v="16"/>
    <x v="58"/>
    <x v="8"/>
    <x v="1"/>
    <x v="16"/>
    <x v="3"/>
    <x v="14"/>
    <s v="Año 2021"/>
    <s v="Número de espacios culturales"/>
    <s v="Observatorio Cultural"/>
    <s v="Cantidad de Espacios Culturales por Estado de Mantención en la Región de Ñuble, Año 2021"/>
    <m/>
    <s v="Gráfico"/>
    <s v="Región de Ñuble espacio cultural cultura infraestructura estado mantención"/>
    <s v="https://analytics.zoho.com/open-view/2395394000008464286?ZOHO_CRITERIA=%22Espacios_Culturales_Completo%201%22.%22C%C3%B3digo_Regi%C3%B3n%22%20%3D%2016"/>
    <x v="33"/>
    <s v="#1774B9"/>
  </r>
  <r>
    <s v="1056"/>
    <n v="990"/>
    <s v="Agencia Información"/>
    <s v="Arte y cultura"/>
    <n v="0"/>
    <x v="59"/>
    <x v="8"/>
    <x v="0"/>
    <x v="0"/>
    <x v="2"/>
    <x v="91"/>
    <s v="Año 2021"/>
    <s v="Lat-Long"/>
    <s v="Observatorio Cultural"/>
    <s v="Mapa de Espacios Culturales en Chile, Año 2021"/>
    <m/>
    <s v="Mapa "/>
    <s v="Chile espacio cultural cultura infraestructura ubicación latitud longitud"/>
    <s v="https://analytics.zoho.com/open-view/2395394000008056877"/>
    <x v="17"/>
    <s v="#1774B9"/>
  </r>
  <r>
    <s v="1057"/>
    <n v="990"/>
    <s v="Agencia Información"/>
    <s v="Arte y cultura"/>
    <n v="1"/>
    <x v="59"/>
    <x v="8"/>
    <x v="1"/>
    <x v="1"/>
    <x v="3"/>
    <x v="91"/>
    <s v="Año 2021"/>
    <s v="Lat-Long"/>
    <s v="Observatorio Cultural"/>
    <s v="Mapa de Espacios Culturales en la Región de Tarapacá, Año 2021"/>
    <m/>
    <s v="Mapa "/>
    <s v="Región de Tarapacá espacio cultural cultura infraestructura ubicación latitud longitud"/>
    <s v="https://analytics.zoho.com/open-view/2395394000008464353?ZOHO_CRITERIA=%22Espacios_Culturales_Completo%201%22.%22C%C3%B3digo_Regi%C3%B3n%22%20%3D%201"/>
    <x v="18"/>
    <s v="#1774B9"/>
  </r>
  <r>
    <s v="1058"/>
    <n v="990"/>
    <s v="Agencia Información"/>
    <s v="Arte y cultura"/>
    <n v="2"/>
    <x v="59"/>
    <x v="8"/>
    <x v="1"/>
    <x v="2"/>
    <x v="3"/>
    <x v="91"/>
    <s v="Año 2021"/>
    <s v="Lat-Long"/>
    <s v="Observatorio Cultural"/>
    <s v="Mapa de Espacios Culturales en la Región de Antofagasta, Año 2021"/>
    <m/>
    <s v="Mapa "/>
    <s v="Región de Antofagasta espacio cultural cultura infraestructura ubicación latitud longitud"/>
    <s v="https://analytics.zoho.com/open-view/2395394000008464353?ZOHO_CRITERIA=%22Espacios_Culturales_Completo%201%22.%22C%C3%B3digo_Regi%C3%B3n%22%20%3D%202"/>
    <x v="19"/>
    <s v="#1774B9"/>
  </r>
  <r>
    <s v="1059"/>
    <n v="990"/>
    <s v="Agencia Información"/>
    <s v="Arte y cultura"/>
    <n v="3"/>
    <x v="59"/>
    <x v="8"/>
    <x v="1"/>
    <x v="3"/>
    <x v="3"/>
    <x v="91"/>
    <s v="Año 2021"/>
    <s v="Lat-Long"/>
    <s v="Observatorio Cultural"/>
    <s v="Mapa de Espacios Culturales en la Región de Atacama, Año 2021"/>
    <m/>
    <s v="Mapa "/>
    <s v="Región de Atacama espacio cultural cultura infraestructura ubicación latitud longitud"/>
    <s v="https://analytics.zoho.com/open-view/2395394000008464353?ZOHO_CRITERIA=%22Espacios_Culturales_Completo%201%22.%22C%C3%B3digo_Regi%C3%B3n%22%20%3D%203"/>
    <x v="20"/>
    <s v="#1774B9"/>
  </r>
  <r>
    <s v="1060"/>
    <n v="990"/>
    <s v="Agencia Información"/>
    <s v="Arte y cultura"/>
    <n v="4"/>
    <x v="59"/>
    <x v="8"/>
    <x v="1"/>
    <x v="4"/>
    <x v="3"/>
    <x v="91"/>
    <s v="Año 2021"/>
    <s v="Lat-Long"/>
    <s v="Observatorio Cultural"/>
    <s v="Mapa de Espacios Culturales en la Región de Coquimbo, Año 2021"/>
    <m/>
    <s v="Mapa "/>
    <s v="Región de Coquimbo espacio cultural cultura infraestructura ubicación latitud longitud"/>
    <s v="https://analytics.zoho.com/open-view/2395394000008464353?ZOHO_CRITERIA=%22Espacios_Culturales_Completo%201%22.%22C%C3%B3digo_Regi%C3%B3n%22%20%3D%204"/>
    <x v="21"/>
    <s v="#1774B9"/>
  </r>
  <r>
    <s v="1061"/>
    <n v="990"/>
    <s v="Agencia Información"/>
    <s v="Arte y cultura"/>
    <n v="5"/>
    <x v="59"/>
    <x v="8"/>
    <x v="1"/>
    <x v="5"/>
    <x v="3"/>
    <x v="91"/>
    <s v="Año 2021"/>
    <s v="Lat-Long"/>
    <s v="Observatorio Cultural"/>
    <s v="Mapa de Espacios Culturales en la Región de Valparaíso, Año 2021"/>
    <m/>
    <s v="Mapa "/>
    <s v="Región de Valparaíso espacio cultural cultura infraestructura ubicación latitud longitud"/>
    <s v="https://analytics.zoho.com/open-view/2395394000008464353?ZOHO_CRITERIA=%22Espacios_Culturales_Completo%201%22.%22C%C3%B3digo_Regi%C3%B3n%22%20%3D%205"/>
    <x v="22"/>
    <s v="#1774B9"/>
  </r>
  <r>
    <s v="1062"/>
    <n v="990"/>
    <s v="Agencia Información"/>
    <s v="Arte y cultura"/>
    <n v="6"/>
    <x v="59"/>
    <x v="8"/>
    <x v="1"/>
    <x v="6"/>
    <x v="3"/>
    <x v="91"/>
    <s v="Año 2021"/>
    <s v="Lat-Long"/>
    <s v="Observatorio Cultural"/>
    <s v="Mapa de Espacios Culturales en la Región de O'Higgins, Año 2021"/>
    <m/>
    <s v="Mapa "/>
    <s v="Región de O'Higgins espacio cultural cultura infraestructura ubicación latitud longitud"/>
    <s v="https://analytics.zoho.com/open-view/2395394000008464353?ZOHO_CRITERIA=%22Espacios_Culturales_Completo%201%22.%22C%C3%B3digo_Regi%C3%B3n%22%20%3D%206"/>
    <x v="23"/>
    <s v="#1774B9"/>
  </r>
  <r>
    <s v="1063"/>
    <n v="990"/>
    <s v="Agencia Información"/>
    <s v="Arte y cultura"/>
    <n v="7"/>
    <x v="59"/>
    <x v="8"/>
    <x v="1"/>
    <x v="7"/>
    <x v="3"/>
    <x v="91"/>
    <s v="Año 2021"/>
    <s v="Lat-Long"/>
    <s v="Observatorio Cultural"/>
    <s v="Mapa de Espacios Culturales en la Región de Maule, Año 2021"/>
    <m/>
    <s v="Mapa "/>
    <s v="Región de Maule espacio cultural cultura infraestructura ubicación latitud longitud"/>
    <s v="https://analytics.zoho.com/open-view/2395394000008464353?ZOHO_CRITERIA=%22Espacios_Culturales_Completo%201%22.%22C%C3%B3digo_Regi%C3%B3n%22%20%3D%207"/>
    <x v="24"/>
    <s v="#1774B9"/>
  </r>
  <r>
    <s v="1064"/>
    <n v="990"/>
    <s v="Agencia Información"/>
    <s v="Arte y cultura"/>
    <n v="8"/>
    <x v="59"/>
    <x v="8"/>
    <x v="1"/>
    <x v="8"/>
    <x v="3"/>
    <x v="91"/>
    <s v="Año 2021"/>
    <s v="Lat-Long"/>
    <s v="Observatorio Cultural"/>
    <s v="Mapa de Espacios Culturales en la Región del Biobío, Año 2021"/>
    <m/>
    <s v="Mapa "/>
    <s v="Región del Biobío espacio cultural cultura infraestructura ubicación latitud longitud"/>
    <s v="https://analytics.zoho.com/open-view/2395394000008464353?ZOHO_CRITERIA=%22Espacios_Culturales_Completo%201%22.%22C%C3%B3digo_Regi%C3%B3n%22%20%3D%208"/>
    <x v="25"/>
    <s v="#1774B9"/>
  </r>
  <r>
    <s v="1065"/>
    <n v="990"/>
    <s v="Agencia Información"/>
    <s v="Arte y cultura"/>
    <n v="9"/>
    <x v="59"/>
    <x v="8"/>
    <x v="1"/>
    <x v="9"/>
    <x v="3"/>
    <x v="91"/>
    <s v="Año 2021"/>
    <s v="Lat-Long"/>
    <s v="Observatorio Cultural"/>
    <s v="Mapa de Espacios Culturales en la Región de La Araucanía, Año 2021"/>
    <m/>
    <s v="Mapa "/>
    <s v="Región de La Araucanía espacio cultural cultura infraestructura ubicación latitud longitud"/>
    <s v="https://analytics.zoho.com/open-view/2395394000008464353?ZOHO_CRITERIA=%22Espacios_Culturales_Completo%201%22.%22C%C3%B3digo_Regi%C3%B3n%22%20%3D%209"/>
    <x v="26"/>
    <s v="#1774B9"/>
  </r>
  <r>
    <s v="1066"/>
    <n v="990"/>
    <s v="Agencia Información"/>
    <s v="Arte y cultura"/>
    <n v="10"/>
    <x v="59"/>
    <x v="8"/>
    <x v="1"/>
    <x v="10"/>
    <x v="3"/>
    <x v="91"/>
    <s v="Año 2021"/>
    <s v="Lat-Long"/>
    <s v="Observatorio Cultural"/>
    <s v="Mapa de Espacios Culturales en la Región de Los Lagos, Año 2021"/>
    <m/>
    <s v="Mapa "/>
    <s v="Región de Los Lagos espacio cultural cultura infraestructura ubicación latitud longitud"/>
    <s v="https://analytics.zoho.com/open-view/2395394000008464353?ZOHO_CRITERIA=%22Espacios_Culturales_Completo%201%22.%22C%C3%B3digo_Regi%C3%B3n%22%20%3D%2010"/>
    <x v="27"/>
    <s v="#1774B9"/>
  </r>
  <r>
    <s v="1067"/>
    <n v="990"/>
    <s v="Agencia Información"/>
    <s v="Arte y cultura"/>
    <n v="11"/>
    <x v="59"/>
    <x v="8"/>
    <x v="1"/>
    <x v="11"/>
    <x v="3"/>
    <x v="91"/>
    <s v="Año 2021"/>
    <s v="Lat-Long"/>
    <s v="Observatorio Cultural"/>
    <s v="Mapa de Espacios Culturales en la Región de Aysén, Año 2021"/>
    <m/>
    <s v="Mapa "/>
    <s v="Región de Aysén espacio cultural cultura infraestructura ubicación latitud longitud"/>
    <s v="https://analytics.zoho.com/open-view/2395394000008464353?ZOHO_CRITERIA=%22Espacios_Culturales_Completo%201%22.%22C%C3%B3digo_Regi%C3%B3n%22%20%3D%2011"/>
    <x v="28"/>
    <s v="#1774B9"/>
  </r>
  <r>
    <s v="1068"/>
    <n v="990"/>
    <s v="Agencia Información"/>
    <s v="Arte y cultura"/>
    <n v="12"/>
    <x v="59"/>
    <x v="8"/>
    <x v="1"/>
    <x v="12"/>
    <x v="3"/>
    <x v="91"/>
    <s v="Año 2021"/>
    <s v="Lat-Long"/>
    <s v="Observatorio Cultural"/>
    <s v="Mapa de Espacios Culturales en la Región de Magallanes, Año 2021"/>
    <m/>
    <s v="Mapa "/>
    <s v="Región de Magallanes espacio cultural cultura infraestructura ubicación latitud longitud"/>
    <s v="https://analytics.zoho.com/open-view/2395394000008464353?ZOHO_CRITERIA=%22Espacios_Culturales_Completo%201%22.%22C%C3%B3digo_Regi%C3%B3n%22%20%3D%2012"/>
    <x v="29"/>
    <s v="#1774B9"/>
  </r>
  <r>
    <s v="1069"/>
    <n v="990"/>
    <s v="Agencia Información"/>
    <s v="Arte y cultura"/>
    <n v="13"/>
    <x v="59"/>
    <x v="8"/>
    <x v="1"/>
    <x v="13"/>
    <x v="3"/>
    <x v="91"/>
    <s v="Año 2021"/>
    <s v="Lat-Long"/>
    <s v="Observatorio Cultural"/>
    <s v="Mapa de Espacios Culturales en la Región Metropolitana, Año 2021"/>
    <m/>
    <s v="Mapa "/>
    <s v="Región Metropolitana espacio cultural cultura infraestructura ubicación latitud longitud"/>
    <s v="https://analytics.zoho.com/open-view/2395394000008464353?ZOHO_CRITERIA=%22Espacios_Culturales_Completo%201%22.%22C%C3%B3digo_Regi%C3%B3n%22%20%3D%2013"/>
    <x v="30"/>
    <s v="#1774B9"/>
  </r>
  <r>
    <s v="1070"/>
    <n v="990"/>
    <s v="Agencia Información"/>
    <s v="Arte y cultura"/>
    <n v="14"/>
    <x v="59"/>
    <x v="8"/>
    <x v="1"/>
    <x v="14"/>
    <x v="3"/>
    <x v="91"/>
    <s v="Año 2021"/>
    <s v="Lat-Long"/>
    <s v="Observatorio Cultural"/>
    <s v="Mapa de Espacios Culturales en la Región de Los Ríos, Año 2021"/>
    <m/>
    <s v="Mapa "/>
    <s v="Región de Los Ríos espacio cultural cultura infraestructura ubicación latitud longitud"/>
    <s v="https://analytics.zoho.com/open-view/2395394000008464353?ZOHO_CRITERIA=%22Espacios_Culturales_Completo%201%22.%22C%C3%B3digo_Regi%C3%B3n%22%20%3D%2014"/>
    <x v="31"/>
    <s v="#1774B9"/>
  </r>
  <r>
    <s v="1071"/>
    <n v="990"/>
    <s v="Agencia Información"/>
    <s v="Arte y cultura"/>
    <n v="15"/>
    <x v="59"/>
    <x v="8"/>
    <x v="1"/>
    <x v="15"/>
    <x v="3"/>
    <x v="91"/>
    <s v="Año 2021"/>
    <s v="Lat-Long"/>
    <s v="Observatorio Cultural"/>
    <s v="Mapa de Espacios Culturales en la Región de Arica y Parinacota, Año 2021"/>
    <m/>
    <s v="Mapa "/>
    <s v="Región de Arica y Parinacota espacio cultural cultura infraestructura ubicación latitud longitud"/>
    <s v="https://analytics.zoho.com/open-view/2395394000008464353?ZOHO_CRITERIA=%22Espacios_Culturales_Completo%201%22.%22C%C3%B3digo_Regi%C3%B3n%22%20%3D%2015"/>
    <x v="32"/>
    <s v="#1774B9"/>
  </r>
  <r>
    <s v="1072"/>
    <n v="990"/>
    <s v="Agencia Información"/>
    <s v="Arte y cultura"/>
    <n v="16"/>
    <x v="59"/>
    <x v="8"/>
    <x v="1"/>
    <x v="16"/>
    <x v="3"/>
    <x v="91"/>
    <s v="Año 2021"/>
    <s v="Lat-Long"/>
    <s v="Observatorio Cultural"/>
    <s v="Mapa de Espacios Culturales en la Región de Ñuble, Año 2021"/>
    <m/>
    <s v="Mapa "/>
    <s v="Región de Ñuble espacio cultural cultura infraestructura ubicación latitud longitud"/>
    <s v="https://analytics.zoho.com/open-view/2395394000008464353?ZOHO_CRITERIA=%22Espacios_Culturales_Completo%201%22.%22C%C3%B3digo_Regi%C3%B3n%22%20%3D%2016"/>
    <x v="33"/>
    <s v="#1774B9"/>
  </r>
  <r>
    <s v="1073"/>
    <n v="990"/>
    <s v="Agencia Información"/>
    <s v="Mujeres"/>
    <n v="0"/>
    <x v="24"/>
    <x v="13"/>
    <x v="0"/>
    <x v="0"/>
    <x v="0"/>
    <x v="92"/>
    <s v="Periodo 2011-2018"/>
    <s v="Número de Casos"/>
    <s v="Departamento de Estadísticas e Información de la Salud (DEIS) - Ministerio de Salud"/>
    <s v="Población en Control del Programa de Cáncer de Cuello Uterino por Rango Etario en Chile, Periodo 2011-2018"/>
    <s v="El rango etario que presentó la mayor cantidad de casos acumulados de Cáncer de cuello Uterino, en el periodo 2011 al 2018, fue el de &quot;65 y más años&quot;, con 293 casos , seguido del rango etario &quot;55-59&quot;. Por otro lado, el rango etario con la menor cantidad de casos fue el clasificados como &quot;menor de 25&quot;, alcanzando 72 casos para todo el periodo, sin embargo este rango etario, el año 2018, presenta un incremento considerable de casos."/>
    <s v="Gráfico de Evolución"/>
    <s v="Chile cáncer cuello uterino cérvico útero  salud PAP Papanicolaou casos control población edad rango etáreo"/>
    <s v="https://analytics.zoho.com/open-view/2395394000008099175"/>
    <x v="0"/>
    <s v="#1774B9"/>
  </r>
  <r>
    <s v="1074"/>
    <n v="990"/>
    <s v="Agencia Información"/>
    <s v="Mujeres"/>
    <n v="1"/>
    <x v="24"/>
    <x v="13"/>
    <x v="1"/>
    <x v="1"/>
    <x v="1"/>
    <x v="92"/>
    <s v="Periodo 2011-2018"/>
    <s v="Número de Casos"/>
    <s v="Departamento de Estadísticas e Información de la Salud (DEIS) - Ministerio de Salud"/>
    <s v="Población en Control del Programa de Cáncer de Cuello Uterino por Rango Etario en la Región de Tarapacá, Periodo 2011-2018"/>
    <m/>
    <s v="Gráfico de Evolución"/>
    <s v="Región de Tarapacá cáncer cuello uterino cérvico útero  salud PAP Papanicolaou casos control población edad rango etáreo"/>
    <s v="https://analytics.zoho.com/open-view/2395394000008463005?ZOHO_CRITERIA=%22Localiza%20CL%22.%22Codreg%22%20%3D%201"/>
    <x v="1"/>
    <s v="#1774B9"/>
  </r>
  <r>
    <s v="1075"/>
    <n v="990"/>
    <s v="Agencia Información"/>
    <s v="Mujeres"/>
    <n v="2"/>
    <x v="24"/>
    <x v="13"/>
    <x v="1"/>
    <x v="2"/>
    <x v="1"/>
    <x v="92"/>
    <s v="Periodo 2011-2018"/>
    <s v="Número de Casos"/>
    <s v="Departamento de Estadísticas e Información de la Salud (DEIS) - Ministerio de Salud"/>
    <s v="Población en Control del Programa de Cáncer de Cuello Uterino por Rango Etario en la Región de Antofagasta, Periodo 2011-2018"/>
    <m/>
    <s v="Gráfico de Evolución"/>
    <s v="Región de Antofagasta cáncer cuello uterino cérvico útero  salud PAP Papanicolaou casos control población edad rango etáreo"/>
    <s v="https://analytics.zoho.com/open-view/2395394000008463005?ZOHO_CRITERIA=%22Localiza%20CL%22.%22Codreg%22%20%3D%202"/>
    <x v="2"/>
    <s v="#1774B9"/>
  </r>
  <r>
    <s v="1076"/>
    <n v="990"/>
    <s v="Agencia Información"/>
    <s v="Mujeres"/>
    <n v="3"/>
    <x v="24"/>
    <x v="13"/>
    <x v="1"/>
    <x v="3"/>
    <x v="1"/>
    <x v="92"/>
    <s v="Periodo 2011-2018"/>
    <s v="Número de Casos"/>
    <s v="Departamento de Estadísticas e Información de la Salud (DEIS) - Ministerio de Salud"/>
    <s v="Población en Control del Programa de Cáncer de Cuello Uterino por Rango Etario en la Región de Atacama, Periodo 2011-2018"/>
    <m/>
    <s v="Gráfico de Evolución"/>
    <s v="Región de Atacama cáncer cuello uterino cérvico útero  salud PAP Papanicolaou casos control población edad rango etáreo"/>
    <s v="https://analytics.zoho.com/open-view/2395394000008463005?ZOHO_CRITERIA=%22Localiza%20CL%22.%22Codreg%22%20%3D%203"/>
    <x v="3"/>
    <s v="#1774B9"/>
  </r>
  <r>
    <s v="1077"/>
    <n v="990"/>
    <s v="Agencia Información"/>
    <s v="Mujeres"/>
    <n v="4"/>
    <x v="24"/>
    <x v="13"/>
    <x v="1"/>
    <x v="4"/>
    <x v="1"/>
    <x v="92"/>
    <s v="Periodo 2011-2018"/>
    <s v="Número de Casos"/>
    <s v="Departamento de Estadísticas e Información de la Salud (DEIS) - Ministerio de Salud"/>
    <s v="Población en Control del Programa de Cáncer de Cuello Uterino por Rango Etario en la Región de Coquimbo, Periodo 2011-2018"/>
    <m/>
    <s v="Gráfico de Evolución"/>
    <s v="Región de Coquimbo cáncer cuello uterino cérvico útero  salud PAP Papanicolaou casos control población edad rango etáreo"/>
    <s v="https://analytics.zoho.com/open-view/2395394000008463005?ZOHO_CRITERIA=%22Localiza%20CL%22.%22Codreg%22%20%3D%204"/>
    <x v="4"/>
    <s v="#1774B9"/>
  </r>
  <r>
    <s v="1078"/>
    <n v="990"/>
    <s v="Agencia Información"/>
    <s v="Mujeres"/>
    <n v="5"/>
    <x v="24"/>
    <x v="13"/>
    <x v="1"/>
    <x v="5"/>
    <x v="1"/>
    <x v="92"/>
    <s v="Periodo 2011-2018"/>
    <s v="Número de Casos"/>
    <s v="Departamento de Estadísticas e Información de la Salud (DEIS) - Ministerio de Salud"/>
    <s v="Población en Control del Programa de Cáncer de Cuello Uterino por Rango Etario en la Región de Valparaíso, Periodo 2011-2018"/>
    <m/>
    <s v="Gráfico de Evolución"/>
    <s v="Región de Valparaíso cáncer cuello uterino cérvico útero  salud PAP Papanicolaou casos control población edad rango etáreo"/>
    <s v="https://analytics.zoho.com/open-view/2395394000008463005?ZOHO_CRITERIA=%22Localiza%20CL%22.%22Codreg%22%20%3D%205"/>
    <x v="5"/>
    <s v="#1774B9"/>
  </r>
  <r>
    <s v="1079"/>
    <n v="990"/>
    <s v="Agencia Información"/>
    <s v="Mujeres"/>
    <n v="6"/>
    <x v="24"/>
    <x v="13"/>
    <x v="1"/>
    <x v="6"/>
    <x v="1"/>
    <x v="92"/>
    <s v="Periodo 2011-2018"/>
    <s v="Número de Casos"/>
    <s v="Departamento de Estadísticas e Información de la Salud (DEIS) - Ministerio de Salud"/>
    <s v="Población en Control del Programa de Cáncer de Cuello Uterino por Rango Etario en la Región de O'Higgins, Periodo 2011-2018"/>
    <m/>
    <s v="Gráfico de Evolución"/>
    <s v="Región de O'Higgins cáncer cuello uterino cérvico útero  salud PAP Papanicolaou casos control población edad rango etáreo"/>
    <s v="https://analytics.zoho.com/open-view/2395394000008463005?ZOHO_CRITERIA=%22Localiza%20CL%22.%22Codreg%22%20%3D%206"/>
    <x v="6"/>
    <s v="#1774B9"/>
  </r>
  <r>
    <s v="1080"/>
    <n v="990"/>
    <s v="Agencia Información"/>
    <s v="Mujeres"/>
    <n v="7"/>
    <x v="24"/>
    <x v="13"/>
    <x v="1"/>
    <x v="7"/>
    <x v="1"/>
    <x v="92"/>
    <s v="Periodo 2011-2018"/>
    <s v="Número de Casos"/>
    <s v="Departamento de Estadísticas e Información de la Salud (DEIS) - Ministerio de Salud"/>
    <s v="Población en Control del Programa de Cáncer de Cuello Uterino por Rango Etario en la Región de Maule, Periodo 2011-2018"/>
    <m/>
    <s v="Gráfico de Evolución"/>
    <s v="Región de Maule cáncer cuello uterino cérvico útero  salud PAP Papanicolaou casos control población edad rango etáreo"/>
    <s v="https://analytics.zoho.com/open-view/2395394000008463005?ZOHO_CRITERIA=%22Localiza%20CL%22.%22Codreg%22%20%3D%207"/>
    <x v="7"/>
    <s v="#1774B9"/>
  </r>
  <r>
    <s v="1081"/>
    <n v="990"/>
    <s v="Agencia Información"/>
    <s v="Mujeres"/>
    <n v="8"/>
    <x v="24"/>
    <x v="13"/>
    <x v="1"/>
    <x v="8"/>
    <x v="1"/>
    <x v="92"/>
    <s v="Periodo 2011-2018"/>
    <s v="Número de Casos"/>
    <s v="Departamento de Estadísticas e Información de la Salud (DEIS) - Ministerio de Salud"/>
    <s v="Población en Control del Programa de Cáncer de Cuello Uterino por Rango Etario en la Región del Biobío, Periodo 2011-2018"/>
    <m/>
    <s v="Gráfico de Evolución"/>
    <s v="Región del Biobío cáncer cuello uterino cérvico útero  salud PAP Papanicolaou casos control población edad rango etáreo"/>
    <s v="https://analytics.zoho.com/open-view/2395394000008463005?ZOHO_CRITERIA=%22Localiza%20CL%22.%22Codreg%22%20%3D%208"/>
    <x v="8"/>
    <s v="#1774B9"/>
  </r>
  <r>
    <s v="1082"/>
    <n v="990"/>
    <s v="Agencia Información"/>
    <s v="Mujeres"/>
    <n v="9"/>
    <x v="24"/>
    <x v="13"/>
    <x v="1"/>
    <x v="9"/>
    <x v="1"/>
    <x v="92"/>
    <s v="Periodo 2011-2018"/>
    <s v="Número de Casos"/>
    <s v="Departamento de Estadísticas e Información de la Salud (DEIS) - Ministerio de Salud"/>
    <s v="Población en Control del Programa de Cáncer de Cuello Uterino por Rango Etario en la Región de La Araucanía, Periodo 2011-2018"/>
    <m/>
    <s v="Gráfico de Evolución"/>
    <s v="Región de La Araucanía cáncer cuello uterino cérvico útero  salud PAP Papanicolaou casos control población edad rango etáreo"/>
    <s v="https://analytics.zoho.com/open-view/2395394000008463005?ZOHO_CRITERIA=%22Localiza%20CL%22.%22Codreg%22%20%3D%209"/>
    <x v="9"/>
    <s v="#1774B9"/>
  </r>
  <r>
    <s v="1083"/>
    <n v="990"/>
    <s v="Agencia Información"/>
    <s v="Mujeres"/>
    <n v="10"/>
    <x v="24"/>
    <x v="13"/>
    <x v="1"/>
    <x v="10"/>
    <x v="1"/>
    <x v="92"/>
    <s v="Periodo 2011-2018"/>
    <s v="Número de Casos"/>
    <s v="Departamento de Estadísticas e Información de la Salud (DEIS) - Ministerio de Salud"/>
    <s v="Población en Control del Programa de Cáncer de Cuello Uterino por Rango Etario en la Región de Los Lagos, Periodo 2011-2018"/>
    <m/>
    <s v="Gráfico de Evolución"/>
    <s v="Región de Los Lagos cáncer cuello uterino cérvico útero  salud PAP Papanicolaou casos control población edad rango etáreo"/>
    <s v="https://analytics.zoho.com/open-view/2395394000008463005?ZOHO_CRITERIA=%22Localiza%20CL%22.%22Codreg%22%20%3D%2010"/>
    <x v="10"/>
    <s v="#1774B9"/>
  </r>
  <r>
    <s v="1084"/>
    <n v="990"/>
    <s v="Agencia Información"/>
    <s v="Mujeres"/>
    <n v="11"/>
    <x v="24"/>
    <x v="13"/>
    <x v="1"/>
    <x v="11"/>
    <x v="1"/>
    <x v="92"/>
    <s v="Periodo 2011-2018"/>
    <s v="Número de Casos"/>
    <s v="Departamento de Estadísticas e Información de la Salud (DEIS) - Ministerio de Salud"/>
    <s v="Población en Control del Programa de Cáncer de Cuello Uterino por Rango Etario en la Región de Aysén, Periodo 2011-2018"/>
    <m/>
    <s v="Gráfico de Evolución"/>
    <s v="Región de Aysén cáncer cuello uterino cérvico útero  salud PAP Papanicolaou casos control población edad rango etáreo"/>
    <s v="https://analytics.zoho.com/open-view/2395394000008463005?ZOHO_CRITERIA=%22Localiza%20CL%22.%22Codreg%22%20%3D%2011"/>
    <x v="11"/>
    <s v="#1774B9"/>
  </r>
  <r>
    <s v="1085"/>
    <n v="990"/>
    <s v="Agencia Información"/>
    <s v="Mujeres"/>
    <n v="12"/>
    <x v="24"/>
    <x v="13"/>
    <x v="1"/>
    <x v="12"/>
    <x v="1"/>
    <x v="92"/>
    <s v="Periodo 2011-2018"/>
    <s v="Número de Casos"/>
    <s v="Departamento de Estadísticas e Información de la Salud (DEIS) - Ministerio de Salud"/>
    <s v="Población en Control del Programa de Cáncer de Cuello Uterino por Rango Etario en la Región de Magallanes, Periodo 2011-2018"/>
    <m/>
    <s v="Gráfico de Evolución"/>
    <s v="Región de Magallanes cáncer cuello uterino cérvico útero  salud PAP Papanicolaou casos control población edad rango etáreo"/>
    <s v="https://analytics.zoho.com/open-view/2395394000008463005?ZOHO_CRITERIA=%22Localiza%20CL%22.%22Codreg%22%20%3D%2012"/>
    <x v="12"/>
    <s v="#1774B9"/>
  </r>
  <r>
    <s v="1086"/>
    <n v="990"/>
    <s v="Agencia Información"/>
    <s v="Mujeres"/>
    <n v="13"/>
    <x v="24"/>
    <x v="13"/>
    <x v="1"/>
    <x v="13"/>
    <x v="1"/>
    <x v="92"/>
    <s v="Periodo 2011-2018"/>
    <s v="Número de Casos"/>
    <s v="Departamento de Estadísticas e Información de la Salud (DEIS) - Ministerio de Salud"/>
    <s v="Población en Control del Programa de Cáncer de Cuello Uterino por Rango Etario en la Región Metropolitana, Periodo 2011-2018"/>
    <m/>
    <s v="Gráfico de Evolución"/>
    <s v="Región Metropolitana cáncer cuello uterino cérvico útero  salud PAP Papanicolaou casos control población edad rango etáreo"/>
    <s v="https://analytics.zoho.com/open-view/2395394000008463005?ZOHO_CRITERIA=%22Localiza%20CL%22.%22Codreg%22%20%3D%2013"/>
    <x v="13"/>
    <s v="#1774B9"/>
  </r>
  <r>
    <s v="1087"/>
    <n v="990"/>
    <s v="Agencia Información"/>
    <s v="Mujeres"/>
    <n v="14"/>
    <x v="24"/>
    <x v="13"/>
    <x v="1"/>
    <x v="14"/>
    <x v="1"/>
    <x v="92"/>
    <s v="Periodo 2011-2018"/>
    <s v="Número de Casos"/>
    <s v="Departamento de Estadísticas e Información de la Salud (DEIS) - Ministerio de Salud"/>
    <s v="Población en Control del Programa de Cáncer de Cuello Uterino por Rango Etario en la Región de Los Ríos, Periodo 2011-2018"/>
    <m/>
    <s v="Gráfico de Evolución"/>
    <s v="Región de Los Ríos cáncer cuello uterino cérvico útero  salud PAP Papanicolaou casos control población edad rango etáreo"/>
    <s v="https://analytics.zoho.com/open-view/2395394000008463005?ZOHO_CRITERIA=%22Localiza%20CL%22.%22Codreg%22%20%3D%2014"/>
    <x v="14"/>
    <s v="#1774B9"/>
  </r>
  <r>
    <s v="1088"/>
    <n v="990"/>
    <s v="Agencia Información"/>
    <s v="Mujeres"/>
    <n v="15"/>
    <x v="24"/>
    <x v="13"/>
    <x v="1"/>
    <x v="15"/>
    <x v="1"/>
    <x v="92"/>
    <s v="Periodo 2011-2018"/>
    <s v="Número de Casos"/>
    <s v="Departamento de Estadísticas e Información de la Salud (DEIS) - Ministerio de Salud"/>
    <s v="Población en Control del Programa de Cáncer de Cuello Uterino por Rango Etario en la Región de Arica y Parinacota, Periodo 2011-2018"/>
    <m/>
    <s v="Gráfico de Evolución"/>
    <s v="Región de Arica y Parinacota cáncer cuello uterino cérvico útero  salud PAP Papanicolaou casos control población edad rango etáreo"/>
    <s v="https://analytics.zoho.com/open-view/2395394000008463005?ZOHO_CRITERIA=%22Localiza%20CL%22.%22Codreg%22%20%3D%2015"/>
    <x v="15"/>
    <s v="#1774B9"/>
  </r>
  <r>
    <s v="1089"/>
    <n v="990"/>
    <s v="Agencia Información"/>
    <s v="Mujeres"/>
    <n v="16"/>
    <x v="24"/>
    <x v="13"/>
    <x v="1"/>
    <x v="16"/>
    <x v="1"/>
    <x v="92"/>
    <s v="Periodo 2011-2018"/>
    <s v="Número de Casos"/>
    <s v="Departamento de Estadísticas e Información de la Salud (DEIS) - Ministerio de Salud"/>
    <s v="Población en Control del Programa de Cáncer de Cuello Uterino por Rango Etario en la Región de Ñuble, Periodo 2011-2018"/>
    <m/>
    <s v="Gráfico de Evolución"/>
    <s v="Región de Ñuble cáncer cuello uterino cérvico útero  salud PAP Papanicolaou casos control población edad rango etáreo"/>
    <s v="https://analytics.zoho.com/open-view/2395394000008463005?ZOHO_CRITERIA=%22Localiza%20CL%22.%22Codreg%22%20%3D%2016"/>
    <x v="16"/>
    <s v="#1774B9"/>
  </r>
  <r>
    <s v="1090"/>
    <n v="990"/>
    <s v="Agencia Información"/>
    <s v="Mujeres"/>
    <n v="0"/>
    <x v="24"/>
    <x v="13"/>
    <x v="0"/>
    <x v="0"/>
    <x v="1"/>
    <x v="93"/>
    <s v="Periodo 2011-2018"/>
    <s v="Número de Casos"/>
    <s v="Departamento de Estadísticas e Información de la Salud (DEIS) - Ministerio de Salud"/>
    <s v="Población en Control del Programa de Cáncer de Cuello Uterino por Región en Chile, Periodo 2011-2018"/>
    <m/>
    <s v="Gráfico de Evolución"/>
    <s v="Chile cáncer cuello uterino cérvico útero salud PAP papanicolaou casos control población"/>
    <s v="https://analytics.zoho.com/open-view/2395394000008099329"/>
    <x v="0"/>
    <s v="#1774B9"/>
  </r>
  <r>
    <s v="1091"/>
    <n v="990"/>
    <s v="Agencia Información"/>
    <s v="Mujeres"/>
    <n v="1"/>
    <x v="24"/>
    <x v="13"/>
    <x v="1"/>
    <x v="1"/>
    <x v="1"/>
    <x v="93"/>
    <s v="Periodo 2011-2018"/>
    <s v="Número de Casos"/>
    <s v="Departamento de Estadísticas e Información de la Salud (DEIS) - Ministerio de Salud"/>
    <s v="Población en Control del Programa de Cáncer de Cuello Uterino en la Región de Tarapacá, Periodo 2011-2018"/>
    <m/>
    <s v="Gráfico de Evolución"/>
    <s v="Región de Tarapacá cáncer cuello uterino cérvico útero salud PAP papanicolaou casos control población"/>
    <s v="https://analytics.zoho.com/open-view/2395394000008099329?ZOHO_CRITERIA=%22Localiza%20CL%22.%22Codreg%22%20%3D%201"/>
    <x v="1"/>
    <s v="#1774B9"/>
  </r>
  <r>
    <s v="1092"/>
    <n v="990"/>
    <s v="Agencia Información"/>
    <s v="Mujeres"/>
    <n v="2"/>
    <x v="24"/>
    <x v="13"/>
    <x v="1"/>
    <x v="2"/>
    <x v="1"/>
    <x v="93"/>
    <s v="Periodo 2011-2018"/>
    <s v="Número de Casos"/>
    <s v="Departamento de Estadísticas e Información de la Salud (DEIS) - Ministerio de Salud"/>
    <s v="Población en Control del Programa de Cáncer de Cuello Uterino en la Región de Antofagasta, Periodo 2011-2018"/>
    <m/>
    <s v="Gráfico de Evolución"/>
    <s v="Región de Antofagasta cáncer cuello uterino cérvico útero salud PAP papanicolaou casos control población"/>
    <s v="https://analytics.zoho.com/open-view/2395394000008099329?ZOHO_CRITERIA=%22Localiza%20CL%22.%22Codreg%22%20%3D%202"/>
    <x v="2"/>
    <s v="#1774B9"/>
  </r>
  <r>
    <s v="1093"/>
    <n v="990"/>
    <s v="Agencia Información"/>
    <s v="Mujeres"/>
    <n v="3"/>
    <x v="24"/>
    <x v="13"/>
    <x v="1"/>
    <x v="3"/>
    <x v="1"/>
    <x v="93"/>
    <s v="Periodo 2011-2018"/>
    <s v="Número de Casos"/>
    <s v="Departamento de Estadísticas e Información de la Salud (DEIS) - Ministerio de Salud"/>
    <s v="Población en Control del Programa de Cáncer de Cuello Uterino en la Región de Atacama, Periodo 2011-2018"/>
    <m/>
    <s v="Gráfico de Evolución"/>
    <s v="Región de Atacama cáncer cuello uterino cérvico útero salud PAP papanicolaou casos control población"/>
    <s v="https://analytics.zoho.com/open-view/2395394000008099329?ZOHO_CRITERIA=%22Localiza%20CL%22.%22Codreg%22%20%3D%203"/>
    <x v="3"/>
    <s v="#1774B9"/>
  </r>
  <r>
    <s v="1094"/>
    <n v="990"/>
    <s v="Agencia Información"/>
    <s v="Mujeres"/>
    <n v="4"/>
    <x v="24"/>
    <x v="13"/>
    <x v="1"/>
    <x v="4"/>
    <x v="1"/>
    <x v="93"/>
    <s v="Periodo 2011-2018"/>
    <s v="Número de Casos"/>
    <s v="Departamento de Estadísticas e Información de la Salud (DEIS) - Ministerio de Salud"/>
    <s v="Población en Control del Programa de Cáncer de Cuello Uterino en la Región de Coquimbo, Periodo 2011-2018"/>
    <m/>
    <s v="Gráfico de Evolución"/>
    <s v="Región de Coquimbo cáncer cuello uterino cérvico útero salud PAP papanicolaou casos control población"/>
    <s v="https://analytics.zoho.com/open-view/2395394000008099329?ZOHO_CRITERIA=%22Localiza%20CL%22.%22Codreg%22%20%3D%204"/>
    <x v="4"/>
    <s v="#1774B9"/>
  </r>
  <r>
    <s v="1095"/>
    <n v="990"/>
    <s v="Agencia Información"/>
    <s v="Mujeres"/>
    <n v="5"/>
    <x v="24"/>
    <x v="13"/>
    <x v="1"/>
    <x v="5"/>
    <x v="1"/>
    <x v="93"/>
    <s v="Periodo 2011-2018"/>
    <s v="Número de Casos"/>
    <s v="Departamento de Estadísticas e Información de la Salud (DEIS) - Ministerio de Salud"/>
    <s v="Población en Control del Programa de Cáncer de Cuello Uterino en la Región de Valparaíso, Periodo 2011-2018"/>
    <m/>
    <s v="Gráfico de Evolución"/>
    <s v="Región de Valparaíso cáncer cuello uterino cérvico útero salud PAP papanicolaou casos control población"/>
    <s v="https://analytics.zoho.com/open-view/2395394000008099329?ZOHO_CRITERIA=%22Localiza%20CL%22.%22Codreg%22%20%3D%205"/>
    <x v="5"/>
    <s v="#1774B9"/>
  </r>
  <r>
    <s v="1096"/>
    <n v="990"/>
    <s v="Agencia Información"/>
    <s v="Mujeres"/>
    <n v="6"/>
    <x v="24"/>
    <x v="13"/>
    <x v="1"/>
    <x v="6"/>
    <x v="1"/>
    <x v="93"/>
    <s v="Periodo 2011-2018"/>
    <s v="Número de Casos"/>
    <s v="Departamento de Estadísticas e Información de la Salud (DEIS) - Ministerio de Salud"/>
    <s v="Población en Control del Programa de Cáncer de Cuello Uterino en la Región de O'Higgins, Periodo 2011-2018"/>
    <m/>
    <s v="Gráfico de Evolución"/>
    <s v="Región de O'Higgins cáncer cuello uterino cérvico útero salud PAP papanicolaou casos control población"/>
    <s v="https://analytics.zoho.com/open-view/2395394000008099329?ZOHO_CRITERIA=%22Localiza%20CL%22.%22Codreg%22%20%3D%206"/>
    <x v="6"/>
    <s v="#1774B9"/>
  </r>
  <r>
    <s v="1097"/>
    <n v="990"/>
    <s v="Agencia Información"/>
    <s v="Mujeres"/>
    <n v="7"/>
    <x v="24"/>
    <x v="13"/>
    <x v="1"/>
    <x v="7"/>
    <x v="1"/>
    <x v="93"/>
    <s v="Periodo 2011-2018"/>
    <s v="Número de Casos"/>
    <s v="Departamento de Estadísticas e Información de la Salud (DEIS) - Ministerio de Salud"/>
    <s v="Población en Control del Programa de Cáncer de Cuello Uterino en la Región de Maule, Periodo 2011-2018"/>
    <m/>
    <s v="Gráfico de Evolución"/>
    <s v="Región de Maule cáncer cuello uterino cérvico útero salud PAP papanicolaou casos control población"/>
    <s v="https://analytics.zoho.com/open-view/2395394000008099329?ZOHO_CRITERIA=%22Localiza%20CL%22.%22Codreg%22%20%3D%207"/>
    <x v="7"/>
    <s v="#1774B9"/>
  </r>
  <r>
    <s v="1098"/>
    <n v="990"/>
    <s v="Agencia Información"/>
    <s v="Mujeres"/>
    <n v="8"/>
    <x v="24"/>
    <x v="13"/>
    <x v="1"/>
    <x v="8"/>
    <x v="1"/>
    <x v="93"/>
    <s v="Periodo 2011-2018"/>
    <s v="Número de Casos"/>
    <s v="Departamento de Estadísticas e Información de la Salud (DEIS) - Ministerio de Salud"/>
    <s v="Población en Control del Programa de Cáncer de Cuello Uterino en la Región del Biobío, Periodo 2011-2018"/>
    <m/>
    <s v="Gráfico de Evolución"/>
    <s v="Región del Biobío cáncer cuello uterino cérvico útero salud PAP papanicolaou casos control población"/>
    <s v="https://analytics.zoho.com/open-view/2395394000008099329?ZOHO_CRITERIA=%22Localiza%20CL%22.%22Codreg%22%20%3D%208"/>
    <x v="8"/>
    <s v="#1774B9"/>
  </r>
  <r>
    <s v="1099"/>
    <n v="990"/>
    <s v="Agencia Información"/>
    <s v="Mujeres"/>
    <n v="9"/>
    <x v="24"/>
    <x v="13"/>
    <x v="1"/>
    <x v="9"/>
    <x v="1"/>
    <x v="93"/>
    <s v="Periodo 2011-2018"/>
    <s v="Número de Casos"/>
    <s v="Departamento de Estadísticas e Información de la Salud (DEIS) - Ministerio de Salud"/>
    <s v="Población en Control del Programa de Cáncer de Cuello Uterino en la Región de La Araucanía, Periodo 2011-2018"/>
    <m/>
    <s v="Gráfico de Evolución"/>
    <s v="Región de La Araucanía cáncer cuello uterino cérvico útero salud PAP papanicolaou casos control población"/>
    <s v="https://analytics.zoho.com/open-view/2395394000008099329?ZOHO_CRITERIA=%22Localiza%20CL%22.%22Codreg%22%20%3D%209"/>
    <x v="9"/>
    <s v="#1774B9"/>
  </r>
  <r>
    <s v="1100"/>
    <n v="990"/>
    <s v="Agencia Información"/>
    <s v="Mujeres"/>
    <n v="10"/>
    <x v="24"/>
    <x v="13"/>
    <x v="1"/>
    <x v="10"/>
    <x v="1"/>
    <x v="93"/>
    <s v="Periodo 2011-2018"/>
    <s v="Número de Casos"/>
    <s v="Departamento de Estadísticas e Información de la Salud (DEIS) - Ministerio de Salud"/>
    <s v="Población en Control del Programa de Cáncer de Cuello Uterino en la Región de Los Lagos, Periodo 2011-2018"/>
    <m/>
    <s v="Gráfico de Evolución"/>
    <s v="Región de Los Lagos cáncer cuello uterino cérvico útero salud PAP papanicolaou casos control población"/>
    <s v="https://analytics.zoho.com/open-view/2395394000008099329?ZOHO_CRITERIA=%22Localiza%20CL%22.%22Codreg%22%20%3D%2010"/>
    <x v="10"/>
    <s v="#1774B9"/>
  </r>
  <r>
    <s v="1101"/>
    <n v="990"/>
    <s v="Agencia Información"/>
    <s v="Mujeres"/>
    <n v="11"/>
    <x v="24"/>
    <x v="13"/>
    <x v="1"/>
    <x v="11"/>
    <x v="1"/>
    <x v="93"/>
    <s v="Periodo 2011-2018"/>
    <s v="Número de Casos"/>
    <s v="Departamento de Estadísticas e Información de la Salud (DEIS) - Ministerio de Salud"/>
    <s v="Población en Control del Programa de Cáncer de Cuello Uterino en la Región de Aysén, Periodo 2011-2018"/>
    <m/>
    <s v="Gráfico de Evolución"/>
    <s v="Región de Aysén cáncer cuello uterino cérvico útero salud PAP papanicolaou casos control población"/>
    <s v="https://analytics.zoho.com/open-view/2395394000008099329?ZOHO_CRITERIA=%22Localiza%20CL%22.%22Codreg%22%20%3D%2011"/>
    <x v="11"/>
    <s v="#1774B9"/>
  </r>
  <r>
    <s v="1102"/>
    <n v="990"/>
    <s v="Agencia Información"/>
    <s v="Mujeres"/>
    <n v="12"/>
    <x v="24"/>
    <x v="13"/>
    <x v="1"/>
    <x v="12"/>
    <x v="1"/>
    <x v="93"/>
    <s v="Periodo 2011-2018"/>
    <s v="Número de Casos"/>
    <s v="Departamento de Estadísticas e Información de la Salud (DEIS) - Ministerio de Salud"/>
    <s v="Población en Control del Programa de Cáncer de Cuello Uterino en la Región de Magallanes, Periodo 2011-2018"/>
    <m/>
    <s v="Gráfico de Evolución"/>
    <s v="Región de Magallanes cáncer cuello uterino cérvico útero salud PAP papanicolaou casos control población"/>
    <s v="https://analytics.zoho.com/open-view/2395394000008099329?ZOHO_CRITERIA=%22Localiza%20CL%22.%22Codreg%22%20%3D%2012"/>
    <x v="12"/>
    <s v="#1774B9"/>
  </r>
  <r>
    <s v="1103"/>
    <n v="990"/>
    <s v="Agencia Información"/>
    <s v="Mujeres"/>
    <n v="13"/>
    <x v="24"/>
    <x v="13"/>
    <x v="1"/>
    <x v="13"/>
    <x v="1"/>
    <x v="93"/>
    <s v="Periodo 2011-2018"/>
    <s v="Número de Casos"/>
    <s v="Departamento de Estadísticas e Información de la Salud (DEIS) - Ministerio de Salud"/>
    <s v="Población en Control del Programa de Cáncer de Cuello Uterino en la Región Metropolitana, Periodo 2011-2018"/>
    <m/>
    <s v="Gráfico de Evolución"/>
    <s v="Región Metropolitana cáncer cuello uterino cérvico útero salud PAP papanicolaou casos control población"/>
    <s v="https://analytics.zoho.com/open-view/2395394000008099329?ZOHO_CRITERIA=%22Localiza%20CL%22.%22Codreg%22%20%3D%2013"/>
    <x v="13"/>
    <s v="#1774B9"/>
  </r>
  <r>
    <s v="1104"/>
    <n v="990"/>
    <s v="Agencia Información"/>
    <s v="Mujeres"/>
    <n v="14"/>
    <x v="24"/>
    <x v="13"/>
    <x v="1"/>
    <x v="14"/>
    <x v="1"/>
    <x v="93"/>
    <s v="Periodo 2011-2018"/>
    <s v="Número de Casos"/>
    <s v="Departamento de Estadísticas e Información de la Salud (DEIS) - Ministerio de Salud"/>
    <s v="Población en Control del Programa de Cáncer de Cuello Uterino en la Región de Los Ríos, Periodo 2011-2018"/>
    <m/>
    <s v="Gráfico de Evolución"/>
    <s v="Región de Los Ríos cáncer cuello uterino cérvico útero salud PAP papanicolaou casos control población"/>
    <s v="https://analytics.zoho.com/open-view/2395394000008099329?ZOHO_CRITERIA=%22Localiza%20CL%22.%22Codreg%22%20%3D%2014"/>
    <x v="14"/>
    <s v="#1774B9"/>
  </r>
  <r>
    <s v="1105"/>
    <n v="990"/>
    <s v="Agencia Información"/>
    <s v="Mujeres"/>
    <n v="15"/>
    <x v="24"/>
    <x v="13"/>
    <x v="1"/>
    <x v="15"/>
    <x v="1"/>
    <x v="93"/>
    <s v="Periodo 2011-2018"/>
    <s v="Número de Casos"/>
    <s v="Departamento de Estadísticas e Información de la Salud (DEIS) - Ministerio de Salud"/>
    <s v="Población en Control del Programa de Cáncer de Cuello Uterino en la Región de Arica y Parinacota, Periodo 2011-2018"/>
    <m/>
    <s v="Gráfico de Evolución"/>
    <s v="Región de Arica y Parinacota cáncer cuello uterino cérvico útero salud PAP papanicolaou casos control población"/>
    <s v="https://analytics.zoho.com/open-view/2395394000008099329?ZOHO_CRITERIA=%22Localiza%20CL%22.%22Codreg%22%20%3D%2015"/>
    <x v="15"/>
    <s v="#1774B9"/>
  </r>
  <r>
    <s v="1106"/>
    <n v="990"/>
    <s v="Agencia Información"/>
    <s v="Mujeres"/>
    <n v="16"/>
    <x v="24"/>
    <x v="13"/>
    <x v="1"/>
    <x v="16"/>
    <x v="1"/>
    <x v="93"/>
    <s v="Periodo 2011-2018"/>
    <s v="Número de Casos"/>
    <s v="Departamento de Estadísticas e Información de la Salud (DEIS) - Ministerio de Salud"/>
    <s v="Población en Control del Programa de Cáncer de Cuello Uterino en la Región de Ñuble, Periodo 2011-2018"/>
    <m/>
    <s v="Gráfico de Evolución"/>
    <s v="Región de Ñuble cáncer cuello uterino cérvico útero salud PAP papanicolaou casos control población"/>
    <s v="https://analytics.zoho.com/open-view/2395394000008099329?ZOHO_CRITERIA=%22Localiza%20CL%22.%22Codreg%22%20%3D%2016"/>
    <x v="16"/>
    <s v="#1774B9"/>
  </r>
  <r>
    <s v="1107"/>
    <n v="990"/>
    <s v="Agencia Información"/>
    <s v="Salud"/>
    <n v="0"/>
    <x v="25"/>
    <x v="14"/>
    <x v="0"/>
    <x v="0"/>
    <x v="1"/>
    <x v="94"/>
    <s v="Periodo 2012-2018"/>
    <s v="Número de Casos"/>
    <s v="Departamento de Estadísticas e Información de la Salud (DEIS) - Ministerio de Salud"/>
    <s v="Evolución de Población en Control en el Programa de VIH/SIDA y Variación Anual en Chile, Periodo 2012-2018"/>
    <s v="La Población en Control del Programa VIH/SIDA aumentó entre los años 2012 y 2018, superando los 35 mil casos para este último año, el doble de la cantidad vista al principio del periodo."/>
    <s v="Gráfico de Evolución"/>
    <s v="Chile VIH SIDA enfermedad transmisión sexual casos control población programa variación anual"/>
    <s v="https://analytics.zoho.com/open-view/2395394000008099475"/>
    <x v="34"/>
    <s v="#1774B9"/>
  </r>
  <r>
    <s v="1108"/>
    <n v="990"/>
    <s v="Agencia Información"/>
    <s v="Salud"/>
    <n v="1"/>
    <x v="25"/>
    <x v="14"/>
    <x v="1"/>
    <x v="1"/>
    <x v="1"/>
    <x v="93"/>
    <s v="Periodo 2012-2018"/>
    <s v="Número de Casos"/>
    <s v="Departamento de Estadísticas e Información de la Salud (DEIS) - Ministerio de Salud"/>
    <s v="Población en Control del Programa de Cáncer de Cuello Uterino en la Región de Tarapacá, Periodo 2012-2018"/>
    <m/>
    <s v="Gráfico de Evolución"/>
    <s v="Región de Tarapacá cáncer cuello uterino cérvico útero salud PAP papanicolaou casos control población"/>
    <s v="https://analytics.zoho.com/open-view/2395394000008099329?ZOHO_CRITERIA=%22Localiza%20CL%22.%22Codreg%22%20%3D%201"/>
    <x v="1"/>
    <s v="#1774B9"/>
  </r>
  <r>
    <s v="1109"/>
    <n v="990"/>
    <s v="Agencia Información"/>
    <s v="Salud"/>
    <n v="2"/>
    <x v="25"/>
    <x v="14"/>
    <x v="1"/>
    <x v="2"/>
    <x v="1"/>
    <x v="93"/>
    <s v="Periodo 2012-2018"/>
    <s v="Número de Casos"/>
    <s v="Departamento de Estadísticas e Información de la Salud (DEIS) - Ministerio de Salud"/>
    <s v="Población en Control del Programa de Cáncer de Cuello Uterino en la Región de Antofagasta, Periodo 2012-2018"/>
    <m/>
    <s v="Gráfico de Evolución"/>
    <s v="Región de Antofagasta cáncer cuello uterino cérvico útero salud PAP papanicolaou casos control población"/>
    <s v="https://analytics.zoho.com/open-view/2395394000008099329?ZOHO_CRITERIA=%22Localiza%20CL%22.%22Codreg%22%20%3D%202"/>
    <x v="2"/>
    <s v="#1774B9"/>
  </r>
  <r>
    <s v="1110"/>
    <n v="990"/>
    <s v="Agencia Información"/>
    <s v="Salud"/>
    <n v="3"/>
    <x v="25"/>
    <x v="14"/>
    <x v="1"/>
    <x v="3"/>
    <x v="1"/>
    <x v="93"/>
    <s v="Periodo 2012-2018"/>
    <s v="Número de Casos"/>
    <s v="Departamento de Estadísticas e Información de la Salud (DEIS) - Ministerio de Salud"/>
    <s v="Población en Control del Programa de Cáncer de Cuello Uterino en la Región de Atacama, Periodo 2012-2018"/>
    <m/>
    <s v="Gráfico de Evolución"/>
    <s v="Región de Atacama cáncer cuello uterino cérvico útero salud PAP papanicolaou casos control población"/>
    <s v="https://analytics.zoho.com/open-view/2395394000008099329?ZOHO_CRITERIA=%22Localiza%20CL%22.%22Codreg%22%20%3D%203"/>
    <x v="3"/>
    <s v="#1774B9"/>
  </r>
  <r>
    <s v="1111"/>
    <n v="990"/>
    <s v="Agencia Información"/>
    <s v="Salud"/>
    <n v="4"/>
    <x v="25"/>
    <x v="14"/>
    <x v="1"/>
    <x v="4"/>
    <x v="1"/>
    <x v="93"/>
    <s v="Periodo 2012-2018"/>
    <s v="Número de Casos"/>
    <s v="Departamento de Estadísticas e Información de la Salud (DEIS) - Ministerio de Salud"/>
    <s v="Población en Control del Programa de Cáncer de Cuello Uterino en la Región de Coquimbo, Periodo 2012-2018"/>
    <m/>
    <s v="Gráfico de Evolución"/>
    <s v="Región de Coquimbo cáncer cuello uterino cérvico útero salud PAP papanicolaou casos control población"/>
    <s v="https://analytics.zoho.com/open-view/2395394000008099329?ZOHO_CRITERIA=%22Localiza%20CL%22.%22Codreg%22%20%3D%204"/>
    <x v="4"/>
    <s v="#1774B9"/>
  </r>
  <r>
    <s v="1112"/>
    <n v="990"/>
    <s v="Agencia Información"/>
    <s v="Salud"/>
    <n v="5"/>
    <x v="25"/>
    <x v="14"/>
    <x v="1"/>
    <x v="5"/>
    <x v="1"/>
    <x v="93"/>
    <s v="Periodo 2012-2018"/>
    <s v="Número de Casos"/>
    <s v="Departamento de Estadísticas e Información de la Salud (DEIS) - Ministerio de Salud"/>
    <s v="Población en Control del Programa de Cáncer de Cuello Uterino en la Región de Valparaíso, Periodo 2012-2018"/>
    <m/>
    <s v="Gráfico de Evolución"/>
    <s v="Región de Valparaíso cáncer cuello uterino cérvico útero salud PAP papanicolaou casos control población"/>
    <s v="https://analytics.zoho.com/open-view/2395394000008099329?ZOHO_CRITERIA=%22Localiza%20CL%22.%22Codreg%22%20%3D%205"/>
    <x v="5"/>
    <s v="#1774B9"/>
  </r>
  <r>
    <s v="1113"/>
    <n v="990"/>
    <s v="Agencia Información"/>
    <s v="Salud"/>
    <n v="6"/>
    <x v="25"/>
    <x v="14"/>
    <x v="1"/>
    <x v="6"/>
    <x v="1"/>
    <x v="93"/>
    <s v="Periodo 2012-2018"/>
    <s v="Número de Casos"/>
    <s v="Departamento de Estadísticas e Información de la Salud (DEIS) - Ministerio de Salud"/>
    <s v="Población en Control del Programa de Cáncer de Cuello Uterino en la Región de O'Higgins, Periodo 2012-2018"/>
    <m/>
    <s v="Gráfico de Evolución"/>
    <s v="Región de O'Higgins cáncer cuello uterino cérvico útero salud PAP papanicolaou casos control población"/>
    <s v="https://analytics.zoho.com/open-view/2395394000008099329?ZOHO_CRITERIA=%22Localiza%20CL%22.%22Codreg%22%20%3D%206"/>
    <x v="6"/>
    <s v="#1774B9"/>
  </r>
  <r>
    <s v="1114"/>
    <n v="990"/>
    <s v="Agencia Información"/>
    <s v="Salud"/>
    <n v="7"/>
    <x v="25"/>
    <x v="14"/>
    <x v="1"/>
    <x v="7"/>
    <x v="1"/>
    <x v="93"/>
    <s v="Periodo 2012-2018"/>
    <s v="Número de Casos"/>
    <s v="Departamento de Estadísticas e Información de la Salud (DEIS) - Ministerio de Salud"/>
    <s v="Población en Control del Programa de Cáncer de Cuello Uterino en la Región de Maule, Periodo 2012-2018"/>
    <m/>
    <s v="Gráfico de Evolución"/>
    <s v="Región de Maule cáncer cuello uterino cérvico útero salud PAP papanicolaou casos control población"/>
    <s v="https://analytics.zoho.com/open-view/2395394000008099329?ZOHO_CRITERIA=%22Localiza%20CL%22.%22Codreg%22%20%3D%207"/>
    <x v="7"/>
    <s v="#1774B9"/>
  </r>
  <r>
    <s v="1115"/>
    <n v="990"/>
    <s v="Agencia Información"/>
    <s v="Salud"/>
    <n v="8"/>
    <x v="25"/>
    <x v="14"/>
    <x v="1"/>
    <x v="8"/>
    <x v="1"/>
    <x v="93"/>
    <s v="Periodo 2012-2018"/>
    <s v="Número de Casos"/>
    <s v="Departamento de Estadísticas e Información de la Salud (DEIS) - Ministerio de Salud"/>
    <s v="Población en Control del Programa de Cáncer de Cuello Uterino en la Región del Biobío, Periodo 2012-2018"/>
    <m/>
    <s v="Gráfico de Evolución"/>
    <s v="Región del Biobío cáncer cuello uterino cérvico útero salud PAP papanicolaou casos control población"/>
    <s v="https://analytics.zoho.com/open-view/2395394000008099329?ZOHO_CRITERIA=%22Localiza%20CL%22.%22Codreg%22%20%3D%208"/>
    <x v="8"/>
    <s v="#1774B9"/>
  </r>
  <r>
    <s v="1116"/>
    <n v="990"/>
    <s v="Agencia Información"/>
    <s v="Salud"/>
    <n v="9"/>
    <x v="25"/>
    <x v="14"/>
    <x v="1"/>
    <x v="9"/>
    <x v="1"/>
    <x v="93"/>
    <s v="Periodo 2012-2018"/>
    <s v="Número de Casos"/>
    <s v="Departamento de Estadísticas e Información de la Salud (DEIS) - Ministerio de Salud"/>
    <s v="Población en Control del Programa de Cáncer de Cuello Uterino en la Región de La Araucanía, Periodo 2012-2018"/>
    <m/>
    <s v="Gráfico de Evolución"/>
    <s v="Región de La Araucanía cáncer cuello uterino cérvico útero salud PAP papanicolaou casos control población"/>
    <s v="https://analytics.zoho.com/open-view/2395394000008099329?ZOHO_CRITERIA=%22Localiza%20CL%22.%22Codreg%22%20%3D%209"/>
    <x v="9"/>
    <s v="#1774B9"/>
  </r>
  <r>
    <s v="1117"/>
    <n v="990"/>
    <s v="Agencia Información"/>
    <s v="Salud"/>
    <n v="10"/>
    <x v="25"/>
    <x v="14"/>
    <x v="1"/>
    <x v="10"/>
    <x v="1"/>
    <x v="93"/>
    <s v="Periodo 2012-2018"/>
    <s v="Número de Casos"/>
    <s v="Departamento de Estadísticas e Información de la Salud (DEIS) - Ministerio de Salud"/>
    <s v="Población en Control del Programa de Cáncer de Cuello Uterino en la Región de Los Lagos, Periodo 2012-2018"/>
    <m/>
    <s v="Gráfico de Evolución"/>
    <s v="Región de Los Lagos cáncer cuello uterino cérvico útero salud PAP papanicolaou casos control población"/>
    <s v="https://analytics.zoho.com/open-view/2395394000008099329?ZOHO_CRITERIA=%22Localiza%20CL%22.%22Codreg%22%20%3D%2010"/>
    <x v="10"/>
    <s v="#1774B9"/>
  </r>
  <r>
    <s v="1118"/>
    <n v="990"/>
    <s v="Agencia Información"/>
    <s v="Salud"/>
    <n v="11"/>
    <x v="25"/>
    <x v="14"/>
    <x v="1"/>
    <x v="11"/>
    <x v="1"/>
    <x v="93"/>
    <s v="Periodo 2012-2018"/>
    <s v="Número de Casos"/>
    <s v="Departamento de Estadísticas e Información de la Salud (DEIS) - Ministerio de Salud"/>
    <s v="Población en Control del Programa de Cáncer de Cuello Uterino en la Región de Aysén, Periodo 2012-2018"/>
    <m/>
    <s v="Gráfico de Evolución"/>
    <s v="Región de Aysén cáncer cuello uterino cérvico útero salud PAP papanicolaou casos control población"/>
    <s v="https://analytics.zoho.com/open-view/2395394000008099329?ZOHO_CRITERIA=%22Localiza%20CL%22.%22Codreg%22%20%3D%2011"/>
    <x v="11"/>
    <s v="#1774B9"/>
  </r>
  <r>
    <s v="1119"/>
    <n v="990"/>
    <s v="Agencia Información"/>
    <s v="Salud"/>
    <n v="12"/>
    <x v="25"/>
    <x v="14"/>
    <x v="1"/>
    <x v="12"/>
    <x v="1"/>
    <x v="93"/>
    <s v="Periodo 2012-2018"/>
    <s v="Número de Casos"/>
    <s v="Departamento de Estadísticas e Información de la Salud (DEIS) - Ministerio de Salud"/>
    <s v="Población en Control del Programa de Cáncer de Cuello Uterino en la Región de Magallanes, Periodo 2012-2018"/>
    <m/>
    <s v="Gráfico de Evolución"/>
    <s v="Región de Magallanes cáncer cuello uterino cérvico útero salud PAP papanicolaou casos control población"/>
    <s v="https://analytics.zoho.com/open-view/2395394000008099329?ZOHO_CRITERIA=%22Localiza%20CL%22.%22Codreg%22%20%3D%2012"/>
    <x v="12"/>
    <s v="#1774B9"/>
  </r>
  <r>
    <s v="1120"/>
    <n v="990"/>
    <s v="Agencia Información"/>
    <s v="Salud"/>
    <n v="13"/>
    <x v="25"/>
    <x v="14"/>
    <x v="1"/>
    <x v="13"/>
    <x v="1"/>
    <x v="93"/>
    <s v="Periodo 2012-2018"/>
    <s v="Número de Casos"/>
    <s v="Departamento de Estadísticas e Información de la Salud (DEIS) - Ministerio de Salud"/>
    <s v="Población en Control del Programa de Cáncer de Cuello Uterino en la Región Metropolitana, Periodo 2012-2018"/>
    <m/>
    <s v="Gráfico de Evolución"/>
    <s v="Región Metropolitana cáncer cuello uterino cérvico útero salud PAP papanicolaou casos control población"/>
    <s v="https://analytics.zoho.com/open-view/2395394000008099329?ZOHO_CRITERIA=%22Localiza%20CL%22.%22Codreg%22%20%3D%2013"/>
    <x v="13"/>
    <s v="#1774B9"/>
  </r>
  <r>
    <s v="1121"/>
    <n v="990"/>
    <s v="Agencia Información"/>
    <s v="Salud"/>
    <n v="14"/>
    <x v="25"/>
    <x v="14"/>
    <x v="1"/>
    <x v="14"/>
    <x v="1"/>
    <x v="93"/>
    <s v="Periodo 2012-2018"/>
    <s v="Número de Casos"/>
    <s v="Departamento de Estadísticas e Información de la Salud (DEIS) - Ministerio de Salud"/>
    <s v="Población en Control del Programa de Cáncer de Cuello Uterino en la Región de Los Ríos, Periodo 2012-2018"/>
    <m/>
    <s v="Gráfico de Evolución"/>
    <s v="Región de Los Ríos cáncer cuello uterino cérvico útero salud PAP papanicolaou casos control población"/>
    <s v="https://analytics.zoho.com/open-view/2395394000008099329?ZOHO_CRITERIA=%22Localiza%20CL%22.%22Codreg%22%20%3D%2014"/>
    <x v="14"/>
    <s v="#1774B9"/>
  </r>
  <r>
    <s v="1122"/>
    <n v="990"/>
    <s v="Agencia Información"/>
    <s v="Salud"/>
    <n v="15"/>
    <x v="25"/>
    <x v="14"/>
    <x v="1"/>
    <x v="15"/>
    <x v="1"/>
    <x v="93"/>
    <s v="Periodo 2012-2018"/>
    <s v="Número de Casos"/>
    <s v="Departamento de Estadísticas e Información de la Salud (DEIS) - Ministerio de Salud"/>
    <s v="Población en Control del Programa de Cáncer de Cuello Uterino en la Región de Arica y Parinacota, Periodo 2012-2018"/>
    <m/>
    <s v="Gráfico de Evolución"/>
    <s v="Región de Arica y Parinacota cáncer cuello uterino cérvico útero salud PAP papanicolaou casos control población"/>
    <s v="https://analytics.zoho.com/open-view/2395394000008099329?ZOHO_CRITERIA=%22Localiza%20CL%22.%22Codreg%22%20%3D%2015"/>
    <x v="15"/>
    <s v="#1774B9"/>
  </r>
  <r>
    <s v="1123"/>
    <n v="990"/>
    <s v="Agencia Información"/>
    <s v="Salud"/>
    <n v="16"/>
    <x v="25"/>
    <x v="14"/>
    <x v="1"/>
    <x v="16"/>
    <x v="1"/>
    <x v="93"/>
    <s v="Periodo 2012-2018"/>
    <s v="Número de Casos"/>
    <s v="Departamento de Estadísticas e Información de la Salud (DEIS) - Ministerio de Salud"/>
    <s v="Población en Control del Programa de Cáncer de Cuello Uterino en la Región de Ñuble, Periodo 2012-2018"/>
    <m/>
    <s v="Gráfico de Evolución"/>
    <s v="Región de Ñuble cáncer cuello uterino cérvico útero salud PAP papanicolaou casos control población"/>
    <s v="https://analytics.zoho.com/open-view/2395394000008099329?ZOHO_CRITERIA=%22Localiza%20CL%22.%22Codreg%22%20%3D%2016"/>
    <x v="16"/>
    <s v="#1774B9"/>
  </r>
  <r>
    <s v="1124"/>
    <n v="990"/>
    <s v="Agencia Información"/>
    <s v="Gobiernos locales"/>
    <n v="0"/>
    <x v="60"/>
    <x v="25"/>
    <x v="0"/>
    <x v="0"/>
    <x v="1"/>
    <x v="95"/>
    <s v="Periodo 2006-2019"/>
    <s v="Número de Predios"/>
    <s v="Sistema Nacional de Información Municipal"/>
    <s v="Cantidad de Predios Agrícolas por Comuna en Chile, Periodo 2006-2019"/>
    <s v="El pago de contribuciones de los predios agrícolas, permite a los diferentes municipios financiar bienes y servicios comunitarios. En el año 2019, la comuna que contó con la mayor cantidad de predios agrícolas fue Los Ángeles, con 20.378, seguido de Padre las Casas, con 12.219."/>
    <s v="Gráfico"/>
    <s v="Chile catastro predio municipal municipio agrícola territorio"/>
    <s v="https://analytics.zoho.com/open-view/2395394000008069848"/>
    <x v="34"/>
    <s v="#1774B9"/>
  </r>
  <r>
    <s v="1125"/>
    <n v="990"/>
    <s v="Agencia Información"/>
    <s v="Gobiernos locales"/>
    <n v="1"/>
    <x v="60"/>
    <x v="25"/>
    <x v="1"/>
    <x v="1"/>
    <x v="1"/>
    <x v="95"/>
    <s v="Periodo 2006-2019"/>
    <s v="Número de Predios"/>
    <s v="Sistema Nacional de Información Municipal"/>
    <s v="Cantidad de Predios Agrícolas por Comuna en la Región de Tarapacá, Periodo 2006-2019"/>
    <m/>
    <s v="Gráfico"/>
    <s v="Región de Tarapacá catastro predio municipal municipio agrícola territorio"/>
    <s v="https://analytics.zoho.com/open-view/2395394000008464535?ZOHO_CRITERIA=%22Localiza%20CL%22.%22Codreg%22%20%3D%201"/>
    <x v="18"/>
    <s v="#1774B9"/>
  </r>
  <r>
    <s v="1126"/>
    <n v="990"/>
    <s v="Agencia Información"/>
    <s v="Gobiernos locales"/>
    <n v="2"/>
    <x v="60"/>
    <x v="25"/>
    <x v="1"/>
    <x v="2"/>
    <x v="1"/>
    <x v="95"/>
    <s v="Periodo 2006-2019"/>
    <s v="Número de Predios"/>
    <s v="Sistema Nacional de Información Municipal"/>
    <s v="Cantidad de Predios Agrícolas por Comuna en la Región de Antofagasta, Periodo 2006-2019"/>
    <m/>
    <s v="Gráfico"/>
    <s v="Región de Antofagasta catastro predio municipal municipio agrícola territorio"/>
    <s v="https://analytics.zoho.com/open-view/2395394000008464535?ZOHO_CRITERIA=%22Localiza%20CL%22.%22Codreg%22%20%3D%202"/>
    <x v="19"/>
    <s v="#1774B9"/>
  </r>
  <r>
    <s v="1127"/>
    <n v="990"/>
    <s v="Agencia Información"/>
    <s v="Gobiernos locales"/>
    <n v="3"/>
    <x v="60"/>
    <x v="25"/>
    <x v="1"/>
    <x v="3"/>
    <x v="1"/>
    <x v="95"/>
    <s v="Periodo 2006-2019"/>
    <s v="Número de Predios"/>
    <s v="Sistema Nacional de Información Municipal"/>
    <s v="Cantidad de Predios Agrícolas por Comuna en la Región de Atacama, Periodo 2006-2019"/>
    <m/>
    <s v="Gráfico"/>
    <s v="Región de Atacama catastro predio municipal municipio agrícola territorio"/>
    <s v="https://analytics.zoho.com/open-view/2395394000008464535?ZOHO_CRITERIA=%22Localiza%20CL%22.%22Codreg%22%20%3D%203"/>
    <x v="20"/>
    <s v="#1774B9"/>
  </r>
  <r>
    <s v="1128"/>
    <n v="990"/>
    <s v="Agencia Información"/>
    <s v="Gobiernos locales"/>
    <n v="4"/>
    <x v="60"/>
    <x v="25"/>
    <x v="1"/>
    <x v="4"/>
    <x v="1"/>
    <x v="95"/>
    <s v="Periodo 2006-2019"/>
    <s v="Número de Predios"/>
    <s v="Sistema Nacional de Información Municipal"/>
    <s v="Cantidad de Predios Agrícolas por Comuna en la Región de Coquimbo, Periodo 2006-2019"/>
    <m/>
    <s v="Gráfico"/>
    <s v="Región de Coquimbo catastro predio municipal municipio agrícola territorio"/>
    <s v="https://analytics.zoho.com/open-view/2395394000008464535?ZOHO_CRITERIA=%22Localiza%20CL%22.%22Codreg%22%20%3D%204"/>
    <x v="21"/>
    <s v="#1774B9"/>
  </r>
  <r>
    <s v="1129"/>
    <n v="990"/>
    <s v="Agencia Información"/>
    <s v="Gobiernos locales"/>
    <n v="5"/>
    <x v="60"/>
    <x v="25"/>
    <x v="1"/>
    <x v="5"/>
    <x v="1"/>
    <x v="95"/>
    <s v="Periodo 2006-2019"/>
    <s v="Número de Predios"/>
    <s v="Sistema Nacional de Información Municipal"/>
    <s v="Cantidad de Predios Agrícolas por Comuna en la Región de Valparaíso, Periodo 2006-2019"/>
    <m/>
    <s v="Gráfico"/>
    <s v="Región de Valparaíso catastro predio municipal municipio agrícola territorio"/>
    <s v="https://analytics.zoho.com/open-view/2395394000008464535?ZOHO_CRITERIA=%22Localiza%20CL%22.%22Codreg%22%20%3D%205"/>
    <x v="22"/>
    <s v="#1774B9"/>
  </r>
  <r>
    <s v="1130"/>
    <n v="990"/>
    <s v="Agencia Información"/>
    <s v="Gobiernos locales"/>
    <n v="6"/>
    <x v="60"/>
    <x v="25"/>
    <x v="1"/>
    <x v="6"/>
    <x v="1"/>
    <x v="95"/>
    <s v="Periodo 2006-2019"/>
    <s v="Número de Predios"/>
    <s v="Sistema Nacional de Información Municipal"/>
    <s v="Cantidad de Predios Agrícolas por Comuna en la Región de O'Higgins, Periodo 2006-2019"/>
    <m/>
    <s v="Gráfico"/>
    <s v="Región de O'Higgins catastro predio municipal municipio agrícola territorio"/>
    <s v="https://analytics.zoho.com/open-view/2395394000008464535?ZOHO_CRITERIA=%22Localiza%20CL%22.%22Codreg%22%20%3D%206"/>
    <x v="23"/>
    <s v="#1774B9"/>
  </r>
  <r>
    <s v="1131"/>
    <n v="990"/>
    <s v="Agencia Información"/>
    <s v="Gobiernos locales"/>
    <n v="7"/>
    <x v="60"/>
    <x v="25"/>
    <x v="1"/>
    <x v="7"/>
    <x v="1"/>
    <x v="95"/>
    <s v="Periodo 2006-2019"/>
    <s v="Número de Predios"/>
    <s v="Sistema Nacional de Información Municipal"/>
    <s v="Cantidad de Predios Agrícolas por Comuna en la Región de Maule, Periodo 2006-2019"/>
    <m/>
    <s v="Gráfico"/>
    <s v="Región de Maule catastro predio municipal municipio agrícola territorio"/>
    <s v="https://analytics.zoho.com/open-view/2395394000008464535?ZOHO_CRITERIA=%22Localiza%20CL%22.%22Codreg%22%20%3D%207"/>
    <x v="24"/>
    <s v="#1774B9"/>
  </r>
  <r>
    <s v="1132"/>
    <n v="990"/>
    <s v="Agencia Información"/>
    <s v="Gobiernos locales"/>
    <n v="8"/>
    <x v="60"/>
    <x v="25"/>
    <x v="1"/>
    <x v="8"/>
    <x v="1"/>
    <x v="95"/>
    <s v="Periodo 2006-2019"/>
    <s v="Número de Predios"/>
    <s v="Sistema Nacional de Información Municipal"/>
    <s v="Cantidad de Predios Agrícolas por Comuna en la Región del Biobío, Periodo 2006-2019"/>
    <m/>
    <s v="Gráfico"/>
    <s v="Región del Biobío catastro predio municipal municipio agrícola territorio"/>
    <s v="https://analytics.zoho.com/open-view/2395394000008464535?ZOHO_CRITERIA=%22Localiza%20CL%22.%22Codreg%22%20%3D%208"/>
    <x v="25"/>
    <s v="#1774B9"/>
  </r>
  <r>
    <s v="1133"/>
    <n v="990"/>
    <s v="Agencia Información"/>
    <s v="Gobiernos locales"/>
    <n v="9"/>
    <x v="60"/>
    <x v="25"/>
    <x v="1"/>
    <x v="9"/>
    <x v="1"/>
    <x v="95"/>
    <s v="Periodo 2006-2019"/>
    <s v="Número de Predios"/>
    <s v="Sistema Nacional de Información Municipal"/>
    <s v="Cantidad de Predios Agrícolas por Comuna en la Región de La Araucanía, Periodo 2006-2019"/>
    <m/>
    <s v="Gráfico"/>
    <s v="Región de La Araucanía catastro predio municipal municipio agrícola territorio"/>
    <s v="https://analytics.zoho.com/open-view/2395394000008464535?ZOHO_CRITERIA=%22Localiza%20CL%22.%22Codreg%22%20%3D%209"/>
    <x v="26"/>
    <s v="#1774B9"/>
  </r>
  <r>
    <s v="1134"/>
    <n v="990"/>
    <s v="Agencia Información"/>
    <s v="Gobiernos locales"/>
    <n v="10"/>
    <x v="60"/>
    <x v="25"/>
    <x v="1"/>
    <x v="10"/>
    <x v="1"/>
    <x v="95"/>
    <s v="Periodo 2006-2019"/>
    <s v="Número de Predios"/>
    <s v="Sistema Nacional de Información Municipal"/>
    <s v="Cantidad de Predios Agrícolas por Comuna en la Región de Los Lagos, Periodo 2006-2019"/>
    <m/>
    <s v="Gráfico"/>
    <s v="Región de Los Lagos catastro predio municipal municipio agrícola territorio"/>
    <s v="https://analytics.zoho.com/open-view/2395394000008464535?ZOHO_CRITERIA=%22Localiza%20CL%22.%22Codreg%22%20%3D%2010"/>
    <x v="27"/>
    <s v="#1774B9"/>
  </r>
  <r>
    <s v="1135"/>
    <n v="990"/>
    <s v="Agencia Información"/>
    <s v="Gobiernos locales"/>
    <n v="11"/>
    <x v="60"/>
    <x v="25"/>
    <x v="1"/>
    <x v="11"/>
    <x v="1"/>
    <x v="95"/>
    <s v="Periodo 2006-2019"/>
    <s v="Número de Predios"/>
    <s v="Sistema Nacional de Información Municipal"/>
    <s v="Cantidad de Predios Agrícolas por Comuna en la Región de Aysén, Periodo 2006-2019"/>
    <m/>
    <s v="Gráfico"/>
    <s v="Región de Aysén catastro predio municipal municipio agrícola territorio"/>
    <s v="https://analytics.zoho.com/open-view/2395394000008464535?ZOHO_CRITERIA=%22Localiza%20CL%22.%22Codreg%22%20%3D%2011"/>
    <x v="28"/>
    <s v="#1774B9"/>
  </r>
  <r>
    <s v="1136"/>
    <n v="990"/>
    <s v="Agencia Información"/>
    <s v="Gobiernos locales"/>
    <n v="12"/>
    <x v="60"/>
    <x v="25"/>
    <x v="1"/>
    <x v="12"/>
    <x v="1"/>
    <x v="95"/>
    <s v="Periodo 2006-2019"/>
    <s v="Número de Predios"/>
    <s v="Sistema Nacional de Información Municipal"/>
    <s v="Cantidad de Predios Agrícolas por Comuna en la Región de Magallanes, Periodo 2006-2019"/>
    <m/>
    <s v="Gráfico"/>
    <s v="Región de Magallanes catastro predio municipal municipio agrícola territorio"/>
    <s v="https://analytics.zoho.com/open-view/2395394000008464535?ZOHO_CRITERIA=%22Localiza%20CL%22.%22Codreg%22%20%3D%2012"/>
    <x v="29"/>
    <s v="#1774B9"/>
  </r>
  <r>
    <s v="1137"/>
    <n v="990"/>
    <s v="Agencia Información"/>
    <s v="Gobiernos locales"/>
    <n v="13"/>
    <x v="60"/>
    <x v="25"/>
    <x v="1"/>
    <x v="13"/>
    <x v="1"/>
    <x v="95"/>
    <s v="Periodo 2006-2019"/>
    <s v="Número de Predios"/>
    <s v="Sistema Nacional de Información Municipal"/>
    <s v="Cantidad de Predios Agrícolas por Comuna en la Región Metropolitana, Periodo 2006-2019"/>
    <m/>
    <s v="Gráfico"/>
    <s v="Región Metropolitana catastro predio municipal municipio agrícola territorio"/>
    <s v="https://analytics.zoho.com/open-view/2395394000008464535?ZOHO_CRITERIA=%22Localiza%20CL%22.%22Codreg%22%20%3D%2013"/>
    <x v="30"/>
    <s v="#1774B9"/>
  </r>
  <r>
    <s v="1138"/>
    <n v="990"/>
    <s v="Agencia Información"/>
    <s v="Gobiernos locales"/>
    <n v="14"/>
    <x v="60"/>
    <x v="25"/>
    <x v="1"/>
    <x v="14"/>
    <x v="1"/>
    <x v="95"/>
    <s v="Periodo 2006-2019"/>
    <s v="Número de Predios"/>
    <s v="Sistema Nacional de Información Municipal"/>
    <s v="Cantidad de Predios Agrícolas por Comuna en la Región de Los Ríos, Periodo 2006-2019"/>
    <m/>
    <s v="Gráfico"/>
    <s v="Región de Los Ríos catastro predio municipal municipio agrícola territorio"/>
    <s v="https://analytics.zoho.com/open-view/2395394000008464535?ZOHO_CRITERIA=%22Localiza%20CL%22.%22Codreg%22%20%3D%2014"/>
    <x v="31"/>
    <s v="#1774B9"/>
  </r>
  <r>
    <s v="1139"/>
    <n v="990"/>
    <s v="Agencia Información"/>
    <s v="Gobiernos locales"/>
    <n v="15"/>
    <x v="60"/>
    <x v="25"/>
    <x v="1"/>
    <x v="15"/>
    <x v="1"/>
    <x v="95"/>
    <s v="Periodo 2006-2019"/>
    <s v="Número de Predios"/>
    <s v="Sistema Nacional de Información Municipal"/>
    <s v="Cantidad de Predios Agrícolas por Comuna en la Región de Arica y Parinacota, Periodo 2006-2019"/>
    <m/>
    <s v="Gráfico"/>
    <s v="Región de Arica y Parinacota catastro predio municipal municipio agrícola territorio"/>
    <s v="https://analytics.zoho.com/open-view/2395394000008464535?ZOHO_CRITERIA=%22Localiza%20CL%22.%22Codreg%22%20%3D%2015"/>
    <x v="32"/>
    <s v="#1774B9"/>
  </r>
  <r>
    <s v="1140"/>
    <n v="990"/>
    <s v="Agencia Información"/>
    <s v="Gobiernos locales"/>
    <n v="16"/>
    <x v="60"/>
    <x v="25"/>
    <x v="1"/>
    <x v="16"/>
    <x v="1"/>
    <x v="95"/>
    <s v="Periodo 2006-2019"/>
    <s v="Número de Predios"/>
    <s v="Sistema Nacional de Información Municipal"/>
    <s v="Cantidad de Predios Agrícolas por Comuna en la Región de Ñuble, Periodo 2006-2019"/>
    <m/>
    <s v="Gráfico"/>
    <s v="Región de Ñuble catastro predio municipal municipio agrícola territorio"/>
    <s v="https://analytics.zoho.com/open-view/2395394000008464535?ZOHO_CRITERIA=%22Localiza%20CL%22.%22Codreg%22%20%3D%2016"/>
    <x v="33"/>
    <s v="#1774B9"/>
  </r>
  <r>
    <s v="1141"/>
    <n v="990"/>
    <s v="Agencia Información"/>
    <s v="Salud"/>
    <n v="0"/>
    <x v="61"/>
    <x v="26"/>
    <x v="0"/>
    <x v="0"/>
    <x v="0"/>
    <x v="96"/>
    <s v="Año 2021"/>
    <s v="Número de Establecimientos"/>
    <s v="Departamento de Estadísticas e Información de la Salud (DEIS) - Ministerio de Salud"/>
    <s v="Cantidad de Establecimientos de la Salud por Región en Chile, Año 2021"/>
    <s v="La Región Metropolitana es la región con mayor cantidad de establecimientos de la salud, alcanzando en total 578. De estos, la mayoría corresponden a CESFAM, seguidos de SAPUs. En segundo lugar, le sigue la región de Los Lagos, que cuenta con 332 establecimientos. Por otro lado, la región con menor cantidad de establecimientos de la salud es Arica y Parinacota, con solo 36 establecimientos."/>
    <s v="Gráfico"/>
    <s v="Chile nacional región establecimientos salud proporción hospitales clínicas cesfam sapu postas laboratorios dentales clínicos alta baja media complejidad diálisis vacunatorios consultorio"/>
    <s v="https://analytics.zoho.com/open-view/2395394000008230301"/>
    <x v="0"/>
    <s v="#1774B9"/>
  </r>
  <r>
    <s v="1142"/>
    <n v="990"/>
    <s v="Agencia Información"/>
    <s v="Salud"/>
    <n v="1"/>
    <x v="61"/>
    <x v="26"/>
    <x v="1"/>
    <x v="1"/>
    <x v="1"/>
    <x v="96"/>
    <s v="Año 2021"/>
    <s v="Número de Establecimientos"/>
    <s v="Departamento de Estadísticas e Información de la Salud (DEIS) - Ministerio de Salud"/>
    <s v="Cantidad de Establecimientos de la Salud en la Región de Tarapacá, Año 2021"/>
    <m/>
    <s v="Gráfico"/>
    <s v="Región de Tarapacá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1"/>
    <x v="1"/>
    <s v="#1774B9"/>
  </r>
  <r>
    <s v="1143"/>
    <n v="990"/>
    <s v="Agencia Información"/>
    <s v="Salud"/>
    <n v="2"/>
    <x v="61"/>
    <x v="26"/>
    <x v="1"/>
    <x v="2"/>
    <x v="1"/>
    <x v="96"/>
    <s v="Año 2021"/>
    <s v="Número de Establecimientos"/>
    <s v="Departamento de Estadísticas e Información de la Salud (DEIS) - Ministerio de Salud"/>
    <s v="Cantidad de Establecimientos de la Salud en la Región de Antofagasta, Año 2021"/>
    <m/>
    <s v="Gráfico"/>
    <s v="Región de Antofagasta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2"/>
    <x v="2"/>
    <s v="#1774B9"/>
  </r>
  <r>
    <s v="1144"/>
    <n v="990"/>
    <s v="Agencia Información"/>
    <s v="Salud"/>
    <n v="3"/>
    <x v="61"/>
    <x v="26"/>
    <x v="1"/>
    <x v="3"/>
    <x v="1"/>
    <x v="96"/>
    <s v="Año 2021"/>
    <s v="Número de Establecimientos"/>
    <s v="Departamento de Estadísticas e Información de la Salud (DEIS) - Ministerio de Salud"/>
    <s v="Cantidad de Establecimientos de la Salud en la Región de Atacama, Año 2021"/>
    <m/>
    <s v="Gráfico"/>
    <s v="Región de Atacama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3"/>
    <x v="3"/>
    <s v="#1774B9"/>
  </r>
  <r>
    <s v="1145"/>
    <n v="990"/>
    <s v="Agencia Información"/>
    <s v="Salud"/>
    <n v="4"/>
    <x v="61"/>
    <x v="26"/>
    <x v="1"/>
    <x v="4"/>
    <x v="1"/>
    <x v="96"/>
    <s v="Año 2021"/>
    <s v="Número de Establecimientos"/>
    <s v="Departamento de Estadísticas e Información de la Salud (DEIS) - Ministerio de Salud"/>
    <s v="Cantidad de Establecimientos de la Salud en la Región de Coquimbo, Año 2021"/>
    <m/>
    <s v="Gráfico"/>
    <s v="Región de Coquimbo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4"/>
    <x v="4"/>
    <s v="#1774B9"/>
  </r>
  <r>
    <s v="1146"/>
    <n v="990"/>
    <s v="Agencia Información"/>
    <s v="Salud"/>
    <n v="5"/>
    <x v="61"/>
    <x v="26"/>
    <x v="1"/>
    <x v="5"/>
    <x v="1"/>
    <x v="96"/>
    <s v="Año 2021"/>
    <s v="Número de Establecimientos"/>
    <s v="Departamento de Estadísticas e Información de la Salud (DEIS) - Ministerio de Salud"/>
    <s v="Cantidad de Establecimientos de la Salud en la Región de Valparaíso, Año 2021"/>
    <m/>
    <s v="Gráfico"/>
    <s v="Región de Valparaíso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5"/>
    <x v="5"/>
    <s v="#1774B9"/>
  </r>
  <r>
    <s v="1147"/>
    <n v="990"/>
    <s v="Agencia Información"/>
    <s v="Salud"/>
    <n v="6"/>
    <x v="61"/>
    <x v="26"/>
    <x v="1"/>
    <x v="6"/>
    <x v="1"/>
    <x v="96"/>
    <s v="Año 2021"/>
    <s v="Número de Establecimientos"/>
    <s v="Departamento de Estadísticas e Información de la Salud (DEIS) - Ministerio de Salud"/>
    <s v="Cantidad de Establecimientos de la Salud en la Región de O'Higgins, Año 2021"/>
    <m/>
    <s v="Gráfico"/>
    <s v="Región de O'Higgins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6"/>
    <x v="6"/>
    <s v="#1774B9"/>
  </r>
  <r>
    <s v="1148"/>
    <n v="990"/>
    <s v="Agencia Información"/>
    <s v="Salud"/>
    <n v="7"/>
    <x v="61"/>
    <x v="26"/>
    <x v="1"/>
    <x v="7"/>
    <x v="1"/>
    <x v="96"/>
    <s v="Año 2021"/>
    <s v="Número de Establecimientos"/>
    <s v="Departamento de Estadísticas e Información de la Salud (DEIS) - Ministerio de Salud"/>
    <s v="Cantidad de Establecimientos de la Salud en la Región de Maule, Año 2021"/>
    <m/>
    <s v="Gráfico"/>
    <s v="Región de Maule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7"/>
    <x v="7"/>
    <s v="#1774B9"/>
  </r>
  <r>
    <s v="1149"/>
    <n v="990"/>
    <s v="Agencia Información"/>
    <s v="Salud"/>
    <n v="8"/>
    <x v="61"/>
    <x v="26"/>
    <x v="1"/>
    <x v="8"/>
    <x v="1"/>
    <x v="96"/>
    <s v="Año 2021"/>
    <s v="Número de Establecimientos"/>
    <s v="Departamento de Estadísticas e Información de la Salud (DEIS) - Ministerio de Salud"/>
    <s v="Cantidad de Establecimientos de la Salud en la Región del Biobío, Año 2021"/>
    <m/>
    <s v="Gráfico"/>
    <s v="Región del Biobío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8"/>
    <x v="8"/>
    <s v="#1774B9"/>
  </r>
  <r>
    <s v="1150"/>
    <n v="990"/>
    <s v="Agencia Información"/>
    <s v="Salud"/>
    <n v="9"/>
    <x v="61"/>
    <x v="26"/>
    <x v="1"/>
    <x v="9"/>
    <x v="1"/>
    <x v="96"/>
    <s v="Año 2021"/>
    <s v="Número de Establecimientos"/>
    <s v="Departamento de Estadísticas e Información de la Salud (DEIS) - Ministerio de Salud"/>
    <s v="Cantidad de Establecimientos de la Salud en la Región de La Araucanía, Año 2021"/>
    <m/>
    <s v="Gráfico"/>
    <s v="Región de La Araucanía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9"/>
    <x v="9"/>
    <s v="#1774B9"/>
  </r>
  <r>
    <s v="1151"/>
    <n v="990"/>
    <s v="Agencia Información"/>
    <s v="Salud"/>
    <n v="10"/>
    <x v="61"/>
    <x v="26"/>
    <x v="1"/>
    <x v="10"/>
    <x v="1"/>
    <x v="96"/>
    <s v="Año 2021"/>
    <s v="Número de Establecimientos"/>
    <s v="Departamento de Estadísticas e Información de la Salud (DEIS) - Ministerio de Salud"/>
    <s v="Cantidad de Establecimientos de la Salud en la Región de Los Lagos, Año 2021"/>
    <m/>
    <s v="Gráfico"/>
    <s v="Región de Los Lagos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10"/>
    <x v="10"/>
    <s v="#1774B9"/>
  </r>
  <r>
    <s v="1152"/>
    <n v="990"/>
    <s v="Agencia Información"/>
    <s v="Salud"/>
    <n v="11"/>
    <x v="61"/>
    <x v="26"/>
    <x v="1"/>
    <x v="11"/>
    <x v="1"/>
    <x v="96"/>
    <s v="Año 2021"/>
    <s v="Número de Establecimientos"/>
    <s v="Departamento de Estadísticas e Información de la Salud (DEIS) - Ministerio de Salud"/>
    <s v="Cantidad de Establecimientos de la Salud en la Región de Aysén, Año 2021"/>
    <m/>
    <s v="Gráfico"/>
    <s v="Región de Aysén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11"/>
    <x v="11"/>
    <s v="#1774B9"/>
  </r>
  <r>
    <s v="1153"/>
    <n v="990"/>
    <s v="Agencia Información"/>
    <s v="Salud"/>
    <n v="12"/>
    <x v="61"/>
    <x v="26"/>
    <x v="1"/>
    <x v="12"/>
    <x v="1"/>
    <x v="96"/>
    <s v="Año 2021"/>
    <s v="Número de Establecimientos"/>
    <s v="Departamento de Estadísticas e Información de la Salud (DEIS) - Ministerio de Salud"/>
    <s v="Cantidad de Establecimientos de la Salud en la Región de Magallanes, Año 2021"/>
    <m/>
    <s v="Gráfico"/>
    <s v="Región de Magallanes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12"/>
    <x v="12"/>
    <s v="#1774B9"/>
  </r>
  <r>
    <s v="1154"/>
    <n v="990"/>
    <s v="Agencia Información"/>
    <s v="Salud"/>
    <n v="13"/>
    <x v="61"/>
    <x v="26"/>
    <x v="1"/>
    <x v="13"/>
    <x v="1"/>
    <x v="96"/>
    <s v="Año 2021"/>
    <s v="Número de Establecimientos"/>
    <s v="Departamento de Estadísticas e Información de la Salud (DEIS) - Ministerio de Salud"/>
    <s v="Cantidad de Establecimientos de la Salud en la Región Metropolitana, Año 2021"/>
    <m/>
    <s v="Gráfico"/>
    <s v="Región Metropolitana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13"/>
    <x v="13"/>
    <s v="#1774B9"/>
  </r>
  <r>
    <s v="1155"/>
    <n v="990"/>
    <s v="Agencia Información"/>
    <s v="Salud"/>
    <n v="14"/>
    <x v="61"/>
    <x v="26"/>
    <x v="1"/>
    <x v="14"/>
    <x v="1"/>
    <x v="96"/>
    <s v="Año 2021"/>
    <s v="Número de Establecimientos"/>
    <s v="Departamento de Estadísticas e Información de la Salud (DEIS) - Ministerio de Salud"/>
    <s v="Cantidad de Establecimientos de la Salud en la Región de Los Ríos, Año 2021"/>
    <m/>
    <s v="Gráfico"/>
    <s v="Región de Los Ríos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14"/>
    <x v="14"/>
    <s v="#1774B9"/>
  </r>
  <r>
    <s v="1156"/>
    <n v="990"/>
    <s v="Agencia Información"/>
    <s v="Salud"/>
    <n v="15"/>
    <x v="61"/>
    <x v="26"/>
    <x v="1"/>
    <x v="15"/>
    <x v="1"/>
    <x v="96"/>
    <s v="Año 2021"/>
    <s v="Número de Establecimientos"/>
    <s v="Departamento de Estadísticas e Información de la Salud (DEIS) - Ministerio de Salud"/>
    <s v="Cantidad de Establecimientos de la Salud en la Región de Arica y Parinacota, Año 2021"/>
    <m/>
    <s v="Gráfico"/>
    <s v="Región de Arica y Parinacota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15"/>
    <x v="15"/>
    <s v="#1774B9"/>
  </r>
  <r>
    <s v="1157"/>
    <n v="990"/>
    <s v="Agencia Información"/>
    <s v="Salud"/>
    <n v="16"/>
    <x v="61"/>
    <x v="26"/>
    <x v="1"/>
    <x v="16"/>
    <x v="1"/>
    <x v="96"/>
    <s v="Año 2021"/>
    <s v="Número de Establecimientos"/>
    <s v="Departamento de Estadísticas e Información de la Salud (DEIS) - Ministerio de Salud"/>
    <s v="Cantidad de Establecimientos de la Salud en la Región de Ñuble, Año 2021"/>
    <m/>
    <s v="Gráfico"/>
    <s v="Región de Ñuble regional establecimientos salud proporción hospitales clínicas cesfam sapu postas laboratorios dentales clínicos alta baja media complejidad diálisis vacunatorios consultorio"/>
    <s v="https://analytics.zoho.com/open-view/2395394000008516451?ZOHO_CRITERIA=%222.1%22.%22C%C3%B3digo%20Regi%C3%B3n%22%20%3D%2016"/>
    <x v="16"/>
    <s v="#1774B9"/>
  </r>
  <r>
    <s v="1158"/>
    <n v="990"/>
    <s v="Agencia Información"/>
    <s v="Salud"/>
    <n v="0"/>
    <x v="61"/>
    <x v="26"/>
    <x v="0"/>
    <x v="0"/>
    <x v="14"/>
    <x v="97"/>
    <s v="Año 2021"/>
    <s v="Número de Establecimientos"/>
    <s v="Departamento de Estadísticas e Información de la Salud (DEIS) - Ministerio de Salud"/>
    <s v="Cantidad de Establecimientos de la Salud por Comuna en Chile, Año 2021"/>
    <s v="La comuna de Antofagasta es la comuna con la mayor cantidad de establecimientos de la salud, alcanzando un total de 55. De estos, 22 son Laboratorios Clínicos o Dentales. Le sigue Puerto Montt con 51 establecimiento, entre estos 12 Postas y 12 CESFAM. Por otro lado, 21 comunas del país poseen solo 1 establecimientos de salud."/>
    <s v="Mapa de calor"/>
    <s v="Chile nacional región establecimientos salud tipo mapa hospitales clínicas cesfam sapu postas laboratorios dentales clínicos alta baja media complejidad diálisis vacunatorios consultorio"/>
    <s v="https://analytics.zoho.com/open-view/2395394000008214196"/>
    <x v="17"/>
    <s v="#1774B9"/>
  </r>
  <r>
    <s v="1159"/>
    <n v="990"/>
    <s v="Agencia Información"/>
    <s v="Salud"/>
    <n v="1"/>
    <x v="61"/>
    <x v="26"/>
    <x v="1"/>
    <x v="1"/>
    <x v="11"/>
    <x v="97"/>
    <s v="Año 2021"/>
    <s v="Número de Establecimientos"/>
    <s v="Departamento de Estadísticas e Información de la Salud (DEIS) - Ministerio de Salud"/>
    <s v="Cantidad de Establecimientos de la Salud por Comuna en la Región de Tarapacá, Año 2021"/>
    <m/>
    <s v="Mapa de calor"/>
    <s v="Región de Tarapacá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1"/>
    <x v="18"/>
    <s v="#1774B9"/>
  </r>
  <r>
    <s v="1160"/>
    <n v="990"/>
    <s v="Agencia Información"/>
    <s v="Salud"/>
    <n v="2"/>
    <x v="61"/>
    <x v="26"/>
    <x v="1"/>
    <x v="2"/>
    <x v="11"/>
    <x v="97"/>
    <s v="Año 2021"/>
    <s v="Número de Establecimientos"/>
    <s v="Departamento de Estadísticas e Información de la Salud (DEIS) - Ministerio de Salud"/>
    <s v="Cantidad de Establecimientos de la Salud por Comuna en la Región de Antofagasta, Año 2021"/>
    <m/>
    <s v="Mapa de calor"/>
    <s v="Región de Antofagasta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2"/>
    <x v="19"/>
    <s v="#1774B9"/>
  </r>
  <r>
    <s v="1161"/>
    <n v="990"/>
    <s v="Agencia Información"/>
    <s v="Salud"/>
    <n v="3"/>
    <x v="61"/>
    <x v="26"/>
    <x v="1"/>
    <x v="3"/>
    <x v="11"/>
    <x v="97"/>
    <s v="Año 2021"/>
    <s v="Número de Establecimientos"/>
    <s v="Departamento de Estadísticas e Información de la Salud (DEIS) - Ministerio de Salud"/>
    <s v="Cantidad de Establecimientos de la Salud por Comuna en la Región de Atacama, Año 2021"/>
    <m/>
    <s v="Mapa de calor"/>
    <s v="Región de Atacama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3"/>
    <x v="20"/>
    <s v="#1774B9"/>
  </r>
  <r>
    <s v="1162"/>
    <n v="990"/>
    <s v="Agencia Información"/>
    <s v="Salud"/>
    <n v="4"/>
    <x v="61"/>
    <x v="26"/>
    <x v="1"/>
    <x v="4"/>
    <x v="11"/>
    <x v="97"/>
    <s v="Año 2021"/>
    <s v="Número de Establecimientos"/>
    <s v="Departamento de Estadísticas e Información de la Salud (DEIS) - Ministerio de Salud"/>
    <s v="Cantidad de Establecimientos de la Salud por Comuna en la Región de Coquimbo, Año 2021"/>
    <m/>
    <s v="Mapa de calor"/>
    <s v="Región de Coquimbo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4"/>
    <x v="21"/>
    <s v="#1774B9"/>
  </r>
  <r>
    <s v="1163"/>
    <n v="990"/>
    <s v="Agencia Información"/>
    <s v="Salud"/>
    <n v="5"/>
    <x v="61"/>
    <x v="26"/>
    <x v="1"/>
    <x v="5"/>
    <x v="11"/>
    <x v="97"/>
    <s v="Año 2021"/>
    <s v="Número de Establecimientos"/>
    <s v="Departamento de Estadísticas e Información de la Salud (DEIS) - Ministerio de Salud"/>
    <s v="Cantidad de Establecimientos de la Salud por Comuna en la Región de Valparaíso, Año 2021"/>
    <m/>
    <s v="Mapa de calor"/>
    <s v="Región de Valparaíso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5"/>
    <x v="22"/>
    <s v="#1774B9"/>
  </r>
  <r>
    <s v="1164"/>
    <n v="990"/>
    <s v="Agencia Información"/>
    <s v="Salud"/>
    <n v="6"/>
    <x v="61"/>
    <x v="26"/>
    <x v="1"/>
    <x v="6"/>
    <x v="11"/>
    <x v="97"/>
    <s v="Año 2021"/>
    <s v="Número de Establecimientos"/>
    <s v="Departamento de Estadísticas e Información de la Salud (DEIS) - Ministerio de Salud"/>
    <s v="Cantidad de Establecimientos de la Salud por Comuna en la Región de O'Higgins, Año 2021"/>
    <m/>
    <s v="Mapa de calor"/>
    <s v="Región de O'Higgins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6"/>
    <x v="23"/>
    <s v="#1774B9"/>
  </r>
  <r>
    <s v="1165"/>
    <n v="990"/>
    <s v="Agencia Información"/>
    <s v="Salud"/>
    <n v="7"/>
    <x v="61"/>
    <x v="26"/>
    <x v="1"/>
    <x v="7"/>
    <x v="11"/>
    <x v="97"/>
    <s v="Año 2021"/>
    <s v="Número de Establecimientos"/>
    <s v="Departamento de Estadísticas e Información de la Salud (DEIS) - Ministerio de Salud"/>
    <s v="Cantidad de Establecimientos de la Salud por Comuna en la Región de Maule, Año 2021"/>
    <m/>
    <s v="Mapa de calor"/>
    <s v="Región de Maule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7"/>
    <x v="24"/>
    <s v="#1774B9"/>
  </r>
  <r>
    <s v="1166"/>
    <n v="990"/>
    <s v="Agencia Información"/>
    <s v="Salud"/>
    <n v="8"/>
    <x v="61"/>
    <x v="26"/>
    <x v="1"/>
    <x v="8"/>
    <x v="11"/>
    <x v="97"/>
    <s v="Año 2021"/>
    <s v="Número de Establecimientos"/>
    <s v="Departamento de Estadísticas e Información de la Salud (DEIS) - Ministerio de Salud"/>
    <s v="Cantidad de Establecimientos de la Salud por Comuna en la Región del Biobío, Año 2021"/>
    <m/>
    <s v="Mapa de calor"/>
    <s v="Región del Biobío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8"/>
    <x v="25"/>
    <s v="#1774B9"/>
  </r>
  <r>
    <s v="1167"/>
    <n v="990"/>
    <s v="Agencia Información"/>
    <s v="Salud"/>
    <n v="9"/>
    <x v="61"/>
    <x v="26"/>
    <x v="1"/>
    <x v="9"/>
    <x v="11"/>
    <x v="97"/>
    <s v="Año 2021"/>
    <s v="Número de Establecimientos"/>
    <s v="Departamento de Estadísticas e Información de la Salud (DEIS) - Ministerio de Salud"/>
    <s v="Cantidad de Establecimientos de la Salud por Comuna en la Región de La Araucanía, Año 2021"/>
    <m/>
    <s v="Mapa de calor"/>
    <s v="Región de La Araucanía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9"/>
    <x v="26"/>
    <s v="#1774B9"/>
  </r>
  <r>
    <s v="1168"/>
    <n v="990"/>
    <s v="Agencia Información"/>
    <s v="Salud"/>
    <n v="10"/>
    <x v="61"/>
    <x v="26"/>
    <x v="1"/>
    <x v="10"/>
    <x v="11"/>
    <x v="97"/>
    <s v="Año 2021"/>
    <s v="Número de Establecimientos"/>
    <s v="Departamento de Estadísticas e Información de la Salud (DEIS) - Ministerio de Salud"/>
    <s v="Cantidad de Establecimientos de la Salud por Comuna en la Región de Los Lagos, Año 2021"/>
    <m/>
    <s v="Mapa de calor"/>
    <s v="Región de Los Lagos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10"/>
    <x v="27"/>
    <s v="#1774B9"/>
  </r>
  <r>
    <s v="1169"/>
    <n v="990"/>
    <s v="Agencia Información"/>
    <s v="Salud"/>
    <n v="11"/>
    <x v="61"/>
    <x v="26"/>
    <x v="1"/>
    <x v="11"/>
    <x v="11"/>
    <x v="97"/>
    <s v="Año 2021"/>
    <s v="Número de Establecimientos"/>
    <s v="Departamento de Estadísticas e Información de la Salud (DEIS) - Ministerio de Salud"/>
    <s v="Cantidad de Establecimientos de la Salud por Comuna en la Región de Aysén, Año 2021"/>
    <m/>
    <s v="Mapa de calor"/>
    <s v="Región de Aysén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11"/>
    <x v="28"/>
    <s v="#1774B9"/>
  </r>
  <r>
    <s v="1170"/>
    <n v="990"/>
    <s v="Agencia Información"/>
    <s v="Salud"/>
    <n v="12"/>
    <x v="61"/>
    <x v="26"/>
    <x v="1"/>
    <x v="12"/>
    <x v="11"/>
    <x v="97"/>
    <s v="Año 2021"/>
    <s v="Número de Establecimientos"/>
    <s v="Departamento de Estadísticas e Información de la Salud (DEIS) - Ministerio de Salud"/>
    <s v="Cantidad de Establecimientos de la Salud por Comuna en la Región de Magallanes, Año 2021"/>
    <m/>
    <s v="Mapa de calor"/>
    <s v="Región de Magallanes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12"/>
    <x v="29"/>
    <s v="#1774B9"/>
  </r>
  <r>
    <s v="1171"/>
    <n v="990"/>
    <s v="Agencia Información"/>
    <s v="Salud"/>
    <n v="13"/>
    <x v="61"/>
    <x v="26"/>
    <x v="1"/>
    <x v="13"/>
    <x v="11"/>
    <x v="97"/>
    <s v="Año 2021"/>
    <s v="Número de Establecimientos"/>
    <s v="Departamento de Estadísticas e Información de la Salud (DEIS) - Ministerio de Salud"/>
    <s v="Cantidad de Establecimientos de la Salud por Comuna en la Región Metropolitana, Año 2021"/>
    <m/>
    <s v="Mapa de calor"/>
    <s v="Región Metropolitana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13"/>
    <x v="30"/>
    <s v="#1774B9"/>
  </r>
  <r>
    <s v="1172"/>
    <n v="990"/>
    <s v="Agencia Información"/>
    <s v="Salud"/>
    <n v="14"/>
    <x v="61"/>
    <x v="26"/>
    <x v="1"/>
    <x v="14"/>
    <x v="11"/>
    <x v="97"/>
    <s v="Año 2021"/>
    <s v="Número de Establecimientos"/>
    <s v="Departamento de Estadísticas e Información de la Salud (DEIS) - Ministerio de Salud"/>
    <s v="Cantidad de Establecimientos de la Salud por Comuna en la Región de Los Ríos, Año 2021"/>
    <m/>
    <s v="Mapa de calor"/>
    <s v="Región de Los Ríos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14"/>
    <x v="31"/>
    <s v="#1774B9"/>
  </r>
  <r>
    <s v="1173"/>
    <n v="990"/>
    <s v="Agencia Información"/>
    <s v="Salud"/>
    <n v="15"/>
    <x v="61"/>
    <x v="26"/>
    <x v="1"/>
    <x v="15"/>
    <x v="11"/>
    <x v="97"/>
    <s v="Año 2021"/>
    <s v="Número de Establecimientos"/>
    <s v="Departamento de Estadísticas e Información de la Salud (DEIS) - Ministerio de Salud"/>
    <s v="Cantidad de Establecimientos de la Salud por Comuna en la Región de Arica y Parinacota, Año 2021"/>
    <m/>
    <s v="Mapa de calor"/>
    <s v="Región de Arica y Parinacota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15"/>
    <x v="32"/>
    <s v="#1774B9"/>
  </r>
  <r>
    <s v="1174"/>
    <n v="990"/>
    <s v="Agencia Información"/>
    <s v="Salud"/>
    <n v="16"/>
    <x v="61"/>
    <x v="26"/>
    <x v="1"/>
    <x v="16"/>
    <x v="11"/>
    <x v="97"/>
    <s v="Año 2021"/>
    <s v="Número de Establecimientos"/>
    <s v="Departamento de Estadísticas e Información de la Salud (DEIS) - Ministerio de Salud"/>
    <s v="Cantidad de Establecimientos de la Salud por Comuna en la Región de Ñuble, Año 2021"/>
    <m/>
    <s v="Mapa de calor"/>
    <s v="Región de Ñuble regional comuna establecimientos salud tipo mapa hospitales clínicas cesfam sapu postas laboratorios dentales clínicos alta baja media complejidad diálisis vacunatorios consultorio"/>
    <s v="https://analytics.zoho.com/open-view/2395394000008516065?ZOHO_CRITERIA=%222.1%22.%22C%C3%B3digo%20Regi%C3%B3n%22%20%3D%2016"/>
    <x v="33"/>
    <s v="#1774B9"/>
  </r>
  <r>
    <s v="1175"/>
    <n v="990"/>
    <s v="Agencia Información"/>
    <s v="Salud"/>
    <n v="0"/>
    <x v="61"/>
    <x v="26"/>
    <x v="0"/>
    <x v="0"/>
    <x v="0"/>
    <x v="96"/>
    <s v="Año 2021"/>
    <s v="Número de Establecimientos"/>
    <s v="Departamento de Estadísticas e Información de la Salud (DEIS) - Ministerio de Salud"/>
    <s v="Cantidad de Establecimientos de la Salud por Tipo en Chile, Año 2021"/>
    <s v="A nivel nacional, Chile cuenta con 2.457 establecimientos públicos de la salud, lo que corresponde al 78% de todos los establecimientos de la salud. A su vez, existen 691 establecimientos privados correspondientes al 22% restante. Arica y Parinacota es la única región que cuenta con la misma cantidad de establecimientos privados y públicos, 18 de cada uno."/>
    <s v="Gráfico"/>
    <s v="Chile nacional región establecimientos salud tipo proporción privados públicos"/>
    <s v="https://analytics.zoho.com/open-view/2395394000008214357"/>
    <x v="0"/>
    <s v="#1774B9"/>
  </r>
  <r>
    <s v="1176"/>
    <n v="990"/>
    <s v="Agencia Información"/>
    <s v="Salud"/>
    <n v="1"/>
    <x v="61"/>
    <x v="26"/>
    <x v="1"/>
    <x v="1"/>
    <x v="1"/>
    <x v="96"/>
    <s v="Año 2021"/>
    <s v="Número de Establecimientos"/>
    <s v="Departamento de Estadísticas e Información de la Salud (DEIS) - Ministerio de Salud"/>
    <s v="Cantidad de Establecimientos de la Salud por Tipo en la Región de Tarapacá, Año 2021"/>
    <m/>
    <s v="Gráfico"/>
    <s v="Región de Tarapacá regional establecimientos salud tipo proporción privados públicos"/>
    <s v="https://analytics.zoho.com/open-view/2395394000008516593?ZOHO_CRITERIA=%222.1%22.%22C%C3%B3digo%20Regi%C3%B3n%22%20%3D%201"/>
    <x v="1"/>
    <s v="#1774B9"/>
  </r>
  <r>
    <s v="1177"/>
    <n v="990"/>
    <s v="Agencia Información"/>
    <s v="Salud"/>
    <n v="2"/>
    <x v="61"/>
    <x v="26"/>
    <x v="1"/>
    <x v="2"/>
    <x v="1"/>
    <x v="96"/>
    <s v="Año 2021"/>
    <s v="Número de Establecimientos"/>
    <s v="Departamento de Estadísticas e Información de la Salud (DEIS) - Ministerio de Salud"/>
    <s v="Cantidad de Establecimientos de la Salud por Tipo en la Región de Antofagasta, Año 2021"/>
    <m/>
    <s v="Gráfico"/>
    <s v="Región de Antofagasta regional establecimientos salud tipo proporción privados públicos"/>
    <s v="https://analytics.zoho.com/open-view/2395394000008516593?ZOHO_CRITERIA=%222.1%22.%22C%C3%B3digo%20Regi%C3%B3n%22%20%3D%202"/>
    <x v="2"/>
    <s v="#1774B9"/>
  </r>
  <r>
    <s v="1178"/>
    <n v="990"/>
    <s v="Agencia Información"/>
    <s v="Salud"/>
    <n v="3"/>
    <x v="61"/>
    <x v="26"/>
    <x v="1"/>
    <x v="3"/>
    <x v="1"/>
    <x v="96"/>
    <s v="Año 2021"/>
    <s v="Número de Establecimientos"/>
    <s v="Departamento de Estadísticas e Información de la Salud (DEIS) - Ministerio de Salud"/>
    <s v="Cantidad de Establecimientos de la Salud por Tipo en la Región de Atacama, Año 2021"/>
    <m/>
    <s v="Gráfico"/>
    <s v="Región de Atacama regional establecimientos salud tipo proporción privados públicos"/>
    <s v="https://analytics.zoho.com/open-view/2395394000008516593?ZOHO_CRITERIA=%222.1%22.%22C%C3%B3digo%20Regi%C3%B3n%22%20%3D%203"/>
    <x v="3"/>
    <s v="#1774B9"/>
  </r>
  <r>
    <s v="1179"/>
    <n v="990"/>
    <s v="Agencia Información"/>
    <s v="Salud"/>
    <n v="4"/>
    <x v="61"/>
    <x v="26"/>
    <x v="1"/>
    <x v="4"/>
    <x v="1"/>
    <x v="96"/>
    <s v="Año 2021"/>
    <s v="Número de Establecimientos"/>
    <s v="Departamento de Estadísticas e Información de la Salud (DEIS) - Ministerio de Salud"/>
    <s v="Cantidad de Establecimientos de la Salud por Tipo en la Región de Coquimbo, Año 2021"/>
    <m/>
    <s v="Gráfico"/>
    <s v="Región de Coquimbo regional establecimientos salud tipo proporción privados públicos"/>
    <s v="https://analytics.zoho.com/open-view/2395394000008516593?ZOHO_CRITERIA=%222.1%22.%22C%C3%B3digo%20Regi%C3%B3n%22%20%3D%204"/>
    <x v="4"/>
    <s v="#1774B9"/>
  </r>
  <r>
    <s v="1180"/>
    <n v="990"/>
    <s v="Agencia Información"/>
    <s v="Salud"/>
    <n v="5"/>
    <x v="61"/>
    <x v="26"/>
    <x v="1"/>
    <x v="5"/>
    <x v="1"/>
    <x v="96"/>
    <s v="Año 2021"/>
    <s v="Número de Establecimientos"/>
    <s v="Departamento de Estadísticas e Información de la Salud (DEIS) - Ministerio de Salud"/>
    <s v="Cantidad de Establecimientos de la Salud por Tipo en la Región de Valparaíso, Año 2021"/>
    <m/>
    <s v="Gráfico"/>
    <s v="Región de Valparaíso regional establecimientos salud tipo proporción privados públicos"/>
    <s v="https://analytics.zoho.com/open-view/2395394000008516593?ZOHO_CRITERIA=%222.1%22.%22C%C3%B3digo%20Regi%C3%B3n%22%20%3D%205"/>
    <x v="5"/>
    <s v="#1774B9"/>
  </r>
  <r>
    <s v="1181"/>
    <n v="990"/>
    <s v="Agencia Información"/>
    <s v="Salud"/>
    <n v="6"/>
    <x v="61"/>
    <x v="26"/>
    <x v="1"/>
    <x v="6"/>
    <x v="1"/>
    <x v="96"/>
    <s v="Año 2021"/>
    <s v="Número de Establecimientos"/>
    <s v="Departamento de Estadísticas e Información de la Salud (DEIS) - Ministerio de Salud"/>
    <s v="Cantidad de Establecimientos de la Salud por Tipo en la Región de O'Higgins, Año 2021"/>
    <m/>
    <s v="Gráfico"/>
    <s v="Región de O'Higgins regional establecimientos salud tipo proporción privados públicos"/>
    <s v="https://analytics.zoho.com/open-view/2395394000008516593?ZOHO_CRITERIA=%222.1%22.%22C%C3%B3digo%20Regi%C3%B3n%22%20%3D%206"/>
    <x v="6"/>
    <s v="#1774B9"/>
  </r>
  <r>
    <s v="1182"/>
    <n v="990"/>
    <s v="Agencia Información"/>
    <s v="Salud"/>
    <n v="7"/>
    <x v="61"/>
    <x v="26"/>
    <x v="1"/>
    <x v="7"/>
    <x v="1"/>
    <x v="96"/>
    <s v="Año 2021"/>
    <s v="Número de Establecimientos"/>
    <s v="Departamento de Estadísticas e Información de la Salud (DEIS) - Ministerio de Salud"/>
    <s v="Cantidad de Establecimientos de la Salud por Tipo en la Región de Maule, Año 2021"/>
    <m/>
    <s v="Gráfico"/>
    <s v="Región de Maule regional establecimientos salud tipo proporción privados públicos"/>
    <s v="https://analytics.zoho.com/open-view/2395394000008516593?ZOHO_CRITERIA=%222.1%22.%22C%C3%B3digo%20Regi%C3%B3n%22%20%3D%207"/>
    <x v="7"/>
    <s v="#1774B9"/>
  </r>
  <r>
    <s v="1183"/>
    <n v="990"/>
    <s v="Agencia Información"/>
    <s v="Salud"/>
    <n v="8"/>
    <x v="61"/>
    <x v="26"/>
    <x v="1"/>
    <x v="8"/>
    <x v="1"/>
    <x v="96"/>
    <s v="Año 2021"/>
    <s v="Número de Establecimientos"/>
    <s v="Departamento de Estadísticas e Información de la Salud (DEIS) - Ministerio de Salud"/>
    <s v="Cantidad de Establecimientos de la Salud por Tipo en la Región del Biobío, Año 2021"/>
    <m/>
    <s v="Gráfico"/>
    <s v="Región del Biobío regional establecimientos salud tipo proporción privados públicos"/>
    <s v="https://analytics.zoho.com/open-view/2395394000008516593?ZOHO_CRITERIA=%222.1%22.%22C%C3%B3digo%20Regi%C3%B3n%22%20%3D%208"/>
    <x v="8"/>
    <s v="#1774B9"/>
  </r>
  <r>
    <s v="1184"/>
    <n v="990"/>
    <s v="Agencia Información"/>
    <s v="Salud"/>
    <n v="9"/>
    <x v="61"/>
    <x v="26"/>
    <x v="1"/>
    <x v="9"/>
    <x v="1"/>
    <x v="96"/>
    <s v="Año 2021"/>
    <s v="Número de Establecimientos"/>
    <s v="Departamento de Estadísticas e Información de la Salud (DEIS) - Ministerio de Salud"/>
    <s v="Cantidad de Establecimientos de la Salud por Tipo en la Región de La Araucanía, Año 2021"/>
    <m/>
    <s v="Gráfico"/>
    <s v="Región de La Araucanía regional establecimientos salud tipo proporción privados públicos"/>
    <s v="https://analytics.zoho.com/open-view/2395394000008516593?ZOHO_CRITERIA=%222.1%22.%22C%C3%B3digo%20Regi%C3%B3n%22%20%3D%209"/>
    <x v="9"/>
    <s v="#1774B9"/>
  </r>
  <r>
    <s v="1185"/>
    <n v="990"/>
    <s v="Agencia Información"/>
    <s v="Salud"/>
    <n v="10"/>
    <x v="61"/>
    <x v="26"/>
    <x v="1"/>
    <x v="10"/>
    <x v="1"/>
    <x v="96"/>
    <s v="Año 2021"/>
    <s v="Número de Establecimientos"/>
    <s v="Departamento de Estadísticas e Información de la Salud (DEIS) - Ministerio de Salud"/>
    <s v="Cantidad de Establecimientos de la Salud por Tipo en la Región de Los Lagos, Año 2021"/>
    <m/>
    <s v="Gráfico"/>
    <s v="Región de Los Lagos regional establecimientos salud tipo proporción privados públicos"/>
    <s v="https://analytics.zoho.com/open-view/2395394000008516593?ZOHO_CRITERIA=%222.1%22.%22C%C3%B3digo%20Regi%C3%B3n%22%20%3D%2010"/>
    <x v="10"/>
    <s v="#1774B9"/>
  </r>
  <r>
    <s v="1186"/>
    <n v="990"/>
    <s v="Agencia Información"/>
    <s v="Salud"/>
    <n v="11"/>
    <x v="61"/>
    <x v="26"/>
    <x v="1"/>
    <x v="11"/>
    <x v="1"/>
    <x v="96"/>
    <s v="Año 2021"/>
    <s v="Número de Establecimientos"/>
    <s v="Departamento de Estadísticas e Información de la Salud (DEIS) - Ministerio de Salud"/>
    <s v="Cantidad de Establecimientos de la Salud por Tipo en la Región de Aysén, Año 2021"/>
    <m/>
    <s v="Gráfico"/>
    <s v="Región de Aysén regional establecimientos salud tipo proporción privados públicos"/>
    <s v="https://analytics.zoho.com/open-view/2395394000008516593?ZOHO_CRITERIA=%222.1%22.%22C%C3%B3digo%20Regi%C3%B3n%22%20%3D%2011"/>
    <x v="11"/>
    <s v="#1774B9"/>
  </r>
  <r>
    <s v="1187"/>
    <n v="990"/>
    <s v="Agencia Información"/>
    <s v="Salud"/>
    <n v="12"/>
    <x v="61"/>
    <x v="26"/>
    <x v="1"/>
    <x v="12"/>
    <x v="1"/>
    <x v="96"/>
    <s v="Año 2021"/>
    <s v="Número de Establecimientos"/>
    <s v="Departamento de Estadísticas e Información de la Salud (DEIS) - Ministerio de Salud"/>
    <s v="Cantidad de Establecimientos de la Salud por Tipo en la Región de Magallanes, Año 2021"/>
    <m/>
    <s v="Gráfico"/>
    <s v="Región de Magallanes regional establecimientos salud tipo proporción privados públicos"/>
    <s v="https://analytics.zoho.com/open-view/2395394000008516593?ZOHO_CRITERIA=%222.1%22.%22C%C3%B3digo%20Regi%C3%B3n%22%20%3D%2012"/>
    <x v="12"/>
    <s v="#1774B9"/>
  </r>
  <r>
    <s v="1188"/>
    <n v="990"/>
    <s v="Agencia Información"/>
    <s v="Salud"/>
    <n v="13"/>
    <x v="61"/>
    <x v="26"/>
    <x v="1"/>
    <x v="13"/>
    <x v="1"/>
    <x v="96"/>
    <s v="Año 2021"/>
    <s v="Número de Establecimientos"/>
    <s v="Departamento de Estadísticas e Información de la Salud (DEIS) - Ministerio de Salud"/>
    <s v="Cantidad de Establecimientos de la Salud por Tipo en la Región Metropolitana, Año 2021"/>
    <m/>
    <s v="Gráfico"/>
    <s v="Región Metropolitana regional establecimientos salud tipo proporción privados públicos"/>
    <s v="https://analytics.zoho.com/open-view/2395394000008516593?ZOHO_CRITERIA=%222.1%22.%22C%C3%B3digo%20Regi%C3%B3n%22%20%3D%2013"/>
    <x v="13"/>
    <s v="#1774B9"/>
  </r>
  <r>
    <s v="1189"/>
    <n v="990"/>
    <s v="Agencia Información"/>
    <s v="Salud"/>
    <n v="14"/>
    <x v="61"/>
    <x v="26"/>
    <x v="1"/>
    <x v="14"/>
    <x v="1"/>
    <x v="96"/>
    <s v="Año 2021"/>
    <s v="Número de Establecimientos"/>
    <s v="Departamento de Estadísticas e Información de la Salud (DEIS) - Ministerio de Salud"/>
    <s v="Cantidad de Establecimientos de la Salud por Tipo en la Región de Los Ríos, Año 2021"/>
    <m/>
    <s v="Gráfico"/>
    <s v="Región de Los Ríos regional establecimientos salud tipo proporción privados públicos"/>
    <s v="https://analytics.zoho.com/open-view/2395394000008516593?ZOHO_CRITERIA=%222.1%22.%22C%C3%B3digo%20Regi%C3%B3n%22%20%3D%2014"/>
    <x v="14"/>
    <s v="#1774B9"/>
  </r>
  <r>
    <s v="1190"/>
    <n v="990"/>
    <s v="Agencia Información"/>
    <s v="Salud"/>
    <n v="15"/>
    <x v="61"/>
    <x v="26"/>
    <x v="1"/>
    <x v="15"/>
    <x v="1"/>
    <x v="96"/>
    <s v="Año 2021"/>
    <s v="Número de Establecimientos"/>
    <s v="Departamento de Estadísticas e Información de la Salud (DEIS) - Ministerio de Salud"/>
    <s v="Cantidad de Establecimientos de la Salud por Tipo en la Región de Arica y Parinacota, Año 2021"/>
    <m/>
    <s v="Gráfico"/>
    <s v="Región de Arica y Parinacota regional establecimientos salud tipo proporción privados públicos"/>
    <s v="https://analytics.zoho.com/open-view/2395394000008516593?ZOHO_CRITERIA=%222.1%22.%22C%C3%B3digo%20Regi%C3%B3n%22%20%3D%2015"/>
    <x v="15"/>
    <s v="#1774B9"/>
  </r>
  <r>
    <s v="1191"/>
    <n v="990"/>
    <s v="Agencia Información"/>
    <s v="Salud"/>
    <n v="16"/>
    <x v="61"/>
    <x v="26"/>
    <x v="1"/>
    <x v="16"/>
    <x v="1"/>
    <x v="96"/>
    <s v="Año 2021"/>
    <s v="Número de Establecimientos"/>
    <s v="Departamento de Estadísticas e Información de la Salud (DEIS) - Ministerio de Salud"/>
    <s v="Cantidad de Establecimientos de la Salud por Tipo en la Región de Ñuble, Año 2021"/>
    <m/>
    <s v="Gráfico"/>
    <s v="Región de Ñuble regional establecimientos salud tipo proporción privados públicos"/>
    <s v="https://analytics.zoho.com/open-view/2395394000008516593?ZOHO_CRITERIA=%222.1%22.%22C%C3%B3digo%20Regi%C3%B3n%22%20%3D%2016"/>
    <x v="16"/>
    <s v="#1774B9"/>
  </r>
  <r>
    <s v="1192"/>
    <n v="990"/>
    <s v="Agencia Información"/>
    <s v="Mujeres"/>
    <n v="0"/>
    <x v="21"/>
    <x v="2"/>
    <x v="0"/>
    <x v="0"/>
    <x v="0"/>
    <x v="98"/>
    <s v="Periodo 2010-2016"/>
    <s v="Número de atenciones médicas"/>
    <s v="Departamento de Estadísticas e Información de la Salud (DEIS) - Ministerio de Salud"/>
    <s v="Atenciones Médicas por Violencia de Género por Región en Chile, Periodo 2010-2016"/>
    <s v="Las Atenciones en Salud por Violencia de Género se califican de acuerdo al concepto bajo el cual fue ingresada la urgencia. El concepto &quot;Otra Violencia&quot; fue el más común durante el periodo 2010-2016, seguido por &quot;Violencia Intrafamiliar&quot; para el año 2016."/>
    <s v="Gráfico"/>
    <s v="Chile nacional región atenciones médicas salud violencia género concepto urgencia abuso sexual violación anticonceptivo anticoncepción estupro física intrafamiliar emergencia"/>
    <s v="https://analytics.zoho.com/open-view/2395394000008195644"/>
    <x v="0"/>
    <s v="#1774B9"/>
  </r>
  <r>
    <s v="1193"/>
    <n v="990"/>
    <s v="Agencia Información"/>
    <s v="Mujeres"/>
    <n v="1"/>
    <x v="21"/>
    <x v="2"/>
    <x v="1"/>
    <x v="1"/>
    <x v="1"/>
    <x v="99"/>
    <s v="Periodo 2010-2016"/>
    <s v="Número de atenciones médicas"/>
    <s v="Departamento de Estadísticas e Información de la Salud (DEIS) - Ministerio de Salud"/>
    <s v="Atenciones Médicas por Violencia de Género en la Región de Tarapacá, Periodo 2010-2016"/>
    <m/>
    <s v="Gráfico"/>
    <s v="Región de Tarapacá regional atenciones médicas salud violencia género concepto urgencia abuso sexual violación anticonceptivo anticoncepción estupro física intrafamiliar emergencia"/>
    <s v="https://analytics.zoho.com/open-view/2395394000008516001?ZOHO_CRITERIA=%2227.10%22.%22Id_Regi%C3%B3n%22%20%3D%201"/>
    <x v="1"/>
    <s v="#1774B9"/>
  </r>
  <r>
    <s v="1194"/>
    <n v="990"/>
    <s v="Agencia Información"/>
    <s v="Mujeres"/>
    <n v="2"/>
    <x v="21"/>
    <x v="2"/>
    <x v="1"/>
    <x v="2"/>
    <x v="1"/>
    <x v="99"/>
    <s v="Periodo 2010-2016"/>
    <s v="Número de atenciones médicas"/>
    <s v="Departamento de Estadísticas e Información de la Salud (DEIS) - Ministerio de Salud"/>
    <s v="Atenciones Médicas por Violencia de Género en la Región de Antofagasta, Periodo 2010-2016"/>
    <m/>
    <s v="Gráfico"/>
    <s v="Región de Antofagasta regional atenciones médicas salud violencia género concepto urgencia abuso sexual violación anticonceptivo anticoncepción estupro física intrafamiliar emergencia"/>
    <s v="https://analytics.zoho.com/open-view/2395394000008516001?ZOHO_CRITERIA=%2227.10%22.%22Id_Regi%C3%B3n%22%20%3D%202"/>
    <x v="2"/>
    <s v="#1774B9"/>
  </r>
  <r>
    <s v="1195"/>
    <n v="990"/>
    <s v="Agencia Información"/>
    <s v="Mujeres"/>
    <n v="3"/>
    <x v="21"/>
    <x v="2"/>
    <x v="1"/>
    <x v="3"/>
    <x v="1"/>
    <x v="99"/>
    <s v="Periodo 2010-2016"/>
    <s v="Número de atenciones médicas"/>
    <s v="Departamento de Estadísticas e Información de la Salud (DEIS) - Ministerio de Salud"/>
    <s v="Atenciones Médicas por Violencia de Género en la Región de Atacama, Periodo 2010-2016"/>
    <m/>
    <s v="Gráfico"/>
    <s v="Región de Atacama regional atenciones médicas salud violencia género concepto urgencia abuso sexual violación anticonceptivo anticoncepción estupro física intrafamiliar emergencia"/>
    <s v="https://analytics.zoho.com/open-view/2395394000008516001?ZOHO_CRITERIA=%2227.10%22.%22Id_Regi%C3%B3n%22%20%3D%203"/>
    <x v="3"/>
    <s v="#1774B9"/>
  </r>
  <r>
    <s v="1196"/>
    <n v="990"/>
    <s v="Agencia Información"/>
    <s v="Mujeres"/>
    <n v="4"/>
    <x v="21"/>
    <x v="2"/>
    <x v="1"/>
    <x v="4"/>
    <x v="1"/>
    <x v="99"/>
    <s v="Periodo 2010-2016"/>
    <s v="Número de atenciones médicas"/>
    <s v="Departamento de Estadísticas e Información de la Salud (DEIS) - Ministerio de Salud"/>
    <s v="Atenciones Médicas por Violencia de Género en la Región de Coquimbo, Periodo 2010-2016"/>
    <m/>
    <s v="Gráfico"/>
    <s v="Región de Coquimbo regional atenciones médicas salud violencia género concepto urgencia abuso sexual violación anticonceptivo anticoncepción estupro física intrafamiliar emergencia"/>
    <s v="https://analytics.zoho.com/open-view/2395394000008516001?ZOHO_CRITERIA=%2227.10%22.%22Id_Regi%C3%B3n%22%20%3D%204"/>
    <x v="4"/>
    <s v="#1774B9"/>
  </r>
  <r>
    <s v="1197"/>
    <n v="990"/>
    <s v="Agencia Información"/>
    <s v="Mujeres"/>
    <n v="5"/>
    <x v="21"/>
    <x v="2"/>
    <x v="1"/>
    <x v="5"/>
    <x v="1"/>
    <x v="99"/>
    <s v="Periodo 2010-2016"/>
    <s v="Número de atenciones médicas"/>
    <s v="Departamento de Estadísticas e Información de la Salud (DEIS) - Ministerio de Salud"/>
    <s v="Atenciones Médicas por Violencia de Género en la Región de Valparaíso, Periodo 2010-2016"/>
    <m/>
    <s v="Gráfico"/>
    <s v="Región de Valparaíso regional atenciones médicas salud violencia género concepto urgencia abuso sexual violación anticonceptivo anticoncepción estupro física intrafamiliar emergencia"/>
    <s v="https://analytics.zoho.com/open-view/2395394000008516001?ZOHO_CRITERIA=%2227.10%22.%22Id_Regi%C3%B3n%22%20%3D%205"/>
    <x v="5"/>
    <s v="#1774B9"/>
  </r>
  <r>
    <s v="1198"/>
    <n v="990"/>
    <s v="Agencia Información"/>
    <s v="Mujeres"/>
    <n v="6"/>
    <x v="21"/>
    <x v="2"/>
    <x v="1"/>
    <x v="6"/>
    <x v="1"/>
    <x v="99"/>
    <s v="Periodo 2010-2016"/>
    <s v="Número de atenciones médicas"/>
    <s v="Departamento de Estadísticas e Información de la Salud (DEIS) - Ministerio de Salud"/>
    <s v="Atenciones Médicas por Violencia de Género en la Región de O'Higgins, Periodo 2010-2016"/>
    <m/>
    <s v="Gráfico"/>
    <s v="Región de O'Higgins regional atenciones médicas salud violencia género concepto urgencia abuso sexual violación anticonceptivo anticoncepción estupro física intrafamiliar emergencia"/>
    <s v="https://analytics.zoho.com/open-view/2395394000008516001?ZOHO_CRITERIA=%2227.10%22.%22Id_Regi%C3%B3n%22%20%3D%206"/>
    <x v="6"/>
    <s v="#1774B9"/>
  </r>
  <r>
    <s v="1199"/>
    <n v="990"/>
    <s v="Agencia Información"/>
    <s v="Mujeres"/>
    <n v="7"/>
    <x v="21"/>
    <x v="2"/>
    <x v="1"/>
    <x v="7"/>
    <x v="1"/>
    <x v="99"/>
    <s v="Periodo 2010-2016"/>
    <s v="Número de atenciones médicas"/>
    <s v="Departamento de Estadísticas e Información de la Salud (DEIS) - Ministerio de Salud"/>
    <s v="Atenciones Médicas por Violencia de Género en la Región de Maule, Periodo 2010-2016"/>
    <m/>
    <s v="Gráfico"/>
    <s v="Región de Maule regional atenciones médicas salud violencia género concepto urgencia abuso sexual violación anticonceptivo anticoncepción estupro física intrafamiliar emergencia"/>
    <s v="https://analytics.zoho.com/open-view/2395394000008516001?ZOHO_CRITERIA=%2227.10%22.%22Id_Regi%C3%B3n%22%20%3D%207"/>
    <x v="7"/>
    <s v="#1774B9"/>
  </r>
  <r>
    <s v="1200"/>
    <n v="990"/>
    <s v="Agencia Información"/>
    <s v="Mujeres"/>
    <n v="8"/>
    <x v="21"/>
    <x v="2"/>
    <x v="1"/>
    <x v="8"/>
    <x v="1"/>
    <x v="99"/>
    <s v="Periodo 2010-2016"/>
    <s v="Número de atenciones médicas"/>
    <s v="Departamento de Estadísticas e Información de la Salud (DEIS) - Ministerio de Salud"/>
    <s v="Atenciones Médicas por Violencia de Género en la Región del Biobío, Periodo 2010-2016"/>
    <m/>
    <s v="Gráfico"/>
    <s v="Región del Biobío regional atenciones médicas salud violencia género concepto urgencia abuso sexual violación anticonceptivo anticoncepción estupro física intrafamiliar emergencia"/>
    <s v="https://analytics.zoho.com/open-view/2395394000008516001?ZOHO_CRITERIA=%2227.10%22.%22Id_Regi%C3%B3n%22%20%3D%208"/>
    <x v="8"/>
    <s v="#1774B9"/>
  </r>
  <r>
    <s v="1201"/>
    <n v="990"/>
    <s v="Agencia Información"/>
    <s v="Mujeres"/>
    <n v="9"/>
    <x v="21"/>
    <x v="2"/>
    <x v="1"/>
    <x v="9"/>
    <x v="1"/>
    <x v="99"/>
    <s v="Periodo 2010-2016"/>
    <s v="Número de atenciones médicas"/>
    <s v="Departamento de Estadísticas e Información de la Salud (DEIS) - Ministerio de Salud"/>
    <s v="Atenciones Médicas por Violencia de Género en la Región de La Araucanía, Periodo 2010-2016"/>
    <m/>
    <s v="Gráfico"/>
    <s v="Región de La Araucanía regional atenciones médicas salud violencia género concepto urgencia abuso sexual violación anticonceptivo anticoncepción estupro física intrafamiliar emergencia"/>
    <s v="https://analytics.zoho.com/open-view/2395394000008516001?ZOHO_CRITERIA=%2227.10%22.%22Id_Regi%C3%B3n%22%20%3D%209"/>
    <x v="9"/>
    <s v="#1774B9"/>
  </r>
  <r>
    <s v="1202"/>
    <n v="990"/>
    <s v="Agencia Información"/>
    <s v="Mujeres"/>
    <n v="10"/>
    <x v="21"/>
    <x v="2"/>
    <x v="1"/>
    <x v="10"/>
    <x v="1"/>
    <x v="99"/>
    <s v="Periodo 2010-2016"/>
    <s v="Número de atenciones médicas"/>
    <s v="Departamento de Estadísticas e Información de la Salud (DEIS) - Ministerio de Salud"/>
    <s v="Atenciones Médicas por Violencia de Género en la Región de Los Lagos, Periodo 2010-2016"/>
    <m/>
    <s v="Gráfico"/>
    <s v="Región de Los Lagos regional atenciones médicas salud violencia género concepto urgencia abuso sexual violación anticonceptivo anticoncepción estupro física intrafamiliar emergencia"/>
    <s v="https://analytics.zoho.com/open-view/2395394000008516001?ZOHO_CRITERIA=%2227.10%22.%22Id_Regi%C3%B3n%22%20%3D%2010"/>
    <x v="10"/>
    <s v="#1774B9"/>
  </r>
  <r>
    <s v="1203"/>
    <n v="990"/>
    <s v="Agencia Información"/>
    <s v="Mujeres"/>
    <n v="11"/>
    <x v="21"/>
    <x v="2"/>
    <x v="1"/>
    <x v="11"/>
    <x v="1"/>
    <x v="99"/>
    <s v="Periodo 2010-2016"/>
    <s v="Número de atenciones médicas"/>
    <s v="Departamento de Estadísticas e Información de la Salud (DEIS) - Ministerio de Salud"/>
    <s v="Atenciones Médicas por Violencia de Género en la Región de Aysén, Periodo 2010-2016"/>
    <m/>
    <s v="Gráfico"/>
    <s v="Región de Aysén regional atenciones médicas salud violencia género concepto urgencia abuso sexual violación anticonceptivo anticoncepción estupro física intrafamiliar emergencia"/>
    <s v="https://analytics.zoho.com/open-view/2395394000008516001?ZOHO_CRITERIA=%2227.10%22.%22Id_Regi%C3%B3n%22%20%3D%2011"/>
    <x v="11"/>
    <s v="#1774B9"/>
  </r>
  <r>
    <s v="1204"/>
    <n v="990"/>
    <s v="Agencia Información"/>
    <s v="Mujeres"/>
    <n v="12"/>
    <x v="21"/>
    <x v="2"/>
    <x v="1"/>
    <x v="12"/>
    <x v="1"/>
    <x v="99"/>
    <s v="Periodo 2010-2016"/>
    <s v="Número de atenciones médicas"/>
    <s v="Departamento de Estadísticas e Información de la Salud (DEIS) - Ministerio de Salud"/>
    <s v="Atenciones Médicas por Violencia de Género en la Región de Magallanes, Periodo 2010-2016"/>
    <m/>
    <s v="Gráfico"/>
    <s v="Región de Magallanes regional atenciones médicas salud violencia género concepto urgencia abuso sexual violación anticonceptivo anticoncepción estupro física intrafamiliar emergencia"/>
    <s v="https://analytics.zoho.com/open-view/2395394000008516001?ZOHO_CRITERIA=%2227.10%22.%22Id_Regi%C3%B3n%22%20%3D%2012"/>
    <x v="12"/>
    <s v="#1774B9"/>
  </r>
  <r>
    <s v="1205"/>
    <n v="990"/>
    <s v="Agencia Información"/>
    <s v="Mujeres"/>
    <n v="13"/>
    <x v="21"/>
    <x v="2"/>
    <x v="1"/>
    <x v="13"/>
    <x v="1"/>
    <x v="99"/>
    <s v="Periodo 2010-2016"/>
    <s v="Número de atenciones médicas"/>
    <s v="Departamento de Estadísticas e Información de la Salud (DEIS) - Ministerio de Salud"/>
    <s v="Atenciones Médicas por Violencia de Género en la Región Metropolitana, Periodo 2010-2016"/>
    <m/>
    <s v="Gráfico"/>
    <s v="Región Metropolitana regional atenciones médicas salud violencia género concepto urgencia abuso sexual violación anticonceptivo anticoncepción estupro física intrafamiliar emergencia"/>
    <s v="https://analytics.zoho.com/open-view/2395394000008516001?ZOHO_CRITERIA=%2227.10%22.%22Id_Regi%C3%B3n%22%20%3D%2013"/>
    <x v="13"/>
    <s v="#1774B9"/>
  </r>
  <r>
    <s v="1206"/>
    <n v="990"/>
    <s v="Agencia Información"/>
    <s v="Mujeres"/>
    <n v="14"/>
    <x v="21"/>
    <x v="2"/>
    <x v="1"/>
    <x v="14"/>
    <x v="1"/>
    <x v="99"/>
    <s v="Periodo 2010-2016"/>
    <s v="Número de atenciones médicas"/>
    <s v="Departamento de Estadísticas e Información de la Salud (DEIS) - Ministerio de Salud"/>
    <s v="Atenciones Médicas por Violencia de Género en la Región de Los Ríos, Periodo 2010-2016"/>
    <m/>
    <s v="Gráfico"/>
    <s v="Región de Los Ríos regional atenciones médicas salud violencia género concepto urgencia abuso sexual violación anticonceptivo anticoncepción estupro física intrafamiliar emergencia"/>
    <s v="https://analytics.zoho.com/open-view/2395394000008516001?ZOHO_CRITERIA=%2227.10%22.%22Id_Regi%C3%B3n%22%20%3D%2014"/>
    <x v="14"/>
    <s v="#1774B9"/>
  </r>
  <r>
    <s v="1207"/>
    <n v="990"/>
    <s v="Agencia Información"/>
    <s v="Mujeres"/>
    <n v="15"/>
    <x v="21"/>
    <x v="2"/>
    <x v="1"/>
    <x v="15"/>
    <x v="1"/>
    <x v="99"/>
    <s v="Periodo 2010-2016"/>
    <s v="Número de atenciones médicas"/>
    <s v="Departamento de Estadísticas e Información de la Salud (DEIS) - Ministerio de Salud"/>
    <s v="Atenciones Médicas por Violencia de Género en la Región de Arica y Parinacota, Periodo 2010-2016"/>
    <m/>
    <s v="Gráfico"/>
    <s v="Región de Arica y Parinacota regional atenciones médicas salud violencia género concepto urgencia abuso sexual violación anticonceptivo anticoncepción estupro física intrafamiliar emergencia"/>
    <s v="https://analytics.zoho.com/open-view/2395394000008516001?ZOHO_CRITERIA=%2227.10%22.%22Id_Regi%C3%B3n%22%20%3D%2015"/>
    <x v="15"/>
    <s v="#1774B9"/>
  </r>
  <r>
    <s v="1208"/>
    <n v="990"/>
    <s v="Agencia Información"/>
    <s v="Mujeres"/>
    <n v="16"/>
    <x v="21"/>
    <x v="2"/>
    <x v="1"/>
    <x v="16"/>
    <x v="1"/>
    <x v="99"/>
    <s v="Periodo 2010-2016"/>
    <s v="Número de atenciones médicas"/>
    <s v="Departamento de Estadísticas e Información de la Salud (DEIS) - Ministerio de Salud"/>
    <s v="Atenciones Médicas por Violencia de Género en la Región de Ñuble, Periodo 2010-2016"/>
    <m/>
    <s v="Gráfico"/>
    <s v="Región de Ñuble regional atenciones médicas salud violencia género concepto urgencia abuso sexual violación anticonceptivo anticoncepción estupro física intrafamiliar emergencia"/>
    <s v="https://analytics.zoho.com/open-view/2395394000008516001?ZOHO_CRITERIA=%2227.10%22.%22Id_Regi%C3%B3n%22%20%3D%2016"/>
    <x v="16"/>
    <s v="#1774B9"/>
  </r>
  <r>
    <s v="1209"/>
    <n v="990"/>
    <s v="Agencia Información"/>
    <s v="Salud"/>
    <n v="0"/>
    <x v="61"/>
    <x v="26"/>
    <x v="0"/>
    <x v="0"/>
    <x v="0"/>
    <x v="97"/>
    <s v="Año 2021"/>
    <s v="Número de Establecimientos"/>
    <s v="Departamento de Estadísticas e Información de la Salud (DEIS) - Ministerio de Salud"/>
    <s v="Cantidad de Establecimientos de la Salud por Tipo y Categoría en Chile, Año 2021"/>
    <s v="Las Postas son los establecimientos de la salud que más prevalecen en Chile, alcanzando un total de 1.128. Le siguen los CESFAM, con un total de 863 establecimientos. Entre los establecimientos privados, la mayoría corresponden a Laboratorios clínicos o dentales, seguidos de Clínicas."/>
    <s v="Gráfico"/>
    <s v="Chile nacional región establecimientos salud tipo privados públicos hospitales clínicas cesfam sapu postas laboratorios dentales clínicos alta baja media complejidad diálisis vacunatorios consultorio"/>
    <s v="https://analytics.zoho.com/open-view/2395394000008214286"/>
    <x v="0"/>
    <s v="#1774B9"/>
  </r>
  <r>
    <s v="1210"/>
    <n v="990"/>
    <s v="Agencia Información"/>
    <s v="Salud"/>
    <n v="1"/>
    <x v="61"/>
    <x v="26"/>
    <x v="1"/>
    <x v="1"/>
    <x v="1"/>
    <x v="97"/>
    <s v="Año 2021"/>
    <s v="Número de Establecimientos"/>
    <s v="Departamento de Estadísticas e Información de la Salud (DEIS) - Ministerio de Salud"/>
    <s v="Cantidad de Establecimientos de la Salud por Tipo y Categoría en la Región de Tarapacá, Año 2021"/>
    <m/>
    <s v="Gráfico"/>
    <s v="Región de Tarapacá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1"/>
    <x v="1"/>
    <s v="#1774B9"/>
  </r>
  <r>
    <s v="1211"/>
    <n v="990"/>
    <s v="Agencia Información"/>
    <s v="Salud"/>
    <n v="2"/>
    <x v="61"/>
    <x v="26"/>
    <x v="1"/>
    <x v="2"/>
    <x v="1"/>
    <x v="97"/>
    <s v="Año 2021"/>
    <s v="Número de Establecimientos"/>
    <s v="Departamento de Estadísticas e Información de la Salud (DEIS) - Ministerio de Salud"/>
    <s v="Cantidad de Establecimientos de la Salud por Tipo y Categoría en la Región de Antofagasta, Año 2021"/>
    <m/>
    <s v="Gráfico"/>
    <s v="Región de Antofagasta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2"/>
    <x v="2"/>
    <s v="#1774B9"/>
  </r>
  <r>
    <s v="1212"/>
    <n v="990"/>
    <s v="Agencia Información"/>
    <s v="Salud"/>
    <n v="3"/>
    <x v="61"/>
    <x v="26"/>
    <x v="1"/>
    <x v="3"/>
    <x v="1"/>
    <x v="97"/>
    <s v="Año 2021"/>
    <s v="Número de Establecimientos"/>
    <s v="Departamento de Estadísticas e Información de la Salud (DEIS) - Ministerio de Salud"/>
    <s v="Cantidad de Establecimientos de la Salud por Tipo y Categoría en la Región de Atacama, Año 2021"/>
    <m/>
    <s v="Gráfico"/>
    <s v="Región de Atacama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3"/>
    <x v="3"/>
    <s v="#1774B9"/>
  </r>
  <r>
    <s v="1213"/>
    <n v="990"/>
    <s v="Agencia Información"/>
    <s v="Salud"/>
    <n v="4"/>
    <x v="61"/>
    <x v="26"/>
    <x v="1"/>
    <x v="4"/>
    <x v="1"/>
    <x v="97"/>
    <s v="Año 2021"/>
    <s v="Número de Establecimientos"/>
    <s v="Departamento de Estadísticas e Información de la Salud (DEIS) - Ministerio de Salud"/>
    <s v="Cantidad de Establecimientos de la Salud por Tipo y Categoría en la Región de Coquimbo, Año 2021"/>
    <m/>
    <s v="Gráfico"/>
    <s v="Región de Coquimbo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4"/>
    <x v="4"/>
    <s v="#1774B9"/>
  </r>
  <r>
    <s v="1214"/>
    <n v="990"/>
    <s v="Agencia Información"/>
    <s v="Salud"/>
    <n v="5"/>
    <x v="61"/>
    <x v="26"/>
    <x v="1"/>
    <x v="5"/>
    <x v="1"/>
    <x v="97"/>
    <s v="Año 2021"/>
    <s v="Número de Establecimientos"/>
    <s v="Departamento de Estadísticas e Información de la Salud (DEIS) - Ministerio de Salud"/>
    <s v="Cantidad de Establecimientos de la Salud por Tipo y Categoría en la Región de Valparaíso, Año 2021"/>
    <m/>
    <s v="Gráfico"/>
    <s v="Región de Valparaíso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5"/>
    <x v="5"/>
    <s v="#1774B9"/>
  </r>
  <r>
    <s v="1215"/>
    <n v="990"/>
    <s v="Agencia Información"/>
    <s v="Salud"/>
    <n v="6"/>
    <x v="61"/>
    <x v="26"/>
    <x v="1"/>
    <x v="6"/>
    <x v="1"/>
    <x v="97"/>
    <s v="Año 2021"/>
    <s v="Número de Establecimientos"/>
    <s v="Departamento de Estadísticas e Información de la Salud (DEIS) - Ministerio de Salud"/>
    <s v="Cantidad de Establecimientos de la Salud por Tipo y Categoría en la Región de O'Higgins, Año 2021"/>
    <m/>
    <s v="Gráfico"/>
    <s v="Región de O'Higgins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6"/>
    <x v="6"/>
    <s v="#1774B9"/>
  </r>
  <r>
    <s v="1216"/>
    <n v="990"/>
    <s v="Agencia Información"/>
    <s v="Salud"/>
    <n v="7"/>
    <x v="61"/>
    <x v="26"/>
    <x v="1"/>
    <x v="7"/>
    <x v="1"/>
    <x v="97"/>
    <s v="Año 2021"/>
    <s v="Número de Establecimientos"/>
    <s v="Departamento de Estadísticas e Información de la Salud (DEIS) - Ministerio de Salud"/>
    <s v="Cantidad de Establecimientos de la Salud por Tipo y Categoría en la Región de Maule, Año 2021"/>
    <m/>
    <s v="Gráfico"/>
    <s v="Región de Maule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7"/>
    <x v="7"/>
    <s v="#1774B9"/>
  </r>
  <r>
    <s v="1217"/>
    <n v="990"/>
    <s v="Agencia Información"/>
    <s v="Salud"/>
    <n v="8"/>
    <x v="61"/>
    <x v="26"/>
    <x v="1"/>
    <x v="8"/>
    <x v="1"/>
    <x v="97"/>
    <s v="Año 2021"/>
    <s v="Número de Establecimientos"/>
    <s v="Departamento de Estadísticas e Información de la Salud (DEIS) - Ministerio de Salud"/>
    <s v="Cantidad de Establecimientos de la Salud por Tipo y Categoría en la Región del Biobío, Año 2021"/>
    <m/>
    <s v="Gráfico"/>
    <s v="Región del Biobío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8"/>
    <x v="8"/>
    <s v="#1774B9"/>
  </r>
  <r>
    <s v="1218"/>
    <n v="990"/>
    <s v="Agencia Información"/>
    <s v="Salud"/>
    <n v="9"/>
    <x v="61"/>
    <x v="26"/>
    <x v="1"/>
    <x v="9"/>
    <x v="1"/>
    <x v="97"/>
    <s v="Año 2021"/>
    <s v="Número de Establecimientos"/>
    <s v="Departamento de Estadísticas e Información de la Salud (DEIS) - Ministerio de Salud"/>
    <s v="Cantidad de Establecimientos de la Salud por Tipo y Categoría en la Región de La Araucanía, Año 2021"/>
    <m/>
    <s v="Gráfico"/>
    <s v="Región de La Araucanía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9"/>
    <x v="9"/>
    <s v="#1774B9"/>
  </r>
  <r>
    <s v="1219"/>
    <n v="990"/>
    <s v="Agencia Información"/>
    <s v="Salud"/>
    <n v="10"/>
    <x v="61"/>
    <x v="26"/>
    <x v="1"/>
    <x v="10"/>
    <x v="1"/>
    <x v="97"/>
    <s v="Año 2021"/>
    <s v="Número de Establecimientos"/>
    <s v="Departamento de Estadísticas e Información de la Salud (DEIS) - Ministerio de Salud"/>
    <s v="Cantidad de Establecimientos de la Salud por Tipo y Categoría en la Región de Los Lagos, Año 2021"/>
    <m/>
    <s v="Gráfico"/>
    <s v="Región de Los Lagos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10"/>
    <x v="10"/>
    <s v="#1774B9"/>
  </r>
  <r>
    <s v="1220"/>
    <n v="990"/>
    <s v="Agencia Información"/>
    <s v="Salud"/>
    <n v="11"/>
    <x v="61"/>
    <x v="26"/>
    <x v="1"/>
    <x v="11"/>
    <x v="1"/>
    <x v="97"/>
    <s v="Año 2021"/>
    <s v="Número de Establecimientos"/>
    <s v="Departamento de Estadísticas e Información de la Salud (DEIS) - Ministerio de Salud"/>
    <s v="Cantidad de Establecimientos de la Salud por Tipo y Categoría en la Región de Aysén, Año 2021"/>
    <m/>
    <s v="Gráfico"/>
    <s v="Región de Aysén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11"/>
    <x v="11"/>
    <s v="#1774B9"/>
  </r>
  <r>
    <s v="1221"/>
    <n v="990"/>
    <s v="Agencia Información"/>
    <s v="Salud"/>
    <n v="12"/>
    <x v="61"/>
    <x v="26"/>
    <x v="1"/>
    <x v="12"/>
    <x v="1"/>
    <x v="97"/>
    <s v="Año 2021"/>
    <s v="Número de Establecimientos"/>
    <s v="Departamento de Estadísticas e Información de la Salud (DEIS) - Ministerio de Salud"/>
    <s v="Cantidad de Establecimientos de la Salud por Tipo y Categoría en la Región de Magallanes, Año 2021"/>
    <m/>
    <s v="Gráfico"/>
    <s v="Región de Magallanes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12"/>
    <x v="12"/>
    <s v="#1774B9"/>
  </r>
  <r>
    <s v="1222"/>
    <n v="990"/>
    <s v="Agencia Información"/>
    <s v="Salud"/>
    <n v="13"/>
    <x v="61"/>
    <x v="26"/>
    <x v="1"/>
    <x v="13"/>
    <x v="1"/>
    <x v="97"/>
    <s v="Año 2021"/>
    <s v="Número de Establecimientos"/>
    <s v="Departamento de Estadísticas e Información de la Salud (DEIS) - Ministerio de Salud"/>
    <s v="Cantidad de Establecimientos de la Salud por Tipo y Categoría en la Región Metropolitana, Año 2021"/>
    <m/>
    <s v="Gráfico"/>
    <s v="Región Metropolitana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13"/>
    <x v="13"/>
    <s v="#1774B9"/>
  </r>
  <r>
    <s v="1223"/>
    <n v="990"/>
    <s v="Agencia Información"/>
    <s v="Salud"/>
    <n v="14"/>
    <x v="61"/>
    <x v="26"/>
    <x v="1"/>
    <x v="14"/>
    <x v="1"/>
    <x v="97"/>
    <s v="Año 2021"/>
    <s v="Número de Establecimientos"/>
    <s v="Departamento de Estadísticas e Información de la Salud (DEIS) - Ministerio de Salud"/>
    <s v="Cantidad de Establecimientos de la Salud por Tipo y Categoría en la Región de Los Ríos, Año 2021"/>
    <m/>
    <s v="Gráfico"/>
    <s v="Región de Los Ríos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14"/>
    <x v="14"/>
    <s v="#1774B9"/>
  </r>
  <r>
    <s v="1224"/>
    <n v="990"/>
    <s v="Agencia Información"/>
    <s v="Salud"/>
    <n v="15"/>
    <x v="61"/>
    <x v="26"/>
    <x v="1"/>
    <x v="15"/>
    <x v="1"/>
    <x v="97"/>
    <s v="Año 2021"/>
    <s v="Número de Establecimientos"/>
    <s v="Departamento de Estadísticas e Información de la Salud (DEIS) - Ministerio de Salud"/>
    <s v="Cantidad de Establecimientos de la Salud por Tipo y Categoría en la Región de Arica y Parinacota, Año 2021"/>
    <m/>
    <s v="Gráfico"/>
    <s v="Región de Arica y Parinacota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15"/>
    <x v="15"/>
    <s v="#1774B9"/>
  </r>
  <r>
    <s v="1225"/>
    <n v="990"/>
    <s v="Agencia Información"/>
    <s v="Salud"/>
    <n v="16"/>
    <x v="61"/>
    <x v="26"/>
    <x v="1"/>
    <x v="16"/>
    <x v="1"/>
    <x v="97"/>
    <s v="Año 2021"/>
    <s v="Número de Establecimientos"/>
    <s v="Departamento de Estadísticas e Información de la Salud (DEIS) - Ministerio de Salud"/>
    <s v="Cantidad de Establecimientos de la Salud por Tipo y Categoría en la Región de Ñuble, Año 2021"/>
    <m/>
    <s v="Gráfico"/>
    <s v="Región de Ñuble regional establecimientos salud tipo privados públicos hospitales clínicas cesfam sapu postas laboratorios dentales clínicos alta baja media complejidad diálisis vacunatorios consultorio"/>
    <s v="https://analytics.zoho.com/open-view/2395394000008516645?ZOHO_CRITERIA=%222.1%22.%22C%C3%B3digo%20Regi%C3%B3n%22%20%3D%2016"/>
    <x v="16"/>
    <s v="#1774B9"/>
  </r>
  <r>
    <s v="1226"/>
    <n v="990"/>
    <s v="Agencia Información"/>
    <s v="Transporte y tránsito"/>
    <n v="0"/>
    <x v="62"/>
    <x v="20"/>
    <x v="0"/>
    <x v="0"/>
    <x v="0"/>
    <x v="100"/>
    <s v="Periodo 2011-2017"/>
    <s v="Número de Licencias de Conducir"/>
    <s v="Instituto Nacional de Estadísticas (INE)"/>
    <s v="Cantidad de licencias de conducir del tipo profesional según clase en Chile, Periodo 2011-2017"/>
    <s v="La licencia de conducir profesional clase A2 para &quot;taxis, ambulancias o vehículos motorizados de transporte público y privado de personas con capacidad de 10 a 17 pasajeros, sin contar al conductor&quot;, es la más común a los largo de los años, siendo su peak el año 2011 con 168.401 licencias."/>
    <s v="Gráfico de Evolución"/>
    <s v="Chile nacional región licencias conducir tipo profesional profesionales clase a1 a2 a3 a4 a5"/>
    <s v="https://analytics.zoho.com/open-view/2395394000008278466"/>
    <x v="0"/>
    <s v="#1774B9"/>
  </r>
  <r>
    <s v="1227"/>
    <n v="990"/>
    <s v="Agencia Información"/>
    <s v="Transporte y tránsito"/>
    <n v="1"/>
    <x v="62"/>
    <x v="20"/>
    <x v="1"/>
    <x v="1"/>
    <x v="1"/>
    <x v="100"/>
    <s v="Periodo 2011-2017"/>
    <s v="Número de Licencias de Conducir"/>
    <s v="Instituto Nacional de Estadísticas (INE)"/>
    <s v="Cantidad de licencias de conducir del tipo profesional según clase en la Región de Tarapacá, Periodo 2011-2017"/>
    <m/>
    <s v="Gráfico de Evolución"/>
    <s v="Región de Tarapacá regional licencias conducir tipo profesional profesionales clase a1 a2 a3 a4 a5"/>
    <s v="https://analytics.zoho.com/open-view/2395394000008413090?ZOHO_CRITERIA=%228.3%20Licencias_conducir%22.%22Codreg%22%3D1"/>
    <x v="1"/>
    <s v="#1774B9"/>
  </r>
  <r>
    <s v="1228"/>
    <n v="990"/>
    <s v="Agencia Información"/>
    <s v="Transporte y tránsito"/>
    <n v="2"/>
    <x v="62"/>
    <x v="20"/>
    <x v="1"/>
    <x v="2"/>
    <x v="1"/>
    <x v="100"/>
    <s v="Periodo 2011-2017"/>
    <s v="Número de Licencias de Conducir"/>
    <s v="Instituto Nacional de Estadísticas (INE)"/>
    <s v="Cantidad de licencias de conducir del tipo profesional según clase en la Región de Antofagasta, Periodo 2011-2017"/>
    <m/>
    <s v="Gráfico de Evolución"/>
    <s v="Región de Antofagasta regional licencias conducir tipo profesional profesionales clase a1 a2 a3 a4 a5"/>
    <s v="https://analytics.zoho.com/open-view/2395394000008413090?ZOHO_CRITERIA=%228.3%20Licencias_conducir%22.%22Codreg%22%3D2"/>
    <x v="2"/>
    <s v="#1774B9"/>
  </r>
  <r>
    <s v="1229"/>
    <n v="990"/>
    <s v="Agencia Información"/>
    <s v="Transporte y tránsito"/>
    <n v="3"/>
    <x v="62"/>
    <x v="20"/>
    <x v="1"/>
    <x v="3"/>
    <x v="1"/>
    <x v="100"/>
    <s v="Periodo 2011-2017"/>
    <s v="Número de Licencias de Conducir"/>
    <s v="Instituto Nacional de Estadísticas (INE)"/>
    <s v="Cantidad de licencias de conducir del tipo profesional según clase en la Región de Atacama, Periodo 2011-2017"/>
    <m/>
    <s v="Gráfico de Evolución"/>
    <s v="Región de Atacama regional licencias conducir tipo profesional profesionales clase a1 a2 a3 a4 a5"/>
    <s v="https://analytics.zoho.com/open-view/2395394000008413090?ZOHO_CRITERIA=%228.3%20Licencias_conducir%22.%22Codreg%22%3D3"/>
    <x v="3"/>
    <s v="#1774B9"/>
  </r>
  <r>
    <s v="1230"/>
    <n v="990"/>
    <s v="Agencia Información"/>
    <s v="Transporte y tránsito"/>
    <n v="4"/>
    <x v="62"/>
    <x v="20"/>
    <x v="1"/>
    <x v="4"/>
    <x v="1"/>
    <x v="100"/>
    <s v="Periodo 2011-2017"/>
    <s v="Número de Licencias de Conducir"/>
    <s v="Instituto Nacional de Estadísticas (INE)"/>
    <s v="Cantidad de licencias de conducir del tipo profesional según clase en la Región de Coquimbo, Periodo 2011-2017"/>
    <m/>
    <s v="Gráfico de Evolución"/>
    <s v="Región de Coquimbo regional licencias conducir tipo profesional profesionales clase a1 a2 a3 a4 a5"/>
    <s v="https://analytics.zoho.com/open-view/2395394000008413090?ZOHO_CRITERIA=%228.3%20Licencias_conducir%22.%22Codreg%22%3D4"/>
    <x v="4"/>
    <s v="#1774B9"/>
  </r>
  <r>
    <s v="1231"/>
    <n v="990"/>
    <s v="Agencia Información"/>
    <s v="Transporte y tránsito"/>
    <n v="5"/>
    <x v="62"/>
    <x v="20"/>
    <x v="1"/>
    <x v="5"/>
    <x v="1"/>
    <x v="100"/>
    <s v="Periodo 2011-2017"/>
    <s v="Número de Licencias de Conducir"/>
    <s v="Instituto Nacional de Estadísticas (INE)"/>
    <s v="Cantidad de licencias de conducir del tipo profesional según clase en la Región de Valparaíso, Periodo 2011-2017"/>
    <m/>
    <s v="Gráfico de Evolución"/>
    <s v="Región de Valparaíso regional licencias conducir tipo profesional profesionales clase a1 a2 a3 a4 a5"/>
    <s v="https://analytics.zoho.com/open-view/2395394000008413090?ZOHO_CRITERIA=%228.3%20Licencias_conducir%22.%22Codreg%22%3D5"/>
    <x v="5"/>
    <s v="#1774B9"/>
  </r>
  <r>
    <s v="1232"/>
    <n v="990"/>
    <s v="Agencia Información"/>
    <s v="Transporte y tránsito"/>
    <n v="6"/>
    <x v="62"/>
    <x v="20"/>
    <x v="1"/>
    <x v="6"/>
    <x v="1"/>
    <x v="100"/>
    <s v="Periodo 2011-2017"/>
    <s v="Número de Licencias de Conducir"/>
    <s v="Instituto Nacional de Estadísticas (INE)"/>
    <s v="Cantidad de licencias de conducir del tipo profesional según clase en la Región de O'Higgins, Periodo 2011-2017"/>
    <m/>
    <s v="Gráfico de Evolución"/>
    <s v="Región de O'Higgins regional licencias conducir tipo profesional profesionales clase a1 a2 a3 a4 a5"/>
    <s v="https://analytics.zoho.com/open-view/2395394000008413090?ZOHO_CRITERIA=%228.3%20Licencias_conducir%22.%22Codreg%22%3D6"/>
    <x v="6"/>
    <s v="#1774B9"/>
  </r>
  <r>
    <s v="1233"/>
    <n v="990"/>
    <s v="Agencia Información"/>
    <s v="Transporte y tránsito"/>
    <n v="7"/>
    <x v="62"/>
    <x v="20"/>
    <x v="1"/>
    <x v="7"/>
    <x v="1"/>
    <x v="100"/>
    <s v="Periodo 2011-2017"/>
    <s v="Número de Licencias de Conducir"/>
    <s v="Instituto Nacional de Estadísticas (INE)"/>
    <s v="Cantidad de licencias de conducir del tipo profesional según clase en la Región de Maule, Periodo 2011-2017"/>
    <m/>
    <s v="Gráfico de Evolución"/>
    <s v="Región de Maule regional licencias conducir tipo profesional profesionales clase a1 a2 a3 a4 a5"/>
    <s v="https://analytics.zoho.com/open-view/2395394000008413090?ZOHO_CRITERIA=%228.3%20Licencias_conducir%22.%22Codreg%22%3D7"/>
    <x v="7"/>
    <s v="#1774B9"/>
  </r>
  <r>
    <s v="1234"/>
    <n v="990"/>
    <s v="Agencia Información"/>
    <s v="Transporte y tránsito"/>
    <n v="8"/>
    <x v="62"/>
    <x v="20"/>
    <x v="1"/>
    <x v="8"/>
    <x v="1"/>
    <x v="100"/>
    <s v="Periodo 2011-2017"/>
    <s v="Número de Licencias de Conducir"/>
    <s v="Instituto Nacional de Estadísticas (INE)"/>
    <s v="Cantidad de licencias de conducir del tipo profesional según clase en la Región del Biobío, Periodo 2011-2017"/>
    <m/>
    <s v="Gráfico de Evolución"/>
    <s v="Región del Biobío regional licencias conducir tipo profesional profesionales clase a1 a2 a3 a4 a5"/>
    <s v="https://analytics.zoho.com/open-view/2395394000008413090?ZOHO_CRITERIA=%228.3%20Licencias_conducir%22.%22Codreg%22%3D8"/>
    <x v="8"/>
    <s v="#1774B9"/>
  </r>
  <r>
    <s v="1235"/>
    <n v="990"/>
    <s v="Agencia Información"/>
    <s v="Transporte y tránsito"/>
    <n v="9"/>
    <x v="62"/>
    <x v="20"/>
    <x v="1"/>
    <x v="9"/>
    <x v="1"/>
    <x v="100"/>
    <s v="Periodo 2011-2017"/>
    <s v="Número de Licencias de Conducir"/>
    <s v="Instituto Nacional de Estadísticas (INE)"/>
    <s v="Cantidad de licencias de conducir del tipo profesional según clase en la Región de La Araucanía, Periodo 2011-2017"/>
    <m/>
    <s v="Gráfico de Evolución"/>
    <s v="Región de La Araucanía regional licencias conducir tipo profesional profesionales clase a1 a2 a3 a4 a5"/>
    <s v="https://analytics.zoho.com/open-view/2395394000008413090?ZOHO_CRITERIA=%228.3%20Licencias_conducir%22.%22Codreg%22%3D9"/>
    <x v="9"/>
    <s v="#1774B9"/>
  </r>
  <r>
    <s v="1236"/>
    <n v="990"/>
    <s v="Agencia Información"/>
    <s v="Transporte y tránsito"/>
    <n v="10"/>
    <x v="62"/>
    <x v="20"/>
    <x v="1"/>
    <x v="10"/>
    <x v="1"/>
    <x v="100"/>
    <s v="Periodo 2011-2017"/>
    <s v="Número de Licencias de Conducir"/>
    <s v="Instituto Nacional de Estadísticas (INE)"/>
    <s v="Cantidad de licencias de conducir del tipo profesional según clase en la Región de Los Lagos, Periodo 2011-2017"/>
    <m/>
    <s v="Gráfico de Evolución"/>
    <s v="Región de Los Lagos regional licencias conducir tipo profesional profesionales clase a1 a2 a3 a4 a5"/>
    <s v="https://analytics.zoho.com/open-view/2395394000008413090?ZOHO_CRITERIA=%228.3%20Licencias_conducir%22.%22Codreg%22%3D10"/>
    <x v="10"/>
    <s v="#1774B9"/>
  </r>
  <r>
    <s v="1237"/>
    <n v="990"/>
    <s v="Agencia Información"/>
    <s v="Transporte y tránsito"/>
    <n v="11"/>
    <x v="62"/>
    <x v="20"/>
    <x v="1"/>
    <x v="11"/>
    <x v="1"/>
    <x v="100"/>
    <s v="Periodo 2011-2017"/>
    <s v="Número de Licencias de Conducir"/>
    <s v="Instituto Nacional de Estadísticas (INE)"/>
    <s v="Cantidad de licencias de conducir del tipo profesional según clase en la Región de Aysén, Periodo 2011-2017"/>
    <m/>
    <s v="Gráfico de Evolución"/>
    <s v="Región de Aysén regional licencias conducir tipo profesional profesionales clase a1 a2 a3 a4 a5"/>
    <s v="https://analytics.zoho.com/open-view/2395394000008413090?ZOHO_CRITERIA=%228.3%20Licencias_conducir%22.%22Codreg%22%3D11"/>
    <x v="11"/>
    <s v="#1774B9"/>
  </r>
  <r>
    <s v="1238"/>
    <n v="990"/>
    <s v="Agencia Información"/>
    <s v="Transporte y tránsito"/>
    <n v="12"/>
    <x v="62"/>
    <x v="20"/>
    <x v="1"/>
    <x v="12"/>
    <x v="1"/>
    <x v="100"/>
    <s v="Periodo 2011-2017"/>
    <s v="Número de Licencias de Conducir"/>
    <s v="Instituto Nacional de Estadísticas (INE)"/>
    <s v="Cantidad de licencias de conducir del tipo profesional según clase en la Región de Magallanes, Periodo 2011-2017"/>
    <m/>
    <s v="Gráfico de Evolución"/>
    <s v="Región de Magallanes regional licencias conducir tipo profesional profesionales clase a1 a2 a3 a4 a5"/>
    <s v="https://analytics.zoho.com/open-view/2395394000008413090?ZOHO_CRITERIA=%228.3%20Licencias_conducir%22.%22Codreg%22%3D12"/>
    <x v="12"/>
    <s v="#1774B9"/>
  </r>
  <r>
    <s v="1239"/>
    <n v="990"/>
    <s v="Agencia Información"/>
    <s v="Transporte y tránsito"/>
    <n v="13"/>
    <x v="62"/>
    <x v="20"/>
    <x v="1"/>
    <x v="13"/>
    <x v="1"/>
    <x v="100"/>
    <s v="Periodo 2011-2017"/>
    <s v="Número de Licencias de Conducir"/>
    <s v="Instituto Nacional de Estadísticas (INE)"/>
    <s v="Cantidad de licencias de conducir del tipo profesional según clase en la Región Metropolitana, Periodo 2011-2017"/>
    <m/>
    <s v="Gráfico de Evolución"/>
    <s v="Región Metropolitana regional licencias conducir tipo profesional profesionales clase a1 a2 a3 a4 a5"/>
    <s v="https://analytics.zoho.com/open-view/2395394000008413090?ZOHO_CRITERIA=%228.3%20Licencias_conducir%22.%22Codreg%22%3D13"/>
    <x v="13"/>
    <s v="#1774B9"/>
  </r>
  <r>
    <s v="1240"/>
    <n v="990"/>
    <s v="Agencia Información"/>
    <s v="Transporte y tránsito"/>
    <n v="14"/>
    <x v="62"/>
    <x v="20"/>
    <x v="1"/>
    <x v="14"/>
    <x v="1"/>
    <x v="100"/>
    <s v="Periodo 2011-2017"/>
    <s v="Número de Licencias de Conducir"/>
    <s v="Instituto Nacional de Estadísticas (INE)"/>
    <s v="Cantidad de licencias de conducir del tipo profesional según clase en la Región de Los Ríos, Periodo 2011-2017"/>
    <m/>
    <s v="Gráfico de Evolución"/>
    <s v="Región de Los Ríos regional licencias conducir tipo profesional profesionales clase a1 a2 a3 a4 a5"/>
    <s v="https://analytics.zoho.com/open-view/2395394000008413090?ZOHO_CRITERIA=%228.3%20Licencias_conducir%22.%22Codreg%22%3D14"/>
    <x v="14"/>
    <s v="#1774B9"/>
  </r>
  <r>
    <s v="1241"/>
    <n v="990"/>
    <s v="Agencia Información"/>
    <s v="Transporte y tránsito"/>
    <n v="15"/>
    <x v="62"/>
    <x v="20"/>
    <x v="1"/>
    <x v="15"/>
    <x v="1"/>
    <x v="100"/>
    <s v="Periodo 2011-2017"/>
    <s v="Número de Licencias de Conducir"/>
    <s v="Instituto Nacional de Estadísticas (INE)"/>
    <s v="Cantidad de licencias de conducir del tipo profesional según clase en la Región de Arica y Parinacota, Periodo 2011-2017"/>
    <m/>
    <s v="Gráfico de Evolución"/>
    <s v="Región de Arica y Parinacota regional licencias conducir tipo profesional profesionales clase a1 a2 a3 a4 a5"/>
    <s v="https://analytics.zoho.com/open-view/2395394000008413090?ZOHO_CRITERIA=%228.3%20Licencias_conducir%22.%22Codreg%22%3D15"/>
    <x v="15"/>
    <s v="#1774B9"/>
  </r>
  <r>
    <s v="1242"/>
    <n v="990"/>
    <s v="Agencia Información"/>
    <s v="Transporte y tránsito"/>
    <n v="16"/>
    <x v="62"/>
    <x v="20"/>
    <x v="1"/>
    <x v="16"/>
    <x v="1"/>
    <x v="100"/>
    <s v="Periodo 2011-2017"/>
    <s v="Número de Licencias de Conducir"/>
    <s v="Instituto Nacional de Estadísticas (INE)"/>
    <s v="Cantidad de licencias de conducir del tipo profesional según clase en la Región de Ñuble, Periodo 2011-2017"/>
    <m/>
    <s v="Gráfico de Evolución"/>
    <s v="Región de Ñuble regional licencias conducir tipo profesional profesionales clase a1 a2 a3 a4 a5"/>
    <s v="https://analytics.zoho.com/open-view/2395394000008413090?ZOHO_CRITERIA=%228.3%20Licencias_conducir%22.%22Codreg%22%3D16"/>
    <x v="16"/>
    <s v="#1774B9"/>
  </r>
  <r>
    <s v="1243"/>
    <n v="990"/>
    <s v="Agencia Información"/>
    <s v="Transporte y tránsito"/>
    <n v="0"/>
    <x v="32"/>
    <x v="20"/>
    <x v="0"/>
    <x v="0"/>
    <x v="0"/>
    <x v="101"/>
    <s v="Periodo 2008-2019"/>
    <s v="Número de permisos de circulación"/>
    <s v="Instituto Nacional de Estadísticas (INE)"/>
    <s v="Cantidad de permisos de circulación según tipo de transporte en Chile, Periodo 2008-2019"/>
    <m/>
    <s v="Gráfico de Evolución"/>
    <s v="Chile nacional región permiso circulación evolución tipo transporte colectivo particular carga"/>
    <s v="https://analytics.zoho.com/open-view/2395394000008277077"/>
    <x v="0"/>
    <s v="#1774B9"/>
  </r>
  <r>
    <s v="1244"/>
    <n v="990"/>
    <s v="Agencia Información"/>
    <s v="Transporte y tránsito"/>
    <n v="1"/>
    <x v="32"/>
    <x v="20"/>
    <x v="1"/>
    <x v="1"/>
    <x v="1"/>
    <x v="101"/>
    <s v="Periodo 2008-2019"/>
    <s v="Número de permisos de circulación"/>
    <s v="Instituto Nacional de Estadísticas (INE)"/>
    <s v="Cantidad de permisos de circulación según tipo de transporte en la Región de Tarapacá, Periodo 2008-2019"/>
    <m/>
    <s v="Gráfico de Evolución"/>
    <s v="Región de Tarapacá regional permiso circulación evolución tipo transporte colectivo particular carga"/>
    <s v="https://analytics.zoho.com/open-view/2395394000008413133?ZOHO_CRITERIA=%228.1%20Permiso_circulaci%C3%B3n%22.%22Codreg%22%3D1"/>
    <x v="1"/>
    <s v="#1774B9"/>
  </r>
  <r>
    <s v="1245"/>
    <n v="990"/>
    <s v="Agencia Información"/>
    <s v="Transporte y tránsito"/>
    <n v="2"/>
    <x v="32"/>
    <x v="20"/>
    <x v="1"/>
    <x v="2"/>
    <x v="1"/>
    <x v="101"/>
    <s v="Periodo 2008-2019"/>
    <s v="Número de permisos de circulación"/>
    <s v="Instituto Nacional de Estadísticas (INE)"/>
    <s v="Cantidad de permisos de circulación según tipo de transporte en la Región de Antofagasta, Periodo 2008-2019"/>
    <m/>
    <s v="Gráfico de Evolución"/>
    <s v="Región de Antofagasta regional permiso circulación evolución tipo transporte colectivo particular carga"/>
    <s v="https://analytics.zoho.com/open-view/2395394000008413133?ZOHO_CRITERIA=%228.1%20Permiso_circulaci%C3%B3n%22.%22Codreg%22%3D2"/>
    <x v="2"/>
    <s v="#1774B9"/>
  </r>
  <r>
    <s v="1246"/>
    <n v="990"/>
    <s v="Agencia Información"/>
    <s v="Transporte y tránsito"/>
    <n v="3"/>
    <x v="32"/>
    <x v="20"/>
    <x v="1"/>
    <x v="3"/>
    <x v="1"/>
    <x v="101"/>
    <s v="Periodo 2008-2019"/>
    <s v="Número de permisos de circulación"/>
    <s v="Instituto Nacional de Estadísticas (INE)"/>
    <s v="Cantidad de permisos de circulación según tipo de transporte en la Región de Atacama, Periodo 2008-2019"/>
    <m/>
    <s v="Gráfico de Evolución"/>
    <s v="Región de Atacama regional permiso circulación evolución tipo transporte colectivo particular carga"/>
    <s v="https://analytics.zoho.com/open-view/2395394000008413133?ZOHO_CRITERIA=%228.1%20Permiso_circulaci%C3%B3n%22.%22Codreg%22%3D3"/>
    <x v="3"/>
    <s v="#1774B9"/>
  </r>
  <r>
    <s v="1247"/>
    <n v="990"/>
    <s v="Agencia Información"/>
    <s v="Transporte y tránsito"/>
    <n v="4"/>
    <x v="32"/>
    <x v="20"/>
    <x v="1"/>
    <x v="4"/>
    <x v="1"/>
    <x v="101"/>
    <s v="Periodo 2008-2019"/>
    <s v="Número de permisos de circulación"/>
    <s v="Instituto Nacional de Estadísticas (INE)"/>
    <s v="Cantidad de permisos de circulación según tipo de transporte en la Región de Coquimbo, Periodo 2008-2019"/>
    <m/>
    <s v="Gráfico de Evolución"/>
    <s v="Región de Coquimbo regional permiso circulación evolución tipo transporte colectivo particular carga"/>
    <s v="https://analytics.zoho.com/open-view/2395394000008413133?ZOHO_CRITERIA=%228.1%20Permiso_circulaci%C3%B3n%22.%22Codreg%22%3D4"/>
    <x v="4"/>
    <s v="#1774B9"/>
  </r>
  <r>
    <s v="1248"/>
    <n v="990"/>
    <s v="Agencia Información"/>
    <s v="Transporte y tránsito"/>
    <n v="5"/>
    <x v="32"/>
    <x v="20"/>
    <x v="1"/>
    <x v="5"/>
    <x v="1"/>
    <x v="101"/>
    <s v="Periodo 2008-2019"/>
    <s v="Número de permisos de circulación"/>
    <s v="Instituto Nacional de Estadísticas (INE)"/>
    <s v="Cantidad de permisos de circulación según tipo de transporte en la Región de Valparaíso, Periodo 2008-2019"/>
    <m/>
    <s v="Gráfico de Evolución"/>
    <s v="Región de Valparaíso regional permiso circulación evolución tipo transporte colectivo particular carga"/>
    <s v="https://analytics.zoho.com/open-view/2395394000008413133?ZOHO_CRITERIA=%228.1%20Permiso_circulaci%C3%B3n%22.%22Codreg%22%3D5"/>
    <x v="5"/>
    <s v="#1774B9"/>
  </r>
  <r>
    <s v="1249"/>
    <n v="990"/>
    <s v="Agencia Información"/>
    <s v="Transporte y tránsito"/>
    <n v="6"/>
    <x v="32"/>
    <x v="20"/>
    <x v="1"/>
    <x v="6"/>
    <x v="1"/>
    <x v="101"/>
    <s v="Periodo 2008-2019"/>
    <s v="Número de permisos de circulación"/>
    <s v="Instituto Nacional de Estadísticas (INE)"/>
    <s v="Cantidad de permisos de circulación según tipo de transporte en la Región de O'Higgins, Periodo 2008-2019"/>
    <m/>
    <s v="Gráfico de Evolución"/>
    <s v="Región de O'Higgins regional permiso circulación evolución tipo transporte colectivo particular carga"/>
    <s v="https://analytics.zoho.com/open-view/2395394000008413133?ZOHO_CRITERIA=%228.1%20Permiso_circulaci%C3%B3n%22.%22Codreg%22%3D6"/>
    <x v="6"/>
    <s v="#1774B9"/>
  </r>
  <r>
    <s v="1250"/>
    <n v="990"/>
    <s v="Agencia Información"/>
    <s v="Transporte y tránsito"/>
    <n v="7"/>
    <x v="32"/>
    <x v="20"/>
    <x v="1"/>
    <x v="7"/>
    <x v="1"/>
    <x v="101"/>
    <s v="Periodo 2008-2019"/>
    <s v="Número de permisos de circulación"/>
    <s v="Instituto Nacional de Estadísticas (INE)"/>
    <s v="Cantidad de permisos de circulación según tipo de transporte en la Región de Maule, Periodo 2008-2019"/>
    <m/>
    <s v="Gráfico de Evolución"/>
    <s v="Región de Maule regional permiso circulación evolución tipo transporte colectivo particular carga"/>
    <s v="https://analytics.zoho.com/open-view/2395394000008413133?ZOHO_CRITERIA=%228.1%20Permiso_circulaci%C3%B3n%22.%22Codreg%22%3D7"/>
    <x v="7"/>
    <s v="#1774B9"/>
  </r>
  <r>
    <s v="1251"/>
    <n v="990"/>
    <s v="Agencia Información"/>
    <s v="Transporte y tránsito"/>
    <n v="8"/>
    <x v="32"/>
    <x v="20"/>
    <x v="1"/>
    <x v="8"/>
    <x v="1"/>
    <x v="101"/>
    <s v="Periodo 2008-2019"/>
    <s v="Número de permisos de circulación"/>
    <s v="Instituto Nacional de Estadísticas (INE)"/>
    <s v="Cantidad de permisos de circulación según tipo de transporte en la Región del Biobío, Periodo 2008-2019"/>
    <m/>
    <s v="Gráfico de Evolución"/>
    <s v="Región del Biobío regional permiso circulación evolución tipo transporte colectivo particular carga"/>
    <s v="https://analytics.zoho.com/open-view/2395394000008413133?ZOHO_CRITERIA=%228.1%20Permiso_circulaci%C3%B3n%22.%22Codreg%22%3D8"/>
    <x v="8"/>
    <s v="#1774B9"/>
  </r>
  <r>
    <s v="1252"/>
    <n v="990"/>
    <s v="Agencia Información"/>
    <s v="Transporte y tránsito"/>
    <n v="9"/>
    <x v="32"/>
    <x v="20"/>
    <x v="1"/>
    <x v="9"/>
    <x v="1"/>
    <x v="101"/>
    <s v="Periodo 2008-2019"/>
    <s v="Número de permisos de circulación"/>
    <s v="Instituto Nacional de Estadísticas (INE)"/>
    <s v="Cantidad de permisos de circulación según tipo de transporte en la Región de La Araucanía, Periodo 2008-2019"/>
    <m/>
    <s v="Gráfico de Evolución"/>
    <s v="Región de La Araucanía regional permiso circulación evolución tipo transporte colectivo particular carga"/>
    <s v="https://analytics.zoho.com/open-view/2395394000008413133?ZOHO_CRITERIA=%228.1%20Permiso_circulaci%C3%B3n%22.%22Codreg%22%3D9"/>
    <x v="9"/>
    <s v="#1774B9"/>
  </r>
  <r>
    <s v="1253"/>
    <n v="990"/>
    <s v="Agencia Información"/>
    <s v="Transporte y tránsito"/>
    <n v="10"/>
    <x v="32"/>
    <x v="20"/>
    <x v="1"/>
    <x v="10"/>
    <x v="1"/>
    <x v="101"/>
    <s v="Periodo 2008-2019"/>
    <s v="Número de permisos de circulación"/>
    <s v="Instituto Nacional de Estadísticas (INE)"/>
    <s v="Cantidad de permisos de circulación según tipo de transporte en la Región de Los Lagos, Periodo 2008-2019"/>
    <m/>
    <s v="Gráfico de Evolución"/>
    <s v="Región de Los Lagos regional permiso circulación evolución tipo transporte colectivo particular carga"/>
    <s v="https://analytics.zoho.com/open-view/2395394000008413133?ZOHO_CRITERIA=%228.1%20Permiso_circulaci%C3%B3n%22.%22Codreg%22%3D10"/>
    <x v="10"/>
    <s v="#1774B9"/>
  </r>
  <r>
    <s v="1254"/>
    <n v="990"/>
    <s v="Agencia Información"/>
    <s v="Transporte y tránsito"/>
    <n v="11"/>
    <x v="32"/>
    <x v="20"/>
    <x v="1"/>
    <x v="11"/>
    <x v="1"/>
    <x v="101"/>
    <s v="Periodo 2008-2019"/>
    <s v="Número de permisos de circulación"/>
    <s v="Instituto Nacional de Estadísticas (INE)"/>
    <s v="Cantidad de permisos de circulación según tipo de transporte en la Región de Aysén, Periodo 2008-2019"/>
    <m/>
    <s v="Gráfico de Evolución"/>
    <s v="Región de Aysén regional permiso circulación evolución tipo transporte colectivo particular carga"/>
    <s v="https://analytics.zoho.com/open-view/2395394000008413133?ZOHO_CRITERIA=%228.1%20Permiso_circulaci%C3%B3n%22.%22Codreg%22%3D11"/>
    <x v="11"/>
    <s v="#1774B9"/>
  </r>
  <r>
    <s v="1255"/>
    <n v="990"/>
    <s v="Agencia Información"/>
    <s v="Transporte y tránsito"/>
    <n v="12"/>
    <x v="32"/>
    <x v="20"/>
    <x v="1"/>
    <x v="12"/>
    <x v="1"/>
    <x v="101"/>
    <s v="Periodo 2008-2019"/>
    <s v="Número de permisos de circulación"/>
    <s v="Instituto Nacional de Estadísticas (INE)"/>
    <s v="Cantidad de permisos de circulación según tipo de transporte en la Región de Magallanes, Periodo 2008-2019"/>
    <m/>
    <s v="Gráfico de Evolución"/>
    <s v="Región de Magallanes regional permiso circulación evolución tipo transporte colectivo particular carga"/>
    <s v="https://analytics.zoho.com/open-view/2395394000008413133?ZOHO_CRITERIA=%228.1%20Permiso_circulaci%C3%B3n%22.%22Codreg%22%3D12"/>
    <x v="12"/>
    <s v="#1774B9"/>
  </r>
  <r>
    <s v="1256"/>
    <n v="990"/>
    <s v="Agencia Información"/>
    <s v="Transporte y tránsito"/>
    <n v="13"/>
    <x v="32"/>
    <x v="20"/>
    <x v="1"/>
    <x v="13"/>
    <x v="1"/>
    <x v="101"/>
    <s v="Periodo 2008-2019"/>
    <s v="Número de permisos de circulación"/>
    <s v="Instituto Nacional de Estadísticas (INE)"/>
    <s v="Cantidad de permisos de circulación según tipo de transporte en la Región Metropolitana, Periodo 2008-2019"/>
    <s v="Para la región Metropolitana, los permisos de circulación para vehículos con tipo de uso Transporte Particular, son los que se ven con mayor cantidad, teniendo un crecimiento constante a lo largo de los años, terminando el año 2019 con 4.124.864 permisos."/>
    <s v="Gráfico de Evolución"/>
    <s v="Región Metropolitana regional permiso circulación evolución tipo transporte colectivo particular carga"/>
    <s v="https://analytics.zoho.com/open-view/2395394000008413133?ZOHO_CRITERIA=%228.1%20Permiso_circulaci%C3%B3n%22.%22Codreg%22%3D13"/>
    <x v="13"/>
    <s v="#1774B9"/>
  </r>
  <r>
    <s v="1257"/>
    <n v="990"/>
    <s v="Agencia Información"/>
    <s v="Transporte y tránsito"/>
    <n v="14"/>
    <x v="32"/>
    <x v="20"/>
    <x v="1"/>
    <x v="14"/>
    <x v="1"/>
    <x v="101"/>
    <s v="Periodo 2008-2019"/>
    <s v="Número de permisos de circulación"/>
    <s v="Instituto Nacional de Estadísticas (INE)"/>
    <s v="Cantidad de permisos de circulación según tipo de transporte en la Región de Los Ríos, Periodo 2008-2019"/>
    <m/>
    <s v="Gráfico de Evolución"/>
    <s v="Región de Los Ríos regional permiso circulación evolución tipo transporte colectivo particular carga"/>
    <s v="https://analytics.zoho.com/open-view/2395394000008413133?ZOHO_CRITERIA=%228.1%20Permiso_circulaci%C3%B3n%22.%22Codreg%22%3D14"/>
    <x v="14"/>
    <s v="#1774B9"/>
  </r>
  <r>
    <s v="1258"/>
    <n v="990"/>
    <s v="Agencia Información"/>
    <s v="Transporte y tránsito"/>
    <n v="15"/>
    <x v="32"/>
    <x v="20"/>
    <x v="1"/>
    <x v="15"/>
    <x v="1"/>
    <x v="101"/>
    <s v="Periodo 2008-2019"/>
    <s v="Número de permisos de circulación"/>
    <s v="Instituto Nacional de Estadísticas (INE)"/>
    <s v="Cantidad de permisos de circulación según tipo de transporte en la Región de Arica y Parinacota, Periodo 2008-2019"/>
    <m/>
    <s v="Gráfico de Evolución"/>
    <s v="Región de Arica y Parinacota regional permiso circulación evolución tipo transporte colectivo particular carga"/>
    <s v="https://analytics.zoho.com/open-view/2395394000008413133?ZOHO_CRITERIA=%228.1%20Permiso_circulaci%C3%B3n%22.%22Codreg%22%3D15"/>
    <x v="15"/>
    <s v="#1774B9"/>
  </r>
  <r>
    <s v="1259"/>
    <n v="990"/>
    <s v="Agencia Información"/>
    <s v="Transporte y tránsito"/>
    <n v="16"/>
    <x v="32"/>
    <x v="20"/>
    <x v="1"/>
    <x v="16"/>
    <x v="1"/>
    <x v="101"/>
    <s v="Periodo 2008-2019"/>
    <s v="Número de permisos de circulación"/>
    <s v="Instituto Nacional de Estadísticas (INE)"/>
    <s v="Cantidad de permisos de circulación según tipo de transporte en la Región de Ñuble, Periodo 2008-2019"/>
    <m/>
    <s v="Gráfico de Evolución"/>
    <s v="Región de Ñuble regional permiso circulación evolución tipo transporte colectivo particular carga"/>
    <s v="https://analytics.zoho.com/open-view/2395394000008413133?ZOHO_CRITERIA=%228.1%20Permiso_circulaci%C3%B3n%22.%22Codreg%22%3D16"/>
    <x v="16"/>
    <s v="#1774B9"/>
  </r>
  <r>
    <s v="1260"/>
    <n v="990"/>
    <s v="Agencia Información"/>
    <s v="Transporte y tránsito"/>
    <n v="0"/>
    <x v="63"/>
    <x v="20"/>
    <x v="0"/>
    <x v="0"/>
    <x v="15"/>
    <x v="102"/>
    <s v="Periodo 2011-2017"/>
    <s v="Número de Licencias de Conducir"/>
    <s v="Instituto Nacional de Estadísticas (INE)"/>
    <s v="Cantidad de licencias de conducir del tipo no profesional por Comuna en Chile, Periodo 2011-2017"/>
    <m/>
    <s v="Mapa de calor"/>
    <s v="Chile nacional región comuna licencia de conducir mapa no profesional"/>
    <s v="https://analytics.zoho.com/open-view/2395394000008277863"/>
    <x v="17"/>
    <s v="#1774B9"/>
  </r>
  <r>
    <s v="1261"/>
    <n v="990"/>
    <s v="Agencia Información"/>
    <s v="Transporte y tránsito"/>
    <n v="1"/>
    <x v="63"/>
    <x v="20"/>
    <x v="1"/>
    <x v="1"/>
    <x v="0"/>
    <x v="102"/>
    <s v="Periodo 2011-2017"/>
    <s v="Número de Licencias de Conducir"/>
    <s v="Instituto Nacional de Estadísticas (INE)"/>
    <s v="Cantidad de licencias de conducir del tipo no profesional por Comuna en la Región de Tarapacá, Periodo 2011-2017"/>
    <m/>
    <s v="Mapa de calor"/>
    <s v="Región de Tarapacá regional comuna licencia de conducir mapa no profesional"/>
    <s v="https://analytics.zoho.com/open-view/2395394000008475578?ZOHO_CRITERIA=%228.3%20Licencias_conducir%22.%22Codreg%22%3D1"/>
    <x v="18"/>
    <s v="#1774B9"/>
  </r>
  <r>
    <s v="1262"/>
    <n v="990"/>
    <s v="Agencia Información"/>
    <s v="Transporte y tránsito"/>
    <n v="2"/>
    <x v="63"/>
    <x v="20"/>
    <x v="1"/>
    <x v="2"/>
    <x v="0"/>
    <x v="102"/>
    <s v="Periodo 2011-2017"/>
    <s v="Número de Licencias de Conducir"/>
    <s v="Instituto Nacional de Estadísticas (INE)"/>
    <s v="Cantidad de licencias de conducir del tipo no profesional por Comuna en la Región de Antofagasta, Periodo 2011-2017"/>
    <m/>
    <s v="Mapa de calor"/>
    <s v="Región de Antofagasta regional comuna licencia de conducir mapa no profesional"/>
    <s v="https://analytics.zoho.com/open-view/2395394000008475578?ZOHO_CRITERIA=%228.3%20Licencias_conducir%22.%22Codreg%22%3D2"/>
    <x v="19"/>
    <s v="#1774B9"/>
  </r>
  <r>
    <s v="1263"/>
    <n v="990"/>
    <s v="Agencia Información"/>
    <s v="Transporte y tránsito"/>
    <n v="3"/>
    <x v="63"/>
    <x v="20"/>
    <x v="1"/>
    <x v="3"/>
    <x v="0"/>
    <x v="102"/>
    <s v="Periodo 2011-2017"/>
    <s v="Número de Licencias de Conducir"/>
    <s v="Instituto Nacional de Estadísticas (INE)"/>
    <s v="Cantidad de licencias de conducir del tipo no profesional por Comuna en la Región de Atacama, Periodo 2011-2017"/>
    <m/>
    <s v="Mapa de calor"/>
    <s v="Región de Atacama regional comuna licencia de conducir mapa no profesional"/>
    <s v="https://analytics.zoho.com/open-view/2395394000008475578?ZOHO_CRITERIA=%228.3%20Licencias_conducir%22.%22Codreg%22%3D3"/>
    <x v="20"/>
    <s v="#1774B9"/>
  </r>
  <r>
    <s v="1264"/>
    <n v="990"/>
    <s v="Agencia Información"/>
    <s v="Transporte y tránsito"/>
    <n v="4"/>
    <x v="63"/>
    <x v="20"/>
    <x v="1"/>
    <x v="4"/>
    <x v="0"/>
    <x v="102"/>
    <s v="Periodo 2011-2017"/>
    <s v="Número de Licencias de Conducir"/>
    <s v="Instituto Nacional de Estadísticas (INE)"/>
    <s v="Cantidad de licencias de conducir del tipo no profesional por Comuna en la Región de Coquimbo, Periodo 2011-2017"/>
    <m/>
    <s v="Mapa de calor"/>
    <s v="Región de Coquimbo regional comuna licencia de conducir mapa no profesional"/>
    <s v="https://analytics.zoho.com/open-view/2395394000008475578?ZOHO_CRITERIA=%228.3%20Licencias_conducir%22.%22Codreg%22%3D4"/>
    <x v="21"/>
    <s v="#1774B9"/>
  </r>
  <r>
    <s v="1265"/>
    <n v="990"/>
    <s v="Agencia Información"/>
    <s v="Transporte y tránsito"/>
    <n v="5"/>
    <x v="63"/>
    <x v="20"/>
    <x v="1"/>
    <x v="5"/>
    <x v="0"/>
    <x v="102"/>
    <s v="Periodo 2011-2017"/>
    <s v="Número de Licencias de Conducir"/>
    <s v="Instituto Nacional de Estadísticas (INE)"/>
    <s v="Cantidad de licencias de conducir del tipo no profesional por Comuna en la Región de Valparaíso, Periodo 2011-2017"/>
    <m/>
    <s v="Mapa de calor"/>
    <s v="Región de Valparaíso regional comuna licencia de conducir mapa no profesional"/>
    <s v="https://analytics.zoho.com/open-view/2395394000008475578?ZOHO_CRITERIA=%228.3%20Licencias_conducir%22.%22Codreg%22%3D5"/>
    <x v="22"/>
    <s v="#1774B9"/>
  </r>
  <r>
    <s v="1266"/>
    <n v="990"/>
    <s v="Agencia Información"/>
    <s v="Transporte y tránsito"/>
    <n v="6"/>
    <x v="63"/>
    <x v="20"/>
    <x v="1"/>
    <x v="6"/>
    <x v="0"/>
    <x v="102"/>
    <s v="Periodo 2011-2017"/>
    <s v="Número de Licencias de Conducir"/>
    <s v="Instituto Nacional de Estadísticas (INE)"/>
    <s v="Cantidad de licencias de conducir del tipo no profesional por Comuna en la Región de O'Higgins, Periodo 2011-2017"/>
    <m/>
    <s v="Mapa de calor"/>
    <s v="Región de O'Higgins regional comuna licencia de conducir mapa no profesional"/>
    <s v="https://analytics.zoho.com/open-view/2395394000008475578?ZOHO_CRITERIA=%228.3%20Licencias_conducir%22.%22Codreg%22%3D6"/>
    <x v="23"/>
    <s v="#1774B9"/>
  </r>
  <r>
    <s v="1267"/>
    <n v="990"/>
    <s v="Agencia Información"/>
    <s v="Transporte y tránsito"/>
    <n v="7"/>
    <x v="63"/>
    <x v="20"/>
    <x v="1"/>
    <x v="7"/>
    <x v="0"/>
    <x v="102"/>
    <s v="Periodo 2011-2017"/>
    <s v="Número de Licencias de Conducir"/>
    <s v="Instituto Nacional de Estadísticas (INE)"/>
    <s v="Cantidad de licencias de conducir del tipo no profesional por Comuna en la Región de Maule, Periodo 2011-2017"/>
    <m/>
    <s v="Mapa de calor"/>
    <s v="Región de Maule regional comuna licencia de conducir mapa no profesional"/>
    <s v="https://analytics.zoho.com/open-view/2395394000008475578?ZOHO_CRITERIA=%228.3%20Licencias_conducir%22.%22Codreg%22%3D7"/>
    <x v="24"/>
    <s v="#1774B9"/>
  </r>
  <r>
    <s v="1268"/>
    <n v="990"/>
    <s v="Agencia Información"/>
    <s v="Transporte y tránsito"/>
    <n v="8"/>
    <x v="63"/>
    <x v="20"/>
    <x v="1"/>
    <x v="8"/>
    <x v="0"/>
    <x v="102"/>
    <s v="Periodo 2011-2017"/>
    <s v="Número de Licencias de Conducir"/>
    <s v="Instituto Nacional de Estadísticas (INE)"/>
    <s v="Cantidad de licencias de conducir del tipo no profesional por Comuna en la Región del Biobío, Periodo 2011-2017"/>
    <m/>
    <s v="Mapa de calor"/>
    <s v="Región del Biobío regional comuna licencia de conducir mapa no profesional"/>
    <s v="https://analytics.zoho.com/open-view/2395394000008475578?ZOHO_CRITERIA=%228.3%20Licencias_conducir%22.%22Codreg%22%3D8"/>
    <x v="25"/>
    <s v="#1774B9"/>
  </r>
  <r>
    <s v="1269"/>
    <n v="990"/>
    <s v="Agencia Información"/>
    <s v="Transporte y tránsito"/>
    <n v="9"/>
    <x v="63"/>
    <x v="20"/>
    <x v="1"/>
    <x v="9"/>
    <x v="0"/>
    <x v="102"/>
    <s v="Periodo 2011-2017"/>
    <s v="Número de Licencias de Conducir"/>
    <s v="Instituto Nacional de Estadísticas (INE)"/>
    <s v="Cantidad de licencias de conducir del tipo no profesional por Comuna en la Región de La Araucanía, Periodo 2011-2017"/>
    <m/>
    <s v="Mapa de calor"/>
    <s v="Región de La Araucanía regional comuna licencia de conducir mapa no profesional"/>
    <s v="https://analytics.zoho.com/open-view/2395394000008475578?ZOHO_CRITERIA=%228.3%20Licencias_conducir%22.%22Codreg%22%3D9"/>
    <x v="26"/>
    <s v="#1774B9"/>
  </r>
  <r>
    <s v="1270"/>
    <n v="990"/>
    <s v="Agencia Información"/>
    <s v="Transporte y tránsito"/>
    <n v="10"/>
    <x v="63"/>
    <x v="20"/>
    <x v="1"/>
    <x v="10"/>
    <x v="0"/>
    <x v="102"/>
    <s v="Periodo 2011-2017"/>
    <s v="Número de Licencias de Conducir"/>
    <s v="Instituto Nacional de Estadísticas (INE)"/>
    <s v="Cantidad de licencias de conducir del tipo no profesional por Comuna en la Región de Los Lagos, Periodo 2011-2017"/>
    <m/>
    <s v="Mapa de calor"/>
    <s v="Región de Los Lagos regional comuna licencia de conducir mapa no profesional"/>
    <s v="https://analytics.zoho.com/open-view/2395394000008475578?ZOHO_CRITERIA=%228.3%20Licencias_conducir%22.%22Codreg%22%3D10"/>
    <x v="27"/>
    <s v="#1774B9"/>
  </r>
  <r>
    <s v="1271"/>
    <n v="990"/>
    <s v="Agencia Información"/>
    <s v="Transporte y tránsito"/>
    <n v="11"/>
    <x v="63"/>
    <x v="20"/>
    <x v="1"/>
    <x v="11"/>
    <x v="0"/>
    <x v="102"/>
    <s v="Periodo 2011-2017"/>
    <s v="Número de Licencias de Conducir"/>
    <s v="Instituto Nacional de Estadísticas (INE)"/>
    <s v="Cantidad de licencias de conducir del tipo no profesional por Comuna en la Región de Aysén, Periodo 2011-2017"/>
    <m/>
    <s v="Mapa de calor"/>
    <s v="Región de Aysén regional comuna licencia de conducir mapa no profesional"/>
    <s v="https://analytics.zoho.com/open-view/2395394000008475578?ZOHO_CRITERIA=%228.3%20Licencias_conducir%22.%22Codreg%22%3D11"/>
    <x v="28"/>
    <s v="#1774B9"/>
  </r>
  <r>
    <s v="1272"/>
    <n v="990"/>
    <s v="Agencia Información"/>
    <s v="Transporte y tránsito"/>
    <n v="12"/>
    <x v="63"/>
    <x v="20"/>
    <x v="1"/>
    <x v="12"/>
    <x v="0"/>
    <x v="102"/>
    <s v="Periodo 2011-2017"/>
    <s v="Número de Licencias de Conducir"/>
    <s v="Instituto Nacional de Estadísticas (INE)"/>
    <s v="Cantidad de licencias de conducir del tipo no profesional por Comuna en la Región de Magallanes, Periodo 2011-2017"/>
    <m/>
    <s v="Mapa de calor"/>
    <s v="Región de Magallanes regional comuna licencia de conducir mapa no profesional"/>
    <s v="https://analytics.zoho.com/open-view/2395394000008475578?ZOHO_CRITERIA=%228.3%20Licencias_conducir%22.%22Codreg%22%3D12"/>
    <x v="29"/>
    <s v="#1774B9"/>
  </r>
  <r>
    <s v="1273"/>
    <n v="990"/>
    <s v="Agencia Información"/>
    <s v="Transporte y tránsito"/>
    <n v="13"/>
    <x v="63"/>
    <x v="20"/>
    <x v="1"/>
    <x v="13"/>
    <x v="0"/>
    <x v="102"/>
    <s v="Periodo 2011-2017"/>
    <s v="Número de Licencias de Conducir"/>
    <s v="Instituto Nacional de Estadísticas (INE)"/>
    <s v="Cantidad de licencias de conducir del tipo no profesional por Comuna en la Región Metropolitana, Periodo 2011-2017"/>
    <m/>
    <s v="Mapa de calor"/>
    <s v="Región Metropolitana regional comuna licencia de conducir mapa no profesional"/>
    <s v="https://analytics.zoho.com/open-view/2395394000008475578?ZOHO_CRITERIA=%228.3%20Licencias_conducir%22.%22Codreg%22%3D13"/>
    <x v="30"/>
    <s v="#1774B9"/>
  </r>
  <r>
    <s v="1274"/>
    <n v="990"/>
    <s v="Agencia Información"/>
    <s v="Transporte y tránsito"/>
    <n v="14"/>
    <x v="63"/>
    <x v="20"/>
    <x v="1"/>
    <x v="14"/>
    <x v="0"/>
    <x v="102"/>
    <s v="Periodo 2011-2017"/>
    <s v="Número de Licencias de Conducir"/>
    <s v="Instituto Nacional de Estadísticas (INE)"/>
    <s v="Cantidad de licencias de conducir del tipo no profesional por Comuna en la Región de Los Ríos, Periodo 2011-2017"/>
    <s v="Para la región de Los Ríos, en el año 2017, es la comuna de Valdivia la que cuenta con mayor cantidad de licencias de conducir del tipo No profesional con 9.038 licencias. Se debe tener en consideración que las comunas no coloreadas en el mapa no presentan datos."/>
    <s v="Mapa de calor"/>
    <s v="Región de Los Ríos regional comuna licencia de conducir mapa no profesional"/>
    <s v="https://analytics.zoho.com/open-view/2395394000008475578?ZOHO_CRITERIA=%228.3%20Licencias_conducir%22.%22Codreg%22%3D14"/>
    <x v="31"/>
    <s v="#1774B9"/>
  </r>
  <r>
    <s v="1275"/>
    <n v="990"/>
    <s v="Agencia Información"/>
    <s v="Transporte y tránsito"/>
    <n v="15"/>
    <x v="63"/>
    <x v="20"/>
    <x v="1"/>
    <x v="15"/>
    <x v="0"/>
    <x v="102"/>
    <s v="Periodo 2011-2017"/>
    <s v="Número de Licencias de Conducir"/>
    <s v="Instituto Nacional de Estadísticas (INE)"/>
    <s v="Cantidad de licencias de conducir del tipo no profesional por Comuna en la Región de Arica y Parinacota, Periodo 2011-2017"/>
    <m/>
    <s v="Mapa de calor"/>
    <s v="Región de Arica y Parinacota regional comuna licencia de conducir mapa no profesional"/>
    <s v="https://analytics.zoho.com/open-view/2395394000008475578?ZOHO_CRITERIA=%228.3%20Licencias_conducir%22.%22Codreg%22%3D15"/>
    <x v="32"/>
    <s v="#1774B9"/>
  </r>
  <r>
    <s v="1276"/>
    <n v="990"/>
    <s v="Agencia Información"/>
    <s v="Transporte y tránsito"/>
    <n v="16"/>
    <x v="63"/>
    <x v="20"/>
    <x v="1"/>
    <x v="16"/>
    <x v="0"/>
    <x v="102"/>
    <s v="Periodo 2011-2017"/>
    <s v="Número de Licencias de Conducir"/>
    <s v="Instituto Nacional de Estadísticas (INE)"/>
    <s v="Cantidad de licencias de conducir del tipo no profesional por Comuna en la Región de Ñuble, Periodo 2011-2017"/>
    <m/>
    <s v="Mapa de calor"/>
    <s v="Región de Ñuble regional comuna licencia de conducir mapa no profesional"/>
    <s v="https://analytics.zoho.com/open-view/2395394000008475578?ZOHO_CRITERIA=%228.3%20Licencias_conducir%22.%22Codreg%22%3D16"/>
    <x v="33"/>
    <s v="#1774B9"/>
  </r>
  <r>
    <s v="1277"/>
    <n v="990"/>
    <s v="Agencia Información"/>
    <s v="Transporte y tránsito"/>
    <n v="0"/>
    <x v="32"/>
    <x v="20"/>
    <x v="0"/>
    <x v="0"/>
    <x v="15"/>
    <x v="103"/>
    <s v="Periodo 2008-2019"/>
    <s v="Número de permisos de circulación"/>
    <s v="Instituto Nacional de Estadísticas (INE)"/>
    <s v="Cantidad de permisos de circulación de transportes colectivos por Comuna en Chile, Periodo 2008-2019"/>
    <m/>
    <s v="Mapa de calor"/>
    <s v="Chile nacional región comuna permiso circulación mapa tipo transporte colectivo"/>
    <s v="https://analytics.zoho.com/open-view/2395394000008255577"/>
    <x v="17"/>
    <s v="#1774B9"/>
  </r>
  <r>
    <s v="1278"/>
    <n v="990"/>
    <s v="Agencia Información"/>
    <s v="Transporte y tránsito"/>
    <n v="1"/>
    <x v="32"/>
    <x v="20"/>
    <x v="1"/>
    <x v="1"/>
    <x v="16"/>
    <x v="103"/>
    <s v="Periodo 2008-2019"/>
    <s v="Número de permisos de circulación"/>
    <s v="Instituto Nacional de Estadísticas (INE)"/>
    <s v="Cantidad de permisos de circulación de transportes colectivos por Comuna en la Región de Tarapacá, Periodo 2008-2019"/>
    <m/>
    <s v="Mapa de calor"/>
    <s v="Región de Tarapacá regional comuna permiso circulación mapa tipo transporte colectivo"/>
    <s v="https://analytics.zoho.com/open-view/2395394000008475310?ZOHO_CRITERIA=%228.1%20Permiso_circulaci%C3%B3n%22.%22Codreg%22%3D1"/>
    <x v="18"/>
    <s v="#1774B9"/>
  </r>
  <r>
    <s v="1279"/>
    <n v="990"/>
    <s v="Agencia Información"/>
    <s v="Transporte y tránsito"/>
    <n v="2"/>
    <x v="32"/>
    <x v="20"/>
    <x v="1"/>
    <x v="2"/>
    <x v="16"/>
    <x v="103"/>
    <s v="Periodo 2008-2019"/>
    <s v="Número de permisos de circulación"/>
    <s v="Instituto Nacional de Estadísticas (INE)"/>
    <s v="Cantidad de permisos de circulación de transportes colectivos por Comuna en la Región de Antofagasta, Periodo 2008-2019"/>
    <s v="Para la región de Antofagasta en el año 2019 fue la comuna de Antofagasta la que contaba con la mayor cantidad de permisos de circulación otorgados para el uso de transportes colectivos, siendo de 9.698 permisos, por su parte la comuna de Ollague en Antofagasta, para el mismo año contaba con solo 22 permisos de circulación para uso de transportes colectivos."/>
    <s v="Mapa de calor"/>
    <s v="Región de Antofagasta regional comuna permiso circulación mapa tipo transporte colectivo"/>
    <s v="https://analytics.zoho.com/open-view/2395394000008475310?ZOHO_CRITERIA=%228.1%20Permiso_circulaci%C3%B3n%22.%22Codreg%22%3D2"/>
    <x v="19"/>
    <s v="#1774B9"/>
  </r>
  <r>
    <s v="1280"/>
    <n v="990"/>
    <s v="Agencia Información"/>
    <s v="Transporte y tránsito"/>
    <n v="3"/>
    <x v="32"/>
    <x v="20"/>
    <x v="1"/>
    <x v="3"/>
    <x v="16"/>
    <x v="103"/>
    <s v="Periodo 2008-2019"/>
    <s v="Número de permisos de circulación"/>
    <s v="Instituto Nacional de Estadísticas (INE)"/>
    <s v="Cantidad de permisos de circulación de transportes colectivos por Comuna en la Región de Atacama, Periodo 2008-2019"/>
    <m/>
    <s v="Mapa de calor"/>
    <s v="Región de Atacama regional comuna permiso circulación mapa tipo transporte colectivo"/>
    <s v="https://analytics.zoho.com/open-view/2395394000008475310?ZOHO_CRITERIA=%228.1%20Permiso_circulaci%C3%B3n%22.%22Codreg%22%3D3"/>
    <x v="20"/>
    <s v="#1774B9"/>
  </r>
  <r>
    <s v="1281"/>
    <n v="990"/>
    <s v="Agencia Información"/>
    <s v="Transporte y tránsito"/>
    <n v="4"/>
    <x v="32"/>
    <x v="20"/>
    <x v="1"/>
    <x v="4"/>
    <x v="16"/>
    <x v="103"/>
    <s v="Periodo 2008-2019"/>
    <s v="Número de permisos de circulación"/>
    <s v="Instituto Nacional de Estadísticas (INE)"/>
    <s v="Cantidad de permisos de circulación de transportes colectivos por Comuna en la Región de Coquimbo, Periodo 2008-2019"/>
    <m/>
    <s v="Mapa de calor"/>
    <s v="Región de Coquimbo regional comuna permiso circulación mapa tipo transporte colectivo"/>
    <s v="https://analytics.zoho.com/open-view/2395394000008475310?ZOHO_CRITERIA=%228.1%20Permiso_circulaci%C3%B3n%22.%22Codreg%22%3D4"/>
    <x v="21"/>
    <s v="#1774B9"/>
  </r>
  <r>
    <s v="1282"/>
    <n v="990"/>
    <s v="Agencia Información"/>
    <s v="Transporte y tránsito"/>
    <n v="5"/>
    <x v="32"/>
    <x v="20"/>
    <x v="1"/>
    <x v="5"/>
    <x v="16"/>
    <x v="103"/>
    <s v="Periodo 2008-2019"/>
    <s v="Número de permisos de circulación"/>
    <s v="Instituto Nacional de Estadísticas (INE)"/>
    <s v="Cantidad de permisos de circulación de transportes colectivos por Comuna en la Región de Valparaíso, Periodo 2008-2019"/>
    <m/>
    <s v="Mapa de calor"/>
    <s v="Región de Valparaíso regional comuna permiso circulación mapa tipo transporte colectivo"/>
    <s v="https://analytics.zoho.com/open-view/2395394000008475310?ZOHO_CRITERIA=%228.1%20Permiso_circulaci%C3%B3n%22.%22Codreg%22%3D5"/>
    <x v="22"/>
    <s v="#1774B9"/>
  </r>
  <r>
    <s v="1283"/>
    <n v="990"/>
    <s v="Agencia Información"/>
    <s v="Transporte y tránsito"/>
    <n v="6"/>
    <x v="32"/>
    <x v="20"/>
    <x v="1"/>
    <x v="6"/>
    <x v="16"/>
    <x v="103"/>
    <s v="Periodo 2008-2019"/>
    <s v="Número de permisos de circulación"/>
    <s v="Instituto Nacional de Estadísticas (INE)"/>
    <s v="Cantidad de permisos de circulación de transportes colectivos por Comuna en la Región de O'Higgins, Periodo 2008-2019"/>
    <m/>
    <s v="Mapa de calor"/>
    <s v="Región de O'Higgins regional comuna permiso circulación mapa tipo transporte colectivo"/>
    <s v="https://analytics.zoho.com/open-view/2395394000008475310?ZOHO_CRITERIA=%228.1%20Permiso_circulaci%C3%B3n%22.%22Codreg%22%3D6"/>
    <x v="23"/>
    <s v="#1774B9"/>
  </r>
  <r>
    <s v="1284"/>
    <n v="990"/>
    <s v="Agencia Información"/>
    <s v="Transporte y tránsito"/>
    <n v="7"/>
    <x v="32"/>
    <x v="20"/>
    <x v="1"/>
    <x v="7"/>
    <x v="16"/>
    <x v="103"/>
    <s v="Periodo 2008-2019"/>
    <s v="Número de permisos de circulación"/>
    <s v="Instituto Nacional de Estadísticas (INE)"/>
    <s v="Cantidad de permisos de circulación de transportes colectivos por Comuna en la Región de Maule, Periodo 2008-2019"/>
    <m/>
    <s v="Mapa de calor"/>
    <s v="Región de Maule regional comuna permiso circulación mapa tipo transporte colectivo"/>
    <s v="https://analytics.zoho.com/open-view/2395394000008475310?ZOHO_CRITERIA=%228.1%20Permiso_circulaci%C3%B3n%22.%22Codreg%22%3D7"/>
    <x v="24"/>
    <s v="#1774B9"/>
  </r>
  <r>
    <s v="1285"/>
    <n v="990"/>
    <s v="Agencia Información"/>
    <s v="Transporte y tránsito"/>
    <n v="8"/>
    <x v="32"/>
    <x v="20"/>
    <x v="1"/>
    <x v="8"/>
    <x v="16"/>
    <x v="103"/>
    <s v="Periodo 2008-2019"/>
    <s v="Número de permisos de circulación"/>
    <s v="Instituto Nacional de Estadísticas (INE)"/>
    <s v="Cantidad de permisos de circulación de transportes colectivos por Comuna en la Región del Biobío, Periodo 2008-2019"/>
    <m/>
    <s v="Mapa de calor"/>
    <s v="Región del Biobío regional comuna permiso circulación mapa tipo transporte colectivo"/>
    <s v="https://analytics.zoho.com/open-view/2395394000008475310?ZOHO_CRITERIA=%228.1%20Permiso_circulaci%C3%B3n%22.%22Codreg%22%3D8"/>
    <x v="25"/>
    <s v="#1774B9"/>
  </r>
  <r>
    <s v="1286"/>
    <n v="990"/>
    <s v="Agencia Información"/>
    <s v="Transporte y tránsito"/>
    <n v="9"/>
    <x v="32"/>
    <x v="20"/>
    <x v="1"/>
    <x v="9"/>
    <x v="16"/>
    <x v="103"/>
    <s v="Periodo 2008-2019"/>
    <s v="Número de permisos de circulación"/>
    <s v="Instituto Nacional de Estadísticas (INE)"/>
    <s v="Cantidad de permisos de circulación de transportes colectivos por Comuna en la Región de La Araucanía, Periodo 2008-2019"/>
    <m/>
    <s v="Mapa de calor"/>
    <s v="Región de La Araucanía regional comuna permiso circulación mapa tipo transporte colectivo"/>
    <s v="https://analytics.zoho.com/open-view/2395394000008475310?ZOHO_CRITERIA=%228.1%20Permiso_circulaci%C3%B3n%22.%22Codreg%22%3D9"/>
    <x v="26"/>
    <s v="#1774B9"/>
  </r>
  <r>
    <s v="1287"/>
    <n v="990"/>
    <s v="Agencia Información"/>
    <s v="Transporte y tránsito"/>
    <n v="10"/>
    <x v="32"/>
    <x v="20"/>
    <x v="1"/>
    <x v="10"/>
    <x v="16"/>
    <x v="103"/>
    <s v="Periodo 2008-2019"/>
    <s v="Número de permisos de circulación"/>
    <s v="Instituto Nacional de Estadísticas (INE)"/>
    <s v="Cantidad de permisos de circulación de transportes colectivos por Comuna en la Región de Los Lagos, Periodo 2008-2019"/>
    <m/>
    <s v="Mapa de calor"/>
    <s v="Región de Los Lagos regional comuna permiso circulación mapa tipo transporte colectivo"/>
    <s v="https://analytics.zoho.com/open-view/2395394000008475310?ZOHO_CRITERIA=%228.1%20Permiso_circulaci%C3%B3n%22.%22Codreg%22%3D10"/>
    <x v="27"/>
    <s v="#1774B9"/>
  </r>
  <r>
    <s v="1288"/>
    <n v="990"/>
    <s v="Agencia Información"/>
    <s v="Transporte y tránsito"/>
    <n v="11"/>
    <x v="32"/>
    <x v="20"/>
    <x v="1"/>
    <x v="11"/>
    <x v="16"/>
    <x v="103"/>
    <s v="Periodo 2008-2019"/>
    <s v="Número de permisos de circulación"/>
    <s v="Instituto Nacional de Estadísticas (INE)"/>
    <s v="Cantidad de permisos de circulación de transportes colectivos por Comuna en la Región de Aysén, Periodo 2008-2019"/>
    <m/>
    <s v="Mapa de calor"/>
    <s v="Región de Aysén regional comuna permiso circulación mapa tipo transporte colectivo"/>
    <s v="https://analytics.zoho.com/open-view/2395394000008475310?ZOHO_CRITERIA=%228.1%20Permiso_circulaci%C3%B3n%22.%22Codreg%22%3D11"/>
    <x v="28"/>
    <s v="#1774B9"/>
  </r>
  <r>
    <s v="1289"/>
    <n v="990"/>
    <s v="Agencia Información"/>
    <s v="Transporte y tránsito"/>
    <n v="12"/>
    <x v="32"/>
    <x v="20"/>
    <x v="1"/>
    <x v="12"/>
    <x v="16"/>
    <x v="103"/>
    <s v="Periodo 2008-2019"/>
    <s v="Número de permisos de circulación"/>
    <s v="Instituto Nacional de Estadísticas (INE)"/>
    <s v="Cantidad de permisos de circulación de transportes colectivos por Comuna en la Región de Magallanes, Periodo 2008-2019"/>
    <m/>
    <s v="Mapa de calor"/>
    <s v="Región de Magallanes regional comuna permiso circulación mapa tipo transporte colectivo"/>
    <s v="https://analytics.zoho.com/open-view/2395394000008475310?ZOHO_CRITERIA=%228.1%20Permiso_circulaci%C3%B3n%22.%22Codreg%22%3D12"/>
    <x v="29"/>
    <s v="#1774B9"/>
  </r>
  <r>
    <s v="1290"/>
    <n v="990"/>
    <s v="Agencia Información"/>
    <s v="Transporte y tránsito"/>
    <n v="13"/>
    <x v="32"/>
    <x v="20"/>
    <x v="1"/>
    <x v="13"/>
    <x v="16"/>
    <x v="103"/>
    <s v="Periodo 2008-2019"/>
    <s v="Número de permisos de circulación"/>
    <s v="Instituto Nacional de Estadísticas (INE)"/>
    <s v="Cantidad de permisos de circulación de transportes colectivos por Comuna en la Región Metropolitana, Periodo 2008-2019"/>
    <m/>
    <s v="Mapa de calor"/>
    <s v="Región Metropolitana regional comuna permiso circulación mapa tipo transporte colectivo"/>
    <s v="https://analytics.zoho.com/open-view/2395394000008475310?ZOHO_CRITERIA=%228.1%20Permiso_circulaci%C3%B3n%22.%22Codreg%22%3D13"/>
    <x v="30"/>
    <s v="#1774B9"/>
  </r>
  <r>
    <s v="1291"/>
    <n v="990"/>
    <s v="Agencia Información"/>
    <s v="Transporte y tránsito"/>
    <n v="14"/>
    <x v="32"/>
    <x v="20"/>
    <x v="1"/>
    <x v="14"/>
    <x v="16"/>
    <x v="103"/>
    <s v="Periodo 2008-2019"/>
    <s v="Número de permisos de circulación"/>
    <s v="Instituto Nacional de Estadísticas (INE)"/>
    <s v="Cantidad de permisos de circulación de transportes colectivos por Comuna en la Región de Los Ríos, Periodo 2008-2019"/>
    <m/>
    <s v="Mapa de calor"/>
    <s v="Región de Los Ríos regional comuna permiso circulación mapa tipo transporte colectivo"/>
    <s v="https://analytics.zoho.com/open-view/2395394000008475310?ZOHO_CRITERIA=%228.1%20Permiso_circulaci%C3%B3n%22.%22Codreg%22%3D14"/>
    <x v="31"/>
    <s v="#1774B9"/>
  </r>
  <r>
    <s v="1292"/>
    <n v="990"/>
    <s v="Agencia Información"/>
    <s v="Transporte y tránsito"/>
    <n v="15"/>
    <x v="32"/>
    <x v="20"/>
    <x v="1"/>
    <x v="15"/>
    <x v="16"/>
    <x v="103"/>
    <s v="Periodo 2008-2019"/>
    <s v="Número de permisos de circulación"/>
    <s v="Instituto Nacional de Estadísticas (INE)"/>
    <s v="Cantidad de permisos de circulación de transportes colectivos por Comuna en la Región de Arica y Parinacota, Periodo 2008-2019"/>
    <m/>
    <s v="Mapa de calor"/>
    <s v="Región de Arica y Parinacota regional comuna permiso circulación mapa tipo transporte colectivo"/>
    <s v="https://analytics.zoho.com/open-view/2395394000008475310?ZOHO_CRITERIA=%228.1%20Permiso_circulaci%C3%B3n%22.%22Codreg%22%3D15"/>
    <x v="32"/>
    <s v="#1774B9"/>
  </r>
  <r>
    <s v="1293"/>
    <n v="990"/>
    <s v="Agencia Información"/>
    <s v="Transporte y tránsito"/>
    <n v="16"/>
    <x v="32"/>
    <x v="20"/>
    <x v="1"/>
    <x v="16"/>
    <x v="16"/>
    <x v="103"/>
    <s v="Periodo 2008-2019"/>
    <s v="Número de permisos de circulación"/>
    <s v="Instituto Nacional de Estadísticas (INE)"/>
    <s v="Cantidad de permisos de circulación de transportes colectivos por Comuna en la Región de Ñuble, Periodo 2008-2019"/>
    <m/>
    <s v="Mapa de calor"/>
    <s v="Región de Ñuble regional comuna permiso circulación mapa tipo transporte colectivo"/>
    <s v="https://analytics.zoho.com/open-view/2395394000008475310?ZOHO_CRITERIA=%228.1%20Permiso_circulaci%C3%B3n%22.%22Codreg%22%3D16"/>
    <x v="33"/>
    <s v="#1774B9"/>
  </r>
  <r>
    <s v="1294"/>
    <n v="990"/>
    <s v="Agencia Información"/>
    <s v="Transporte y tránsito"/>
    <n v="0"/>
    <x v="63"/>
    <x v="20"/>
    <x v="0"/>
    <x v="0"/>
    <x v="2"/>
    <x v="104"/>
    <s v="Periodo 2011-2017"/>
    <s v="Número de Licencias de Conducir"/>
    <s v="Instituto Nacional de Estadísticas (INE)"/>
    <s v="Cantidad de licencias de conducir por clase y Comuna en Chile, Periodo 2011-2017"/>
    <m/>
    <s v="Gráfico de Evolución"/>
    <s v="Chile nacional región comuna licencia de conducir clase evolución profesional no profesional especial A1 A2 A3 A4 A5 B C D E F"/>
    <s v="https://analytics.zoho.com/open-view/2395394000008475464"/>
    <x v="17"/>
    <s v="#1774B9"/>
  </r>
  <r>
    <s v="1295"/>
    <n v="990"/>
    <s v="Agencia Información"/>
    <s v="Transporte y tránsito"/>
    <n v="1"/>
    <x v="63"/>
    <x v="20"/>
    <x v="1"/>
    <x v="1"/>
    <x v="0"/>
    <x v="104"/>
    <s v="Periodo 2011-2017"/>
    <s v="Número de Licencias de Conducir"/>
    <s v="Instituto Nacional de Estadísticas (INE)"/>
    <s v="Cantidad de licencias de conducir por clase y Comuna en la Región de Tarapacá, Periodo 2011-2017"/>
    <m/>
    <s v="Gráfico de Evolución"/>
    <s v="Región de Tarapacá regional comuna licencia de conducir clase evolución profesional no profesional especial A1 A2 A3 A4 A5 B C D E F"/>
    <s v="https://analytics.zoho.com/open-view/2395394000008413167?ZOHO_CRITERIA=%228.3%20Licencias_conducir%22.%22Codreg%22%3D1"/>
    <x v="18"/>
    <s v="#1774B9"/>
  </r>
  <r>
    <s v="1296"/>
    <n v="990"/>
    <s v="Agencia Información"/>
    <s v="Transporte y tránsito"/>
    <n v="2"/>
    <x v="63"/>
    <x v="20"/>
    <x v="1"/>
    <x v="2"/>
    <x v="0"/>
    <x v="104"/>
    <s v="Periodo 2011-2017"/>
    <s v="Número de Licencias de Conducir"/>
    <s v="Instituto Nacional de Estadísticas (INE)"/>
    <s v="Cantidad de licencias de conducir por clase y Comuna en la Región de Antofagasta, Periodo 2011-2017"/>
    <m/>
    <s v="Gráfico de Evolución"/>
    <s v="Región de Antofagasta regional comuna licencia de conducir clase evolución profesional no profesional especial A1 A2 A3 A4 A5 B C D E F"/>
    <s v="https://analytics.zoho.com/open-view/2395394000008413167?ZOHO_CRITERIA=%228.3%20Licencias_conducir%22.%22Codreg%22%3D2"/>
    <x v="19"/>
    <s v="#1774B9"/>
  </r>
  <r>
    <s v="1297"/>
    <n v="990"/>
    <s v="Agencia Información"/>
    <s v="Transporte y tránsito"/>
    <n v="3"/>
    <x v="63"/>
    <x v="20"/>
    <x v="1"/>
    <x v="3"/>
    <x v="0"/>
    <x v="104"/>
    <s v="Periodo 2011-2017"/>
    <s v="Número de Licencias de Conducir"/>
    <s v="Instituto Nacional de Estadísticas (INE)"/>
    <s v="Cantidad de licencias de conducir por clase y Comuna en la Región de Atacama, Periodo 2011-2017"/>
    <m/>
    <s v="Gráfico de Evolución"/>
    <s v="Región de Atacama regional comuna licencia de conducir clase evolución profesional no profesional especial A1 A2 A3 A4 A5 B C D E F"/>
    <s v="https://analytics.zoho.com/open-view/2395394000008413167?ZOHO_CRITERIA=%228.3%20Licencias_conducir%22.%22Codreg%22%3D3"/>
    <x v="20"/>
    <s v="#1774B9"/>
  </r>
  <r>
    <s v="1298"/>
    <n v="990"/>
    <s v="Agencia Información"/>
    <s v="Transporte y tránsito"/>
    <n v="4"/>
    <x v="63"/>
    <x v="20"/>
    <x v="1"/>
    <x v="4"/>
    <x v="0"/>
    <x v="104"/>
    <s v="Periodo 2011-2017"/>
    <s v="Número de Licencias de Conducir"/>
    <s v="Instituto Nacional de Estadísticas (INE)"/>
    <s v="Cantidad de licencias de conducir por clase y Comuna en la Región de Coquimbo, Periodo 2011-2017"/>
    <s v="Para la comuna de Vicuña, en la región de Coquimbo, la clase que cuenta con mayor cantidad de licencias de conducir otorgadas es la clase B definida como &quot;Autorización para que personas de 18 años o más puedan conducir vehículos motorizados de tres o cuatro ruedas, para el transporte: Particular de personas: con capacidad de hasta nueve asientos, sin incluir el del conductor. De carga: con un peso vehicular máximo permitido de 3.500 kilogramos.&quot; con 2.194 licencias para el año 2017"/>
    <s v="Gráfico de Evolución"/>
    <s v="Región de Coquimbo regional comuna licencia de conducir clase evolución profesional no profesional especial A1 A2 A3 A4 A5 B C D E F"/>
    <s v="https://analytics.zoho.com/open-view/2395394000008413167?ZOHO_CRITERIA=%228.3%20Licencias_conducir%22.%22Codreg%22%3D4"/>
    <x v="21"/>
    <s v="#1774B9"/>
  </r>
  <r>
    <s v="1299"/>
    <n v="990"/>
    <s v="Agencia Información"/>
    <s v="Transporte y tránsito"/>
    <n v="5"/>
    <x v="63"/>
    <x v="20"/>
    <x v="1"/>
    <x v="5"/>
    <x v="0"/>
    <x v="104"/>
    <s v="Periodo 2011-2017"/>
    <s v="Número de Licencias de Conducir"/>
    <s v="Instituto Nacional de Estadísticas (INE)"/>
    <s v="Cantidad de licencias de conducir por clase y Comuna en la Región de Valparaíso, Periodo 2011-2017"/>
    <m/>
    <s v="Gráfico de Evolución"/>
    <s v="Región de Valparaíso regional comuna licencia de conducir clase evolución profesional no profesional especial A1 A2 A3 A4 A5 B C D E F"/>
    <s v="https://analytics.zoho.com/open-view/2395394000008413167?ZOHO_CRITERIA=%228.3%20Licencias_conducir%22.%22Codreg%22%3D5"/>
    <x v="22"/>
    <s v="#1774B9"/>
  </r>
  <r>
    <s v="1300"/>
    <n v="990"/>
    <s v="Agencia Información"/>
    <s v="Transporte y tránsito"/>
    <n v="6"/>
    <x v="63"/>
    <x v="20"/>
    <x v="1"/>
    <x v="6"/>
    <x v="0"/>
    <x v="104"/>
    <s v="Periodo 2011-2017"/>
    <s v="Número de Licencias de Conducir"/>
    <s v="Instituto Nacional de Estadísticas (INE)"/>
    <s v="Cantidad de licencias de conducir por clase y Comuna en la Región de O'Higgins, Periodo 2011-2017"/>
    <m/>
    <s v="Gráfico de Evolución"/>
    <s v="Región de O'Higgins regional comuna licencia de conducir clase evolución profesional no profesional especial A1 A2 A3 A4 A5 B C D E F"/>
    <s v="https://analytics.zoho.com/open-view/2395394000008413167?ZOHO_CRITERIA=%228.3%20Licencias_conducir%22.%22Codreg%22%3D6"/>
    <x v="23"/>
    <s v="#1774B9"/>
  </r>
  <r>
    <s v="1301"/>
    <n v="990"/>
    <s v="Agencia Información"/>
    <s v="Transporte y tránsito"/>
    <n v="7"/>
    <x v="63"/>
    <x v="20"/>
    <x v="1"/>
    <x v="7"/>
    <x v="0"/>
    <x v="104"/>
    <s v="Periodo 2011-2017"/>
    <s v="Número de Licencias de Conducir"/>
    <s v="Instituto Nacional de Estadísticas (INE)"/>
    <s v="Cantidad de licencias de conducir por clase y Comuna en la Región de Maule, Periodo 2011-2017"/>
    <m/>
    <s v="Gráfico de Evolución"/>
    <s v="Región de Maule regional comuna licencia de conducir clase evolución profesional no profesional especial A1 A2 A3 A4 A5 B C D E F"/>
    <s v="https://analytics.zoho.com/open-view/2395394000008413167?ZOHO_CRITERIA=%228.3%20Licencias_conducir%22.%22Codreg%22%3D7"/>
    <x v="24"/>
    <s v="#1774B9"/>
  </r>
  <r>
    <s v="1302"/>
    <n v="990"/>
    <s v="Agencia Información"/>
    <s v="Transporte y tránsito"/>
    <n v="8"/>
    <x v="63"/>
    <x v="20"/>
    <x v="1"/>
    <x v="8"/>
    <x v="0"/>
    <x v="104"/>
    <s v="Periodo 2011-2017"/>
    <s v="Número de Licencias de Conducir"/>
    <s v="Instituto Nacional de Estadísticas (INE)"/>
    <s v="Cantidad de licencias de conducir por clase y Comuna en la Región del Biobío, Periodo 2011-2017"/>
    <m/>
    <s v="Gráfico de Evolución"/>
    <s v="Región del Biobío regional comuna licencia de conducir clase evolución profesional no profesional especial A1 A2 A3 A4 A5 B C D E F"/>
    <s v="https://analytics.zoho.com/open-view/2395394000008413167?ZOHO_CRITERIA=%228.3%20Licencias_conducir%22.%22Codreg%22%3D8"/>
    <x v="25"/>
    <s v="#1774B9"/>
  </r>
  <r>
    <s v="1303"/>
    <n v="990"/>
    <s v="Agencia Información"/>
    <s v="Transporte y tránsito"/>
    <n v="9"/>
    <x v="63"/>
    <x v="20"/>
    <x v="1"/>
    <x v="9"/>
    <x v="0"/>
    <x v="104"/>
    <s v="Periodo 2011-2017"/>
    <s v="Número de Licencias de Conducir"/>
    <s v="Instituto Nacional de Estadísticas (INE)"/>
    <s v="Cantidad de licencias de conducir por clase y Comuna en la Región de La Araucanía, Periodo 2011-2017"/>
    <m/>
    <s v="Gráfico de Evolución"/>
    <s v="Región de La Araucanía regional comuna licencia de conducir clase evolución profesional no profesional especial A1 A2 A3 A4 A5 B C D E F"/>
    <s v="https://analytics.zoho.com/open-view/2395394000008413167?ZOHO_CRITERIA=%228.3%20Licencias_conducir%22.%22Codreg%22%3D9"/>
    <x v="26"/>
    <s v="#1774B9"/>
  </r>
  <r>
    <s v="1304"/>
    <n v="990"/>
    <s v="Agencia Información"/>
    <s v="Transporte y tránsito"/>
    <n v="10"/>
    <x v="63"/>
    <x v="20"/>
    <x v="1"/>
    <x v="10"/>
    <x v="0"/>
    <x v="104"/>
    <s v="Periodo 2011-2017"/>
    <s v="Número de Licencias de Conducir"/>
    <s v="Instituto Nacional de Estadísticas (INE)"/>
    <s v="Cantidad de licencias de conducir por clase y Comuna en la Región de Los Lagos, Periodo 2011-2017"/>
    <m/>
    <s v="Gráfico de Evolución"/>
    <s v="Región de Los Lagos regional comuna licencia de conducir clase evolución profesional no profesional especial A1 A2 A3 A4 A5 B C D E F"/>
    <s v="https://analytics.zoho.com/open-view/2395394000008413167?ZOHO_CRITERIA=%228.3%20Licencias_conducir%22.%22Codreg%22%3D10"/>
    <x v="27"/>
    <s v="#1774B9"/>
  </r>
  <r>
    <s v="1305"/>
    <n v="990"/>
    <s v="Agencia Información"/>
    <s v="Transporte y tránsito"/>
    <n v="11"/>
    <x v="63"/>
    <x v="20"/>
    <x v="1"/>
    <x v="11"/>
    <x v="0"/>
    <x v="104"/>
    <s v="Periodo 2011-2017"/>
    <s v="Número de Licencias de Conducir"/>
    <s v="Instituto Nacional de Estadísticas (INE)"/>
    <s v="Cantidad de licencias de conducir por clase y Comuna en la Región de Aysén, Periodo 2011-2017"/>
    <m/>
    <s v="Gráfico de Evolución"/>
    <s v="Región de Aysén regional comuna licencia de conducir clase evolución profesional no profesional especial A1 A2 A3 A4 A5 B C D E F"/>
    <s v="https://analytics.zoho.com/open-view/2395394000008413167?ZOHO_CRITERIA=%228.3%20Licencias_conducir%22.%22Codreg%22%3D11"/>
    <x v="28"/>
    <s v="#1774B9"/>
  </r>
  <r>
    <s v="1306"/>
    <n v="990"/>
    <s v="Agencia Información"/>
    <s v="Transporte y tránsito"/>
    <n v="12"/>
    <x v="63"/>
    <x v="20"/>
    <x v="1"/>
    <x v="12"/>
    <x v="0"/>
    <x v="104"/>
    <s v="Periodo 2011-2017"/>
    <s v="Número de Licencias de Conducir"/>
    <s v="Instituto Nacional de Estadísticas (INE)"/>
    <s v="Cantidad de licencias de conducir por clase y Comuna en la Región de Magallanes, Periodo 2011-2017"/>
    <m/>
    <s v="Gráfico de Evolución"/>
    <s v="Región de Magallanes regional comuna licencia de conducir clase evolución profesional no profesional especial A1 A2 A3 A4 A5 B C D E F"/>
    <s v="https://analytics.zoho.com/open-view/2395394000008413167?ZOHO_CRITERIA=%228.3%20Licencias_conducir%22.%22Codreg%22%3D12"/>
    <x v="29"/>
    <s v="#1774B9"/>
  </r>
  <r>
    <s v="1307"/>
    <n v="990"/>
    <s v="Agencia Información"/>
    <s v="Transporte y tránsito"/>
    <n v="13"/>
    <x v="63"/>
    <x v="20"/>
    <x v="1"/>
    <x v="13"/>
    <x v="0"/>
    <x v="104"/>
    <s v="Periodo 2011-2017"/>
    <s v="Número de Licencias de Conducir"/>
    <s v="Instituto Nacional de Estadísticas (INE)"/>
    <s v="Cantidad de licencias de conducir por clase y Comuna en la Región Metropolitana, Periodo 2011-2017"/>
    <m/>
    <s v="Gráfico de Evolución"/>
    <s v="Región Metropolitana regional comuna licencia de conducir clase evolución profesional no profesional especial A1 A2 A3 A4 A5 B C D E F"/>
    <s v="https://analytics.zoho.com/open-view/2395394000008413167?ZOHO_CRITERIA=%228.3%20Licencias_conducir%22.%22Codreg%22%3D13"/>
    <x v="30"/>
    <s v="#1774B9"/>
  </r>
  <r>
    <s v="1308"/>
    <n v="990"/>
    <s v="Agencia Información"/>
    <s v="Transporte y tránsito"/>
    <n v="14"/>
    <x v="63"/>
    <x v="20"/>
    <x v="1"/>
    <x v="14"/>
    <x v="0"/>
    <x v="104"/>
    <s v="Periodo 2011-2017"/>
    <s v="Número de Licencias de Conducir"/>
    <s v="Instituto Nacional de Estadísticas (INE)"/>
    <s v="Cantidad de licencias de conducir por clase y Comuna en la Región de Los Ríos, Periodo 2011-2017"/>
    <m/>
    <s v="Gráfico de Evolución"/>
    <s v="Región de Los Ríos regional comuna licencia de conducir clase evolución profesional no profesional especial A1 A2 A3 A4 A5 B C D E F"/>
    <s v="https://analytics.zoho.com/open-view/2395394000008413167?ZOHO_CRITERIA=%228.3%20Licencias_conducir%22.%22Codreg%22%3D14"/>
    <x v="31"/>
    <s v="#1774B9"/>
  </r>
  <r>
    <s v="1309"/>
    <n v="990"/>
    <s v="Agencia Información"/>
    <s v="Transporte y tránsito"/>
    <n v="15"/>
    <x v="63"/>
    <x v="20"/>
    <x v="1"/>
    <x v="15"/>
    <x v="0"/>
    <x v="104"/>
    <s v="Periodo 2011-2017"/>
    <s v="Número de Licencias de Conducir"/>
    <s v="Instituto Nacional de Estadísticas (INE)"/>
    <s v="Cantidad de licencias de conducir por clase y Comuna en la Región de Arica y Parinacota, Periodo 2011-2017"/>
    <m/>
    <s v="Gráfico de Evolución"/>
    <s v="Región de Arica y Parinacota regional comuna licencia de conducir clase evolución profesional no profesional especial A1 A2 A3 A4 A5 B C D E F"/>
    <s v="https://analytics.zoho.com/open-view/2395394000008413167?ZOHO_CRITERIA=%228.3%20Licencias_conducir%22.%22Codreg%22%3D15"/>
    <x v="32"/>
    <s v="#1774B9"/>
  </r>
  <r>
    <s v="1310"/>
    <n v="990"/>
    <s v="Agencia Información"/>
    <s v="Transporte y tránsito"/>
    <n v="16"/>
    <x v="63"/>
    <x v="20"/>
    <x v="1"/>
    <x v="16"/>
    <x v="0"/>
    <x v="104"/>
    <s v="Periodo 2011-2017"/>
    <s v="Número de Licencias de Conducir"/>
    <s v="Instituto Nacional de Estadísticas (INE)"/>
    <s v="Cantidad de licencias de conducir por clase y Comuna en la Región de Ñuble, Periodo 2011-2017"/>
    <m/>
    <s v="Gráfico de Evolución"/>
    <s v="Región de Ñuble regional comuna licencia de conducir clase evolución profesional no profesional especial A1 A2 A3 A4 A5 B C D E F"/>
    <s v="https://analytics.zoho.com/open-view/2395394000008413167?ZOHO_CRITERIA=%228.3%20Licencias_conducir%22.%22Codreg%22%3D16"/>
    <x v="33"/>
    <s v="#1774B9"/>
  </r>
  <r>
    <s v="1311"/>
    <n v="990"/>
    <s v="Agencia Información"/>
    <s v="Energía"/>
    <n v="0"/>
    <x v="22"/>
    <x v="12"/>
    <x v="0"/>
    <x v="0"/>
    <x v="1"/>
    <x v="105"/>
    <s v="Año 2021"/>
    <s v="MW"/>
    <s v="Comisión Nacional de Energía (CNE)"/>
    <s v="Capacidad Instalada (MW) de Centrales Eléctricas por Tipo de Energía y Región en Chile, para el Año 2021"/>
    <s v="En Chile, las centrales eléctricas con mayor capacidad instalada (sobre 1.200 MW) son principalmente hidráulicas de embalse (en las regiones del Maule y Biobío), a carbón (en la Región de Antofagasta) y a gas natural (en las regiones de Antofagasta y Valparaíso). Las que lideran esta lista son las centrales a carbón en Antofagasta con 2.303 MW de capacidad instalada."/>
    <s v="Gráfico"/>
    <s v="Chile nacional región capacidad instalada potencia neta mw ernc tipo energía gas natural solar geotérmica mini hidráulica pasada petróleo diesel biogas"/>
    <s v="https://analytics.zoho.com/open-view/2395394000008257880"/>
    <x v="0"/>
    <s v="#1774B9"/>
  </r>
  <r>
    <s v="1312"/>
    <n v="990"/>
    <s v="Agencia Información"/>
    <s v="Energía"/>
    <n v="1"/>
    <x v="22"/>
    <x v="12"/>
    <x v="1"/>
    <x v="1"/>
    <x v="1"/>
    <x v="105"/>
    <s v="Año 2021"/>
    <s v="MW"/>
    <s v="Comisión Nacional de Energía (CNE)"/>
    <s v="Capacidad Instalada (MW) de Centrales Eléctricas por Tipo de Energía en la Región de Tarapacá, para el Año 2021"/>
    <m/>
    <s v="Gráfico"/>
    <s v="Región de Tarapacá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1"/>
    <x v="1"/>
    <s v="#1774B9"/>
  </r>
  <r>
    <s v="1313"/>
    <n v="990"/>
    <s v="Agencia Información"/>
    <s v="Energía"/>
    <n v="2"/>
    <x v="22"/>
    <x v="12"/>
    <x v="1"/>
    <x v="2"/>
    <x v="1"/>
    <x v="105"/>
    <s v="Año 2021"/>
    <s v="MW"/>
    <s v="Comisión Nacional de Energía (CNE)"/>
    <s v="Capacidad Instalada (MW) de Centrales Eléctricas por Tipo de Energía en la Región de Antofagasta, para el Año 2021"/>
    <m/>
    <s v="Gráfico"/>
    <s v="Región de Antofagasta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2"/>
    <x v="2"/>
    <s v="#1774B9"/>
  </r>
  <r>
    <s v="1314"/>
    <n v="990"/>
    <s v="Agencia Información"/>
    <s v="Energía"/>
    <n v="3"/>
    <x v="22"/>
    <x v="12"/>
    <x v="1"/>
    <x v="3"/>
    <x v="1"/>
    <x v="105"/>
    <s v="Año 2021"/>
    <s v="MW"/>
    <s v="Comisión Nacional de Energía (CNE)"/>
    <s v="Capacidad Instalada (MW) de Centrales Eléctricas por Tipo de Energía en la Región de Atacama, para el Año 2021"/>
    <m/>
    <s v="Gráfico"/>
    <s v="Región de Atacama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3"/>
    <x v="3"/>
    <s v="#1774B9"/>
  </r>
  <r>
    <s v="1315"/>
    <n v="990"/>
    <s v="Agencia Información"/>
    <s v="Energía"/>
    <n v="4"/>
    <x v="22"/>
    <x v="12"/>
    <x v="1"/>
    <x v="4"/>
    <x v="1"/>
    <x v="105"/>
    <s v="Año 2021"/>
    <s v="MW"/>
    <s v="Comisión Nacional de Energía (CNE)"/>
    <s v="Capacidad Instalada (MW) de Centrales Eléctricas por Tipo de Energía en la Región de Coquimbo, para el Año 2021"/>
    <m/>
    <s v="Gráfico"/>
    <s v="Región de Coquimbo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4"/>
    <x v="4"/>
    <s v="#1774B9"/>
  </r>
  <r>
    <s v="1316"/>
    <n v="990"/>
    <s v="Agencia Información"/>
    <s v="Energía"/>
    <n v="5"/>
    <x v="22"/>
    <x v="12"/>
    <x v="1"/>
    <x v="5"/>
    <x v="1"/>
    <x v="105"/>
    <s v="Año 2021"/>
    <s v="MW"/>
    <s v="Comisión Nacional de Energía (CNE)"/>
    <s v="Capacidad Instalada (MW) de Centrales Eléctricas por Tipo de Energía en la Región de Valparaíso, para el Año 2021"/>
    <m/>
    <s v="Gráfico"/>
    <s v="Región de Valparaíso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5"/>
    <x v="5"/>
    <s v="#1774B9"/>
  </r>
  <r>
    <s v="1317"/>
    <n v="990"/>
    <s v="Agencia Información"/>
    <s v="Energía"/>
    <n v="6"/>
    <x v="22"/>
    <x v="12"/>
    <x v="1"/>
    <x v="6"/>
    <x v="1"/>
    <x v="105"/>
    <s v="Año 2021"/>
    <s v="MW"/>
    <s v="Comisión Nacional de Energía (CNE)"/>
    <s v="Capacidad Instalada (MW) de Centrales Eléctricas por Tipo de Energía en la Región de O'Higgins, para el Año 2021"/>
    <m/>
    <s v="Gráfico"/>
    <s v="Región de O'Higgins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6"/>
    <x v="6"/>
    <s v="#1774B9"/>
  </r>
  <r>
    <s v="1318"/>
    <n v="990"/>
    <s v="Agencia Información"/>
    <s v="Energía"/>
    <n v="7"/>
    <x v="22"/>
    <x v="12"/>
    <x v="1"/>
    <x v="7"/>
    <x v="1"/>
    <x v="105"/>
    <s v="Año 2021"/>
    <s v="MW"/>
    <s v="Comisión Nacional de Energía (CNE)"/>
    <s v="Capacidad Instalada (MW) de Centrales Eléctricas por Tipo de Energía en la Región de Maule, para el Año 2021"/>
    <m/>
    <s v="Gráfico"/>
    <s v="Región de Maule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7"/>
    <x v="7"/>
    <s v="#1774B9"/>
  </r>
  <r>
    <s v="1319"/>
    <n v="990"/>
    <s v="Agencia Información"/>
    <s v="Energía"/>
    <n v="8"/>
    <x v="22"/>
    <x v="12"/>
    <x v="1"/>
    <x v="8"/>
    <x v="1"/>
    <x v="105"/>
    <s v="Año 2021"/>
    <s v="MW"/>
    <s v="Comisión Nacional de Energía (CNE)"/>
    <s v="Capacidad Instalada (MW) de Centrales Eléctricas por Tipo de Energía en la Región del Biobío, para el Año 2021"/>
    <m/>
    <s v="Gráfico"/>
    <s v="Región del Biobío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8"/>
    <x v="8"/>
    <s v="#1774B9"/>
  </r>
  <r>
    <s v="1320"/>
    <n v="990"/>
    <s v="Agencia Información"/>
    <s v="Energía"/>
    <n v="9"/>
    <x v="22"/>
    <x v="12"/>
    <x v="1"/>
    <x v="9"/>
    <x v="1"/>
    <x v="105"/>
    <s v="Año 2021"/>
    <s v="MW"/>
    <s v="Comisión Nacional de Energía (CNE)"/>
    <s v="Capacidad Instalada (MW) de Centrales Eléctricas por Tipo de Energía en la Región de La Araucanía, para el Año 2021"/>
    <m/>
    <s v="Gráfico"/>
    <s v="Región de La Araucanía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9"/>
    <x v="9"/>
    <s v="#1774B9"/>
  </r>
  <r>
    <s v="1321"/>
    <n v="990"/>
    <s v="Agencia Información"/>
    <s v="Energía"/>
    <n v="10"/>
    <x v="22"/>
    <x v="12"/>
    <x v="1"/>
    <x v="10"/>
    <x v="1"/>
    <x v="105"/>
    <s v="Año 2021"/>
    <s v="MW"/>
    <s v="Comisión Nacional de Energía (CNE)"/>
    <s v="Capacidad Instalada (MW) de Centrales Eléctricas por Tipo de Energía en la Región de Los Lagos, para el Año 2021"/>
    <m/>
    <s v="Gráfico"/>
    <s v="Región de Los Lagos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10"/>
    <x v="10"/>
    <s v="#1774B9"/>
  </r>
  <r>
    <s v="1322"/>
    <n v="990"/>
    <s v="Agencia Información"/>
    <s v="Energía"/>
    <n v="11"/>
    <x v="22"/>
    <x v="12"/>
    <x v="1"/>
    <x v="11"/>
    <x v="1"/>
    <x v="105"/>
    <s v="Año 2021"/>
    <s v="MW"/>
    <s v="Comisión Nacional de Energía (CNE)"/>
    <s v="Capacidad Instalada (MW) de Centrales Eléctricas por Tipo de Energía en la Región de Aysén, para el Año 2021"/>
    <m/>
    <s v="Gráfico"/>
    <s v="Región de Aysén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11"/>
    <x v="11"/>
    <s v="#1774B9"/>
  </r>
  <r>
    <s v="1323"/>
    <n v="990"/>
    <s v="Agencia Información"/>
    <s v="Energía"/>
    <n v="12"/>
    <x v="22"/>
    <x v="12"/>
    <x v="1"/>
    <x v="12"/>
    <x v="1"/>
    <x v="105"/>
    <s v="Año 2021"/>
    <s v="MW"/>
    <s v="Comisión Nacional de Energía (CNE)"/>
    <s v="Capacidad Instalada (MW) de Centrales Eléctricas por Tipo de Energía en la Región de Magallanes, para el Año 2021"/>
    <m/>
    <s v="Gráfico"/>
    <s v="Región de Magallanes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12"/>
    <x v="12"/>
    <s v="#1774B9"/>
  </r>
  <r>
    <s v="1324"/>
    <n v="990"/>
    <s v="Agencia Información"/>
    <s v="Energía"/>
    <n v="13"/>
    <x v="22"/>
    <x v="12"/>
    <x v="1"/>
    <x v="13"/>
    <x v="1"/>
    <x v="105"/>
    <s v="Año 2021"/>
    <s v="MW"/>
    <s v="Comisión Nacional de Energía (CNE)"/>
    <s v="Capacidad Instalada (MW) de Centrales Eléctricas por Tipo de Energía en la Región Metropolitana, para el Año 2021"/>
    <m/>
    <s v="Gráfico"/>
    <s v="Región Metropolitana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13"/>
    <x v="13"/>
    <s v="#1774B9"/>
  </r>
  <r>
    <s v="1325"/>
    <n v="990"/>
    <s v="Agencia Información"/>
    <s v="Energía"/>
    <n v="14"/>
    <x v="22"/>
    <x v="12"/>
    <x v="1"/>
    <x v="14"/>
    <x v="1"/>
    <x v="105"/>
    <s v="Año 2021"/>
    <s v="MW"/>
    <s v="Comisión Nacional de Energía (CNE)"/>
    <s v="Capacidad Instalada (MW) de Centrales Eléctricas por Tipo de Energía en la Región de Los Ríos, para el Año 2021"/>
    <m/>
    <s v="Gráfico"/>
    <s v="Región de Los Ríos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14"/>
    <x v="14"/>
    <s v="#1774B9"/>
  </r>
  <r>
    <s v="1326"/>
    <n v="990"/>
    <s v="Agencia Información"/>
    <s v="Energía"/>
    <n v="15"/>
    <x v="22"/>
    <x v="12"/>
    <x v="1"/>
    <x v="15"/>
    <x v="1"/>
    <x v="105"/>
    <s v="Año 2021"/>
    <s v="MW"/>
    <s v="Comisión Nacional de Energía (CNE)"/>
    <s v="Capacidad Instalada (MW) de Centrales Eléctricas por Tipo de Energía en la Región de Arica y Parinacota, para el Año 2021"/>
    <m/>
    <s v="Gráfico"/>
    <s v="Región de Arica y Parinacota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15"/>
    <x v="15"/>
    <s v="#1774B9"/>
  </r>
  <r>
    <s v="1327"/>
    <n v="990"/>
    <s v="Agencia Información"/>
    <s v="Energía"/>
    <n v="16"/>
    <x v="22"/>
    <x v="12"/>
    <x v="1"/>
    <x v="16"/>
    <x v="1"/>
    <x v="105"/>
    <s v="Año 2021"/>
    <s v="MW"/>
    <s v="Comisión Nacional de Energía (CNE)"/>
    <s v="Capacidad Instalada (MW) de Centrales Eléctricas por Tipo de Energía en la Región de Ñuble, para el Año 2021"/>
    <m/>
    <s v="Gráfico"/>
    <s v="Región de Ñuble regional capacidad instalada potencia neta mw ernc tipo energía gas natural solar geotérmica mini hidráulica pasada petróleo diesel biogas"/>
    <s v="https://analytics.zoho.com/open-view/2395394000008478582?ZOHO_CRITERIA=%2216%20Energ%C3%ADas%20Renovables%20y%20No%20Renovables%22.%22Cod_Regi%C3%B3n%22%20%3D%2016"/>
    <x v="16"/>
    <s v="#1774B9"/>
  </r>
  <r>
    <s v="1328"/>
    <n v="990"/>
    <s v="Agencia Información"/>
    <s v="Energía"/>
    <n v="0"/>
    <x v="64"/>
    <x v="12"/>
    <x v="0"/>
    <x v="0"/>
    <x v="1"/>
    <x v="106"/>
    <s v="Año 2021"/>
    <s v="MW"/>
    <s v="Comisión Nacional de Energía (CNE)"/>
    <s v="Top 10 de Propietarios de Centrales Eléctricas con Mayor Capacidad Instalada (MW) en Chile, para el Año 2021"/>
    <s v="En Chile, ENEL GENERACIÓN CHILE es la empresa que tiene la mayor capacidad instalada, con 5.176 (MW). Le siguen COLBÚN y ENGIE, con 3.092 y 1.606 (MW), respectivamente."/>
    <s v="Ranking"/>
    <s v="Chile nacional centrales energía capacidad instalada dueños propietarios mayor"/>
    <s v="https://analytics.zoho.com/open-view/2395394000008280544"/>
    <x v="34"/>
    <s v="#1774B9"/>
  </r>
  <r>
    <s v="1329"/>
    <n v="990"/>
    <s v="Agencia Información"/>
    <s v="Energía"/>
    <n v="0"/>
    <x v="65"/>
    <x v="12"/>
    <x v="0"/>
    <x v="0"/>
    <x v="1"/>
    <x v="107"/>
    <s v="Año 2021"/>
    <s v="Número de Centrales"/>
    <s v="Comisión Nacional de Energía (CNE)"/>
    <s v="Cantidad de Centrales de Energía Renovable No Convencional por Comuna en Chile, para el Año 2021"/>
    <s v="La región Metropolitana tiene más centrales eléctricas de energía renovable, alcanzando 73. Por otro lado, la región de Los Lagos es la que cuenta con más centrales eléctricas de energía no renovable, con 43."/>
    <s v="Gráfico"/>
    <s v="Chile nacional región centrales energía renovable no comparación"/>
    <s v="https://analytics.zoho.com/open-view/2395394000008280397"/>
    <x v="34"/>
    <s v="#1774B9"/>
  </r>
  <r>
    <s v="1330"/>
    <n v="990"/>
    <s v="Agencia Información"/>
    <s v="Energía"/>
    <n v="0"/>
    <x v="66"/>
    <x v="12"/>
    <x v="0"/>
    <x v="0"/>
    <x v="2"/>
    <x v="107"/>
    <s v="Año 2021"/>
    <s v="Número de Centrales"/>
    <s v="Comisión Nacional de Energía (CNE)"/>
    <s v="Cantidad de Centrales de Energía Renovable No Convencional por Comuna en Chile, para el Año 2021"/>
    <s v="Existen 215 comunas que tienen centrales eléctricas de energía renovable no convencional (ERNC). Las comunas que tienen la mayor cantidad de centrales eléctricas ERNC son Ovalle, Mulchén, San Pedro, Río Bueno, Tiltil, Copiapó, Calama y Pozo Almonte, con 16, 11, 11, 10, 9, 8, 8 y 8 centrales, respectivamente."/>
    <s v="Mapa de calor"/>
    <s v="Chile nacional región comuna centrales energía renovable no convencional"/>
    <s v="https://analytics.zoho.com/open-view/2395394000008478954"/>
    <x v="17"/>
    <s v="#1774B9"/>
  </r>
  <r>
    <s v="1331"/>
    <n v="990"/>
    <s v="Agencia Información"/>
    <s v="Energía"/>
    <n v="1"/>
    <x v="66"/>
    <x v="12"/>
    <x v="1"/>
    <x v="1"/>
    <x v="3"/>
    <x v="107"/>
    <s v="Año 2021"/>
    <s v="Número de Centrales"/>
    <s v="Comisión Nacional de Energía (CNE)"/>
    <s v="Cantidad de Centrales de Energía Renovable No Convencional por Comuna en la Región de Tarapacá, para el Año 2021"/>
    <m/>
    <s v="Mapa de calor"/>
    <s v="Región de Tarapacá regional comuna centrales energía renovable no convencional"/>
    <s v="https://analytics.zoho.com/open-view/2395394000008492075?ZOHO_CRITERIA=%2216%20Energ%C3%ADas%20Renovables%20y%20No%20Renovables%22.%22Cod_Regi%C3%B3n%22%20%3D%201"/>
    <x v="18"/>
    <s v="#1774B9"/>
  </r>
  <r>
    <s v="1332"/>
    <n v="990"/>
    <s v="Agencia Información"/>
    <s v="Energía"/>
    <n v="2"/>
    <x v="66"/>
    <x v="12"/>
    <x v="1"/>
    <x v="2"/>
    <x v="3"/>
    <x v="107"/>
    <s v="Año 2021"/>
    <s v="Número de Centrales"/>
    <s v="Comisión Nacional de Energía (CNE)"/>
    <s v="Cantidad de Centrales de Energía Renovable No Convencional por Comuna en la Región de Antofagasta, para el Año 2021"/>
    <m/>
    <s v="Mapa de calor"/>
    <s v="Región de Antofagasta regional comuna centrales energía renovable no convencional"/>
    <s v="https://analytics.zoho.com/open-view/2395394000008492075?ZOHO_CRITERIA=%2216%20Energ%C3%ADas%20Renovables%20y%20No%20Renovables%22.%22Cod_Regi%C3%B3n%22%20%3D%202"/>
    <x v="19"/>
    <s v="#1774B9"/>
  </r>
  <r>
    <s v="1333"/>
    <n v="990"/>
    <s v="Agencia Información"/>
    <s v="Energía"/>
    <n v="3"/>
    <x v="66"/>
    <x v="12"/>
    <x v="1"/>
    <x v="3"/>
    <x v="3"/>
    <x v="107"/>
    <s v="Año 2021"/>
    <s v="Número de Centrales"/>
    <s v="Comisión Nacional de Energía (CNE)"/>
    <s v="Cantidad de Centrales de Energía Renovable No Convencional por Comuna en la Región de Atacama, para el Año 2021"/>
    <m/>
    <s v="Mapa de calor"/>
    <s v="Región de Atacama regional comuna centrales energía renovable no convencional"/>
    <s v="https://analytics.zoho.com/open-view/2395394000008492075?ZOHO_CRITERIA=%2216%20Energ%C3%ADas%20Renovables%20y%20No%20Renovables%22.%22Cod_Regi%C3%B3n%22%20%3D%203"/>
    <x v="20"/>
    <s v="#1774B9"/>
  </r>
  <r>
    <s v="1334"/>
    <n v="990"/>
    <s v="Agencia Información"/>
    <s v="Energía"/>
    <n v="4"/>
    <x v="66"/>
    <x v="12"/>
    <x v="1"/>
    <x v="4"/>
    <x v="3"/>
    <x v="107"/>
    <s v="Año 2021"/>
    <s v="Número de Centrales"/>
    <s v="Comisión Nacional de Energía (CNE)"/>
    <s v="Cantidad de Centrales de Energía Renovable No Convencional por Comuna en la Región de Coquimbo, para el Año 2021"/>
    <m/>
    <s v="Mapa de calor"/>
    <s v="Región de Coquimbo regional comuna centrales energía renovable no convencional"/>
    <s v="https://analytics.zoho.com/open-view/2395394000008492075?ZOHO_CRITERIA=%2216%20Energ%C3%ADas%20Renovables%20y%20No%20Renovables%22.%22Cod_Regi%C3%B3n%22%20%3D%204"/>
    <x v="21"/>
    <s v="#1774B9"/>
  </r>
  <r>
    <s v="1335"/>
    <n v="990"/>
    <s v="Agencia Información"/>
    <s v="Energía"/>
    <n v="5"/>
    <x v="66"/>
    <x v="12"/>
    <x v="1"/>
    <x v="5"/>
    <x v="3"/>
    <x v="107"/>
    <s v="Año 2021"/>
    <s v="Número de Centrales"/>
    <s v="Comisión Nacional de Energía (CNE)"/>
    <s v="Cantidad de Centrales de Energía Renovable No Convencional por Comuna en la Región de Valparaíso, para el Año 2021"/>
    <m/>
    <s v="Mapa de calor"/>
    <s v="Región de Valparaíso regional comuna centrales energía renovable no convencional"/>
    <s v="https://analytics.zoho.com/open-view/2395394000008492075?ZOHO_CRITERIA=%2216%20Energ%C3%ADas%20Renovables%20y%20No%20Renovables%22.%22Cod_Regi%C3%B3n%22%20%3D%205"/>
    <x v="22"/>
    <s v="#1774B9"/>
  </r>
  <r>
    <s v="1336"/>
    <n v="990"/>
    <s v="Agencia Información"/>
    <s v="Energía"/>
    <n v="6"/>
    <x v="66"/>
    <x v="12"/>
    <x v="1"/>
    <x v="6"/>
    <x v="3"/>
    <x v="107"/>
    <s v="Año 2021"/>
    <s v="Número de Centrales"/>
    <s v="Comisión Nacional de Energía (CNE)"/>
    <s v="Cantidad de Centrales de Energía Renovable No Convencional por Comuna en la Región de O'Higgins, para el Año 2021"/>
    <m/>
    <s v="Mapa de calor"/>
    <s v="Región de O'Higgins regional comuna centrales energía renovable no convencional"/>
    <s v="https://analytics.zoho.com/open-view/2395394000008492075?ZOHO_CRITERIA=%2216%20Energ%C3%ADas%20Renovables%20y%20No%20Renovables%22.%22Cod_Regi%C3%B3n%22%20%3D%206"/>
    <x v="23"/>
    <s v="#1774B9"/>
  </r>
  <r>
    <s v="1337"/>
    <n v="990"/>
    <s v="Agencia Información"/>
    <s v="Energía"/>
    <n v="7"/>
    <x v="66"/>
    <x v="12"/>
    <x v="1"/>
    <x v="7"/>
    <x v="3"/>
    <x v="107"/>
    <s v="Año 2021"/>
    <s v="Número de Centrales"/>
    <s v="Comisión Nacional de Energía (CNE)"/>
    <s v="Cantidad de Centrales de Energía Renovable No Convencional por Comuna en la Región de Maule, para el Año 2021"/>
    <m/>
    <s v="Mapa de calor"/>
    <s v="Región de Maule regional comuna centrales energía renovable no convencional"/>
    <s v="https://analytics.zoho.com/open-view/2395394000008492075?ZOHO_CRITERIA=%2216%20Energ%C3%ADas%20Renovables%20y%20No%20Renovables%22.%22Cod_Regi%C3%B3n%22%20%3D%207"/>
    <x v="24"/>
    <s v="#1774B9"/>
  </r>
  <r>
    <s v="1338"/>
    <n v="990"/>
    <s v="Agencia Información"/>
    <s v="Energía"/>
    <n v="8"/>
    <x v="66"/>
    <x v="12"/>
    <x v="1"/>
    <x v="8"/>
    <x v="3"/>
    <x v="107"/>
    <s v="Año 2021"/>
    <s v="Número de Centrales"/>
    <s v="Comisión Nacional de Energía (CNE)"/>
    <s v="Cantidad de Centrales de Energía Renovable No Convencional por Comuna en la Región del Biobío, para el Año 2021"/>
    <m/>
    <s v="Mapa de calor"/>
    <s v="Región del Biobío regional comuna centrales energía renovable no convencional"/>
    <s v="https://analytics.zoho.com/open-view/2395394000008492075?ZOHO_CRITERIA=%2216%20Energ%C3%ADas%20Renovables%20y%20No%20Renovables%22.%22Cod_Regi%C3%B3n%22%20%3D%208"/>
    <x v="25"/>
    <s v="#1774B9"/>
  </r>
  <r>
    <s v="1339"/>
    <n v="990"/>
    <s v="Agencia Información"/>
    <s v="Energía"/>
    <n v="9"/>
    <x v="66"/>
    <x v="12"/>
    <x v="1"/>
    <x v="9"/>
    <x v="3"/>
    <x v="107"/>
    <s v="Año 2021"/>
    <s v="Número de Centrales"/>
    <s v="Comisión Nacional de Energía (CNE)"/>
    <s v="Cantidad de Centrales de Energía Renovable No Convencional por Comuna en la Región de La Araucanía, para el Año 2021"/>
    <m/>
    <s v="Mapa de calor"/>
    <s v="Región de La Araucanía regional comuna centrales energía renovable no convencional"/>
    <s v="https://analytics.zoho.com/open-view/2395394000008492075?ZOHO_CRITERIA=%2216%20Energ%C3%ADas%20Renovables%20y%20No%20Renovables%22.%22Cod_Regi%C3%B3n%22%20%3D%209"/>
    <x v="26"/>
    <s v="#1774B9"/>
  </r>
  <r>
    <s v="1340"/>
    <n v="990"/>
    <s v="Agencia Información"/>
    <s v="Energía"/>
    <n v="10"/>
    <x v="66"/>
    <x v="12"/>
    <x v="1"/>
    <x v="10"/>
    <x v="3"/>
    <x v="107"/>
    <s v="Año 2021"/>
    <s v="Número de Centrales"/>
    <s v="Comisión Nacional de Energía (CNE)"/>
    <s v="Cantidad de Centrales de Energía Renovable No Convencional por Comuna en la Región de Los Lagos, para el Año 2021"/>
    <m/>
    <s v="Mapa de calor"/>
    <s v="Región de Los Lagos regional comuna centrales energía renovable no convencional"/>
    <s v="https://analytics.zoho.com/open-view/2395394000008492075?ZOHO_CRITERIA=%2216%20Energ%C3%ADas%20Renovables%20y%20No%20Renovables%22.%22Cod_Regi%C3%B3n%22%20%3D%2010"/>
    <x v="27"/>
    <s v="#1774B9"/>
  </r>
  <r>
    <s v="1341"/>
    <n v="990"/>
    <s v="Agencia Información"/>
    <s v="Energía"/>
    <n v="11"/>
    <x v="66"/>
    <x v="12"/>
    <x v="1"/>
    <x v="11"/>
    <x v="3"/>
    <x v="107"/>
    <s v="Año 2021"/>
    <s v="Número de Centrales"/>
    <s v="Comisión Nacional de Energía (CNE)"/>
    <s v="Cantidad de Centrales de Energía Renovable No Convencional por Comuna en la Región de Aysén, para el Año 2021"/>
    <m/>
    <s v="Mapa de calor"/>
    <s v="Región de Aysén regional comuna centrales energía renovable no convencional"/>
    <s v="https://analytics.zoho.com/open-view/2395394000008492075?ZOHO_CRITERIA=%2216%20Energ%C3%ADas%20Renovables%20y%20No%20Renovables%22.%22Cod_Regi%C3%B3n%22%20%3D%2011"/>
    <x v="28"/>
    <s v="#1774B9"/>
  </r>
  <r>
    <s v="1342"/>
    <n v="990"/>
    <s v="Agencia Información"/>
    <s v="Energía"/>
    <n v="12"/>
    <x v="66"/>
    <x v="12"/>
    <x v="1"/>
    <x v="12"/>
    <x v="3"/>
    <x v="107"/>
    <s v="Año 2021"/>
    <s v="Número de Centrales"/>
    <s v="Comisión Nacional de Energía (CNE)"/>
    <s v="Cantidad de Centrales de Energía Renovable No Convencional por Comuna en la Región de Magallanes, para el Año 2021"/>
    <m/>
    <s v="Mapa de calor"/>
    <s v="Región de Magallanes regional comuna centrales energía renovable no convencional"/>
    <s v="https://analytics.zoho.com/open-view/2395394000008492075?ZOHO_CRITERIA=%2216%20Energ%C3%ADas%20Renovables%20y%20No%20Renovables%22.%22Cod_Regi%C3%B3n%22%20%3D%2012"/>
    <x v="29"/>
    <s v="#1774B9"/>
  </r>
  <r>
    <s v="1343"/>
    <n v="990"/>
    <s v="Agencia Información"/>
    <s v="Energía"/>
    <n v="13"/>
    <x v="66"/>
    <x v="12"/>
    <x v="1"/>
    <x v="13"/>
    <x v="3"/>
    <x v="107"/>
    <s v="Año 2021"/>
    <s v="Número de Centrales"/>
    <s v="Comisión Nacional de Energía (CNE)"/>
    <s v="Cantidad de Centrales de Energía Renovable No Convencional por Comuna en la Región Metropolitana, para el Año 2021"/>
    <m/>
    <s v="Mapa de calor"/>
    <s v="Región Metropolitana regional comuna centrales energía renovable no convencional"/>
    <s v="https://analytics.zoho.com/open-view/2395394000008492075?ZOHO_CRITERIA=%2216%20Energ%C3%ADas%20Renovables%20y%20No%20Renovables%22.%22Cod_Regi%C3%B3n%22%20%3D%2013"/>
    <x v="30"/>
    <s v="#1774B9"/>
  </r>
  <r>
    <s v="1344"/>
    <n v="990"/>
    <s v="Agencia Información"/>
    <s v="Energía"/>
    <n v="14"/>
    <x v="66"/>
    <x v="12"/>
    <x v="1"/>
    <x v="14"/>
    <x v="3"/>
    <x v="107"/>
    <s v="Año 2021"/>
    <s v="Número de Centrales"/>
    <s v="Comisión Nacional de Energía (CNE)"/>
    <s v="Cantidad de Centrales de Energía Renovable No Convencional por Comuna en la Región de Los Ríos, para el Año 2021"/>
    <m/>
    <s v="Mapa de calor"/>
    <s v="Región de Los Ríos regional comuna centrales energía renovable no convencional"/>
    <s v="https://analytics.zoho.com/open-view/2395394000008492075?ZOHO_CRITERIA=%2216%20Energ%C3%ADas%20Renovables%20y%20No%20Renovables%22.%22Cod_Regi%C3%B3n%22%20%3D%2014"/>
    <x v="31"/>
    <s v="#1774B9"/>
  </r>
  <r>
    <s v="1345"/>
    <n v="990"/>
    <s v="Agencia Información"/>
    <s v="Energía"/>
    <n v="15"/>
    <x v="66"/>
    <x v="12"/>
    <x v="1"/>
    <x v="15"/>
    <x v="3"/>
    <x v="107"/>
    <s v="Año 2021"/>
    <s v="Número de Centrales"/>
    <s v="Comisión Nacional de Energía (CNE)"/>
    <s v="Cantidad de Centrales de Energía Renovable No Convencional por Comuna en la Región de Arica y Parinacota, para el Año 2021"/>
    <m/>
    <s v="Mapa de calor"/>
    <s v="Región de Arica y Parinacota regional comuna centrales energía renovable no convencional"/>
    <s v="https://analytics.zoho.com/open-view/2395394000008492075?ZOHO_CRITERIA=%2216%20Energ%C3%ADas%20Renovables%20y%20No%20Renovables%22.%22Cod_Regi%C3%B3n%22%20%3D%2015"/>
    <x v="32"/>
    <s v="#1774B9"/>
  </r>
  <r>
    <s v="1346"/>
    <n v="990"/>
    <s v="Agencia Información"/>
    <s v="Energía"/>
    <n v="16"/>
    <x v="66"/>
    <x v="12"/>
    <x v="1"/>
    <x v="16"/>
    <x v="3"/>
    <x v="107"/>
    <s v="Año 2021"/>
    <s v="Número de Centrales"/>
    <s v="Comisión Nacional de Energía (CNE)"/>
    <s v="Cantidad de Centrales de Energía Renovable No Convencional por Comuna en la Región de Ñuble, para el Año 2021"/>
    <m/>
    <s v="Mapa de calor"/>
    <s v="Región de Ñuble regional comuna centrales energía renovable no convencional"/>
    <s v="https://analytics.zoho.com/open-view/2395394000008492075?ZOHO_CRITERIA=%2216%20Energ%C3%ADas%20Renovables%20y%20No%20Renovables%22.%22Cod_Regi%C3%B3n%22%20%3D%2016"/>
    <x v="33"/>
    <s v="#1774B9"/>
  </r>
  <r>
    <s v="1347"/>
    <n v="990"/>
    <s v="Agencia Información"/>
    <s v="Energía"/>
    <n v="0"/>
    <x v="22"/>
    <x v="12"/>
    <x v="0"/>
    <x v="0"/>
    <x v="1"/>
    <x v="31"/>
    <s v="Año 2021"/>
    <s v="MW"/>
    <s v="Comisión Nacional de Energía (CNE)"/>
    <s v="Capacidad Instalada (MW) de Centrales Eléctricas por Región en Chile, Año 2021"/>
    <s v="La región que cuenta con la mayor capacidad instalada es Antofagasta, con 6.097,4 (MW), lo cual representa el 23,7% del total nacional. Al contrario, Arica y Parinacota tiene la capacidad instalada más baja, alcanzando 32,69 (MW), es decir, un 0,1% del total. La capacidad instalada incluye a centrales eléctricas de energía renovable y no renovable."/>
    <s v="Gráfico"/>
    <s v="Chile nacional región capacidad instalada MW centrales generación energía proporción"/>
    <s v="https://analytics.zoho.com/open-view/2395394000008280219"/>
    <x v="34"/>
    <s v="#1774B9"/>
  </r>
  <r>
    <s v="1348"/>
    <n v="990"/>
    <s v="Agencia Información"/>
    <s v="Salud"/>
    <n v="0"/>
    <x v="67"/>
    <x v="26"/>
    <x v="0"/>
    <x v="0"/>
    <x v="1"/>
    <x v="108"/>
    <s v="Año 2021"/>
    <s v="Número de Farmacias"/>
    <s v="Ministerio de Salud"/>
    <s v="Top 10 Comunas con la mayor cantidad de farmacias enChile, Año 2021"/>
    <s v="Las 10 comunas con la mayor cantidad de farmacias cuentan con 89"/>
    <s v="Ranking"/>
    <s v="Chile nacional región establecimientos salud farmacias número cantidad salud ranking top 10"/>
    <s v="https://analytics.zoho.com/open-view/2395394000008421316"/>
    <x v="34"/>
    <s v="#1774B9"/>
  </r>
  <r>
    <s v="1349"/>
    <n v="990"/>
    <s v="Agencia Información"/>
    <s v="Salud"/>
    <n v="0"/>
    <x v="67"/>
    <x v="26"/>
    <x v="0"/>
    <x v="0"/>
    <x v="0"/>
    <x v="109"/>
    <s v="Año 2021"/>
    <s v="Número de Farmacias"/>
    <s v="Ministerio de Salud"/>
    <s v="Cantidad de Farmacias por Región en Chile, Año 2021"/>
    <s v="El extremo sur de Chile, cuenta con las regiones con menos farmacias del país, llegando a un máximo de 23 farmacias en Magallanes. Por otro lado, la Región Metropolitana y Valparaíso, son las regiones que cuentan con la mayor cantidad de establecimientos, con 1882 y 609 farmacias respectivamente."/>
    <s v="Mapa de calor"/>
    <s v="Chile nacional región establecimientos salud farmacias número cantidad salud"/>
    <s v="https://analytics.zoho.com/open-view/2395394000008421106"/>
    <x v="34"/>
    <s v="#1774B9"/>
  </r>
  <r>
    <s v="1350"/>
    <n v="990"/>
    <s v="Agencia Información"/>
    <s v="Salud"/>
    <n v="0"/>
    <x v="67"/>
    <x v="26"/>
    <x v="0"/>
    <x v="0"/>
    <x v="2"/>
    <x v="110"/>
    <s v="Año 2021"/>
    <s v="Número de Farmacias"/>
    <s v="Ministerio de Salud"/>
    <s v="Cantidad de Farmacias de Turno por Comuna en Chile, Año 2021"/>
    <s v="Las farmacias de turno, son farmacias que abren en horario nocturno por orden del SEREMI. Actualmente, todas las regiones deberían contar con comunas con farmacias de turno."/>
    <s v="Mapa de calor"/>
    <s v="Chile nacional región comuna establecimientos salud farmacias turno urgencias salud"/>
    <s v="https://analytics.zoho.com/open-view/2395394000008421956 "/>
    <x v="17"/>
    <s v="#1774B9"/>
  </r>
  <r>
    <s v="1351"/>
    <n v="990"/>
    <s v="Agencia Información"/>
    <s v="Salud"/>
    <n v="1"/>
    <x v="67"/>
    <x v="26"/>
    <x v="1"/>
    <x v="1"/>
    <x v="0"/>
    <x v="110"/>
    <s v="Año 2021"/>
    <s v="Número de Farmacias"/>
    <s v="Ministerio de Salud"/>
    <s v="Cantidad de Farmacias de Turno por Comuna en la Región de Tarapacá, Año 2021"/>
    <m/>
    <s v="Mapa de calor"/>
    <s v="Región de Tarapacá regional comuna establecimientos salud farmacias turno urgencias salud"/>
    <s v="https://analytics.zoho.com/open-view/2395394000008516725?ZOHO_CRITERIA=%22Localiza%20CL%22.%22Codreg%22%20%3D%201"/>
    <x v="18"/>
    <s v="#1774B9"/>
  </r>
  <r>
    <s v="1352"/>
    <n v="990"/>
    <s v="Agencia Información"/>
    <s v="Salud"/>
    <n v="2"/>
    <x v="67"/>
    <x v="26"/>
    <x v="1"/>
    <x v="2"/>
    <x v="0"/>
    <x v="110"/>
    <s v="Año 2021"/>
    <s v="Número de Farmacias"/>
    <s v="Ministerio de Salud"/>
    <s v="Cantidad de Farmacias de Turno por Comuna en la Región de Antofagasta, Año 2021"/>
    <m/>
    <s v="Mapa de calor"/>
    <s v="Región de Antofagasta regional comuna establecimientos salud farmacias turno urgencias salud"/>
    <s v="https://analytics.zoho.com/open-view/2395394000008516725?ZOHO_CRITERIA=%22Localiza%20CL%22.%22Codreg%22%20%3D%202"/>
    <x v="19"/>
    <s v="#1774B9"/>
  </r>
  <r>
    <s v="1353"/>
    <n v="990"/>
    <s v="Agencia Información"/>
    <s v="Salud"/>
    <n v="3"/>
    <x v="67"/>
    <x v="26"/>
    <x v="1"/>
    <x v="3"/>
    <x v="0"/>
    <x v="110"/>
    <s v="Año 2021"/>
    <s v="Número de Farmacias"/>
    <s v="Ministerio de Salud"/>
    <s v="Cantidad de Farmacias de Turno por Comuna en la Región de Atacama, Año 2021"/>
    <m/>
    <s v="Mapa de calor"/>
    <s v="Región de Atacama regional comuna establecimientos salud farmacias turno urgencias salud"/>
    <s v="https://analytics.zoho.com/open-view/2395394000008516725?ZOHO_CRITERIA=%22Localiza%20CL%22.%22Codreg%22%20%3D%203"/>
    <x v="20"/>
    <s v="#1774B9"/>
  </r>
  <r>
    <s v="1354"/>
    <n v="990"/>
    <s v="Agencia Información"/>
    <s v="Salud"/>
    <n v="4"/>
    <x v="67"/>
    <x v="26"/>
    <x v="1"/>
    <x v="4"/>
    <x v="0"/>
    <x v="110"/>
    <s v="Año 2021"/>
    <s v="Número de Farmacias"/>
    <s v="Ministerio de Salud"/>
    <s v="Cantidad de Farmacias de Turno por Comuna en la Región de Coquimbo, Año 2021"/>
    <m/>
    <s v="Mapa de calor"/>
    <s v="Región de Coquimbo regional comuna establecimientos salud farmacias turno urgencias salud"/>
    <s v="https://analytics.zoho.com/open-view/2395394000008516725?ZOHO_CRITERIA=%22Localiza%20CL%22.%22Codreg%22%20%3D%204"/>
    <x v="21"/>
    <s v="#1774B9"/>
  </r>
  <r>
    <s v="1355"/>
    <n v="990"/>
    <s v="Agencia Información"/>
    <s v="Salud"/>
    <n v="5"/>
    <x v="67"/>
    <x v="26"/>
    <x v="1"/>
    <x v="5"/>
    <x v="0"/>
    <x v="110"/>
    <s v="Año 2021"/>
    <s v="Número de Farmacias"/>
    <s v="Ministerio de Salud"/>
    <s v="Cantidad de Farmacias de Turno por Comuna en la Región de Valparaíso, Año 2021"/>
    <m/>
    <s v="Mapa de calor"/>
    <s v="Región de Valparaíso regional comuna establecimientos salud farmacias turno urgencias salud"/>
    <s v="https://analytics.zoho.com/open-view/2395394000008516725?ZOHO_CRITERIA=%22Localiza%20CL%22.%22Codreg%22%20%3D%205"/>
    <x v="22"/>
    <s v="#1774B9"/>
  </r>
  <r>
    <s v="1356"/>
    <n v="990"/>
    <s v="Agencia Información"/>
    <s v="Salud"/>
    <n v="6"/>
    <x v="67"/>
    <x v="26"/>
    <x v="1"/>
    <x v="6"/>
    <x v="0"/>
    <x v="110"/>
    <s v="Año 2021"/>
    <s v="Número de Farmacias"/>
    <s v="Ministerio de Salud"/>
    <s v="Cantidad de Farmacias de Turno por Comuna en la Región de O'Higgins, Año 2021"/>
    <m/>
    <s v="Mapa de calor"/>
    <s v="Región de O'Higgins regional comuna establecimientos salud farmacias turno urgencias salud"/>
    <s v="https://analytics.zoho.com/open-view/2395394000008516725?ZOHO_CRITERIA=%22Localiza%20CL%22.%22Codreg%22%20%3D%206"/>
    <x v="23"/>
    <s v="#1774B9"/>
  </r>
  <r>
    <s v="1357"/>
    <n v="990"/>
    <s v="Agencia Información"/>
    <s v="Salud"/>
    <n v="7"/>
    <x v="67"/>
    <x v="26"/>
    <x v="1"/>
    <x v="7"/>
    <x v="0"/>
    <x v="110"/>
    <s v="Año 2021"/>
    <s v="Número de Farmacias"/>
    <s v="Ministerio de Salud"/>
    <s v="Cantidad de Farmacias de Turno por Comuna en la Región de Maule, Año 2021"/>
    <m/>
    <s v="Mapa de calor"/>
    <s v="Región de Maule regional comuna establecimientos salud farmacias turno urgencias salud"/>
    <s v="https://analytics.zoho.com/open-view/2395394000008516725?ZOHO_CRITERIA=%22Localiza%20CL%22.%22Codreg%22%20%3D%207"/>
    <x v="24"/>
    <s v="#1774B9"/>
  </r>
  <r>
    <s v="1358"/>
    <n v="990"/>
    <s v="Agencia Información"/>
    <s v="Salud"/>
    <n v="8"/>
    <x v="67"/>
    <x v="26"/>
    <x v="1"/>
    <x v="8"/>
    <x v="0"/>
    <x v="110"/>
    <s v="Año 2021"/>
    <s v="Número de Farmacias"/>
    <s v="Ministerio de Salud"/>
    <s v="Cantidad de Farmacias de Turno por Comuna en la Región del Biobío, Año 2021"/>
    <m/>
    <s v="Mapa de calor"/>
    <s v="Región del Biobío regional comuna establecimientos salud farmacias turno urgencias salud"/>
    <s v="https://analytics.zoho.com/open-view/2395394000008516725?ZOHO_CRITERIA=%22Localiza%20CL%22.%22Codreg%22%20%3D%208"/>
    <x v="25"/>
    <s v="#1774B9"/>
  </r>
  <r>
    <s v="1359"/>
    <n v="990"/>
    <s v="Agencia Información"/>
    <s v="Salud"/>
    <n v="9"/>
    <x v="67"/>
    <x v="26"/>
    <x v="1"/>
    <x v="9"/>
    <x v="0"/>
    <x v="110"/>
    <s v="Año 2021"/>
    <s v="Número de Farmacias"/>
    <s v="Ministerio de Salud"/>
    <s v="Cantidad de Farmacias de Turno por Comuna en la Región de La Araucanía, Año 2021"/>
    <m/>
    <s v="Mapa de calor"/>
    <s v="Región de La Araucanía regional comuna establecimientos salud farmacias turno urgencias salud"/>
    <s v="https://analytics.zoho.com/open-view/2395394000008516725?ZOHO_CRITERIA=%22Localiza%20CL%22.%22Codreg%22%20%3D%209"/>
    <x v="26"/>
    <s v="#1774B9"/>
  </r>
  <r>
    <s v="1360"/>
    <n v="990"/>
    <s v="Agencia Información"/>
    <s v="Salud"/>
    <n v="10"/>
    <x v="67"/>
    <x v="26"/>
    <x v="1"/>
    <x v="10"/>
    <x v="0"/>
    <x v="110"/>
    <s v="Año 2021"/>
    <s v="Número de Farmacias"/>
    <s v="Ministerio de Salud"/>
    <s v="Cantidad de Farmacias de Turno por Comuna en la Región de Los Lagos, Año 2021"/>
    <m/>
    <s v="Mapa de calor"/>
    <s v="Región de Los Lagos regional comuna establecimientos salud farmacias turno urgencias salud"/>
    <s v="https://analytics.zoho.com/open-view/2395394000008516725?ZOHO_CRITERIA=%22Localiza%20CL%22.%22Codreg%22%20%3D%2010"/>
    <x v="27"/>
    <s v="#1774B9"/>
  </r>
  <r>
    <s v="1361"/>
    <n v="990"/>
    <s v="Agencia Información"/>
    <s v="Salud"/>
    <n v="11"/>
    <x v="67"/>
    <x v="26"/>
    <x v="1"/>
    <x v="11"/>
    <x v="0"/>
    <x v="110"/>
    <s v="Año 2021"/>
    <s v="Número de Farmacias"/>
    <s v="Ministerio de Salud"/>
    <s v="Cantidad de Farmacias de Turno por Comuna en la Región de Aysén, Año 2021"/>
    <m/>
    <s v="Mapa de calor"/>
    <s v="Región de Aysén regional comuna establecimientos salud farmacias turno urgencias salud"/>
    <s v="https://analytics.zoho.com/open-view/2395394000008516725?ZOHO_CRITERIA=%22Localiza%20CL%22.%22Codreg%22%20%3D%2011"/>
    <x v="28"/>
    <s v="#1774B9"/>
  </r>
  <r>
    <s v="1362"/>
    <n v="990"/>
    <s v="Agencia Información"/>
    <s v="Salud"/>
    <n v="12"/>
    <x v="67"/>
    <x v="26"/>
    <x v="1"/>
    <x v="12"/>
    <x v="0"/>
    <x v="110"/>
    <s v="Año 2021"/>
    <s v="Número de Farmacias"/>
    <s v="Ministerio de Salud"/>
    <s v="Cantidad de Farmacias de Turno por Comuna en la Región de Magallanes, Año 2021"/>
    <m/>
    <s v="Mapa de calor"/>
    <s v="Región de Magallanes regional comuna establecimientos salud farmacias turno urgencias salud"/>
    <s v="https://analytics.zoho.com/open-view/2395394000008516725?ZOHO_CRITERIA=%22Localiza%20CL%22.%22Codreg%22%20%3D%2012"/>
    <x v="29"/>
    <s v="#1774B9"/>
  </r>
  <r>
    <s v="1363"/>
    <n v="990"/>
    <s v="Agencia Información"/>
    <s v="Salud"/>
    <n v="13"/>
    <x v="67"/>
    <x v="26"/>
    <x v="1"/>
    <x v="13"/>
    <x v="0"/>
    <x v="110"/>
    <s v="Año 2021"/>
    <s v="Número de Farmacias"/>
    <s v="Ministerio de Salud"/>
    <s v="Cantidad de Farmacias de Turno por Comuna en la Región Metropolitana, Año 2021"/>
    <m/>
    <s v="Mapa de calor"/>
    <s v="Región Metropolitana regional comuna establecimientos salud farmacias turno urgencias salud"/>
    <s v="https://analytics.zoho.com/open-view/2395394000008516725?ZOHO_CRITERIA=%22Localiza%20CL%22.%22Codreg%22%20%3D%2013"/>
    <x v="30"/>
    <s v="#1774B9"/>
  </r>
  <r>
    <s v="1364"/>
    <n v="990"/>
    <s v="Agencia Información"/>
    <s v="Salud"/>
    <n v="14"/>
    <x v="67"/>
    <x v="26"/>
    <x v="1"/>
    <x v="14"/>
    <x v="0"/>
    <x v="110"/>
    <s v="Año 2021"/>
    <s v="Número de Farmacias"/>
    <s v="Ministerio de Salud"/>
    <s v="Cantidad de Farmacias de Turno por Comuna en la Región de Los Ríos, Año 2021"/>
    <m/>
    <s v="Mapa de calor"/>
    <s v="Región de Los Ríos regional comuna establecimientos salud farmacias turno urgencias salud"/>
    <s v="https://analytics.zoho.com/open-view/2395394000008516725?ZOHO_CRITERIA=%22Localiza%20CL%22.%22Codreg%22%20%3D%2014"/>
    <x v="31"/>
    <s v="#1774B9"/>
  </r>
  <r>
    <s v="1365"/>
    <n v="990"/>
    <s v="Agencia Información"/>
    <s v="Salud"/>
    <n v="15"/>
    <x v="67"/>
    <x v="26"/>
    <x v="1"/>
    <x v="15"/>
    <x v="0"/>
    <x v="110"/>
    <s v="Año 2021"/>
    <s v="Número de Farmacias"/>
    <s v="Ministerio de Salud"/>
    <s v="Cantidad de Farmacias de Turno por Comuna en la Región de Arica y Parinacota, Año 2021"/>
    <m/>
    <s v="Mapa de calor"/>
    <s v="Región de Arica y Parinacota regional comuna establecimientos salud farmacias turno urgencias salud"/>
    <s v="https://analytics.zoho.com/open-view/2395394000008516725?ZOHO_CRITERIA=%22Localiza%20CL%22.%22Codreg%22%20%3D%2015"/>
    <x v="32"/>
    <s v="#1774B9"/>
  </r>
  <r>
    <s v="1366"/>
    <n v="990"/>
    <s v="Agencia Información"/>
    <s v="Salud"/>
    <n v="16"/>
    <x v="67"/>
    <x v="26"/>
    <x v="1"/>
    <x v="16"/>
    <x v="0"/>
    <x v="110"/>
    <s v="Año 2021"/>
    <s v="Número de Farmacias"/>
    <s v="Ministerio de Salud"/>
    <s v="Cantidad de Farmacias de Turno por Comuna en la Región de Ñuble, Año 2021"/>
    <m/>
    <s v="Mapa de calor"/>
    <s v="Región de Ñuble regional comuna establecimientos salud farmacias turno urgencias salud"/>
    <s v="https://analytics.zoho.com/open-view/2395394000008516725?ZOHO_CRITERIA=%22Localiza%20CL%22.%22Codreg%22%20%3D%2016"/>
    <x v="33"/>
    <s v="#1774B9"/>
  </r>
  <r>
    <s v="1367"/>
    <n v="990"/>
    <s v="Agencia Información"/>
    <s v="Salud"/>
    <n v="0"/>
    <x v="67"/>
    <x v="26"/>
    <x v="0"/>
    <x v="0"/>
    <x v="0"/>
    <x v="111"/>
    <s v="Año 2021"/>
    <s v="Número de Farmacias"/>
    <s v="Ministerio de Salud"/>
    <s v="Cantidad de Farmacias de Turno por Región en Chile, Año 2021"/>
    <s v="La cantidad de farmacias de turno por región, varía de acuerdo a la cantidad de comunas que conforman dicha región, dicho esto, podemos ver que el centro de nuestro país concentra la mayor cantidad de farmacias de turno, llegando a un máximo de 18 farmacias en la región del Biobío. Por otro lado, en Tarapacá se alcanza el mínimo con solo 1 farmacia de turno abierta."/>
    <s v="Mapa de calor"/>
    <s v="Chile nacional región establecimientos salud farmacias turno urgencias salud"/>
    <s v="https://analytics.zoho.com/open-view/2395394000008421914"/>
    <x v="34"/>
    <s v="#1774B9"/>
  </r>
  <r>
    <s v="1368"/>
    <n v="990"/>
    <s v="Agencia Información"/>
    <s v="Economía"/>
    <n v="0"/>
    <x v="7"/>
    <x v="27"/>
    <x v="0"/>
    <x v="0"/>
    <x v="17"/>
    <x v="112"/>
    <s v="Periodo 2018-2021"/>
    <s v="USD"/>
    <s v="Servicio Nacional de Aduanas"/>
    <s v="Evolución Trimestral de Exportaciones (USD) de Productos del Mar desde Chile, Periodo 2018-2021"/>
    <s v="En el segundo semestre del año 2021, la exportación de salmones y truchas, es por lejos la exportación de productos del mar con mayor valor en dólares, terminando en más de un millón de dólares."/>
    <s v="Gráfico de Evolución"/>
    <s v="Chile nacional comercio exterior exportaciones usd valor dólar productos mar mariscos salmón truchas"/>
    <s v="https://analytics.zoho.com/open-view/2395394000008410521?ZOHO_CRITERIA=%22Pa%C3%ADs_Todo%22.%22id_TipoProducto%22%3D7"/>
    <x v="34"/>
    <s v="#1774B9"/>
  </r>
  <r>
    <s v="1369"/>
    <n v="990"/>
    <s v="Agencia Información"/>
    <s v="Economía"/>
    <n v="0"/>
    <x v="7"/>
    <x v="27"/>
    <x v="0"/>
    <x v="0"/>
    <x v="18"/>
    <x v="113"/>
    <s v="Periodo 2015-2021"/>
    <s v="USD"/>
    <s v="Servicio Nacional de Aduanas"/>
    <s v="Evolución Trimestral de Exportaciones (USD) por Tipo de Producto desde Chile, Periodo 2015-2021"/>
    <s v="En el período comprendido desde el primer semestre del año 2015 hasta el segundo semestre del año 2021, se puede apreciar que la acumulación en exportaciones de productos de minería es más de 238 miles de millones de dólares."/>
    <s v="Gráfico de Evolución"/>
    <s v="Chile nacional comercio exterior exportaciones usd valor dólar productos tipo minería mar salmón cobre fruta"/>
    <s v="https://analytics.zoho.com/open-view/2395394000008172059"/>
    <x v="34"/>
    <s v="#1774B9"/>
  </r>
  <r>
    <s v="1370"/>
    <n v="990"/>
    <s v="Agencia Información"/>
    <s v="Economía"/>
    <n v="0"/>
    <x v="23"/>
    <x v="27"/>
    <x v="0"/>
    <x v="0"/>
    <x v="1"/>
    <x v="114"/>
    <s v="Año 2021"/>
    <s v="USD"/>
    <s v="Servicio Nacional de Aduanas"/>
    <s v="Mapa de calor que muestra el valor de las Importaciones en USD por Región  en Chile, Año 2021"/>
    <s v="Hasta junio del 2021, la región que ha alcanzado el mayor valor en dólares por importaciones ha sido la región de Valparaíso, con USD 822.866.845.194. En el otro extremo, se encuentra la Región de Los Ríos, cuyas importaciones levemente superan los 2 millones de dólares."/>
    <s v="Mapa de calor"/>
    <s v="Chile nacional región importación calor dólar usd comercio exterior mapa"/>
    <s v="https://analytics.zoho.com/open-view/2395394000008189310"/>
    <x v="34"/>
    <s v="#1774B9"/>
  </r>
  <r>
    <s v="1371"/>
    <n v="990"/>
    <s v="Agencia Información"/>
    <s v="Economía"/>
    <n v="0"/>
    <x v="23"/>
    <x v="27"/>
    <x v="0"/>
    <x v="0"/>
    <x v="0"/>
    <x v="115"/>
    <s v="Periodo 2015-2021"/>
    <s v="Kilogramo"/>
    <s v="Servicio Nacional de Aduanas"/>
    <s v="Volumen de las importaciones en kilogramo según tipo de terminal de entrada en Chile, Periodo 2015-2021"/>
    <s v="A nivel nacional, los terminales de tipo marítimo ingresan el volumen más alto de importaciones en kilogramos cada año, superando los 10.900.000.000 kg. A nivel regional, sólo las regiones del Maule, la Araucanía y Metropolitana, no presentan importaciones por este tipo de transporte."/>
    <s v="Gráfico de Evolución"/>
    <s v="Chile nacional región comercio exterior economía importaciones volúmen kilogramo entrada terminal transporte marítimo aéreo terrestre otro"/>
    <s v="https://analytics.zoho.com/open-view/2395394000008189214"/>
    <x v="0"/>
    <s v="#1774B9"/>
  </r>
  <r>
    <s v="1372"/>
    <n v="990"/>
    <s v="Agencia Información"/>
    <s v="Economía"/>
    <n v="1"/>
    <x v="23"/>
    <x v="27"/>
    <x v="1"/>
    <x v="1"/>
    <x v="1"/>
    <x v="115"/>
    <s v="Periodo 2015-2021"/>
    <s v="Kilogramo"/>
    <s v="Servicio Nacional de Aduanas"/>
    <s v="Volumen de las importaciones en kilogramo según tipo de terminal de entrada en la Región de Tarapacá, Periodo 2015-2021"/>
    <m/>
    <s v="Gráfico de Evolución"/>
    <s v="Región de Tarapacá regional comercio exterior economía importaciones volúmen kilogramo entrada terminal transporte marítimo aéreo terrestre otro"/>
    <s v="https://analytics.zoho.com/open-view/2395394000008461682?ZOHO_CRITERIA=%221.1%20Lugar_Salida_Entrada%22.%22C%C3%B3digo%20Regi%C3%B3n%22%3D1"/>
    <x v="1"/>
    <s v="#1774B9"/>
  </r>
  <r>
    <s v="1373"/>
    <n v="990"/>
    <s v="Agencia Información"/>
    <s v="Economía"/>
    <n v="2"/>
    <x v="23"/>
    <x v="27"/>
    <x v="1"/>
    <x v="2"/>
    <x v="1"/>
    <x v="115"/>
    <s v="Periodo 2015-2021"/>
    <s v="Kilogramo"/>
    <s v="Servicio Nacional de Aduanas"/>
    <s v="Volumen de las importaciones en kilogramo según tipo de terminal de entrada en la Región de Antofagasta, Periodo 2015-2021"/>
    <m/>
    <s v="Gráfico de Evolución"/>
    <s v="Región de Antofagasta regional comercio exterior economía importaciones volúmen kilogramo entrada terminal transporte marítimo aéreo terrestre otro"/>
    <s v="https://analytics.zoho.com/open-view/2395394000008461682?ZOHO_CRITERIA=%221.1%20Lugar_Salida_Entrada%22.%22C%C3%B3digo%20Regi%C3%B3n%22%3D2"/>
    <x v="2"/>
    <s v="#1774B9"/>
  </r>
  <r>
    <s v="1374"/>
    <n v="990"/>
    <s v="Agencia Información"/>
    <s v="Economía"/>
    <n v="3"/>
    <x v="23"/>
    <x v="27"/>
    <x v="1"/>
    <x v="3"/>
    <x v="1"/>
    <x v="115"/>
    <s v="Periodo 2015-2021"/>
    <s v="Kilogramo"/>
    <s v="Servicio Nacional de Aduanas"/>
    <s v="Volumen de las importaciones en kilogramo según tipo de terminal de entrada en la Región de Atacama, Periodo 2015-2021"/>
    <m/>
    <s v="Gráfico de Evolución"/>
    <s v="Región de Atacama regional comercio exterior economía importaciones volúmen kilogramo entrada terminal transporte marítimo aéreo terrestre otro"/>
    <s v="https://analytics.zoho.com/open-view/2395394000008461682?ZOHO_CRITERIA=%221.1%20Lugar_Salida_Entrada%22.%22C%C3%B3digo%20Regi%C3%B3n%22%3D3"/>
    <x v="3"/>
    <s v="#1774B9"/>
  </r>
  <r>
    <s v="1375"/>
    <n v="990"/>
    <s v="Agencia Información"/>
    <s v="Economía"/>
    <n v="4"/>
    <x v="23"/>
    <x v="27"/>
    <x v="1"/>
    <x v="4"/>
    <x v="1"/>
    <x v="115"/>
    <s v="Periodo 2015-2021"/>
    <s v="Kilogramo"/>
    <s v="Servicio Nacional de Aduanas"/>
    <s v="Volumen de las importaciones en kilogramo según tipo de terminal de entrada en la Región de Coquimbo, Periodo 2015-2021"/>
    <m/>
    <s v="Gráfico de Evolución"/>
    <s v="Región de Coquimbo regional comercio exterior economía importaciones volúmen kilogramo entrada terminal transporte marítimo aéreo terrestre otro"/>
    <s v="https://analytics.zoho.com/open-view/2395394000008461682?ZOHO_CRITERIA=%221.1%20Lugar_Salida_Entrada%22.%22C%C3%B3digo%20Regi%C3%B3n%22%3D4"/>
    <x v="4"/>
    <s v="#1774B9"/>
  </r>
  <r>
    <s v="1376"/>
    <n v="990"/>
    <s v="Agencia Información"/>
    <s v="Economía"/>
    <n v="5"/>
    <x v="23"/>
    <x v="27"/>
    <x v="1"/>
    <x v="5"/>
    <x v="1"/>
    <x v="115"/>
    <s v="Periodo 2015-2021"/>
    <s v="Kilogramo"/>
    <s v="Servicio Nacional de Aduanas"/>
    <s v="Volumen de las importaciones en kilogramo según tipo de terminal de entrada en la Región de Valparaíso, Periodo 2015-2021"/>
    <m/>
    <s v="Gráfico de Evolución"/>
    <s v="Región de Valparaíso regional comercio exterior economía importaciones volúmen kilogramo entrada terminal transporte marítimo aéreo terrestre otro"/>
    <s v="https://analytics.zoho.com/open-view/2395394000008461682?ZOHO_CRITERIA=%221.1%20Lugar_Salida_Entrada%22.%22C%C3%B3digo%20Regi%C3%B3n%22%3D5"/>
    <x v="5"/>
    <s v="#1774B9"/>
  </r>
  <r>
    <s v="1377"/>
    <n v="990"/>
    <s v="Agencia Información"/>
    <s v="Economía"/>
    <n v="6"/>
    <x v="23"/>
    <x v="27"/>
    <x v="1"/>
    <x v="6"/>
    <x v="1"/>
    <x v="115"/>
    <s v="Periodo 2015-2021"/>
    <s v="Kilogramo"/>
    <s v="Servicio Nacional de Aduanas"/>
    <s v="Volumen de las importaciones en kilogramo según tipo de terminal de entrada en la Región de O'Higgins, Periodo 2015-2021"/>
    <m/>
    <s v="Gráfico de Evolución"/>
    <s v="Región de O'Higgins regional comercio exterior economía importaciones volúmen kilogramo entrada terminal transporte marítimo aéreo terrestre otro"/>
    <s v="https://analytics.zoho.com/open-view/2395394000008461682?ZOHO_CRITERIA=%221.1%20Lugar_Salida_Entrada%22.%22C%C3%B3digo%20Regi%C3%B3n%22%3D6"/>
    <x v="6"/>
    <s v="#1774B9"/>
  </r>
  <r>
    <s v="1378"/>
    <n v="990"/>
    <s v="Agencia Información"/>
    <s v="Economía"/>
    <n v="7"/>
    <x v="23"/>
    <x v="27"/>
    <x v="1"/>
    <x v="7"/>
    <x v="1"/>
    <x v="115"/>
    <s v="Periodo 2015-2021"/>
    <s v="Kilogramo"/>
    <s v="Servicio Nacional de Aduanas"/>
    <s v="Volumen de las importaciones en kilogramo según tipo de terminal de entrada en la Región de Maule, Periodo 2015-2021"/>
    <m/>
    <s v="Gráfico de Evolución"/>
    <s v="Región de Maule regional comercio exterior economía importaciones volúmen kilogramo entrada terminal transporte marítimo aéreo terrestre otro"/>
    <s v="https://analytics.zoho.com/open-view/2395394000008461682?ZOHO_CRITERIA=%221.1%20Lugar_Salida_Entrada%22.%22C%C3%B3digo%20Regi%C3%B3n%22%3D7"/>
    <x v="7"/>
    <s v="#1774B9"/>
  </r>
  <r>
    <s v="1379"/>
    <n v="990"/>
    <s v="Agencia Información"/>
    <s v="Economía"/>
    <n v="8"/>
    <x v="23"/>
    <x v="27"/>
    <x v="1"/>
    <x v="8"/>
    <x v="1"/>
    <x v="115"/>
    <s v="Periodo 2015-2021"/>
    <s v="Kilogramo"/>
    <s v="Servicio Nacional de Aduanas"/>
    <s v="Volumen de las importaciones en kilogramo según tipo de terminal de entrada en la Región del Biobío, Periodo 2015-2021"/>
    <m/>
    <s v="Gráfico de Evolución"/>
    <s v="Región del Biobío regional comercio exterior economía importaciones volúmen kilogramo entrada terminal transporte marítimo aéreo terrestre otro"/>
    <s v="https://analytics.zoho.com/open-view/2395394000008461682?ZOHO_CRITERIA=%221.1%20Lugar_Salida_Entrada%22.%22C%C3%B3digo%20Regi%C3%B3n%22%3D8"/>
    <x v="8"/>
    <s v="#1774B9"/>
  </r>
  <r>
    <s v="1380"/>
    <n v="990"/>
    <s v="Agencia Información"/>
    <s v="Economía"/>
    <n v="9"/>
    <x v="23"/>
    <x v="27"/>
    <x v="1"/>
    <x v="9"/>
    <x v="1"/>
    <x v="115"/>
    <s v="Periodo 2015-2021"/>
    <s v="Kilogramo"/>
    <s v="Servicio Nacional de Aduanas"/>
    <s v="Volumen de las importaciones en kilogramo según tipo de terminal de entrada en la Región de La Araucanía, Periodo 2015-2021"/>
    <m/>
    <s v="Gráfico de Evolución"/>
    <s v="Región de La Araucanía regional comercio exterior economía importaciones volúmen kilogramo entrada terminal transporte marítimo aéreo terrestre otro"/>
    <s v="https://analytics.zoho.com/open-view/2395394000008461682?ZOHO_CRITERIA=%221.1%20Lugar_Salida_Entrada%22.%22C%C3%B3digo%20Regi%C3%B3n%22%3D9"/>
    <x v="9"/>
    <s v="#1774B9"/>
  </r>
  <r>
    <s v="1381"/>
    <n v="990"/>
    <s v="Agencia Información"/>
    <s v="Economía"/>
    <n v="10"/>
    <x v="23"/>
    <x v="27"/>
    <x v="1"/>
    <x v="10"/>
    <x v="1"/>
    <x v="115"/>
    <s v="Periodo 2015-2021"/>
    <s v="Kilogramo"/>
    <s v="Servicio Nacional de Aduanas"/>
    <s v="Volumen de las importaciones en kilogramo según tipo de terminal de entrada en la Región de Los Lagos, Periodo 2015-2021"/>
    <m/>
    <s v="Gráfico de Evolución"/>
    <s v="Región de Los Lagos regional comercio exterior economía importaciones volúmen kilogramo entrada terminal transporte marítimo aéreo terrestre otro"/>
    <s v="https://analytics.zoho.com/open-view/2395394000008461682?ZOHO_CRITERIA=%221.1%20Lugar_Salida_Entrada%22.%22C%C3%B3digo%20Regi%C3%B3n%22%3D10"/>
    <x v="10"/>
    <s v="#1774B9"/>
  </r>
  <r>
    <s v="1382"/>
    <n v="990"/>
    <s v="Agencia Información"/>
    <s v="Economía"/>
    <n v="11"/>
    <x v="23"/>
    <x v="27"/>
    <x v="1"/>
    <x v="11"/>
    <x v="1"/>
    <x v="115"/>
    <s v="Periodo 2015-2021"/>
    <s v="Kilogramo"/>
    <s v="Servicio Nacional de Aduanas"/>
    <s v="Volumen de las importaciones en kilogramo según tipo de terminal de entrada en la Región de Aysén, Periodo 2015-2021"/>
    <m/>
    <s v="Gráfico de Evolución"/>
    <s v="Región de Aysén regional comercio exterior economía importaciones volúmen kilogramo entrada terminal transporte marítimo aéreo terrestre otro"/>
    <s v="https://analytics.zoho.com/open-view/2395394000008461682?ZOHO_CRITERIA=%221.1%20Lugar_Salida_Entrada%22.%22C%C3%B3digo%20Regi%C3%B3n%22%3D11"/>
    <x v="11"/>
    <s v="#1774B9"/>
  </r>
  <r>
    <s v="1383"/>
    <n v="990"/>
    <s v="Agencia Información"/>
    <s v="Economía"/>
    <n v="12"/>
    <x v="23"/>
    <x v="27"/>
    <x v="1"/>
    <x v="12"/>
    <x v="1"/>
    <x v="115"/>
    <s v="Periodo 2015-2021"/>
    <s v="Kilogramo"/>
    <s v="Servicio Nacional de Aduanas"/>
    <s v="Volumen de las importaciones en kilogramo según tipo de terminal de entrada en la Región de Magallanes, Periodo 2015-2021"/>
    <m/>
    <s v="Gráfico de Evolución"/>
    <s v="Región de Magallanes regional comercio exterior economía importaciones volúmen kilogramo entrada terminal transporte marítimo aéreo terrestre otro"/>
    <s v="https://analytics.zoho.com/open-view/2395394000008461682?ZOHO_CRITERIA=%221.1%20Lugar_Salida_Entrada%22.%22C%C3%B3digo%20Regi%C3%B3n%22%3D12"/>
    <x v="12"/>
    <s v="#1774B9"/>
  </r>
  <r>
    <s v="1384"/>
    <n v="990"/>
    <s v="Agencia Información"/>
    <s v="Economía"/>
    <n v="13"/>
    <x v="23"/>
    <x v="27"/>
    <x v="1"/>
    <x v="13"/>
    <x v="1"/>
    <x v="115"/>
    <s v="Periodo 2015-2021"/>
    <s v="Kilogramo"/>
    <s v="Servicio Nacional de Aduanas"/>
    <s v="Volumen de las importaciones en kilogramo según tipo de terminal de entrada en la Región Metropolitana, Periodo 2015-2021"/>
    <m/>
    <s v="Gráfico de Evolución"/>
    <s v="Región Metropolitana regional comercio exterior economía importaciones volúmen kilogramo entrada terminal transporte marítimo aéreo terrestre otro"/>
    <s v="https://analytics.zoho.com/open-view/2395394000008461682?ZOHO_CRITERIA=%221.1%20Lugar_Salida_Entrada%22.%22C%C3%B3digo%20Regi%C3%B3n%22%3D13"/>
    <x v="13"/>
    <s v="#1774B9"/>
  </r>
  <r>
    <s v="1385"/>
    <n v="990"/>
    <s v="Agencia Información"/>
    <s v="Economía"/>
    <n v="14"/>
    <x v="23"/>
    <x v="27"/>
    <x v="1"/>
    <x v="14"/>
    <x v="1"/>
    <x v="115"/>
    <s v="Periodo 2015-2021"/>
    <s v="Kilogramo"/>
    <s v="Servicio Nacional de Aduanas"/>
    <s v="Volumen de las importaciones en kilogramo según tipo de terminal de entrada en la Región de Los Ríos, Periodo 2015-2021"/>
    <m/>
    <s v="Gráfico de Evolución"/>
    <s v="Región de Los Ríos regional comercio exterior economía importaciones volúmen kilogramo entrada terminal transporte marítimo aéreo terrestre otro"/>
    <s v="https://analytics.zoho.com/open-view/2395394000008461682?ZOHO_CRITERIA=%221.1%20Lugar_Salida_Entrada%22.%22C%C3%B3digo%20Regi%C3%B3n%22%3D14"/>
    <x v="14"/>
    <s v="#1774B9"/>
  </r>
  <r>
    <s v="1386"/>
    <n v="990"/>
    <s v="Agencia Información"/>
    <s v="Economía"/>
    <n v="15"/>
    <x v="23"/>
    <x v="27"/>
    <x v="1"/>
    <x v="15"/>
    <x v="1"/>
    <x v="115"/>
    <s v="Periodo 2015-2021"/>
    <s v="Kilogramo"/>
    <s v="Servicio Nacional de Aduanas"/>
    <s v="Volumen de las importaciones en kilogramo según tipo de terminal de entrada en la Región de Arica y Parinacota, Periodo 2015-2021"/>
    <m/>
    <s v="Gráfico de Evolución"/>
    <s v="Región de Arica y Parinacota regional comercio exterior economía importaciones volúmen kilogramo entrada terminal transporte marítimo aéreo terrestre otro"/>
    <s v="https://analytics.zoho.com/open-view/2395394000008461682?ZOHO_CRITERIA=%221.1%20Lugar_Salida_Entrada%22.%22C%C3%B3digo%20Regi%C3%B3n%22%3D15"/>
    <x v="15"/>
    <s v="#1774B9"/>
  </r>
  <r>
    <s v="1387"/>
    <n v="990"/>
    <s v="Agencia Información"/>
    <s v="Economía"/>
    <n v="0"/>
    <x v="7"/>
    <x v="27"/>
    <x v="0"/>
    <x v="0"/>
    <x v="0"/>
    <x v="116"/>
    <s v="Periodo 2015-2021"/>
    <s v="USD"/>
    <s v="Servicio Nacional de Aduanas"/>
    <s v="Valor de las exportaciones en USD según terminal de salida para Chile, Periodo 2015-2021"/>
    <s v="El segundo trimestre del año 2015 fue el período que acumuló el mayor valor en dólares por exportación en la región de Arica y Parinacota, alcanzando los USD 225.004.463. Durante este mismo periodo, el puerto de Arica fue el terminal que presentó la mayor cantidad de ingresos con USD 113.735.223."/>
    <s v="Gráfico de Evolución"/>
    <s v="Chile nacional región comercio exterior economía exportaciones valor dólar usd salida lugar terminal"/>
    <s v="https://analytics.zoho.com/open-view/2395394000008461828"/>
    <x v="0"/>
    <s v="#1774B9"/>
  </r>
  <r>
    <s v="1388"/>
    <n v="990"/>
    <s v="Agencia Información"/>
    <s v="Economía"/>
    <n v="1"/>
    <x v="7"/>
    <x v="27"/>
    <x v="1"/>
    <x v="1"/>
    <x v="1"/>
    <x v="116"/>
    <s v="Periodo 2015-2021"/>
    <s v="USD"/>
    <s v="Servicio Nacional de Aduanas"/>
    <s v="Valor de las exportaciones en USD según terminal de salida para la Región de Tarapacá, Periodo 2015-2021"/>
    <m/>
    <s v="Gráfico de Evolución"/>
    <s v="Región de Tarapacá regional comercio exterior economía exportaciones valor dólar usd salida lugar terminal"/>
    <s v="https://analytics.zoho.com/open-view/2395394000008189059?ZOHO_CRITERIA=%221.1%20Lugar_Salida_Entrada%22.%22C%C3%B3digo%20Regi%C3%B3n%22%3D1"/>
    <x v="1"/>
    <s v="#1774B9"/>
  </r>
  <r>
    <s v="1389"/>
    <n v="990"/>
    <s v="Agencia Información"/>
    <s v="Economía"/>
    <n v="2"/>
    <x v="7"/>
    <x v="27"/>
    <x v="1"/>
    <x v="2"/>
    <x v="1"/>
    <x v="116"/>
    <s v="Periodo 2015-2021"/>
    <s v="USD"/>
    <s v="Servicio Nacional de Aduanas"/>
    <s v="Valor de las exportaciones en USD según terminal de salida para la Región de Antofagasta, Periodo 2015-2021"/>
    <m/>
    <s v="Gráfico de Evolución"/>
    <s v="Región de Antofagasta regional comercio exterior economía exportaciones valor dólar usd salida lugar terminal"/>
    <s v="https://analytics.zoho.com/open-view/2395394000008189059?ZOHO_CRITERIA=%221.1%20Lugar_Salida_Entrada%22.%22C%C3%B3digo%20Regi%C3%B3n%22%3D2"/>
    <x v="2"/>
    <s v="#1774B9"/>
  </r>
  <r>
    <s v="1390"/>
    <n v="990"/>
    <s v="Agencia Información"/>
    <s v="Economía"/>
    <n v="3"/>
    <x v="7"/>
    <x v="27"/>
    <x v="1"/>
    <x v="3"/>
    <x v="1"/>
    <x v="116"/>
    <s v="Periodo 2015-2021"/>
    <s v="USD"/>
    <s v="Servicio Nacional de Aduanas"/>
    <s v="Valor de las exportaciones en USD según terminal de salida para la Región de Atacama, Periodo 2015-2021"/>
    <m/>
    <s v="Gráfico de Evolución"/>
    <s v="Región de Atacama regional comercio exterior economía exportaciones valor dólar usd salida lugar terminal"/>
    <s v="https://analytics.zoho.com/open-view/2395394000008189059?ZOHO_CRITERIA=%221.1%20Lugar_Salida_Entrada%22.%22C%C3%B3digo%20Regi%C3%B3n%22%3D3"/>
    <x v="3"/>
    <s v="#1774B9"/>
  </r>
  <r>
    <s v="1391"/>
    <n v="990"/>
    <s v="Agencia Información"/>
    <s v="Economía"/>
    <n v="4"/>
    <x v="7"/>
    <x v="27"/>
    <x v="1"/>
    <x v="4"/>
    <x v="1"/>
    <x v="116"/>
    <s v="Periodo 2015-2021"/>
    <s v="USD"/>
    <s v="Servicio Nacional de Aduanas"/>
    <s v="Valor de las exportaciones en USD según terminal de salida para la Región de Coquimbo, Periodo 2015-2021"/>
    <m/>
    <s v="Gráfico de Evolución"/>
    <s v="Región de Coquimbo regional comercio exterior economía exportaciones valor dólar usd salida lugar terminal"/>
    <s v="https://analytics.zoho.com/open-view/2395394000008189059?ZOHO_CRITERIA=%221.1%20Lugar_Salida_Entrada%22.%22C%C3%B3digo%20Regi%C3%B3n%22%3D4"/>
    <x v="4"/>
    <s v="#1774B9"/>
  </r>
  <r>
    <s v="1392"/>
    <n v="990"/>
    <s v="Agencia Información"/>
    <s v="Economía"/>
    <n v="5"/>
    <x v="7"/>
    <x v="27"/>
    <x v="1"/>
    <x v="5"/>
    <x v="1"/>
    <x v="116"/>
    <s v="Periodo 2015-2021"/>
    <s v="USD"/>
    <s v="Servicio Nacional de Aduanas"/>
    <s v="Valor de las exportaciones en USD según terminal de salida para la Región de Valparaíso, Periodo 2015-2021"/>
    <m/>
    <s v="Gráfico de Evolución"/>
    <s v="Región de Valparaíso regional comercio exterior economía exportaciones valor dólar usd salida lugar terminal"/>
    <s v="https://analytics.zoho.com/open-view/2395394000008189059?ZOHO_CRITERIA=%221.1%20Lugar_Salida_Entrada%22.%22C%C3%B3digo%20Regi%C3%B3n%22%3D5"/>
    <x v="5"/>
    <s v="#1774B9"/>
  </r>
  <r>
    <s v="1393"/>
    <n v="990"/>
    <s v="Agencia Información"/>
    <s v="Economía"/>
    <n v="6"/>
    <x v="7"/>
    <x v="27"/>
    <x v="1"/>
    <x v="6"/>
    <x v="1"/>
    <x v="116"/>
    <s v="Periodo 2015-2021"/>
    <s v="USD"/>
    <s v="Servicio Nacional de Aduanas"/>
    <s v="Valor de las exportaciones en USD según terminal de salida para la Región de O'Higgins, Periodo 2015-2021"/>
    <m/>
    <s v="Gráfico de Evolución"/>
    <s v="Región de O'Higgins regional comercio exterior economía exportaciones valor dólar usd salida lugar terminal"/>
    <s v="https://analytics.zoho.com/open-view/2395394000008189059?ZOHO_CRITERIA=%221.1%20Lugar_Salida_Entrada%22.%22C%C3%B3digo%20Regi%C3%B3n%22%3D6"/>
    <x v="6"/>
    <s v="#1774B9"/>
  </r>
  <r>
    <s v="1394"/>
    <n v="990"/>
    <s v="Agencia Información"/>
    <s v="Economía"/>
    <n v="7"/>
    <x v="7"/>
    <x v="27"/>
    <x v="1"/>
    <x v="7"/>
    <x v="1"/>
    <x v="116"/>
    <s v="Periodo 2015-2021"/>
    <s v="USD"/>
    <s v="Servicio Nacional de Aduanas"/>
    <s v="Valor de las exportaciones en USD según terminal de salida para la Región de Maule, Periodo 2015-2021"/>
    <m/>
    <s v="Gráfico de Evolución"/>
    <s v="Región de Maule regional comercio exterior economía exportaciones valor dólar usd salida lugar terminal"/>
    <s v="https://analytics.zoho.com/open-view/2395394000008189059?ZOHO_CRITERIA=%221.1%20Lugar_Salida_Entrada%22.%22C%C3%B3digo%20Regi%C3%B3n%22%3D7"/>
    <x v="7"/>
    <s v="#1774B9"/>
  </r>
  <r>
    <s v="1395"/>
    <n v="990"/>
    <s v="Agencia Información"/>
    <s v="Economía"/>
    <n v="8"/>
    <x v="7"/>
    <x v="27"/>
    <x v="1"/>
    <x v="8"/>
    <x v="1"/>
    <x v="116"/>
    <s v="Periodo 2015-2021"/>
    <s v="USD"/>
    <s v="Servicio Nacional de Aduanas"/>
    <s v="Valor de las exportaciones en USD según terminal de salida para la Región del Biobío, Periodo 2015-2021"/>
    <m/>
    <s v="Gráfico de Evolución"/>
    <s v="Región del Biobío regional comercio exterior economía exportaciones valor dólar usd salida lugar terminal"/>
    <s v="https://analytics.zoho.com/open-view/2395394000008189059?ZOHO_CRITERIA=%221.1%20Lugar_Salida_Entrada%22.%22C%C3%B3digo%20Regi%C3%B3n%22%3D8"/>
    <x v="8"/>
    <s v="#1774B9"/>
  </r>
  <r>
    <s v="1396"/>
    <n v="990"/>
    <s v="Agencia Información"/>
    <s v="Economía"/>
    <n v="9"/>
    <x v="7"/>
    <x v="27"/>
    <x v="1"/>
    <x v="9"/>
    <x v="1"/>
    <x v="116"/>
    <s v="Periodo 2015-2021"/>
    <s v="USD"/>
    <s v="Servicio Nacional de Aduanas"/>
    <s v="Valor de las exportaciones en USD según terminal de salida para la Región de La Araucanía, Periodo 2015-2021"/>
    <m/>
    <s v="Gráfico de Evolución"/>
    <s v="Región de La Araucanía regional comercio exterior economía exportaciones valor dólar usd salida lugar terminal"/>
    <s v="https://analytics.zoho.com/open-view/2395394000008189059?ZOHO_CRITERIA=%221.1%20Lugar_Salida_Entrada%22.%22C%C3%B3digo%20Regi%C3%B3n%22%3D9"/>
    <x v="9"/>
    <s v="#1774B9"/>
  </r>
  <r>
    <s v="1397"/>
    <n v="990"/>
    <s v="Agencia Información"/>
    <s v="Economía"/>
    <n v="10"/>
    <x v="7"/>
    <x v="27"/>
    <x v="1"/>
    <x v="10"/>
    <x v="1"/>
    <x v="116"/>
    <s v="Periodo 2015-2021"/>
    <s v="USD"/>
    <s v="Servicio Nacional de Aduanas"/>
    <s v="Valor de las exportaciones en USD según terminal de salida para la Región de Los Lagos, Periodo 2015-2021"/>
    <m/>
    <s v="Gráfico de Evolución"/>
    <s v="Región de Los Lagos regional comercio exterior economía exportaciones valor dólar usd salida lugar terminal"/>
    <s v="https://analytics.zoho.com/open-view/2395394000008189059?ZOHO_CRITERIA=%221.1%20Lugar_Salida_Entrada%22.%22C%C3%B3digo%20Regi%C3%B3n%22%3D10"/>
    <x v="10"/>
    <s v="#1774B9"/>
  </r>
  <r>
    <s v="1398"/>
    <n v="990"/>
    <s v="Agencia Información"/>
    <s v="Economía"/>
    <n v="11"/>
    <x v="7"/>
    <x v="27"/>
    <x v="1"/>
    <x v="11"/>
    <x v="1"/>
    <x v="116"/>
    <s v="Periodo 2015-2021"/>
    <s v="USD"/>
    <s v="Servicio Nacional de Aduanas"/>
    <s v="Valor de las exportaciones en USD según terminal de salida para la Región de Aysén, Periodo 2015-2021"/>
    <m/>
    <s v="Gráfico de Evolución"/>
    <s v="Región de Aysén regional comercio exterior economía exportaciones valor dólar usd salida lugar terminal"/>
    <s v="https://analytics.zoho.com/open-view/2395394000008189059?ZOHO_CRITERIA=%221.1%20Lugar_Salida_Entrada%22.%22C%C3%B3digo%20Regi%C3%B3n%22%3D11"/>
    <x v="11"/>
    <s v="#1774B9"/>
  </r>
  <r>
    <s v="1399"/>
    <n v="990"/>
    <s v="Agencia Información"/>
    <s v="Economía"/>
    <n v="12"/>
    <x v="7"/>
    <x v="27"/>
    <x v="1"/>
    <x v="12"/>
    <x v="1"/>
    <x v="116"/>
    <s v="Periodo 2015-2021"/>
    <s v="USD"/>
    <s v="Servicio Nacional de Aduanas"/>
    <s v="Valor de las exportaciones en USD según terminal de salida para la Región de Magallanes, Periodo 2015-2021"/>
    <m/>
    <s v="Gráfico de Evolución"/>
    <s v="Región de Magallanes regional comercio exterior economía exportaciones valor dólar usd salida lugar terminal"/>
    <s v="https://analytics.zoho.com/open-view/2395394000008189059?ZOHO_CRITERIA=%221.1%20Lugar_Salida_Entrada%22.%22C%C3%B3digo%20Regi%C3%B3n%22%3D12"/>
    <x v="12"/>
    <s v="#1774B9"/>
  </r>
  <r>
    <s v="1400"/>
    <n v="990"/>
    <s v="Agencia Información"/>
    <s v="Economía"/>
    <n v="13"/>
    <x v="7"/>
    <x v="27"/>
    <x v="1"/>
    <x v="13"/>
    <x v="1"/>
    <x v="116"/>
    <s v="Periodo 2015-2021"/>
    <s v="USD"/>
    <s v="Servicio Nacional de Aduanas"/>
    <s v="Valor de las exportaciones en USD según terminal de salida para la Región Metropolitana, Periodo 2015-2021"/>
    <m/>
    <s v="Gráfico de Evolución"/>
    <s v="Región Metropolitana regional comercio exterior economía exportaciones valor dólar usd salida lugar terminal"/>
    <s v="https://analytics.zoho.com/open-view/2395394000008189059?ZOHO_CRITERIA=%221.1%20Lugar_Salida_Entrada%22.%22C%C3%B3digo%20Regi%C3%B3n%22%3D13"/>
    <x v="13"/>
    <s v="#1774B9"/>
  </r>
  <r>
    <s v="1401"/>
    <n v="990"/>
    <s v="Agencia Información"/>
    <s v="Economía"/>
    <n v="14"/>
    <x v="7"/>
    <x v="27"/>
    <x v="1"/>
    <x v="14"/>
    <x v="1"/>
    <x v="116"/>
    <s v="Periodo 2015-2021"/>
    <s v="USD"/>
    <s v="Servicio Nacional de Aduanas"/>
    <s v="Valor de las exportaciones en USD según terminal de salida para la Región de Los Ríos, Periodo 2015-2021"/>
    <m/>
    <s v="Gráfico de Evolución"/>
    <s v="Región de Los Ríos regional comercio exterior economía exportaciones valor dólar usd salida lugar terminal"/>
    <s v="https://analytics.zoho.com/open-view/2395394000008189059?ZOHO_CRITERIA=%221.1%20Lugar_Salida_Entrada%22.%22C%C3%B3digo%20Regi%C3%B3n%22%3D14"/>
    <x v="14"/>
    <s v="#1774B9"/>
  </r>
  <r>
    <s v="1402"/>
    <n v="990"/>
    <s v="Agencia Información"/>
    <s v="Economía"/>
    <n v="15"/>
    <x v="7"/>
    <x v="27"/>
    <x v="1"/>
    <x v="15"/>
    <x v="1"/>
    <x v="116"/>
    <s v="Periodo 2015-2021"/>
    <s v="USD"/>
    <s v="Servicio Nacional de Aduanas"/>
    <s v="Valor de las exportaciones en USD según terminal de salida para la Región de Arica y Parinacota, Periodo 2015-2021"/>
    <m/>
    <s v="Gráfico de Evolución"/>
    <s v="Región de Arica y Parinacota regional comercio exterior economía exportaciones valor dólar usd salida lugar terminal"/>
    <s v="https://analytics.zoho.com/open-view/2395394000008189059?ZOHO_CRITERIA=%221.1%20Lugar_Salida_Entrada%22.%22C%C3%B3digo%20Regi%C3%B3n%22%3D15"/>
    <x v="15"/>
    <s v="#1774B9"/>
  </r>
  <r>
    <s v="1403"/>
    <n v="990"/>
    <s v="Agencia Información"/>
    <s v="Economía"/>
    <n v="0"/>
    <x v="7"/>
    <x v="27"/>
    <x v="0"/>
    <x v="0"/>
    <x v="0"/>
    <x v="117"/>
    <s v="Periodo 2015-2021"/>
    <s v="Kilogramo"/>
    <s v="Servicio Nacional de Aduanas"/>
    <s v="Volumen de las exportaciones en kilogramo en Chile, Periodo 2015-2021"/>
    <s v="La región de Valparaíso presentó el mayor volumen de exportación en kilogramos en cada periodo. Durante el segundo trimestre del año 2021, la magnitud de las exportaciones de este territorio fue cercana a los 93 mil millones de kilogramos. A considerar que hasta hoy, no hay terminales o datos sobre importaciones/exportaciones para terminales de la región del Ñuble"/>
    <s v="Gráfico de Evolución"/>
    <s v="Chile nacional región comercio exterior economía exportaciones peso volumen kilogramo kg evolución"/>
    <s v="https://analytics.zoho.com/open-view/2395394000008554040"/>
    <x v="0"/>
    <s v="#1774B9"/>
  </r>
  <r>
    <s v="1404"/>
    <n v="990"/>
    <s v="Agencia Información"/>
    <s v="Economía"/>
    <n v="0"/>
    <x v="68"/>
    <x v="27"/>
    <x v="0"/>
    <x v="0"/>
    <x v="0"/>
    <x v="118"/>
    <s v="Periodo 2015-2021"/>
    <s v="Kilogramo"/>
    <s v="Servicio Nacional de Aduanas"/>
    <s v="Evolución por trimestre de Importaciones y exportaciones según el volumen (kg) en Chile, Periodo 2015-2021"/>
    <s v="Dada la evolución nacional de las importaciones y exportaciones hasta el segundo trimestre del año 2021, el volumen de estas dos actividades llegó a su punto más alto durante el cuarto trimestre del año 2018, con un poco mas de 17.500 millones de kilogramos cada una."/>
    <s v="Gráfico de Evolución"/>
    <s v="Chile nacional región comercio exterior economía exportaciones importaciones peso volumen kilogramos kg evolución diferencia balanza"/>
    <s v="https://analytics.zoho.com/open-view/2395394000008189846"/>
    <x v="0"/>
    <s v="#1774B9"/>
  </r>
  <r>
    <s v="1405"/>
    <n v="990"/>
    <s v="Agencia Información"/>
    <s v="Economía"/>
    <n v="1"/>
    <x v="68"/>
    <x v="27"/>
    <x v="1"/>
    <x v="1"/>
    <x v="1"/>
    <x v="118"/>
    <s v="Periodo 2015-2021"/>
    <s v="Kilogramo"/>
    <s v="Servicio Nacional de Aduanas"/>
    <s v="Evolución por trimestre de Importaciones y exportaciones según el volumen (kg) en la Región de Tarapacá, Periodo 2015-2021"/>
    <m/>
    <s v="Gráfico de Evolución"/>
    <s v="Región de Tarapacá regional comercio exterior economía exportaciones importaciones peso volumen kilogramos kg evolución diferencia balanza"/>
    <s v="https://analytics.zoho.com/open-view/2395394000008532260?ZOHO_CRITERIA=%221.1%20Lugar_Salida_Entrada%22.%22C%C3%B3digo%20Regi%C3%B3n%22%3D1"/>
    <x v="1"/>
    <s v="#1774B9"/>
  </r>
  <r>
    <s v="1406"/>
    <n v="990"/>
    <s v="Agencia Información"/>
    <s v="Economía"/>
    <n v="2"/>
    <x v="68"/>
    <x v="27"/>
    <x v="1"/>
    <x v="2"/>
    <x v="1"/>
    <x v="118"/>
    <s v="Periodo 2015-2021"/>
    <s v="Kilogramo"/>
    <s v="Servicio Nacional de Aduanas"/>
    <s v="Evolución por trimestre de Importaciones y exportaciones según el volumen (kg) en la Región de Antofagasta, Periodo 2015-2021"/>
    <m/>
    <s v="Gráfico de Evolución"/>
    <s v="Región de Antofagasta regional comercio exterior economía exportaciones importaciones peso volumen kilogramos kg evolución diferencia balanza"/>
    <s v="https://analytics.zoho.com/open-view/2395394000008532260?ZOHO_CRITERIA=%221.1%20Lugar_Salida_Entrada%22.%22C%C3%B3digo%20Regi%C3%B3n%22%3D2"/>
    <x v="2"/>
    <s v="#1774B9"/>
  </r>
  <r>
    <s v="1407"/>
    <n v="990"/>
    <s v="Agencia Información"/>
    <s v="Economía"/>
    <n v="3"/>
    <x v="68"/>
    <x v="27"/>
    <x v="1"/>
    <x v="3"/>
    <x v="1"/>
    <x v="118"/>
    <s v="Periodo 2015-2021"/>
    <s v="Kilogramo"/>
    <s v="Servicio Nacional de Aduanas"/>
    <s v="Evolución por trimestre de Importaciones y exportaciones según el volumen (kg) en la Región de Atacama, Periodo 2015-2021"/>
    <m/>
    <s v="Gráfico de Evolución"/>
    <s v="Región de Atacama regional comercio exterior economía exportaciones importaciones peso volumen kilogramos kg evolución diferencia balanza"/>
    <s v="https://analytics.zoho.com/open-view/2395394000008532260?ZOHO_CRITERIA=%221.1%20Lugar_Salida_Entrada%22.%22C%C3%B3digo%20Regi%C3%B3n%22%3D3"/>
    <x v="3"/>
    <s v="#1774B9"/>
  </r>
  <r>
    <s v="1408"/>
    <n v="990"/>
    <s v="Agencia Información"/>
    <s v="Economía"/>
    <n v="4"/>
    <x v="68"/>
    <x v="27"/>
    <x v="1"/>
    <x v="4"/>
    <x v="1"/>
    <x v="118"/>
    <s v="Periodo 2015-2021"/>
    <s v="Kilogramo"/>
    <s v="Servicio Nacional de Aduanas"/>
    <s v="Evolución por trimestre de Importaciones y exportaciones según el volumen (kg) en la Región de Coquimbo, Periodo 2015-2021"/>
    <m/>
    <s v="Gráfico de Evolución"/>
    <s v="Región de Coquimbo regional comercio exterior economía exportaciones importaciones peso volumen kilogramos kg evolución diferencia balanza"/>
    <s v="https://analytics.zoho.com/open-view/2395394000008532260?ZOHO_CRITERIA=%221.1%20Lugar_Salida_Entrada%22.%22C%C3%B3digo%20Regi%C3%B3n%22%3D4"/>
    <x v="4"/>
    <s v="#1774B9"/>
  </r>
  <r>
    <s v="1409"/>
    <n v="990"/>
    <s v="Agencia Información"/>
    <s v="Economía"/>
    <n v="5"/>
    <x v="68"/>
    <x v="27"/>
    <x v="1"/>
    <x v="5"/>
    <x v="1"/>
    <x v="118"/>
    <s v="Periodo 2015-2021"/>
    <s v="Kilogramo"/>
    <s v="Servicio Nacional de Aduanas"/>
    <s v="Evolución por trimestre de Importaciones y exportaciones según el volumen (kg) en la Región de Valparaíso, Periodo 2015-2021"/>
    <m/>
    <s v="Gráfico de Evolución"/>
    <s v="Región de Valparaíso regional comercio exterior economía exportaciones importaciones peso volumen kilogramos kg evolución diferencia balanza"/>
    <s v="https://analytics.zoho.com/open-view/2395394000008532260?ZOHO_CRITERIA=%221.1%20Lugar_Salida_Entrada%22.%22C%C3%B3digo%20Regi%C3%B3n%22%3D5"/>
    <x v="5"/>
    <s v="#1774B9"/>
  </r>
  <r>
    <s v="1410"/>
    <n v="990"/>
    <s v="Agencia Información"/>
    <s v="Economía"/>
    <n v="6"/>
    <x v="68"/>
    <x v="27"/>
    <x v="1"/>
    <x v="6"/>
    <x v="1"/>
    <x v="118"/>
    <s v="Periodo 2015-2021"/>
    <s v="Kilogramo"/>
    <s v="Servicio Nacional de Aduanas"/>
    <s v="Evolución por trimestre de Importaciones y exportaciones según el volumen (kg) en la Región de O'Higgins, Periodo 2015-2021"/>
    <m/>
    <s v="Gráfico de Evolución"/>
    <s v="Región de O'Higgins regional comercio exterior economía exportaciones importaciones peso volumen kilogramos kg evolución diferencia balanza"/>
    <s v="https://analytics.zoho.com/open-view/2395394000008532260?ZOHO_CRITERIA=%221.1%20Lugar_Salida_Entrada%22.%22C%C3%B3digo%20Regi%C3%B3n%22%3D6"/>
    <x v="6"/>
    <s v="#1774B9"/>
  </r>
  <r>
    <s v="1411"/>
    <n v="990"/>
    <s v="Agencia Información"/>
    <s v="Economía"/>
    <n v="7"/>
    <x v="68"/>
    <x v="27"/>
    <x v="1"/>
    <x v="7"/>
    <x v="1"/>
    <x v="118"/>
    <s v="Periodo 2015-2021"/>
    <s v="Kilogramo"/>
    <s v="Servicio Nacional de Aduanas"/>
    <s v="Evolución por trimestre de Importaciones y exportaciones según el volumen (kg) en la Región de Maule, Periodo 2015-2021"/>
    <m/>
    <s v="Gráfico de Evolución"/>
    <s v="Región de Maule regional comercio exterior economía exportaciones importaciones peso volumen kilogramos kg evolución diferencia balanza"/>
    <s v="https://analytics.zoho.com/open-view/2395394000008532260?ZOHO_CRITERIA=%221.1%20Lugar_Salida_Entrada%22.%22C%C3%B3digo%20Regi%C3%B3n%22%3D7"/>
    <x v="7"/>
    <s v="#1774B9"/>
  </r>
  <r>
    <s v="1412"/>
    <n v="990"/>
    <s v="Agencia Información"/>
    <s v="Economía"/>
    <n v="8"/>
    <x v="68"/>
    <x v="27"/>
    <x v="1"/>
    <x v="8"/>
    <x v="1"/>
    <x v="118"/>
    <s v="Periodo 2015-2021"/>
    <s v="Kilogramo"/>
    <s v="Servicio Nacional de Aduanas"/>
    <s v="Evolución por trimestre de Importaciones y exportaciones según el volumen (kg) en la Región del Biobío, Periodo 2015-2021"/>
    <m/>
    <s v="Gráfico de Evolución"/>
    <s v="Región del Biobío regional comercio exterior economía exportaciones importaciones peso volumen kilogramos kg evolución diferencia balanza"/>
    <s v="https://analytics.zoho.com/open-view/2395394000008532260?ZOHO_CRITERIA=%221.1%20Lugar_Salida_Entrada%22.%22C%C3%B3digo%20Regi%C3%B3n%22%3D8"/>
    <x v="8"/>
    <s v="#1774B9"/>
  </r>
  <r>
    <s v="1413"/>
    <n v="990"/>
    <s v="Agencia Información"/>
    <s v="Economía"/>
    <n v="9"/>
    <x v="68"/>
    <x v="27"/>
    <x v="1"/>
    <x v="9"/>
    <x v="1"/>
    <x v="118"/>
    <s v="Periodo 2015-2021"/>
    <s v="Kilogramo"/>
    <s v="Servicio Nacional de Aduanas"/>
    <s v="Evolución por trimestre de Importaciones y exportaciones según el volumen (kg) en la Región de La Araucanía, Periodo 2015-2021"/>
    <m/>
    <s v="Gráfico de Evolución"/>
    <s v="Región de La Araucanía regional comercio exterior economía exportaciones importaciones peso volumen kilogramos kg evolución diferencia balanza"/>
    <s v="https://analytics.zoho.com/open-view/2395394000008532260?ZOHO_CRITERIA=%221.1%20Lugar_Salida_Entrada%22.%22C%C3%B3digo%20Regi%C3%B3n%22%3D9"/>
    <x v="9"/>
    <s v="#1774B9"/>
  </r>
  <r>
    <s v="1414"/>
    <n v="990"/>
    <s v="Agencia Información"/>
    <s v="Economía"/>
    <n v="10"/>
    <x v="68"/>
    <x v="27"/>
    <x v="1"/>
    <x v="10"/>
    <x v="1"/>
    <x v="118"/>
    <s v="Periodo 2015-2021"/>
    <s v="Kilogramo"/>
    <s v="Servicio Nacional de Aduanas"/>
    <s v="Evolución por trimestre de Importaciones y exportaciones según el volumen (kg) en la Región de Los Lagos, Periodo 2015-2021"/>
    <m/>
    <s v="Gráfico de Evolución"/>
    <s v="Región de Los Lagos regional comercio exterior economía exportaciones importaciones peso volumen kilogramos kg evolución diferencia balanza"/>
    <s v="https://analytics.zoho.com/open-view/2395394000008532260?ZOHO_CRITERIA=%221.1%20Lugar_Salida_Entrada%22.%22C%C3%B3digo%20Regi%C3%B3n%22%3D10"/>
    <x v="10"/>
    <s v="#1774B9"/>
  </r>
  <r>
    <s v="1415"/>
    <n v="990"/>
    <s v="Agencia Información"/>
    <s v="Economía"/>
    <n v="11"/>
    <x v="68"/>
    <x v="27"/>
    <x v="1"/>
    <x v="11"/>
    <x v="1"/>
    <x v="118"/>
    <s v="Periodo 2015-2021"/>
    <s v="Kilogramo"/>
    <s v="Servicio Nacional de Aduanas"/>
    <s v="Evolución por trimestre de Importaciones y exportaciones según el volumen (kg) en la Región de Aysén, Periodo 2015-2021"/>
    <m/>
    <s v="Gráfico de Evolución"/>
    <s v="Región de Aysén regional comercio exterior economía exportaciones importaciones peso volumen kilogramos kg evolución diferencia balanza"/>
    <s v="https://analytics.zoho.com/open-view/2395394000008532260?ZOHO_CRITERIA=%221.1%20Lugar_Salida_Entrada%22.%22C%C3%B3digo%20Regi%C3%B3n%22%3D11"/>
    <x v="11"/>
    <s v="#1774B9"/>
  </r>
  <r>
    <s v="1416"/>
    <n v="990"/>
    <s v="Agencia Información"/>
    <s v="Economía"/>
    <n v="12"/>
    <x v="68"/>
    <x v="27"/>
    <x v="1"/>
    <x v="12"/>
    <x v="1"/>
    <x v="118"/>
    <s v="Periodo 2015-2021"/>
    <s v="Kilogramo"/>
    <s v="Servicio Nacional de Aduanas"/>
    <s v="Evolución por trimestre de Importaciones y exportaciones según el volumen (kg) en la Región de Magallanes, Periodo 2015-2021"/>
    <m/>
    <s v="Gráfico de Evolución"/>
    <s v="Región de Magallanes regional comercio exterior economía exportaciones importaciones peso volumen kilogramos kg evolución diferencia balanza"/>
    <s v="https://analytics.zoho.com/open-view/2395394000008532260?ZOHO_CRITERIA=%221.1%20Lugar_Salida_Entrada%22.%22C%C3%B3digo%20Regi%C3%B3n%22%3D12"/>
    <x v="12"/>
    <s v="#1774B9"/>
  </r>
  <r>
    <s v="1417"/>
    <n v="990"/>
    <s v="Agencia Información"/>
    <s v="Economía"/>
    <n v="13"/>
    <x v="68"/>
    <x v="27"/>
    <x v="1"/>
    <x v="13"/>
    <x v="1"/>
    <x v="118"/>
    <s v="Periodo 2015-2021"/>
    <s v="Kilogramo"/>
    <s v="Servicio Nacional de Aduanas"/>
    <s v="Evolución por trimestre de Importaciones y exportaciones según el volumen (kg) en la Región Metropolitana, Periodo 2015-2021"/>
    <m/>
    <s v="Gráfico de Evolución"/>
    <s v="Región Metropolitana regional comercio exterior economía exportaciones importaciones peso volumen kilogramos kg evolución diferencia balanza"/>
    <s v="https://analytics.zoho.com/open-view/2395394000008532260?ZOHO_CRITERIA=%221.1%20Lugar_Salida_Entrada%22.%22C%C3%B3digo%20Regi%C3%B3n%22%3D13"/>
    <x v="13"/>
    <s v="#1774B9"/>
  </r>
  <r>
    <s v="1418"/>
    <n v="990"/>
    <s v="Agencia Información"/>
    <s v="Economía"/>
    <n v="14"/>
    <x v="68"/>
    <x v="27"/>
    <x v="1"/>
    <x v="14"/>
    <x v="1"/>
    <x v="118"/>
    <s v="Periodo 2015-2021"/>
    <s v="Kilogramo"/>
    <s v="Servicio Nacional de Aduanas"/>
    <s v="Evolución por trimestre de Importaciones y exportaciones según el volumen (kg) en la Región de Los Ríos, Periodo 2015-2021"/>
    <m/>
    <s v="Gráfico de Evolución"/>
    <s v="Región de Los Ríos regional comercio exterior economía exportaciones importaciones peso volumen kilogramos kg evolución diferencia balanza"/>
    <s v="https://analytics.zoho.com/open-view/2395394000008532260?ZOHO_CRITERIA=%221.1%20Lugar_Salida_Entrada%22.%22C%C3%B3digo%20Regi%C3%B3n%22%3D14"/>
    <x v="14"/>
    <s v="#1774B9"/>
  </r>
  <r>
    <s v="1419"/>
    <n v="990"/>
    <s v="Agencia Información"/>
    <s v="Economía"/>
    <n v="15"/>
    <x v="68"/>
    <x v="27"/>
    <x v="1"/>
    <x v="15"/>
    <x v="1"/>
    <x v="118"/>
    <s v="Periodo 2015-2021"/>
    <s v="Kilogramo"/>
    <s v="Servicio Nacional de Aduanas"/>
    <s v="Evolución por trimestre de Importaciones y exportaciones según el volumen (kg) en la Región de Arica y Parinacota, Periodo 2015-2021"/>
    <m/>
    <s v="Gráfico de Evolución"/>
    <s v="Región de Arica y Parinacota regional comercio exterior economía exportaciones importaciones peso volumen kilogramos kg evolución diferencia balanza"/>
    <s v="https://analytics.zoho.com/open-view/2395394000008532260?ZOHO_CRITERIA=%221.1%20Lugar_Salida_Entrada%22.%22C%C3%B3digo%20Regi%C3%B3n%22%3D15"/>
    <x v="15"/>
    <s v="#1774B9"/>
  </r>
  <r>
    <s v="1420"/>
    <n v="990"/>
    <s v="Agencia Información"/>
    <s v="Gobiernos locales"/>
    <n v="0"/>
    <x v="69"/>
    <x v="25"/>
    <x v="0"/>
    <x v="0"/>
    <x v="2"/>
    <x v="119"/>
    <s v="Año 2020"/>
    <s v="Número de Parques Urbanos"/>
    <s v="Sistema Nacional de Información Municipal"/>
    <s v="Cantidad de Parques Urbanos por Comuna en Chile, Año 2020"/>
    <s v="En el año 2020, las comunas que registraron más de 20 parques urbanos fueron Antofagasta, Aysén y Llaillay, con 40, 25 y 22 parques respectivamente. *(Las comunas que aparecen en color negro dentro del mapa, corresponden a municipios que no entregaron información para el año 2020)."/>
    <s v="Mapa de calor"/>
    <s v="Chile nacional región comuna parques urbanos gestión municipal territorial gobierno regional municipal municipalidad"/>
    <s v="https://analytics.zoho.com/open-view/2395394000008083407"/>
    <x v="17"/>
    <s v="#1774B9"/>
  </r>
  <r>
    <s v="1421"/>
    <n v="990"/>
    <s v="Agencia Información"/>
    <s v="Gobiernos locales"/>
    <n v="1"/>
    <x v="69"/>
    <x v="25"/>
    <x v="1"/>
    <x v="1"/>
    <x v="3"/>
    <x v="119"/>
    <s v="Año 2020"/>
    <s v="Número de Parques Urbanos"/>
    <s v="Sistema Nacional de Información Municipal"/>
    <s v="Cantidad de Parques Urbanos por Comuna en la Región de Tarapacá, Año 2020"/>
    <m/>
    <s v="Mapa de calor"/>
    <s v="Región de Tarapacá regional comuna establecimientos salud farmacias turno urgencias salud"/>
    <s v="https://analytics.zoho.com/open-view/2395394000008464607?ZOHO_CRITERIA=%22Localiza%20CL%22.%22Codreg%22%20%3D%201"/>
    <x v="18"/>
    <s v="#1774B9"/>
  </r>
  <r>
    <s v="1422"/>
    <n v="990"/>
    <s v="Agencia Información"/>
    <s v="Gobiernos locales"/>
    <n v="2"/>
    <x v="69"/>
    <x v="25"/>
    <x v="1"/>
    <x v="2"/>
    <x v="3"/>
    <x v="119"/>
    <s v="Año 2020"/>
    <s v="Número de Parques Urbanos"/>
    <s v="Sistema Nacional de Información Municipal"/>
    <s v="Cantidad de Parques Urbanos por Comuna en la Región de Antofagasta, Año 2020"/>
    <m/>
    <s v="Mapa de calor"/>
    <s v="Región de Antofagasta regional comuna establecimientos salud farmacias turno urgencias salud"/>
    <s v="https://analytics.zoho.com/open-view/2395394000008464607?ZOHO_CRITERIA=%22Localiza%20CL%22.%22Codreg%22%20%3D%202"/>
    <x v="19"/>
    <s v="#1774B9"/>
  </r>
  <r>
    <s v="1423"/>
    <n v="990"/>
    <s v="Agencia Información"/>
    <s v="Gobiernos locales"/>
    <n v="3"/>
    <x v="69"/>
    <x v="25"/>
    <x v="1"/>
    <x v="3"/>
    <x v="3"/>
    <x v="119"/>
    <s v="Año 2020"/>
    <s v="Número de Parques Urbanos"/>
    <s v="Sistema Nacional de Información Municipal"/>
    <s v="Cantidad de Parques Urbanos por Comuna en la Región de Atacama, Año 2020"/>
    <m/>
    <s v="Mapa de calor"/>
    <s v="Región de Atacama regional comuna establecimientos salud farmacias turno urgencias salud"/>
    <s v="https://analytics.zoho.com/open-view/2395394000008464607?ZOHO_CRITERIA=%22Localiza%20CL%22.%22Codreg%22%20%3D%203"/>
    <x v="20"/>
    <s v="#1774B9"/>
  </r>
  <r>
    <s v="1424"/>
    <n v="990"/>
    <s v="Agencia Información"/>
    <s v="Gobiernos locales"/>
    <n v="4"/>
    <x v="69"/>
    <x v="25"/>
    <x v="1"/>
    <x v="4"/>
    <x v="3"/>
    <x v="119"/>
    <s v="Año 2020"/>
    <s v="Número de Parques Urbanos"/>
    <s v="Sistema Nacional de Información Municipal"/>
    <s v="Cantidad de Parques Urbanos por Comuna en la Región de Coquimbo, Año 2020"/>
    <m/>
    <s v="Mapa de calor"/>
    <s v="Región de Coquimbo regional comuna establecimientos salud farmacias turno urgencias salud"/>
    <s v="https://analytics.zoho.com/open-view/2395394000008464607?ZOHO_CRITERIA=%22Localiza%20CL%22.%22Codreg%22%20%3D%204"/>
    <x v="21"/>
    <s v="#1774B9"/>
  </r>
  <r>
    <s v="1425"/>
    <n v="990"/>
    <s v="Agencia Información"/>
    <s v="Gobiernos locales"/>
    <n v="5"/>
    <x v="69"/>
    <x v="25"/>
    <x v="1"/>
    <x v="5"/>
    <x v="3"/>
    <x v="119"/>
    <s v="Año 2020"/>
    <s v="Número de Parques Urbanos"/>
    <s v="Sistema Nacional de Información Municipal"/>
    <s v="Cantidad de Parques Urbanos por Comuna en la Región de Valparaíso, Año 2020"/>
    <m/>
    <s v="Mapa de calor"/>
    <s v="Región de Valparaíso regional comuna establecimientos salud farmacias turno urgencias salud"/>
    <s v="https://analytics.zoho.com/open-view/2395394000008464607?ZOHO_CRITERIA=%22Localiza%20CL%22.%22Codreg%22%20%3D%205"/>
    <x v="22"/>
    <s v="#1774B9"/>
  </r>
  <r>
    <s v="1426"/>
    <n v="990"/>
    <s v="Agencia Información"/>
    <s v="Gobiernos locales"/>
    <n v="6"/>
    <x v="69"/>
    <x v="25"/>
    <x v="1"/>
    <x v="6"/>
    <x v="3"/>
    <x v="119"/>
    <s v="Año 2020"/>
    <s v="Número de Parques Urbanos"/>
    <s v="Sistema Nacional de Información Municipal"/>
    <s v="Cantidad de Parques Urbanos por Comuna en la Región de O'Higgins, Año 2020"/>
    <m/>
    <s v="Mapa de calor"/>
    <s v="Región de O'Higgins regional comuna establecimientos salud farmacias turno urgencias salud"/>
    <s v="https://analytics.zoho.com/open-view/2395394000008464607?ZOHO_CRITERIA=%22Localiza%20CL%22.%22Codreg%22%20%3D%206"/>
    <x v="23"/>
    <s v="#1774B9"/>
  </r>
  <r>
    <s v="1427"/>
    <n v="990"/>
    <s v="Agencia Información"/>
    <s v="Gobiernos locales"/>
    <n v="7"/>
    <x v="69"/>
    <x v="25"/>
    <x v="1"/>
    <x v="7"/>
    <x v="3"/>
    <x v="119"/>
    <s v="Año 2020"/>
    <s v="Número de Parques Urbanos"/>
    <s v="Sistema Nacional de Información Municipal"/>
    <s v="Cantidad de Parques Urbanos por Comuna en la Región de Maule, Año 2020"/>
    <m/>
    <s v="Mapa de calor"/>
    <s v="Región de Maule regional comuna establecimientos salud farmacias turno urgencias salud"/>
    <s v="https://analytics.zoho.com/open-view/2395394000008464607?ZOHO_CRITERIA=%22Localiza%20CL%22.%22Codreg%22%20%3D%207"/>
    <x v="24"/>
    <s v="#1774B9"/>
  </r>
  <r>
    <s v="1428"/>
    <n v="990"/>
    <s v="Agencia Información"/>
    <s v="Gobiernos locales"/>
    <n v="8"/>
    <x v="69"/>
    <x v="25"/>
    <x v="1"/>
    <x v="8"/>
    <x v="3"/>
    <x v="119"/>
    <s v="Año 2020"/>
    <s v="Número de Parques Urbanos"/>
    <s v="Sistema Nacional de Información Municipal"/>
    <s v="Cantidad de Parques Urbanos por Comuna en la Región del Biobío, Año 2020"/>
    <m/>
    <s v="Mapa de calor"/>
    <s v="Región del Biobío regional comuna establecimientos salud farmacias turno urgencias salud"/>
    <s v="https://analytics.zoho.com/open-view/2395394000008464607?ZOHO_CRITERIA=%22Localiza%20CL%22.%22Codreg%22%20%3D%208"/>
    <x v="25"/>
    <s v="#1774B9"/>
  </r>
  <r>
    <s v="1429"/>
    <n v="990"/>
    <s v="Agencia Información"/>
    <s v="Gobiernos locales"/>
    <n v="9"/>
    <x v="69"/>
    <x v="25"/>
    <x v="1"/>
    <x v="9"/>
    <x v="3"/>
    <x v="119"/>
    <s v="Año 2020"/>
    <s v="Número de Parques Urbanos"/>
    <s v="Sistema Nacional de Información Municipal"/>
    <s v="Cantidad de Parques Urbanos por Comuna en la Región de La Araucanía, Año 2020"/>
    <m/>
    <s v="Mapa de calor"/>
    <s v="Región de La Araucanía regional comuna establecimientos salud farmacias turno urgencias salud"/>
    <s v="https://analytics.zoho.com/open-view/2395394000008464607?ZOHO_CRITERIA=%22Localiza%20CL%22.%22Codreg%22%20%3D%209"/>
    <x v="26"/>
    <s v="#1774B9"/>
  </r>
  <r>
    <s v="1430"/>
    <n v="990"/>
    <s v="Agencia Información"/>
    <s v="Gobiernos locales"/>
    <n v="10"/>
    <x v="69"/>
    <x v="25"/>
    <x v="1"/>
    <x v="10"/>
    <x v="3"/>
    <x v="119"/>
    <s v="Año 2020"/>
    <s v="Número de Parques Urbanos"/>
    <s v="Sistema Nacional de Información Municipal"/>
    <s v="Cantidad de Parques Urbanos por Comuna en la Región de Los Lagos, Año 2020"/>
    <m/>
    <s v="Mapa de calor"/>
    <s v="Región de Los Lagos regional comuna establecimientos salud farmacias turno urgencias salud"/>
    <s v="https://analytics.zoho.com/open-view/2395394000008464607?ZOHO_CRITERIA=%22Localiza%20CL%22.%22Codreg%22%20%3D%2010"/>
    <x v="27"/>
    <s v="#1774B9"/>
  </r>
  <r>
    <s v="1431"/>
    <n v="990"/>
    <s v="Agencia Información"/>
    <s v="Gobiernos locales"/>
    <n v="11"/>
    <x v="69"/>
    <x v="25"/>
    <x v="1"/>
    <x v="11"/>
    <x v="3"/>
    <x v="119"/>
    <s v="Año 2020"/>
    <s v="Número de Parques Urbanos"/>
    <s v="Sistema Nacional de Información Municipal"/>
    <s v="Cantidad de Parques Urbanos por Comuna en la Región de Aysén, Año 2020"/>
    <m/>
    <s v="Mapa de calor"/>
    <s v="Región de Aysén regional comuna establecimientos salud farmacias turno urgencias salud"/>
    <s v="https://analytics.zoho.com/open-view/2395394000008464607?ZOHO_CRITERIA=%22Localiza%20CL%22.%22Codreg%22%20%3D%2011"/>
    <x v="28"/>
    <s v="#1774B9"/>
  </r>
  <r>
    <s v="1432"/>
    <n v="990"/>
    <s v="Agencia Información"/>
    <s v="Gobiernos locales"/>
    <n v="12"/>
    <x v="69"/>
    <x v="25"/>
    <x v="1"/>
    <x v="12"/>
    <x v="3"/>
    <x v="119"/>
    <s v="Año 2020"/>
    <s v="Número de Parques Urbanos"/>
    <s v="Sistema Nacional de Información Municipal"/>
    <s v="Cantidad de Parques Urbanos por Comuna en la Región de Magallanes, Año 2020"/>
    <m/>
    <s v="Mapa de calor"/>
    <s v="Región de Magallanes regional comuna establecimientos salud farmacias turno urgencias salud"/>
    <s v="https://analytics.zoho.com/open-view/2395394000008464607?ZOHO_CRITERIA=%22Localiza%20CL%22.%22Codreg%22%20%3D%2012"/>
    <x v="29"/>
    <s v="#1774B9"/>
  </r>
  <r>
    <s v="1433"/>
    <n v="990"/>
    <s v="Agencia Información"/>
    <s v="Gobiernos locales"/>
    <n v="13"/>
    <x v="69"/>
    <x v="25"/>
    <x v="1"/>
    <x v="13"/>
    <x v="3"/>
    <x v="119"/>
    <s v="Año 2020"/>
    <s v="Número de Parques Urbanos"/>
    <s v="Sistema Nacional de Información Municipal"/>
    <s v="Cantidad de Parques Urbanos por Comuna en la Región Metropolitana, Año 2020"/>
    <m/>
    <s v="Mapa de calor"/>
    <s v="Región Metropolitana regional comuna establecimientos salud farmacias turno urgencias salud"/>
    <s v="https://analytics.zoho.com/open-view/2395394000008464607?ZOHO_CRITERIA=%22Localiza%20CL%22.%22Codreg%22%20%3D%2013"/>
    <x v="30"/>
    <s v="#1774B9"/>
  </r>
  <r>
    <s v="1434"/>
    <n v="990"/>
    <s v="Agencia Información"/>
    <s v="Gobiernos locales"/>
    <n v="14"/>
    <x v="69"/>
    <x v="25"/>
    <x v="1"/>
    <x v="14"/>
    <x v="3"/>
    <x v="119"/>
    <s v="Año 2020"/>
    <s v="Número de Parques Urbanos"/>
    <s v="Sistema Nacional de Información Municipal"/>
    <s v="Cantidad de Parques Urbanos por Comuna en la Región de Los Ríos, Año 2020"/>
    <m/>
    <s v="Mapa de calor"/>
    <s v="Región de Los Ríos regional comuna establecimientos salud farmacias turno urgencias salud"/>
    <s v="https://analytics.zoho.com/open-view/2395394000008464607?ZOHO_CRITERIA=%22Localiza%20CL%22.%22Codreg%22%20%3D%2014"/>
    <x v="31"/>
    <s v="#1774B9"/>
  </r>
  <r>
    <s v="1435"/>
    <n v="990"/>
    <s v="Agencia Información"/>
    <s v="Gobiernos locales"/>
    <n v="15"/>
    <x v="69"/>
    <x v="25"/>
    <x v="1"/>
    <x v="15"/>
    <x v="3"/>
    <x v="119"/>
    <s v="Año 2020"/>
    <s v="Número de Parques Urbanos"/>
    <s v="Sistema Nacional de Información Municipal"/>
    <s v="Cantidad de Parques Urbanos por Comuna en la Región de Arica y Parinacota, Año 2020"/>
    <m/>
    <s v="Mapa de calor"/>
    <s v="Región de Arica y Parinacota regional comuna establecimientos salud farmacias turno urgencias salud"/>
    <s v="https://analytics.zoho.com/open-view/2395394000008464607?ZOHO_CRITERIA=%22Localiza%20CL%22.%22Codreg%22%20%3D%2015"/>
    <x v="32"/>
    <s v="#1774B9"/>
  </r>
  <r>
    <s v="1436"/>
    <n v="990"/>
    <s v="Agencia Información"/>
    <s v="Gobiernos locales"/>
    <n v="16"/>
    <x v="69"/>
    <x v="25"/>
    <x v="1"/>
    <x v="16"/>
    <x v="3"/>
    <x v="119"/>
    <s v="Año 2020"/>
    <s v="Número de Parques Urbanos"/>
    <s v="Sistema Nacional de Información Municipal"/>
    <s v="Cantidad de Parques Urbanos por Comuna en la Región de Ñuble, Año 2020"/>
    <m/>
    <s v="Mapa de calor"/>
    <s v="Región de Ñuble regional comuna establecimientos salud farmacias turno urgencias salud"/>
    <s v="https://analytics.zoho.com/open-view/2395394000008464607?ZOHO_CRITERIA=%22Localiza%20CL%22.%22Codreg%22%20%3D%2016"/>
    <x v="33"/>
    <s v="#1774B9"/>
  </r>
  <r>
    <s v="1437"/>
    <n v="990"/>
    <s v="Agencia Información"/>
    <s v="Gobiernos locales"/>
    <n v="0"/>
    <x v="70"/>
    <x v="25"/>
    <x v="0"/>
    <x v="0"/>
    <x v="2"/>
    <x v="120"/>
    <s v="Año 2020"/>
    <s v="Número de Plazas Públicas"/>
    <s v="Sistema Nacional de Información Municipal"/>
    <s v="Cantidad de Plazas Públicas por Comuna en Chile, Año 2020"/>
    <s v="En el año 2020, las comunas que tuvieron más de 700 plazas públicas fueron Puente Alto, Maipú, Puerto Montt, Rancagua, Talca, San Pedro de la Paz, Coquimbo, La Serena, San Bernardo, Quilicura, La Florida, y Los Ángeles, con 1.714, 1.652, 1.382, 1.023, 998, 997, 945, 917, 855, 821, 740, 704 plazas, respectivamente. *(Las comunas que aparecen en color negro dentro del mapa, corresponden a municipios que no entregaron información para el año 2020)."/>
    <s v="Mapa de calor"/>
    <s v="Chile nacional región comuna plazas públicas gestión municipal territorial gobierno regional municipal municipalidad"/>
    <s v="https://analytics.zoho.com/open-view/2395394000008183410"/>
    <x v="17"/>
    <s v="#1774B9"/>
  </r>
  <r>
    <s v="1438"/>
    <n v="990"/>
    <s v="Agencia Información"/>
    <s v="Gobiernos locales"/>
    <n v="1"/>
    <x v="70"/>
    <x v="25"/>
    <x v="1"/>
    <x v="1"/>
    <x v="3"/>
    <x v="120"/>
    <s v="Año 2020"/>
    <s v="Número de Plazas Públicas"/>
    <s v="Sistema Nacional de Información Municipal"/>
    <s v="Cantidad de Plazas Públicas por Comuna en la Región de Tarapacá, Año 2020"/>
    <m/>
    <s v="Mapa de calor"/>
    <s v="Región de Tarapacá regional comuna plazas públicas gestión municipal territorial gobierno regional municipal municipalidad"/>
    <s v="https://analytics.zoho.com/open-view/2395394000008464727?ZOHO_CRITERIA=%22Localiza%20CL%22.%22Codreg%22%20%3D%201"/>
    <x v="18"/>
    <s v="#1774B9"/>
  </r>
  <r>
    <s v="1439"/>
    <n v="990"/>
    <s v="Agencia Información"/>
    <s v="Gobiernos locales"/>
    <n v="2"/>
    <x v="70"/>
    <x v="25"/>
    <x v="1"/>
    <x v="2"/>
    <x v="3"/>
    <x v="120"/>
    <s v="Año 2020"/>
    <s v="Número de Plazas Públicas"/>
    <s v="Sistema Nacional de Información Municipal"/>
    <s v="Cantidad de Plazas Públicas por Comuna en la Región de Antofagasta, Año 2020"/>
    <m/>
    <s v="Mapa de calor"/>
    <s v="Región de Antofagasta regional comuna plazas públicas gestión municipal territorial gobierno regional municipal municipalidad"/>
    <s v="https://analytics.zoho.com/open-view/2395394000008464727?ZOHO_CRITERIA=%22Localiza%20CL%22.%22Codreg%22%20%3D%202"/>
    <x v="19"/>
    <s v="#1774B9"/>
  </r>
  <r>
    <s v="1440"/>
    <n v="990"/>
    <s v="Agencia Información"/>
    <s v="Gobiernos locales"/>
    <n v="3"/>
    <x v="70"/>
    <x v="25"/>
    <x v="1"/>
    <x v="3"/>
    <x v="3"/>
    <x v="120"/>
    <s v="Año 2020"/>
    <s v="Número de Plazas Públicas"/>
    <s v="Sistema Nacional de Información Municipal"/>
    <s v="Cantidad de Plazas Públicas por Comuna en la Región de Atacama, Año 2020"/>
    <m/>
    <s v="Mapa de calor"/>
    <s v="Región de Atacama regional comuna plazas públicas gestión municipal territorial gobierno regional municipal municipalidad"/>
    <s v="https://analytics.zoho.com/open-view/2395394000008464727?ZOHO_CRITERIA=%22Localiza%20CL%22.%22Codreg%22%20%3D%203"/>
    <x v="20"/>
    <s v="#1774B9"/>
  </r>
  <r>
    <s v="1441"/>
    <n v="990"/>
    <s v="Agencia Información"/>
    <s v="Gobiernos locales"/>
    <n v="4"/>
    <x v="70"/>
    <x v="25"/>
    <x v="1"/>
    <x v="4"/>
    <x v="3"/>
    <x v="120"/>
    <s v="Año 2020"/>
    <s v="Número de Plazas Públicas"/>
    <s v="Sistema Nacional de Información Municipal"/>
    <s v="Cantidad de Plazas Públicas por Comuna en la Región de Coquimbo, Año 2020"/>
    <m/>
    <s v="Mapa de calor"/>
    <s v="Región de Coquimbo regional comuna plazas públicas gestión municipal territorial gobierno regional municipal municipalidad"/>
    <s v="https://analytics.zoho.com/open-view/2395394000008464727?ZOHO_CRITERIA=%22Localiza%20CL%22.%22Codreg%22%20%3D%204"/>
    <x v="21"/>
    <s v="#1774B9"/>
  </r>
  <r>
    <s v="1442"/>
    <n v="990"/>
    <s v="Agencia Información"/>
    <s v="Gobiernos locales"/>
    <n v="5"/>
    <x v="70"/>
    <x v="25"/>
    <x v="1"/>
    <x v="5"/>
    <x v="3"/>
    <x v="120"/>
    <s v="Año 2020"/>
    <s v="Número de Plazas Públicas"/>
    <s v="Sistema Nacional de Información Municipal"/>
    <s v="Cantidad de Plazas Públicas por Comuna en la Región de Valparaíso, Año 2020"/>
    <m/>
    <s v="Mapa de calor"/>
    <s v="Región de Valparaíso regional comuna plazas públicas gestión municipal territorial gobierno regional municipal municipalidad"/>
    <s v="https://analytics.zoho.com/open-view/2395394000008464727?ZOHO_CRITERIA=%22Localiza%20CL%22.%22Codreg%22%20%3D%205"/>
    <x v="22"/>
    <s v="#1774B9"/>
  </r>
  <r>
    <s v="1443"/>
    <n v="990"/>
    <s v="Agencia Información"/>
    <s v="Gobiernos locales"/>
    <n v="6"/>
    <x v="70"/>
    <x v="25"/>
    <x v="1"/>
    <x v="6"/>
    <x v="3"/>
    <x v="120"/>
    <s v="Año 2020"/>
    <s v="Número de Plazas Públicas"/>
    <s v="Sistema Nacional de Información Municipal"/>
    <s v="Cantidad de Plazas Públicas por Comuna en la Región de O'Higgins, Año 2020"/>
    <m/>
    <s v="Mapa de calor"/>
    <s v="Región de O'Higgins regional comuna plazas públicas gestión municipal territorial gobierno regional municipal municipalidad"/>
    <s v="https://analytics.zoho.com/open-view/2395394000008464727?ZOHO_CRITERIA=%22Localiza%20CL%22.%22Codreg%22%20%3D%206"/>
    <x v="23"/>
    <s v="#1774B9"/>
  </r>
  <r>
    <s v="1444"/>
    <n v="990"/>
    <s v="Agencia Información"/>
    <s v="Gobiernos locales"/>
    <n v="7"/>
    <x v="70"/>
    <x v="25"/>
    <x v="1"/>
    <x v="7"/>
    <x v="3"/>
    <x v="120"/>
    <s v="Año 2020"/>
    <s v="Número de Plazas Públicas"/>
    <s v="Sistema Nacional de Información Municipal"/>
    <s v="Cantidad de Plazas Públicas por Comuna en la Región de Maule, Año 2020"/>
    <m/>
    <s v="Mapa de calor"/>
    <s v="Región de Maule regional comuna plazas públicas gestión municipal territorial gobierno regional municipal municipalidad"/>
    <s v="https://analytics.zoho.com/open-view/2395394000008464727?ZOHO_CRITERIA=%22Localiza%20CL%22.%22Codreg%22%20%3D%207"/>
    <x v="24"/>
    <s v="#1774B9"/>
  </r>
  <r>
    <s v="1445"/>
    <n v="990"/>
    <s v="Agencia Información"/>
    <s v="Gobiernos locales"/>
    <n v="8"/>
    <x v="70"/>
    <x v="25"/>
    <x v="1"/>
    <x v="8"/>
    <x v="3"/>
    <x v="120"/>
    <s v="Año 2020"/>
    <s v="Número de Plazas Públicas"/>
    <s v="Sistema Nacional de Información Municipal"/>
    <s v="Cantidad de Plazas Públicas por Comuna en la Región del Biobío, Año 2020"/>
    <m/>
    <s v="Mapa de calor"/>
    <s v="Región del Biobío regional comuna plazas públicas gestión municipal territorial gobierno regional municipal municipalidad"/>
    <s v="https://analytics.zoho.com/open-view/2395394000008464727?ZOHO_CRITERIA=%22Localiza%20CL%22.%22Codreg%22%20%3D%208"/>
    <x v="25"/>
    <s v="#1774B9"/>
  </r>
  <r>
    <s v="1446"/>
    <n v="990"/>
    <s v="Agencia Información"/>
    <s v="Gobiernos locales"/>
    <n v="9"/>
    <x v="70"/>
    <x v="25"/>
    <x v="1"/>
    <x v="9"/>
    <x v="3"/>
    <x v="120"/>
    <s v="Año 2020"/>
    <s v="Número de Plazas Públicas"/>
    <s v="Sistema Nacional de Información Municipal"/>
    <s v="Cantidad de Plazas Públicas por Comuna en la Región de La Araucanía, Año 2020"/>
    <m/>
    <s v="Mapa de calor"/>
    <s v="Región de La Araucanía regional comuna plazas públicas gestión municipal territorial gobierno regional municipal municipalidad"/>
    <s v="https://analytics.zoho.com/open-view/2395394000008464727?ZOHO_CRITERIA=%22Localiza%20CL%22.%22Codreg%22%20%3D%209"/>
    <x v="26"/>
    <s v="#1774B9"/>
  </r>
  <r>
    <s v="1447"/>
    <n v="990"/>
    <s v="Agencia Información"/>
    <s v="Gobiernos locales"/>
    <n v="10"/>
    <x v="70"/>
    <x v="25"/>
    <x v="1"/>
    <x v="10"/>
    <x v="3"/>
    <x v="120"/>
    <s v="Año 2020"/>
    <s v="Número de Plazas Públicas"/>
    <s v="Sistema Nacional de Información Municipal"/>
    <s v="Cantidad de Plazas Públicas por Comuna en la Región de Los Lagos, Año 2020"/>
    <m/>
    <s v="Mapa de calor"/>
    <s v="Región de Los Lagos regional comuna plazas públicas gestión municipal territorial gobierno regional municipal municipalidad"/>
    <s v="https://analytics.zoho.com/open-view/2395394000008464727?ZOHO_CRITERIA=%22Localiza%20CL%22.%22Codreg%22%20%3D%2010"/>
    <x v="27"/>
    <s v="#1774B9"/>
  </r>
  <r>
    <s v="1448"/>
    <n v="990"/>
    <s v="Agencia Información"/>
    <s v="Gobiernos locales"/>
    <n v="11"/>
    <x v="70"/>
    <x v="25"/>
    <x v="1"/>
    <x v="11"/>
    <x v="3"/>
    <x v="120"/>
    <s v="Año 2020"/>
    <s v="Número de Plazas Públicas"/>
    <s v="Sistema Nacional de Información Municipal"/>
    <s v="Cantidad de Plazas Públicas por Comuna en la Región de Aysén, Año 2020"/>
    <m/>
    <s v="Mapa de calor"/>
    <s v="Región de Aysén regional comuna plazas públicas gestión municipal territorial gobierno regional municipal municipalidad"/>
    <s v="https://analytics.zoho.com/open-view/2395394000008464727?ZOHO_CRITERIA=%22Localiza%20CL%22.%22Codreg%22%20%3D%2011"/>
    <x v="28"/>
    <s v="#1774B9"/>
  </r>
  <r>
    <s v="1449"/>
    <n v="990"/>
    <s v="Agencia Información"/>
    <s v="Gobiernos locales"/>
    <n v="12"/>
    <x v="70"/>
    <x v="25"/>
    <x v="1"/>
    <x v="12"/>
    <x v="3"/>
    <x v="120"/>
    <s v="Año 2020"/>
    <s v="Número de Plazas Públicas"/>
    <s v="Sistema Nacional de Información Municipal"/>
    <s v="Cantidad de Plazas Públicas por Comuna en la Región de Magallanes, Año 2020"/>
    <m/>
    <s v="Mapa de calor"/>
    <s v="Región de Magallanes regional comuna plazas públicas gestión municipal territorial gobierno regional municipal municipalidad"/>
    <s v="https://analytics.zoho.com/open-view/2395394000008464727?ZOHO_CRITERIA=%22Localiza%20CL%22.%22Codreg%22%20%3D%2012"/>
    <x v="29"/>
    <s v="#1774B9"/>
  </r>
  <r>
    <s v="1450"/>
    <n v="990"/>
    <s v="Agencia Información"/>
    <s v="Gobiernos locales"/>
    <n v="13"/>
    <x v="70"/>
    <x v="25"/>
    <x v="1"/>
    <x v="13"/>
    <x v="3"/>
    <x v="120"/>
    <s v="Año 2020"/>
    <s v="Número de Plazas Públicas"/>
    <s v="Sistema Nacional de Información Municipal"/>
    <s v="Cantidad de Plazas Públicas por Comuna en la Región Metropolitana, Año 2020"/>
    <m/>
    <s v="Mapa de calor"/>
    <s v="Región Metropolitana regional comuna plazas públicas gestión municipal territorial gobierno regional municipal municipalidad"/>
    <s v="https://analytics.zoho.com/open-view/2395394000008464727?ZOHO_CRITERIA=%22Localiza%20CL%22.%22Codreg%22%20%3D%2013"/>
    <x v="30"/>
    <s v="#1774B9"/>
  </r>
  <r>
    <s v="1451"/>
    <n v="990"/>
    <s v="Agencia Información"/>
    <s v="Gobiernos locales"/>
    <n v="14"/>
    <x v="70"/>
    <x v="25"/>
    <x v="1"/>
    <x v="14"/>
    <x v="3"/>
    <x v="120"/>
    <s v="Año 2020"/>
    <s v="Número de Plazas Públicas"/>
    <s v="Sistema Nacional de Información Municipal"/>
    <s v="Cantidad de Plazas Públicas por Comuna en la Región de Los Ríos, Año 2020"/>
    <m/>
    <s v="Mapa de calor"/>
    <s v="Región de Los Ríos regional comuna plazas públicas gestión municipal territorial gobierno regional municipal municipalidad"/>
    <s v="https://analytics.zoho.com/open-view/2395394000008464727?ZOHO_CRITERIA=%22Localiza%20CL%22.%22Codreg%22%20%3D%2014"/>
    <x v="31"/>
    <s v="#1774B9"/>
  </r>
  <r>
    <s v="1452"/>
    <n v="990"/>
    <s v="Agencia Información"/>
    <s v="Gobiernos locales"/>
    <n v="15"/>
    <x v="70"/>
    <x v="25"/>
    <x v="1"/>
    <x v="15"/>
    <x v="3"/>
    <x v="120"/>
    <s v="Año 2020"/>
    <s v="Número de Plazas Públicas"/>
    <s v="Sistema Nacional de Información Municipal"/>
    <s v="Cantidad de Plazas Públicas por Comuna en la Región de Arica y Parinacota, Año 2020"/>
    <m/>
    <s v="Mapa de calor"/>
    <s v="Región de Arica y Parinacota regional comuna plazas públicas gestión municipal territorial gobierno regional municipal municipalidad"/>
    <s v="https://analytics.zoho.com/open-view/2395394000008464727?ZOHO_CRITERIA=%22Localiza%20CL%22.%22Codreg%22%20%3D%2015"/>
    <x v="32"/>
    <s v="#1774B9"/>
  </r>
  <r>
    <s v="1453"/>
    <n v="990"/>
    <s v="Agencia Información"/>
    <s v="Gobiernos locales"/>
    <n v="16"/>
    <x v="70"/>
    <x v="25"/>
    <x v="1"/>
    <x v="16"/>
    <x v="3"/>
    <x v="120"/>
    <s v="Año 2020"/>
    <s v="Número de Plazas Públicas"/>
    <s v="Sistema Nacional de Información Municipal"/>
    <s v="Cantidad de Plazas Públicas por Comuna en la Región de Ñuble, Año 2020"/>
    <m/>
    <s v="Mapa de calor"/>
    <s v="Región de Ñuble regional comuna plazas públicas gestión municipal territorial gobierno regional municipal municipalidad"/>
    <s v="https://analytics.zoho.com/open-view/2395394000008464727?ZOHO_CRITERIA=%22Localiza%20CL%22.%22Codreg%22%20%3D%2016"/>
    <x v="33"/>
    <s v="#1774B9"/>
  </r>
  <r>
    <s v="1454"/>
    <n v="990"/>
    <s v="Agencia Información"/>
    <s v="Gobiernos locales"/>
    <n v="0"/>
    <x v="71"/>
    <x v="25"/>
    <x v="0"/>
    <x v="0"/>
    <x v="0"/>
    <x v="121"/>
    <s v="Periodo 2001-2020"/>
    <s v="m2"/>
    <s v="Sistema Nacional de Información Municipal"/>
    <s v="Áreas Verdes Mantenidas (m2) por Habitante y Comuna en Chile, Periodo 2001-2020"/>
    <s v="En el año 2020, la comuna informada con más áreas verdes mantenidas por habitante fue Futaleufú, con 85 (m2). Le siguió Tortel, con 77,33 (m2), y Primavera, con 56,02 (m2). *(La interrupción en una línea significa que para ese año la información no fue entregada por parte del municipio)."/>
    <s v="Gráfico de Evolución"/>
    <s v="Chile regional comuna plazas públicas gestión municipal territorial gobierno regional municipal municipalidad"/>
    <s v="https://analytics.zoho.com/open-view/2395394000008069731"/>
    <x v="17"/>
    <s v="#1774B9"/>
  </r>
  <r>
    <s v="1455"/>
    <n v="990"/>
    <s v="Agencia Información"/>
    <s v="Gobiernos locales"/>
    <n v="1"/>
    <x v="71"/>
    <x v="25"/>
    <x v="1"/>
    <x v="1"/>
    <x v="1"/>
    <x v="121"/>
    <s v="Periodo 2001-2020"/>
    <s v="m2"/>
    <s v="Sistema Nacional de Información Municipal"/>
    <s v="Áreas Verdes Mantenidas (m2) por Habitante y Comuna en la Región de Tarapacá, Periodo 2001-2020"/>
    <m/>
    <s v="Gráfico de Evolución"/>
    <s v="Región de Tarapacá regional comuna plazas públicas gestión municipal territorial gobierno regional municipal municipalidad"/>
    <s v="https://analytics.zoho.com/open-view/2395394000008478003?ZOHO_CRITERIA=%22Localiza%20CL%22.%22Codreg%22%20%3D%201"/>
    <x v="18"/>
    <s v="#1774B9"/>
  </r>
  <r>
    <s v="1456"/>
    <n v="990"/>
    <s v="Agencia Información"/>
    <s v="Gobiernos locales"/>
    <n v="2"/>
    <x v="71"/>
    <x v="25"/>
    <x v="1"/>
    <x v="2"/>
    <x v="1"/>
    <x v="121"/>
    <s v="Periodo 2001-2020"/>
    <s v="m2"/>
    <s v="Sistema Nacional de Información Municipal"/>
    <s v="Áreas Verdes Mantenidas (m2) por Habitante y Comuna en la Región de Antofagasta, Periodo 2001-2020"/>
    <m/>
    <s v="Gráfico de Evolución"/>
    <s v="Región de Antofagasta regional comuna plazas públicas gestión municipal territorial gobierno regional municipal municipalidad"/>
    <s v="https://analytics.zoho.com/open-view/2395394000008478003?ZOHO_CRITERIA=%22Localiza%20CL%22.%22Codreg%22%20%3D%202"/>
    <x v="19"/>
    <s v="#1774B9"/>
  </r>
  <r>
    <s v="1457"/>
    <n v="990"/>
    <s v="Agencia Información"/>
    <s v="Gobiernos locales"/>
    <n v="3"/>
    <x v="71"/>
    <x v="25"/>
    <x v="1"/>
    <x v="3"/>
    <x v="1"/>
    <x v="121"/>
    <s v="Periodo 2001-2020"/>
    <s v="m2"/>
    <s v="Sistema Nacional de Información Municipal"/>
    <s v="Áreas Verdes Mantenidas (m2) por Habitante y Comuna en la Región de Atacama, Periodo 2001-2020"/>
    <m/>
    <s v="Gráfico de Evolución"/>
    <s v="Región de Atacama regional comuna plazas públicas gestión municipal territorial gobierno regional municipal municipalidad"/>
    <s v="https://analytics.zoho.com/open-view/2395394000008478003?ZOHO_CRITERIA=%22Localiza%20CL%22.%22Codreg%22%20%3D%203"/>
    <x v="20"/>
    <s v="#1774B9"/>
  </r>
  <r>
    <s v="1458"/>
    <n v="990"/>
    <s v="Agencia Información"/>
    <s v="Gobiernos locales"/>
    <n v="4"/>
    <x v="71"/>
    <x v="25"/>
    <x v="1"/>
    <x v="4"/>
    <x v="1"/>
    <x v="121"/>
    <s v="Periodo 2001-2020"/>
    <s v="m2"/>
    <s v="Sistema Nacional de Información Municipal"/>
    <s v="Áreas Verdes Mantenidas (m2) por Habitante y Comuna en la Región de Coquimbo, Periodo 2001-2020"/>
    <m/>
    <s v="Gráfico de Evolución"/>
    <s v="Región de Coquimbo regional comuna plazas públicas gestión municipal territorial gobierno regional municipal municipalidad"/>
    <s v="https://analytics.zoho.com/open-view/2395394000008478003?ZOHO_CRITERIA=%22Localiza%20CL%22.%22Codreg%22%20%3D%204"/>
    <x v="21"/>
    <s v="#1774B9"/>
  </r>
  <r>
    <s v="1459"/>
    <n v="990"/>
    <s v="Agencia Información"/>
    <s v="Gobiernos locales"/>
    <n v="5"/>
    <x v="71"/>
    <x v="25"/>
    <x v="1"/>
    <x v="5"/>
    <x v="1"/>
    <x v="121"/>
    <s v="Periodo 2001-2020"/>
    <s v="m2"/>
    <s v="Sistema Nacional de Información Municipal"/>
    <s v="Áreas Verdes Mantenidas (m2) por Habitante y Comuna en la Región de Valparaíso, Periodo 2001-2020"/>
    <m/>
    <s v="Gráfico de Evolución"/>
    <s v="Región de Valparaíso regional comuna plazas públicas gestión municipal territorial gobierno regional municipal municipalidad"/>
    <s v="https://analytics.zoho.com/open-view/2395394000008478003?ZOHO_CRITERIA=%22Localiza%20CL%22.%22Codreg%22%20%3D%205"/>
    <x v="22"/>
    <s v="#1774B9"/>
  </r>
  <r>
    <s v="1460"/>
    <n v="990"/>
    <s v="Agencia Información"/>
    <s v="Gobiernos locales"/>
    <n v="6"/>
    <x v="71"/>
    <x v="25"/>
    <x v="1"/>
    <x v="6"/>
    <x v="1"/>
    <x v="121"/>
    <s v="Periodo 2001-2020"/>
    <s v="m2"/>
    <s v="Sistema Nacional de Información Municipal"/>
    <s v="Áreas Verdes Mantenidas (m2) por Habitante y Comuna en la Región de O'Higgins, Periodo 2001-2020"/>
    <m/>
    <s v="Gráfico de Evolución"/>
    <s v="Región de O'Higgins regional comuna plazas públicas gestión municipal territorial gobierno regional municipal municipalidad"/>
    <s v="https://analytics.zoho.com/open-view/2395394000008478003?ZOHO_CRITERIA=%22Localiza%20CL%22.%22Codreg%22%20%3D%206"/>
    <x v="23"/>
    <s v="#1774B9"/>
  </r>
  <r>
    <s v="1461"/>
    <n v="990"/>
    <s v="Agencia Información"/>
    <s v="Gobiernos locales"/>
    <n v="7"/>
    <x v="71"/>
    <x v="25"/>
    <x v="1"/>
    <x v="7"/>
    <x v="1"/>
    <x v="121"/>
    <s v="Periodo 2001-2020"/>
    <s v="m2"/>
    <s v="Sistema Nacional de Información Municipal"/>
    <s v="Áreas Verdes Mantenidas (m2) por Habitante y Comuna en la Región de Maule, Periodo 2001-2020"/>
    <m/>
    <s v="Gráfico de Evolución"/>
    <s v="Región de Maule regional comuna plazas públicas gestión municipal territorial gobierno regional municipal municipalidad"/>
    <s v="https://analytics.zoho.com/open-view/2395394000008478003?ZOHO_CRITERIA=%22Localiza%20CL%22.%22Codreg%22%20%3D%207"/>
    <x v="24"/>
    <s v="#1774B9"/>
  </r>
  <r>
    <s v="1462"/>
    <n v="990"/>
    <s v="Agencia Información"/>
    <s v="Gobiernos locales"/>
    <n v="8"/>
    <x v="71"/>
    <x v="25"/>
    <x v="1"/>
    <x v="8"/>
    <x v="1"/>
    <x v="121"/>
    <s v="Periodo 2001-2020"/>
    <s v="m2"/>
    <s v="Sistema Nacional de Información Municipal"/>
    <s v="Áreas Verdes Mantenidas (m2) por Habitante y Comuna en la Región del Biobío, Periodo 2001-2020"/>
    <m/>
    <s v="Gráfico de Evolución"/>
    <s v="Región del Biobío regional comuna plazas públicas gestión municipal territorial gobierno regional municipal municipalidad"/>
    <s v="https://analytics.zoho.com/open-view/2395394000008478003?ZOHO_CRITERIA=%22Localiza%20CL%22.%22Codreg%22%20%3D%208"/>
    <x v="25"/>
    <s v="#1774B9"/>
  </r>
  <r>
    <s v="1463"/>
    <n v="990"/>
    <s v="Agencia Información"/>
    <s v="Gobiernos locales"/>
    <n v="9"/>
    <x v="71"/>
    <x v="25"/>
    <x v="1"/>
    <x v="9"/>
    <x v="1"/>
    <x v="121"/>
    <s v="Periodo 2001-2020"/>
    <s v="m2"/>
    <s v="Sistema Nacional de Información Municipal"/>
    <s v="Áreas Verdes Mantenidas (m2) por Habitante y Comuna en la Región de La Araucanía, Periodo 2001-2020"/>
    <m/>
    <s v="Gráfico de Evolución"/>
    <s v="Región de La Araucanía regional comuna plazas públicas gestión municipal territorial gobierno regional municipal municipalidad"/>
    <s v="https://analytics.zoho.com/open-view/2395394000008478003?ZOHO_CRITERIA=%22Localiza%20CL%22.%22Codreg%22%20%3D%209"/>
    <x v="26"/>
    <s v="#1774B9"/>
  </r>
  <r>
    <s v="1464"/>
    <n v="990"/>
    <s v="Agencia Información"/>
    <s v="Gobiernos locales"/>
    <n v="10"/>
    <x v="71"/>
    <x v="25"/>
    <x v="1"/>
    <x v="10"/>
    <x v="1"/>
    <x v="121"/>
    <s v="Periodo 2001-2020"/>
    <s v="m2"/>
    <s v="Sistema Nacional de Información Municipal"/>
    <s v="Áreas Verdes Mantenidas (m2) por Habitante y Comuna en la Región de Los Lagos, Periodo 2001-2020"/>
    <m/>
    <s v="Gráfico de Evolución"/>
    <s v="Región de Los Lagos regional comuna plazas públicas gestión municipal territorial gobierno regional municipal municipalidad"/>
    <s v="https://analytics.zoho.com/open-view/2395394000008478003?ZOHO_CRITERIA=%22Localiza%20CL%22.%22Codreg%22%20%3D%2010"/>
    <x v="27"/>
    <s v="#1774B9"/>
  </r>
  <r>
    <s v="1465"/>
    <n v="990"/>
    <s v="Agencia Información"/>
    <s v="Gobiernos locales"/>
    <n v="11"/>
    <x v="71"/>
    <x v="25"/>
    <x v="1"/>
    <x v="11"/>
    <x v="1"/>
    <x v="121"/>
    <s v="Periodo 2001-2020"/>
    <s v="m2"/>
    <s v="Sistema Nacional de Información Municipal"/>
    <s v="Áreas Verdes Mantenidas (m2) por Habitante y Comuna en la Región de Aysén, Periodo 2001-2020"/>
    <m/>
    <s v="Gráfico de Evolución"/>
    <s v="Región de Aysén regional comuna plazas públicas gestión municipal territorial gobierno regional municipal municipalidad"/>
    <s v="https://analytics.zoho.com/open-view/2395394000008478003?ZOHO_CRITERIA=%22Localiza%20CL%22.%22Codreg%22%20%3D%2011"/>
    <x v="28"/>
    <s v="#1774B9"/>
  </r>
  <r>
    <s v="1466"/>
    <n v="990"/>
    <s v="Agencia Información"/>
    <s v="Gobiernos locales"/>
    <n v="12"/>
    <x v="71"/>
    <x v="25"/>
    <x v="1"/>
    <x v="12"/>
    <x v="1"/>
    <x v="121"/>
    <s v="Periodo 2001-2020"/>
    <s v="m2"/>
    <s v="Sistema Nacional de Información Municipal"/>
    <s v="Áreas Verdes Mantenidas (m2) por Habitante y Comuna en la Región de Magallanes, Periodo 2001-2020"/>
    <m/>
    <s v="Gráfico de Evolución"/>
    <s v="Región de Magallanes regional comuna plazas públicas gestión municipal territorial gobierno regional municipal municipalidad"/>
    <s v="https://analytics.zoho.com/open-view/2395394000008478003?ZOHO_CRITERIA=%22Localiza%20CL%22.%22Codreg%22%20%3D%2012"/>
    <x v="29"/>
    <s v="#1774B9"/>
  </r>
  <r>
    <s v="1467"/>
    <n v="990"/>
    <s v="Agencia Información"/>
    <s v="Gobiernos locales"/>
    <n v="13"/>
    <x v="71"/>
    <x v="25"/>
    <x v="1"/>
    <x v="13"/>
    <x v="1"/>
    <x v="121"/>
    <s v="Periodo 2001-2020"/>
    <s v="m2"/>
    <s v="Sistema Nacional de Información Municipal"/>
    <s v="Áreas Verdes Mantenidas (m2) por Habitante y Comuna en la Región Metropolitana, Periodo 2001-2020"/>
    <m/>
    <s v="Gráfico de Evolución"/>
    <s v="Región Metropolitana regional comuna plazas públicas gestión municipal territorial gobierno regional municipal municipalidad"/>
    <s v="https://analytics.zoho.com/open-view/2395394000008478003?ZOHO_CRITERIA=%22Localiza%20CL%22.%22Codreg%22%20%3D%2013"/>
    <x v="30"/>
    <s v="#1774B9"/>
  </r>
  <r>
    <s v="1468"/>
    <n v="990"/>
    <s v="Agencia Información"/>
    <s v="Gobiernos locales"/>
    <n v="14"/>
    <x v="71"/>
    <x v="25"/>
    <x v="1"/>
    <x v="14"/>
    <x v="1"/>
    <x v="121"/>
    <s v="Periodo 2001-2020"/>
    <s v="m2"/>
    <s v="Sistema Nacional de Información Municipal"/>
    <s v="Áreas Verdes Mantenidas (m2) por Habitante y Comuna en la Región de Los Ríos, Periodo 2001-2020"/>
    <m/>
    <s v="Gráfico de Evolución"/>
    <s v="Región de Los Ríos regional comuna plazas públicas gestión municipal territorial gobierno regional municipal municipalidad"/>
    <s v="https://analytics.zoho.com/open-view/2395394000008478003?ZOHO_CRITERIA=%22Localiza%20CL%22.%22Codreg%22%20%3D%2014"/>
    <x v="31"/>
    <s v="#1774B9"/>
  </r>
  <r>
    <s v="1469"/>
    <n v="990"/>
    <s v="Agencia Información"/>
    <s v="Gobiernos locales"/>
    <n v="15"/>
    <x v="71"/>
    <x v="25"/>
    <x v="1"/>
    <x v="15"/>
    <x v="1"/>
    <x v="121"/>
    <s v="Periodo 2001-2020"/>
    <s v="m2"/>
    <s v="Sistema Nacional de Información Municipal"/>
    <s v="Áreas Verdes Mantenidas (m2) por Habitante y Comuna en la Región de Arica y Parinacota, Periodo 2001-2020"/>
    <m/>
    <s v="Gráfico de Evolución"/>
    <s v="Región de Arica y Parinacota regional comuna plazas públicas gestión municipal territorial gobierno regional municipal municipalidad"/>
    <s v="https://analytics.zoho.com/open-view/2395394000008478003?ZOHO_CRITERIA=%22Localiza%20CL%22.%22Codreg%22%20%3D%2015"/>
    <x v="32"/>
    <s v="#1774B9"/>
  </r>
  <r>
    <s v="1470"/>
    <n v="990"/>
    <s v="Agencia Información"/>
    <s v="Gobiernos locales"/>
    <n v="16"/>
    <x v="71"/>
    <x v="25"/>
    <x v="1"/>
    <x v="16"/>
    <x v="1"/>
    <x v="121"/>
    <s v="Periodo 2001-2020"/>
    <s v="m2"/>
    <s v="Sistema Nacional de Información Municipal"/>
    <s v="Áreas Verdes Mantenidas (m2) por Habitante y Comuna en la Región de Ñuble, Periodo 2001-2020"/>
    <m/>
    <s v="Gráfico de Evolución"/>
    <s v="Región de Ñuble regional comuna plazas públicas gestión municipal territorial gobierno regional municipal municipalidad"/>
    <s v="https://analytics.zoho.com/open-view/2395394000008478003?ZOHO_CRITERIA=%22Localiza%20CL%22.%22Codreg%22%20%3D%2016"/>
    <x v="33"/>
    <s v="#1774B9"/>
  </r>
  <r>
    <s v="1471"/>
    <n v="990"/>
    <s v="Agencia Información"/>
    <s v="Salud"/>
    <n v="0"/>
    <x v="72"/>
    <x v="28"/>
    <x v="0"/>
    <x v="0"/>
    <x v="1"/>
    <x v="122"/>
    <s v="Periodo 2009-2017"/>
    <s v="Porcentaje (%)"/>
    <s v="Encuestas CASEN"/>
    <s v="Evolución de la Proporción de la Población que tuvo Consultas Mentales a Escala Nacional en Chile, Periodo 2009-2017"/>
    <s v="El porcentaje de la población que ha tenido consultas médicas por salud mental entre el 2009 y 2017 se ha mantenido constantemente en un rango entre el 2,2 y 2,8%."/>
    <s v="Gráfico de Evolución"/>
    <s v="Chile nacional salud mental consultas porcentaje proporción población evolución"/>
    <s v="https://analytics.zoho.com/open-view/2395394000007274123"/>
    <x v="34"/>
    <s v="#1774B9"/>
  </r>
  <r>
    <s v="1472"/>
    <n v="990"/>
    <s v="Agencia Información"/>
    <s v="Salud"/>
    <n v="0"/>
    <x v="72"/>
    <x v="28"/>
    <x v="0"/>
    <x v="0"/>
    <x v="1"/>
    <x v="123"/>
    <s v="Periodo 2009-2017"/>
    <s v="Tasa"/>
    <s v="Encuestas CASEN"/>
    <s v="Evolución de la Tasa de Consultas Mentales a Escala Regional (Consultas cada 100 mil habitantes) en Chile, Periodo 2009-2017"/>
    <s v="La mayor tasa de atenciones de consultas mentales fue de 3.384 el año 2015 para la Región Metropolitana"/>
    <s v="Gráfico de Evolución"/>
    <s v="Chile nacional región salud mental consultas tasa cada 100 cien mil habitantes evolución"/>
    <s v="https://analytics.zoho.com/open-view/2395394000007277131"/>
    <x v="0"/>
    <s v="#1774B9"/>
  </r>
  <r>
    <s v="1473"/>
    <n v="990"/>
    <s v="Agencia Información"/>
    <s v="Salud"/>
    <n v="0"/>
    <x v="72"/>
    <x v="28"/>
    <x v="0"/>
    <x v="0"/>
    <x v="0"/>
    <x v="123"/>
    <s v="Periodo 2009-2017"/>
    <s v="Tasa"/>
    <s v="Encuestas CASEN"/>
    <s v="Evolución de la Tasa de Consultas Mentales a Escala Comunal (Consultas cada 100 mil habitantes) en  Chile, Periodo 2009-2017"/>
    <s v="Para la región del Biobío fue la comuna de Chiguayante la que presentó la mayor tasa de consultas de salud mental con 5.151 atenciones cada 100 mil habitantes para el año 2017"/>
    <s v="Gráfico de Evolución"/>
    <s v="Chile nacional región comuna salud mental consultas tasa cada 100 cien mil habitantes evolución"/>
    <s v="https://analytics.zoho.com/open-view/2395394000008496666"/>
    <x v="17"/>
    <s v="#1774B9"/>
  </r>
  <r>
    <s v="1474"/>
    <n v="990"/>
    <s v="Agencia Información"/>
    <s v="Salud"/>
    <n v="1"/>
    <x v="72"/>
    <x v="28"/>
    <x v="1"/>
    <x v="1"/>
    <x v="1"/>
    <x v="123"/>
    <s v="Periodo 2009-2017"/>
    <s v="Tasa"/>
    <s v="Encuestas CASEN"/>
    <s v="Evolución de la Tasa de Consultas Mentales a Escala Comunal (Consultas cada 100 mil habitantes) en la  Región de Tarapacá, Periodo 2009-2017"/>
    <m/>
    <s v="Gráfico de Evolución"/>
    <s v="Región de Tarapacá regional comuna salud mental consultas tasa cada 100 cien mil habitantes evolución"/>
    <s v="https://analytics.zoho.com/open-view/2395394000008502284?ZOHO_CRITERIA=%22Localiza%20Chile%22.%22Codreg%22%3D1"/>
    <x v="18"/>
    <s v="#1774B9"/>
  </r>
  <r>
    <s v="1475"/>
    <n v="990"/>
    <s v="Agencia Información"/>
    <s v="Salud"/>
    <n v="2"/>
    <x v="72"/>
    <x v="28"/>
    <x v="1"/>
    <x v="2"/>
    <x v="1"/>
    <x v="123"/>
    <s v="Periodo 2009-2017"/>
    <s v="Tasa"/>
    <s v="Encuestas CASEN"/>
    <s v="Evolución de la Tasa de Consultas Mentales a Escala Comunal (Consultas cada 100 mil habitantes) en la  Región de Antofagasta, Periodo 2009-2017"/>
    <m/>
    <s v="Gráfico de Evolución"/>
    <s v="Región de Antofagasta regional comuna salud mental consultas tasa cada 100 cien mil habitantes evolución"/>
    <s v="https://analytics.zoho.com/open-view/2395394000008502284?ZOHO_CRITERIA=%22Localiza%20Chile%22.%22Codreg%22%3D2"/>
    <x v="19"/>
    <s v="#1774B9"/>
  </r>
  <r>
    <s v="1476"/>
    <n v="990"/>
    <s v="Agencia Información"/>
    <s v="Salud"/>
    <n v="3"/>
    <x v="72"/>
    <x v="28"/>
    <x v="1"/>
    <x v="3"/>
    <x v="1"/>
    <x v="123"/>
    <s v="Periodo 2009-2017"/>
    <s v="Tasa"/>
    <s v="Encuestas CASEN"/>
    <s v="Evolución de la Tasa de Consultas Mentales a Escala Comunal (Consultas cada 100 mil habitantes) en la  Región de Atacama, Periodo 2009-2017"/>
    <m/>
    <s v="Gráfico de Evolución"/>
    <s v="Región de Atacama regional comuna salud mental consultas tasa cada 100 cien mil habitantes evolución"/>
    <s v="https://analytics.zoho.com/open-view/2395394000008502284?ZOHO_CRITERIA=%22Localiza%20Chile%22.%22Codreg%22%3D3"/>
    <x v="20"/>
    <s v="#1774B9"/>
  </r>
  <r>
    <s v="1477"/>
    <n v="990"/>
    <s v="Agencia Información"/>
    <s v="Salud"/>
    <n v="4"/>
    <x v="72"/>
    <x v="28"/>
    <x v="1"/>
    <x v="4"/>
    <x v="1"/>
    <x v="123"/>
    <s v="Periodo 2009-2017"/>
    <s v="Tasa"/>
    <s v="Encuestas CASEN"/>
    <s v="Evolución de la Tasa de Consultas Mentales a Escala Comunal (Consultas cada 100 mil habitantes) en la  Región de Coquimbo, Periodo 2009-2017"/>
    <m/>
    <s v="Gráfico de Evolución"/>
    <s v="Región de Coquimbo regional comuna salud mental consultas tasa cada 100 cien mil habitantes evolución"/>
    <s v="https://analytics.zoho.com/open-view/2395394000008502284?ZOHO_CRITERIA=%22Localiza%20Chile%22.%22Codreg%22%3D4"/>
    <x v="21"/>
    <s v="#1774B9"/>
  </r>
  <r>
    <s v="1478"/>
    <n v="990"/>
    <s v="Agencia Información"/>
    <s v="Salud"/>
    <n v="5"/>
    <x v="72"/>
    <x v="28"/>
    <x v="1"/>
    <x v="5"/>
    <x v="1"/>
    <x v="123"/>
    <s v="Periodo 2009-2017"/>
    <s v="Tasa"/>
    <s v="Encuestas CASEN"/>
    <s v="Evolución de la Tasa de Consultas Mentales a Escala Comunal (Consultas cada 100 mil habitantes) en la  Región de Valparaíso, Periodo 2009-2017"/>
    <m/>
    <s v="Gráfico de Evolución"/>
    <s v="Región de Valparaíso regional comuna salud mental consultas tasa cada 100 cien mil habitantes evolución"/>
    <s v="https://analytics.zoho.com/open-view/2395394000008502284?ZOHO_CRITERIA=%22Localiza%20Chile%22.%22Codreg%22%3D5"/>
    <x v="22"/>
    <s v="#1774B9"/>
  </r>
  <r>
    <s v="1479"/>
    <n v="990"/>
    <s v="Agencia Información"/>
    <s v="Salud"/>
    <n v="6"/>
    <x v="72"/>
    <x v="28"/>
    <x v="1"/>
    <x v="6"/>
    <x v="1"/>
    <x v="123"/>
    <s v="Periodo 2009-2017"/>
    <s v="Tasa"/>
    <s v="Encuestas CASEN"/>
    <s v="Evolución de la Tasa de Consultas Mentales a Escala Comunal (Consultas cada 100 mil habitantes) en la  Región de O'Higgins, Periodo 2009-2017"/>
    <m/>
    <s v="Gráfico de Evolución"/>
    <s v="Región de O'Higgins regional comuna salud mental consultas tasa cada 100 cien mil habitantes evolución"/>
    <s v="https://analytics.zoho.com/open-view/2395394000008502284?ZOHO_CRITERIA=%22Localiza%20Chile%22.%22Codreg%22%3D6"/>
    <x v="23"/>
    <s v="#1774B9"/>
  </r>
  <r>
    <s v="1480"/>
    <n v="990"/>
    <s v="Agencia Información"/>
    <s v="Salud"/>
    <n v="7"/>
    <x v="72"/>
    <x v="28"/>
    <x v="1"/>
    <x v="7"/>
    <x v="1"/>
    <x v="123"/>
    <s v="Periodo 2009-2017"/>
    <s v="Tasa"/>
    <s v="Encuestas CASEN"/>
    <s v="Evolución de la Tasa de Consultas Mentales a Escala Comunal (Consultas cada 100 mil habitantes) en la  Región de Maule, Periodo 2009-2017"/>
    <m/>
    <s v="Gráfico de Evolución"/>
    <s v="Región de Maule regional comuna salud mental consultas tasa cada 100 cien mil habitantes evolución"/>
    <s v="https://analytics.zoho.com/open-view/2395394000008502284?ZOHO_CRITERIA=%22Localiza%20Chile%22.%22Codreg%22%3D7"/>
    <x v="24"/>
    <s v="#1774B9"/>
  </r>
  <r>
    <s v="1481"/>
    <n v="990"/>
    <s v="Agencia Información"/>
    <s v="Salud"/>
    <n v="8"/>
    <x v="72"/>
    <x v="28"/>
    <x v="1"/>
    <x v="8"/>
    <x v="1"/>
    <x v="123"/>
    <s v="Periodo 2009-2017"/>
    <s v="Tasa"/>
    <s v="Encuestas CASEN"/>
    <s v="Evolución de la Tasa de Consultas Mentales a Escala Comunal (Consultas cada 100 mil habitantes) en la  Región del Biobío, Periodo 2009-2017"/>
    <m/>
    <s v="Gráfico de Evolución"/>
    <s v="Región del Biobío regional comuna salud mental consultas tasa cada 100 cien mil habitantes evolución"/>
    <s v="https://analytics.zoho.com/open-view/2395394000008502284?ZOHO_CRITERIA=%22Localiza%20Chile%22.%22Codreg%22%3D8"/>
    <x v="25"/>
    <s v="#1774B9"/>
  </r>
  <r>
    <s v="1482"/>
    <n v="990"/>
    <s v="Agencia Información"/>
    <s v="Salud"/>
    <n v="9"/>
    <x v="72"/>
    <x v="28"/>
    <x v="1"/>
    <x v="9"/>
    <x v="1"/>
    <x v="123"/>
    <s v="Periodo 2009-2017"/>
    <s v="Tasa"/>
    <s v="Encuestas CASEN"/>
    <s v="Evolución de la Tasa de Consultas Mentales a Escala Comunal (Consultas cada 100 mil habitantes) en la  Región de La Araucanía, Periodo 2009-2017"/>
    <m/>
    <s v="Gráfico de Evolución"/>
    <s v="Región de La Araucanía regional comuna salud mental consultas tasa cada 100 cien mil habitantes evolución"/>
    <s v="https://analytics.zoho.com/open-view/2395394000008502284?ZOHO_CRITERIA=%22Localiza%20Chile%22.%22Codreg%22%3D9"/>
    <x v="26"/>
    <s v="#1774B9"/>
  </r>
  <r>
    <s v="1483"/>
    <n v="990"/>
    <s v="Agencia Información"/>
    <s v="Salud"/>
    <n v="10"/>
    <x v="72"/>
    <x v="28"/>
    <x v="1"/>
    <x v="10"/>
    <x v="1"/>
    <x v="123"/>
    <s v="Periodo 2009-2017"/>
    <s v="Tasa"/>
    <s v="Encuestas CASEN"/>
    <s v="Evolución de la Tasa de Consultas Mentales a Escala Comunal (Consultas cada 100 mil habitantes) en la  Región de Los Lagos, Periodo 2009-2017"/>
    <m/>
    <s v="Gráfico de Evolución"/>
    <s v="Región de Los Lagos regional comuna salud mental consultas tasa cada 100 cien mil habitantes evolución"/>
    <s v="https://analytics.zoho.com/open-view/2395394000008502284?ZOHO_CRITERIA=%22Localiza%20Chile%22.%22Codreg%22%3D10"/>
    <x v="27"/>
    <s v="#1774B9"/>
  </r>
  <r>
    <s v="1484"/>
    <n v="990"/>
    <s v="Agencia Información"/>
    <s v="Salud"/>
    <n v="11"/>
    <x v="72"/>
    <x v="28"/>
    <x v="1"/>
    <x v="11"/>
    <x v="1"/>
    <x v="123"/>
    <s v="Periodo 2009-2017"/>
    <s v="Tasa"/>
    <s v="Encuestas CASEN"/>
    <s v="Evolución de la Tasa de Consultas Mentales a Escala Comunal (Consultas cada 100 mil habitantes) en la  Región de Aysén, Periodo 2009-2017"/>
    <m/>
    <s v="Gráfico de Evolución"/>
    <s v="Región de Aysén regional comuna salud mental consultas tasa cada 100 cien mil habitantes evolución"/>
    <s v="https://analytics.zoho.com/open-view/2395394000008502284?ZOHO_CRITERIA=%22Localiza%20Chile%22.%22Codreg%22%3D11"/>
    <x v="28"/>
    <s v="#1774B9"/>
  </r>
  <r>
    <s v="1485"/>
    <n v="990"/>
    <s v="Agencia Información"/>
    <s v="Salud"/>
    <n v="12"/>
    <x v="72"/>
    <x v="28"/>
    <x v="1"/>
    <x v="12"/>
    <x v="1"/>
    <x v="123"/>
    <s v="Periodo 2009-2017"/>
    <s v="Tasa"/>
    <s v="Encuestas CASEN"/>
    <s v="Evolución de la Tasa de Consultas Mentales a Escala Comunal (Consultas cada 100 mil habitantes) en la  Región de Magallanes, Periodo 2009-2017"/>
    <m/>
    <s v="Gráfico de Evolución"/>
    <s v="Región de Magallanes regional comuna salud mental consultas tasa cada 100 cien mil habitantes evolución"/>
    <s v="https://analytics.zoho.com/open-view/2395394000008502284?ZOHO_CRITERIA=%22Localiza%20Chile%22.%22Codreg%22%3D12"/>
    <x v="29"/>
    <s v="#1774B9"/>
  </r>
  <r>
    <s v="1486"/>
    <n v="990"/>
    <s v="Agencia Información"/>
    <s v="Salud"/>
    <n v="13"/>
    <x v="72"/>
    <x v="28"/>
    <x v="1"/>
    <x v="13"/>
    <x v="1"/>
    <x v="123"/>
    <s v="Periodo 2009-2017"/>
    <s v="Tasa"/>
    <s v="Encuestas CASEN"/>
    <s v="Evolución de la Tasa de Consultas Mentales a Escala Comunal (Consultas cada 100 mil habitantes) en la  Región Metropolitana, Periodo 2009-2017"/>
    <m/>
    <s v="Gráfico de Evolución"/>
    <s v="Región Metropolitana regional comuna salud mental consultas tasa cada 100 cien mil habitantes evolución"/>
    <s v="https://analytics.zoho.com/open-view/2395394000008502284?ZOHO_CRITERIA=%22Localiza%20Chile%22.%22Codreg%22%3D13"/>
    <x v="30"/>
    <s v="#1774B9"/>
  </r>
  <r>
    <s v="1487"/>
    <n v="990"/>
    <s v="Agencia Información"/>
    <s v="Salud"/>
    <n v="14"/>
    <x v="72"/>
    <x v="28"/>
    <x v="1"/>
    <x v="14"/>
    <x v="1"/>
    <x v="123"/>
    <s v="Periodo 2009-2017"/>
    <s v="Tasa"/>
    <s v="Encuestas CASEN"/>
    <s v="Evolución de la Tasa de Consultas Mentales a Escala Comunal (Consultas cada 100 mil habitantes) en la  Región de Los Ríos, Periodo 2009-2017"/>
    <m/>
    <s v="Gráfico de Evolución"/>
    <s v="Región de Los Ríos regional comuna salud mental consultas tasa cada 100 cien mil habitantes evolución"/>
    <s v="https://analytics.zoho.com/open-view/2395394000008502284?ZOHO_CRITERIA=%22Localiza%20Chile%22.%22Codreg%22%3D14"/>
    <x v="31"/>
    <s v="#1774B9"/>
  </r>
  <r>
    <s v="1488"/>
    <n v="990"/>
    <s v="Agencia Información"/>
    <s v="Salud"/>
    <n v="15"/>
    <x v="72"/>
    <x v="28"/>
    <x v="1"/>
    <x v="15"/>
    <x v="1"/>
    <x v="123"/>
    <s v="Periodo 2009-2017"/>
    <s v="Tasa"/>
    <s v="Encuestas CASEN"/>
    <s v="Evolución de la Tasa de Consultas Mentales a Escala Comunal (Consultas cada 100 mil habitantes) en la  Región de Arica y Parinacota, Periodo 2009-2017"/>
    <m/>
    <s v="Gráfico de Evolución"/>
    <s v="Región de Arica y Parinacota regional comuna salud mental consultas tasa cada 100 cien mil habitantes evolución"/>
    <s v="https://analytics.zoho.com/open-view/2395394000008502284?ZOHO_CRITERIA=%22Localiza%20Chile%22.%22Codreg%22%3D15"/>
    <x v="32"/>
    <s v="#1774B10"/>
  </r>
  <r>
    <s v="1489"/>
    <n v="990"/>
    <s v="Agencia Información"/>
    <s v="Salud"/>
    <n v="16"/>
    <x v="72"/>
    <x v="28"/>
    <x v="1"/>
    <x v="16"/>
    <x v="1"/>
    <x v="123"/>
    <s v="Periodo 2009-2017"/>
    <s v="Tasa"/>
    <s v="Encuestas CASEN"/>
    <s v="Evolución de la Tasa de Consultas Mentales a Escala Comunal (Consultas cada 100 mil habitantes) en la  Región de Ñuble, Periodo 2009-2017"/>
    <m/>
    <s v="Gráfico de Evolución"/>
    <s v="Región de Ñuble regional comuna salud mental consultas tasa cada 100 cien mil habitantes evolución"/>
    <s v="https://analytics.zoho.com/open-view/2395394000008502284?ZOHO_CRITERIA=%22Localiza%20Chile%22.%22Codreg%22%3D16"/>
    <x v="33"/>
    <s v="#1774B11"/>
  </r>
  <r>
    <s v="1490"/>
    <n v="990"/>
    <s v="Agencia Información"/>
    <s v="Tecnología, Internet y Telecomunicaciones"/>
    <n v="0"/>
    <x v="73"/>
    <x v="29"/>
    <x v="0"/>
    <x v="0"/>
    <x v="16"/>
    <x v="124"/>
    <s v="Periodo 2007-2019"/>
    <s v="Número de suscripciones"/>
    <s v="Biblioteca del Congreso Nacional"/>
    <s v="Top 10 de comunas en Chile con mayor cantidad de suscripciones a internet fija, Periodo 2007-2019"/>
    <s v="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
    <s v="Ranking"/>
    <s v="ranking conexiones internet fija chile país suscripciones comunas cantidad"/>
    <s v="https://analytics.zoho.com/open-view/2395394000008435350"/>
    <x v="17"/>
    <s v="#1774B12"/>
  </r>
  <r>
    <s v="1491"/>
    <n v="990"/>
    <s v="Agencia Información"/>
    <s v="Tecnología, Internet y Telecomunicaciones"/>
    <n v="0"/>
    <x v="73"/>
    <x v="29"/>
    <x v="0"/>
    <x v="0"/>
    <x v="0"/>
    <x v="124"/>
    <s v="Año 2019"/>
    <s v="Número de suscripciones"/>
    <s v="Biblioteca del Congreso Nacional"/>
    <s v="Mapa de cantidad de conexiones a internet fija en Chile, Año 2019"/>
    <s v="En el año 2019, la comuna de la región de Coquimbo que poseía la mayor cantidad de conexiones internet fija, fue la comuna de Combarbalá, con 70.319 conexiones, mientras por su lado en segundo lugar viene la comuna de La Serena, con 60,752 conexiones."/>
    <s v="Mapa de calor"/>
    <s v="Chile conexión internet fija comuna región conexiones suscripciones país"/>
    <s v="https://analytics.zoho.com/open-view/2395394000008438417"/>
    <x v="0"/>
    <s v="#1774B13"/>
  </r>
  <r>
    <s v="1492"/>
    <n v="990"/>
    <s v="Agencia Información"/>
    <s v="Tecnología, Internet y Telecomunicaciones"/>
    <n v="1"/>
    <x v="73"/>
    <x v="29"/>
    <x v="1"/>
    <x v="1"/>
    <x v="1"/>
    <x v="124"/>
    <s v="Año 2019"/>
    <s v="Número de suscripciones"/>
    <s v="Biblioteca del Congreso Nacional"/>
    <s v="Mapa de cantidad de conexiones a internet fija en la Región de Tarapacá, Año 2019"/>
    <m/>
    <s v="Mapa de calor"/>
    <s v="Región de Tarapacá conexión internet fija comuna región conexiones suscripciones "/>
    <s v="https://analytics.zoho.com/open-view/2395394000008435500?ZOHO_CRITERIA=%22Conexi%C3%B3n_Internet_fija%22.%22Codreg%22%3D1"/>
    <x v="18"/>
    <s v="#1774B14"/>
  </r>
  <r>
    <s v="1493"/>
    <n v="990"/>
    <s v="Agencia Información"/>
    <s v="Tecnología, Internet y Telecomunicaciones"/>
    <n v="2"/>
    <x v="73"/>
    <x v="29"/>
    <x v="1"/>
    <x v="2"/>
    <x v="1"/>
    <x v="124"/>
    <s v="Año 2019"/>
    <s v="Número de suscripciones"/>
    <s v="Biblioteca del Congreso Nacional"/>
    <s v="Mapa de cantidad de conexiones a internet fija en la Región de Antofagasta, Año 2019"/>
    <m/>
    <s v="Mapa de calor"/>
    <s v="Región de Antofagasta conexión internet fija comuna región conexiones suscripciones "/>
    <s v="https://analytics.zoho.com/open-view/2395394000008435500?ZOHO_CRITERIA=%22Conexi%C3%B3n_Internet_fija%22.%22Codreg%22%3D2"/>
    <x v="19"/>
    <s v="#1774B15"/>
  </r>
  <r>
    <s v="1494"/>
    <n v="990"/>
    <s v="Agencia Información"/>
    <s v="Tecnología, Internet y Telecomunicaciones"/>
    <n v="3"/>
    <x v="73"/>
    <x v="29"/>
    <x v="1"/>
    <x v="3"/>
    <x v="1"/>
    <x v="124"/>
    <s v="Año 2019"/>
    <s v="Número de suscripciones"/>
    <s v="Biblioteca del Congreso Nacional"/>
    <s v="Mapa de cantidad de conexiones a internet fija en la Región de Atacama, Año 2019"/>
    <m/>
    <s v="Mapa de calor"/>
    <s v="Región de Atacama conexión internet fija comuna región conexiones suscripciones "/>
    <s v="https://analytics.zoho.com/open-view/2395394000008435500?ZOHO_CRITERIA=%22Conexi%C3%B3n_Internet_fija%22.%22Codreg%22%3D3"/>
    <x v="20"/>
    <s v="#1774B16"/>
  </r>
  <r>
    <s v="1495"/>
    <n v="990"/>
    <s v="Agencia Información"/>
    <s v="Tecnología, Internet y Telecomunicaciones"/>
    <n v="4"/>
    <x v="73"/>
    <x v="29"/>
    <x v="1"/>
    <x v="4"/>
    <x v="1"/>
    <x v="124"/>
    <s v="Año 2019"/>
    <s v="Número de suscripciones"/>
    <s v="Biblioteca del Congreso Nacional"/>
    <s v="Mapa de cantidad de conexiones a internet fija en la Región de Coquimbo, Año 2019"/>
    <m/>
    <s v="Mapa de calor"/>
    <s v="Región de Coquimbo conexión internet fija comuna región conexiones suscripciones "/>
    <s v="https://analytics.zoho.com/open-view/2395394000008435500?ZOHO_CRITERIA=%22Conexi%C3%B3n_Internet_fija%22.%22Codreg%22%3D4"/>
    <x v="21"/>
    <s v="#1774B17"/>
  </r>
  <r>
    <s v="1496"/>
    <n v="990"/>
    <s v="Agencia Información"/>
    <s v="Tecnología, Internet y Telecomunicaciones"/>
    <n v="5"/>
    <x v="73"/>
    <x v="29"/>
    <x v="1"/>
    <x v="5"/>
    <x v="1"/>
    <x v="124"/>
    <s v="Año 2019"/>
    <s v="Número de suscripciones"/>
    <s v="Biblioteca del Congreso Nacional"/>
    <s v="Mapa de cantidad de conexiones a internet fija en la Región de Valparaíso, Año 2019"/>
    <m/>
    <s v="Mapa de calor"/>
    <s v="Región de Valparaíso conexión internet fija comuna región conexiones suscripciones "/>
    <s v="https://analytics.zoho.com/open-view/2395394000008435500?ZOHO_CRITERIA=%22Conexi%C3%B3n_Internet_fija%22.%22Codreg%22%3D5"/>
    <x v="22"/>
    <s v="#1774B18"/>
  </r>
  <r>
    <s v="1497"/>
    <n v="990"/>
    <s v="Agencia Información"/>
    <s v="Tecnología, Internet y Telecomunicaciones"/>
    <n v="6"/>
    <x v="73"/>
    <x v="29"/>
    <x v="1"/>
    <x v="6"/>
    <x v="1"/>
    <x v="124"/>
    <s v="Año 2019"/>
    <s v="Número de suscripciones"/>
    <s v="Biblioteca del Congreso Nacional"/>
    <s v="Mapa de cantidad de conexiones a internet fija en la Región de O'Higgins, Año 2019"/>
    <m/>
    <s v="Mapa de calor"/>
    <s v="Región de O'Higgins conexión internet fija comuna región conexiones suscripciones "/>
    <s v="https://analytics.zoho.com/open-view/2395394000008435500?ZOHO_CRITERIA=%22Conexi%C3%B3n_Internet_fija%22.%22Codreg%22%3D6"/>
    <x v="23"/>
    <s v="#1774B19"/>
  </r>
  <r>
    <s v="1498"/>
    <n v="990"/>
    <s v="Agencia Información"/>
    <s v="Tecnología, Internet y Telecomunicaciones"/>
    <n v="7"/>
    <x v="73"/>
    <x v="29"/>
    <x v="1"/>
    <x v="7"/>
    <x v="1"/>
    <x v="124"/>
    <s v="Año 2019"/>
    <s v="Número de suscripciones"/>
    <s v="Biblioteca del Congreso Nacional"/>
    <s v="Mapa de cantidad de conexiones a internet fija en la Región de Maule, Año 2019"/>
    <m/>
    <s v="Mapa de calor"/>
    <s v="Región de Maule conexión internet fija comuna región conexiones suscripciones "/>
    <s v="https://analytics.zoho.com/open-view/2395394000008435500?ZOHO_CRITERIA=%22Conexi%C3%B3n_Internet_fija%22.%22Codreg%22%3D7"/>
    <x v="24"/>
    <s v="#1774B20"/>
  </r>
  <r>
    <s v="1499"/>
    <n v="990"/>
    <s v="Agencia Información"/>
    <s v="Tecnología, Internet y Telecomunicaciones"/>
    <n v="8"/>
    <x v="73"/>
    <x v="29"/>
    <x v="1"/>
    <x v="8"/>
    <x v="1"/>
    <x v="124"/>
    <s v="Año 2019"/>
    <s v="Número de suscripciones"/>
    <s v="Biblioteca del Congreso Nacional"/>
    <s v="Mapa de cantidad de conexiones a internet fija en la Región del Biobío, Año 2019"/>
    <m/>
    <s v="Mapa de calor"/>
    <s v="Región del Biobío conexión internet fija comuna región conexiones suscripciones "/>
    <s v="https://analytics.zoho.com/open-view/2395394000008435500?ZOHO_CRITERIA=%22Conexi%C3%B3n_Internet_fija%22.%22Codreg%22%3D8"/>
    <x v="25"/>
    <s v="#1774B21"/>
  </r>
  <r>
    <s v="1500"/>
    <n v="990"/>
    <s v="Agencia Información"/>
    <s v="Tecnología, Internet y Telecomunicaciones"/>
    <n v="9"/>
    <x v="73"/>
    <x v="29"/>
    <x v="1"/>
    <x v="9"/>
    <x v="1"/>
    <x v="124"/>
    <s v="Año 2019"/>
    <s v="Número de suscripciones"/>
    <s v="Biblioteca del Congreso Nacional"/>
    <s v="Mapa de cantidad de conexiones a internet fija en la Región de La Araucanía, Año 2019"/>
    <m/>
    <s v="Mapa de calor"/>
    <s v="Región de La Araucanía conexión internet fija comuna región conexiones suscripciones "/>
    <s v="https://analytics.zoho.com/open-view/2395394000008435500?ZOHO_CRITERIA=%22Conexi%C3%B3n_Internet_fija%22.%22Codreg%22%3D9"/>
    <x v="26"/>
    <s v="#1774B22"/>
  </r>
  <r>
    <s v="1501"/>
    <n v="990"/>
    <s v="Agencia Información"/>
    <s v="Tecnología, Internet y Telecomunicaciones"/>
    <n v="10"/>
    <x v="73"/>
    <x v="29"/>
    <x v="1"/>
    <x v="10"/>
    <x v="1"/>
    <x v="124"/>
    <s v="Año 2019"/>
    <s v="Número de suscripciones"/>
    <s v="Biblioteca del Congreso Nacional"/>
    <s v="Mapa de cantidad de conexiones a internet fija en la Región de Los Lagos, Año 2019"/>
    <m/>
    <s v="Mapa de calor"/>
    <s v="Región de Los Lagos conexión internet fija comuna región conexiones suscripciones "/>
    <s v="https://analytics.zoho.com/open-view/2395394000008435500?ZOHO_CRITERIA=%22Conexi%C3%B3n_Internet_fija%22.%22Codreg%22%3D10"/>
    <x v="27"/>
    <s v="#1774B23"/>
  </r>
  <r>
    <s v="1502"/>
    <n v="990"/>
    <s v="Agencia Información"/>
    <s v="Tecnología, Internet y Telecomunicaciones"/>
    <n v="11"/>
    <x v="73"/>
    <x v="29"/>
    <x v="1"/>
    <x v="11"/>
    <x v="1"/>
    <x v="124"/>
    <s v="Año 2019"/>
    <s v="Número de suscripciones"/>
    <s v="Biblioteca del Congreso Nacional"/>
    <s v="Mapa de cantidad de conexiones a internet fija en la Región de Aysén, Año 2019"/>
    <m/>
    <s v="Mapa de calor"/>
    <s v="Región de Aysén conexión internet fija comuna región conexiones suscripciones "/>
    <s v="https://analytics.zoho.com/open-view/2395394000008435500?ZOHO_CRITERIA=%22Conexi%C3%B3n_Internet_fija%22.%22Codreg%22%3D11"/>
    <x v="28"/>
    <s v="#1774B24"/>
  </r>
  <r>
    <s v="1503"/>
    <n v="990"/>
    <s v="Agencia Información"/>
    <s v="Tecnología, Internet y Telecomunicaciones"/>
    <n v="12"/>
    <x v="73"/>
    <x v="29"/>
    <x v="1"/>
    <x v="12"/>
    <x v="1"/>
    <x v="124"/>
    <s v="Año 2019"/>
    <s v="Número de suscripciones"/>
    <s v="Biblioteca del Congreso Nacional"/>
    <s v="Mapa de cantidad de conexiones a internet fija en la Región de Magallanes, Año 2019"/>
    <m/>
    <s v="Mapa de calor"/>
    <s v="Región de Magallanes conexión internet fija comuna región conexiones suscripciones "/>
    <s v="https://analytics.zoho.com/open-view/2395394000008435500?ZOHO_CRITERIA=%22Conexi%C3%B3n_Internet_fija%22.%22Codreg%22%3D12"/>
    <x v="29"/>
    <s v="#1774B25"/>
  </r>
  <r>
    <s v="1504"/>
    <n v="990"/>
    <s v="Agencia Información"/>
    <s v="Tecnología, Internet y Telecomunicaciones"/>
    <n v="13"/>
    <x v="73"/>
    <x v="29"/>
    <x v="1"/>
    <x v="13"/>
    <x v="1"/>
    <x v="124"/>
    <s v="Año 2019"/>
    <s v="Número de suscripciones"/>
    <s v="Biblioteca del Congreso Nacional"/>
    <s v="Mapa de cantidad de conexiones a internet fija en la Región Metropolitana, Año 2019"/>
    <m/>
    <s v="Mapa de calor"/>
    <s v="Región Metropolitana conexión internet fija comuna región conexiones suscripciones "/>
    <s v="https://analytics.zoho.com/open-view/2395394000008435500?ZOHO_CRITERIA=%22Conexi%C3%B3n_Internet_fija%22.%22Codreg%22%3D13"/>
    <x v="30"/>
    <s v="#1774B26"/>
  </r>
  <r>
    <s v="1505"/>
    <n v="990"/>
    <s v="Agencia Información"/>
    <s v="Tecnología, Internet y Telecomunicaciones"/>
    <n v="14"/>
    <x v="73"/>
    <x v="29"/>
    <x v="1"/>
    <x v="14"/>
    <x v="1"/>
    <x v="124"/>
    <s v="Año 2019"/>
    <s v="Número de suscripciones"/>
    <s v="Biblioteca del Congreso Nacional"/>
    <s v="Mapa de cantidad de conexiones a internet fija en la Región de Los Ríos, Año 2019"/>
    <m/>
    <s v="Mapa de calor"/>
    <s v="Región de Los Ríos conexión internet fija comuna región conexiones suscripciones "/>
    <s v="https://analytics.zoho.com/open-view/2395394000008435500?ZOHO_CRITERIA=%22Conexi%C3%B3n_Internet_fija%22.%22Codreg%22%3D14"/>
    <x v="31"/>
    <s v="#1774B27"/>
  </r>
  <r>
    <s v="1506"/>
    <n v="990"/>
    <s v="Agencia Información"/>
    <s v="Tecnología, Internet y Telecomunicaciones"/>
    <n v="15"/>
    <x v="73"/>
    <x v="29"/>
    <x v="1"/>
    <x v="15"/>
    <x v="1"/>
    <x v="124"/>
    <s v="Año 2019"/>
    <s v="Número de suscripciones"/>
    <s v="Biblioteca del Congreso Nacional"/>
    <s v="Mapa de cantidad de conexiones a internet fija en la Región de Arica y Parinacota, Año 2019"/>
    <m/>
    <s v="Mapa de calor"/>
    <s v="Región de Arica y Parinacota conexión internet fija comuna región conexiones suscripciones "/>
    <s v="https://analytics.zoho.com/open-view/2395394000008435500?ZOHO_CRITERIA=%22Conexi%C3%B3n_Internet_fija%22.%22Codreg%22%3D15"/>
    <x v="32"/>
    <s v="#1774B28"/>
  </r>
  <r>
    <s v="1507"/>
    <n v="990"/>
    <s v="Agencia Información"/>
    <s v="Tecnología, Internet y Telecomunicaciones"/>
    <n v="16"/>
    <x v="73"/>
    <x v="29"/>
    <x v="1"/>
    <x v="16"/>
    <x v="1"/>
    <x v="124"/>
    <s v="Año 2019"/>
    <s v="Número de suscripciones"/>
    <s v="Biblioteca del Congreso Nacional"/>
    <s v="Mapa de cantidad de conexiones a internet fija en la Región de Ñuble, Año 2019"/>
    <m/>
    <s v="Mapa de calor"/>
    <s v="Región de Ñuble conexión internet fija comuna región conexiones suscripciones "/>
    <s v="https://analytics.zoho.com/open-view/2395394000008435500?ZOHO_CRITERIA=%22Conexi%C3%B3n_Internet_fija%22.%22Codreg%22%3D16"/>
    <x v="33"/>
    <s v="#1774B29"/>
  </r>
  <r>
    <s v="1508"/>
    <n v="990"/>
    <s v="Agencia Información"/>
    <s v="Tecnología, Internet y Telecomunicaciones"/>
    <n v="0"/>
    <x v="74"/>
    <x v="30"/>
    <x v="0"/>
    <x v="0"/>
    <x v="2"/>
    <x v="125"/>
    <s v="Periodo 2007-2019"/>
    <s v="Número de suscripciones"/>
    <s v="Biblioteca del Congreso Nacional"/>
    <s v="Evolución de los suscriptores de televisión de pago en Chile, Periodo 2007-2019"/>
    <s v="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
    <s v="Gráfico de Evolución"/>
    <s v="cantidad suscripciones televisión pago regional región comuna Chile"/>
    <s v="https://analytics.zoho.com/open-view/2395394000008461424"/>
    <x v="17"/>
    <s v="#1774B30"/>
  </r>
  <r>
    <s v="1509"/>
    <n v="990"/>
    <s v="Agencia Información"/>
    <s v="Tecnología, Internet y Telecomunicaciones"/>
    <n v="1"/>
    <x v="74"/>
    <x v="30"/>
    <x v="1"/>
    <x v="1"/>
    <x v="3"/>
    <x v="126"/>
    <s v="Periodo 2007-2019"/>
    <s v="Número de suscripciones"/>
    <s v="Biblioteca del Congreso Nacional"/>
    <s v="Evolución de los suscriptores de televisión de pago en la Región de Tarapacá, Periodo 2007-2019"/>
    <m/>
    <s v="Gráfico de Evolución"/>
    <s v="región de Tarapacá cantidad suscripciones televisión pago regional comuna Chile"/>
    <s v="https://analytics.zoho.com/open-view/2395394000008434853?ZOHO_CRITERIA=%22Televisi%C3%B3n_Pago%22.%22CodRegi%C3%B3n%22%3D1"/>
    <x v="18"/>
    <s v="#1774B31"/>
  </r>
  <r>
    <s v="1510"/>
    <n v="990"/>
    <s v="Agencia Información"/>
    <s v="Tecnología, Internet y Telecomunicaciones"/>
    <n v="2"/>
    <x v="74"/>
    <x v="30"/>
    <x v="1"/>
    <x v="2"/>
    <x v="3"/>
    <x v="126"/>
    <s v="Periodo 2007-2019"/>
    <s v="Número de suscripciones"/>
    <s v="Biblioteca del Congreso Nacional"/>
    <s v="Evolución de los suscriptores de televisión de pago en la Región de Antofagasta, Periodo 2007-2019"/>
    <m/>
    <s v="Gráfico de Evolución"/>
    <s v="región de Antofagasta cantidad suscripciones televisión pago regional comuna Chile"/>
    <s v="https://analytics.zoho.com/open-view/2395394000008434853?ZOHO_CRITERIA=%22Televisi%C3%B3n_Pago%22.%22CodRegi%C3%B3n%22%3D2"/>
    <x v="19"/>
    <s v="#1774B32"/>
  </r>
  <r>
    <s v="1511"/>
    <n v="990"/>
    <s v="Agencia Información"/>
    <s v="Tecnología, Internet y Telecomunicaciones"/>
    <n v="3"/>
    <x v="74"/>
    <x v="30"/>
    <x v="1"/>
    <x v="3"/>
    <x v="3"/>
    <x v="126"/>
    <s v="Periodo 2007-2019"/>
    <s v="Número de suscripciones"/>
    <s v="Biblioteca del Congreso Nacional"/>
    <s v="Evolución de los suscriptores de televisión de pago en la Región de Atacama, Periodo 2007-2019"/>
    <m/>
    <s v="Gráfico de Evolución"/>
    <s v="región de Atacama cantidad suscripciones televisión pago regional comuna Chile"/>
    <s v="https://analytics.zoho.com/open-view/2395394000008434853?ZOHO_CRITERIA=%22Televisi%C3%B3n_Pago%22.%22CodRegi%C3%B3n%22%3D3"/>
    <x v="20"/>
    <s v="#1774B33"/>
  </r>
  <r>
    <s v="1512"/>
    <n v="990"/>
    <s v="Agencia Información"/>
    <s v="Tecnología, Internet y Telecomunicaciones"/>
    <n v="4"/>
    <x v="74"/>
    <x v="30"/>
    <x v="1"/>
    <x v="4"/>
    <x v="3"/>
    <x v="126"/>
    <s v="Periodo 2007-2019"/>
    <s v="Número de suscripciones"/>
    <s v="Biblioteca del Congreso Nacional"/>
    <s v="Evolución de los suscriptores de televisión de pago en la Región de Coquimbo, Periodo 2007-2019"/>
    <m/>
    <s v="Gráfico de Evolución"/>
    <s v="región de Coquimbo cantidad suscripciones televisión pago regional comuna Chile"/>
    <s v="https://analytics.zoho.com/open-view/2395394000008434853?ZOHO_CRITERIA=%22Televisi%C3%B3n_Pago%22.%22CodRegi%C3%B3n%22%3D4"/>
    <x v="21"/>
    <s v="#1774B34"/>
  </r>
  <r>
    <s v="1513"/>
    <n v="990"/>
    <s v="Agencia Información"/>
    <s v="Tecnología, Internet y Telecomunicaciones"/>
    <n v="5"/>
    <x v="74"/>
    <x v="30"/>
    <x v="1"/>
    <x v="5"/>
    <x v="3"/>
    <x v="126"/>
    <s v="Periodo 2007-2019"/>
    <s v="Número de suscripciones"/>
    <s v="Biblioteca del Congreso Nacional"/>
    <s v="Evolución de los suscriptores de televisión de pago en la Región de Valparaíso, Periodo 2007-2019"/>
    <m/>
    <s v="Gráfico de Evolución"/>
    <s v="región de Valparaíso cantidad suscripciones televisión pago regional comuna Chile"/>
    <s v="https://analytics.zoho.com/open-view/2395394000008434853?ZOHO_CRITERIA=%22Televisi%C3%B3n_Pago%22.%22CodRegi%C3%B3n%22%3D5"/>
    <x v="22"/>
    <s v="#1774B35"/>
  </r>
  <r>
    <s v="1514"/>
    <n v="990"/>
    <s v="Agencia Información"/>
    <s v="Tecnología, Internet y Telecomunicaciones"/>
    <n v="6"/>
    <x v="74"/>
    <x v="30"/>
    <x v="1"/>
    <x v="6"/>
    <x v="3"/>
    <x v="126"/>
    <s v="Periodo 2007-2019"/>
    <s v="Número de suscripciones"/>
    <s v="Biblioteca del Congreso Nacional"/>
    <s v="Evolución de los suscriptores de televisión de pago en la Región de O'Higgins, Periodo 2007-2019"/>
    <m/>
    <s v="Gráfico de Evolución"/>
    <s v="región de O'Higgins cantidad suscripciones televisión pago regional comuna Chile"/>
    <s v="https://analytics.zoho.com/open-view/2395394000008434853?ZOHO_CRITERIA=%22Televisi%C3%B3n_Pago%22.%22CodRegi%C3%B3n%22%3D6"/>
    <x v="23"/>
    <s v="#1774B36"/>
  </r>
  <r>
    <s v="1515"/>
    <n v="990"/>
    <s v="Agencia Información"/>
    <s v="Tecnología, Internet y Telecomunicaciones"/>
    <n v="7"/>
    <x v="74"/>
    <x v="30"/>
    <x v="1"/>
    <x v="7"/>
    <x v="3"/>
    <x v="126"/>
    <s v="Periodo 2007-2019"/>
    <s v="Número de suscripciones"/>
    <s v="Biblioteca del Congreso Nacional"/>
    <s v="Evolución de los suscriptores de televisión de pago en la Región de Maule, Periodo 2007-2019"/>
    <m/>
    <s v="Gráfico de Evolución"/>
    <s v="región de Maule cantidad suscripciones televisión pago regional comuna Chile"/>
    <s v="https://analytics.zoho.com/open-view/2395394000008434853?ZOHO_CRITERIA=%22Televisi%C3%B3n_Pago%22.%22CodRegi%C3%B3n%22%3D7"/>
    <x v="24"/>
    <s v="#1774B37"/>
  </r>
  <r>
    <s v="1516"/>
    <n v="990"/>
    <s v="Agencia Información"/>
    <s v="Tecnología, Internet y Telecomunicaciones"/>
    <n v="8"/>
    <x v="74"/>
    <x v="30"/>
    <x v="1"/>
    <x v="8"/>
    <x v="3"/>
    <x v="126"/>
    <s v="Periodo 2007-2019"/>
    <s v="Número de suscripciones"/>
    <s v="Biblioteca del Congreso Nacional"/>
    <s v="Evolución de los suscriptores de televisión de pago en la Región del Biobío, Periodo 2007-2019"/>
    <m/>
    <s v="Gráfico de Evolución"/>
    <s v="región del Biobío cantidad suscripciones televisión pago regional comuna Chile"/>
    <s v="https://analytics.zoho.com/open-view/2395394000008434853?ZOHO_CRITERIA=%22Televisi%C3%B3n_Pago%22.%22CodRegi%C3%B3n%22%3D8"/>
    <x v="25"/>
    <s v="#1774B38"/>
  </r>
  <r>
    <s v="1517"/>
    <n v="990"/>
    <s v="Agencia Información"/>
    <s v="Tecnología, Internet y Telecomunicaciones"/>
    <n v="9"/>
    <x v="74"/>
    <x v="30"/>
    <x v="1"/>
    <x v="9"/>
    <x v="3"/>
    <x v="126"/>
    <s v="Periodo 2007-2019"/>
    <s v="Número de suscripciones"/>
    <s v="Biblioteca del Congreso Nacional"/>
    <s v="Evolución de los suscriptores de televisión de pago en la Región de La Araucanía, Periodo 2007-2019"/>
    <m/>
    <s v="Gráfico de Evolución"/>
    <s v="región de La Araucanía cantidad suscripciones televisión pago regional comuna Chile"/>
    <s v="https://analytics.zoho.com/open-view/2395394000008434853?ZOHO_CRITERIA=%22Televisi%C3%B3n_Pago%22.%22CodRegi%C3%B3n%22%3D9"/>
    <x v="26"/>
    <s v="#1774B39"/>
  </r>
  <r>
    <s v="1518"/>
    <n v="990"/>
    <s v="Agencia Información"/>
    <s v="Tecnología, Internet y Telecomunicaciones"/>
    <n v="10"/>
    <x v="74"/>
    <x v="30"/>
    <x v="1"/>
    <x v="10"/>
    <x v="3"/>
    <x v="126"/>
    <s v="Periodo 2007-2019"/>
    <s v="Número de suscripciones"/>
    <s v="Biblioteca del Congreso Nacional"/>
    <s v="Evolución de los suscriptores de televisión de pago en la Región de Los Lagos, Periodo 2007-2019"/>
    <m/>
    <s v="Gráfico de Evolución"/>
    <s v="región de Los Lagos cantidad suscripciones televisión pago regional comuna Chile"/>
    <s v="https://analytics.zoho.com/open-view/2395394000008434853?ZOHO_CRITERIA=%22Televisi%C3%B3n_Pago%22.%22CodRegi%C3%B3n%22%3D10"/>
    <x v="27"/>
    <s v="#1774B40"/>
  </r>
  <r>
    <s v="1519"/>
    <n v="990"/>
    <s v="Agencia Información"/>
    <s v="Tecnología, Internet y Telecomunicaciones"/>
    <n v="11"/>
    <x v="74"/>
    <x v="30"/>
    <x v="1"/>
    <x v="11"/>
    <x v="3"/>
    <x v="126"/>
    <s v="Periodo 2007-2019"/>
    <s v="Número de suscripciones"/>
    <s v="Biblioteca del Congreso Nacional"/>
    <s v="Evolución de los suscriptores de televisión de pago en la Región de Aysén, Periodo 2007-2019"/>
    <m/>
    <s v="Gráfico de Evolución"/>
    <s v="región de Aysén cantidad suscripciones televisión pago regional comuna Chile"/>
    <s v="https://analytics.zoho.com/open-view/2395394000008434853?ZOHO_CRITERIA=%22Televisi%C3%B3n_Pago%22.%22CodRegi%C3%B3n%22%3D11"/>
    <x v="28"/>
    <s v="#1774B41"/>
  </r>
  <r>
    <s v="1520"/>
    <n v="990"/>
    <s v="Agencia Información"/>
    <s v="Tecnología, Internet y Telecomunicaciones"/>
    <n v="12"/>
    <x v="74"/>
    <x v="30"/>
    <x v="1"/>
    <x v="12"/>
    <x v="3"/>
    <x v="126"/>
    <s v="Periodo 2007-2019"/>
    <s v="Número de suscripciones"/>
    <s v="Biblioteca del Congreso Nacional"/>
    <s v="Evolución de los suscriptores de televisión de pago en la Región de Magallanes, Periodo 2007-2019"/>
    <m/>
    <s v="Gráfico de Evolución"/>
    <s v="región de Magallanes cantidad suscripciones televisión pago regional comuna Chile"/>
    <s v="https://analytics.zoho.com/open-view/2395394000008434853?ZOHO_CRITERIA=%22Televisi%C3%B3n_Pago%22.%22CodRegi%C3%B3n%22%3D12"/>
    <x v="29"/>
    <s v="#1774B42"/>
  </r>
  <r>
    <s v="1521"/>
    <n v="990"/>
    <s v="Agencia Información"/>
    <s v="Tecnología, Internet y Telecomunicaciones"/>
    <n v="13"/>
    <x v="74"/>
    <x v="30"/>
    <x v="1"/>
    <x v="13"/>
    <x v="3"/>
    <x v="126"/>
    <s v="Periodo 2007-2019"/>
    <s v="Número de suscripciones"/>
    <s v="Biblioteca del Congreso Nacional"/>
    <s v="Evolución de los suscriptores de televisión de pago en la Región Metropolitana, Periodo 2007-2019"/>
    <m/>
    <s v="Gráfico de Evolución"/>
    <s v="región Metropolitana cantidad suscripciones televisión pago regional comuna Chile"/>
    <s v="https://analytics.zoho.com/open-view/2395394000008434853?ZOHO_CRITERIA=%22Televisi%C3%B3n_Pago%22.%22CodRegi%C3%B3n%22%3D13"/>
    <x v="30"/>
    <s v="#1774B43"/>
  </r>
  <r>
    <s v="1522"/>
    <n v="990"/>
    <s v="Agencia Información"/>
    <s v="Tecnología, Internet y Telecomunicaciones"/>
    <n v="14"/>
    <x v="74"/>
    <x v="30"/>
    <x v="1"/>
    <x v="14"/>
    <x v="3"/>
    <x v="126"/>
    <s v="Periodo 2007-2019"/>
    <s v="Número de suscripciones"/>
    <s v="Biblioteca del Congreso Nacional"/>
    <s v="Evolución de los suscriptores de televisión de pago en la Región de Los Ríos, Periodo 2007-2019"/>
    <m/>
    <s v="Gráfico de Evolución"/>
    <s v="región de Los Ríos cantidad suscripciones televisión pago regional comuna Chile"/>
    <s v="https://analytics.zoho.com/open-view/2395394000008434853?ZOHO_CRITERIA=%22Televisi%C3%B3n_Pago%22.%22CodRegi%C3%B3n%22%3D14"/>
    <x v="31"/>
    <s v="#1774B44"/>
  </r>
  <r>
    <s v="1523"/>
    <n v="990"/>
    <s v="Agencia Información"/>
    <s v="Tecnología, Internet y Telecomunicaciones"/>
    <n v="15"/>
    <x v="74"/>
    <x v="30"/>
    <x v="1"/>
    <x v="15"/>
    <x v="3"/>
    <x v="126"/>
    <s v="Periodo 2007-2019"/>
    <s v="Número de suscripciones"/>
    <s v="Biblioteca del Congreso Nacional"/>
    <s v="Evolución de los suscriptores de televisión de pago en la Región de Arica y Parinacota, Periodo 2007-2019"/>
    <m/>
    <s v="Gráfico de Evolución"/>
    <s v="región de Arica y Parinacota cantidad suscripciones televisión pago regional comuna Chile"/>
    <s v="https://analytics.zoho.com/open-view/2395394000008434853?ZOHO_CRITERIA=%22Televisi%C3%B3n_Pago%22.%22CodRegi%C3%B3n%22%3D15"/>
    <x v="32"/>
    <s v="#1774B45"/>
  </r>
  <r>
    <s v="1524"/>
    <n v="990"/>
    <s v="Agencia Información"/>
    <s v="Tecnología, Internet y Telecomunicaciones"/>
    <n v="16"/>
    <x v="74"/>
    <x v="30"/>
    <x v="1"/>
    <x v="16"/>
    <x v="3"/>
    <x v="126"/>
    <s v="Periodo 2007-2019"/>
    <s v="Número de suscripciones"/>
    <s v="Biblioteca del Congreso Nacional"/>
    <s v="Evolución de los suscriptores de televisión de pago en la Región de Ñuble, Periodo 2007-2019"/>
    <m/>
    <s v="Gráfico de Evolución"/>
    <s v="región de Ñuble cantidad suscripciones televisión pago regional comuna Chile"/>
    <s v="https://analytics.zoho.com/open-view/2395394000008434853?ZOHO_CRITERIA=%22Televisi%C3%B3n_Pago%22.%22CodRegi%C3%B3n%22%3D16"/>
    <x v="33"/>
    <s v="#1774B46"/>
  </r>
  <r>
    <s v="1525"/>
    <n v="990"/>
    <s v="Agencia Información"/>
    <s v="Tecnología, Internet y Telecomunicaciones"/>
    <n v="0"/>
    <x v="74"/>
    <x v="30"/>
    <x v="0"/>
    <x v="0"/>
    <x v="0"/>
    <x v="125"/>
    <s v="Año 2019"/>
    <s v="Número de suscripciones"/>
    <s v="Biblioteca del Congreso Nacional"/>
    <s v="Comunas por región con la mayor cantidad de suscripciones de televisión de pago, Año 2019"/>
    <s v="En el año 2019, en la región de Magallanes, la comuna con mayor cantidad de suscripciones a televisión de pago, fue la de Punta Arenas, con 26.196 suscripciones. mientras que en segundo lugar viene la comuna de Natales con 4.562 suscripciones. "/>
    <s v="Nube de palabras"/>
    <s v="ranking suscripciones televisión pago regional comuna año 2019 país Chile"/>
    <s v="https://analytics.zoho.com/open-view/2395394000008435117"/>
    <x v="0"/>
    <s v="#1774B47"/>
  </r>
  <r>
    <s v="1526"/>
    <n v="990"/>
    <s v="Agencia Información"/>
    <s v="Tecnología, Internet y Telecomunicaciones"/>
    <n v="1"/>
    <x v="74"/>
    <x v="30"/>
    <x v="1"/>
    <x v="1"/>
    <x v="1"/>
    <x v="126"/>
    <s v="Año 2019"/>
    <s v="Número de suscripciones"/>
    <s v="Biblioteca del Congreso Nacional"/>
    <s v="Comunas de la región de Tarapacá con la mayor cantidad de suscripciones de televisión de pago, Año 2019"/>
    <m/>
    <s v="Nube de palabras"/>
    <s v="región de Tarapacá ranking suscripciones televisión pago comuna año 2019 país Chile"/>
    <s v="https://analytics.zoho.com/open-view/2395394000008511008?ZOHO_CRITERIA=%22Televisi%C3%B3n_Pago%22.%22CodRegi%C3%B3n%22%3D1"/>
    <x v="18"/>
    <s v="#1774B48"/>
  </r>
  <r>
    <s v="1527"/>
    <n v="990"/>
    <s v="Agencia Información"/>
    <s v="Tecnología, Internet y Telecomunicaciones"/>
    <n v="2"/>
    <x v="74"/>
    <x v="30"/>
    <x v="1"/>
    <x v="2"/>
    <x v="1"/>
    <x v="126"/>
    <s v="Año 2019"/>
    <s v="Número de suscripciones"/>
    <s v="Biblioteca del Congreso Nacional"/>
    <s v="Comunas de la región de Antofagasta con la mayor cantidad de suscripciones de televisión de pago, Año 2019"/>
    <m/>
    <s v="Nube de palabras"/>
    <s v="región de Antofagasta ranking suscripciones televisión pago comuna año 2019 país Chile"/>
    <s v="https://analytics.zoho.com/open-view/2395394000008511008?ZOHO_CRITERIA=%22Televisi%C3%B3n_Pago%22.%22CodRegi%C3%B3n%22%3D2"/>
    <x v="19"/>
    <s v="#1774B49"/>
  </r>
  <r>
    <s v="1528"/>
    <n v="990"/>
    <s v="Agencia Información"/>
    <s v="Tecnología, Internet y Telecomunicaciones"/>
    <n v="3"/>
    <x v="74"/>
    <x v="30"/>
    <x v="1"/>
    <x v="3"/>
    <x v="1"/>
    <x v="126"/>
    <s v="Año 2019"/>
    <s v="Número de suscripciones"/>
    <s v="Biblioteca del Congreso Nacional"/>
    <s v="Comunas de la región de Atacama con la mayor cantidad de suscripciones de televisión de pago, Año 2019"/>
    <m/>
    <s v="Nube de palabras"/>
    <s v="región de Atacama ranking suscripciones televisión pago comuna año 2019 país Chile"/>
    <s v="https://analytics.zoho.com/open-view/2395394000008511008?ZOHO_CRITERIA=%22Televisi%C3%B3n_Pago%22.%22CodRegi%C3%B3n%22%3D3"/>
    <x v="20"/>
    <s v="#1774B50"/>
  </r>
  <r>
    <s v="1529"/>
    <n v="990"/>
    <s v="Agencia Información"/>
    <s v="Tecnología, Internet y Telecomunicaciones"/>
    <n v="4"/>
    <x v="74"/>
    <x v="30"/>
    <x v="1"/>
    <x v="4"/>
    <x v="1"/>
    <x v="126"/>
    <s v="Año 2019"/>
    <s v="Número de suscripciones"/>
    <s v="Biblioteca del Congreso Nacional"/>
    <s v="Comunas de la región de Coquimbo con la mayor cantidad de suscripciones de televisión de pago, Año 2019"/>
    <m/>
    <s v="Nube de palabras"/>
    <s v="región de Coquimbo ranking suscripciones televisión pago comuna año 2019 país Chile"/>
    <s v="https://analytics.zoho.com/open-view/2395394000008511008?ZOHO_CRITERIA=%22Televisi%C3%B3n_Pago%22.%22CodRegi%C3%B3n%22%3D4"/>
    <x v="21"/>
    <s v="#1774B51"/>
  </r>
  <r>
    <s v="1530"/>
    <n v="990"/>
    <s v="Agencia Información"/>
    <s v="Tecnología, Internet y Telecomunicaciones"/>
    <n v="5"/>
    <x v="74"/>
    <x v="30"/>
    <x v="1"/>
    <x v="5"/>
    <x v="1"/>
    <x v="126"/>
    <s v="Año 2019"/>
    <s v="Número de suscripciones"/>
    <s v="Biblioteca del Congreso Nacional"/>
    <s v="Comunas de la región de Valparaíso con la mayor cantidad de suscripciones de televisión de pago, Año 2019"/>
    <m/>
    <s v="Nube de palabras"/>
    <s v="región de Valparaíso ranking suscripciones televisión pago comuna año 2019 país Chile"/>
    <s v="https://analytics.zoho.com/open-view/2395394000008511008?ZOHO_CRITERIA=%22Televisi%C3%B3n_Pago%22.%22CodRegi%C3%B3n%22%3D5"/>
    <x v="22"/>
    <s v="#1774B52"/>
  </r>
  <r>
    <s v="1531"/>
    <n v="990"/>
    <s v="Agencia Información"/>
    <s v="Tecnología, Internet y Telecomunicaciones"/>
    <n v="6"/>
    <x v="74"/>
    <x v="30"/>
    <x v="1"/>
    <x v="6"/>
    <x v="1"/>
    <x v="126"/>
    <s v="Año 2019"/>
    <s v="Número de suscripciones"/>
    <s v="Biblioteca del Congreso Nacional"/>
    <s v="Comunas de la región de O'Higgins con la mayor cantidad de suscripciones de televisión de pago, Año 2019"/>
    <m/>
    <s v="Nube de palabras"/>
    <s v="región de O'Higgins ranking suscripciones televisión pago comuna año 2019 país Chile"/>
    <s v="https://analytics.zoho.com/open-view/2395394000008511008?ZOHO_CRITERIA=%22Televisi%C3%B3n_Pago%22.%22CodRegi%C3%B3n%22%3D6"/>
    <x v="23"/>
    <s v="#1774B53"/>
  </r>
  <r>
    <s v="1532"/>
    <n v="990"/>
    <s v="Agencia Información"/>
    <s v="Tecnología, Internet y Telecomunicaciones"/>
    <n v="7"/>
    <x v="74"/>
    <x v="30"/>
    <x v="1"/>
    <x v="7"/>
    <x v="1"/>
    <x v="126"/>
    <s v="Año 2019"/>
    <s v="Número de suscripciones"/>
    <s v="Biblioteca del Congreso Nacional"/>
    <s v="Comunas de la región de Maule con la mayor cantidad de suscripciones de televisión de pago, Año 2019"/>
    <m/>
    <s v="Nube de palabras"/>
    <s v="región de Maule ranking suscripciones televisión pago comuna año 2019 país Chile"/>
    <s v="https://analytics.zoho.com/open-view/2395394000008511008?ZOHO_CRITERIA=%22Televisi%C3%B3n_Pago%22.%22CodRegi%C3%B3n%22%3D7"/>
    <x v="24"/>
    <s v="#1774B54"/>
  </r>
  <r>
    <s v="1533"/>
    <n v="990"/>
    <s v="Agencia Información"/>
    <s v="Tecnología, Internet y Telecomunicaciones"/>
    <n v="8"/>
    <x v="74"/>
    <x v="30"/>
    <x v="1"/>
    <x v="8"/>
    <x v="1"/>
    <x v="126"/>
    <s v="Año 2019"/>
    <s v="Número de suscripciones"/>
    <s v="Biblioteca del Congreso Nacional"/>
    <s v="Comunas de la región del Biobío con la mayor cantidad de suscripciones de televisión de pago, Año 2019"/>
    <m/>
    <s v="Nube de palabras"/>
    <s v="región del Biobío ranking suscripciones televisión pago comuna año 2019 país Chile"/>
    <s v="https://analytics.zoho.com/open-view/2395394000008511008?ZOHO_CRITERIA=%22Televisi%C3%B3n_Pago%22.%22CodRegi%C3%B3n%22%3D8"/>
    <x v="25"/>
    <s v="#1774B55"/>
  </r>
  <r>
    <s v="1534"/>
    <n v="990"/>
    <s v="Agencia Información"/>
    <s v="Tecnología, Internet y Telecomunicaciones"/>
    <n v="9"/>
    <x v="74"/>
    <x v="30"/>
    <x v="1"/>
    <x v="9"/>
    <x v="1"/>
    <x v="126"/>
    <s v="Año 2019"/>
    <s v="Número de suscripciones"/>
    <s v="Biblioteca del Congreso Nacional"/>
    <s v="Comunas de la región de La Araucanía con la mayor cantidad de suscripciones de televisión de pago, Año 2019"/>
    <m/>
    <s v="Nube de palabras"/>
    <s v="región de La Araucanía ranking suscripciones televisión pago comuna año 2019 país Chile"/>
    <s v="https://analytics.zoho.com/open-view/2395394000008511008?ZOHO_CRITERIA=%22Televisi%C3%B3n_Pago%22.%22CodRegi%C3%B3n%22%3D9"/>
    <x v="26"/>
    <s v="#1774B56"/>
  </r>
  <r>
    <s v="1535"/>
    <n v="990"/>
    <s v="Agencia Información"/>
    <s v="Tecnología, Internet y Telecomunicaciones"/>
    <n v="10"/>
    <x v="74"/>
    <x v="30"/>
    <x v="1"/>
    <x v="10"/>
    <x v="1"/>
    <x v="126"/>
    <s v="Año 2019"/>
    <s v="Número de suscripciones"/>
    <s v="Biblioteca del Congreso Nacional"/>
    <s v="Comunas de la región de Los Lagos con la mayor cantidad de suscripciones de televisión de pago, Año 2019"/>
    <m/>
    <s v="Nube de palabras"/>
    <s v="región de Los Lagos ranking suscripciones televisión pago comuna año 2019 país Chile"/>
    <s v="https://analytics.zoho.com/open-view/2395394000008511008?ZOHO_CRITERIA=%22Televisi%C3%B3n_Pago%22.%22CodRegi%C3%B3n%22%3D10"/>
    <x v="27"/>
    <s v="#1774B57"/>
  </r>
  <r>
    <s v="1536"/>
    <n v="990"/>
    <s v="Agencia Información"/>
    <s v="Tecnología, Internet y Telecomunicaciones"/>
    <n v="11"/>
    <x v="74"/>
    <x v="30"/>
    <x v="1"/>
    <x v="11"/>
    <x v="1"/>
    <x v="126"/>
    <s v="Año 2019"/>
    <s v="Número de suscripciones"/>
    <s v="Biblioteca del Congreso Nacional"/>
    <s v="Comunas de la región de Aysén con la mayor cantidad de suscripciones de televisión de pago, Año 2019"/>
    <m/>
    <s v="Nube de palabras"/>
    <s v="región de Aysén ranking suscripciones televisión pago comuna año 2019 país Chile"/>
    <s v="https://analytics.zoho.com/open-view/2395394000008511008?ZOHO_CRITERIA=%22Televisi%C3%B3n_Pago%22.%22CodRegi%C3%B3n%22%3D11"/>
    <x v="28"/>
    <s v="#1774B58"/>
  </r>
  <r>
    <s v="1537"/>
    <n v="990"/>
    <s v="Agencia Información"/>
    <s v="Tecnología, Internet y Telecomunicaciones"/>
    <n v="12"/>
    <x v="74"/>
    <x v="30"/>
    <x v="1"/>
    <x v="12"/>
    <x v="1"/>
    <x v="126"/>
    <s v="Año 2019"/>
    <s v="Número de suscripciones"/>
    <s v="Biblioteca del Congreso Nacional"/>
    <s v="Comunas de la región de Magallanes con la mayor cantidad de suscripciones de televisión de pago, Año 2019"/>
    <m/>
    <s v="Nube de palabras"/>
    <s v="región de Magallanes ranking suscripciones televisión pago comuna año 2019 país Chile"/>
    <s v="https://analytics.zoho.com/open-view/2395394000008511008?ZOHO_CRITERIA=%22Televisi%C3%B3n_Pago%22.%22CodRegi%C3%B3n%22%3D12"/>
    <x v="29"/>
    <s v="#1774B59"/>
  </r>
  <r>
    <s v="1538"/>
    <n v="990"/>
    <s v="Agencia Información"/>
    <s v="Tecnología, Internet y Telecomunicaciones"/>
    <n v="13"/>
    <x v="74"/>
    <x v="30"/>
    <x v="1"/>
    <x v="13"/>
    <x v="1"/>
    <x v="126"/>
    <s v="Año 2019"/>
    <s v="Número de suscripciones"/>
    <s v="Biblioteca del Congreso Nacional"/>
    <s v="Comunas de la región Metropolitana con la mayor cantidad de suscripciones de televisión de pago, Año 2019"/>
    <m/>
    <s v="Nube de palabras"/>
    <s v="región Metropolitana ranking suscripciones televisión pago comuna año 2019 país Chile"/>
    <s v="https://analytics.zoho.com/open-view/2395394000008511008?ZOHO_CRITERIA=%22Televisi%C3%B3n_Pago%22.%22CodRegi%C3%B3n%22%3D13"/>
    <x v="30"/>
    <s v="#1774B60"/>
  </r>
  <r>
    <s v="1539"/>
    <n v="990"/>
    <s v="Agencia Información"/>
    <s v="Tecnología, Internet y Telecomunicaciones"/>
    <n v="14"/>
    <x v="74"/>
    <x v="30"/>
    <x v="1"/>
    <x v="14"/>
    <x v="1"/>
    <x v="126"/>
    <s v="Año 2019"/>
    <s v="Número de suscripciones"/>
    <s v="Biblioteca del Congreso Nacional"/>
    <s v="Comunas de la región de Los Ríos con la mayor cantidad de suscripciones de televisión de pago, Año 2019"/>
    <m/>
    <s v="Nube de palabras"/>
    <s v="región de Los Ríos ranking suscripciones televisión pago comuna año 2019 país Chile"/>
    <s v="https://analytics.zoho.com/open-view/2395394000008511008?ZOHO_CRITERIA=%22Televisi%C3%B3n_Pago%22.%22CodRegi%C3%B3n%22%3D14"/>
    <x v="31"/>
    <s v="#1774B61"/>
  </r>
  <r>
    <s v="1540"/>
    <n v="990"/>
    <s v="Agencia Información"/>
    <s v="Tecnología, Internet y Telecomunicaciones"/>
    <n v="15"/>
    <x v="74"/>
    <x v="30"/>
    <x v="1"/>
    <x v="15"/>
    <x v="1"/>
    <x v="126"/>
    <s v="Año 2019"/>
    <s v="Número de suscripciones"/>
    <s v="Biblioteca del Congreso Nacional"/>
    <s v="Comunas de la región de Arica y Parinacota con la mayor cantidad de suscripciones de televisión de pago, Año 2019"/>
    <m/>
    <s v="Nube de palabras"/>
    <s v="región de Arica y Parinacota ranking suscripciones televisión pago comuna año 2019 país Chile"/>
    <s v="https://analytics.zoho.com/open-view/2395394000008511008?ZOHO_CRITERIA=%22Televisi%C3%B3n_Pago%22.%22CodRegi%C3%B3n%22%3D15"/>
    <x v="32"/>
    <s v="#1774B62"/>
  </r>
  <r>
    <s v="1541"/>
    <n v="990"/>
    <s v="Agencia Información"/>
    <s v="Tecnología, Internet y Telecomunicaciones"/>
    <n v="16"/>
    <x v="74"/>
    <x v="30"/>
    <x v="1"/>
    <x v="16"/>
    <x v="1"/>
    <x v="126"/>
    <s v="Año 2019"/>
    <s v="Número de suscripciones"/>
    <s v="Biblioteca del Congreso Nacional"/>
    <s v="Comunas de la región de Ñuble con la mayor cantidad de suscripciones de televisión de pago, Año 2019"/>
    <m/>
    <s v="Nube de palabras"/>
    <s v="región de Ñuble ranking suscripciones televisión pago comuna año 2019 país Chile"/>
    <s v="https://analytics.zoho.com/open-view/2395394000008511008?ZOHO_CRITERIA=%22Televisi%C3%B3n_Pago%22.%22CodRegi%C3%B3n%22%3D16"/>
    <x v="33"/>
    <s v="#1774B63"/>
  </r>
  <r>
    <s v="1542"/>
    <n v="990"/>
    <s v="Agencia Información"/>
    <s v="Social"/>
    <n v="0"/>
    <x v="75"/>
    <x v="18"/>
    <x v="0"/>
    <x v="0"/>
    <x v="2"/>
    <x v="127"/>
    <s v="Año 2017"/>
    <s v="Personas"/>
    <s v="Instituto Nacional de Estadísticas (INE)"/>
    <s v="Cantidad de Personas que se Identifican con un Pueblo Indígena por Comuna en Chile, Año 2017"/>
    <s v="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
    <s v="Mapa de calor"/>
    <s v="población pueblos originarios indígenas etnia comunal Chile"/>
    <s v="https://analytics.zoho.com/open-view/2395394000008436309"/>
    <x v="17"/>
    <s v="#1774B64"/>
  </r>
  <r>
    <s v="1543"/>
    <n v="990"/>
    <s v="Agencia Información"/>
    <s v="Social"/>
    <n v="1"/>
    <x v="75"/>
    <x v="18"/>
    <x v="1"/>
    <x v="1"/>
    <x v="3"/>
    <x v="128"/>
    <s v="Año 2017"/>
    <s v="Personas"/>
    <s v="Instituto Nacional de Estadísticas (INE)"/>
    <s v="Cantidad de Personas que se Identifican con un Pueblo Indígena en la región de Tarapacá, Año 2017"/>
    <m/>
    <s v="Mapa de calor"/>
    <s v="región de Tarapacá población pueblos originarios indígenas etnia comunal Chile año 2017"/>
    <s v="https://analytics.zoho.com/open-view/2395394000008503085?ZOHO_CRITERIA=%22Pueblos%20Ind%C3%ADgenas%20Edad%22.%22id_Region%22%20%3D%201"/>
    <x v="18"/>
    <s v="#1774B65"/>
  </r>
  <r>
    <s v="1544"/>
    <n v="990"/>
    <s v="Agencia Información"/>
    <s v="Social"/>
    <n v="2"/>
    <x v="75"/>
    <x v="18"/>
    <x v="1"/>
    <x v="2"/>
    <x v="3"/>
    <x v="128"/>
    <s v="Año 2017"/>
    <s v="Personas"/>
    <s v="Instituto Nacional de Estadísticas (INE)"/>
    <s v="Cantidad de Personas que se Identifican con un Pueblo Indígena en la región de Antofagasta, Año 2017"/>
    <m/>
    <s v="Mapa de calor"/>
    <s v="región de Antofagasta población pueblos originarios indígenas etnia comunal Chile año 2017"/>
    <s v="https://analytics.zoho.com/open-view/2395394000008503085?ZOHO_CRITERIA=%22Pueblos%20Ind%C3%ADgenas%20Edad%22.%22id_Region%22%20%3D%202"/>
    <x v="19"/>
    <s v="#1774B66"/>
  </r>
  <r>
    <s v="1545"/>
    <n v="990"/>
    <s v="Agencia Información"/>
    <s v="Social"/>
    <n v="3"/>
    <x v="75"/>
    <x v="18"/>
    <x v="1"/>
    <x v="3"/>
    <x v="3"/>
    <x v="128"/>
    <s v="Año 2017"/>
    <s v="Personas"/>
    <s v="Instituto Nacional de Estadísticas (INE)"/>
    <s v="Cantidad de Personas que se Identifican con un Pueblo Indígena en la región de Atacama, Año 2017"/>
    <m/>
    <s v="Mapa de calor"/>
    <s v="región de Atacama población pueblos originarios indígenas etnia comunal Chile año 2017"/>
    <s v="https://analytics.zoho.com/open-view/2395394000008503085?ZOHO_CRITERIA=%22Pueblos%20Ind%C3%ADgenas%20Edad%22.%22id_Region%22%20%3D%203"/>
    <x v="20"/>
    <s v="#1774B67"/>
  </r>
  <r>
    <s v="1546"/>
    <n v="990"/>
    <s v="Agencia Información"/>
    <s v="Social"/>
    <n v="4"/>
    <x v="75"/>
    <x v="18"/>
    <x v="1"/>
    <x v="4"/>
    <x v="3"/>
    <x v="128"/>
    <s v="Año 2017"/>
    <s v="Personas"/>
    <s v="Instituto Nacional de Estadísticas (INE)"/>
    <s v="Cantidad de Personas que se Identifican con un Pueblo Indígena en la región de Coquimbo, Año 2017"/>
    <m/>
    <s v="Mapa de calor"/>
    <s v="región de Coquimbo población pueblos originarios indígenas etnia comunal Chile año 2017"/>
    <s v="https://analytics.zoho.com/open-view/2395394000008503085?ZOHO_CRITERIA=%22Pueblos%20Ind%C3%ADgenas%20Edad%22.%22id_Region%22%20%3D%204"/>
    <x v="21"/>
    <s v="#1774B68"/>
  </r>
  <r>
    <s v="1547"/>
    <n v="990"/>
    <s v="Agencia Información"/>
    <s v="Social"/>
    <n v="5"/>
    <x v="75"/>
    <x v="18"/>
    <x v="1"/>
    <x v="5"/>
    <x v="3"/>
    <x v="128"/>
    <s v="Año 2017"/>
    <s v="Personas"/>
    <s v="Instituto Nacional de Estadísticas (INE)"/>
    <s v="Cantidad de Personas que se Identifican con un Pueblo Indígena en la región de Valparaíso, Año 2017"/>
    <m/>
    <s v="Mapa de calor"/>
    <s v="región de Valparaíso población pueblos originarios indígenas etnia comunal Chile año 2017"/>
    <s v="https://analytics.zoho.com/open-view/2395394000008503085?ZOHO_CRITERIA=%22Pueblos%20Ind%C3%ADgenas%20Edad%22.%22id_Region%22%20%3D%205"/>
    <x v="22"/>
    <s v="#1774B69"/>
  </r>
  <r>
    <s v="1548"/>
    <n v="990"/>
    <s v="Agencia Información"/>
    <s v="Social"/>
    <n v="6"/>
    <x v="75"/>
    <x v="18"/>
    <x v="1"/>
    <x v="6"/>
    <x v="3"/>
    <x v="128"/>
    <s v="Año 2017"/>
    <s v="Personas"/>
    <s v="Instituto Nacional de Estadísticas (INE)"/>
    <s v="Cantidad de Personas que se Identifican con un Pueblo Indígena en la región de O'Higgins, Año 2017"/>
    <m/>
    <s v="Mapa de calor"/>
    <s v="región de O'Higgins población pueblos originarios indígenas etnia comunal Chile año 2017"/>
    <s v="https://analytics.zoho.com/open-view/2395394000008503085?ZOHO_CRITERIA=%22Pueblos%20Ind%C3%ADgenas%20Edad%22.%22id_Region%22%20%3D%206"/>
    <x v="23"/>
    <s v="#1774B70"/>
  </r>
  <r>
    <s v="1549"/>
    <n v="990"/>
    <s v="Agencia Información"/>
    <s v="Social"/>
    <n v="7"/>
    <x v="75"/>
    <x v="18"/>
    <x v="1"/>
    <x v="7"/>
    <x v="3"/>
    <x v="128"/>
    <s v="Año 2017"/>
    <s v="Personas"/>
    <s v="Instituto Nacional de Estadísticas (INE)"/>
    <s v="Cantidad de Personas que se Identifican con un Pueblo Indígena en la región de Maule, Año 2017"/>
    <m/>
    <s v="Mapa de calor"/>
    <s v="región de Maule población pueblos originarios indígenas etnia comunal Chile año 2017"/>
    <s v="https://analytics.zoho.com/open-view/2395394000008503085?ZOHO_CRITERIA=%22Pueblos%20Ind%C3%ADgenas%20Edad%22.%22id_Region%22%20%3D%207"/>
    <x v="24"/>
    <s v="#1774B71"/>
  </r>
  <r>
    <s v="1550"/>
    <n v="990"/>
    <s v="Agencia Información"/>
    <s v="Social"/>
    <n v="8"/>
    <x v="75"/>
    <x v="18"/>
    <x v="1"/>
    <x v="8"/>
    <x v="3"/>
    <x v="128"/>
    <s v="Año 2017"/>
    <s v="Personas"/>
    <s v="Instituto Nacional de Estadísticas (INE)"/>
    <s v="Cantidad de Personas que se Identifican con un Pueblo Indígena en la región del Biobío, Año 2017"/>
    <m/>
    <s v="Mapa de calor"/>
    <s v="región del Biobío población pueblos originarios indígenas etnia comunal Chile año 2017"/>
    <s v="https://analytics.zoho.com/open-view/2395394000008503085?ZOHO_CRITERIA=%22Pueblos%20Ind%C3%ADgenas%20Edad%22.%22id_Region%22%20%3D%208"/>
    <x v="25"/>
    <s v="#1774B72"/>
  </r>
  <r>
    <s v="1551"/>
    <n v="990"/>
    <s v="Agencia Información"/>
    <s v="Social"/>
    <n v="9"/>
    <x v="75"/>
    <x v="18"/>
    <x v="1"/>
    <x v="9"/>
    <x v="3"/>
    <x v="128"/>
    <s v="Año 2017"/>
    <s v="Personas"/>
    <s v="Instituto Nacional de Estadísticas (INE)"/>
    <s v="Cantidad de Personas que se Identifican con un Pueblo Indígena en la región de La Araucanía, Año 2017"/>
    <m/>
    <s v="Mapa de calor"/>
    <s v="región de La Araucanía población pueblos originarios indígenas etnia comunal Chile año 2017"/>
    <s v="https://analytics.zoho.com/open-view/2395394000008503085?ZOHO_CRITERIA=%22Pueblos%20Ind%C3%ADgenas%20Edad%22.%22id_Region%22%20%3D%209"/>
    <x v="26"/>
    <s v="#1774B73"/>
  </r>
  <r>
    <s v="1552"/>
    <n v="990"/>
    <s v="Agencia Información"/>
    <s v="Social"/>
    <n v="10"/>
    <x v="75"/>
    <x v="18"/>
    <x v="1"/>
    <x v="10"/>
    <x v="3"/>
    <x v="128"/>
    <s v="Año 2017"/>
    <s v="Personas"/>
    <s v="Instituto Nacional de Estadísticas (INE)"/>
    <s v="Cantidad de Personas que se Identifican con un Pueblo Indígena en la región de Los Lagos, Año 2017"/>
    <m/>
    <s v="Mapa de calor"/>
    <s v="región de Los Lagos población pueblos originarios indígenas etnia comunal Chile año 2017"/>
    <s v="https://analytics.zoho.com/open-view/2395394000008503085?ZOHO_CRITERIA=%22Pueblos%20Ind%C3%ADgenas%20Edad%22.%22id_Region%22%20%3D%2010"/>
    <x v="27"/>
    <s v="#1774B74"/>
  </r>
  <r>
    <s v="1553"/>
    <n v="990"/>
    <s v="Agencia Información"/>
    <s v="Social"/>
    <n v="11"/>
    <x v="75"/>
    <x v="18"/>
    <x v="1"/>
    <x v="11"/>
    <x v="3"/>
    <x v="128"/>
    <s v="Año 2017"/>
    <s v="Personas"/>
    <s v="Instituto Nacional de Estadísticas (INE)"/>
    <s v="Cantidad de Personas que se Identifican con un Pueblo Indígena en la región de Aysén, Año 2017"/>
    <m/>
    <s v="Mapa de calor"/>
    <s v="región de Aysén población pueblos originarios indígenas etnia comunal Chile año 2017"/>
    <s v="https://analytics.zoho.com/open-view/2395394000008503085?ZOHO_CRITERIA=%22Pueblos%20Ind%C3%ADgenas%20Edad%22.%22id_Region%22%20%3D%2011"/>
    <x v="28"/>
    <s v="#1774B75"/>
  </r>
  <r>
    <s v="1554"/>
    <n v="990"/>
    <s v="Agencia Información"/>
    <s v="Social"/>
    <n v="12"/>
    <x v="75"/>
    <x v="18"/>
    <x v="1"/>
    <x v="12"/>
    <x v="3"/>
    <x v="128"/>
    <s v="Año 2017"/>
    <s v="Personas"/>
    <s v="Instituto Nacional de Estadísticas (INE)"/>
    <s v="Cantidad de Personas que se Identifican con un Pueblo Indígena en la región de Magallanes, Año 2017"/>
    <m/>
    <s v="Mapa de calor"/>
    <s v="región de Magallanes población pueblos originarios indígenas etnia comunal Chile año 2017"/>
    <s v="https://analytics.zoho.com/open-view/2395394000008503085?ZOHO_CRITERIA=%22Pueblos%20Ind%C3%ADgenas%20Edad%22.%22id_Region%22%20%3D%2012"/>
    <x v="29"/>
    <s v="#1774B76"/>
  </r>
  <r>
    <s v="1555"/>
    <n v="990"/>
    <s v="Agencia Información"/>
    <s v="Social"/>
    <n v="13"/>
    <x v="75"/>
    <x v="18"/>
    <x v="1"/>
    <x v="13"/>
    <x v="3"/>
    <x v="128"/>
    <s v="Año 2017"/>
    <s v="Personas"/>
    <s v="Instituto Nacional de Estadísticas (INE)"/>
    <s v="Cantidad de Personas que se Identifican con un Pueblo Indígena en la región Metropolitana, Año 2017"/>
    <m/>
    <s v="Mapa de calor"/>
    <s v="región Metropolitana población pueblos originarios indígenas etnia comunal Chile año 2017"/>
    <s v="https://analytics.zoho.com/open-view/2395394000008503085?ZOHO_CRITERIA=%22Pueblos%20Ind%C3%ADgenas%20Edad%22.%22id_Region%22%20%3D%2013"/>
    <x v="30"/>
    <s v="#1774B77"/>
  </r>
  <r>
    <s v="1556"/>
    <n v="990"/>
    <s v="Agencia Información"/>
    <s v="Social"/>
    <n v="14"/>
    <x v="75"/>
    <x v="18"/>
    <x v="1"/>
    <x v="14"/>
    <x v="3"/>
    <x v="128"/>
    <s v="Año 2017"/>
    <s v="Personas"/>
    <s v="Instituto Nacional de Estadísticas (INE)"/>
    <s v="Cantidad de Personas que se Identifican con un Pueblo Indígena en la región de Los Ríos, Año 2017"/>
    <m/>
    <s v="Mapa de calor"/>
    <s v="región de Los Ríos población pueblos originarios indígenas etnia comunal Chile año 2017"/>
    <s v="https://analytics.zoho.com/open-view/2395394000008503085?ZOHO_CRITERIA=%22Pueblos%20Ind%C3%ADgenas%20Edad%22.%22id_Region%22%20%3D%2014"/>
    <x v="31"/>
    <s v="#1774B78"/>
  </r>
  <r>
    <s v="1557"/>
    <n v="990"/>
    <s v="Agencia Información"/>
    <s v="Social"/>
    <n v="15"/>
    <x v="75"/>
    <x v="18"/>
    <x v="1"/>
    <x v="15"/>
    <x v="3"/>
    <x v="128"/>
    <s v="Año 2017"/>
    <s v="Personas"/>
    <s v="Instituto Nacional de Estadísticas (INE)"/>
    <s v="Cantidad de Personas que se Identifican con un Pueblo Indígena en la región de Arica y Parinacota, Año 2017"/>
    <m/>
    <s v="Mapa de calor"/>
    <s v="región de Arica y Parinacota población pueblos originarios indígenas etnia comunal Chile año 2017"/>
    <s v="https://analytics.zoho.com/open-view/2395394000008503085?ZOHO_CRITERIA=%22Pueblos%20Ind%C3%ADgenas%20Edad%22.%22id_Region%22%20%3D%2015"/>
    <x v="32"/>
    <s v="#1774B79"/>
  </r>
  <r>
    <s v="1558"/>
    <n v="990"/>
    <s v="Agencia Información"/>
    <s v="Social"/>
    <n v="16"/>
    <x v="75"/>
    <x v="18"/>
    <x v="1"/>
    <x v="16"/>
    <x v="3"/>
    <x v="128"/>
    <s v="Año 2017"/>
    <s v="Personas"/>
    <s v="Instituto Nacional de Estadísticas (INE)"/>
    <s v="Cantidad de Personas que se Identifican con un Pueblo Indígena en la región de Ñuble, Año 2017"/>
    <m/>
    <s v="Mapa de calor"/>
    <s v="región de Ñuble población pueblos originarios indígenas etnia comunal Chile año 2017"/>
    <s v="https://analytics.zoho.com/open-view/2395394000008503085?ZOHO_CRITERIA=%22Pueblos%20Ind%C3%ADgenas%20Edad%22.%22id_Region%22%20%3D%2016"/>
    <x v="33"/>
    <s v="#1774B80"/>
  </r>
  <r>
    <s v="1559"/>
    <n v="990"/>
    <s v="Agencia Información"/>
    <s v="Social"/>
    <n v="0"/>
    <x v="75"/>
    <x v="18"/>
    <x v="0"/>
    <x v="0"/>
    <x v="2"/>
    <x v="129"/>
    <s v="Año 2017"/>
    <s v="Personas"/>
    <s v="Instituto Nacional de Estadísticas (INE)"/>
    <s v="Cantidad de Personas que se Identifican con un Pueblo Indígena por Grupo de Edad en Chile, Año 2017"/>
    <s v="La región que tiene la más alta cantidad de personas pertenecientes a un pueblo indígena sobre los 100 años es la Metropolitana, con 141 habitantes. Le siguen La Araucanía y Los Lagos, con 85 y 38 habitantes, respectivamente."/>
    <s v="Gráfico"/>
    <s v="población pueblos originarios indígenas etnia edad regional Chile"/>
    <s v="https://analytics.zoho.com/open-view/2395394000008436580"/>
    <x v="17"/>
    <s v="#1774B81"/>
  </r>
  <r>
    <s v="1560"/>
    <n v="990"/>
    <s v="Agencia Información"/>
    <s v="Social"/>
    <n v="1"/>
    <x v="75"/>
    <x v="18"/>
    <x v="1"/>
    <x v="1"/>
    <x v="1"/>
    <x v="130"/>
    <s v="Año 2017"/>
    <s v="Personas"/>
    <s v="Instituto Nacional de Estadísticas (INE)"/>
    <s v="Cantidad de Personas que se Identifican con un Pueblo Indígena por Grupo de Edad en la región de Tarapacá, Año 2017"/>
    <m/>
    <s v="Gráfico"/>
    <s v="región de Tarapacá población pueblos originarios indígenas etnia edad año 2017 Chile gráfico"/>
    <s v="https://analytics.zoho.com/open-view/2395394000008503207?ZOHO_CRITERIA=%22Pueblos%20Ind%C3%ADgenas%20Edad%22.%22id_Region%22%20%3D%201"/>
    <x v="1"/>
    <s v="#1774B82"/>
  </r>
  <r>
    <s v="1561"/>
    <n v="990"/>
    <s v="Agencia Información"/>
    <s v="Social"/>
    <n v="2"/>
    <x v="75"/>
    <x v="18"/>
    <x v="1"/>
    <x v="2"/>
    <x v="1"/>
    <x v="130"/>
    <s v="Año 2017"/>
    <s v="Personas"/>
    <s v="Instituto Nacional de Estadísticas (INE)"/>
    <s v="Cantidad de Personas que se Identifican con un Pueblo Indígena por Grupo de Edad en la región de Tarapacá, Año 2017"/>
    <m/>
    <s v="Gráfico"/>
    <s v="región de Antofagasta población pueblos originarios indígenas etnia edad año 2017 Chile gráfico"/>
    <s v="https://analytics.zoho.com/open-view/2395394000008503207?ZOHO_CRITERIA=%22Pueblos%20Ind%C3%ADgenas%20Edad%22.%22id_Region%22%20%3D%202"/>
    <x v="2"/>
    <s v="#1774B83"/>
  </r>
  <r>
    <s v="1562"/>
    <n v="990"/>
    <s v="Agencia Información"/>
    <s v="Social"/>
    <n v="3"/>
    <x v="75"/>
    <x v="18"/>
    <x v="1"/>
    <x v="3"/>
    <x v="1"/>
    <x v="130"/>
    <s v="Año 2017"/>
    <s v="Personas"/>
    <s v="Instituto Nacional de Estadísticas (INE)"/>
    <s v="Cantidad de Personas que se Identifican con un Pueblo Indígena por Grupo de Edad en la región de Tarapacá, Año 2017"/>
    <m/>
    <s v="Gráfico"/>
    <s v="región de Atacama población pueblos originarios indígenas etnia edad año 2017 Chile gráfico"/>
    <s v="https://analytics.zoho.com/open-view/2395394000008503207?ZOHO_CRITERIA=%22Pueblos%20Ind%C3%ADgenas%20Edad%22.%22id_Region%22%20%3D%203"/>
    <x v="3"/>
    <s v="#1774B84"/>
  </r>
  <r>
    <s v="1563"/>
    <n v="990"/>
    <s v="Agencia Información"/>
    <s v="Social"/>
    <n v="4"/>
    <x v="75"/>
    <x v="18"/>
    <x v="1"/>
    <x v="4"/>
    <x v="1"/>
    <x v="130"/>
    <s v="Año 2017"/>
    <s v="Personas"/>
    <s v="Instituto Nacional de Estadísticas (INE)"/>
    <s v="Cantidad de Personas que se Identifican con un Pueblo Indígena por Grupo de Edad en la región de Tarapacá, Año 2017"/>
    <m/>
    <s v="Gráfico"/>
    <s v="región de Coquimbo población pueblos originarios indígenas etnia edad año 2017 Chile gráfico"/>
    <s v="https://analytics.zoho.com/open-view/2395394000008503207?ZOHO_CRITERIA=%22Pueblos%20Ind%C3%ADgenas%20Edad%22.%22id_Region%22%20%3D%204"/>
    <x v="4"/>
    <s v="#1774B85"/>
  </r>
  <r>
    <s v="1564"/>
    <n v="990"/>
    <s v="Agencia Información"/>
    <s v="Social"/>
    <n v="5"/>
    <x v="75"/>
    <x v="18"/>
    <x v="1"/>
    <x v="5"/>
    <x v="1"/>
    <x v="130"/>
    <s v="Año 2017"/>
    <s v="Personas"/>
    <s v="Instituto Nacional de Estadísticas (INE)"/>
    <s v="Cantidad de Personas que se Identifican con un Pueblo Indígena por Grupo de Edad en la región de Tarapacá, Año 2017"/>
    <m/>
    <s v="Gráfico"/>
    <s v="región de Valparaíso población pueblos originarios indígenas etnia edad año 2017 Chile gráfico"/>
    <s v="https://analytics.zoho.com/open-view/2395394000008503207?ZOHO_CRITERIA=%22Pueblos%20Ind%C3%ADgenas%20Edad%22.%22id_Region%22%20%3D%205"/>
    <x v="5"/>
    <s v="#1774B86"/>
  </r>
  <r>
    <s v="1565"/>
    <n v="990"/>
    <s v="Agencia Información"/>
    <s v="Social"/>
    <n v="6"/>
    <x v="75"/>
    <x v="18"/>
    <x v="1"/>
    <x v="6"/>
    <x v="1"/>
    <x v="130"/>
    <s v="Año 2017"/>
    <s v="Personas"/>
    <s v="Instituto Nacional de Estadísticas (INE)"/>
    <s v="Cantidad de Personas que se Identifican con un Pueblo Indígena por Grupo de Edad en la región de Tarapacá, Año 2017"/>
    <m/>
    <s v="Gráfico"/>
    <s v="región de O'Higgins población pueblos originarios indígenas etnia edad año 2017 Chile gráfico"/>
    <s v="https://analytics.zoho.com/open-view/2395394000008503207?ZOHO_CRITERIA=%22Pueblos%20Ind%C3%ADgenas%20Edad%22.%22id_Region%22%20%3D%206"/>
    <x v="6"/>
    <s v="#1774B87"/>
  </r>
  <r>
    <s v="1566"/>
    <n v="990"/>
    <s v="Agencia Información"/>
    <s v="Social"/>
    <n v="7"/>
    <x v="75"/>
    <x v="18"/>
    <x v="1"/>
    <x v="7"/>
    <x v="1"/>
    <x v="130"/>
    <s v="Año 2017"/>
    <s v="Personas"/>
    <s v="Instituto Nacional de Estadísticas (INE)"/>
    <s v="Cantidad de Personas que se Identifican con un Pueblo Indígena por Grupo de Edad en la región de Tarapacá, Año 2017"/>
    <m/>
    <s v="Gráfico"/>
    <s v="región de Maule población pueblos originarios indígenas etnia edad año 2017 Chile gráfico"/>
    <s v="https://analytics.zoho.com/open-view/2395394000008503207?ZOHO_CRITERIA=%22Pueblos%20Ind%C3%ADgenas%20Edad%22.%22id_Region%22%20%3D%207"/>
    <x v="7"/>
    <s v="#1774B88"/>
  </r>
  <r>
    <s v="1567"/>
    <n v="990"/>
    <s v="Agencia Información"/>
    <s v="Social"/>
    <n v="8"/>
    <x v="75"/>
    <x v="18"/>
    <x v="1"/>
    <x v="8"/>
    <x v="1"/>
    <x v="130"/>
    <s v="Año 2017"/>
    <s v="Personas"/>
    <s v="Instituto Nacional de Estadísticas (INE)"/>
    <s v="Cantidad de Personas que se Identifican con un Pueblo Indígena por Grupo de Edad en la región de Tarapacá, Año 2017"/>
    <m/>
    <s v="Gráfico"/>
    <s v="región del Biobío población pueblos originarios indígenas etnia edad año 2017 Chile gráfico"/>
    <s v="https://analytics.zoho.com/open-view/2395394000008503207?ZOHO_CRITERIA=%22Pueblos%20Ind%C3%ADgenas%20Edad%22.%22id_Region%22%20%3D%208"/>
    <x v="8"/>
    <s v="#1774B89"/>
  </r>
  <r>
    <s v="1568"/>
    <n v="990"/>
    <s v="Agencia Información"/>
    <s v="Social"/>
    <n v="9"/>
    <x v="75"/>
    <x v="18"/>
    <x v="1"/>
    <x v="9"/>
    <x v="1"/>
    <x v="130"/>
    <s v="Año 2017"/>
    <s v="Personas"/>
    <s v="Instituto Nacional de Estadísticas (INE)"/>
    <s v="Cantidad de Personas que se Identifican con un Pueblo Indígena por Grupo de Edad en la región de Tarapacá, Año 2017"/>
    <m/>
    <s v="Gráfico"/>
    <s v="región de La Araucanía población pueblos originarios indígenas etnia edad año 2017 Chile gráfico"/>
    <s v="https://analytics.zoho.com/open-view/2395394000008503207?ZOHO_CRITERIA=%22Pueblos%20Ind%C3%ADgenas%20Edad%22.%22id_Region%22%20%3D%209"/>
    <x v="9"/>
    <s v="#1774B90"/>
  </r>
  <r>
    <s v="1569"/>
    <n v="990"/>
    <s v="Agencia Información"/>
    <s v="Social"/>
    <n v="10"/>
    <x v="75"/>
    <x v="18"/>
    <x v="1"/>
    <x v="10"/>
    <x v="1"/>
    <x v="130"/>
    <s v="Año 2017"/>
    <s v="Personas"/>
    <s v="Instituto Nacional de Estadísticas (INE)"/>
    <s v="Cantidad de Personas que se Identifican con un Pueblo Indígena por Grupo de Edad en la región de Tarapacá, Año 2017"/>
    <m/>
    <s v="Gráfico"/>
    <s v="región de Los Lagos población pueblos originarios indígenas etnia edad año 2017 Chile gráfico"/>
    <s v="https://analytics.zoho.com/open-view/2395394000008503207?ZOHO_CRITERIA=%22Pueblos%20Ind%C3%ADgenas%20Edad%22.%22id_Region%22%20%3D%2010"/>
    <x v="10"/>
    <s v="#1774B91"/>
  </r>
  <r>
    <s v="1570"/>
    <n v="990"/>
    <s v="Agencia Información"/>
    <s v="Social"/>
    <n v="11"/>
    <x v="75"/>
    <x v="18"/>
    <x v="1"/>
    <x v="11"/>
    <x v="1"/>
    <x v="130"/>
    <s v="Año 2017"/>
    <s v="Personas"/>
    <s v="Instituto Nacional de Estadísticas (INE)"/>
    <s v="Cantidad de Personas que se Identifican con un Pueblo Indígena por Grupo de Edad en la región de Tarapacá, Año 2017"/>
    <m/>
    <s v="Gráfico"/>
    <s v="región de Aysén población pueblos originarios indígenas etnia edad año 2017 Chile gráfico"/>
    <s v="https://analytics.zoho.com/open-view/2395394000008503207?ZOHO_CRITERIA=%22Pueblos%20Ind%C3%ADgenas%20Edad%22.%22id_Region%22%20%3D%2011"/>
    <x v="11"/>
    <s v="#1774B92"/>
  </r>
  <r>
    <s v="1571"/>
    <n v="990"/>
    <s v="Agencia Información"/>
    <s v="Social"/>
    <n v="12"/>
    <x v="75"/>
    <x v="18"/>
    <x v="1"/>
    <x v="12"/>
    <x v="1"/>
    <x v="130"/>
    <s v="Año 2017"/>
    <s v="Personas"/>
    <s v="Instituto Nacional de Estadísticas (INE)"/>
    <s v="Cantidad de Personas que se Identifican con un Pueblo Indígena por Grupo de Edad en la región de Tarapacá, Año 2017"/>
    <m/>
    <s v="Gráfico"/>
    <s v="región de Magallanes población pueblos originarios indígenas etnia edad año 2017 Chile gráfico"/>
    <s v="https://analytics.zoho.com/open-view/2395394000008503207?ZOHO_CRITERIA=%22Pueblos%20Ind%C3%ADgenas%20Edad%22.%22id_Region%22%20%3D%2012"/>
    <x v="12"/>
    <s v="#1774B93"/>
  </r>
  <r>
    <s v="1572"/>
    <n v="990"/>
    <s v="Agencia Información"/>
    <s v="Social"/>
    <n v="13"/>
    <x v="75"/>
    <x v="18"/>
    <x v="1"/>
    <x v="13"/>
    <x v="1"/>
    <x v="130"/>
    <s v="Año 2017"/>
    <s v="Personas"/>
    <s v="Instituto Nacional de Estadísticas (INE)"/>
    <s v="Cantidad de Personas que se Identifican con un Pueblo Indígena por Grupo de Edad en la región de Tarapacá, Año 2017"/>
    <m/>
    <s v="Gráfico"/>
    <s v="región Metropolitana población pueblos originarios indígenas etnia edad año 2017 Chile gráfico"/>
    <s v="https://analytics.zoho.com/open-view/2395394000008503207?ZOHO_CRITERIA=%22Pueblos%20Ind%C3%ADgenas%20Edad%22.%22id_Region%22%20%3D%2013"/>
    <x v="13"/>
    <s v="#1774B94"/>
  </r>
  <r>
    <s v="1573"/>
    <n v="990"/>
    <s v="Agencia Información"/>
    <s v="Social"/>
    <n v="14"/>
    <x v="75"/>
    <x v="18"/>
    <x v="1"/>
    <x v="14"/>
    <x v="1"/>
    <x v="130"/>
    <s v="Año 2017"/>
    <s v="Personas"/>
    <s v="Instituto Nacional de Estadísticas (INE)"/>
    <s v="Cantidad de Personas que se Identifican con un Pueblo Indígena por Grupo de Edad en la región de Tarapacá, Año 2017"/>
    <m/>
    <s v="Gráfico"/>
    <s v="región de Los Ríos población pueblos originarios indígenas etnia edad año 2017 Chile gráfico"/>
    <s v="https://analytics.zoho.com/open-view/2395394000008503207?ZOHO_CRITERIA=%22Pueblos%20Ind%C3%ADgenas%20Edad%22.%22id_Region%22%20%3D%2014"/>
    <x v="14"/>
    <s v="#1774B95"/>
  </r>
  <r>
    <s v="1574"/>
    <n v="990"/>
    <s v="Agencia Información"/>
    <s v="Social"/>
    <n v="15"/>
    <x v="75"/>
    <x v="18"/>
    <x v="1"/>
    <x v="15"/>
    <x v="1"/>
    <x v="130"/>
    <s v="Año 2017"/>
    <s v="Personas"/>
    <s v="Instituto Nacional de Estadísticas (INE)"/>
    <s v="Cantidad de Personas que se Identifican con un Pueblo Indígena por Grupo de Edad en la región de Tarapacá, Año 2017"/>
    <m/>
    <s v="Gráfico"/>
    <s v="región de Arica y Parinacota población pueblos originarios indígenas etnia edad año 2017 Chile gráfico"/>
    <s v="https://analytics.zoho.com/open-view/2395394000008503207?ZOHO_CRITERIA=%22Pueblos%20Ind%C3%ADgenas%20Edad%22.%22id_Region%22%20%3D%2015"/>
    <x v="15"/>
    <s v="#1774B96"/>
  </r>
  <r>
    <s v="1575"/>
    <n v="990"/>
    <s v="Agencia Información"/>
    <s v="Social"/>
    <n v="16"/>
    <x v="75"/>
    <x v="18"/>
    <x v="1"/>
    <x v="16"/>
    <x v="1"/>
    <x v="130"/>
    <s v="Año 2017"/>
    <s v="Personas"/>
    <s v="Instituto Nacional de Estadísticas (INE)"/>
    <s v="Cantidad de Personas que se Identifican con un Pueblo Indígena por Grupo de Edad en la región de Tarapacá, Año 2017"/>
    <m/>
    <s v="Gráfico"/>
    <s v="región de Ñuble población pueblos originarios indígenas etnia edad año 2017 Chile gráfico"/>
    <s v="https://analytics.zoho.com/open-view/2395394000008503207?ZOHO_CRITERIA=%22Pueblos%20Ind%C3%ADgenas%20Edad%22.%22id_Region%22%20%3D%2016"/>
    <x v="16"/>
    <s v="#1774B97"/>
  </r>
  <r>
    <s v="1576"/>
    <n v="990"/>
    <s v="Agencia Información"/>
    <s v="Social"/>
    <n v="0"/>
    <x v="75"/>
    <x v="18"/>
    <x v="0"/>
    <x v="0"/>
    <x v="1"/>
    <x v="131"/>
    <s v="Año 2017"/>
    <s v="Personas"/>
    <s v="Instituto Nacional de Estadísticas (INE)"/>
    <s v="Cantidad de Personas que se Identifican con un Pueblo Indígena por Pueblo en Chile, Año 2017"/>
    <m/>
    <s v="Nube de palabras"/>
    <s v="población pueblos originarios indígenas etnia Chile"/>
    <s v="https://analytics.zoho.com/open-view/2395394000008436794"/>
    <x v="34"/>
    <s v="#1774B98"/>
  </r>
  <r>
    <s v="1577"/>
    <n v="990"/>
    <s v="Agencia Información"/>
    <s v="Social"/>
    <n v="0"/>
    <x v="75"/>
    <x v="18"/>
    <x v="0"/>
    <x v="0"/>
    <x v="1"/>
    <x v="132"/>
    <s v="Año 2017"/>
    <s v="Personas"/>
    <s v="Instituto Nacional de Estadísticas (INE)"/>
    <s v="Cantidad de Personas que se Identifican con un Pueblo Indígena por Pueblo y región en Chile, Año 2017"/>
    <s v="La región más habitada con población mapuche es la Metropolitana, con 614.881 personas. Por otro lado, la más habitada con población diaguita es Coquimbo, con 26.470 habitantes. Según el Instituto Nacional de Estadísticas, el pueblo &quot;Otro&quot; considera a otros pueblos indígenas, originarios, tribales u otras etnias declaradas por la población censada, y el &quot;Pueblo Ignorado&quot; considera a la población que se declaró perteneciente a un pueblo indígena u originario pero cuyo pueblo específico no fue declarado o posible de clasificar."/>
    <s v="Gráfico"/>
    <s v="Chile población pueblos originarios indígenas etnia regional"/>
    <s v="https://analytics.zoho.com/open-view/2395394000008436989"/>
    <x v="0"/>
    <s v="#1774B99"/>
  </r>
  <r>
    <s v="1578"/>
    <n v="990"/>
    <s v="Agencia Información"/>
    <s v="Social"/>
    <n v="1"/>
    <x v="75"/>
    <x v="18"/>
    <x v="1"/>
    <x v="1"/>
    <x v="1"/>
    <x v="131"/>
    <s v="Año 2017"/>
    <s v="Personas"/>
    <s v="Instituto Nacional de Estadísticas (INE)"/>
    <s v="Cantidad de Personas que se Identifican con un Pueblo Indígena por Pueblo en la región de Tarapacá, Año 2017"/>
    <m/>
    <s v="Gráfico"/>
    <s v="región de Tarapacá gráfico población pueblos originarios indígenas etnia año 2017"/>
    <s v="https://analytics.zoho.com/open-view/2395394000008503341?ZOHO_CRITERIA=%22Pueblos%20Ind%C3%ADgenas%20Edad%22.%22id_Region%22%20%3D%201"/>
    <x v="1"/>
    <s v="#1774B100"/>
  </r>
  <r>
    <s v="1579"/>
    <n v="990"/>
    <s v="Agencia Información"/>
    <s v="Social"/>
    <n v="2"/>
    <x v="75"/>
    <x v="18"/>
    <x v="1"/>
    <x v="2"/>
    <x v="1"/>
    <x v="131"/>
    <s v="Año 2017"/>
    <s v="Personas"/>
    <s v="Instituto Nacional de Estadísticas (INE)"/>
    <s v="Cantidad de Personas que se Identifican con un Pueblo Indígena por Pueblo en la región de Antofagasta, Año 2017"/>
    <m/>
    <s v="Gráfico"/>
    <s v="región de Antofagasta gráfico población pueblos originarios indígenas etnia año 2017"/>
    <s v="https://analytics.zoho.com/open-view/2395394000008503341?ZOHO_CRITERIA=%22Pueblos%20Ind%C3%ADgenas%20Edad%22.%22id_Region%22%20%3D%202"/>
    <x v="2"/>
    <s v="#1774B101"/>
  </r>
  <r>
    <s v="1580"/>
    <n v="990"/>
    <s v="Agencia Información"/>
    <s v="Social"/>
    <n v="3"/>
    <x v="75"/>
    <x v="18"/>
    <x v="1"/>
    <x v="3"/>
    <x v="1"/>
    <x v="131"/>
    <s v="Año 2017"/>
    <s v="Personas"/>
    <s v="Instituto Nacional de Estadísticas (INE)"/>
    <s v="Cantidad de Personas que se Identifican con un Pueblo Indígena por Pueblo en la región de Atacama, Año 2017"/>
    <m/>
    <s v="Gráfico"/>
    <s v="región de Atacama gráfico población pueblos originarios indígenas etnia año 2017"/>
    <s v="https://analytics.zoho.com/open-view/2395394000008503341?ZOHO_CRITERIA=%22Pueblos%20Ind%C3%ADgenas%20Edad%22.%22id_Region%22%20%3D%203"/>
    <x v="3"/>
    <s v="#1774B102"/>
  </r>
  <r>
    <s v="1581"/>
    <n v="990"/>
    <s v="Agencia Información"/>
    <s v="Social"/>
    <n v="4"/>
    <x v="75"/>
    <x v="18"/>
    <x v="1"/>
    <x v="4"/>
    <x v="1"/>
    <x v="131"/>
    <s v="Año 2017"/>
    <s v="Personas"/>
    <s v="Instituto Nacional de Estadísticas (INE)"/>
    <s v="Cantidad de Personas que se Identifican con un Pueblo Indígena por Pueblo en la región de Coquimbo, Año 2017"/>
    <m/>
    <s v="Gráfico"/>
    <s v="región de Coquimbo gráfico población pueblos originarios indígenas etnia año 2017"/>
    <s v="https://analytics.zoho.com/open-view/2395394000008503341?ZOHO_CRITERIA=%22Pueblos%20Ind%C3%ADgenas%20Edad%22.%22id_Region%22%20%3D%204"/>
    <x v="4"/>
    <s v="#1774B103"/>
  </r>
  <r>
    <s v="1582"/>
    <n v="990"/>
    <s v="Agencia Información"/>
    <s v="Social"/>
    <n v="5"/>
    <x v="75"/>
    <x v="18"/>
    <x v="1"/>
    <x v="5"/>
    <x v="1"/>
    <x v="131"/>
    <s v="Año 2017"/>
    <s v="Personas"/>
    <s v="Instituto Nacional de Estadísticas (INE)"/>
    <s v="Cantidad de Personas que se Identifican con un Pueblo Indígena por Pueblo en la región de Valparaíso, Año 2017"/>
    <m/>
    <s v="Gráfico"/>
    <s v="región de Valparaíso gráfico población pueblos originarios indígenas etnia año 2017"/>
    <s v="https://analytics.zoho.com/open-view/2395394000008503341?ZOHO_CRITERIA=%22Pueblos%20Ind%C3%ADgenas%20Edad%22.%22id_Region%22%20%3D%205"/>
    <x v="5"/>
    <s v="#1774B104"/>
  </r>
  <r>
    <s v="1583"/>
    <n v="990"/>
    <s v="Agencia Información"/>
    <s v="Social"/>
    <n v="6"/>
    <x v="75"/>
    <x v="18"/>
    <x v="1"/>
    <x v="6"/>
    <x v="1"/>
    <x v="131"/>
    <s v="Año 2017"/>
    <s v="Personas"/>
    <s v="Instituto Nacional de Estadísticas (INE)"/>
    <s v="Cantidad de Personas que se Identifican con un Pueblo Indígena por Pueblo en la región de O'Higgins, Año 2017"/>
    <m/>
    <s v="Gráfico"/>
    <s v="región de O'Higgins gráfico población pueblos originarios indígenas etnia año 2017"/>
    <s v="https://analytics.zoho.com/open-view/2395394000008503341?ZOHO_CRITERIA=%22Pueblos%20Ind%C3%ADgenas%20Edad%22.%22id_Region%22%20%3D%206"/>
    <x v="6"/>
    <s v="#1774B105"/>
  </r>
  <r>
    <s v="1584"/>
    <n v="990"/>
    <s v="Agencia Información"/>
    <s v="Social"/>
    <n v="7"/>
    <x v="75"/>
    <x v="18"/>
    <x v="1"/>
    <x v="7"/>
    <x v="1"/>
    <x v="131"/>
    <s v="Año 2017"/>
    <s v="Personas"/>
    <s v="Instituto Nacional de Estadísticas (INE)"/>
    <s v="Cantidad de Personas que se Identifican con un Pueblo Indígena por Pueblo en la región de Maule, Año 2017"/>
    <m/>
    <s v="Gráfico"/>
    <s v="región de Maule gráfico población pueblos originarios indígenas etnia año 2017"/>
    <s v="https://analytics.zoho.com/open-view/2395394000008503341?ZOHO_CRITERIA=%22Pueblos%20Ind%C3%ADgenas%20Edad%22.%22id_Region%22%20%3D%207"/>
    <x v="7"/>
    <s v="#1774B106"/>
  </r>
  <r>
    <s v="1585"/>
    <n v="990"/>
    <s v="Agencia Información"/>
    <s v="Social"/>
    <n v="8"/>
    <x v="75"/>
    <x v="18"/>
    <x v="1"/>
    <x v="8"/>
    <x v="1"/>
    <x v="131"/>
    <s v="Año 2017"/>
    <s v="Personas"/>
    <s v="Instituto Nacional de Estadísticas (INE)"/>
    <s v="Cantidad de Personas que se Identifican con un Pueblo Indígena por Pueblo en la región de Biobío, Año 2017"/>
    <m/>
    <s v="Gráfico"/>
    <s v="región de Biobío gráfico población pueblos originarios indígenas etnia año 2017"/>
    <s v="https://analytics.zoho.com/open-view/2395394000008503341?ZOHO_CRITERIA=%22Pueblos%20Ind%C3%ADgenas%20Edad%22.%22id_Region%22%20%3D%208"/>
    <x v="8"/>
    <s v="#1774B107"/>
  </r>
  <r>
    <s v="1586"/>
    <n v="990"/>
    <s v="Agencia Información"/>
    <s v="Social"/>
    <n v="9"/>
    <x v="75"/>
    <x v="18"/>
    <x v="1"/>
    <x v="9"/>
    <x v="1"/>
    <x v="131"/>
    <s v="Año 2017"/>
    <s v="Personas"/>
    <s v="Instituto Nacional de Estadísticas (INE)"/>
    <s v="Cantidad de Personas que se Identifican con un Pueblo Indígena por Pueblo en la región de La Araucanía, Año 2017"/>
    <m/>
    <s v="Gráfico"/>
    <s v="región de La Araucanía gráfico población pueblos originarios indígenas etnia año 2017"/>
    <s v="https://analytics.zoho.com/open-view/2395394000008503341?ZOHO_CRITERIA=%22Pueblos%20Ind%C3%ADgenas%20Edad%22.%22id_Region%22%20%3D%209"/>
    <x v="9"/>
    <s v="#1774B108"/>
  </r>
  <r>
    <s v="1587"/>
    <n v="990"/>
    <s v="Agencia Información"/>
    <s v="Social"/>
    <n v="10"/>
    <x v="75"/>
    <x v="18"/>
    <x v="1"/>
    <x v="10"/>
    <x v="1"/>
    <x v="131"/>
    <s v="Año 2017"/>
    <s v="Personas"/>
    <s v="Instituto Nacional de Estadísticas (INE)"/>
    <s v="Cantidad de Personas que se Identifican con un Pueblo Indígena por Pueblo en la región de Los Lagos, Año 2017"/>
    <m/>
    <s v="Gráfico"/>
    <s v="región de Los Lagos gráfico población pueblos originarios indígenas etnia año 2017"/>
    <s v="https://analytics.zoho.com/open-view/2395394000008503341?ZOHO_CRITERIA=%22Pueblos%20Ind%C3%ADgenas%20Edad%22.%22id_Region%22%20%3D%2010"/>
    <x v="10"/>
    <s v="#1774B109"/>
  </r>
  <r>
    <s v="1588"/>
    <n v="990"/>
    <s v="Agencia Información"/>
    <s v="Social"/>
    <n v="11"/>
    <x v="75"/>
    <x v="18"/>
    <x v="1"/>
    <x v="11"/>
    <x v="1"/>
    <x v="131"/>
    <s v="Año 2017"/>
    <s v="Personas"/>
    <s v="Instituto Nacional de Estadísticas (INE)"/>
    <s v="Cantidad de Personas que se Identifican con un Pueblo Indígena por Pueblo en la región de Aysén, Año 2017"/>
    <m/>
    <s v="Gráfico"/>
    <s v="región de Aysén gráfico población pueblos originarios indígenas etnia año 2017"/>
    <s v="https://analytics.zoho.com/open-view/2395394000008503341?ZOHO_CRITERIA=%22Pueblos%20Ind%C3%ADgenas%20Edad%22.%22id_Region%22%20%3D%2011"/>
    <x v="11"/>
    <s v="#1774B110"/>
  </r>
  <r>
    <s v="1589"/>
    <n v="990"/>
    <s v="Agencia Información"/>
    <s v="Social"/>
    <n v="12"/>
    <x v="75"/>
    <x v="18"/>
    <x v="1"/>
    <x v="12"/>
    <x v="1"/>
    <x v="131"/>
    <s v="Año 2017"/>
    <s v="Personas"/>
    <s v="Instituto Nacional de Estadísticas (INE)"/>
    <s v="Cantidad de Personas que se Identifican con un Pueblo Indígena por Pueblo en la región de Magallanes, Año 2017"/>
    <m/>
    <s v="Gráfico"/>
    <s v="región de Magallanes gráfico población pueblos originarios indígenas etnia año 2017"/>
    <s v="https://analytics.zoho.com/open-view/2395394000008503341?ZOHO_CRITERIA=%22Pueblos%20Ind%C3%ADgenas%20Edad%22.%22id_Region%22%20%3D%2012"/>
    <x v="12"/>
    <s v="#1774B111"/>
  </r>
  <r>
    <s v="1590"/>
    <n v="990"/>
    <s v="Agencia Información"/>
    <s v="Social"/>
    <n v="13"/>
    <x v="75"/>
    <x v="18"/>
    <x v="1"/>
    <x v="13"/>
    <x v="1"/>
    <x v="131"/>
    <s v="Año 2017"/>
    <s v="Personas"/>
    <s v="Instituto Nacional de Estadísticas (INE)"/>
    <s v="Cantidad de Personas que se Identifican con un Pueblo Indígena por Pueblo en la región Metropolitana, Año 2017"/>
    <m/>
    <s v="Gráfico"/>
    <s v="región Metropolitana gráfico población pueblos originarios indígenas etnia año 2017"/>
    <s v="https://analytics.zoho.com/open-view/2395394000008503341?ZOHO_CRITERIA=%22Pueblos%20Ind%C3%ADgenas%20Edad%22.%22id_Region%22%20%3D%2013"/>
    <x v="13"/>
    <s v="#1774B112"/>
  </r>
  <r>
    <s v="1591"/>
    <n v="990"/>
    <s v="Agencia Información"/>
    <s v="Social"/>
    <n v="14"/>
    <x v="75"/>
    <x v="18"/>
    <x v="1"/>
    <x v="14"/>
    <x v="1"/>
    <x v="131"/>
    <s v="Año 2017"/>
    <s v="Personas"/>
    <s v="Instituto Nacional de Estadísticas (INE)"/>
    <s v="Cantidad de Personas que se Identifican con un Pueblo Indígena por Pueblo en la región de Los Ríos, Año 2017"/>
    <m/>
    <s v="Gráfico"/>
    <s v="región de Los Ríos gráfico población pueblos originarios indígenas etnia año 2017"/>
    <s v="https://analytics.zoho.com/open-view/2395394000008503341?ZOHO_CRITERIA=%22Pueblos%20Ind%C3%ADgenas%20Edad%22.%22id_Region%22%20%3D%2014"/>
    <x v="14"/>
    <s v="#1774B113"/>
  </r>
  <r>
    <s v="1592"/>
    <n v="990"/>
    <s v="Agencia Información"/>
    <s v="Social"/>
    <n v="15"/>
    <x v="75"/>
    <x v="18"/>
    <x v="1"/>
    <x v="15"/>
    <x v="1"/>
    <x v="131"/>
    <s v="Año 2017"/>
    <s v="Personas"/>
    <s v="Instituto Nacional de Estadísticas (INE)"/>
    <s v="Cantidad de Personas que se Identifican con un Pueblo Indígena por Pueblo en la región de Arica y Parinacota, Año 2017"/>
    <m/>
    <s v="Gráfico"/>
    <s v="región de Arica y Parinacota gráfico población pueblos originarios indígenas etnia año 2017"/>
    <s v="https://analytics.zoho.com/open-view/2395394000008503341?ZOHO_CRITERIA=%22Pueblos%20Ind%C3%ADgenas%20Edad%22.%22id_Region%22%20%3D%2015"/>
    <x v="15"/>
    <s v="#1774B114"/>
  </r>
  <r>
    <s v="1593"/>
    <n v="990"/>
    <s v="Agencia Información"/>
    <s v="Social"/>
    <n v="16"/>
    <x v="75"/>
    <x v="18"/>
    <x v="1"/>
    <x v="16"/>
    <x v="1"/>
    <x v="131"/>
    <s v="Año 2017"/>
    <s v="Personas"/>
    <s v="Instituto Nacional de Estadísticas (INE)"/>
    <s v="Cantidad de Personas que se Identifican con un Pueblo Indígena por Pueblo en la región de Ñuble, Año 2017"/>
    <m/>
    <s v="Gráfico"/>
    <s v="región de Ñuble gráfico población pueblos originarios indígenas etnia año 2017"/>
    <s v="https://analytics.zoho.com/open-view/2395394000008503341?ZOHO_CRITERIA=%22Pueblos%20Ind%C3%ADgenas%20Edad%22.%22id_Region%22%20%3D%2016"/>
    <x v="16"/>
    <s v="#1774B115"/>
  </r>
  <r>
    <s v="1594"/>
    <n v="990"/>
    <s v="Agencia Información"/>
    <s v="Social"/>
    <n v="0"/>
    <x v="75"/>
    <x v="18"/>
    <x v="0"/>
    <x v="0"/>
    <x v="1"/>
    <x v="133"/>
    <s v="Año 2017"/>
    <s v="Personas"/>
    <s v="Instituto Nacional de Estadísticas (INE)"/>
    <s v="Cantidad de Personas que se Identifican con un Pueblo Indígena por Sexo y Región en Chile, Año 2017"/>
    <s v="La presencia de mujeres pertenecientes a pueblos indígenas es más notoria en la región Metropolitana, alcanzando 352.651 mujeres. Al contrario, la región que tiene menos mujeres pertenecientes a pueblos indígenas es Arica y Parinacota, con 11.128 habitantes."/>
    <s v="Gráfico"/>
    <s v="Chile población pueblos originarios indígenas etnia sexo hombre mujer "/>
    <s v="https://analytics.zoho.com/open-view/2395394000008439092"/>
    <x v="0"/>
    <s v="#1774B116"/>
  </r>
  <r>
    <s v="1595"/>
    <n v="990"/>
    <s v="Agencia Información"/>
    <s v="Social"/>
    <n v="1"/>
    <x v="75"/>
    <x v="18"/>
    <x v="1"/>
    <x v="1"/>
    <x v="1"/>
    <x v="133"/>
    <s v="Año 2017"/>
    <s v="Personas"/>
    <s v="Instituto Nacional de Estadísticas (INE)"/>
    <s v="Cantidad de Personas que se Identifican con un Pueblo Indígena por Sexo en la Región de Tarapacá, Año 2017"/>
    <m/>
    <s v="Gráfico"/>
    <s v="Región de Tarapacá gráfico población pueblos originarios indígenas etnia sexo hombre mujer año 2017"/>
    <s v="https://analytics.zoho.com/open-view/2395394000008503554?ZOHO_CRITERIA=%22Pueblos%20Ind%C3%ADgenas%20Sexo%22.%22id_Region%22%20%3D%201"/>
    <x v="1"/>
    <s v="#1774B117"/>
  </r>
  <r>
    <s v="1596"/>
    <n v="990"/>
    <s v="Agencia Información"/>
    <s v="Social"/>
    <n v="2"/>
    <x v="75"/>
    <x v="18"/>
    <x v="1"/>
    <x v="2"/>
    <x v="1"/>
    <x v="133"/>
    <s v="Año 2017"/>
    <s v="Personas"/>
    <s v="Instituto Nacional de Estadísticas (INE)"/>
    <s v="Cantidad de Personas que se Identifican con un Pueblo Indígena por Sexo en la Región de Antofagasta, Año 2017"/>
    <m/>
    <s v="Gráfico"/>
    <s v="Región de Antofagasta gráfico población pueblos originarios indígenas etnia sexo hombre mujer año 2017"/>
    <s v="https://analytics.zoho.com/open-view/2395394000008503554?ZOHO_CRITERIA=%22Pueblos%20Ind%C3%ADgenas%20Sexo%22.%22id_Region%22%20%3D%202"/>
    <x v="2"/>
    <s v="#1774B118"/>
  </r>
  <r>
    <s v="1597"/>
    <n v="990"/>
    <s v="Agencia Información"/>
    <s v="Social"/>
    <n v="3"/>
    <x v="75"/>
    <x v="18"/>
    <x v="1"/>
    <x v="3"/>
    <x v="1"/>
    <x v="133"/>
    <s v="Año 2017"/>
    <s v="Personas"/>
    <s v="Instituto Nacional de Estadísticas (INE)"/>
    <s v="Cantidad de Personas que se Identifican con un Pueblo Indígena por Sexo en la Región de Atacama, Año 2017"/>
    <m/>
    <s v="Gráfico"/>
    <s v="Región de Atacama gráfico población pueblos originarios indígenas etnia sexo hombre mujer año 2017"/>
    <s v="https://analytics.zoho.com/open-view/2395394000008503554?ZOHO_CRITERIA=%22Pueblos%20Ind%C3%ADgenas%20Sexo%22.%22id_Region%22%20%3D%203"/>
    <x v="3"/>
    <s v="#1774B119"/>
  </r>
  <r>
    <s v="1598"/>
    <n v="990"/>
    <s v="Agencia Información"/>
    <s v="Social"/>
    <n v="4"/>
    <x v="75"/>
    <x v="18"/>
    <x v="1"/>
    <x v="4"/>
    <x v="1"/>
    <x v="133"/>
    <s v="Año 2017"/>
    <s v="Personas"/>
    <s v="Instituto Nacional de Estadísticas (INE)"/>
    <s v="Cantidad de Personas que se Identifican con un Pueblo Indígena por Sexo en la Región de Coquimbo, Año 2017"/>
    <m/>
    <s v="Gráfico"/>
    <s v="Región de Coquimbo gráfico población pueblos originarios indígenas etnia sexo hombre mujer año 2017"/>
    <s v="https://analytics.zoho.com/open-view/2395394000008503554?ZOHO_CRITERIA=%22Pueblos%20Ind%C3%ADgenas%20Sexo%22.%22id_Region%22%20%3D%204"/>
    <x v="4"/>
    <s v="#1774B120"/>
  </r>
  <r>
    <s v="1599"/>
    <n v="990"/>
    <s v="Agencia Información"/>
    <s v="Social"/>
    <n v="5"/>
    <x v="75"/>
    <x v="18"/>
    <x v="1"/>
    <x v="5"/>
    <x v="1"/>
    <x v="133"/>
    <s v="Año 2017"/>
    <s v="Personas"/>
    <s v="Instituto Nacional de Estadísticas (INE)"/>
    <s v="Cantidad de Personas que se Identifican con un Pueblo Indígena por Sexo en la Región de Valparaíso, Año 2017"/>
    <m/>
    <s v="Gráfico"/>
    <s v="Región de Valparaíso gráfico población pueblos originarios indígenas etnia sexo hombre mujer año 2017"/>
    <s v="https://analytics.zoho.com/open-view/2395394000008503554?ZOHO_CRITERIA=%22Pueblos%20Ind%C3%ADgenas%20Sexo%22.%22id_Region%22%20%3D%205"/>
    <x v="5"/>
    <s v="#1774B121"/>
  </r>
  <r>
    <s v="1600"/>
    <n v="990"/>
    <s v="Agencia Información"/>
    <s v="Social"/>
    <n v="6"/>
    <x v="75"/>
    <x v="18"/>
    <x v="1"/>
    <x v="6"/>
    <x v="1"/>
    <x v="133"/>
    <s v="Año 2017"/>
    <s v="Personas"/>
    <s v="Instituto Nacional de Estadísticas (INE)"/>
    <s v="Cantidad de Personas que se Identifican con un Pueblo Indígena por Sexo en la Región de O'Higgins, Año 2017"/>
    <m/>
    <s v="Gráfico"/>
    <s v="Región de O'Higgins gráfico población pueblos originarios indígenas etnia sexo hombre mujer año 2017"/>
    <s v="https://analytics.zoho.com/open-view/2395394000008503554?ZOHO_CRITERIA=%22Pueblos%20Ind%C3%ADgenas%20Sexo%22.%22id_Region%22%20%3D%206"/>
    <x v="6"/>
    <s v="#1774B122"/>
  </r>
  <r>
    <s v="1601"/>
    <n v="990"/>
    <s v="Agencia Información"/>
    <s v="Social"/>
    <n v="7"/>
    <x v="75"/>
    <x v="18"/>
    <x v="1"/>
    <x v="7"/>
    <x v="1"/>
    <x v="133"/>
    <s v="Año 2017"/>
    <s v="Personas"/>
    <s v="Instituto Nacional de Estadísticas (INE)"/>
    <s v="Cantidad de Personas que se Identifican con un Pueblo Indígena por Sexo en la Región de Maule, Año 2017"/>
    <m/>
    <s v="Gráfico"/>
    <s v="Región de Maule gráfico población pueblos originarios indígenas etnia sexo hombre mujer año 2017"/>
    <s v="https://analytics.zoho.com/open-view/2395394000008503554?ZOHO_CRITERIA=%22Pueblos%20Ind%C3%ADgenas%20Sexo%22.%22id_Region%22%20%3D%207"/>
    <x v="7"/>
    <s v="#1774B123"/>
  </r>
  <r>
    <s v="1602"/>
    <n v="990"/>
    <s v="Agencia Información"/>
    <s v="Social"/>
    <n v="8"/>
    <x v="75"/>
    <x v="18"/>
    <x v="1"/>
    <x v="8"/>
    <x v="1"/>
    <x v="133"/>
    <s v="Año 2017"/>
    <s v="Personas"/>
    <s v="Instituto Nacional de Estadísticas (INE)"/>
    <s v="Cantidad de Personas que se Identifican con un Pueblo Indígena por Sexo en la Región del Biobío, Año 2017"/>
    <m/>
    <s v="Gráfico"/>
    <s v="Región del Biobío gráfico población pueblos originarios indígenas etnia sexo hombre mujer año 2017"/>
    <s v="https://analytics.zoho.com/open-view/2395394000008503554?ZOHO_CRITERIA=%22Pueblos%20Ind%C3%ADgenas%20Sexo%22.%22id_Region%22%20%3D%208"/>
    <x v="8"/>
    <s v="#1774B124"/>
  </r>
  <r>
    <s v="1603"/>
    <n v="990"/>
    <s v="Agencia Información"/>
    <s v="Social"/>
    <n v="9"/>
    <x v="75"/>
    <x v="18"/>
    <x v="1"/>
    <x v="9"/>
    <x v="1"/>
    <x v="133"/>
    <s v="Año 2017"/>
    <s v="Personas"/>
    <s v="Instituto Nacional de Estadísticas (INE)"/>
    <s v="Cantidad de Personas que se Identifican con un Pueblo Indígena por Sexo en la Región de La Araucanía, Año 2017"/>
    <m/>
    <s v="Gráfico"/>
    <s v="Región de La Araucanía gráfico población pueblos originarios indígenas etnia sexo hombre mujer año 2017"/>
    <s v="https://analytics.zoho.com/open-view/2395394000008503554?ZOHO_CRITERIA=%22Pueblos%20Ind%C3%ADgenas%20Sexo%22.%22id_Region%22%20%3D%209"/>
    <x v="9"/>
    <s v="#1774B125"/>
  </r>
  <r>
    <s v="1604"/>
    <n v="990"/>
    <s v="Agencia Información"/>
    <s v="Social"/>
    <n v="10"/>
    <x v="75"/>
    <x v="18"/>
    <x v="1"/>
    <x v="10"/>
    <x v="1"/>
    <x v="133"/>
    <s v="Año 2017"/>
    <s v="Personas"/>
    <s v="Instituto Nacional de Estadísticas (INE)"/>
    <s v="Cantidad de Personas que se Identifican con un Pueblo Indígena por Sexo en la Región de Los Lagos, Año 2017"/>
    <m/>
    <s v="Gráfico"/>
    <s v="Región de Los Lagos gráfico población pueblos originarios indígenas etnia sexo hombre mujer año 2017"/>
    <s v="https://analytics.zoho.com/open-view/2395394000008503554?ZOHO_CRITERIA=%22Pueblos%20Ind%C3%ADgenas%20Sexo%22.%22id_Region%22%20%3D%2010"/>
    <x v="10"/>
    <s v="#1774B126"/>
  </r>
  <r>
    <s v="1605"/>
    <n v="990"/>
    <s v="Agencia Información"/>
    <s v="Social"/>
    <n v="11"/>
    <x v="75"/>
    <x v="18"/>
    <x v="1"/>
    <x v="11"/>
    <x v="1"/>
    <x v="133"/>
    <s v="Año 2017"/>
    <s v="Personas"/>
    <s v="Instituto Nacional de Estadísticas (INE)"/>
    <s v="Cantidad de Personas que se Identifican con un Pueblo Indígena por Sexo en la Región de Aysén, Año 2017"/>
    <m/>
    <s v="Gráfico"/>
    <s v="Región de Aysén gráfico población pueblos originarios indígenas etnia sexo hombre mujer año 2017"/>
    <s v="https://analytics.zoho.com/open-view/2395394000008503554?ZOHO_CRITERIA=%22Pueblos%20Ind%C3%ADgenas%20Sexo%22.%22id_Region%22%20%3D%2011"/>
    <x v="11"/>
    <s v="#1774B127"/>
  </r>
  <r>
    <s v="1606"/>
    <n v="990"/>
    <s v="Agencia Información"/>
    <s v="Social"/>
    <n v="12"/>
    <x v="75"/>
    <x v="18"/>
    <x v="1"/>
    <x v="12"/>
    <x v="1"/>
    <x v="133"/>
    <s v="Año 2017"/>
    <s v="Personas"/>
    <s v="Instituto Nacional de Estadísticas (INE)"/>
    <s v="Cantidad de Personas que se Identifican con un Pueblo Indígena por Sexo en la Región de Magallanes, Año 2017"/>
    <m/>
    <s v="Gráfico"/>
    <s v="Región de Magallanes gráfico población pueblos originarios indígenas etnia sexo hombre mujer año 2017"/>
    <s v="https://analytics.zoho.com/open-view/2395394000008503554?ZOHO_CRITERIA=%22Pueblos%20Ind%C3%ADgenas%20Sexo%22.%22id_Region%22%20%3D%2012"/>
    <x v="12"/>
    <s v="#1774B128"/>
  </r>
  <r>
    <s v="1607"/>
    <n v="990"/>
    <s v="Agencia Información"/>
    <s v="Social"/>
    <n v="13"/>
    <x v="75"/>
    <x v="18"/>
    <x v="1"/>
    <x v="13"/>
    <x v="1"/>
    <x v="133"/>
    <s v="Año 2017"/>
    <s v="Personas"/>
    <s v="Instituto Nacional de Estadísticas (INE)"/>
    <s v="Cantidad de Personas que se Identifican con un Pueblo Indígena por Sexo en la Región Metropolitana, Año 2017"/>
    <m/>
    <s v="Gráfico"/>
    <s v="Región Metropolitana gráfico población pueblos originarios indígenas etnia sexo hombre mujer año 2017"/>
    <s v="https://analytics.zoho.com/open-view/2395394000008503554?ZOHO_CRITERIA=%22Pueblos%20Ind%C3%ADgenas%20Sexo%22.%22id_Region%22%20%3D%2013"/>
    <x v="13"/>
    <s v="#1774B129"/>
  </r>
  <r>
    <s v="1608"/>
    <n v="990"/>
    <s v="Agencia Información"/>
    <s v="Social"/>
    <n v="14"/>
    <x v="75"/>
    <x v="18"/>
    <x v="1"/>
    <x v="14"/>
    <x v="1"/>
    <x v="133"/>
    <s v="Año 2017"/>
    <s v="Personas"/>
    <s v="Instituto Nacional de Estadísticas (INE)"/>
    <s v="Cantidad de Personas que se Identifican con un Pueblo Indígena por Sexo en la Región de Los Ríos, Año 2017"/>
    <m/>
    <s v="Gráfico"/>
    <s v="Región de Los Ríos gráfico población pueblos originarios indígenas etnia sexo hombre mujer año 2017"/>
    <s v="https://analytics.zoho.com/open-view/2395394000008503554?ZOHO_CRITERIA=%22Pueblos%20Ind%C3%ADgenas%20Sexo%22.%22id_Region%22%20%3D%2014"/>
    <x v="14"/>
    <s v="#1774B130"/>
  </r>
  <r>
    <s v="1609"/>
    <n v="990"/>
    <s v="Agencia Información"/>
    <s v="Social"/>
    <n v="15"/>
    <x v="75"/>
    <x v="18"/>
    <x v="1"/>
    <x v="15"/>
    <x v="1"/>
    <x v="133"/>
    <s v="Año 2017"/>
    <s v="Personas"/>
    <s v="Instituto Nacional de Estadísticas (INE)"/>
    <s v="Cantidad de Personas que se Identifican con un Pueblo Indígena por Sexo en la Región de Arica y Parinacota, Año 2017"/>
    <m/>
    <s v="Gráfico"/>
    <s v="Región de Arica y Parinacota gráfico población pueblos originarios indígenas etnia sexo hombre mujer año 2017"/>
    <s v="https://analytics.zoho.com/open-view/2395394000008503554?ZOHO_CRITERIA=%22Pueblos%20Ind%C3%ADgenas%20Sexo%22.%22id_Region%22%20%3D%2015"/>
    <x v="15"/>
    <s v="#1774B131"/>
  </r>
  <r>
    <s v="1610"/>
    <n v="990"/>
    <s v="Agencia Información"/>
    <s v="Social"/>
    <n v="16"/>
    <x v="75"/>
    <x v="18"/>
    <x v="1"/>
    <x v="16"/>
    <x v="1"/>
    <x v="133"/>
    <s v="Año 2017"/>
    <s v="Personas"/>
    <s v="Instituto Nacional de Estadísticas (INE)"/>
    <s v="Cantidad de Personas que se Identifican con un Pueblo Indígena por Sexo en la Región de Ñuble, Año 2017"/>
    <m/>
    <s v="Gráfico"/>
    <s v="Región de Ñuble gráfico población pueblos originarios indígenas etnia sexo hombre mujer año 2017"/>
    <s v="https://analytics.zoho.com/open-view/2395394000008503554?ZOHO_CRITERIA=%22Pueblos%20Ind%C3%ADgenas%20Sexo%22.%22id_Region%22%20%3D%2016"/>
    <x v="16"/>
    <s v="#1774B132"/>
  </r>
  <r>
    <s v="1611"/>
    <n v="990"/>
    <s v="Agencia Información"/>
    <s v="Socioeconómico"/>
    <n v="0"/>
    <x v="76"/>
    <x v="31"/>
    <x v="0"/>
    <x v="0"/>
    <x v="9"/>
    <x v="134"/>
    <s v="Periodo 1986-2021"/>
    <s v="Tasa "/>
    <s v="Banco Central"/>
    <s v="Tasa de Desocupación en Chile en el Periodo 1986-2021"/>
    <s v="En Chile, la tasa de desocupación alcanzó su máximo en febrero de 1986 con un valor de 13,5. Luego, comienza a disminuir gradualmente hasta febrero de 1998, alcanzando su valor más bajo en todo el periodo observado con 5,1."/>
    <s v="Gráfico de Evolución"/>
    <s v="tasa de desocupación nacional  mensual Chile trabajo gráfico evolución periodo 1986 2021"/>
    <s v="https://analytics.zoho.com/open-view/2395394000008196724"/>
    <x v="34"/>
    <s v="#1774B133"/>
  </r>
  <r>
    <s v="1612"/>
    <n v="990"/>
    <s v="Agencia Información"/>
    <s v="Socioeconómico"/>
    <n v="0"/>
    <x v="77"/>
    <x v="31"/>
    <x v="0"/>
    <x v="0"/>
    <x v="9"/>
    <x v="135"/>
    <s v="Periodo 1986-2021"/>
    <s v="Porcentaje (%)"/>
    <s v="Banco Central"/>
    <s v="Variación de la Fuerza de Trabajo en Chile con el Año Anterior en el Periodo 1986-2021"/>
    <s v="La fuerza de trabajo integra a las personas ocupadas, desocupadas, que buscan trabajo por primera vez y cesantes. Entre febrero de 1987 y marzo del 2020, la variación de la fuerza de trabajo fluctuó entre -0,7% y 6,9%, siendo este último su máximo en todo el periodo observado. En julio de 2020 alcanza su valor mínimo con -15,6%, para luego comenzar a aumentar."/>
    <s v="Gráfico de Evolución"/>
    <s v="evolución variación porcentaje fuerza de trabajo Chile mensual año anterior periodo 1986 2021"/>
    <s v="https://analytics.zoho.com/open-view/2395394000008199603"/>
    <x v="34"/>
    <s v="#1774B134"/>
  </r>
  <r>
    <s v="1613"/>
    <n v="990"/>
    <s v="Agencia Información"/>
    <s v="Socioeconómico"/>
    <n v="0"/>
    <x v="78"/>
    <x v="31"/>
    <x v="0"/>
    <x v="0"/>
    <x v="9"/>
    <x v="136"/>
    <s v="Periodo 1986-2021"/>
    <s v="Porcentaje (%)"/>
    <s v="Banco Central"/>
    <s v="Variación de desocupados en Chile con el Año Anterior en el Periodo 1986-2021"/>
    <s v="La variación en la cantidad de desocupados a nivel nacional encontró su máximo en junio de 1999, con un valor de 83,5%. En noviembre de 2012, se observó el valor mínimo de esta variación con -29,5%."/>
    <s v="Gráfico de Evolución"/>
    <s v="evolución variación porcentaje desocupados Chile mensual año anterior periodo 1986 2021"/>
    <s v="https://analytics.zoho.com/open-view/2395394000008199783"/>
    <x v="34"/>
    <s v="#1774B135"/>
  </r>
  <r>
    <s v="1614"/>
    <n v="990"/>
    <s v="Agencia Información"/>
    <s v="Economía"/>
    <n v="0"/>
    <x v="79"/>
    <x v="32"/>
    <x v="0"/>
    <x v="0"/>
    <x v="19"/>
    <x v="137"/>
    <s v="Periodo 2014-2021"/>
    <s v="Índice de producción minera"/>
    <s v="Instituto Nacional de Estadísticas (INE)"/>
    <s v="Índice de Producción Minera en Chile en el Periodo 2014-2021"/>
    <s v="Según el INE, el índice de producción minera (IPMin) entrega, mediante el análisis de variaciones interanuales y mensuales, una aproximación de la evolución en el corto plazo de la actividad minera. Este índice alcanzó su mínimo en febrero de 2019 con un valor de 82,3. En mayo de 2020 alcanzó su máximo dentro del periodo observado con un valor de 113,3."/>
    <s v="Gráfico de Evolución"/>
    <s v="evolución Chile nacional índice de producción minera minería periodo 2014 2021 IPMin"/>
    <s v="https://analytics.zoho.com/open-view/2395394000008086091"/>
    <x v="0"/>
    <s v="#1774B136"/>
  </r>
  <r>
    <s v="1615"/>
    <n v="990"/>
    <s v="Agencia Información"/>
    <s v="Economía"/>
    <n v="1"/>
    <x v="79"/>
    <x v="32"/>
    <x v="1"/>
    <x v="1"/>
    <x v="9"/>
    <x v="137"/>
    <s v="Periodo 2014-2021"/>
    <s v="Índice de producción minera"/>
    <s v="Instituto Nacional de Estadísticas (INE)"/>
    <s v="Índice de Producción Minera en la Región de Tarapacá en el Periodo 2014-2021"/>
    <m/>
    <s v="Gráfico de Evolución"/>
    <s v="Región de Tarapacá gráfico evolución Chile índice de producción minera minería periodo 2014 2021 IPMin"/>
    <s v="https://analytics.zoho.com/open-view/2395394000008094339?ZOHO_CRITERIA=%22Consolidado_Estadisticas_Regionales_New%22.%22C%C3%B3digo%20regi%C3%B3n%22%20%3D%201"/>
    <x v="1"/>
    <s v="#1774B137"/>
  </r>
  <r>
    <s v="1616"/>
    <n v="990"/>
    <s v="Agencia Información"/>
    <s v="Economía"/>
    <n v="2"/>
    <x v="79"/>
    <x v="32"/>
    <x v="1"/>
    <x v="2"/>
    <x v="9"/>
    <x v="137"/>
    <s v="Periodo 2014-2021"/>
    <s v="Índice de producción minera"/>
    <s v="Instituto Nacional de Estadísticas (INE)"/>
    <s v="Índice de Producción Minera en la Región de Antofagasta en el Periodo 2014-2021"/>
    <m/>
    <s v="Gráfico de Evolución"/>
    <s v="Región de Antofagasta gráfico evolución Chile índice de producción minera minería periodo 2014 2021 IPMin"/>
    <s v="https://analytics.zoho.com/open-view/2395394000008094339?ZOHO_CRITERIA=%22Consolidado_Estadisticas_Regionales_New%22.%22C%C3%B3digo%20regi%C3%B3n%22%20%3D%202"/>
    <x v="2"/>
    <s v="#1774B138"/>
  </r>
  <r>
    <s v="1617"/>
    <n v="990"/>
    <s v="Agencia Información"/>
    <s v="Economía"/>
    <n v="3"/>
    <x v="79"/>
    <x v="32"/>
    <x v="1"/>
    <x v="3"/>
    <x v="9"/>
    <x v="137"/>
    <s v="Periodo 2014-2021"/>
    <s v="Índice de producción minera"/>
    <s v="Instituto Nacional de Estadísticas (INE)"/>
    <s v="Índice de Producción Minera en la Región de Atacama en el Periodo 2014-2021"/>
    <m/>
    <s v="Gráfico de Evolución"/>
    <s v="Región de Atacama gráfico evolución Chile índice de producción minera minería periodo 2014 2021 IPMin"/>
    <s v="https://analytics.zoho.com/open-view/2395394000008094339?ZOHO_CRITERIA=%22Consolidado_Estadisticas_Regionales_New%22.%22C%C3%B3digo%20regi%C3%B3n%22%20%3D%203"/>
    <x v="3"/>
    <s v="#1774B139"/>
  </r>
  <r>
    <s v="1618"/>
    <n v="990"/>
    <s v="Agencia Información"/>
    <s v="Economía"/>
    <n v="4"/>
    <x v="79"/>
    <x v="32"/>
    <x v="1"/>
    <x v="4"/>
    <x v="9"/>
    <x v="137"/>
    <s v="Periodo 2014-2021"/>
    <s v="Índice de producción minera"/>
    <s v="Instituto Nacional de Estadísticas (INE)"/>
    <s v="Índice de Producción Minera en la Región de Coquimbo en el Periodo 2014-2021"/>
    <m/>
    <s v="Gráfico de Evolución"/>
    <s v="Región de Coquimbo gráfico evolución Chile índice de producción minera minería periodo 2014 2021 IPMin"/>
    <s v="https://analytics.zoho.com/open-view/2395394000008094339?ZOHO_CRITERIA=%22Consolidado_Estadisticas_Regionales_New%22.%22C%C3%B3digo%20regi%C3%B3n%22%20%3D%204"/>
    <x v="4"/>
    <s v="#1774B140"/>
  </r>
  <r>
    <s v="1619"/>
    <n v="990"/>
    <s v="Agencia Información"/>
    <s v="Economía"/>
    <n v="0"/>
    <x v="79"/>
    <x v="32"/>
    <x v="0"/>
    <x v="0"/>
    <x v="19"/>
    <x v="138"/>
    <s v="Periodo 2014-2021"/>
    <s v="Toneladas métricas de contenido fino (tmf)"/>
    <s v="Instituto Nacional de Estadísticas (INE)"/>
    <s v="Producción de cobre en la región de Coquimbo en el periodo 2014-2021"/>
    <s v="La producción de cobre en toneladas métricas de contenido fino (tmf) alcanzó su máximo en diciembre de 2018, con una producción de 568.394 toneladas métricas. La producción más baja, dentro del periodo observado, se dio en febrero de 2017 con 277.690 tmf."/>
    <s v="Gráfico de Evolución"/>
    <s v=" evolución Chile toneladas méticas contenido fino producción cobre minería tmf periodo 2014 2021"/>
    <s v="https://analytics.zoho.com/open-view/2395394000008086867"/>
    <x v="0"/>
    <s v="#1774B141"/>
  </r>
  <r>
    <s v="1620"/>
    <n v="990"/>
    <s v="Agencia Información"/>
    <s v="Economía"/>
    <n v="1"/>
    <x v="79"/>
    <x v="32"/>
    <x v="1"/>
    <x v="1"/>
    <x v="19"/>
    <x v="138"/>
    <s v="Periodo 2014-2021"/>
    <s v="Toneladas métricas de contenido fino (tmf)"/>
    <s v="Instituto Nacional de Estadísticas (INE)"/>
    <s v="Producción de cobre en la región de Tarapáca en el periodo 2014-2021"/>
    <m/>
    <s v="Gráfico de Evolución"/>
    <s v=" evolución región de Tarapacá producción cobre toneladas contenido fino tmf periodo 2014 2021"/>
    <s v="https://analytics.zoho.com/open-view/2395394000008760041?ZOHO_CRITERIA=%22Consolidado_Estadisticas_Regionales_New%22.%22C%C3%B3digo%20regi%C3%B3n%22%20%3D%201"/>
    <x v="1"/>
    <s v="#1774B142"/>
  </r>
  <r>
    <s v="1621"/>
    <n v="990"/>
    <s v="Agencia Información"/>
    <s v="Economía"/>
    <n v="2"/>
    <x v="79"/>
    <x v="32"/>
    <x v="1"/>
    <x v="2"/>
    <x v="19"/>
    <x v="138"/>
    <s v="Periodo 2014-2021"/>
    <s v="Toneladas métricas de contenido fino (tmf)"/>
    <s v="Instituto Nacional de Estadísticas (INE)"/>
    <s v="Producción de cobre en la región de Antofagasta en el periodo 2014-2021"/>
    <m/>
    <s v="Gráfico de Evolución"/>
    <s v=" evolución región de Antofagasta producción cobre toneladas contenido fino tmf periodo 2014 2021"/>
    <s v="https://analytics.zoho.com/open-view/2395394000008760041?ZOHO_CRITERIA=%22Consolidado_Estadisticas_Regionales_New%22.%22C%C3%B3digo%20regi%C3%B3n%22%20%3D%202"/>
    <x v="2"/>
    <s v="#1774B143"/>
  </r>
  <r>
    <s v="1622"/>
    <n v="990"/>
    <s v="Agencia Información"/>
    <s v="Economía"/>
    <n v="3"/>
    <x v="79"/>
    <x v="32"/>
    <x v="1"/>
    <x v="3"/>
    <x v="19"/>
    <x v="138"/>
    <s v="Periodo 2014-2021"/>
    <s v="Toneladas métricas de contenido fino (tmf)"/>
    <s v="Instituto Nacional de Estadísticas (INE)"/>
    <s v="Producción de cobre en la región de Atacama en el periodo 2014-2021"/>
    <m/>
    <s v="Gráfico de Evolución"/>
    <s v=" evolución región de Atacama producción cobre toneladas contenido fino tmf periodo 2014 2021"/>
    <s v="https://analytics.zoho.com/open-view/2395394000008760041?ZOHO_CRITERIA=%22Consolidado_Estadisticas_Regionales_New%22.%22C%C3%B3digo%20regi%C3%B3n%22%20%3D%203"/>
    <x v="3"/>
    <s v="#1774B144"/>
  </r>
  <r>
    <s v="1623"/>
    <n v="990"/>
    <s v="Agencia Información"/>
    <s v="Economía"/>
    <n v="4"/>
    <x v="79"/>
    <x v="32"/>
    <x v="1"/>
    <x v="4"/>
    <x v="19"/>
    <x v="138"/>
    <s v="Periodo 2014-2021"/>
    <s v="Toneladas métricas de contenido fino (tmf)"/>
    <s v="Instituto Nacional de Estadísticas (INE)"/>
    <s v="Producción de cobre en la región de Coquimbo en el periodo 2014-2021"/>
    <m/>
    <s v="Gráfico de Evolución"/>
    <s v=" evolución región de Coquimbo producción cobre toneladas contenido fino tmf periodo 2014 2021"/>
    <s v="https://analytics.zoho.com/open-view/2395394000008760041?ZOHO_CRITERIA=%22Consolidado_Estadisticas_Regionales_New%22.%22C%C3%B3digo%20regi%C3%B3n%22%20%3D%204"/>
    <x v="4"/>
    <s v="#1774B145"/>
  </r>
  <r>
    <s v="1624"/>
    <n v="990"/>
    <s v="Agencia Información"/>
    <s v="Economía"/>
    <n v="5"/>
    <x v="79"/>
    <x v="32"/>
    <x v="1"/>
    <x v="5"/>
    <x v="19"/>
    <x v="138"/>
    <s v="Periodo 2014-2021"/>
    <s v="Toneladas métricas de contenido fino (tmf)"/>
    <s v="Instituto Nacional de Estadísticas (INE)"/>
    <s v="Producción de cobre en la región de Valparaíso en el periodo 2014-2021"/>
    <m/>
    <s v="Gráfico de Evolución"/>
    <s v=" evolución región de Valparaíso producción cobre toneladas contenido fino tmf periodo 2014 2021"/>
    <s v="https://analytics.zoho.com/open-view/2395394000008760041?ZOHO_CRITERIA=%22Consolidado_Estadisticas_Regionales_New%22.%22C%C3%B3digo%20regi%C3%B3n%22%20%3D%205"/>
    <x v="5"/>
    <s v="#1774B146"/>
  </r>
  <r>
    <s v="1625"/>
    <n v="990"/>
    <s v="Agencia Información"/>
    <s v="Economía"/>
    <n v="0"/>
    <x v="79"/>
    <x v="32"/>
    <x v="0"/>
    <x v="0"/>
    <x v="19"/>
    <x v="139"/>
    <s v="Periodo 2014-2021"/>
    <s v="Toneladas"/>
    <s v="Instituto Nacional de Estadísticas (INE)"/>
    <s v="Producción de cloruro de sodio en Chile en el periodo 2014-2021"/>
    <s v="La producción cloruro de sodio en toneladas (t) alcanzó su máximo en julio de 2015, con una producción de 1.153.490 toneladas. La producción más baja, dentro del periodo observado, se dio en enero de 2014 con 431.393 toneladas."/>
    <s v="Gráfico de Evolución"/>
    <s v=" evolución chile producción de cloruro sodio toneladas minería mensual periodo 2014 2021"/>
    <s v="https://analytics.zoho.com/open-view/2395394000008087059"/>
    <x v="34"/>
    <s v="#1774B147"/>
  </r>
  <r>
    <s v="1626"/>
    <n v="990"/>
    <s v="Agencia Información"/>
    <s v="Economía"/>
    <n v="0"/>
    <x v="79"/>
    <x v="32"/>
    <x v="0"/>
    <x v="0"/>
    <x v="19"/>
    <x v="140"/>
    <s v="Periodo 2014-2021"/>
    <s v="Toneladas métricas (tm) "/>
    <s v="Instituto Nacional de Estadísticas (INE)"/>
    <s v="Producción de hierro en Chile en el periodo 2014-2021"/>
    <s v="La producción de hierro en toneladas métricas (tm) alcanzó su máximo en septiembre de 2020, con una producción de 890.000 toneladas métricas. La producción más baja, dentro del periodo observado, se dio en marzo de 2015 con 120,172 tm."/>
    <s v="Gráfico de Evolución"/>
    <s v=" evolución chile producción de hierro toneladas métricas tm minería mensual periodo 2014 2021"/>
    <s v="https://analytics.zoho.com/open-view/2395394000008087414"/>
    <x v="34"/>
    <s v="#1774B148"/>
  </r>
  <r>
    <s v="1627"/>
    <n v="990"/>
    <s v="Agencia Información"/>
    <s v="Turismo"/>
    <n v="0"/>
    <x v="80"/>
    <x v="33"/>
    <x v="0"/>
    <x v="0"/>
    <x v="19"/>
    <x v="141"/>
    <s v="Periodo 2016-2021"/>
    <s v="Número de pernoctaciones"/>
    <s v="Instituto Nacional de Estadísticas (INE)"/>
    <s v="Número de pernoctaciones en Chile en el periodo 2016-2021"/>
    <s v="Entre julio de 2016 y febrero de 2020, el número de pernoctaciones en Chile fluctuó entre las 1.509.923 y las 3.055.234 por mes. Luego, en abril de 2020, este número presenta su mínimo para todo el periodo observado con 150.982 pernoctaciones durante ese mes."/>
    <s v="Gráfico de Evolución"/>
    <s v=" evolucion chile número pernoctaciones mensual región periodo 2016 2021"/>
    <s v="https://analytics.zoho.com/open-view/2395394000008295693"/>
    <x v="0"/>
    <s v="#1774B149"/>
  </r>
  <r>
    <s v="1628"/>
    <n v="990"/>
    <s v="Agencia Información"/>
    <s v="Turismo"/>
    <n v="1"/>
    <x v="80"/>
    <x v="33"/>
    <x v="1"/>
    <x v="1"/>
    <x v="9"/>
    <x v="141"/>
    <s v="Periodo 2016-2021"/>
    <s v="Número de pernoctaciones"/>
    <s v="Instituto Nacional de Estadísticas (INE)"/>
    <s v="Número de Pernoctaciones en la Región de Tarapacá en el periodo 2016-2021"/>
    <m/>
    <s v="Gráfico de Evolución"/>
    <s v="Región de Tarapacá gráfico evolucion chile número pernoctaciones mensual periodo 2016 2021"/>
    <s v="https://analytics.zoho.com/open-view/2395394000008296020?ZOHO_CRITERIA=%22Consolidado_Estadisticas_Regionales_New%22.%22C%C3%B3digo%20regi%C3%B3n%22%3D1"/>
    <x v="1"/>
    <s v="#1774B150"/>
  </r>
  <r>
    <s v="1629"/>
    <n v="990"/>
    <s v="Agencia Información"/>
    <s v="Turismo"/>
    <n v="2"/>
    <x v="80"/>
    <x v="33"/>
    <x v="1"/>
    <x v="2"/>
    <x v="9"/>
    <x v="141"/>
    <s v="Periodo 2016-2021"/>
    <s v="Número de pernoctaciones"/>
    <s v="Instituto Nacional de Estadísticas (INE)"/>
    <s v="Número de Pernoctaciones en la Región de Antofagasta en el periodo 2016-2021"/>
    <m/>
    <s v="Gráfico de Evolución"/>
    <s v="Región de Antofagasta gráfico evolucion chile número pernoctaciones mensual periodo 2016 2021"/>
    <s v="https://analytics.zoho.com/open-view/2395394000008296020?ZOHO_CRITERIA=%22Consolidado_Estadisticas_Regionales_New%22.%22C%C3%B3digo%20regi%C3%B3n%22%3D2"/>
    <x v="2"/>
    <s v="#1774B151"/>
  </r>
  <r>
    <s v="1630"/>
    <n v="990"/>
    <s v="Agencia Información"/>
    <s v="Turismo"/>
    <n v="3"/>
    <x v="80"/>
    <x v="33"/>
    <x v="1"/>
    <x v="3"/>
    <x v="9"/>
    <x v="141"/>
    <s v="Periodo 2016-2021"/>
    <s v="Número de pernoctaciones"/>
    <s v="Instituto Nacional de Estadísticas (INE)"/>
    <s v="Número de Pernoctaciones en la Región de Atacama en el periodo 2016-2021"/>
    <m/>
    <s v="Gráfico de Evolución"/>
    <s v="Región de Atacama gráfico evolucion chile número pernoctaciones mensual periodo 2016 2021"/>
    <s v="https://analytics.zoho.com/open-view/2395394000008296020?ZOHO_CRITERIA=%22Consolidado_Estadisticas_Regionales_New%22.%22C%C3%B3digo%20regi%C3%B3n%22%3D3"/>
    <x v="3"/>
    <s v="#1774B152"/>
  </r>
  <r>
    <s v="1631"/>
    <n v="990"/>
    <s v="Agencia Información"/>
    <s v="Turismo"/>
    <n v="4"/>
    <x v="80"/>
    <x v="33"/>
    <x v="1"/>
    <x v="4"/>
    <x v="9"/>
    <x v="141"/>
    <s v="Periodo 2016-2021"/>
    <s v="Número de pernoctaciones"/>
    <s v="Instituto Nacional de Estadísticas (INE)"/>
    <s v="Número de Pernoctaciones en la Región de Coquimbo en el periodo 2016-2021"/>
    <m/>
    <s v="Gráfico de Evolución"/>
    <s v="Región de Coquimbo gráfico evolucion chile número pernoctaciones mensual periodo 2016 2021"/>
    <s v="https://analytics.zoho.com/open-view/2395394000008296020?ZOHO_CRITERIA=%22Consolidado_Estadisticas_Regionales_New%22.%22C%C3%B3digo%20regi%C3%B3n%22%3D4"/>
    <x v="4"/>
    <s v="#1774B153"/>
  </r>
  <r>
    <s v="1632"/>
    <n v="990"/>
    <s v="Agencia Información"/>
    <s v="Turismo"/>
    <n v="5"/>
    <x v="80"/>
    <x v="33"/>
    <x v="1"/>
    <x v="5"/>
    <x v="9"/>
    <x v="141"/>
    <s v="Periodo 2016-2021"/>
    <s v="Número de pernoctaciones"/>
    <s v="Instituto Nacional de Estadísticas (INE)"/>
    <s v="Número de Pernoctaciones en la Región de Valparaíso en el periodo 2016-2021"/>
    <m/>
    <s v="Gráfico de Evolución"/>
    <s v="Región de Valparaíso gráfico evolucion chile número pernoctaciones mensual periodo 2016 2021"/>
    <s v="https://analytics.zoho.com/open-view/2395394000008296020?ZOHO_CRITERIA=%22Consolidado_Estadisticas_Regionales_New%22.%22C%C3%B3digo%20regi%C3%B3n%22%3D5"/>
    <x v="5"/>
    <s v="#1774B154"/>
  </r>
  <r>
    <s v="1633"/>
    <n v="990"/>
    <s v="Agencia Información"/>
    <s v="Turismo"/>
    <n v="6"/>
    <x v="80"/>
    <x v="33"/>
    <x v="1"/>
    <x v="6"/>
    <x v="9"/>
    <x v="141"/>
    <s v="Periodo 2016-2021"/>
    <s v="Número de pernoctaciones"/>
    <s v="Instituto Nacional de Estadísticas (INE)"/>
    <s v="Número de Pernoctaciones en la Región de O'Higgins en el periodo 2016-2021"/>
    <m/>
    <s v="Gráfico de Evolución"/>
    <s v="Región de O'Higgins gráfico evolucion chile número pernoctaciones mensual periodo 2016 2021"/>
    <s v="https://analytics.zoho.com/open-view/2395394000008296020?ZOHO_CRITERIA=%22Consolidado_Estadisticas_Regionales_New%22.%22C%C3%B3digo%20regi%C3%B3n%22%3D6"/>
    <x v="6"/>
    <s v="#1774B155"/>
  </r>
  <r>
    <s v="1634"/>
    <n v="990"/>
    <s v="Agencia Información"/>
    <s v="Turismo"/>
    <n v="7"/>
    <x v="80"/>
    <x v="33"/>
    <x v="1"/>
    <x v="7"/>
    <x v="9"/>
    <x v="141"/>
    <s v="Periodo 2016-2021"/>
    <s v="Número de pernoctaciones"/>
    <s v="Instituto Nacional de Estadísticas (INE)"/>
    <s v="Número de Pernoctaciones en la Región de Maule en el periodo 2016-2021"/>
    <m/>
    <s v="Gráfico de Evolución"/>
    <s v="Región de Maule gráfico evolucion chile número pernoctaciones mensual periodo 2016 2021"/>
    <s v="https://analytics.zoho.com/open-view/2395394000008296020?ZOHO_CRITERIA=%22Consolidado_Estadisticas_Regionales_New%22.%22C%C3%B3digo%20regi%C3%B3n%22%3D7"/>
    <x v="7"/>
    <s v="#1774B156"/>
  </r>
  <r>
    <s v="1635"/>
    <n v="990"/>
    <s v="Agencia Información"/>
    <s v="Turismo"/>
    <n v="8"/>
    <x v="80"/>
    <x v="33"/>
    <x v="1"/>
    <x v="8"/>
    <x v="9"/>
    <x v="141"/>
    <s v="Periodo 2016-2021"/>
    <s v="Número de pernoctaciones"/>
    <s v="Instituto Nacional de Estadísticas (INE)"/>
    <s v="Número de Pernoctaciones en la Región del Biobío en el periodo 2016-2021"/>
    <m/>
    <s v="Gráfico de Evolución"/>
    <s v="Región del Biobío gráfico evolucion chile número pernoctaciones mensual periodo 2016 2021"/>
    <s v="https://analytics.zoho.com/open-view/2395394000008296020?ZOHO_CRITERIA=%22Consolidado_Estadisticas_Regionales_New%22.%22C%C3%B3digo%20regi%C3%B3n%22%3D8"/>
    <x v="8"/>
    <s v="#1774B157"/>
  </r>
  <r>
    <s v="1636"/>
    <n v="990"/>
    <s v="Agencia Información"/>
    <s v="Turismo"/>
    <n v="9"/>
    <x v="80"/>
    <x v="33"/>
    <x v="1"/>
    <x v="9"/>
    <x v="9"/>
    <x v="141"/>
    <s v="Periodo 2016-2021"/>
    <s v="Número de pernoctaciones"/>
    <s v="Instituto Nacional de Estadísticas (INE)"/>
    <s v="Número de Pernoctaciones en la Región de La Araucanía en el periodo 2016-2021"/>
    <m/>
    <s v="Gráfico de Evolución"/>
    <s v="Región de La Araucanía gráfico evolucion chile número pernoctaciones mensual periodo 2016 2021"/>
    <s v="https://analytics.zoho.com/open-view/2395394000008296020?ZOHO_CRITERIA=%22Consolidado_Estadisticas_Regionales_New%22.%22C%C3%B3digo%20regi%C3%B3n%22%3D9"/>
    <x v="9"/>
    <s v="#1774B158"/>
  </r>
  <r>
    <s v="1637"/>
    <n v="990"/>
    <s v="Agencia Información"/>
    <s v="Turismo"/>
    <n v="10"/>
    <x v="80"/>
    <x v="33"/>
    <x v="1"/>
    <x v="10"/>
    <x v="9"/>
    <x v="141"/>
    <s v="Periodo 2016-2021"/>
    <s v="Número de pernoctaciones"/>
    <s v="Instituto Nacional de Estadísticas (INE)"/>
    <s v="Número de Pernoctaciones en la Región de Los Lagos en el periodo 2016-2021"/>
    <m/>
    <s v="Gráfico de Evolución"/>
    <s v="Región de Los Lagos gráfico evolucion chile número pernoctaciones mensual periodo 2016 2021"/>
    <s v="https://analytics.zoho.com/open-view/2395394000008296020?ZOHO_CRITERIA=%22Consolidado_Estadisticas_Regionales_New%22.%22C%C3%B3digo%20regi%C3%B3n%22%3D10"/>
    <x v="10"/>
    <s v="#1774B159"/>
  </r>
  <r>
    <s v="1638"/>
    <n v="990"/>
    <s v="Agencia Información"/>
    <s v="Turismo"/>
    <n v="11"/>
    <x v="80"/>
    <x v="33"/>
    <x v="1"/>
    <x v="11"/>
    <x v="9"/>
    <x v="141"/>
    <s v="Periodo 2016-2021"/>
    <s v="Número de pernoctaciones"/>
    <s v="Instituto Nacional de Estadísticas (INE)"/>
    <s v="Número de Pernoctaciones en la Región de Aysén en el periodo 2016-2021"/>
    <m/>
    <s v="Gráfico de Evolución"/>
    <s v="Región de Aysén gráfico evolucion chile número pernoctaciones mensual periodo 2016 2021"/>
    <s v="https://analytics.zoho.com/open-view/2395394000008296020?ZOHO_CRITERIA=%22Consolidado_Estadisticas_Regionales_New%22.%22C%C3%B3digo%20regi%C3%B3n%22%3D11"/>
    <x v="11"/>
    <s v="#1774B160"/>
  </r>
  <r>
    <s v="1639"/>
    <n v="990"/>
    <s v="Agencia Información"/>
    <s v="Turismo"/>
    <n v="12"/>
    <x v="80"/>
    <x v="33"/>
    <x v="1"/>
    <x v="12"/>
    <x v="9"/>
    <x v="141"/>
    <s v="Periodo 2016-2021"/>
    <s v="Número de pernoctaciones"/>
    <s v="Instituto Nacional de Estadísticas (INE)"/>
    <s v="Número de Pernoctaciones en la Región de Magallanes en el periodo 2016-2021"/>
    <m/>
    <s v="Gráfico de Evolución"/>
    <s v="Región de Magallanes gráfico evolucion chile número pernoctaciones mensual periodo 2016 2021"/>
    <s v="https://analytics.zoho.com/open-view/2395394000008296020?ZOHO_CRITERIA=%22Consolidado_Estadisticas_Regionales_New%22.%22C%C3%B3digo%20regi%C3%B3n%22%3D12"/>
    <x v="12"/>
    <s v="#1774B161"/>
  </r>
  <r>
    <s v="1640"/>
    <n v="990"/>
    <s v="Agencia Información"/>
    <s v="Turismo"/>
    <n v="13"/>
    <x v="80"/>
    <x v="33"/>
    <x v="1"/>
    <x v="13"/>
    <x v="9"/>
    <x v="141"/>
    <s v="Periodo 2016-2021"/>
    <s v="Número de pernoctaciones"/>
    <s v="Instituto Nacional de Estadísticas (INE)"/>
    <s v="Número de Pernoctaciones en la Región Metropolitana en el periodo 2016-2021"/>
    <m/>
    <s v="Gráfico de Evolución"/>
    <s v="Región Metropolitana gráfico evolucion chile número pernoctaciones mensual periodo 2016 2021"/>
    <s v="https://analytics.zoho.com/open-view/2395394000008296020?ZOHO_CRITERIA=%22Consolidado_Estadisticas_Regionales_New%22.%22C%C3%B3digo%20regi%C3%B3n%22%3D13"/>
    <x v="13"/>
    <s v="#1774B162"/>
  </r>
  <r>
    <s v="1641"/>
    <n v="990"/>
    <s v="Agencia Información"/>
    <s v="Turismo"/>
    <n v="14"/>
    <x v="80"/>
    <x v="33"/>
    <x v="1"/>
    <x v="14"/>
    <x v="9"/>
    <x v="141"/>
    <s v="Periodo 2016-2021"/>
    <s v="Número de pernoctaciones"/>
    <s v="Instituto Nacional de Estadísticas (INE)"/>
    <s v="Número de Pernoctaciones en la Región de Los Ríos en el periodo 2016-2021"/>
    <m/>
    <s v="Gráfico de Evolución"/>
    <s v="Región de Los Ríos gráfico evolucion chile número pernoctaciones mensual periodo 2016 2021"/>
    <s v="https://analytics.zoho.com/open-view/2395394000008296020?ZOHO_CRITERIA=%22Consolidado_Estadisticas_Regionales_New%22.%22C%C3%B3digo%20regi%C3%B3n%22%3D14"/>
    <x v="14"/>
    <s v="#1774B163"/>
  </r>
  <r>
    <s v="1642"/>
    <n v="990"/>
    <s v="Agencia Información"/>
    <s v="Turismo"/>
    <n v="15"/>
    <x v="80"/>
    <x v="33"/>
    <x v="1"/>
    <x v="15"/>
    <x v="9"/>
    <x v="141"/>
    <s v="Periodo 2016-2021"/>
    <s v="Número de pernoctaciones"/>
    <s v="Instituto Nacional de Estadísticas (INE)"/>
    <s v="Número de Pernoctaciones en la Región de Arica y Parinacota en el periodo 2016-2021"/>
    <m/>
    <s v="Gráfico de Evolución"/>
    <s v="Región de Arica y Parinacota gráfico evolucion chile número pernoctaciones mensual periodo 2016 2021"/>
    <s v="https://analytics.zoho.com/open-view/2395394000008296020?ZOHO_CRITERIA=%22Consolidado_Estadisticas_Regionales_New%22.%22C%C3%B3digo%20regi%C3%B3n%22%3D15"/>
    <x v="15"/>
    <s v="#1774B164"/>
  </r>
  <r>
    <s v="1643"/>
    <n v="990"/>
    <s v="Agencia Información"/>
    <s v="Turismo"/>
    <n v="16"/>
    <x v="80"/>
    <x v="33"/>
    <x v="1"/>
    <x v="16"/>
    <x v="9"/>
    <x v="141"/>
    <s v="Periodo 2016-2021"/>
    <s v="Número de pernoctaciones"/>
    <s v="Instituto Nacional de Estadísticas (INE)"/>
    <s v="Número de Pernoctaciones en la Región de Ñuble en el periodo 2016-2021"/>
    <m/>
    <s v="Gráfico de Evolución"/>
    <s v="Región de Ñuble gráfico evolucion chile número pernoctaciones mensual periodo 2016 2021"/>
    <s v="https://analytics.zoho.com/open-view/2395394000008296020?ZOHO_CRITERIA=%22Consolidado_Estadisticas_Regionales_New%22.%22C%C3%B3digo%20regi%C3%B3n%22%3D16"/>
    <x v="16"/>
    <s v="#1774B165"/>
  </r>
  <r>
    <s v="1644"/>
    <n v="990"/>
    <s v="Agencia Información"/>
    <s v="Turismo"/>
    <n v="0"/>
    <x v="81"/>
    <x v="33"/>
    <x v="0"/>
    <x v="0"/>
    <x v="19"/>
    <x v="142"/>
    <s v="Periodo 2016-2021"/>
    <s v="CLP"/>
    <s v="Instituto Nacional de Estadísticas (INE)"/>
    <s v="Precio Promedio de Habitación Ocupada en Chile en el periodo 2016-2021"/>
    <s v="Entre julio de 2016 y febrero de 2020, el precio promedio por habitación ocupada fluctuó entre los 45.054 y los 56.719 pesos chilenos por mes. Luego, en mayo de 2020, este número presenta su mínimo para todo el periodo observado con un precio promedio de 36.138 pesos chilenos."/>
    <s v="Gráfico de Evolución"/>
    <s v="Chile nacional gráfico evolución precio promedio clp habitación ocupada mensual periodo 2016 2021"/>
    <s v="https://analytics.zoho.com/open-view/2395394000008299317"/>
    <x v="0"/>
    <s v="#1774B166"/>
  </r>
  <r>
    <s v="1645"/>
    <n v="990"/>
    <s v="Agencia Información"/>
    <s v="Turismo"/>
    <n v="1"/>
    <x v="81"/>
    <x v="33"/>
    <x v="1"/>
    <x v="1"/>
    <x v="9"/>
    <x v="142"/>
    <s v="Periodo 2016-2021"/>
    <s v="CLP"/>
    <s v="Instituto Nacional de Estadísticas (INE)"/>
    <s v="Precio Promedio de Habitación Ocupada en la Región de Tarapacá en el periodo 2016-2021"/>
    <m/>
    <s v="Gráfico de Evolución"/>
    <s v="Región de Tarapacá gráfico evolución precio promedio clp habitación ocupada mensual periodo 2016 2021"/>
    <s v="https://analytics.zoho.com/open-view/2395394000008299691?ZOHO_CRITERIA=%22Consolidado_Estadisticas_Regionales_New%22.%22C%C3%B3digo%20regi%C3%B3n%22%3D1"/>
    <x v="1"/>
    <s v="#1774B167"/>
  </r>
  <r>
    <s v="1646"/>
    <n v="990"/>
    <s v="Agencia Información"/>
    <s v="Turismo"/>
    <n v="2"/>
    <x v="81"/>
    <x v="33"/>
    <x v="1"/>
    <x v="2"/>
    <x v="9"/>
    <x v="142"/>
    <s v="Periodo 2016-2021"/>
    <s v="CLP"/>
    <s v="Instituto Nacional de Estadísticas (INE)"/>
    <s v="Precio Promedio de Habitación Ocupada en la Región de Antofagasta en el periodo 2016-2021"/>
    <m/>
    <s v="Gráfico de Evolución"/>
    <s v="Región de Antofagasta gráfico evolución precio promedio clp habitación ocupada mensual periodo 2016 2021"/>
    <s v="https://analytics.zoho.com/open-view/2395394000008299691?ZOHO_CRITERIA=%22Consolidado_Estadisticas_Regionales_New%22.%22C%C3%B3digo%20regi%C3%B3n%22%3D2"/>
    <x v="2"/>
    <s v="#1774B168"/>
  </r>
  <r>
    <s v="1647"/>
    <n v="990"/>
    <s v="Agencia Información"/>
    <s v="Turismo"/>
    <n v="3"/>
    <x v="81"/>
    <x v="33"/>
    <x v="1"/>
    <x v="3"/>
    <x v="9"/>
    <x v="142"/>
    <s v="Periodo 2016-2021"/>
    <s v="CLP"/>
    <s v="Instituto Nacional de Estadísticas (INE)"/>
    <s v="Precio Promedio de Habitación Ocupada en la Región de Atacama en el periodo 2016-2021"/>
    <m/>
    <s v="Gráfico de Evolución"/>
    <s v="Región de Atacama gráfico evolución precio promedio clp habitación ocupada mensual periodo 2016 2021"/>
    <s v="https://analytics.zoho.com/open-view/2395394000008299691?ZOHO_CRITERIA=%22Consolidado_Estadisticas_Regionales_New%22.%22C%C3%B3digo%20regi%C3%B3n%22%3D3"/>
    <x v="3"/>
    <s v="#1774B169"/>
  </r>
  <r>
    <s v="1648"/>
    <n v="990"/>
    <s v="Agencia Información"/>
    <s v="Turismo"/>
    <n v="4"/>
    <x v="81"/>
    <x v="33"/>
    <x v="1"/>
    <x v="4"/>
    <x v="9"/>
    <x v="142"/>
    <s v="Periodo 2016-2021"/>
    <s v="CLP"/>
    <s v="Instituto Nacional de Estadísticas (INE)"/>
    <s v="Precio Promedio de Habitación Ocupada en la Región de Coquimbo en el periodo 2016-2021"/>
    <m/>
    <s v="Gráfico de Evolución"/>
    <s v="Región de Coquimbo gráfico evolución precio promedio clp habitación ocupada mensual periodo 2016 2021"/>
    <s v="https://analytics.zoho.com/open-view/2395394000008299691?ZOHO_CRITERIA=%22Consolidado_Estadisticas_Regionales_New%22.%22C%C3%B3digo%20regi%C3%B3n%22%3D4"/>
    <x v="4"/>
    <s v="#1774B170"/>
  </r>
  <r>
    <s v="1649"/>
    <n v="990"/>
    <s v="Agencia Información"/>
    <s v="Turismo"/>
    <n v="5"/>
    <x v="81"/>
    <x v="33"/>
    <x v="1"/>
    <x v="5"/>
    <x v="9"/>
    <x v="142"/>
    <s v="Periodo 2016-2021"/>
    <s v="CLP"/>
    <s v="Instituto Nacional de Estadísticas (INE)"/>
    <s v="Precio Promedio de Habitación Ocupada en la Región de Valparaíso en el periodo 2016-2021"/>
    <m/>
    <s v="Gráfico de Evolución"/>
    <s v="Región de Valparaíso gráfico evolución precio promedio clp habitación ocupada mensual periodo 2016 2021"/>
    <s v="https://analytics.zoho.com/open-view/2395394000008299691?ZOHO_CRITERIA=%22Consolidado_Estadisticas_Regionales_New%22.%22C%C3%B3digo%20regi%C3%B3n%22%3D5"/>
    <x v="5"/>
    <s v="#1774B171"/>
  </r>
  <r>
    <s v="1650"/>
    <n v="990"/>
    <s v="Agencia Información"/>
    <s v="Turismo"/>
    <n v="6"/>
    <x v="81"/>
    <x v="33"/>
    <x v="1"/>
    <x v="6"/>
    <x v="9"/>
    <x v="142"/>
    <s v="Periodo 2016-2021"/>
    <s v="CLP"/>
    <s v="Instituto Nacional de Estadísticas (INE)"/>
    <s v="Precio Promedio de Habitación Ocupada en la Región de O'Higgins en el periodo 2016-2021"/>
    <m/>
    <s v="Gráfico de Evolución"/>
    <s v="Región de O'Higgins gráfico evolución precio promedio clp habitación ocupada mensual periodo 2016 2021"/>
    <s v="https://analytics.zoho.com/open-view/2395394000008299691?ZOHO_CRITERIA=%22Consolidado_Estadisticas_Regionales_New%22.%22C%C3%B3digo%20regi%C3%B3n%22%3D6"/>
    <x v="6"/>
    <s v="#1774B172"/>
  </r>
  <r>
    <s v="1651"/>
    <n v="990"/>
    <s v="Agencia Información"/>
    <s v="Turismo"/>
    <n v="7"/>
    <x v="81"/>
    <x v="33"/>
    <x v="1"/>
    <x v="7"/>
    <x v="9"/>
    <x v="142"/>
    <s v="Periodo 2016-2021"/>
    <s v="CLP"/>
    <s v="Instituto Nacional de Estadísticas (INE)"/>
    <s v="Precio Promedio de Habitación Ocupada en la Región de Maule en el periodo 2016-2021"/>
    <m/>
    <s v="Gráfico de Evolución"/>
    <s v="Región de Maule gráfico evolución precio promedio clp habitación ocupada mensual periodo 2016 2021"/>
    <s v="https://analytics.zoho.com/open-view/2395394000008299691?ZOHO_CRITERIA=%22Consolidado_Estadisticas_Regionales_New%22.%22C%C3%B3digo%20regi%C3%B3n%22%3D7"/>
    <x v="7"/>
    <s v="#1774B173"/>
  </r>
  <r>
    <s v="1652"/>
    <n v="990"/>
    <s v="Agencia Información"/>
    <s v="Turismo"/>
    <n v="8"/>
    <x v="81"/>
    <x v="33"/>
    <x v="1"/>
    <x v="8"/>
    <x v="9"/>
    <x v="142"/>
    <s v="Periodo 2016-2021"/>
    <s v="CLP"/>
    <s v="Instituto Nacional de Estadísticas (INE)"/>
    <s v="Precio Promedio de Habitación Ocupada en la Región del Biobío en el periodo 2016-2021"/>
    <m/>
    <s v="Gráfico de Evolución"/>
    <s v="Región del Biobío gráfico evolución precio promedio clp habitación ocupada mensual periodo 2016 2021"/>
    <s v="https://analytics.zoho.com/open-view/2395394000008299691?ZOHO_CRITERIA=%22Consolidado_Estadisticas_Regionales_New%22.%22C%C3%B3digo%20regi%C3%B3n%22%3D8"/>
    <x v="8"/>
    <s v="#1774B174"/>
  </r>
  <r>
    <s v="1653"/>
    <n v="990"/>
    <s v="Agencia Información"/>
    <s v="Turismo"/>
    <n v="9"/>
    <x v="81"/>
    <x v="33"/>
    <x v="1"/>
    <x v="9"/>
    <x v="9"/>
    <x v="142"/>
    <s v="Periodo 2016-2021"/>
    <s v="CLP"/>
    <s v="Instituto Nacional de Estadísticas (INE)"/>
    <s v="Precio Promedio de Habitación Ocupada en la Región de La Araucanía en el periodo 2016-2021"/>
    <m/>
    <s v="Gráfico de Evolución"/>
    <s v="Región de La Araucanía gráfico evolución precio promedio clp habitación ocupada mensual periodo 2016 2021"/>
    <s v="https://analytics.zoho.com/open-view/2395394000008299691?ZOHO_CRITERIA=%22Consolidado_Estadisticas_Regionales_New%22.%22C%C3%B3digo%20regi%C3%B3n%22%3D9"/>
    <x v="9"/>
    <s v="#1774B175"/>
  </r>
  <r>
    <s v="1654"/>
    <n v="990"/>
    <s v="Agencia Información"/>
    <s v="Turismo"/>
    <n v="10"/>
    <x v="81"/>
    <x v="33"/>
    <x v="1"/>
    <x v="10"/>
    <x v="9"/>
    <x v="142"/>
    <s v="Periodo 2016-2021"/>
    <s v="CLP"/>
    <s v="Instituto Nacional de Estadísticas (INE)"/>
    <s v="Precio Promedio de Habitación Ocupada en la Región de Los Lagos en el periodo 2016-2021"/>
    <m/>
    <s v="Gráfico de Evolución"/>
    <s v="Región de Los Lagos gráfico evolución precio promedio clp habitación ocupada mensual periodo 2016 2021"/>
    <s v="https://analytics.zoho.com/open-view/2395394000008299691?ZOHO_CRITERIA=%22Consolidado_Estadisticas_Regionales_New%22.%22C%C3%B3digo%20regi%C3%B3n%22%3D10"/>
    <x v="10"/>
    <s v="#1774B176"/>
  </r>
  <r>
    <s v="1655"/>
    <n v="990"/>
    <s v="Agencia Información"/>
    <s v="Turismo"/>
    <n v="11"/>
    <x v="81"/>
    <x v="33"/>
    <x v="1"/>
    <x v="11"/>
    <x v="9"/>
    <x v="142"/>
    <s v="Periodo 2016-2021"/>
    <s v="CLP"/>
    <s v="Instituto Nacional de Estadísticas (INE)"/>
    <s v="Precio Promedio de Habitación Ocupada en la Región de Aysén en el periodo 2016-2021"/>
    <m/>
    <s v="Gráfico de Evolución"/>
    <s v="Región de Aysén gráfico evolución precio promedio clp habitación ocupada mensual periodo 2016 2021"/>
    <s v="https://analytics.zoho.com/open-view/2395394000008299691?ZOHO_CRITERIA=%22Consolidado_Estadisticas_Regionales_New%22.%22C%C3%B3digo%20regi%C3%B3n%22%3D11"/>
    <x v="11"/>
    <s v="#1774B177"/>
  </r>
  <r>
    <s v="1656"/>
    <n v="990"/>
    <s v="Agencia Información"/>
    <s v="Turismo"/>
    <n v="12"/>
    <x v="81"/>
    <x v="33"/>
    <x v="1"/>
    <x v="12"/>
    <x v="9"/>
    <x v="142"/>
    <s v="Periodo 2016-2021"/>
    <s v="CLP"/>
    <s v="Instituto Nacional de Estadísticas (INE)"/>
    <s v="Precio Promedio de Habitación Ocupada en la Región de Magallanes en el periodo 2016-2021"/>
    <m/>
    <s v="Gráfico de Evolución"/>
    <s v="Región de Magallanes gráfico evolución precio promedio clp habitación ocupada mensual periodo 2016 2021"/>
    <s v="https://analytics.zoho.com/open-view/2395394000008299691?ZOHO_CRITERIA=%22Consolidado_Estadisticas_Regionales_New%22.%22C%C3%B3digo%20regi%C3%B3n%22%3D12"/>
    <x v="12"/>
    <s v="#1774B178"/>
  </r>
  <r>
    <s v="1657"/>
    <n v="990"/>
    <s v="Agencia Información"/>
    <s v="Turismo"/>
    <n v="13"/>
    <x v="81"/>
    <x v="33"/>
    <x v="1"/>
    <x v="13"/>
    <x v="9"/>
    <x v="142"/>
    <s v="Periodo 2016-2021"/>
    <s v="CLP"/>
    <s v="Instituto Nacional de Estadísticas (INE)"/>
    <s v="Precio Promedio de Habitación Ocupada en la Región Metropolitana en el periodo 2016-2021"/>
    <m/>
    <s v="Gráfico de Evolución"/>
    <s v="Región Metropolitana gráfico evolución precio promedio clp habitación ocupada mensual periodo 2016 2021"/>
    <s v="https://analytics.zoho.com/open-view/2395394000008299691?ZOHO_CRITERIA=%22Consolidado_Estadisticas_Regionales_New%22.%22C%C3%B3digo%20regi%C3%B3n%22%3D13"/>
    <x v="13"/>
    <s v="#1774B179"/>
  </r>
  <r>
    <s v="1658"/>
    <n v="990"/>
    <s v="Agencia Información"/>
    <s v="Turismo"/>
    <n v="14"/>
    <x v="81"/>
    <x v="33"/>
    <x v="1"/>
    <x v="14"/>
    <x v="9"/>
    <x v="142"/>
    <s v="Periodo 2016-2021"/>
    <s v="CLP"/>
    <s v="Instituto Nacional de Estadísticas (INE)"/>
    <s v="Precio Promedio de Habitación Ocupada en la Región de Los Ríos en el periodo 2016-2021"/>
    <m/>
    <s v="Gráfico de Evolución"/>
    <s v="Región de Los Ríos gráfico evolución precio promedio clp habitación ocupada mensual periodo 2016 2021"/>
    <s v="https://analytics.zoho.com/open-view/2395394000008299691?ZOHO_CRITERIA=%22Consolidado_Estadisticas_Regionales_New%22.%22C%C3%B3digo%20regi%C3%B3n%22%3D14"/>
    <x v="14"/>
    <s v="#1774B180"/>
  </r>
  <r>
    <s v="1659"/>
    <n v="990"/>
    <s v="Agencia Información"/>
    <s v="Turismo"/>
    <n v="15"/>
    <x v="81"/>
    <x v="33"/>
    <x v="1"/>
    <x v="15"/>
    <x v="9"/>
    <x v="142"/>
    <s v="Periodo 2016-2021"/>
    <s v="CLP"/>
    <s v="Instituto Nacional de Estadísticas (INE)"/>
    <s v="Precio Promedio de Habitación Ocupada en la Región de Arica y Parinacota en el periodo 2016-2021"/>
    <m/>
    <s v="Gráfico de Evolución"/>
    <s v="Región de Arica y Parinacota gráfico evolución precio promedio clp habitación ocupada mensual periodo 2016 2021"/>
    <s v="https://analytics.zoho.com/open-view/2395394000008299691?ZOHO_CRITERIA=%22Consolidado_Estadisticas_Regionales_New%22.%22C%C3%B3digo%20regi%C3%B3n%22%3D15"/>
    <x v="15"/>
    <s v="#1774B181"/>
  </r>
  <r>
    <s v="1660"/>
    <n v="990"/>
    <s v="Agencia Información"/>
    <s v="Turismo"/>
    <n v="16"/>
    <x v="81"/>
    <x v="33"/>
    <x v="1"/>
    <x v="16"/>
    <x v="9"/>
    <x v="142"/>
    <s v="Periodo 2016-2021"/>
    <s v="CLP"/>
    <s v="Instituto Nacional de Estadísticas (INE)"/>
    <s v="Precio Promedio de Habitación Ocupada en la Región de Ñuble en el periodo 2016-2021"/>
    <m/>
    <s v="Gráfico de Evolución"/>
    <s v="Región de Ñuble gráfico evolución precio promedio clp habitación ocupada mensual periodo 2016 2021"/>
    <s v="https://analytics.zoho.com/open-view/2395394000008299691?ZOHO_CRITERIA=%22Consolidado_Estadisticas_Regionales_New%22.%22C%C3%B3digo%20regi%C3%B3n%22%3D16"/>
    <x v="16"/>
    <s v="#1774B182"/>
  </r>
  <r>
    <s v="1661"/>
    <n v="990"/>
    <s v="Agencia Información"/>
    <s v="Agropecuario y Forestal"/>
    <n v="0"/>
    <x v="82"/>
    <x v="17"/>
    <x v="0"/>
    <x v="0"/>
    <x v="19"/>
    <x v="143"/>
    <s v="Periodo 2014-2021"/>
    <s v="Toneladas"/>
    <s v="Servicio Nacional de Pesca y Acuicultura (SERNAPESCA)"/>
    <s v="Desembarque de pesca industrial en Chile en el periodo 2014-2021"/>
    <s v="Entre enero de 2014 y marzo de 2021, la pesca industrial alcanzó un máximo en febrero de 2020 con un desembarco de 104.563 toneladas. En septiembre de 2015 alcanzó las 1.653 toneladas, siendo esta la menor cifra registrada."/>
    <s v="Gráfico de Evolución"/>
    <s v="Chile pesca industrial evolución mensual pesquero desembarco toneladas región regional"/>
    <s v="https://analytics.zoho.com/open-view/2395394000008335799"/>
    <x v="0"/>
    <s v="#1774B183"/>
  </r>
  <r>
    <s v="1662"/>
    <n v="990"/>
    <s v="Agencia Información"/>
    <s v="Agropecuario y Forestal"/>
    <n v="0"/>
    <x v="83"/>
    <x v="17"/>
    <x v="0"/>
    <x v="0"/>
    <x v="9"/>
    <x v="144"/>
    <s v="Periodo 2014-2021"/>
    <s v="Toneladas"/>
    <s v="Servicio Nacional de Pesca y Acuicultura (SERNAPESCA)"/>
    <s v="Desembarque de pesca artesanal en Chile en el periodo 2014-2021"/>
    <s v="Se observa que el desembarque de la pesca artesanal alcanzó sus cifras más altas entre los meses de diciembre a marzo. Con 19.841 toneladas, febrero de 2019 fue el mes con el mayor desembarco registrado durante este periodo. "/>
    <s v="Gráfico de Evolución"/>
    <s v="Chile pesca artesanal evolución mensual pesquero desembarco toneladas región regional"/>
    <s v="https://analytics.zoho.com/open-view/2395394000008388979"/>
    <x v="34"/>
    <s v="#1774B184"/>
  </r>
  <r>
    <s v="1663"/>
    <n v="990"/>
    <s v="Agencia Información"/>
    <s v="Agropecuario y Forestal"/>
    <n v="0"/>
    <x v="84"/>
    <x v="17"/>
    <x v="0"/>
    <x v="0"/>
    <x v="9"/>
    <x v="145"/>
    <s v="Periodo 2014-2021"/>
    <s v="Toneladas"/>
    <s v="Servicio Nacional de Pesca y Acuicultura (SERNAPESCA)"/>
    <s v="Cosecha acuícola en Chile en el periodo 2014-2021"/>
    <s v="Dentro del periodo observado y con un promedio de 49.067 toneladas mensuales, el salmón del atlántico fue la especie con las cifras más altas de cosecha para el sector acuícola. Por su parte, se cosecharon 13.216 toneladas de salmón plateado al mes, con las cifras más altas durante los meses de noviembre y diciembre. La cosecha de trucha arcoíris disminuyó con el tiempo, con una cosecha media de 7.159 toneladas."/>
    <s v="Gráfico de Evolución"/>
    <s v="Chile evolución salmón atlántico plateado coho trucha arcoiris cosecha toneladas mensual"/>
    <s v="https://analytics.zoho.com/open-view/2395394000008383927"/>
    <x v="34"/>
    <s v="#1774B185"/>
  </r>
  <r>
    <s v="1664"/>
    <n v="990"/>
    <s v="Agencia Información"/>
    <s v="Gobiernos locales"/>
    <n v="0"/>
    <x v="69"/>
    <x v="25"/>
    <x v="0"/>
    <x v="0"/>
    <x v="2"/>
    <x v="146"/>
    <s v="Año 2019"/>
    <s v="Hectáreas"/>
    <s v="Sistema Nacional de Información Municipal"/>
    <s v="Superficie de Parques Urbanos en Chile en el año 2019"/>
    <s v="En el año 2019, la única comuna con más de 190 hectáreas de parques urbanos fue Cabo de Hornos, con 1.687,9 (ha). Por otro lado, 181 comunas solo tienen entre 0 y 1 (ha) de parques urbanos. Según el Ministerio de Vivienda y Urbanismo, se considera parque urbano a un espacio público, en donde predominan los elementos paisajísticos y naturales acorde con la respectiva zona geográfica de más de 2 hectáreas que se ubica dentro o contiguo a los límites urbanos de una ciudad o comuna, que alberga actividades para los distintos grupo etarios relacionados con lo educativo, deportivo, cultural, de culto o de esparcimiento al aire libre, con un ancho mínimo promedio de 30 metros."/>
    <s v="Mapa de calor"/>
    <s v="Chile nacional comunas comunal parques urbanos municipal municipio superficie hectáreas"/>
    <s v="https://analytics.zoho.com/open-view/2395394000008183442"/>
    <x v="17"/>
    <s v="#1774B186"/>
  </r>
  <r>
    <s v="1665"/>
    <n v="990"/>
    <s v="Agencia Información"/>
    <s v="Gobiernos locales"/>
    <n v="1"/>
    <x v="69"/>
    <x v="25"/>
    <x v="1"/>
    <x v="1"/>
    <x v="3"/>
    <x v="146"/>
    <s v="Año 2019"/>
    <s v="Hectáreas"/>
    <s v="Sistema Nacional de Información Municipal"/>
    <s v="Superficie de Parques Urbanos en la Región de Tarapacá en el año 2019"/>
    <m/>
    <s v="Mapa de calor"/>
    <s v="Región de Tarapacá mapa calor Chile comunas comunal año 2019 parques urbanos municipal municipio superficie hectáreas"/>
    <s v="https://analytics.zoho.com/open-view/2395394000008478071?ZOHO_CRITERIA=%22Localiza%20CL%22.%22Codreg%22%20%3D%201"/>
    <x v="18"/>
    <s v="#1774B187"/>
  </r>
  <r>
    <s v="1666"/>
    <n v="990"/>
    <s v="Agencia Información"/>
    <s v="Gobiernos locales"/>
    <n v="2"/>
    <x v="69"/>
    <x v="25"/>
    <x v="1"/>
    <x v="2"/>
    <x v="3"/>
    <x v="146"/>
    <s v="Año 2019"/>
    <s v="Hectáreas"/>
    <s v="Sistema Nacional de Información Municipal"/>
    <s v="Superficie de Parques Urbanos en la Región de Antofagasta en el año 2019"/>
    <m/>
    <m/>
    <s v="Región de Antofagasta mapa calor Chile comunas comunal año 2019 parques urbanos municipal municipio superficie hectáreas"/>
    <s v="https://analytics.zoho.com/open-view/2395394000008478071?ZOHO_CRITERIA=%22Localiza%20CL%22.%22Codreg%22%20%3D%202"/>
    <x v="19"/>
    <s v="#1774B188"/>
  </r>
  <r>
    <s v="1667"/>
    <n v="990"/>
    <s v="Agencia Información"/>
    <s v="Gobiernos locales"/>
    <n v="3"/>
    <x v="69"/>
    <x v="25"/>
    <x v="1"/>
    <x v="3"/>
    <x v="3"/>
    <x v="146"/>
    <s v="Año 2019"/>
    <s v="Hectáreas"/>
    <s v="Sistema Nacional de Información Municipal"/>
    <s v="Superficie de Parques Urbanos en la Región de Atacama en el año 2019"/>
    <m/>
    <m/>
    <s v="Región de Atacama mapa calor Chile comunas comunal año 2019 parques urbanos municipal municipio superficie hectáreas"/>
    <s v="https://analytics.zoho.com/open-view/2395394000008478071?ZOHO_CRITERIA=%22Localiza%20CL%22.%22Codreg%22%20%3D%203"/>
    <x v="20"/>
    <s v="#1774B189"/>
  </r>
  <r>
    <s v="1668"/>
    <n v="990"/>
    <s v="Agencia Información"/>
    <s v="Gobiernos locales"/>
    <n v="4"/>
    <x v="69"/>
    <x v="25"/>
    <x v="1"/>
    <x v="4"/>
    <x v="3"/>
    <x v="146"/>
    <s v="Año 2019"/>
    <s v="Hectáreas"/>
    <s v="Sistema Nacional de Información Municipal"/>
    <s v="Superficie de Parques Urbanos en la Región de Coquimbo en el año 2019"/>
    <m/>
    <m/>
    <s v="Región de Coquimbo mapa calor Chile comunas comunal año 2019 parques urbanos municipal municipio superficie hectáreas"/>
    <s v="https://analytics.zoho.com/open-view/2395394000008478071?ZOHO_CRITERIA=%22Localiza%20CL%22.%22Codreg%22%20%3D%204"/>
    <x v="21"/>
    <s v="#1774B190"/>
  </r>
  <r>
    <s v="1669"/>
    <n v="990"/>
    <s v="Agencia Información"/>
    <s v="Gobiernos locales"/>
    <n v="5"/>
    <x v="69"/>
    <x v="25"/>
    <x v="1"/>
    <x v="5"/>
    <x v="3"/>
    <x v="146"/>
    <s v="Año 2019"/>
    <s v="Hectáreas"/>
    <s v="Sistema Nacional de Información Municipal"/>
    <s v="Superficie de Parques Urbanos en la Región de Valparaíso en el año 2019"/>
    <m/>
    <m/>
    <s v="Región de Valparaíso mapa calor Chile comunas comunal año 2019 parques urbanos municipal municipio superficie hectáreas"/>
    <s v="https://analytics.zoho.com/open-view/2395394000008478071?ZOHO_CRITERIA=%22Localiza%20CL%22.%22Codreg%22%20%3D%205"/>
    <x v="22"/>
    <s v="#1774B191"/>
  </r>
  <r>
    <s v="1670"/>
    <n v="990"/>
    <s v="Agencia Información"/>
    <s v="Gobiernos locales"/>
    <n v="6"/>
    <x v="69"/>
    <x v="25"/>
    <x v="1"/>
    <x v="6"/>
    <x v="3"/>
    <x v="146"/>
    <s v="Año 2019"/>
    <s v="Hectáreas"/>
    <s v="Sistema Nacional de Información Municipal"/>
    <s v="Superficie de Parques Urbanos en la Región de O'Higgins en el año 2019"/>
    <m/>
    <m/>
    <s v="Región de O'Higgins mapa calor Chile comunas comunal año 2019 parques urbanos municipal municipio superficie hectáreas"/>
    <s v="https://analytics.zoho.com/open-view/2395394000008478071?ZOHO_CRITERIA=%22Localiza%20CL%22.%22Codreg%22%20%3D%206"/>
    <x v="23"/>
    <s v="#1774B192"/>
  </r>
  <r>
    <s v="1671"/>
    <n v="990"/>
    <s v="Agencia Información"/>
    <s v="Gobiernos locales"/>
    <n v="7"/>
    <x v="69"/>
    <x v="25"/>
    <x v="1"/>
    <x v="7"/>
    <x v="3"/>
    <x v="146"/>
    <s v="Año 2019"/>
    <s v="Hectáreas"/>
    <s v="Sistema Nacional de Información Municipal"/>
    <s v="Superficie de Parques Urbanos en la Región de Maule en el año 2019"/>
    <m/>
    <m/>
    <s v="Región de Maule mapa calor Chile comunas comunal año 2019 parques urbanos municipal municipio superficie hectáreas"/>
    <s v="https://analytics.zoho.com/open-view/2395394000008478071?ZOHO_CRITERIA=%22Localiza%20CL%22.%22Codreg%22%20%3D%207"/>
    <x v="24"/>
    <s v="#1774B193"/>
  </r>
  <r>
    <s v="1672"/>
    <n v="990"/>
    <s v="Agencia Información"/>
    <s v="Gobiernos locales"/>
    <n v="8"/>
    <x v="69"/>
    <x v="25"/>
    <x v="1"/>
    <x v="8"/>
    <x v="3"/>
    <x v="146"/>
    <s v="Año 2019"/>
    <s v="Hectáreas"/>
    <s v="Sistema Nacional de Información Municipal"/>
    <s v="Superficie de Parques Urbanos en la Región del Biobío en el año 2019"/>
    <m/>
    <m/>
    <s v="Región del Biobío mapa calor Chile comunas comunal año 2019 parques urbanos municipal municipio superficie hectáreas"/>
    <s v="https://analytics.zoho.com/open-view/2395394000008478071?ZOHO_CRITERIA=%22Localiza%20CL%22.%22Codreg%22%20%3D%208"/>
    <x v="25"/>
    <s v="#1774B194"/>
  </r>
  <r>
    <s v="1673"/>
    <n v="990"/>
    <s v="Agencia Información"/>
    <s v="Gobiernos locales"/>
    <n v="9"/>
    <x v="69"/>
    <x v="25"/>
    <x v="1"/>
    <x v="9"/>
    <x v="3"/>
    <x v="146"/>
    <s v="Año 2019"/>
    <s v="Hectáreas"/>
    <s v="Sistema Nacional de Información Municipal"/>
    <s v="Superficie de Parques Urbanos en la Región de La Araucanía en el año 2019"/>
    <m/>
    <m/>
    <s v="Región de La Araucanía mapa calor Chile comunas comunal año 2019 parques urbanos municipal municipio superficie hectáreas"/>
    <s v="https://analytics.zoho.com/open-view/2395394000008478071?ZOHO_CRITERIA=%22Localiza%20CL%22.%22Codreg%22%20%3D%209"/>
    <x v="26"/>
    <s v="#1774B195"/>
  </r>
  <r>
    <s v="1674"/>
    <n v="990"/>
    <s v="Agencia Información"/>
    <s v="Gobiernos locales"/>
    <n v="10"/>
    <x v="69"/>
    <x v="25"/>
    <x v="1"/>
    <x v="10"/>
    <x v="3"/>
    <x v="146"/>
    <s v="Año 2019"/>
    <s v="Hectáreas"/>
    <s v="Sistema Nacional de Información Municipal"/>
    <s v="Superficie de Parques Urbanos en la Región de Los Lagos en el año 2019"/>
    <m/>
    <m/>
    <s v="Región de Los Lagos mapa calor Chile comunas comunal año 2019 parques urbanos municipal municipio superficie hectáreas"/>
    <s v="https://analytics.zoho.com/open-view/2395394000008478071?ZOHO_CRITERIA=%22Localiza%20CL%22.%22Codreg%22%20%3D%2010"/>
    <x v="27"/>
    <s v="#1774B196"/>
  </r>
  <r>
    <s v="1675"/>
    <n v="990"/>
    <s v="Agencia Información"/>
    <s v="Gobiernos locales"/>
    <n v="11"/>
    <x v="69"/>
    <x v="25"/>
    <x v="1"/>
    <x v="11"/>
    <x v="3"/>
    <x v="146"/>
    <s v="Año 2019"/>
    <s v="Hectáreas"/>
    <s v="Sistema Nacional de Información Municipal"/>
    <s v="Superficie de Parques Urbanos en la Región de Aysén en el año 2019"/>
    <m/>
    <m/>
    <s v="Región de Aysén mapa calor Chile comunas comunal año 2019 parques urbanos municipal municipio superficie hectáreas"/>
    <s v="https://analytics.zoho.com/open-view/2395394000008478071?ZOHO_CRITERIA=%22Localiza%20CL%22.%22Codreg%22%20%3D%2011"/>
    <x v="28"/>
    <s v="#1774B197"/>
  </r>
  <r>
    <s v="1676"/>
    <n v="990"/>
    <s v="Agencia Información"/>
    <s v="Gobiernos locales"/>
    <n v="12"/>
    <x v="69"/>
    <x v="25"/>
    <x v="1"/>
    <x v="12"/>
    <x v="3"/>
    <x v="146"/>
    <s v="Año 2019"/>
    <s v="Hectáreas"/>
    <s v="Sistema Nacional de Información Municipal"/>
    <s v="Superficie de Parques Urbanos en la Región de Magallanes en el año 2019"/>
    <m/>
    <m/>
    <s v="Región de Magallanes mapa calor Chile comunas comunal año 2019 parques urbanos municipal municipio superficie hectáreas"/>
    <s v="https://analytics.zoho.com/open-view/2395394000008478071?ZOHO_CRITERIA=%22Localiza%20CL%22.%22Codreg%22%20%3D%2012"/>
    <x v="29"/>
    <s v="#1774B198"/>
  </r>
  <r>
    <s v="1677"/>
    <n v="990"/>
    <s v="Agencia Información"/>
    <s v="Gobiernos locales"/>
    <n v="13"/>
    <x v="69"/>
    <x v="25"/>
    <x v="1"/>
    <x v="13"/>
    <x v="3"/>
    <x v="146"/>
    <s v="Año 2019"/>
    <s v="Hectáreas"/>
    <s v="Sistema Nacional de Información Municipal"/>
    <s v="Superficie de Parques Urbanos en la Región Metropolitana en el año 2019"/>
    <m/>
    <m/>
    <s v="Región Metropolitana mapa calor Chile comunas comunal año 2019 parques urbanos municipal municipio superficie hectáreas"/>
    <s v="https://analytics.zoho.com/open-view/2395394000008478071?ZOHO_CRITERIA=%22Localiza%20CL%22.%22Codreg%22%20%3D%2013"/>
    <x v="30"/>
    <s v="#1774B199"/>
  </r>
  <r>
    <s v="1678"/>
    <n v="990"/>
    <s v="Agencia Información"/>
    <s v="Gobiernos locales"/>
    <n v="14"/>
    <x v="69"/>
    <x v="25"/>
    <x v="1"/>
    <x v="14"/>
    <x v="3"/>
    <x v="146"/>
    <s v="Año 2019"/>
    <s v="Hectáreas"/>
    <s v="Sistema Nacional de Información Municipal"/>
    <s v="Superficie de Parques Urbanos en la Región de Los Ríos en el año 2019"/>
    <m/>
    <m/>
    <s v="Región de Los Ríos mapa calor Chile comunas comunal año 2019 parques urbanos municipal municipio superficie hectáreas"/>
    <s v="https://analytics.zoho.com/open-view/2395394000008478071?ZOHO_CRITERIA=%22Localiza%20CL%22.%22Codreg%22%20%3D%2014"/>
    <x v="31"/>
    <s v="#1774B200"/>
  </r>
  <r>
    <s v="1679"/>
    <n v="990"/>
    <s v="Agencia Información"/>
    <s v="Gobiernos locales"/>
    <n v="15"/>
    <x v="69"/>
    <x v="25"/>
    <x v="1"/>
    <x v="15"/>
    <x v="3"/>
    <x v="146"/>
    <s v="Año 2019"/>
    <s v="Hectáreas"/>
    <s v="Sistema Nacional de Información Municipal"/>
    <s v="Superficie de Parques Urbanos en la Región de Arica y Parinacota en el año 2019"/>
    <m/>
    <m/>
    <s v="Región de Arica y Parinacota mapa calor Chile comunas comunal año 2019 parques urbanos municipal municipio superficie hectáreas"/>
    <s v="https://analytics.zoho.com/open-view/2395394000008478071?ZOHO_CRITERIA=%22Localiza%20CL%22.%22Codreg%22%20%3D%2015"/>
    <x v="32"/>
    <s v="#1774B201"/>
  </r>
  <r>
    <s v="1680"/>
    <n v="990"/>
    <s v="Agencia Información"/>
    <s v="Gobiernos locales"/>
    <n v="16"/>
    <x v="69"/>
    <x v="25"/>
    <x v="1"/>
    <x v="16"/>
    <x v="3"/>
    <x v="146"/>
    <s v="Año 2019"/>
    <s v="Hectáreas"/>
    <s v="Sistema Nacional de Información Municipal"/>
    <s v="Superficie de Parques Urbanos en la Región de Ñuble en el año 2019"/>
    <m/>
    <m/>
    <s v="Región de Ñuble mapa calor Chile comunas comunal año 2019 parques urbanos municipal municipio superficie hectáreas"/>
    <s v="https://analytics.zoho.com/open-view/2395394000008478071?ZOHO_CRITERIA=%22Localiza%20CL%22.%22Codreg%22%20%3D%2016"/>
    <x v="33"/>
    <s v="#1774B202"/>
  </r>
  <r>
    <s v="1681"/>
    <n v="990"/>
    <s v="Agencia Información"/>
    <s v="Gobiernos locales"/>
    <n v="0"/>
    <x v="70"/>
    <x v="25"/>
    <x v="0"/>
    <x v="0"/>
    <x v="2"/>
    <x v="147"/>
    <s v="Año 2019"/>
    <s v="Hectáreas"/>
    <s v="Sistema Nacional de Información Municipal"/>
    <s v="Superficie de Plazas Públicas en la Chile en el año 2019"/>
    <s v="En el año 2019, las comunas con más de 130 hectáreas de plazas públicas fueron Puente Alto, Maipú, Las Condes, La Florida, Coquimbo, San Bernardo, Talca y Rancagua, con 257,67 (ha), 266,11 (ha), 163,68 (ha), 151,82 (ha), 149,92 (ha), 137,22 (ha), 132,96 (ha) y 162,89 (ha), respectivamente."/>
    <s v="Mapa de calor"/>
    <s v="Chile nacional comunas comunalplazas públicas municipal municipio superficie hectáreas"/>
    <s v="https://analytics.zoho.com/open-view/2395394000008183474"/>
    <x v="17"/>
    <s v="#1774B203"/>
  </r>
  <r>
    <s v="1682"/>
    <n v="990"/>
    <s v="Agencia Información"/>
    <s v="Gobiernos locales"/>
    <n v="1"/>
    <x v="70"/>
    <x v="25"/>
    <x v="1"/>
    <x v="1"/>
    <x v="3"/>
    <x v="147"/>
    <s v="Año 2019"/>
    <s v="Hectáreas"/>
    <s v="Sistema Nacional de Información Municipal"/>
    <s v="Superficie de Plazas Públicas en la Región de Tarapacá en el año 2019"/>
    <m/>
    <s v="Mapa de calor"/>
    <s v="Región de Tarapacá mapa calor Chile comunas comunal año 2019 plazas públicas municipal municipio superficie hectáreas"/>
    <s v="https://analytics.zoho.com/open-view/2395394000008478183?ZOHO_CRITERIA=%22Localiza%20CL%22.%22Codreg%22%20%3D%201"/>
    <x v="18"/>
    <s v="#1774B204"/>
  </r>
  <r>
    <s v="1683"/>
    <n v="990"/>
    <s v="Agencia Información"/>
    <s v="Gobiernos locales"/>
    <n v="2"/>
    <x v="70"/>
    <x v="25"/>
    <x v="1"/>
    <x v="2"/>
    <x v="3"/>
    <x v="147"/>
    <s v="Año 2019"/>
    <s v="Hectáreas"/>
    <s v="Sistema Nacional de Información Municipal"/>
    <s v="Superficie de Plazas Públicas en la Región de Antofagasta en el año 2019"/>
    <m/>
    <s v="Mapa de calor"/>
    <s v="Región de Antofagasta mapa calor Chile comunas comunal año 2019 plazas públicas municipal municipio superficie hectáreas"/>
    <s v="https://analytics.zoho.com/open-view/2395394000008478183?ZOHO_CRITERIA=%22Localiza%20CL%22.%22Codreg%22%20%3D%202"/>
    <x v="19"/>
    <s v="#1774B205"/>
  </r>
  <r>
    <s v="1684"/>
    <n v="990"/>
    <s v="Agencia Información"/>
    <s v="Gobiernos locales"/>
    <n v="3"/>
    <x v="70"/>
    <x v="25"/>
    <x v="1"/>
    <x v="3"/>
    <x v="3"/>
    <x v="147"/>
    <s v="Año 2019"/>
    <s v="Hectáreas"/>
    <s v="Sistema Nacional de Información Municipal"/>
    <s v="Superficie de Plazas Públicas en la Región de Atacama en el año 2019"/>
    <m/>
    <s v="Mapa de calor"/>
    <s v="Región de Atacama mapa calor Chile comunas comunal año 2019 plazas públicas municipal municipio superficie hectáreas"/>
    <s v="https://analytics.zoho.com/open-view/2395394000008478183?ZOHO_CRITERIA=%22Localiza%20CL%22.%22Codreg%22%20%3D%203"/>
    <x v="20"/>
    <s v="#1774B206"/>
  </r>
  <r>
    <s v="1685"/>
    <n v="990"/>
    <s v="Agencia Información"/>
    <s v="Gobiernos locales"/>
    <n v="4"/>
    <x v="70"/>
    <x v="25"/>
    <x v="1"/>
    <x v="4"/>
    <x v="3"/>
    <x v="147"/>
    <s v="Año 2019"/>
    <s v="Hectáreas"/>
    <s v="Sistema Nacional de Información Municipal"/>
    <s v="Superficie de Plazas Públicas en la Región de Coquimbo en el año 2019"/>
    <m/>
    <s v="Mapa de calor"/>
    <s v="Región de Coquimbo mapa calor Chile comunas comunal año 2019 plazas públicas municipal municipio superficie hectáreas"/>
    <s v="https://analytics.zoho.com/open-view/2395394000008478183?ZOHO_CRITERIA=%22Localiza%20CL%22.%22Codreg%22%20%3D%204"/>
    <x v="21"/>
    <s v="#1774B207"/>
  </r>
  <r>
    <s v="1686"/>
    <n v="990"/>
    <s v="Agencia Información"/>
    <s v="Gobiernos locales"/>
    <n v="5"/>
    <x v="70"/>
    <x v="25"/>
    <x v="1"/>
    <x v="5"/>
    <x v="3"/>
    <x v="147"/>
    <s v="Año 2019"/>
    <s v="Hectáreas"/>
    <s v="Sistema Nacional de Información Municipal"/>
    <s v="Superficie de Plazas Públicas en la Región de Valparaíso en el año 2019"/>
    <m/>
    <s v="Mapa de calor"/>
    <s v="Región de Valparaíso mapa calor Chile comunas comunal año 2019 plazas públicas municipal municipio superficie hectáreas"/>
    <s v="https://analytics.zoho.com/open-view/2395394000008478183?ZOHO_CRITERIA=%22Localiza%20CL%22.%22Codreg%22%20%3D%205"/>
    <x v="22"/>
    <s v="#1774B208"/>
  </r>
  <r>
    <s v="1687"/>
    <n v="990"/>
    <s v="Agencia Información"/>
    <s v="Gobiernos locales"/>
    <n v="6"/>
    <x v="70"/>
    <x v="25"/>
    <x v="1"/>
    <x v="6"/>
    <x v="3"/>
    <x v="147"/>
    <s v="Año 2019"/>
    <s v="Hectáreas"/>
    <s v="Sistema Nacional de Información Municipal"/>
    <s v="Superficie de Plazas Públicas en la Región de O'Higgins en el año 2019"/>
    <m/>
    <s v="Mapa de calor"/>
    <s v="Región de O'Higgins mapa calor Chile comunas comunal año 2019 plazas públicas municipal municipio superficie hectáreas"/>
    <s v="https://analytics.zoho.com/open-view/2395394000008478183?ZOHO_CRITERIA=%22Localiza%20CL%22.%22Codreg%22%20%3D%206"/>
    <x v="23"/>
    <s v="#1774B209"/>
  </r>
  <r>
    <s v="1688"/>
    <n v="990"/>
    <s v="Agencia Información"/>
    <s v="Gobiernos locales"/>
    <n v="7"/>
    <x v="70"/>
    <x v="25"/>
    <x v="1"/>
    <x v="7"/>
    <x v="3"/>
    <x v="147"/>
    <s v="Año 2019"/>
    <s v="Hectáreas"/>
    <s v="Sistema Nacional de Información Municipal"/>
    <s v="Superficie de Plazas Públicas en la Región de Maule en el año 2019"/>
    <m/>
    <s v="Mapa de calor"/>
    <s v="Región de Maule mapa calor Chile comunas comunal año 2019 plazas públicas municipal municipio superficie hectáreas"/>
    <s v="https://analytics.zoho.com/open-view/2395394000008478183?ZOHO_CRITERIA=%22Localiza%20CL%22.%22Codreg%22%20%3D%207"/>
    <x v="24"/>
    <s v="#1774B210"/>
  </r>
  <r>
    <s v="1689"/>
    <n v="990"/>
    <s v="Agencia Información"/>
    <s v="Gobiernos locales"/>
    <n v="8"/>
    <x v="70"/>
    <x v="25"/>
    <x v="1"/>
    <x v="8"/>
    <x v="3"/>
    <x v="147"/>
    <s v="Año 2019"/>
    <s v="Hectáreas"/>
    <s v="Sistema Nacional de Información Municipal"/>
    <s v="Superficie de Plazas Públicas en la Región del Biobío en el año 2019"/>
    <m/>
    <s v="Mapa de calor"/>
    <s v="Región del Biobío mapa calor Chile comunas comunal año 2019 plazas públicas municipal municipio superficie hectáreas"/>
    <s v="https://analytics.zoho.com/open-view/2395394000008478183?ZOHO_CRITERIA=%22Localiza%20CL%22.%22Codreg%22%20%3D%208"/>
    <x v="25"/>
    <s v="#1774B211"/>
  </r>
  <r>
    <s v="1690"/>
    <n v="990"/>
    <s v="Agencia Información"/>
    <s v="Gobiernos locales"/>
    <n v="9"/>
    <x v="70"/>
    <x v="25"/>
    <x v="1"/>
    <x v="9"/>
    <x v="3"/>
    <x v="147"/>
    <s v="Año 2019"/>
    <s v="Hectáreas"/>
    <s v="Sistema Nacional de Información Municipal"/>
    <s v="Superficie de Plazas Públicas en la Región de La Araucanía en el año 2019"/>
    <m/>
    <s v="Mapa de calor"/>
    <s v="Región de La Araucanía mapa calor Chile comunas comunal año 2019 plazas públicas municipal municipio superficie hectáreas"/>
    <s v="https://analytics.zoho.com/open-view/2395394000008478183?ZOHO_CRITERIA=%22Localiza%20CL%22.%22Codreg%22%20%3D%209"/>
    <x v="26"/>
    <s v="#1774B212"/>
  </r>
  <r>
    <s v="1691"/>
    <n v="990"/>
    <s v="Agencia Información"/>
    <s v="Gobiernos locales"/>
    <n v="10"/>
    <x v="70"/>
    <x v="25"/>
    <x v="1"/>
    <x v="10"/>
    <x v="3"/>
    <x v="147"/>
    <s v="Año 2019"/>
    <s v="Hectáreas"/>
    <s v="Sistema Nacional de Información Municipal"/>
    <s v="Superficie de Plazas Públicas en la Región de Los Lagos en el año 2019"/>
    <m/>
    <s v="Mapa de calor"/>
    <s v="Región de Los Lagos mapa calor Chile comunas comunal año 2019 plazas públicas municipal municipio superficie hectáreas"/>
    <s v="https://analytics.zoho.com/open-view/2395394000008478183?ZOHO_CRITERIA=%22Localiza%20CL%22.%22Codreg%22%20%3D%2010"/>
    <x v="27"/>
    <s v="#1774B213"/>
  </r>
  <r>
    <s v="1692"/>
    <n v="990"/>
    <s v="Agencia Información"/>
    <s v="Gobiernos locales"/>
    <n v="11"/>
    <x v="70"/>
    <x v="25"/>
    <x v="1"/>
    <x v="11"/>
    <x v="3"/>
    <x v="147"/>
    <s v="Año 2019"/>
    <s v="Hectáreas"/>
    <s v="Sistema Nacional de Información Municipal"/>
    <s v="Superficie de Plazas Públicas en la Región de Aysén en el año 2019"/>
    <m/>
    <s v="Mapa de calor"/>
    <s v="Región de Aysén mapa calor Chile comunas comunal año 2019 plazas públicas municipal municipio superficie hectáreas"/>
    <s v="https://analytics.zoho.com/open-view/2395394000008478183?ZOHO_CRITERIA=%22Localiza%20CL%22.%22Codreg%22%20%3D%2011"/>
    <x v="28"/>
    <s v="#1774B214"/>
  </r>
  <r>
    <s v="1693"/>
    <n v="990"/>
    <s v="Agencia Información"/>
    <s v="Gobiernos locales"/>
    <n v="12"/>
    <x v="70"/>
    <x v="25"/>
    <x v="1"/>
    <x v="12"/>
    <x v="3"/>
    <x v="147"/>
    <s v="Año 2019"/>
    <s v="Hectáreas"/>
    <s v="Sistema Nacional de Información Municipal"/>
    <s v="Superficie de Plazas Públicas en la Región de Magallanes en el año 2019"/>
    <m/>
    <s v="Mapa de calor"/>
    <s v="Región de Magallanes mapa calor Chile comunas comunal año 2019 plazas públicas municipal municipio superficie hectáreas"/>
    <s v="https://analytics.zoho.com/open-view/2395394000008478183?ZOHO_CRITERIA=%22Localiza%20CL%22.%22Codreg%22%20%3D%2012"/>
    <x v="29"/>
    <s v="#1774B215"/>
  </r>
  <r>
    <s v="1694"/>
    <n v="990"/>
    <s v="Agencia Información"/>
    <s v="Gobiernos locales"/>
    <n v="13"/>
    <x v="70"/>
    <x v="25"/>
    <x v="1"/>
    <x v="13"/>
    <x v="3"/>
    <x v="147"/>
    <s v="Año 2019"/>
    <s v="Hectáreas"/>
    <s v="Sistema Nacional de Información Municipal"/>
    <s v="Superficie de Plazas Públicas en la Región Metropolitana en el año 2019"/>
    <m/>
    <s v="Mapa de calor"/>
    <s v="Región Metropolitana mapa calor Chile comunas comunal año 2019 plazas públicas municipal municipio superficie hectáreas"/>
    <s v="https://analytics.zoho.com/open-view/2395394000008478183?ZOHO_CRITERIA=%22Localiza%20CL%22.%22Codreg%22%20%3D%2013"/>
    <x v="30"/>
    <s v="#1774B216"/>
  </r>
  <r>
    <s v="1695"/>
    <n v="990"/>
    <s v="Agencia Información"/>
    <s v="Gobiernos locales"/>
    <n v="14"/>
    <x v="70"/>
    <x v="25"/>
    <x v="1"/>
    <x v="14"/>
    <x v="3"/>
    <x v="147"/>
    <s v="Año 2019"/>
    <s v="Hectáreas"/>
    <s v="Sistema Nacional de Información Municipal"/>
    <s v="Superficie de Plazas Públicas en la Región de Los Ríos en el año 2019"/>
    <m/>
    <s v="Mapa de calor"/>
    <s v="Región de Los Ríos mapa calor Chile comunas comunal año 2019 plazas públicas municipal municipio superficie hectáreas"/>
    <s v="https://analytics.zoho.com/open-view/2395394000008478183?ZOHO_CRITERIA=%22Localiza%20CL%22.%22Codreg%22%20%3D%2014"/>
    <x v="31"/>
    <s v="#1774B217"/>
  </r>
  <r>
    <s v="1696"/>
    <n v="990"/>
    <s v="Agencia Información"/>
    <s v="Gobiernos locales"/>
    <n v="15"/>
    <x v="70"/>
    <x v="25"/>
    <x v="1"/>
    <x v="15"/>
    <x v="3"/>
    <x v="147"/>
    <s v="Año 2019"/>
    <s v="Hectáreas"/>
    <s v="Sistema Nacional de Información Municipal"/>
    <s v="Superficie de Plazas Públicas en la Región de Arica y Parinacota en el año 2019"/>
    <m/>
    <s v="Mapa de calor"/>
    <s v="Región de Arica y Parinacota mapa calor Chile comunas comunal año 2019 plazas públicas municipal municipio superficie hectáreas"/>
    <s v="https://analytics.zoho.com/open-view/2395394000008478183?ZOHO_CRITERIA=%22Localiza%20CL%22.%22Codreg%22%20%3D%2015}"/>
    <x v="32"/>
    <s v="#1774B218"/>
  </r>
  <r>
    <s v="1697"/>
    <n v="990"/>
    <s v="Agencia Información"/>
    <s v="Gobiernos locales"/>
    <n v="16"/>
    <x v="70"/>
    <x v="25"/>
    <x v="1"/>
    <x v="16"/>
    <x v="3"/>
    <x v="147"/>
    <s v="Año 2019"/>
    <s v="Hectáreas"/>
    <s v="Sistema Nacional de Información Municipal"/>
    <m/>
    <m/>
    <m/>
    <s v="Región de Ñuble mapa calor Chile comunas comunal año 2019 plazas públicas municipal municipio superficie hectáreas"/>
    <s v="https://analytics.zoho.com/open-view/2395394000008478183?ZOHO_CRITERIA=%22Localiza%20CL%22.%22Codreg%22%20%3D%2016"/>
    <x v="33"/>
    <s v="#1774B219"/>
  </r>
  <r>
    <s v="1698"/>
    <n v="990"/>
    <s v="Agencia Información"/>
    <s v="Economía"/>
    <n v="0"/>
    <x v="23"/>
    <x v="27"/>
    <x v="0"/>
    <x v="0"/>
    <x v="9"/>
    <x v="148"/>
    <s v="Periodo 2015-2021"/>
    <s v="USD"/>
    <s v="Aduana de Chile"/>
    <s v="Evolución Mensual de Importaciones en Chile en el periodo 2015-2021"/>
    <s v="Al comparar las importaciones en el mes de marzo desde el año 2015 al 2021, se observa que, luego del 2018, hubo una caída en el crecimiento del valor en USD de las importaciones. Este valor repuntó en marzo del año 2021, mostrando un incremento desde los 4.400 millones de dólares en el año 2020 a  7.000 millones de dólares en el año 2021."/>
    <s v="Gráfico de Evolución"/>
    <s v="evolución Chile nacional periodo 2015 2021 producto importado importación comercio exterior internacional valor USD mundial minería alimentos fruta"/>
    <s v="https://analytics.zoho.com/open-view/2395394000008193854"/>
    <x v="34"/>
    <s v="#1774B220"/>
  </r>
  <r>
    <s v="1699"/>
    <n v="990"/>
    <s v="Agencia Información"/>
    <s v="Economía"/>
    <n v="0"/>
    <x v="85"/>
    <x v="27"/>
    <x v="0"/>
    <x v="0"/>
    <x v="9"/>
    <x v="149"/>
    <s v="Periodo 2015-2021"/>
    <s v="USD"/>
    <s v="Aduana de Chile"/>
    <s v="Evolución Trimestral de Importaciones y Exportaciones en Chile en el periodo 2015-2021"/>
    <s v="Al observar las importaciones y exportaciones hechas por Suiza, el peak para ambas fue en el tercer trimestre del año 2018, periodo en el que las importaciones ascienden aproximadamente a 71 millones de dólares, mientras que las exportaciones llegaron a casi 359 millones de dólares."/>
    <s v="Gráfico de Evolución"/>
    <s v="evolución Chile nacional periodo 2015 2021 trimestre exportación importación comparación comercio exterior internacional valor USD dólar"/>
    <s v="https://analytics.zoho.com/open-view/2395394000008205248"/>
    <x v="34"/>
    <s v="#1774B221"/>
  </r>
  <r>
    <s v="1700"/>
    <n v="990"/>
    <s v="Agencia Información"/>
    <s v="Economía"/>
    <n v="0"/>
    <x v="7"/>
    <x v="27"/>
    <x v="0"/>
    <x v="0"/>
    <x v="20"/>
    <x v="150"/>
    <s v="Periodo 2005-2021"/>
    <s v="USD"/>
    <s v="Servicio Nacional de Aduanas"/>
    <s v="Valor de exportaciones acumuladas por país de destino en el periodo 2005-2021 "/>
    <s v="Al observar el mapa de calor, el país con más exportaciones acumuladas en USD fue China, alcanzando casi 141.654 millones de dólares, seguido por Estados Unidos, Japón, Corea y Brasil, quienes en conjunto acumularon casi 153 mil millones de dólares en exportaciones."/>
    <s v="Mapa de calor"/>
    <s v="nacional Chile exportación comercio exterior internacional valor mundial china canadá USA"/>
    <s v="https://analytics.zoho.com/open-view/2395394000008193221"/>
    <x v="34"/>
    <s v="#1774B222"/>
  </r>
  <r>
    <s v="1701"/>
    <n v="990"/>
    <s v="Agencia Información"/>
    <s v="Economía"/>
    <n v="0"/>
    <x v="23"/>
    <x v="27"/>
    <x v="0"/>
    <x v="0"/>
    <x v="1"/>
    <x v="151"/>
    <s v="Año 2021"/>
    <s v="USD"/>
    <s v="Aduana de Chile"/>
    <s v="Valor de importaciones de alimentos por país de origen en el año 2021"/>
    <s v="Al mes de julio del año 2021, el país con la importación más alta de alimentos en USD fue Argentina con más de 695 millones de dólares, seguido por Brasil y Estados Unidos. Aclarar que los países no coloreados corresponden a todos aquellos desde los cuales Chile no realiza importaciones de alimentos."/>
    <s v="Mapa de calor"/>
    <s v="nacional Chile importación comercio exterior internacional valor USD mundial argentina brasil USA alimentos país origen"/>
    <s v="https://analytics.zoho.com/open-view/2395394000008193416"/>
    <x v="34"/>
    <s v="#1774B223"/>
  </r>
  <r>
    <s v="1702"/>
    <n v="990"/>
    <s v="Agencia Información"/>
    <s v="Economía"/>
    <n v="0"/>
    <x v="7"/>
    <x v="27"/>
    <x v="0"/>
    <x v="0"/>
    <x v="17"/>
    <x v="152"/>
    <s v="Periodo 2015-2021"/>
    <s v="USD"/>
    <s v="Servicio Nacional de Aduanas"/>
    <s v="Evolución Trimestral de Exportaciones por Producto Minero en el Periodo 2015-2021 "/>
    <s v="En el segundo semestre del año 2021, los productos de minería acumularon más dólares en cuanto a exportación, siendo el cobre y los minerales de cobre y sus concentrados las dos subcategorías de minería con mayor relevancia."/>
    <s v="Gráfico de Evolución"/>
    <s v="evolución nacional exportación comercio exterior internacional valor USD mundial chile producto minero minería detalle cobre"/>
    <s v="https://analytics.zoho.com/open-view/2395394000008410521?ZOHO_CRITERIA=%22Pa%C3%ADs_Todo%22.%22id_TipoProducto%22%3D4"/>
    <x v="34"/>
    <s v="#1774B224"/>
  </r>
  <r>
    <s v="1703"/>
    <n v="990"/>
    <s v="Agencia Información"/>
    <s v="Economía"/>
    <n v="0"/>
    <x v="86"/>
    <x v="34"/>
    <x v="0"/>
    <x v="0"/>
    <x v="19"/>
    <x v="153"/>
    <s v="Periodo 2014-2021"/>
    <s v="Índice"/>
    <s v="Instituto Nacional de Estadísticas (INE)"/>
    <s v="Evolución del Índice de Producción Manufacturera (IPMan) a Escala Nacional"/>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ste índice alcanzó su mínimo a nivel nacional en septiembre de 2014, con un valor de 90,8, mientras que el máximo tomó un valor de 131,7 en junio de 2018."/>
    <s v="Gráfico de Evolución"/>
    <s v="índice producción manufacturera manufactura nacional chile industria evolución productividad"/>
    <s v="https://analytics.zoho.com/open-view/2395394000008742241"/>
    <x v="0"/>
    <s v="#1774B225"/>
  </r>
  <r>
    <s v="1704"/>
    <n v="990"/>
    <s v="Agencia Información"/>
    <s v="Economía"/>
    <n v="5"/>
    <x v="86"/>
    <x v="34"/>
    <x v="1"/>
    <x v="5"/>
    <x v="9"/>
    <x v="153"/>
    <s v="Periodo 2014-2021"/>
    <s v="Índice"/>
    <s v="Instituto Nacional de Estadísticas (INE)"/>
    <s v="Evolución del Índice de Producción Manufacturera (IPMan) en la Región de Valparaíso"/>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Valparaíso, este índice alcanzó su mínimo en abril de 2020, con un valor de 88,7, mientras que el máximo tomó un valor de 176,6 en agosto de 2019."/>
    <s v="Gráfico de Evolución"/>
    <s v="índice producción manufacturera manufactura nacional chile industria evolución productividad región valparaíso"/>
    <s v="https://analytics.zoho.com/open-view/2395394000008742319?ZOHO_CRITERIA=%22Consolidado_Estadisticas_Regionales_New%22.%22C%C3%B3digo%20regi%C3%B3n%22%20%3D%205"/>
    <x v="5"/>
    <s v="#1774B226"/>
  </r>
  <r>
    <s v="1705"/>
    <n v="990"/>
    <s v="Agencia Información"/>
    <s v="Economía"/>
    <n v="6"/>
    <x v="86"/>
    <x v="34"/>
    <x v="1"/>
    <x v="6"/>
    <x v="9"/>
    <x v="153"/>
    <s v="Periodo 2014-2021"/>
    <s v="Índice"/>
    <s v="Instituto Nacional de Estadísticas (INE)"/>
    <s v="Evolución del Índice de Producción Manufacturera (IPMan) en la Región de O'Higgins"/>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O'Higgins, este índice alcanzó su mínimo en septiembre de 2014, con un valor de 81,1, mientras que el máximo tomó un valor de 172,6 en junio de 2018."/>
    <s v="Gráfico de Evolución"/>
    <s v="índice producción manufacturera manufactura nacional chile industria evolución productividad región ohiggins"/>
    <s v="https://analytics.zoho.com/open-view/2395394000008742319?ZOHO_CRITERIA=%22Consolidado_Estadisticas_Regionales_New%22.%22C%C3%B3digo%20regi%C3%B3n%22%20%3D%206"/>
    <x v="6"/>
    <s v="#1774B227"/>
  </r>
  <r>
    <s v="1706"/>
    <n v="990"/>
    <s v="Agencia Información"/>
    <s v="Economía"/>
    <n v="8"/>
    <x v="86"/>
    <x v="34"/>
    <x v="1"/>
    <x v="8"/>
    <x v="9"/>
    <x v="153"/>
    <s v="Periodo 2014-2021"/>
    <s v="Índice"/>
    <s v="Instituto Nacional de Estadísticas (INE)"/>
    <s v="Evolución del Índice de Producción Manufacturera (IPMan) en la Región del Biobío"/>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Biobío, este índice alcanzó su mínimo en febrero de 2016, con un valor de 83,1, mientras que el máximo tomó un valor de 117,9 en marzo de 2021."/>
    <s v="Gráfico de Evolución"/>
    <s v="índice producción manufacturera manufactura nacional chile industria evolución productividad región biobío"/>
    <s v="https://analytics.zoho.com/open-view/2395394000008742319?ZOHO_CRITERIA=%22Consolidado_Estadisticas_Regionales_New%22.%22C%C3%B3digo%20regi%C3%B3n%22%20%3D%208"/>
    <x v="8"/>
    <s v="#1774B228"/>
  </r>
  <r>
    <s v="1707"/>
    <n v="990"/>
    <s v="Agencia Información"/>
    <s v="Economía"/>
    <n v="9"/>
    <x v="86"/>
    <x v="34"/>
    <x v="1"/>
    <x v="9"/>
    <x v="9"/>
    <x v="153"/>
    <s v="Periodo 2014-2021"/>
    <s v="Índice"/>
    <s v="Instituto Nacional de Estadísticas (INE)"/>
    <s v="Evolución del Índice de Producción Manufacturera (IPMan) en la Región de La Araucanía"/>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la Araucanía, este índice alcanzó su mínimo en julio de 2016, con un valor de 88,8, mientras que el máximo tomó un valor de 135,1 en diciembre de 2019 y en julio de 2020."/>
    <s v="Gráfico de Evolución"/>
    <s v="índice producción manufacturera manufactura nacional chile industria evolución productividad región araucanía"/>
    <s v="https://analytics.zoho.com/open-view/2395394000008742319?ZOHO_CRITERIA=%22Consolidado_Estadisticas_Regionales_New%22.%22C%C3%B3digo%20regi%C3%B3n%22%20%3D%209"/>
    <x v="9"/>
    <s v="#1774B229"/>
  </r>
  <r>
    <s v="1708"/>
    <n v="990"/>
    <s v="Agencia Información"/>
    <s v="Economía"/>
    <n v="14"/>
    <x v="86"/>
    <x v="34"/>
    <x v="1"/>
    <x v="14"/>
    <x v="9"/>
    <x v="153"/>
    <s v="Periodo 2014-2021"/>
    <s v="Índice"/>
    <s v="Instituto Nacional de Estadísticas (INE)"/>
    <s v="Evolución del Índice de Producción Manufacturera (IPMan) en la Región de Los Ríos"/>
    <s v="Según el Instituto Nacional de Estadísticas (INE), el índice de Producción Manufacturera es un índice que entrega, mediante el análisis de variaciones interanuales y mensuales, una aproximación de la evolución de volumen de producción manufacturera, de series originales y desestacionalizadas. En la región de Los Ríos, este índice alcanzó su mínimo en julio de 2016, con un valor de 80,8, mientras que el máximo tomó un valor de 128,2 en marzo de 2020."/>
    <s v="Gráfico de Evolución"/>
    <s v="índice producción manufacturera manufactura nacional chile industria evolución productividad región los ríos"/>
    <s v="https://analytics.zoho.com/open-view/2395394000008742319?ZOHO_CRITERIA=%22Consolidado_Estadisticas_Regionales_New%22.%22C%C3%B3digo%20regi%C3%B3n%22%20%3D%2014"/>
    <x v="14"/>
    <s v="#1774B230"/>
  </r>
  <r>
    <s v="1709"/>
    <n v="990"/>
    <s v="Agencia Información"/>
    <s v="Economía"/>
    <n v="0"/>
    <x v="87"/>
    <x v="35"/>
    <x v="0"/>
    <x v="0"/>
    <x v="19"/>
    <x v="154"/>
    <s v="Periodo 2014-2021"/>
    <s v="Número de supermercados"/>
    <s v="Instituto Nacional de Estadísticas (INE)"/>
    <s v="Evolución del Número de establecimientos clasificados como supermercados, que cuentan con tres o más cajas instaladas a Escala Nacional"/>
    <s v="En enero de 2014, la cantidad de supermercados con 3 o más cajas instaladas era de 1.161, mientras que en marzo de 2021, era de 1.176. El mínimo se registró en noviembre de 2019, con 1.100 establecimientos, y el máximo en diciembre de 2015, con 1.229."/>
    <s v="Gráfico de Evolución"/>
    <s v="cantidad supermercados establecimientos cajas instaladas nacional chile"/>
    <s v="https://analytics.zoho.com/open-view/2395394000008715761"/>
    <x v="0"/>
    <s v="#1774B231"/>
  </r>
  <r>
    <s v="1710"/>
    <n v="990"/>
    <s v="Agencia Información"/>
    <s v="Economía"/>
    <n v="1"/>
    <x v="87"/>
    <x v="35"/>
    <x v="1"/>
    <x v="1"/>
    <x v="9"/>
    <x v="154"/>
    <s v="Periodo 2014-2021"/>
    <s v="Número de supermercados"/>
    <s v="Instituto Nacional de Estadísticas (INE)"/>
    <s v="Evolución del Número de establecimientos clasificados como supermercados, que cuentan con tres o más cajas instaladas en la Región de Tarapacá"/>
    <s v="En la Región de Tarapacá, en enero de 2014, la cantidad de supermercados con 3 o más cajas instaladas era de 13, mientras que en abril de 2021, era de 14. El promedio de supermercados en este período es de 14."/>
    <s v="Gráfico de Evolución"/>
    <s v="cantidad supermercados establecimientos cajas instaladas región tarapacá"/>
    <s v="https://analytics.zoho.com/open-view/2395394000008715905?ZOHO_CRITERIA=%22Consolidado_Estadisticas_Regionales_New%22.%22C%C3%B3digo%20regi%C3%B3n%22%20%3D%201"/>
    <x v="1"/>
    <s v="#1774B232"/>
  </r>
  <r>
    <s v="1711"/>
    <n v="990"/>
    <s v="Agencia Información"/>
    <s v="Economía"/>
    <n v="2"/>
    <x v="87"/>
    <x v="35"/>
    <x v="1"/>
    <x v="2"/>
    <x v="9"/>
    <x v="154"/>
    <s v="Periodo 2014-2021"/>
    <s v="Número de supermercados"/>
    <s v="Instituto Nacional de Estadísticas (INE)"/>
    <s v="Evolución del Número de establecimientos clasificados como supermercados, que cuentan con tres o más cajas instaladas en la Región de Antofagasta"/>
    <s v="En la Región de Antofagasta, en enero de 2014, la cantidad de supermercados con 3 o más cajas instaladas era de 32, y en abril de 2021, era de 34. El promedio de supermercados en este período es de 34."/>
    <s v="Gráfico de Evolución"/>
    <s v="cantidad supermercados establecimientos cajas instaladas región antofagasta"/>
    <s v="https://analytics.zoho.com/open-view/2395394000008715905?ZOHO_CRITERIA=%22Consolidado_Estadisticas_Regionales_New%22.%22C%C3%B3digo%20regi%C3%B3n%22%20%3D%202"/>
    <x v="2"/>
    <s v="#1774B233"/>
  </r>
  <r>
    <s v="1712"/>
    <n v="990"/>
    <s v="Agencia Información"/>
    <s v="Economía"/>
    <n v="3"/>
    <x v="87"/>
    <x v="35"/>
    <x v="1"/>
    <x v="3"/>
    <x v="9"/>
    <x v="154"/>
    <s v="Periodo 2014-2021"/>
    <s v="Número de supermercados"/>
    <s v="Instituto Nacional de Estadísticas (INE)"/>
    <s v="Evolución del Número de establecimientos clasificados como supermercados, que cuentan con tres o más cajas instaladas en la Región de Atacama"/>
    <s v="En la Región de Atacama, en enero de 2014, la cantidad de supermercados con 3 o más cajas instaladas era de 23, mientras que en abril de 2021, era de 26. El promedio de supermercados en este período es de 24."/>
    <s v="Gráfico de Evolución"/>
    <s v="cantidad supermercados establecimientos cajas instaladas región atacama"/>
    <s v="https://analytics.zoho.com/open-view/2395394000008715905?ZOHO_CRITERIA=%22Consolidado_Estadisticas_Regionales_New%22.%22C%C3%B3digo%20regi%C3%B3n%22%20%3D%203"/>
    <x v="3"/>
    <s v="#1774B234"/>
  </r>
  <r>
    <s v="1713"/>
    <n v="990"/>
    <s v="Agencia Información"/>
    <s v="Economía"/>
    <n v="4"/>
    <x v="87"/>
    <x v="35"/>
    <x v="1"/>
    <x v="4"/>
    <x v="9"/>
    <x v="154"/>
    <s v="Periodo 2014-2021"/>
    <s v="Número de supermercados"/>
    <s v="Instituto Nacional de Estadísticas (INE)"/>
    <s v="Evolución del Número de establecimientos clasificados como supermercados, que cuentan con tres o más cajas instaladas en la Región de Coquimbo"/>
    <s v="En la Región de Coquimbo, en enero de 2014, la cantidad de supermercados con 3 o más cajas instaladas era de 53, mientras que en abril de 2021, era de 61. El promedio de supermercados en este período es de 57."/>
    <s v="Gráfico de Evolución"/>
    <s v="cantidad supermercados establecimientos cajas instaladas región coquimbo"/>
    <s v="https://analytics.zoho.com/open-view/2395394000008715905?ZOHO_CRITERIA=%22Consolidado_Estadisticas_Regionales_New%22.%22C%C3%B3digo%20regi%C3%B3n%22%20%3D%204"/>
    <x v="4"/>
    <s v="#1774B235"/>
  </r>
  <r>
    <s v="1714"/>
    <n v="990"/>
    <s v="Agencia Información"/>
    <s v="Economía"/>
    <n v="5"/>
    <x v="87"/>
    <x v="35"/>
    <x v="1"/>
    <x v="5"/>
    <x v="9"/>
    <x v="154"/>
    <s v="Periodo 2014-2021"/>
    <s v="Número de supermercados"/>
    <s v="Instituto Nacional de Estadísticas (INE)"/>
    <s v="Evolución del Número de establecimientos clasificados como supermercados, que cuentan con tres o más cajas instaladas en la Región de Valparaíso"/>
    <s v="En la Región de Valparaíso, en enero de 2014, la cantidad de supermercados con 3 o más cajas instaladas era de 158, mientras que en abril de 2021, era de 167. El promedio de supermercados en este período es de 163."/>
    <s v="Gráfico de Evolución"/>
    <s v="cantidad supermercados establecimientos cajas instaladas región valparaíso"/>
    <s v="https://analytics.zoho.com/open-view/2395394000008715905?ZOHO_CRITERIA=%22Consolidado_Estadisticas_Regionales_New%22.%22C%C3%B3digo%20regi%C3%B3n%22%20%3D%205"/>
    <x v="5"/>
    <s v="#1774B236"/>
  </r>
  <r>
    <s v="1715"/>
    <n v="990"/>
    <s v="Agencia Información"/>
    <s v="Economía"/>
    <n v="6"/>
    <x v="87"/>
    <x v="35"/>
    <x v="1"/>
    <x v="6"/>
    <x v="9"/>
    <x v="154"/>
    <s v="Periodo 2014-2021"/>
    <s v="Número de supermercados"/>
    <s v="Instituto Nacional de Estadísticas (INE)"/>
    <s v="Evolución del Número de establecimientos clasificados como supermercados, que cuentan con tres o más cajas instaladas en la Región de O'Higgins"/>
    <s v="En la Región de O'Higgins, en enero de 2014, la cantidad de supermercados con 3 o más cajas instaladas era de 75, mientras que en abril de 2021, era de 81. El promedio de supermercados en este período es de 78."/>
    <s v="Gráfico de Evolución"/>
    <s v="cantidad supermercados establecimientos cajas instaladas región ohiggins"/>
    <s v="https://analytics.zoho.com/open-view/2395394000008715905?ZOHO_CRITERIA=%22Consolidado_Estadisticas_Regionales_New%22.%22C%C3%B3digo%20regi%C3%B3n%22%20%3D%206"/>
    <x v="6"/>
    <s v="#1774B237"/>
  </r>
  <r>
    <s v="1716"/>
    <n v="990"/>
    <s v="Agencia Información"/>
    <s v="Economía"/>
    <n v="7"/>
    <x v="87"/>
    <x v="35"/>
    <x v="1"/>
    <x v="7"/>
    <x v="9"/>
    <x v="154"/>
    <s v="Periodo 2014-2021"/>
    <s v="Número de supermercados"/>
    <s v="Instituto Nacional de Estadísticas (INE)"/>
    <s v="Evolución del Número de establecimientos clasificados como supermercados, que cuentan con tres o más cajas instaladas en la Región de Maule"/>
    <s v="En la Región de Maule, en enero de 2014, la cantidad de supermercados con 3 o más cajas instaladas era de 67, mientras que en abril de 2021, era de 73. El promedio de supermercados en este período es de 71."/>
    <s v="Gráfico de Evolución"/>
    <s v="cantidad supermercados establecimientos cajas instaladas región maule"/>
    <s v="https://analytics.zoho.com/open-view/2395394000008715905?ZOHO_CRITERIA=%22Consolidado_Estadisticas_Regionales_New%22.%22C%C3%B3digo%20regi%C3%B3n%22%20%3D%207"/>
    <x v="7"/>
    <s v="#1774B238"/>
  </r>
  <r>
    <s v="1717"/>
    <n v="990"/>
    <s v="Agencia Información"/>
    <s v="Economía"/>
    <n v="8"/>
    <x v="87"/>
    <x v="35"/>
    <x v="1"/>
    <x v="8"/>
    <x v="9"/>
    <x v="154"/>
    <s v="Periodo 2014-2021"/>
    <s v="Número de supermercados"/>
    <s v="Instituto Nacional de Estadísticas (INE)"/>
    <s v="Evolución del Número de establecimientos clasificados como supermercados, que cuentan con tres o más cajas instaladas en la Región del Biobío"/>
    <s v="En la Región del Biobío, en enero de 2014, la cantidad de supermercados con 3 o más cajas instaladas era de 129, mientras que en abril de 2021, era de 151. El promedio de supermercados en este período es de 144."/>
    <s v="Gráfico de Evolución"/>
    <s v="cantidad supermercados establecimientos cajas instaladas región biobío"/>
    <s v="https://analytics.zoho.com/open-view/2395394000008715905?ZOHO_CRITERIA=%22Consolidado_Estadisticas_Regionales_New%22.%22C%C3%B3digo%20regi%C3%B3n%22%20%3D%208"/>
    <x v="8"/>
    <s v="#1774B239"/>
  </r>
  <r>
    <s v="1718"/>
    <n v="990"/>
    <s v="Agencia Información"/>
    <s v="Economía"/>
    <n v="9"/>
    <x v="87"/>
    <x v="35"/>
    <x v="1"/>
    <x v="9"/>
    <x v="9"/>
    <x v="154"/>
    <s v="Periodo 2014-2021"/>
    <s v="Número de supermercados"/>
    <s v="Instituto Nacional de Estadísticas (INE)"/>
    <s v="Evolución del Número de establecimientos clasificados como supermercados, que cuentan con tres o más cajas instaladas en la Región de La Araucanía"/>
    <s v="En la Región de La Araucanía, en enero de 2014, la cantidad de supermercados con 3 o más cajas instaladas era de 86, mientras que en abril de 2021, era de 101. El promedio de supermercados en este período es de 94."/>
    <s v="Gráfico de Evolución"/>
    <s v="cantidad supermercados establecimientos cajas instaladas región araucanía"/>
    <s v="https://analytics.zoho.com/open-view/2395394000008715905?ZOHO_CRITERIA=%22Consolidado_Estadisticas_Regionales_New%22.%22C%C3%B3digo%20regi%C3%B3n%22%20%3D%209"/>
    <x v="9"/>
    <s v="#1774B240"/>
  </r>
  <r>
    <s v="1719"/>
    <n v="990"/>
    <s v="Agencia Información"/>
    <s v="Economía"/>
    <n v="10"/>
    <x v="87"/>
    <x v="35"/>
    <x v="1"/>
    <x v="10"/>
    <x v="9"/>
    <x v="154"/>
    <s v="Periodo 2014-2021"/>
    <s v="Número de supermercados"/>
    <s v="Instituto Nacional de Estadísticas (INE)"/>
    <s v="Evolución del Número de establecimientos clasificados como supermercados, que cuentan con tres o más cajas instaladas en la Región de Los Lagos"/>
    <s v="En la Región de Los Lagos, en enero de 2014, la cantidad de supermercados con 3 o más cajas instaladas era de 66, mientras que en abril de 2021, era de 68. El promedio de supermercados en este período es de 69."/>
    <s v="Gráfico de Evolución"/>
    <s v="cantidad supermercados establecimientos cajas instaladas región los lagos"/>
    <s v="https://analytics.zoho.com/open-view/2395394000008715905?ZOHO_CRITERIA=%22Consolidado_Estadisticas_Regionales_New%22.%22C%C3%B3digo%20regi%C3%B3n%22%20%3D%2010"/>
    <x v="10"/>
    <s v="#1774B241"/>
  </r>
  <r>
    <s v="1720"/>
    <n v="990"/>
    <s v="Agencia Información"/>
    <s v="Economía"/>
    <n v="11"/>
    <x v="87"/>
    <x v="35"/>
    <x v="1"/>
    <x v="11"/>
    <x v="9"/>
    <x v="154"/>
    <s v="Periodo 2014-2021"/>
    <s v="Número de supermercados"/>
    <s v="Instituto Nacional de Estadísticas (INE)"/>
    <s v="Evolución del Número de establecimientos clasificados como supermercados, que cuentan con tres o más cajas instaladas en la Región de Aysén"/>
    <s v="En la Región de Aysén, en enero de 2014, la cantidad de supermercados con 3 o más cajas instaladas era de 6, mientras que en abril de 2021, era de 9. El promedio de supermercados en este período es de 8."/>
    <s v="Gráfico de Evolución"/>
    <s v="cantidad supermercados establecimientos cajas instaladas región aysén"/>
    <s v="https://analytics.zoho.com/open-view/2395394000008715905?ZOHO_CRITERIA=%22Consolidado_Estadisticas_Regionales_New%22.%22C%C3%B3digo%20regi%C3%B3n%22%20%3D%2011"/>
    <x v="11"/>
    <s v="#1774B242"/>
  </r>
  <r>
    <s v="1721"/>
    <n v="990"/>
    <s v="Agencia Información"/>
    <s v="Economía"/>
    <n v="12"/>
    <x v="87"/>
    <x v="35"/>
    <x v="1"/>
    <x v="12"/>
    <x v="9"/>
    <x v="154"/>
    <s v="Periodo 2014-2021"/>
    <s v="Número de supermercados"/>
    <s v="Instituto Nacional de Estadísticas (INE)"/>
    <s v="Evolución del Número de establecimientos clasificados como supermercados, que cuentan con tres o más cajas instaladas en la Región de Magallanes"/>
    <s v="En la Región de Magallanes, en enero de 2014, la cantidad de supermercados con 3 o más cajas instaladas era de 12, mientras que en abril de 2021, era de 11. El promedio de supermercados en este período es de 11."/>
    <s v="Gráfico de Evolución"/>
    <s v="cantidad supermercados establecimientos cajas instaladas región magallanes"/>
    <s v="https://analytics.zoho.com/open-view/2395394000008715905?ZOHO_CRITERIA=%22Consolidado_Estadisticas_Regionales_New%22.%22C%C3%B3digo%20regi%C3%B3n%22%20%3D%2012"/>
    <x v="12"/>
    <s v="#1774B243"/>
  </r>
  <r>
    <s v="1722"/>
    <n v="990"/>
    <s v="Agencia Información"/>
    <s v="Economía"/>
    <n v="13"/>
    <x v="87"/>
    <x v="35"/>
    <x v="1"/>
    <x v="13"/>
    <x v="9"/>
    <x v="154"/>
    <s v="Periodo 2014-2021"/>
    <s v="Número de supermercados"/>
    <s v="Instituto Nacional de Estadísticas (INE)"/>
    <s v="Evolución del Número de establecimientos clasificados como supermercados, que cuentan con tres o más cajas instaladas en la Región Metropolitana"/>
    <s v="En la Región Metropolitana, en enero de 2014, la cantidad de supermercados con 3 o más cajas instaladas era de 524, mientras que en abril de 2021, era de 464. El promedio de supermercados en este período es de 512."/>
    <s v="Gráfico de Evolución"/>
    <s v="cantidad supermercados establecimientos cajas instaladas región metropolitana"/>
    <s v="https://analytics.zoho.com/open-view/2395394000008715905?ZOHO_CRITERIA=%22Consolidado_Estadisticas_Regionales_New%22.%22C%C3%B3digo%20regi%C3%B3n%22%20%3D%2013"/>
    <x v="13"/>
    <s v="#1774B244"/>
  </r>
  <r>
    <s v="1723"/>
    <n v="990"/>
    <s v="Agencia Información"/>
    <s v="Economía"/>
    <n v="14"/>
    <x v="87"/>
    <x v="35"/>
    <x v="1"/>
    <x v="14"/>
    <x v="9"/>
    <x v="154"/>
    <s v="Periodo 2014-2021"/>
    <s v="Número de supermercados"/>
    <s v="Instituto Nacional de Estadísticas (INE)"/>
    <s v="Evolución del Número de establecimientos clasificados como supermercados, que cuentan con tres o más cajas instaladas en la Región de Los Ríos"/>
    <s v="En la Región de Los Ríos, en enero de 2014, la cantidad de supermercados con 3 o más cajas instaladas era de 37, mientras que en abril de 2021, era de 45. El promedio de supermercados en este período es de 42."/>
    <s v="Gráfico de Evolución"/>
    <s v="cantidad supermercados establecimientos cajas instaladas región los ríos"/>
    <s v="https://analytics.zoho.com/open-view/2395394000008715905?ZOHO_CRITERIA=%22Consolidado_Estadisticas_Regionales_New%22.%22C%C3%B3digo%20regi%C3%B3n%22%20%3D%2014"/>
    <x v="14"/>
    <s v="#1774B245"/>
  </r>
  <r>
    <s v="1724"/>
    <n v="990"/>
    <s v="Agencia Información"/>
    <s v="Economía"/>
    <n v="15"/>
    <x v="87"/>
    <x v="35"/>
    <x v="1"/>
    <x v="15"/>
    <x v="9"/>
    <x v="154"/>
    <s v="Periodo 2014-2021"/>
    <s v="Número de supermercados"/>
    <s v="Instituto Nacional de Estadísticas (INE)"/>
    <s v="Evolución del Número de establecimientos clasificados como supermercados, que cuentan con tres o más cajas instaladas en la Región de Arica y Parinacota"/>
    <s v="En la Región de Arica y Parinacota, en enero de 2014, la cantidad de supermercados con 3 o más cajas instaladas era de 6, mientras que en abril de 2021, era de 7. El promedio de supermercados en este período es de 7."/>
    <s v="Gráfico de Evolución"/>
    <s v="cantidad supermercados establecimientos cajas instaladas región arica parinacota"/>
    <s v="https://analytics.zoho.com/open-view/2395394000008715905?ZOHO_CRITERIA=%22Consolidado_Estadisticas_Regionales_New%22.%22C%C3%B3digo%20regi%C3%B3n%22%20%3D%2015"/>
    <x v="15"/>
    <s v="#1774B246"/>
  </r>
  <r>
    <s v="1725"/>
    <n v="990"/>
    <s v="Agencia Información"/>
    <s v="Economía"/>
    <n v="16"/>
    <x v="87"/>
    <x v="35"/>
    <x v="1"/>
    <x v="16"/>
    <x v="9"/>
    <x v="154"/>
    <s v="Periodo 2014-2021"/>
    <s v="Número de supermercados"/>
    <s v="Instituto Nacional de Estadísticas (INE)"/>
    <s v="Evolución del Número de establecimientos clasificados como supermercados, que cuentan con tres o más cajas instaladas en la Región de Ñuble"/>
    <s v="En la Región de Ñuble, en enero de 2014, la cantidad de supermercados con 3 o más cajas instaladas era de 32, mientras que en abril de 2021, era de 31. El promedio de supermercados en este período es de 32."/>
    <s v="Gráfico de Evolución"/>
    <s v="cantidad supermercados establecimientos cajas instaladas región ñuble"/>
    <s v="https://analytics.zoho.com/open-view/2395394000008715905?ZOHO_CRITERIA=%22Consolidado_Estadisticas_Regionales_New%22.%22C%C3%B3digo%20regi%C3%B3n%22%20%3D%2016"/>
    <x v="16"/>
    <s v="#1774B247"/>
  </r>
  <r>
    <s v="1726"/>
    <n v="990"/>
    <s v="Agencia Información"/>
    <s v="Economía"/>
    <n v="0"/>
    <x v="86"/>
    <x v="34"/>
    <x v="0"/>
    <x v="0"/>
    <x v="19"/>
    <x v="155"/>
    <s v="Periodo 2014-2021"/>
    <s v="Índice"/>
    <s v="Instituto Nacional de Estadísticas (INE)"/>
    <s v="Evolución del Índice de Producción de la división Elaboración de productos alimenticios a Escala Nacional"/>
    <s v="El Índice de Elaboración de Productos Alimenticios es la división número 10 del índice de Producción Manufacturera. A nivel nacional, este índice registró su mínimo en septiembre de 2014, con un valor de 77,4, mientras que su máximo ocurrió en marzo de 2021, con 126,1. El promedio en este período es de 100,9."/>
    <s v="Gráfico de Evolución"/>
    <s v="índice elaboración productos alimenticios alimentos producción nacional chile"/>
    <s v="https://analytics.zoho.com/open-view/2395394000008742076"/>
    <x v="0"/>
    <s v="#1774B248"/>
  </r>
  <r>
    <s v="1727"/>
    <n v="990"/>
    <s v="Agencia Información"/>
    <s v="Economía"/>
    <n v="5"/>
    <x v="86"/>
    <x v="34"/>
    <x v="1"/>
    <x v="5"/>
    <x v="9"/>
    <x v="155"/>
    <s v="Periodo 2014-2021"/>
    <s v="Índice"/>
    <s v="Instituto Nacional de Estadísticas (INE)"/>
    <s v="Evolución del Índice de Producción de la división Elaboración de productos alimenticios en la Región de Valparaíso"/>
    <s v="El Índice de Elaboración de Productos Alimenticios es la división número 10 del índice de Producción Manufacturera. En la Región de Valparaíso, el mínimo se registró en febrero de 2021, con un valor de 68,6, mientras que su máximo ocurrió en marzo de 2014, con 123,3. El promedio en este período es de 89,5."/>
    <s v="Gráfico de Evolución"/>
    <s v="índice elaboración productos alimenticios alimentos producción región valparaíso"/>
    <s v="https://analytics.zoho.com/open-view/2395394000008742160?ZOHO_CRITERIA=%22Consolidado_Estadisticas_Regionales_New%22.%22C%C3%B3digo%20regi%C3%B3n%22%20%3D%205"/>
    <x v="5"/>
    <s v="#1774B249"/>
  </r>
  <r>
    <s v="1728"/>
    <n v="990"/>
    <s v="Agencia Información"/>
    <s v="Economía"/>
    <n v="6"/>
    <x v="86"/>
    <x v="34"/>
    <x v="1"/>
    <x v="6"/>
    <x v="9"/>
    <x v="155"/>
    <s v="Periodo 2014-2021"/>
    <s v="Índice"/>
    <s v="Instituto Nacional de Estadísticas (INE)"/>
    <s v="Evolución del Índice de Producción de la división Elaboración de productos alimenticios en la Región de O'Higgins"/>
    <s v="El Índice de Elaboración de Productos Alimenticios es la división número 10 del índice de Producción Manufacturera. En la Región de O'Higgins, el mínimo se registró en septiembre de 2014, con un valor de 74,2, mientras que su máximo ocurrió en abril de 2018, con 167,0. El promedio en este período es de 114,1."/>
    <s v="Gráfico de Evolución"/>
    <s v="índice elaboración productos alimenticios alimentos producción región ohiggins"/>
    <s v="https://analytics.zoho.com/open-view/2395394000008742160?ZOHO_CRITERIA=%22Consolidado_Estadisticas_Regionales_New%22.%22C%C3%B3digo%20regi%C3%B3n%22%20%3D%206"/>
    <x v="6"/>
    <s v="#1774B250"/>
  </r>
  <r>
    <s v="1729"/>
    <n v="990"/>
    <s v="Agencia Información"/>
    <s v="Economía"/>
    <n v="8"/>
    <x v="86"/>
    <x v="34"/>
    <x v="1"/>
    <x v="8"/>
    <x v="9"/>
    <x v="155"/>
    <s v="Periodo 2014-2021"/>
    <s v="Índice"/>
    <s v="Instituto Nacional de Estadísticas (INE)"/>
    <s v="Evolución del Índice de Producción de la división Elaboración de productos alimenticios en la Región del Biobío"/>
    <s v="El Índice de Elaboración de Productos Alimenticios es la división número 10 del índice de Producción Manufacturera. En la Región del Biobío, el mínimo se registró en febrero de 2017, con un valor de 45,2, mientras que su máximo ocurrió en julio de 2019, con 141,4. El promedio en este período es de 99,3."/>
    <s v="Gráfico de Evolución"/>
    <s v="índice elaboración productos alimenticios alimentos producción región biobío"/>
    <s v="https://analytics.zoho.com/open-view/2395394000008742160?ZOHO_CRITERIA=%22Consolidado_Estadisticas_Regionales_New%22.%22C%C3%B3digo%20regi%C3%B3n%22%20%3D%208"/>
    <x v="8"/>
    <s v="#1774B251"/>
  </r>
  <r>
    <s v="1730"/>
    <n v="990"/>
    <s v="Agencia Información"/>
    <s v="Economía"/>
    <n v="14"/>
    <x v="86"/>
    <x v="34"/>
    <x v="1"/>
    <x v="14"/>
    <x v="9"/>
    <x v="155"/>
    <s v="Periodo 2014-2021"/>
    <s v="Índice"/>
    <s v="Instituto Nacional de Estadísticas (INE)"/>
    <s v="Evolución del Índice de Producción de la división Elaboración de productos alimenticios en la Región de Los Ríos"/>
    <s v="El Índice de Elaboración de Productos Alimenticios es la división número 10 del índice de Producción Manufacturera. En la Región de Los Ríos, el mínimo se registró en julio de 2016, con un valor de 62,1, mientras que su máximo ocurrió en diciembre de 2020, con 130,9. El promedio en este período es de 100,7."/>
    <s v="Gráfico de Evolución"/>
    <s v="índice elaboración productos alimenticios alimentos producción región los ríos"/>
    <s v="https://analytics.zoho.com/open-view/2395394000008742160?ZOHO_CRITERIA=%22Consolidado_Estadisticas_Regionales_New%22.%22C%C3%B3digo%20regi%C3%B3n%22%20%3D%2014"/>
    <x v="14"/>
    <s v="#1774B252"/>
  </r>
  <r>
    <s v="1731"/>
    <n v="990"/>
    <s v="Agencia Información"/>
    <s v="Economía"/>
    <n v="0"/>
    <x v="86"/>
    <x v="34"/>
    <x v="0"/>
    <x v="0"/>
    <x v="9"/>
    <x v="156"/>
    <s v="Periodo 2014-2021"/>
    <s v="Índice"/>
    <s v="Instituto Nacional de Estadísticas (INE)"/>
    <s v="Evolución del Índice de Producción de la división Fabricación de productos farmacéuticos, sustancias químicas medicinales y productos botánicos de uso farmacéutico a Escala Nacional"/>
    <s v="El Índice de Fabricación de Productos Farmacéuticos es la división 21 del Índice de Producción Manufacturera. A nivel nacional, el mínimo se registró en febrero de 2015, con un valor de 75,5, mientras que el máximo ocurrió en marzo de 2020, con 217,2. El promedio en este período es de 124,9."/>
    <s v="Gráfico de Evolución"/>
    <s v="índice fabricación producción productos farmacéuticos medicinal botánicos sustancias químicas manufactura manufacturera nacional chile"/>
    <s v="https://analytics.zoho.com/open-view/2395394000008741947"/>
    <x v="34"/>
    <s v="#1774B253"/>
  </r>
  <r>
    <s v="1732"/>
    <n v="990"/>
    <s v="Agencia Información"/>
    <s v="Economía"/>
    <n v="0"/>
    <x v="86"/>
    <x v="34"/>
    <x v="0"/>
    <x v="0"/>
    <x v="19"/>
    <x v="157"/>
    <s v="Periodo 2014-2021"/>
    <s v="Índice"/>
    <s v="Instituto Nacional de Estadísticas (INE)"/>
    <s v="Evolución del Índice de Producción de la división Fabricación de sustancias y productos químicos a Escala Nacional"/>
    <s v="El Índice de Fabricación de Sustancias y Productos Químicos es la división 20 del Índice de Producción Manufacturera. A nivel nacional, el mínimo se registró en febrero de 2014, con un valor de 82,9, mientras que el máximo ocurrió en enero de 2018, con 149,1. El promedio en este período es de 114,2."/>
    <s v="Gráfico de Evolución"/>
    <s v="índice fabricación producción sustancias químicas productos nacional chile manufactura manufacturera"/>
    <s v="https://analytics.zoho.com/open-view/2395394000008741698"/>
    <x v="0"/>
    <s v="#1774B254"/>
  </r>
  <r>
    <s v="1733"/>
    <n v="990"/>
    <s v="Agencia Información"/>
    <s v="Economía"/>
    <n v="5"/>
    <x v="86"/>
    <x v="34"/>
    <x v="1"/>
    <x v="5"/>
    <x v="9"/>
    <x v="157"/>
    <s v="Periodo 2014-2021"/>
    <s v="Índice"/>
    <s v="Instituto Nacional de Estadísticas (INE)"/>
    <s v="Evolución del Índice de Producción de la división Fabricación de sustancias y productos químicos en la Región de Valparaíso"/>
    <s v="El Índice de Fabricación de Sustancias y Productos Químicos es la división 20 del Índice de Producción Manufacturera. En la Región de Valparaíso, el mínimo se registró en abril de 2020, con un valor de 67,8, mientras que el máximo ocurrió en septiembre de 2016, con 133,3. El promedio en este período es de 105,0."/>
    <s v="Gráfico de Evolución"/>
    <s v="índice fabricación producción sustancias químicas productos manufactura manufacturera región valparaíso"/>
    <s v="https://analytics.zoho.com/open-view/2395394000008741824?ZOHO_CRITERIA=%22Consolidado_Estadisticas_Regionales_New%22.%22C%C3%B3digo%20regi%C3%B3n%22%20%3D%205"/>
    <x v="5"/>
    <s v="#1774B255"/>
  </r>
  <r>
    <s v="1734"/>
    <n v="990"/>
    <s v="Agencia Información"/>
    <s v="Economía"/>
    <n v="6"/>
    <x v="86"/>
    <x v="34"/>
    <x v="1"/>
    <x v="6"/>
    <x v="9"/>
    <x v="157"/>
    <s v="Periodo 2014-2021"/>
    <s v="Índice"/>
    <s v="Instituto Nacional de Estadísticas (INE)"/>
    <s v="Evolución del Índice de Producción de la división Fabricación de sustancias y productos químicos en la Región de O'Higgins"/>
    <s v="El Índice de Fabricación de Sustancias y Productos Químicos es la división 20 del Índice de Producción Manufacturera. En la Región de O'Higgins, el mínimo se registró en julio de 2018, con un valor de 63,2, mientras que el máximo ocurrió en noviembre de 2016, con 234,8. El promedio en este período es de 121,4."/>
    <s v="Gráfico de Evolución"/>
    <s v="índice fabricación producción sustancias químicas productos manufactura manufacturera región ohiggins"/>
    <s v="https://analytics.zoho.com/open-view/2395394000008741824?ZOHO_CRITERIA=%22Consolidado_Estadisticas_Regionales_New%22.%22C%C3%B3digo%20regi%C3%B3n%22%20%3D%206"/>
    <x v="6"/>
    <s v="#1774B256"/>
  </r>
  <r>
    <s v="1735"/>
    <n v="990"/>
    <s v="Agencia Información"/>
    <s v="Economía"/>
    <n v="8"/>
    <x v="86"/>
    <x v="34"/>
    <x v="1"/>
    <x v="8"/>
    <x v="9"/>
    <x v="157"/>
    <s v="Periodo 2014-2021"/>
    <s v="Índice"/>
    <s v="Instituto Nacional de Estadísticas (INE)"/>
    <s v="Evolución del Índice de Producción de la división Fabricación de sustancias y productos químicos en la Región del Biobío"/>
    <s v="El Índice de Fabricación de Sustancias y Productos Químicos es la división 20 del Índice de Producción Manufacturera. En la Región del Biobío, el mínimo se registró en febrero de 2015, con un valor de 74,7, mientras que el máximo ocurrió en marzo de 2019, con 150,0. El promedio en este período es de 116,2."/>
    <s v="Gráfico de Evolución"/>
    <s v="índice fabricación producción sustancias químicas productos manufactura manufacturera región biobío"/>
    <s v="https://analytics.zoho.com/open-view/2395394000008741824?ZOHO_CRITERIA=%22Consolidado_Estadisticas_Regionales_New%22.%22C%C3%B3digo%20regi%C3%B3n%22%20%3D%208"/>
    <x v="8"/>
    <s v="#1774B257"/>
  </r>
  <r>
    <s v="1736"/>
    <n v="990"/>
    <s v="Agencia Información"/>
    <s v="Transporte y tránsito"/>
    <n v="0"/>
    <x v="88"/>
    <x v="36"/>
    <x v="0"/>
    <x v="0"/>
    <x v="19"/>
    <x v="158"/>
    <s v="Periodo 2014-2021"/>
    <s v="Número de vehículos"/>
    <s v="Ministerio de Transportes y Telecomunicaciones"/>
    <s v="Evolución de la Pasada de vehículos por plazas de peajes y pórticos de autopistas interurbanas a Escala Nacional"/>
    <s v="En el año 2021, desde enero a mayo, han pasado un promedio de 23.434.059 vehículos por plazas de peaje y pórticos de autopistas interurbanas, con un peak de 25.522.598 vehículos en febrero y un mínimo de 18.913.170 vehículos en abril."/>
    <s v="Gráfico de Evolución"/>
    <s v="vehículos autos peaje pórtico autopistas interurbanas nacional chile"/>
    <s v="https://analytics.zoho.com/open-view/2395394000008741354"/>
    <x v="0"/>
    <s v="#1774B258"/>
  </r>
  <r>
    <s v="1737"/>
    <n v="990"/>
    <s v="Agencia Información"/>
    <s v="Transporte y tránsito"/>
    <n v="5"/>
    <x v="88"/>
    <x v="36"/>
    <x v="1"/>
    <x v="5"/>
    <x v="9"/>
    <x v="158"/>
    <s v="Periodo 2014-2021"/>
    <s v="Número de vehículos"/>
    <s v="Ministerio de Transportes y Telecomunicaciones"/>
    <s v="Evolución de la Pasada de vehículos por plazas de peajes y pórticos de autopistas interurbanas en la Región de Valparaíso"/>
    <s v="En la Región de Valparaíso, en el año 2021 (enero a mayo), han pasado un promedio de 4.239.399 vehículos por plazas de peaje y pórticos de autopistas interurbanas, con un peak de 5.326.564 vehículos en febrero y un mínimo de 2.993.343 vehículos en abril."/>
    <s v="Gráfico de Evolución"/>
    <s v="vehículos autos peaje pórtico autopistas interurbanas región valparaíso"/>
    <s v="https://analytics.zoho.com/open-view/2395394000008741527?ZOHO_CRITERIA=%22Consolidado_Estadisticas_Regionales_New%22.%22C%C3%B3digo%20regi%C3%B3n%22%20%3D%205"/>
    <x v="5"/>
    <s v="#1774B259"/>
  </r>
  <r>
    <s v="1738"/>
    <n v="990"/>
    <s v="Agencia Información"/>
    <s v="Transporte y tránsito"/>
    <n v="8"/>
    <x v="88"/>
    <x v="36"/>
    <x v="1"/>
    <x v="8"/>
    <x v="9"/>
    <x v="158"/>
    <s v="Periodo 2014-2021"/>
    <s v="Número de vehículos"/>
    <s v="Ministerio de Transportes y Telecomunicaciones"/>
    <s v="Evolución de la Pasada de vehículos por plazas de peajes y pórticos de autopistas interurbanas en la Región del Biobío"/>
    <s v="En la Región del Biobío, en el año 2021 (enero a mayo), han pasado un promedio de 3.006.188 vehículos por plazas de peaje y pórticos de autopistas interurbanas, con un peak de 3.314.211 vehículos en febrero y un mínimo de 2.543.750 vehículos en abril."/>
    <s v="Gráfico de Evolución"/>
    <s v="vehículos autos peaje pórtico autopistas interurbanas región biobío"/>
    <s v="https://analytics.zoho.com/open-view/2395394000008741527?ZOHO_CRITERIA=%22Consolidado_Estadisticas_Regionales_New%22.%22C%C3%B3digo%20regi%C3%B3n%22%20%3D%208"/>
    <x v="8"/>
    <s v="#1774B260"/>
  </r>
  <r>
    <s v="1739"/>
    <n v="990"/>
    <s v="Agencia Información"/>
    <s v="Transporte y tránsito"/>
    <n v="13"/>
    <x v="88"/>
    <x v="36"/>
    <x v="1"/>
    <x v="13"/>
    <x v="9"/>
    <x v="158"/>
    <s v="Periodo 2014-2021"/>
    <s v="Número de vehículos"/>
    <s v="Ministerio de Transportes y Telecomunicaciones"/>
    <s v="Evolución de la Pasada de vehículos por plazas de peajes y pórticos de autopistas interurbanas en la Región Metropolitana"/>
    <s v="En la Región Metropolitana, en el año 2021 (enero a mayo), han pasado un promedio de 19.134.628 vehículos por plazas de peaje y pórticos de autopistas interurbanas, con un peak de 20.868.753 vehículos en febrero y un mínimo de 15.334.137 vehículos en abril."/>
    <s v="Gráfico de Evolución"/>
    <s v="vehículos autos peaje pórtico autopistas interurbanas región metropolitana"/>
    <s v="https://analytics.zoho.com/open-view/2395394000008741527?ZOHO_CRITERIA=%22Consolidado_Estadisticas_Regionales_New%22.%22C%C3%B3digo%20regi%C3%B3n%22%20%3D%2013"/>
    <x v="13"/>
    <s v="#1774B261"/>
  </r>
  <r>
    <s v="1740"/>
    <n v="990"/>
    <s v="Agencia Información"/>
    <s v="Transporte y tránsito"/>
    <n v="16"/>
    <x v="88"/>
    <x v="36"/>
    <x v="1"/>
    <x v="16"/>
    <x v="9"/>
    <x v="158"/>
    <s v="Periodo 2014-2021"/>
    <s v="Número de vehículos"/>
    <s v="Ministerio de Transportes y Telecomunicaciones"/>
    <s v="Evolución de la Pasada de vehículos por plazas de peajes y pórticos de autopistas interurbanas en la Región de Ñuble"/>
    <s v="En la Región de Ñuble, en el año 2021 (enero a mayo), han pasado un promedio de 1.293.243 vehículos por plazas de peaje y pórticos de autopistas interurbanas, con un peak de 1.425.952 vehículos en enero y un mínimo de 1.035.283 vehículos en abril."/>
    <s v="Gráfico de Evolución"/>
    <s v="vehículos autos peaje pórtico autopistas interurbanas región ñuble"/>
    <s v="https://analytics.zoho.com/open-view/2395394000008741527?ZOHO_CRITERIA=%22Consolidado_Estadisticas_Regionales_New%22.%22C%C3%B3digo%20regi%C3%B3n%22%20%3D%2016"/>
    <x v="16"/>
    <s v="#1774B262"/>
  </r>
  <r>
    <s v="1741"/>
    <n v="990"/>
    <s v="Agencia Información"/>
    <s v="Transporte y tránsito"/>
    <n v="0"/>
    <x v="89"/>
    <x v="22"/>
    <x v="0"/>
    <x v="0"/>
    <x v="19"/>
    <x v="159"/>
    <s v="Periodo 2014-2021"/>
    <s v="Número de vehículos"/>
    <s v="Ministerio de Transportes y Telecomunicaciones"/>
    <s v="Evolución del Parque Vehicular de Taxis a Escala Nacional"/>
    <s v="En este período, el parque vehicular de taxis a nivel nacional alcanzó su mínimo en marzo de 2014, con 89.695 vehículos. Al contrario, el máximo se registró en junio de 2016, con 92.004 taxis. El promedio nacional es de 91.087 vehículos, el cual está por sobre el último valor registrado en marzo de 2021, que fue de 89.890."/>
    <s v="Gráfico de Evolución"/>
    <s v="taxis parque vehicular cantidad vehículos transporte nacional chile"/>
    <s v="https://analytics.zoho.com/open-view/2395394000008741045"/>
    <x v="0"/>
    <s v="#1774B263"/>
  </r>
  <r>
    <s v="1742"/>
    <n v="990"/>
    <s v="Agencia Información"/>
    <s v="Transporte y tránsito"/>
    <n v="1"/>
    <x v="89"/>
    <x v="22"/>
    <x v="1"/>
    <x v="1"/>
    <x v="9"/>
    <x v="159"/>
    <s v="Periodo 2014-2021"/>
    <s v="Número de vehículos"/>
    <s v="Ministerio de Transportes y Telecomunicaciones"/>
    <s v="Evolución del Parque Vehicular de Taxis en la Región de Tarapacá"/>
    <m/>
    <s v="Gráfico de Evolución"/>
    <s v="taxis parque vehicular cantidad vehículos transporte región tarapacá"/>
    <s v="https://analytics.zoho.com/open-view/2395394000008741200?ZOHO_CRITERIA=%22Consolidado_Estadisticas_Regionales_New%22.%22C%C3%B3digo%20regi%C3%B3n%22%20%3D%201"/>
    <x v="1"/>
    <s v="#1774B264"/>
  </r>
  <r>
    <s v="1743"/>
    <n v="990"/>
    <s v="Agencia Información"/>
    <s v="Transporte y tránsito"/>
    <n v="2"/>
    <x v="89"/>
    <x v="22"/>
    <x v="1"/>
    <x v="2"/>
    <x v="9"/>
    <x v="159"/>
    <s v="Periodo 2014-2021"/>
    <s v="Número de vehículos"/>
    <s v="Ministerio de Transportes y Telecomunicaciones"/>
    <s v="Evolución del Parque Vehicular de Taxis en la Región de Antofagasta"/>
    <m/>
    <s v="Gráfico de Evolución"/>
    <s v="taxis parque vehicular cantidad vehículos transporte región antofagasta"/>
    <s v="https://analytics.zoho.com/open-view/2395394000008741200?ZOHO_CRITERIA=%22Consolidado_Estadisticas_Regionales_New%22.%22C%C3%B3digo%20regi%C3%B3n%22%20%3D%202"/>
    <x v="2"/>
    <s v="#1774B265"/>
  </r>
  <r>
    <s v="1744"/>
    <n v="990"/>
    <s v="Agencia Información"/>
    <s v="Transporte y tránsito"/>
    <n v="3"/>
    <x v="89"/>
    <x v="22"/>
    <x v="1"/>
    <x v="3"/>
    <x v="9"/>
    <x v="159"/>
    <s v="Periodo 2014-2021"/>
    <s v="Número de vehículos"/>
    <s v="Ministerio de Transportes y Telecomunicaciones"/>
    <s v="Evolución del Parque Vehicular de Taxis en la Región de Atacama"/>
    <m/>
    <s v="Gráfico de Evolución"/>
    <s v="taxis parque vehicular cantidad vehículos transporte región atacama"/>
    <s v="https://analytics.zoho.com/open-view/2395394000008741200?ZOHO_CRITERIA=%22Consolidado_Estadisticas_Regionales_New%22.%22C%C3%B3digo%20regi%C3%B3n%22%20%3D%203"/>
    <x v="3"/>
    <s v="#1774B266"/>
  </r>
  <r>
    <s v="1745"/>
    <n v="990"/>
    <s v="Agencia Información"/>
    <s v="Transporte y tránsito"/>
    <n v="4"/>
    <x v="89"/>
    <x v="22"/>
    <x v="1"/>
    <x v="4"/>
    <x v="9"/>
    <x v="159"/>
    <s v="Periodo 2014-2021"/>
    <s v="Número de vehículos"/>
    <s v="Ministerio de Transportes y Telecomunicaciones"/>
    <s v="Evolución del Parque Vehicular de Taxis en la Región de Coquimbo"/>
    <m/>
    <s v="Gráfico de Evolución"/>
    <s v="taxis parque vehicular cantidad vehículos transporte región coquimbo"/>
    <s v="https://analytics.zoho.com/open-view/2395394000008741200?ZOHO_CRITERIA=%22Consolidado_Estadisticas_Regionales_New%22.%22C%C3%B3digo%20regi%C3%B3n%22%20%3D%204"/>
    <x v="4"/>
    <s v="#1774B267"/>
  </r>
  <r>
    <s v="1746"/>
    <n v="990"/>
    <s v="Agencia Información"/>
    <s v="Transporte y tránsito"/>
    <n v="5"/>
    <x v="89"/>
    <x v="22"/>
    <x v="1"/>
    <x v="5"/>
    <x v="9"/>
    <x v="159"/>
    <s v="Periodo 2014-2021"/>
    <s v="Número de vehículos"/>
    <s v="Ministerio de Transportes y Telecomunicaciones"/>
    <s v="Evolución del Parque Vehicular de Taxis en la Región de Valparaíso"/>
    <m/>
    <s v="Gráfico de Evolución"/>
    <s v="taxis parque vehicular cantidad vehículos transporte región valparaíso"/>
    <s v="https://analytics.zoho.com/open-view/2395394000008741200?ZOHO_CRITERIA=%22Consolidado_Estadisticas_Regionales_New%22.%22C%C3%B3digo%20regi%C3%B3n%22%20%3D%205"/>
    <x v="5"/>
    <s v="#1774B268"/>
  </r>
  <r>
    <s v="1747"/>
    <n v="990"/>
    <s v="Agencia Información"/>
    <s v="Transporte y tránsito"/>
    <n v="6"/>
    <x v="89"/>
    <x v="22"/>
    <x v="1"/>
    <x v="6"/>
    <x v="9"/>
    <x v="159"/>
    <s v="Periodo 2014-2021"/>
    <s v="Número de vehículos"/>
    <s v="Ministerio de Transportes y Telecomunicaciones"/>
    <s v="Evolución del Parque Vehicular de Taxis en la Región de O'Higgins"/>
    <m/>
    <s v="Gráfico de Evolución"/>
    <s v="taxis parque vehicular cantidad vehículos transporte región ohiggins"/>
    <s v="https://analytics.zoho.com/open-view/2395394000008741200?ZOHO_CRITERIA=%22Consolidado_Estadisticas_Regionales_New%22.%22C%C3%B3digo%20regi%C3%B3n%22%20%3D%206"/>
    <x v="6"/>
    <s v="#1774B269"/>
  </r>
  <r>
    <s v="1748"/>
    <n v="990"/>
    <s v="Agencia Información"/>
    <s v="Transporte y tránsito"/>
    <n v="7"/>
    <x v="89"/>
    <x v="22"/>
    <x v="1"/>
    <x v="7"/>
    <x v="9"/>
    <x v="159"/>
    <s v="Periodo 2014-2021"/>
    <s v="Número de vehículos"/>
    <s v="Ministerio de Transportes y Telecomunicaciones"/>
    <s v="Evolución del Parque Vehicular de Taxis en la Región de Maule"/>
    <m/>
    <s v="Gráfico de Evolución"/>
    <s v="taxis parque vehicular cantidad vehículos transporte región maule"/>
    <s v="https://analytics.zoho.com/open-view/2395394000008741200?ZOHO_CRITERIA=%22Consolidado_Estadisticas_Regionales_New%22.%22C%C3%B3digo%20regi%C3%B3n%22%20%3D%207"/>
    <x v="7"/>
    <s v="#1774B270"/>
  </r>
  <r>
    <s v="1749"/>
    <n v="990"/>
    <s v="Agencia Información"/>
    <s v="Transporte y tránsito"/>
    <n v="8"/>
    <x v="89"/>
    <x v="22"/>
    <x v="1"/>
    <x v="8"/>
    <x v="9"/>
    <x v="159"/>
    <s v="Periodo 2014-2021"/>
    <s v="Número de vehículos"/>
    <s v="Ministerio de Transportes y Telecomunicaciones"/>
    <s v="Evolución del Parque Vehicular de Taxis en la Región del Biobío"/>
    <m/>
    <s v="Gráfico de Evolución"/>
    <s v="taxis parque vehicular cantidad vehículos transporte región biobío"/>
    <s v="https://analytics.zoho.com/open-view/2395394000008741200?ZOHO_CRITERIA=%22Consolidado_Estadisticas_Regionales_New%22.%22C%C3%B3digo%20regi%C3%B3n%22%20%3D%208"/>
    <x v="8"/>
    <s v="#1774B271"/>
  </r>
  <r>
    <s v="1750"/>
    <n v="990"/>
    <s v="Agencia Información"/>
    <s v="Transporte y tránsito"/>
    <n v="9"/>
    <x v="89"/>
    <x v="22"/>
    <x v="1"/>
    <x v="9"/>
    <x v="9"/>
    <x v="159"/>
    <s v="Periodo 2014-2021"/>
    <s v="Número de vehículos"/>
    <s v="Ministerio de Transportes y Telecomunicaciones"/>
    <s v="Evolución del Parque Vehicular de Taxis en la Región de La Araucanía"/>
    <m/>
    <s v="Gráfico de Evolución"/>
    <s v="taxis parque vehicular cantidad vehículos transporte región araucanía"/>
    <s v="https://analytics.zoho.com/open-view/2395394000008741200?ZOHO_CRITERIA=%22Consolidado_Estadisticas_Regionales_New%22.%22C%C3%B3digo%20regi%C3%B3n%22%20%3D%209"/>
    <x v="9"/>
    <s v="#1774B272"/>
  </r>
  <r>
    <s v="1751"/>
    <n v="990"/>
    <s v="Agencia Información"/>
    <s v="Transporte y tránsito"/>
    <n v="10"/>
    <x v="89"/>
    <x v="22"/>
    <x v="1"/>
    <x v="10"/>
    <x v="9"/>
    <x v="159"/>
    <s v="Periodo 2014-2021"/>
    <s v="Número de vehículos"/>
    <s v="Ministerio de Transportes y Telecomunicaciones"/>
    <s v="Evolución del Parque Vehicular de Taxis en la Región de Los Lagos"/>
    <m/>
    <s v="Gráfico de Evolución"/>
    <s v="taxis parque vehicular cantidad vehículos transporte región los lagos"/>
    <s v="https://analytics.zoho.com/open-view/2395394000008741200?ZOHO_CRITERIA=%22Consolidado_Estadisticas_Regionales_New%22.%22C%C3%B3digo%20regi%C3%B3n%22%20%3D%2010"/>
    <x v="10"/>
    <s v="#1774B273"/>
  </r>
  <r>
    <s v="1752"/>
    <n v="990"/>
    <s v="Agencia Información"/>
    <s v="Transporte y tránsito"/>
    <n v="11"/>
    <x v="89"/>
    <x v="22"/>
    <x v="1"/>
    <x v="11"/>
    <x v="9"/>
    <x v="159"/>
    <s v="Periodo 2014-2021"/>
    <s v="Número de vehículos"/>
    <s v="Ministerio de Transportes y Telecomunicaciones"/>
    <s v="Evolución del Parque Vehicular de Taxis en la Región de Aysén"/>
    <m/>
    <s v="Gráfico de Evolución"/>
    <s v="taxis parque vehicular cantidad vehículos transporte región aysén"/>
    <s v="https://analytics.zoho.com/open-view/2395394000008741200?ZOHO_CRITERIA=%22Consolidado_Estadisticas_Regionales_New%22.%22C%C3%B3digo%20regi%C3%B3n%22%20%3D%2011"/>
    <x v="11"/>
    <s v="#1774B274"/>
  </r>
  <r>
    <s v="1753"/>
    <n v="990"/>
    <s v="Agencia Información"/>
    <s v="Transporte y tránsito"/>
    <n v="12"/>
    <x v="89"/>
    <x v="22"/>
    <x v="1"/>
    <x v="12"/>
    <x v="9"/>
    <x v="159"/>
    <s v="Periodo 2014-2021"/>
    <s v="Número de vehículos"/>
    <s v="Ministerio de Transportes y Telecomunicaciones"/>
    <s v="Evolución del Parque Vehicular de Taxis en la Región de Magallanes"/>
    <m/>
    <s v="Gráfico de Evolución"/>
    <s v="taxis parque vehicular cantidad vehículos transporte región magallanes"/>
    <s v="https://analytics.zoho.com/open-view/2395394000008741200?ZOHO_CRITERIA=%22Consolidado_Estadisticas_Regionales_New%22.%22C%C3%B3digo%20regi%C3%B3n%22%20%3D%2012"/>
    <x v="12"/>
    <s v="#1774B275"/>
  </r>
  <r>
    <s v="1754"/>
    <n v="990"/>
    <s v="Agencia Información"/>
    <s v="Transporte y tránsito"/>
    <n v="13"/>
    <x v="89"/>
    <x v="22"/>
    <x v="1"/>
    <x v="13"/>
    <x v="9"/>
    <x v="159"/>
    <s v="Periodo 2014-2021"/>
    <s v="Número de vehículos"/>
    <s v="Ministerio de Transportes y Telecomunicaciones"/>
    <s v="Evolución del Parque Vehicular de Taxis en la Región Metropolitana"/>
    <m/>
    <s v="Gráfico de Evolución"/>
    <s v="taxis parque vehicular cantidad vehículos transporte región metropolitana"/>
    <s v="https://analytics.zoho.com/open-view/2395394000008741200?ZOHO_CRITERIA=%22Consolidado_Estadisticas_Regionales_New%22.%22C%C3%B3digo%20regi%C3%B3n%22%20%3D%2013"/>
    <x v="13"/>
    <s v="#1774B276"/>
  </r>
  <r>
    <s v="1755"/>
    <n v="990"/>
    <s v="Agencia Información"/>
    <s v="Transporte y tránsito"/>
    <n v="14"/>
    <x v="89"/>
    <x v="22"/>
    <x v="1"/>
    <x v="14"/>
    <x v="9"/>
    <x v="159"/>
    <s v="Periodo 2014-2021"/>
    <s v="Número de vehículos"/>
    <s v="Ministerio de Transportes y Telecomunicaciones"/>
    <s v="Evolución del Parque Vehicular de Taxis en la Región de Los Ríos"/>
    <m/>
    <s v="Gráfico de Evolución"/>
    <s v="taxis parque vehicular cantidad vehículos transporte región los ríos"/>
    <s v="https://analytics.zoho.com/open-view/2395394000008741200?ZOHO_CRITERIA=%22Consolidado_Estadisticas_Regionales_New%22.%22C%C3%B3digo%20regi%C3%B3n%22%20%3D%2014"/>
    <x v="14"/>
    <s v="#1774B277"/>
  </r>
  <r>
    <s v="1756"/>
    <n v="990"/>
    <s v="Agencia Información"/>
    <s v="Transporte y tránsito"/>
    <n v="15"/>
    <x v="89"/>
    <x v="22"/>
    <x v="1"/>
    <x v="15"/>
    <x v="9"/>
    <x v="159"/>
    <s v="Periodo 2014-2021"/>
    <s v="Número de vehículos"/>
    <s v="Ministerio de Transportes y Telecomunicaciones"/>
    <s v="Evolución del Parque Vehicular de Taxis en la Región de Arica y Parinacota"/>
    <m/>
    <s v="Gráfico de Evolución"/>
    <s v="taxis parque vehicular cantidad vehículos transporte región arica parinacota"/>
    <s v="https://analytics.zoho.com/open-view/2395394000008741200?ZOHO_CRITERIA=%22Consolidado_Estadisticas_Regionales_New%22.%22C%C3%B3digo%20regi%C3%B3n%22%20%3D%2015"/>
    <x v="15"/>
    <s v="#1774B278"/>
  </r>
  <r>
    <s v="1757"/>
    <n v="990"/>
    <s v="Agencia Información"/>
    <s v="Transporte y tránsito"/>
    <n v="16"/>
    <x v="89"/>
    <x v="22"/>
    <x v="1"/>
    <x v="16"/>
    <x v="9"/>
    <x v="159"/>
    <s v="Periodo 2014-2021"/>
    <s v="Número de vehículos"/>
    <s v="Ministerio de Transportes y Telecomunicaciones"/>
    <s v="Evolución del Parque Vehicular de Taxis en la Región de Ñuble"/>
    <m/>
    <s v="Gráfico de Evolución"/>
    <s v="taxis parque vehicular cantidad vehículos transporte región ñuble"/>
    <s v="https://analytics.zoho.com/open-view/2395394000008741200?ZOHO_CRITERIA=%22Consolidado_Estadisticas_Regionales_New%22.%22C%C3%B3digo%20regi%C3%B3n%22%20%3D%2016"/>
    <x v="16"/>
    <s v="#1774B279"/>
  </r>
  <r>
    <s v="1758"/>
    <n v="990"/>
    <s v="Agencia Información"/>
    <s v="Transporte y tránsito"/>
    <n v="0"/>
    <x v="90"/>
    <x v="37"/>
    <x v="0"/>
    <x v="0"/>
    <x v="19"/>
    <x v="160"/>
    <s v="Periodo 2014-2021"/>
    <s v="Toneladas"/>
    <s v="Ministerio de Transportes y Telecomunicaciones"/>
    <s v="Evolución del Movimiento de Carga Portuaria Embarcada al Exterior a Escala Nacional"/>
    <s v="En el periodo comprendido desde enero de 2014 a mayo de 2021, se registró un máximo de carga portuaria embarcada al exterior de 3.723.729 toneladas, en marzo de 2015. Al contrario, el mínimo se embarcó en enero de 2014, con 2.080.207 toneladas. El promedio en este periodo es de 3.048.613 toneladas."/>
    <s v="Gráfico de Evolución"/>
    <s v="movimiento transporte carga portuaria embarque exterior nacional chile"/>
    <s v="https://analytics.zoho.com/open-view/2395394000008744153"/>
    <x v="0"/>
    <s v="#1774B280"/>
  </r>
  <r>
    <s v="1759"/>
    <n v="990"/>
    <s v="Agencia Información"/>
    <s v="Transporte y tránsito"/>
    <n v="1"/>
    <x v="90"/>
    <x v="37"/>
    <x v="1"/>
    <x v="1"/>
    <x v="9"/>
    <x v="160"/>
    <s v="Periodo 2014-2021"/>
    <s v="Toneladas"/>
    <s v="Ministerio de Transportes y Telecomunicaciones"/>
    <s v="Evolución del Movimiento de Carga Portuaria Embarcada al Exterior en la Región de Tarapacá"/>
    <m/>
    <s v="Gráfico de Evolución"/>
    <s v="movimiento transporte carga portuaria embarque exterior región tarapacá"/>
    <s v="https://analytics.zoho.com/open-view/2395394000008744325?ZOHO_CRITERIA=%22Consolidado_Estadisticas_Regionales_New%22.%22C%C3%B3digo%20regi%C3%B3n%22%20%3D%201"/>
    <x v="1"/>
    <s v="#1774B281"/>
  </r>
  <r>
    <s v="1760"/>
    <n v="990"/>
    <s v="Agencia Información"/>
    <s v="Transporte y tránsito"/>
    <n v="5"/>
    <x v="90"/>
    <x v="37"/>
    <x v="1"/>
    <x v="5"/>
    <x v="9"/>
    <x v="160"/>
    <s v="Periodo 2014-2021"/>
    <s v="Toneladas"/>
    <s v="Ministerio de Transportes y Telecomunicaciones"/>
    <s v="Evolución del Movimiento de Carga Portuaria Embarcada al Exterior en la Región de Valparaíso"/>
    <m/>
    <s v="Gráfico de Evolución"/>
    <s v="movimiento transporte carga portuaria embarque exterior región valparaíso"/>
    <s v="https://analytics.zoho.com/open-view/2395394000008744325?ZOHO_CRITERIA=%22Consolidado_Estadisticas_Regionales_New%22.%22C%C3%B3digo%20regi%C3%B3n%22%20%3D%205"/>
    <x v="5"/>
    <s v="#1774B282"/>
  </r>
  <r>
    <s v="1761"/>
    <n v="990"/>
    <s v="Agencia Información"/>
    <s v="Transporte y tránsito"/>
    <n v="8"/>
    <x v="90"/>
    <x v="37"/>
    <x v="1"/>
    <x v="8"/>
    <x v="9"/>
    <x v="160"/>
    <s v="Periodo 2014-2021"/>
    <s v="Toneladas"/>
    <s v="Ministerio de Transportes y Telecomunicaciones"/>
    <s v="Evolución del Movimiento de Carga Portuaria Embarcada al Exterior en la Región del Biobío"/>
    <m/>
    <s v="Gráfico de Evolución"/>
    <s v="movimiento transporte carga portuaria embarque exterior región biobío"/>
    <s v="https://analytics.zoho.com/open-view/2395394000008744325?ZOHO_CRITERIA=%22Consolidado_Estadisticas_Regionales_New%22.%22C%C3%B3digo%20regi%C3%B3n%22%20%3D%208"/>
    <x v="8"/>
    <s v="#1774B283"/>
  </r>
  <r>
    <s v="1762"/>
    <n v="990"/>
    <s v="Agencia Información"/>
    <s v="Vivienda y Construcción"/>
    <n v="0"/>
    <x v="91"/>
    <x v="23"/>
    <x v="0"/>
    <x v="0"/>
    <x v="9"/>
    <x v="161"/>
    <s v="Periodo 2014-2021"/>
    <s v="Metros cuadrados"/>
    <s v="Instituto Nacional de Estadísticas (INE)"/>
    <s v="Evolución de la Superficie de las solicitudes de edificación Habitacional autorizada para construcción de Obras Nuevas a Escala Nacional"/>
    <s v="En el periodo comprendido entre enero de 2014 y mayo de 2021, se registró un peak de superficie autorizada habitacional para la construcción de obras nuevas de 198.694 metros cuadrados, en el mes de diciembre de 2015. Este valor es 3,1 veces más grande que el promedio del periodo completo, el cual es de 63.968 metros cuadrados."/>
    <s v="Gráfico de Evolución"/>
    <s v="superficie autorizada habitacional obras nuevas vivienda construcción nacional chile"/>
    <s v="https://analytics.zoho.com/open-view/2395394000008744684"/>
    <x v="0"/>
    <s v="#1774B284"/>
  </r>
  <r>
    <s v="1763"/>
    <n v="990"/>
    <s v="Agencia Información"/>
    <s v="Vivienda y Construcción"/>
    <n v="1"/>
    <x v="91"/>
    <x v="23"/>
    <x v="1"/>
    <x v="1"/>
    <x v="19"/>
    <x v="161"/>
    <s v="Periodo 2014-2021"/>
    <s v="Metros cuadrados"/>
    <s v="Instituto Nacional de Estadísticas (INE)"/>
    <s v="Evolución de la Superficie de las solicitudes de edificación Habitacional autorizada para construcción de Obras Nuevas en la Región de Tarapacá"/>
    <m/>
    <s v="Gráfico de Evolución"/>
    <s v="superficie autorizada habitacional obras nuevas vivienda construcción región tarapacá"/>
    <s v="https://analytics.zoho.com/open-view/2395394000008744885?ZOHO_CRITERIA=%22Consolidado_Estadisticas_Regionales_New%22.%22C%C3%B3digo%20regi%C3%B3n%22%20%3D%201"/>
    <x v="1"/>
    <s v="#1774B285"/>
  </r>
  <r>
    <s v="1764"/>
    <n v="990"/>
    <s v="Agencia Información"/>
    <s v="Vivienda y Construcción"/>
    <n v="2"/>
    <x v="91"/>
    <x v="23"/>
    <x v="1"/>
    <x v="2"/>
    <x v="9"/>
    <x v="161"/>
    <s v="Periodo 2014-2021"/>
    <s v="Metros cuadrados"/>
    <s v="Instituto Nacional de Estadísticas (INE)"/>
    <s v="Evolución de la Superficie de las solicitudes de edificación Habitacional autorizada para construcción de Obras Nuevas en la Región de Antofagasta"/>
    <m/>
    <s v="Gráfico de Evolución"/>
    <s v="superficie autorizada habitacional obras nuevas vivienda construcción región antofagasta"/>
    <s v="https://analytics.zoho.com/open-view/2395394000008744885?ZOHO_CRITERIA=%22Consolidado_Estadisticas_Regionales_New%22.%22C%C3%B3digo%20regi%C3%B3n%22%20%3D%202"/>
    <x v="2"/>
    <s v="#1774B286"/>
  </r>
  <r>
    <s v="1765"/>
    <n v="990"/>
    <s v="Agencia Información"/>
    <s v="Vivienda y Construcción"/>
    <n v="3"/>
    <x v="91"/>
    <x v="23"/>
    <x v="1"/>
    <x v="3"/>
    <x v="9"/>
    <x v="161"/>
    <s v="Periodo 2014-2021"/>
    <s v="Metros cuadrados"/>
    <s v="Instituto Nacional de Estadísticas (INE)"/>
    <s v="Evolución de la Superficie de las solicitudes de edificación Habitacional autorizada para construcción de Obras Nuevas en la Región de Atacama"/>
    <m/>
    <s v="Gráfico de Evolución"/>
    <s v="superficie autorizada habitacional obras nuevas vivienda construcción región atacama"/>
    <s v="https://analytics.zoho.com/open-view/2395394000008744885?ZOHO_CRITERIA=%22Consolidado_Estadisticas_Regionales_New%22.%22C%C3%B3digo%20regi%C3%B3n%22%20%3D%203"/>
    <x v="3"/>
    <s v="#1774B287"/>
  </r>
  <r>
    <s v="1766"/>
    <n v="990"/>
    <s v="Agencia Información"/>
    <s v="Vivienda y Construcción"/>
    <n v="4"/>
    <x v="91"/>
    <x v="23"/>
    <x v="1"/>
    <x v="4"/>
    <x v="9"/>
    <x v="161"/>
    <s v="Periodo 2014-2021"/>
    <s v="Metros cuadrados"/>
    <s v="Instituto Nacional de Estadísticas (INE)"/>
    <s v="Evolución de la Superficie de las solicitudes de edificación Habitacional autorizada para construcción de Obras Nuevas en la Región de Coquimbo"/>
    <m/>
    <s v="Gráfico de Evolución"/>
    <s v="superficie autorizada habitacional obras nuevas vivienda construcción región coquimbo"/>
    <s v="https://analytics.zoho.com/open-view/2395394000008744885?ZOHO_CRITERIA=%22Consolidado_Estadisticas_Regionales_New%22.%22C%C3%B3digo%20regi%C3%B3n%22%20%3D%204"/>
    <x v="4"/>
    <s v="#1774B288"/>
  </r>
  <r>
    <s v="1767"/>
    <n v="990"/>
    <s v="Agencia Información"/>
    <s v="Vivienda y Construcción"/>
    <n v="5"/>
    <x v="91"/>
    <x v="23"/>
    <x v="1"/>
    <x v="5"/>
    <x v="9"/>
    <x v="161"/>
    <s v="Periodo 2014-2021"/>
    <s v="Metros cuadrados"/>
    <s v="Instituto Nacional de Estadísticas (INE)"/>
    <s v="Evolución de la Superficie de las solicitudes de edificación Habitacional autorizada para construcción de Obras Nuevas en la Región de Valparaíso"/>
    <m/>
    <s v="Gráfico de Evolución"/>
    <s v="superficie autorizada habitacional obras nuevas vivienda construcción región valparaíso"/>
    <s v="https://analytics.zoho.com/open-view/2395394000008744885?ZOHO_CRITERIA=%22Consolidado_Estadisticas_Regionales_New%22.%22C%C3%B3digo%20regi%C3%B3n%22%20%3D%205"/>
    <x v="5"/>
    <s v="#1774B289"/>
  </r>
  <r>
    <s v="1768"/>
    <n v="990"/>
    <s v="Agencia Información"/>
    <s v="Vivienda y Construcción"/>
    <n v="6"/>
    <x v="91"/>
    <x v="23"/>
    <x v="1"/>
    <x v="6"/>
    <x v="9"/>
    <x v="161"/>
    <s v="Periodo 2014-2021"/>
    <s v="Metros cuadrados"/>
    <s v="Instituto Nacional de Estadísticas (INE)"/>
    <s v="Evolución de la Superficie de las solicitudes de edificación Habitacional autorizada para construcción de Obras Nuevas en la Región de O'Higgins"/>
    <m/>
    <s v="Gráfico de Evolución"/>
    <s v="superficie autorizada habitacional obras nuevas vivienda construcción región ohiggins"/>
    <s v="https://analytics.zoho.com/open-view/2395394000008744885?ZOHO_CRITERIA=%22Consolidado_Estadisticas_Regionales_New%22.%22C%C3%B3digo%20regi%C3%B3n%22%20%3D%206"/>
    <x v="6"/>
    <s v="#1774B290"/>
  </r>
  <r>
    <s v="1769"/>
    <n v="990"/>
    <s v="Agencia Información"/>
    <s v="Vivienda y Construcción"/>
    <n v="7"/>
    <x v="91"/>
    <x v="23"/>
    <x v="1"/>
    <x v="7"/>
    <x v="9"/>
    <x v="161"/>
    <s v="Periodo 2014-2021"/>
    <s v="Metros cuadrados"/>
    <s v="Instituto Nacional de Estadísticas (INE)"/>
    <s v="Evolución de la Superficie de las solicitudes de edificación Habitacional autorizada para construcción de Obras Nuevas en la Región de Maule"/>
    <m/>
    <s v="Gráfico de Evolución"/>
    <s v="superficie autorizada habitacional obras nuevas vivienda construcción región maule"/>
    <s v="https://analytics.zoho.com/open-view/2395394000008744885?ZOHO_CRITERIA=%22Consolidado_Estadisticas_Regionales_New%22.%22C%C3%B3digo%20regi%C3%B3n%22%20%3D%207"/>
    <x v="7"/>
    <s v="#1774B291"/>
  </r>
  <r>
    <s v="1770"/>
    <n v="990"/>
    <s v="Agencia Información"/>
    <s v="Vivienda y Construcción"/>
    <n v="8"/>
    <x v="91"/>
    <x v="23"/>
    <x v="1"/>
    <x v="8"/>
    <x v="9"/>
    <x v="161"/>
    <s v="Periodo 2014-2021"/>
    <s v="Metros cuadrados"/>
    <s v="Instituto Nacional de Estadísticas (INE)"/>
    <s v="Evolución de la Superficie de las solicitudes de edificación Habitacional autorizada para construcción de Obras Nuevas en la Región del Biobío"/>
    <m/>
    <s v="Gráfico de Evolución"/>
    <s v="superficie autorizada habitacional obras nuevas vivienda construcción región biobío"/>
    <s v="https://analytics.zoho.com/open-view/2395394000008744885?ZOHO_CRITERIA=%22Consolidado_Estadisticas_Regionales_New%22.%22C%C3%B3digo%20regi%C3%B3n%22%20%3D%208"/>
    <x v="8"/>
    <s v="#1774B292"/>
  </r>
  <r>
    <s v="1771"/>
    <n v="990"/>
    <s v="Agencia Información"/>
    <s v="Vivienda y Construcción"/>
    <n v="9"/>
    <x v="91"/>
    <x v="23"/>
    <x v="1"/>
    <x v="9"/>
    <x v="9"/>
    <x v="161"/>
    <s v="Periodo 2014-2021"/>
    <s v="Metros cuadrados"/>
    <s v="Instituto Nacional de Estadísticas (INE)"/>
    <s v="Evolución de la Superficie de las solicitudes de edificación Habitacional autorizada para construcción de Obras Nuevas en la Región de La Araucanía"/>
    <m/>
    <s v="Gráfico de Evolución"/>
    <s v="superficie autorizada habitacional obras nuevas vivienda construcción región araucanía"/>
    <s v="https://analytics.zoho.com/open-view/2395394000008744885?ZOHO_CRITERIA=%22Consolidado_Estadisticas_Regionales_New%22.%22C%C3%B3digo%20regi%C3%B3n%22%20%3D%209"/>
    <x v="9"/>
    <s v="#1774B293"/>
  </r>
  <r>
    <s v="1772"/>
    <n v="990"/>
    <s v="Agencia Información"/>
    <s v="Vivienda y Construcción"/>
    <n v="10"/>
    <x v="91"/>
    <x v="23"/>
    <x v="1"/>
    <x v="10"/>
    <x v="9"/>
    <x v="161"/>
    <s v="Periodo 2014-2021"/>
    <s v="Metros cuadrados"/>
    <s v="Instituto Nacional de Estadísticas (INE)"/>
    <s v="Evolución de la Superficie de las solicitudes de edificación Habitacional autorizada para construcción de Obras Nuevas en la Región de Los Lagos"/>
    <m/>
    <s v="Gráfico de Evolución"/>
    <s v="superficie autorizada habitacional obras nuevas vivienda construcción región los lagos"/>
    <s v="https://analytics.zoho.com/open-view/2395394000008744885?ZOHO_CRITERIA=%22Consolidado_Estadisticas_Regionales_New%22.%22C%C3%B3digo%20regi%C3%B3n%22%20%3D%2010"/>
    <x v="10"/>
    <s v="#1774B294"/>
  </r>
  <r>
    <s v="1773"/>
    <n v="990"/>
    <s v="Agencia Información"/>
    <s v="Vivienda y Construcción"/>
    <n v="11"/>
    <x v="91"/>
    <x v="23"/>
    <x v="1"/>
    <x v="11"/>
    <x v="9"/>
    <x v="161"/>
    <s v="Periodo 2014-2021"/>
    <s v="Metros cuadrados"/>
    <s v="Instituto Nacional de Estadísticas (INE)"/>
    <s v="Evolución de la Superficie de las solicitudes de edificación Habitacional autorizada para construcción de Obras Nuevas en la Región de Aysén"/>
    <m/>
    <s v="Gráfico de Evolución"/>
    <s v="superficie autorizada habitacional obras nuevas vivienda construcción región aysén"/>
    <s v="https://analytics.zoho.com/open-view/2395394000008744885?ZOHO_CRITERIA=%22Consolidado_Estadisticas_Regionales_New%22.%22C%C3%B3digo%20regi%C3%B3n%22%20%3D%2011"/>
    <x v="11"/>
    <s v="#1774B295"/>
  </r>
  <r>
    <s v="1774"/>
    <n v="990"/>
    <s v="Agencia Información"/>
    <s v="Vivienda y Construcción"/>
    <n v="12"/>
    <x v="91"/>
    <x v="23"/>
    <x v="1"/>
    <x v="12"/>
    <x v="9"/>
    <x v="161"/>
    <s v="Periodo 2014-2021"/>
    <s v="Metros cuadrados"/>
    <s v="Instituto Nacional de Estadísticas (INE)"/>
    <s v="Evolución de la Superficie de las solicitudes de edificación Habitacional autorizada para construcción de Obras Nuevas en la Región de Magallanes"/>
    <m/>
    <s v="Gráfico de Evolución"/>
    <s v="superficie autorizada habitacional obras nuevas vivienda construcción región magallanes"/>
    <s v="https://analytics.zoho.com/open-view/2395394000008744885?ZOHO_CRITERIA=%22Consolidado_Estadisticas_Regionales_New%22.%22C%C3%B3digo%20regi%C3%B3n%22%20%3D%2012"/>
    <x v="12"/>
    <s v="#1774B296"/>
  </r>
  <r>
    <s v="1775"/>
    <n v="990"/>
    <s v="Agencia Información"/>
    <s v="Vivienda y Construcción"/>
    <n v="13"/>
    <x v="91"/>
    <x v="23"/>
    <x v="1"/>
    <x v="13"/>
    <x v="9"/>
    <x v="161"/>
    <s v="Periodo 2014-2021"/>
    <s v="Metros cuadrados"/>
    <s v="Instituto Nacional de Estadísticas (INE)"/>
    <s v="Evolución de la Superficie de las solicitudes de edificación Habitacional autorizada para construcción de Obras Nuevas en la Región Metropolitana"/>
    <m/>
    <s v="Gráfico de Evolución"/>
    <s v="superficie autorizada habitacional obras nuevas vivienda construcción región metropolitana"/>
    <s v="https://analytics.zoho.com/open-view/2395394000008744885?ZOHO_CRITERIA=%22Consolidado_Estadisticas_Regionales_New%22.%22C%C3%B3digo%20regi%C3%B3n%22%20%3D%2013"/>
    <x v="13"/>
    <s v="#1774B297"/>
  </r>
  <r>
    <s v="1776"/>
    <n v="990"/>
    <s v="Agencia Información"/>
    <s v="Vivienda y Construcción"/>
    <n v="14"/>
    <x v="91"/>
    <x v="23"/>
    <x v="1"/>
    <x v="14"/>
    <x v="9"/>
    <x v="161"/>
    <s v="Periodo 2014-2021"/>
    <s v="Metros cuadrados"/>
    <s v="Instituto Nacional de Estadísticas (INE)"/>
    <s v="Evolución de la Superficie de las solicitudes de edificación Habitacional autorizada para construcción de Obras Nuevas en la Región de Los Ríos"/>
    <m/>
    <s v="Gráfico de Evolución"/>
    <s v="superficie autorizada habitacional obras nuevas vivienda construcción región los ríos"/>
    <s v="https://analytics.zoho.com/open-view/2395394000008744885?ZOHO_CRITERIA=%22Consolidado_Estadisticas_Regionales_New%22.%22C%C3%B3digo%20regi%C3%B3n%22%20%3D%2014"/>
    <x v="14"/>
    <s v="#1774B298"/>
  </r>
  <r>
    <s v="1777"/>
    <n v="990"/>
    <s v="Agencia Información"/>
    <s v="Vivienda y Construcción"/>
    <n v="15"/>
    <x v="91"/>
    <x v="23"/>
    <x v="1"/>
    <x v="15"/>
    <x v="9"/>
    <x v="161"/>
    <s v="Periodo 2014-2021"/>
    <s v="Metros cuadrados"/>
    <s v="Instituto Nacional de Estadísticas (INE)"/>
    <s v="Evolución de la Superficie de las solicitudes de edificación Habitacional autorizada para construcción de Obras Nuevas en la Región de Arica y Parinacota"/>
    <m/>
    <s v="Gráfico de Evolución"/>
    <s v="superficie autorizada habitacional obras nuevas vivienda construcción región arica parinacota"/>
    <s v="https://analytics.zoho.com/open-view/2395394000008744885?ZOHO_CRITERIA=%22Consolidado_Estadisticas_Regionales_New%22.%22C%C3%B3digo%20regi%C3%B3n%22%20%3D%2015"/>
    <x v="15"/>
    <s v="#1774B299"/>
  </r>
  <r>
    <s v="1778"/>
    <n v="990"/>
    <s v="Agencia Información"/>
    <s v="Vivienda y Construcción"/>
    <n v="16"/>
    <x v="91"/>
    <x v="23"/>
    <x v="1"/>
    <x v="16"/>
    <x v="9"/>
    <x v="161"/>
    <s v="Periodo 2014-2021"/>
    <s v="Metros cuadrados"/>
    <s v="Instituto Nacional de Estadísticas (INE)"/>
    <s v="Evolución de la Superficie de las solicitudes de edificación Habitacional autorizada para construcción de Obras Nuevas en la Región de Ñuble"/>
    <m/>
    <s v="Gráfico de Evolución"/>
    <s v="superficie autorizada habitacional obras nuevas vivienda construcción región ñuble"/>
    <s v="https://analytics.zoho.com/open-view/2395394000008744885?ZOHO_CRITERIA=%22Consolidado_Estadisticas_Regionales_New%22.%22C%C3%B3digo%20regi%C3%B3n%22%20%3D%2016"/>
    <x v="16"/>
    <s v="#1774B300"/>
  </r>
  <r>
    <s v="1779"/>
    <n v="990"/>
    <s v="Agencia Información"/>
    <s v="Vivienda y Construcción"/>
    <n v="0"/>
    <x v="92"/>
    <x v="23"/>
    <x v="0"/>
    <x v="0"/>
    <x v="19"/>
    <x v="162"/>
    <s v="Periodo 2014-2021"/>
    <s v="Número de viviendas autorizadas"/>
    <s v="Instituto Nacional de Estadísticas (INE)"/>
    <s v="Evolución Mensual del Número de Viviendas Autorizadas para Construcción a Escala Nacional"/>
    <s v="En el período indicado, la mayor cantidad de viviendas autorizadas a nivel país en un mes se registró en diciembre de 2015, con un total de 2.337 viviendas. Por el contrario, el número más bajo se dio en julio de 2020, con 423 viviendas. El promedio de autorizaciones en este período es de 886."/>
    <s v="Gráfico de Evolución"/>
    <s v="cantidad viviendas autorizadas vivienda nacional chile"/>
    <s v="https://analytics.zoho.com/open-view/2395394000008745083"/>
    <x v="0"/>
    <s v="#1774B301"/>
  </r>
  <r>
    <s v="1780"/>
    <n v="990"/>
    <s v="Agencia Información"/>
    <s v="Vivienda y Construcción"/>
    <n v="1"/>
    <x v="92"/>
    <x v="23"/>
    <x v="1"/>
    <x v="1"/>
    <x v="9"/>
    <x v="162"/>
    <s v="Periodo 2014-2021"/>
    <s v="Número de viviendas autorizadas"/>
    <s v="Instituto Nacional de Estadísticas (INE)"/>
    <s v="Evolución Mensual del Número de Viviendas Autorizadas para Construcción en la Región de Tarapacá"/>
    <m/>
    <s v="Gráfico de Evolución"/>
    <s v="cantidad viviendas autorizadas vivienda región tarapacá"/>
    <s v="https://analytics.zoho.com/open-view/2395394000008745260?ZOHO_CRITERIA=%22Consolidado_Estadisticas_Regionales_New%22.%22C%C3%B3digo%20regi%C3%B3n%22%20%3D%201"/>
    <x v="1"/>
    <s v="#1774B302"/>
  </r>
  <r>
    <s v="1781"/>
    <n v="990"/>
    <s v="Agencia Información"/>
    <s v="Vivienda y Construcción"/>
    <n v="2"/>
    <x v="92"/>
    <x v="23"/>
    <x v="1"/>
    <x v="2"/>
    <x v="9"/>
    <x v="162"/>
    <s v="Periodo 2014-2021"/>
    <s v="Número de viviendas autorizadas"/>
    <s v="Instituto Nacional de Estadísticas (INE)"/>
    <s v="Evolución Mensual del Número de Viviendas Autorizadas para Construcción en la Región de Antofagasta"/>
    <m/>
    <s v="Gráfico de Evolución"/>
    <s v="cantidad viviendas autorizadas vivienda región antofagasta"/>
    <s v="https://analytics.zoho.com/open-view/2395394000008745260?ZOHO_CRITERIA=%22Consolidado_Estadisticas_Regionales_New%22.%22C%C3%B3digo%20regi%C3%B3n%22%20%3D%202"/>
    <x v="2"/>
    <s v="#1774B303"/>
  </r>
  <r>
    <s v="1782"/>
    <n v="990"/>
    <s v="Agencia Información"/>
    <s v="Vivienda y Construcción"/>
    <n v="3"/>
    <x v="92"/>
    <x v="23"/>
    <x v="1"/>
    <x v="3"/>
    <x v="9"/>
    <x v="162"/>
    <s v="Periodo 2014-2021"/>
    <s v="Número de viviendas autorizadas"/>
    <s v="Instituto Nacional de Estadísticas (INE)"/>
    <s v="Evolución Mensual del Número de Viviendas Autorizadas para Construcción en la Región de Atacama"/>
    <m/>
    <s v="Gráfico de Evolución"/>
    <s v="cantidad viviendas autorizadas vivienda región atacama"/>
    <s v="https://analytics.zoho.com/open-view/2395394000008745260?ZOHO_CRITERIA=%22Consolidado_Estadisticas_Regionales_New%22.%22C%C3%B3digo%20regi%C3%B3n%22%20%3D%203"/>
    <x v="3"/>
    <s v="#1774B304"/>
  </r>
  <r>
    <s v="1783"/>
    <n v="990"/>
    <s v="Agencia Información"/>
    <s v="Vivienda y Construcción"/>
    <n v="4"/>
    <x v="92"/>
    <x v="23"/>
    <x v="1"/>
    <x v="4"/>
    <x v="9"/>
    <x v="162"/>
    <s v="Periodo 2014-2021"/>
    <s v="Número de viviendas autorizadas"/>
    <s v="Instituto Nacional de Estadísticas (INE)"/>
    <s v="Evolución Mensual del Número de Viviendas Autorizadas para Construcción en la Región de Coquimbo"/>
    <m/>
    <s v="Gráfico de Evolución"/>
    <s v="cantidad viviendas autorizadas vivienda región coquimbo"/>
    <s v="https://analytics.zoho.com/open-view/2395394000008745260?ZOHO_CRITERIA=%22Consolidado_Estadisticas_Regionales_New%22.%22C%C3%B3digo%20regi%C3%B3n%22%20%3D%204"/>
    <x v="4"/>
    <s v="#1774B305"/>
  </r>
  <r>
    <s v="1784"/>
    <n v="990"/>
    <s v="Agencia Información"/>
    <s v="Vivienda y Construcción"/>
    <n v="5"/>
    <x v="92"/>
    <x v="23"/>
    <x v="1"/>
    <x v="5"/>
    <x v="9"/>
    <x v="162"/>
    <s v="Periodo 2014-2021"/>
    <s v="Número de viviendas autorizadas"/>
    <s v="Instituto Nacional de Estadísticas (INE)"/>
    <s v="Evolución Mensual del Número de Viviendas Autorizadas para Construcción en la Región de Valparaíso"/>
    <m/>
    <s v="Gráfico de Evolución"/>
    <s v="cantidad viviendas autorizadas vivienda región valparaíso"/>
    <s v="https://analytics.zoho.com/open-view/2395394000008745260?ZOHO_CRITERIA=%22Consolidado_Estadisticas_Regionales_New%22.%22C%C3%B3digo%20regi%C3%B3n%22%20%3D%205"/>
    <x v="5"/>
    <s v="#1774B306"/>
  </r>
  <r>
    <s v="1785"/>
    <n v="990"/>
    <s v="Agencia Información"/>
    <s v="Vivienda y Construcción"/>
    <n v="6"/>
    <x v="92"/>
    <x v="23"/>
    <x v="1"/>
    <x v="6"/>
    <x v="9"/>
    <x v="162"/>
    <s v="Periodo 2014-2021"/>
    <s v="Número de viviendas autorizadas"/>
    <s v="Instituto Nacional de Estadísticas (INE)"/>
    <s v="Evolución Mensual del Número de Viviendas Autorizadas para Construcción en la Región de O'Higgins"/>
    <m/>
    <s v="Gráfico de Evolución"/>
    <s v="cantidad viviendas autorizadas vivienda región ohiggins"/>
    <s v="https://analytics.zoho.com/open-view/2395394000008745260?ZOHO_CRITERIA=%22Consolidado_Estadisticas_Regionales_New%22.%22C%C3%B3digo%20regi%C3%B3n%22%20%3D%206"/>
    <x v="6"/>
    <s v="#1774B307"/>
  </r>
  <r>
    <s v="1786"/>
    <n v="990"/>
    <s v="Agencia Información"/>
    <s v="Vivienda y Construcción"/>
    <n v="7"/>
    <x v="92"/>
    <x v="23"/>
    <x v="1"/>
    <x v="7"/>
    <x v="9"/>
    <x v="162"/>
    <s v="Periodo 2014-2021"/>
    <s v="Número de viviendas autorizadas"/>
    <s v="Instituto Nacional de Estadísticas (INE)"/>
    <s v="Evolución Mensual del Número de Viviendas Autorizadas para Construcción en la Región de Maule"/>
    <m/>
    <s v="Gráfico de Evolución"/>
    <s v="cantidad viviendas autorizadas vivienda región maule"/>
    <s v="https://analytics.zoho.com/open-view/2395394000008745260?ZOHO_CRITERIA=%22Consolidado_Estadisticas_Regionales_New%22.%22C%C3%B3digo%20regi%C3%B3n%22%20%3D%207"/>
    <x v="7"/>
    <s v="#1774B308"/>
  </r>
  <r>
    <s v="1787"/>
    <n v="990"/>
    <s v="Agencia Información"/>
    <s v="Vivienda y Construcción"/>
    <n v="8"/>
    <x v="92"/>
    <x v="23"/>
    <x v="1"/>
    <x v="8"/>
    <x v="9"/>
    <x v="162"/>
    <s v="Periodo 2014-2021"/>
    <s v="Número de viviendas autorizadas"/>
    <s v="Instituto Nacional de Estadísticas (INE)"/>
    <s v="Evolución Mensual del Número de Viviendas Autorizadas para Construcción en la Región del Biobío"/>
    <m/>
    <s v="Gráfico de Evolución"/>
    <s v="cantidad viviendas autorizadas vivienda región biobío"/>
    <s v="https://analytics.zoho.com/open-view/2395394000008745260?ZOHO_CRITERIA=%22Consolidado_Estadisticas_Regionales_New%22.%22C%C3%B3digo%20regi%C3%B3n%22%20%3D%208"/>
    <x v="8"/>
    <s v="#1774B309"/>
  </r>
  <r>
    <s v="1788"/>
    <n v="990"/>
    <s v="Agencia Información"/>
    <s v="Vivienda y Construcción"/>
    <n v="9"/>
    <x v="92"/>
    <x v="23"/>
    <x v="1"/>
    <x v="9"/>
    <x v="9"/>
    <x v="162"/>
    <s v="Periodo 2014-2021"/>
    <s v="Número de viviendas autorizadas"/>
    <s v="Instituto Nacional de Estadísticas (INE)"/>
    <s v="Evolución Mensual del Número de Viviendas Autorizadas para Construcción en la Región de La Araucanía"/>
    <m/>
    <s v="Gráfico de Evolución"/>
    <s v="cantidad viviendas autorizadas vivienda región araucanía"/>
    <s v="https://analytics.zoho.com/open-view/2395394000008745260?ZOHO_CRITERIA=%22Consolidado_Estadisticas_Regionales_New%22.%22C%C3%B3digo%20regi%C3%B3n%22%20%3D%209"/>
    <x v="9"/>
    <s v="#1774B310"/>
  </r>
  <r>
    <s v="1789"/>
    <n v="990"/>
    <s v="Agencia Información"/>
    <s v="Vivienda y Construcción"/>
    <n v="10"/>
    <x v="92"/>
    <x v="23"/>
    <x v="1"/>
    <x v="10"/>
    <x v="9"/>
    <x v="162"/>
    <s v="Periodo 2014-2021"/>
    <s v="Número de viviendas autorizadas"/>
    <s v="Instituto Nacional de Estadísticas (INE)"/>
    <s v="Evolución Mensual del Número de Viviendas Autorizadas para Construcción en la Región de Los Lagos"/>
    <m/>
    <s v="Gráfico de Evolución"/>
    <s v="cantidad viviendas autorizadas vivienda región los lagos"/>
    <s v="https://analytics.zoho.com/open-view/2395394000008745260?ZOHO_CRITERIA=%22Consolidado_Estadisticas_Regionales_New%22.%22C%C3%B3digo%20regi%C3%B3n%22%20%3D%2010"/>
    <x v="10"/>
    <s v="#1774B311"/>
  </r>
  <r>
    <s v="1790"/>
    <n v="990"/>
    <s v="Agencia Información"/>
    <s v="Vivienda y Construcción"/>
    <n v="11"/>
    <x v="92"/>
    <x v="23"/>
    <x v="1"/>
    <x v="11"/>
    <x v="9"/>
    <x v="162"/>
    <s v="Periodo 2014-2021"/>
    <s v="Número de viviendas autorizadas"/>
    <s v="Instituto Nacional de Estadísticas (INE)"/>
    <s v="Evolución Mensual del Número de Viviendas Autorizadas para Construcción en la Región de Aysén"/>
    <m/>
    <s v="Gráfico de Evolución"/>
    <s v="cantidad viviendas autorizadas vivienda región aysén"/>
    <s v="https://analytics.zoho.com/open-view/2395394000008745260?ZOHO_CRITERIA=%22Consolidado_Estadisticas_Regionales_New%22.%22C%C3%B3digo%20regi%C3%B3n%22%20%3D%2011"/>
    <x v="11"/>
    <s v="#1774B312"/>
  </r>
  <r>
    <s v="1791"/>
    <n v="990"/>
    <s v="Agencia Información"/>
    <s v="Vivienda y Construcción"/>
    <n v="12"/>
    <x v="92"/>
    <x v="23"/>
    <x v="1"/>
    <x v="12"/>
    <x v="9"/>
    <x v="162"/>
    <s v="Periodo 2014-2021"/>
    <s v="Número de viviendas autorizadas"/>
    <s v="Instituto Nacional de Estadísticas (INE)"/>
    <s v="Evolución Mensual del Número de Viviendas Autorizadas para Construcción en la Región de Magallanes"/>
    <m/>
    <s v="Gráfico de Evolución"/>
    <s v="cantidad viviendas autorizadas vivienda región magallanes"/>
    <s v="https://analytics.zoho.com/open-view/2395394000008745260?ZOHO_CRITERIA=%22Consolidado_Estadisticas_Regionales_New%22.%22C%C3%B3digo%20regi%C3%B3n%22%20%3D%2012"/>
    <x v="12"/>
    <s v="#1774B313"/>
  </r>
  <r>
    <s v="1792"/>
    <n v="990"/>
    <s v="Agencia Información"/>
    <s v="Vivienda y Construcción"/>
    <n v="13"/>
    <x v="92"/>
    <x v="23"/>
    <x v="1"/>
    <x v="13"/>
    <x v="9"/>
    <x v="162"/>
    <s v="Periodo 2014-2021"/>
    <s v="Número de viviendas autorizadas"/>
    <s v="Instituto Nacional de Estadísticas (INE)"/>
    <s v="Evolución Mensual del Número de Viviendas Autorizadas para Construcción en la Región Metropolitana"/>
    <m/>
    <s v="Gráfico de Evolución"/>
    <s v="cantidad viviendas autorizadas vivienda región metropolitana"/>
    <s v="https://analytics.zoho.com/open-view/2395394000008745260?ZOHO_CRITERIA=%22Consolidado_Estadisticas_Regionales_New%22.%22C%C3%B3digo%20regi%C3%B3n%22%20%3D%2013"/>
    <x v="13"/>
    <s v="#1774B314"/>
  </r>
  <r>
    <s v="1793"/>
    <n v="990"/>
    <s v="Agencia Información"/>
    <s v="Vivienda y Construcción"/>
    <n v="14"/>
    <x v="92"/>
    <x v="23"/>
    <x v="1"/>
    <x v="14"/>
    <x v="9"/>
    <x v="162"/>
    <s v="Periodo 2014-2021"/>
    <s v="Número de viviendas autorizadas"/>
    <s v="Instituto Nacional de Estadísticas (INE)"/>
    <s v="Evolución Mensual del Número de Viviendas Autorizadas para Construcción en la Región de Los Ríos"/>
    <m/>
    <s v="Gráfico de Evolución"/>
    <s v="cantidad viviendas autorizadas vivienda región los ríos"/>
    <s v="https://analytics.zoho.com/open-view/2395394000008745260?ZOHO_CRITERIA=%22Consolidado_Estadisticas_Regionales_New%22.%22C%C3%B3digo%20regi%C3%B3n%22%20%3D%2014"/>
    <x v="14"/>
    <s v="#1774B315"/>
  </r>
  <r>
    <s v="1794"/>
    <n v="990"/>
    <s v="Agencia Información"/>
    <s v="Vivienda y Construcción"/>
    <n v="15"/>
    <x v="92"/>
    <x v="23"/>
    <x v="1"/>
    <x v="15"/>
    <x v="9"/>
    <x v="162"/>
    <s v="Periodo 2014-2021"/>
    <s v="Número de viviendas autorizadas"/>
    <s v="Instituto Nacional de Estadísticas (INE)"/>
    <s v="Evolución Mensual del Número de Viviendas Autorizadas para Construcción en la Región de Arica y Parinacota"/>
    <m/>
    <s v="Gráfico de Evolución"/>
    <s v="cantidad viviendas autorizadas vivienda región arica parinacota"/>
    <s v="https://analytics.zoho.com/open-view/2395394000008745260?ZOHO_CRITERIA=%22Consolidado_Estadisticas_Regionales_New%22.%22C%C3%B3digo%20regi%C3%B3n%22%20%3D%2015"/>
    <x v="15"/>
    <s v="#1774B316"/>
  </r>
  <r>
    <s v="1795"/>
    <n v="990"/>
    <s v="Agencia Información"/>
    <s v="Vivienda y Construcción"/>
    <n v="16"/>
    <x v="92"/>
    <x v="23"/>
    <x v="1"/>
    <x v="16"/>
    <x v="9"/>
    <x v="162"/>
    <s v="Periodo 2014-2021"/>
    <s v="Número de viviendas autorizadas"/>
    <s v="Instituto Nacional de Estadísticas (INE)"/>
    <s v="Evolución Mensual del Número de Viviendas Autorizadas para Construcción en la Región de Ñuble"/>
    <m/>
    <s v="Gráfico de Evolución"/>
    <s v="cantidad viviendas autorizadas vivienda región ñuble"/>
    <s v="https://analytics.zoho.com/open-view/2395394000008745260?ZOHO_CRITERIA=%22Consolidado_Estadisticas_Regionales_New%22.%22C%C3%B3digo%20regi%C3%B3n%22%20%3D%2016"/>
    <x v="16"/>
    <s v="#1774B317"/>
  </r>
  <r>
    <s v="1796"/>
    <n v="990"/>
    <s v="Agencia Información"/>
    <s v="Vivienda y Construcción"/>
    <n v="0"/>
    <x v="93"/>
    <x v="23"/>
    <x v="0"/>
    <x v="0"/>
    <x v="1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a Escala Nacional"/>
    <s v="En los primeros 5 meses del año 2021, la superficie autorizada no habitacional para la construcción de ampliaciones de la industria, comercio y establecimientos financieros tuvo un peak de 6.027 (m2) autorizados, correspondientes al mes de mayo. Para ese período, el promedio de superficie autorizada es de 4.070 (m2)."/>
    <s v="Gráfico de Evolución"/>
    <s v="superficie habitacional no autorizada ampliaciones icef industria comercio establecimientos financieros construcción nacional chile"/>
    <s v="https://analytics.zoho.com/open-view/2395394000008745431"/>
    <x v="0"/>
    <s v="#1774B318"/>
  </r>
  <r>
    <s v="1797"/>
    <n v="990"/>
    <s v="Agencia Información"/>
    <s v="Vivienda y Construcción"/>
    <n v="1"/>
    <x v="93"/>
    <x v="23"/>
    <x v="1"/>
    <x v="1"/>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Tarapacá"/>
    <m/>
    <s v="Gráfico de Evolución"/>
    <s v="superficie habitacional no autorizada ampliaciones icef industria comercio establecimientos financieros construcción región tarapacá"/>
    <s v="https://analytics.zoho.com/open-view/2395394000008745666?ZOHO_CRITERIA=%22Consolidado_Estadisticas_Regionales_New%22.%22C%C3%B3digo%20regi%C3%B3n%22%20%3D%201"/>
    <x v="1"/>
    <s v="#1774B319"/>
  </r>
  <r>
    <s v="1798"/>
    <n v="990"/>
    <s v="Agencia Información"/>
    <s v="Vivienda y Construcción"/>
    <n v="2"/>
    <x v="93"/>
    <x v="23"/>
    <x v="1"/>
    <x v="2"/>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Antofagasta"/>
    <m/>
    <s v="Gráfico de Evolución"/>
    <s v="superficie habitacional no autorizada ampliaciones icef industria comercio establecimientos financieros construcción región antofagasta"/>
    <s v="https://analytics.zoho.com/open-view/2395394000008745666?ZOHO_CRITERIA=%22Consolidado_Estadisticas_Regionales_New%22.%22C%C3%B3digo%20regi%C3%B3n%22%20%3D%202"/>
    <x v="2"/>
    <s v="#1774B320"/>
  </r>
  <r>
    <s v="1799"/>
    <n v="990"/>
    <s v="Agencia Información"/>
    <s v="Vivienda y Construcción"/>
    <n v="3"/>
    <x v="93"/>
    <x v="23"/>
    <x v="1"/>
    <x v="3"/>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Atacama"/>
    <m/>
    <s v="Gráfico de Evolución"/>
    <s v="superficie habitacional no autorizada ampliaciones icef industria comercio establecimientos financieros construcción región atacama"/>
    <s v="https://analytics.zoho.com/open-view/2395394000008745666?ZOHO_CRITERIA=%22Consolidado_Estadisticas_Regionales_New%22.%22C%C3%B3digo%20regi%C3%B3n%22%20%3D%203"/>
    <x v="3"/>
    <s v="#1774B321"/>
  </r>
  <r>
    <s v="1800"/>
    <n v="990"/>
    <s v="Agencia Información"/>
    <s v="Vivienda y Construcción"/>
    <n v="4"/>
    <x v="93"/>
    <x v="23"/>
    <x v="1"/>
    <x v="4"/>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Coquimbo"/>
    <m/>
    <s v="Gráfico de Evolución"/>
    <s v="superficie habitacional no autorizada ampliaciones icef industria comercio establecimientos financieros construcción región coquimbo"/>
    <s v="https://analytics.zoho.com/open-view/2395394000008745666?ZOHO_CRITERIA=%22Consolidado_Estadisticas_Regionales_New%22.%22C%C3%B3digo%20regi%C3%B3n%22%20%3D%204"/>
    <x v="4"/>
    <s v="#1774B322"/>
  </r>
  <r>
    <s v="1801"/>
    <n v="990"/>
    <s v="Agencia Información"/>
    <s v="Vivienda y Construcción"/>
    <n v="5"/>
    <x v="93"/>
    <x v="23"/>
    <x v="1"/>
    <x v="5"/>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Valparaíso"/>
    <m/>
    <s v="Gráfico de Evolución"/>
    <s v="superficie habitacional no autorizada ampliaciones icef industria comercio establecimientos financieros construcción región valparaíso"/>
    <s v="https://analytics.zoho.com/open-view/2395394000008745666?ZOHO_CRITERIA=%22Consolidado_Estadisticas_Regionales_New%22.%22C%C3%B3digo%20regi%C3%B3n%22%20%3D%205"/>
    <x v="5"/>
    <s v="#1774B323"/>
  </r>
  <r>
    <s v="1802"/>
    <n v="990"/>
    <s v="Agencia Información"/>
    <s v="Vivienda y Construcción"/>
    <n v="6"/>
    <x v="93"/>
    <x v="23"/>
    <x v="1"/>
    <x v="6"/>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O'Higgins"/>
    <m/>
    <s v="Gráfico de Evolución"/>
    <s v="superficie habitacional no autorizada ampliaciones icef industria comercio establecimientos financieros construcción región ohiggins"/>
    <s v="https://analytics.zoho.com/open-view/2395394000008745666?ZOHO_CRITERIA=%22Consolidado_Estadisticas_Regionales_New%22.%22C%C3%B3digo%20regi%C3%B3n%22%20%3D%206"/>
    <x v="6"/>
    <s v="#1774B324"/>
  </r>
  <r>
    <s v="1803"/>
    <n v="990"/>
    <s v="Agencia Información"/>
    <s v="Vivienda y Construcción"/>
    <n v="7"/>
    <x v="93"/>
    <x v="23"/>
    <x v="1"/>
    <x v="7"/>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Maule"/>
    <m/>
    <s v="Gráfico de Evolución"/>
    <s v="superficie habitacional no autorizada ampliaciones icef industria comercio establecimientos financieros construcción región maule"/>
    <s v="https://analytics.zoho.com/open-view/2395394000008745666?ZOHO_CRITERIA=%22Consolidado_Estadisticas_Regionales_New%22.%22C%C3%B3digo%20regi%C3%B3n%22%20%3D%207"/>
    <x v="7"/>
    <s v="#1774B325"/>
  </r>
  <r>
    <s v="1804"/>
    <n v="990"/>
    <s v="Agencia Información"/>
    <s v="Vivienda y Construcción"/>
    <n v="8"/>
    <x v="93"/>
    <x v="23"/>
    <x v="1"/>
    <x v="8"/>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l Biobío"/>
    <m/>
    <s v="Gráfico de Evolución"/>
    <s v="superficie habitacional no autorizada ampliaciones icef industria comercio establecimientos financieros construcción región biobío"/>
    <s v="https://analytics.zoho.com/open-view/2395394000008745666?ZOHO_CRITERIA=%22Consolidado_Estadisticas_Regionales_New%22.%22C%C3%B3digo%20regi%C3%B3n%22%20%3D%208"/>
    <x v="8"/>
    <s v="#1774B326"/>
  </r>
  <r>
    <s v="1805"/>
    <n v="990"/>
    <s v="Agencia Información"/>
    <s v="Vivienda y Construcción"/>
    <n v="9"/>
    <x v="93"/>
    <x v="23"/>
    <x v="1"/>
    <x v="9"/>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La Araucanía"/>
    <m/>
    <s v="Gráfico de Evolución"/>
    <s v="superficie habitacional no autorizada ampliaciones icef industria comercio establecimientos financieros construcción región araucanía"/>
    <s v="https://analytics.zoho.com/open-view/2395394000008745666?ZOHO_CRITERIA=%22Consolidado_Estadisticas_Regionales_New%22.%22C%C3%B3digo%20regi%C3%B3n%22%20%3D%209"/>
    <x v="9"/>
    <s v="#1774B327"/>
  </r>
  <r>
    <s v="1806"/>
    <n v="990"/>
    <s v="Agencia Información"/>
    <s v="Vivienda y Construcción"/>
    <n v="10"/>
    <x v="93"/>
    <x v="23"/>
    <x v="1"/>
    <x v="10"/>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Los Lagos"/>
    <m/>
    <s v="Gráfico de Evolución"/>
    <s v="superficie habitacional no autorizada ampliaciones icef industria comercio establecimientos financieros construcción región los lagos"/>
    <s v="https://analytics.zoho.com/open-view/2395394000008745666?ZOHO_CRITERIA=%22Consolidado_Estadisticas_Regionales_New%22.%22C%C3%B3digo%20regi%C3%B3n%22%20%3D%2010"/>
    <x v="10"/>
    <s v="#1774B328"/>
  </r>
  <r>
    <s v="1807"/>
    <n v="990"/>
    <s v="Agencia Información"/>
    <s v="Vivienda y Construcción"/>
    <n v="11"/>
    <x v="93"/>
    <x v="23"/>
    <x v="1"/>
    <x v="11"/>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Aysén"/>
    <m/>
    <s v="Gráfico de Evolución"/>
    <s v="superficie habitacional no autorizada ampliaciones icef industria comercio establecimientos financieros construcción región aysén"/>
    <s v="https://analytics.zoho.com/open-view/2395394000008745666?ZOHO_CRITERIA=%22Consolidado_Estadisticas_Regionales_New%22.%22C%C3%B3digo%20regi%C3%B3n%22%20%3D%2011"/>
    <x v="11"/>
    <s v="#1774B329"/>
  </r>
  <r>
    <s v="1808"/>
    <n v="990"/>
    <s v="Agencia Información"/>
    <s v="Vivienda y Construcción"/>
    <n v="12"/>
    <x v="93"/>
    <x v="23"/>
    <x v="1"/>
    <x v="12"/>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Magallanes"/>
    <m/>
    <s v="Gráfico de Evolución"/>
    <s v="superficie habitacional no autorizada ampliaciones icef industria comercio establecimientos financieros construcción región magallanes"/>
    <s v="https://analytics.zoho.com/open-view/2395394000008745666?ZOHO_CRITERIA=%22Consolidado_Estadisticas_Regionales_New%22.%22C%C3%B3digo%20regi%C3%B3n%22%20%3D%2012"/>
    <x v="12"/>
    <s v="#1774B330"/>
  </r>
  <r>
    <s v="1809"/>
    <n v="990"/>
    <s v="Agencia Información"/>
    <s v="Vivienda y Construcción"/>
    <n v="13"/>
    <x v="93"/>
    <x v="23"/>
    <x v="1"/>
    <x v="13"/>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Metropolitana"/>
    <m/>
    <s v="Gráfico de Evolución"/>
    <s v="superficie habitacional no autorizada ampliaciones icef industria comercio establecimientos financieros construcción región metropolitana"/>
    <s v="https://analytics.zoho.com/open-view/2395394000008745666?ZOHO_CRITERIA=%22Consolidado_Estadisticas_Regionales_New%22.%22C%C3%B3digo%20regi%C3%B3n%22%20%3D%2013"/>
    <x v="13"/>
    <s v="#1774B331"/>
  </r>
  <r>
    <s v="1810"/>
    <n v="990"/>
    <s v="Agencia Información"/>
    <s v="Vivienda y Construcción"/>
    <n v="14"/>
    <x v="93"/>
    <x v="23"/>
    <x v="1"/>
    <x v="14"/>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Los Ríos"/>
    <m/>
    <s v="Gráfico de Evolución"/>
    <s v="superficie habitacional no autorizada ampliaciones icef industria comercio establecimientos financieros construcción región los ríos"/>
    <s v="https://analytics.zoho.com/open-view/2395394000008745666?ZOHO_CRITERIA=%22Consolidado_Estadisticas_Regionales_New%22.%22C%C3%B3digo%20regi%C3%B3n%22%20%3D%2014"/>
    <x v="14"/>
    <s v="#1774B332"/>
  </r>
  <r>
    <s v="1811"/>
    <n v="990"/>
    <s v="Agencia Información"/>
    <s v="Vivienda y Construcción"/>
    <n v="15"/>
    <x v="93"/>
    <x v="23"/>
    <x v="1"/>
    <x v="15"/>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Arica y Parinacota"/>
    <m/>
    <s v="Gráfico de Evolución"/>
    <s v="superficie habitacional no autorizada ampliaciones icef industria comercio establecimientos financieros construcción región arica parinacota"/>
    <s v="https://analytics.zoho.com/open-view/2395394000008745666?ZOHO_CRITERIA=%22Consolidado_Estadisticas_Regionales_New%22.%22C%C3%B3digo%20regi%C3%B3n%22%20%3D%2015"/>
    <x v="15"/>
    <s v="#1774B333"/>
  </r>
  <r>
    <s v="1812"/>
    <n v="990"/>
    <s v="Agencia Información"/>
    <s v="Vivienda y Construcción"/>
    <n v="16"/>
    <x v="93"/>
    <x v="23"/>
    <x v="1"/>
    <x v="16"/>
    <x v="9"/>
    <x v="163"/>
    <s v="Periodo 2014-2021"/>
    <s v="Metros cuadrados"/>
    <s v="Instituto Nacional de Estadísticas (INE)"/>
    <s v="Evolución de la Superficie de las solicitudes de edificación No Habitacional autorizada para construcción de Ampliaciones de la industria, comercio y establecimientos financieros (ICEF) en la Región de Ñuble"/>
    <m/>
    <s v="Gráfico de Evolución"/>
    <s v="superficie habitacional no autorizada ampliaciones icef industria comercio establecimientos financieros construcción región ñuble"/>
    <s v="https://analytics.zoho.com/open-view/2395394000008745666?ZOHO_CRITERIA=%22Consolidado_Estadisticas_Regionales_New%22.%22C%C3%B3digo%20regi%C3%B3n%22%20%3D%2016"/>
    <x v="16"/>
    <s v="#1774B334"/>
  </r>
  <r>
    <s v="1813"/>
    <n v="990"/>
    <s v="Agencia Información"/>
    <s v="Social"/>
    <n v="0"/>
    <x v="94"/>
    <x v="9"/>
    <x v="0"/>
    <x v="0"/>
    <x v="0"/>
    <x v="164"/>
    <s v="Periodo 2019-2020"/>
    <s v="Porcentaje"/>
    <s v="Centro de Estudios y Análisis del Delito (CEAD) de la Subsecretaría de Prevención del Delito"/>
    <s v="Variación de Frecuencia de Casos Policiales entre 2019 y 2020 de Robo con Violencia o Intimidación"/>
    <s v="Las comunas en las que los casos policiales de robo con violencia o intimidación aumentaron en más de un 100% entre los años 2019 y 2020 fueron 7: Lonquimay (300%), Pelarco (250%), San Rafael (200%), Estrella (150%), Coinco (140%), Longaví (136%) y Ránquil (133%)."/>
    <s v="Gráfico de Evolución"/>
    <s v="social variación frecuencia casos policiales robo violencia intimidación delitos nacional chile"/>
    <s v="https://analytics.zoho.com/open-view/2395394000008449873"/>
    <x v="17"/>
    <s v="#1774B335"/>
  </r>
  <r>
    <s v="1814"/>
    <n v="990"/>
    <s v="Agencia Información"/>
    <s v="Social"/>
    <n v="1"/>
    <x v="94"/>
    <x v="9"/>
    <x v="1"/>
    <x v="1"/>
    <x v="1"/>
    <x v="164"/>
    <s v="Periodo 2019-2020"/>
    <s v="Porcentaje"/>
    <s v="Centro de Estudios y Análisis del Delito (CEAD) de la Subsecretaría de Prevención del Delito"/>
    <s v="Variación de Frecuencia de Casos Policiales entre 2019 y 2020 de Robo con Violencia o Intimidación en la Región de Tarapacá"/>
    <m/>
    <s v="Gráfico de Evolución"/>
    <s v="social variación frecuencia casos policiales robo violencia intimidación delitos región tarapacá"/>
    <s v="https://analytics.zoho.com/open-view/2395394000008456438?ZOHO_CRITERIA=%22Localiza%20Chile%22.%22Codreg%22%3D1"/>
    <x v="18"/>
    <s v="#1774B336"/>
  </r>
  <r>
    <s v="1815"/>
    <n v="990"/>
    <s v="Agencia Información"/>
    <s v="Social"/>
    <n v="2"/>
    <x v="94"/>
    <x v="9"/>
    <x v="1"/>
    <x v="2"/>
    <x v="1"/>
    <x v="164"/>
    <s v="Periodo 2019-2020"/>
    <s v="Porcentaje"/>
    <s v="Centro de Estudios y Análisis del Delito (CEAD) de la Subsecretaría de Prevención del Delito"/>
    <s v="Variación de Frecuencia de Casos Policiales entre 2019 y 2020 de Robo con Violencia o Intimidación en la Región de Antofagasta"/>
    <m/>
    <s v="Gráfico de Evolución"/>
    <s v="social variación frecuencia casos policiales robo violencia intimidación delitos región antofagasta"/>
    <s v="https://analytics.zoho.com/open-view/2395394000008456438?ZOHO_CRITERIA=%22Localiza%20Chile%22.%22Codreg%22%3D2"/>
    <x v="19"/>
    <s v="#1774B337"/>
  </r>
  <r>
    <s v="1816"/>
    <n v="990"/>
    <s v="Agencia Información"/>
    <s v="Social"/>
    <n v="3"/>
    <x v="94"/>
    <x v="9"/>
    <x v="1"/>
    <x v="3"/>
    <x v="1"/>
    <x v="164"/>
    <s v="Periodo 2019-2020"/>
    <s v="Porcentaje"/>
    <s v="Centro de Estudios y Análisis del Delito (CEAD) de la Subsecretaría de Prevención del Delito"/>
    <s v="Variación de Frecuencia de Casos Policiales entre 2019 y 2020 de Robo con Violencia o Intimidación en la Región de Atacama"/>
    <m/>
    <s v="Gráfico de Evolución"/>
    <s v="social variación frecuencia casos policiales robo violencia intimidación delitos región atacama"/>
    <s v="https://analytics.zoho.com/open-view/2395394000008456438?ZOHO_CRITERIA=%22Localiza%20Chile%22.%22Codreg%22%3D3"/>
    <x v="20"/>
    <s v="#1774B338"/>
  </r>
  <r>
    <s v="1817"/>
    <n v="990"/>
    <s v="Agencia Información"/>
    <s v="Social"/>
    <n v="4"/>
    <x v="94"/>
    <x v="9"/>
    <x v="1"/>
    <x v="4"/>
    <x v="1"/>
    <x v="164"/>
    <s v="Periodo 2019-2020"/>
    <s v="Porcentaje"/>
    <s v="Centro de Estudios y Análisis del Delito (CEAD) de la Subsecretaría de Prevención del Delito"/>
    <s v="Variación de Frecuencia de Casos Policiales entre 2019 y 2020 de Robo con Violencia o Intimidación en la Región de Coquimbo"/>
    <m/>
    <s v="Gráfico de Evolución"/>
    <s v="social variación frecuencia casos policiales robo violencia intimidación delitos región coquimbo"/>
    <s v="https://analytics.zoho.com/open-view/2395394000008456438?ZOHO_CRITERIA=%22Localiza%20Chile%22.%22Codreg%22%3D4"/>
    <x v="21"/>
    <s v="#1774B339"/>
  </r>
  <r>
    <s v="1818"/>
    <n v="990"/>
    <s v="Agencia Información"/>
    <s v="Social"/>
    <n v="5"/>
    <x v="94"/>
    <x v="9"/>
    <x v="1"/>
    <x v="5"/>
    <x v="1"/>
    <x v="164"/>
    <s v="Periodo 2019-2020"/>
    <s v="Porcentaje"/>
    <s v="Centro de Estudios y Análisis del Delito (CEAD) de la Subsecretaría de Prevención del Delito"/>
    <s v="Variación de Frecuencia de Casos Policiales entre 2019 y 2020 de Robo con Violencia o Intimidación en la Región de Valparaíso"/>
    <m/>
    <s v="Gráfico de Evolución"/>
    <s v="social variación frecuencia casos policiales robo violencia intimidación delitos región valparaíso"/>
    <s v="https://analytics.zoho.com/open-view/2395394000008456438?ZOHO_CRITERIA=%22Localiza%20Chile%22.%22Codreg%22%3D5"/>
    <x v="22"/>
    <s v="#1774B340"/>
  </r>
  <r>
    <s v="1819"/>
    <n v="990"/>
    <s v="Agencia Información"/>
    <s v="Social"/>
    <n v="6"/>
    <x v="94"/>
    <x v="9"/>
    <x v="1"/>
    <x v="6"/>
    <x v="1"/>
    <x v="164"/>
    <s v="Periodo 2019-2020"/>
    <s v="Porcentaje"/>
    <s v="Centro de Estudios y Análisis del Delito (CEAD) de la Subsecretaría de Prevención del Delito"/>
    <s v="Variación de Frecuencia de Casos Policiales entre 2019 y 2020 de Robo con Violencia o Intimidación en la Región de O'Higgins"/>
    <m/>
    <s v="Gráfico de Evolución"/>
    <s v="social variación frecuencia casos policiales robo violencia intimidación delitos región ohiggins"/>
    <s v="https://analytics.zoho.com/open-view/2395394000008456438?ZOHO_CRITERIA=%22Localiza%20Chile%22.%22Codreg%22%3D6"/>
    <x v="23"/>
    <s v="#1774B341"/>
  </r>
  <r>
    <s v="1820"/>
    <n v="990"/>
    <s v="Agencia Información"/>
    <s v="Social"/>
    <n v="7"/>
    <x v="94"/>
    <x v="9"/>
    <x v="1"/>
    <x v="7"/>
    <x v="1"/>
    <x v="164"/>
    <s v="Periodo 2019-2020"/>
    <s v="Porcentaje"/>
    <s v="Centro de Estudios y Análisis del Delito (CEAD) de la Subsecretaría de Prevención del Delito"/>
    <s v="Variación de Frecuencia de Casos Policiales entre 2019 y 2020 de Robo con Violencia o Intimidación en la Región de Maule"/>
    <m/>
    <s v="Gráfico de Evolución"/>
    <s v="social variación frecuencia casos policiales robo violencia intimidación delitos región maule"/>
    <s v="https://analytics.zoho.com/open-view/2395394000008456438?ZOHO_CRITERIA=%22Localiza%20Chile%22.%22Codreg%22%3D7"/>
    <x v="24"/>
    <s v="#1774B342"/>
  </r>
  <r>
    <s v="1821"/>
    <n v="990"/>
    <s v="Agencia Información"/>
    <s v="Social"/>
    <n v="8"/>
    <x v="94"/>
    <x v="9"/>
    <x v="1"/>
    <x v="8"/>
    <x v="1"/>
    <x v="164"/>
    <s v="Periodo 2019-2020"/>
    <s v="Porcentaje"/>
    <s v="Centro de Estudios y Análisis del Delito (CEAD) de la Subsecretaría de Prevención del Delito"/>
    <s v="Variación de Frecuencia de Casos Policiales entre 2019 y 2020 de Robo con Violencia o Intimidación en la Región del Biobío"/>
    <m/>
    <s v="Gráfico de Evolución"/>
    <s v="social variación frecuencia casos policiales robo violencia intimidación delitos región biobío"/>
    <s v="https://analytics.zoho.com/open-view/2395394000008456438?ZOHO_CRITERIA=%22Localiza%20Chile%22.%22Codreg%22%3D8"/>
    <x v="25"/>
    <s v="#1774B343"/>
  </r>
  <r>
    <s v="1822"/>
    <n v="990"/>
    <s v="Agencia Información"/>
    <s v="Social"/>
    <n v="9"/>
    <x v="94"/>
    <x v="9"/>
    <x v="1"/>
    <x v="9"/>
    <x v="1"/>
    <x v="164"/>
    <s v="Periodo 2019-2020"/>
    <s v="Porcentaje"/>
    <s v="Centro de Estudios y Análisis del Delito (CEAD) de la Subsecretaría de Prevención del Delito"/>
    <s v="Variación de Frecuencia de Casos Policiales entre 2019 y 2020 de Robo con Violencia o Intimidación en la Región de La Araucanía"/>
    <m/>
    <s v="Gráfico de Evolución"/>
    <s v="social variación frecuencia casos policiales robo violencia intimidación delitos región araucanía"/>
    <s v="https://analytics.zoho.com/open-view/2395394000008456438?ZOHO_CRITERIA=%22Localiza%20Chile%22.%22Codreg%22%3D9"/>
    <x v="26"/>
    <s v="#1774B344"/>
  </r>
  <r>
    <s v="1823"/>
    <n v="990"/>
    <s v="Agencia Información"/>
    <s v="Social"/>
    <n v="10"/>
    <x v="94"/>
    <x v="9"/>
    <x v="1"/>
    <x v="10"/>
    <x v="1"/>
    <x v="164"/>
    <s v="Periodo 2019-2020"/>
    <s v="Porcentaje"/>
    <s v="Centro de Estudios y Análisis del Delito (CEAD) de la Subsecretaría de Prevención del Delito"/>
    <s v="Variación de Frecuencia de Casos Policiales entre 2019 y 2020 de Robo con Violencia o Intimidación en la Región de Los Lagos"/>
    <m/>
    <s v="Gráfico de Evolución"/>
    <s v="social variación frecuencia casos policiales robo violencia intimidación delitos región los lagos"/>
    <s v="https://analytics.zoho.com/open-view/2395394000008456438?ZOHO_CRITERIA=%22Localiza%20Chile%22.%22Codreg%22%3D10"/>
    <x v="27"/>
    <s v="#1774B345"/>
  </r>
  <r>
    <s v="1824"/>
    <n v="990"/>
    <s v="Agencia Información"/>
    <s v="Social"/>
    <n v="11"/>
    <x v="94"/>
    <x v="9"/>
    <x v="1"/>
    <x v="11"/>
    <x v="1"/>
    <x v="164"/>
    <s v="Periodo 2019-2020"/>
    <s v="Porcentaje"/>
    <s v="Centro de Estudios y Análisis del Delito (CEAD) de la Subsecretaría de Prevención del Delito"/>
    <s v="Variación de Frecuencia de Casos Policiales entre 2019 y 2020 de Robo con Violencia o Intimidación en la Región de Aysén"/>
    <m/>
    <s v="Gráfico de Evolución"/>
    <s v="social variación frecuencia casos policiales robo violencia intimidación delitos región aysén"/>
    <s v="https://analytics.zoho.com/open-view/2395394000008456438?ZOHO_CRITERIA=%22Localiza%20Chile%22.%22Codreg%22%3D11"/>
    <x v="28"/>
    <s v="#1774B346"/>
  </r>
  <r>
    <s v="1825"/>
    <n v="990"/>
    <s v="Agencia Información"/>
    <s v="Social"/>
    <n v="12"/>
    <x v="94"/>
    <x v="9"/>
    <x v="1"/>
    <x v="12"/>
    <x v="1"/>
    <x v="164"/>
    <s v="Periodo 2019-2020"/>
    <s v="Porcentaje"/>
    <s v="Centro de Estudios y Análisis del Delito (CEAD) de la Subsecretaría de Prevención del Delito"/>
    <s v="Variación de Frecuencia de Casos Policiales entre 2019 y 2020 de Robo con Violencia o Intimidación en la Región de Magallanes"/>
    <m/>
    <s v="Gráfico de Evolución"/>
    <s v="social variación frecuencia casos policiales robo violencia intimidación delitos región magallanes"/>
    <s v="https://analytics.zoho.com/open-view/2395394000008456438?ZOHO_CRITERIA=%22Localiza%20Chile%22.%22Codreg%22%3D12"/>
    <x v="29"/>
    <s v="#1774B347"/>
  </r>
  <r>
    <s v="1826"/>
    <n v="990"/>
    <s v="Agencia Información"/>
    <s v="Social"/>
    <n v="13"/>
    <x v="94"/>
    <x v="9"/>
    <x v="1"/>
    <x v="13"/>
    <x v="1"/>
    <x v="164"/>
    <s v="Periodo 2019-2020"/>
    <s v="Porcentaje"/>
    <s v="Centro de Estudios y Análisis del Delito (CEAD) de la Subsecretaría de Prevención del Delito"/>
    <s v="Variación de Frecuencia de Casos Policiales entre 2019 y 2020 de Robo con Violencia o Intimidación en la Región Metropolitana"/>
    <m/>
    <s v="Gráfico de Evolución"/>
    <s v="social variación frecuencia casos policiales robo violencia intimidación delitos región metropolitana"/>
    <s v="https://analytics.zoho.com/open-view/2395394000008456438?ZOHO_CRITERIA=%22Localiza%20Chile%22.%22Codreg%22%3D13"/>
    <x v="30"/>
    <s v="#1774B348"/>
  </r>
  <r>
    <s v="1827"/>
    <n v="990"/>
    <s v="Agencia Información"/>
    <s v="Social"/>
    <n v="14"/>
    <x v="94"/>
    <x v="9"/>
    <x v="1"/>
    <x v="14"/>
    <x v="1"/>
    <x v="164"/>
    <s v="Periodo 2019-2020"/>
    <s v="Porcentaje"/>
    <s v="Centro de Estudios y Análisis del Delito (CEAD) de la Subsecretaría de Prevención del Delito"/>
    <s v="Variación de Frecuencia de Casos Policiales entre 2019 y 2020 de Robo con Violencia o Intimidación en la Región de Los Ríos"/>
    <m/>
    <s v="Gráfico de Evolución"/>
    <s v="social variación frecuencia casos policiales robo violencia intimidación delitos región los ríos"/>
    <s v="https://analytics.zoho.com/open-view/2395394000008456438?ZOHO_CRITERIA=%22Localiza%20Chile%22.%22Codreg%22%3D14"/>
    <x v="31"/>
    <s v="#1774B349"/>
  </r>
  <r>
    <s v="1828"/>
    <n v="990"/>
    <s v="Agencia Información"/>
    <s v="Social"/>
    <n v="15"/>
    <x v="94"/>
    <x v="9"/>
    <x v="1"/>
    <x v="15"/>
    <x v="1"/>
    <x v="164"/>
    <s v="Periodo 2019-2020"/>
    <s v="Porcentaje"/>
    <s v="Centro de Estudios y Análisis del Delito (CEAD) de la Subsecretaría de Prevención del Delito"/>
    <s v="Variación de Frecuencia de Casos Policiales entre 2019 y 2020 de Robo con Violencia o Intimidación en la Región de Arica y Parinacota"/>
    <m/>
    <s v="Gráfico de Evolución"/>
    <s v="social variación frecuencia casos policiales robo violencia intimidación delitos región arica parinacota"/>
    <s v="https://analytics.zoho.com/open-view/2395394000008456438?ZOHO_CRITERIA=%22Localiza%20Chile%22.%22Codreg%22%3D15"/>
    <x v="32"/>
    <s v="#1774B350"/>
  </r>
  <r>
    <s v="1829"/>
    <n v="990"/>
    <s v="Agencia Información"/>
    <s v="Social"/>
    <n v="16"/>
    <x v="94"/>
    <x v="9"/>
    <x v="1"/>
    <x v="16"/>
    <x v="1"/>
    <x v="164"/>
    <s v="Periodo 2019-2020"/>
    <s v="Porcentaje"/>
    <s v="Centro de Estudios y Análisis del Delito (CEAD) de la Subsecretaría de Prevención del Delito"/>
    <s v="Variación de Frecuencia de Casos Policiales entre 2019 y 2020 de Robo con Violencia o Intimidación en la Región de Ñuble"/>
    <m/>
    <s v="Gráfico de Evolución"/>
    <s v="social variación frecuencia casos policiales robo violencia intimidación delitos región ñuble"/>
    <s v="https://analytics.zoho.com/open-view/2395394000008456438?ZOHO_CRITERIA=%22Localiza%20Chile%22.%22Codreg%22%3D16"/>
    <x v="33"/>
    <s v="#1774B351"/>
  </r>
  <r>
    <s v="1830"/>
    <n v="990"/>
    <s v="Agencia Información"/>
    <s v="Social"/>
    <n v="0"/>
    <x v="95"/>
    <x v="9"/>
    <x v="0"/>
    <x v="0"/>
    <x v="0"/>
    <x v="165"/>
    <s v="Periodo 2019-2020"/>
    <s v="Porcentaje"/>
    <s v="Centro de Estudios y Análisis del Delito (CEAD) de la Subsecretaría de Prevención del Delito"/>
    <s v="Variación de Frecuencia de Casos Policiales entre 2019 y 2020 de Homicidios"/>
    <s v="Las comunas en las que los casos policiales de homicidio aumentaron en más de un 100% entre los años 2019 y 2020 fueron 10: Constitución (300%), Macul (300%), Peñaflor (200%), Hualpén (200%), Licantén (200%), Longaví (200%), Valparaíso (200%), La Serena (133%), Los Ángeles (133%) y La Cisterna (133%)."/>
    <s v="Gráfico de Evolución"/>
    <s v="social variación frecuencia casos policiales homicidio delitos nacional chile"/>
    <s v="https://analytics.zoho.com/open-view/2395394000008456616"/>
    <x v="17"/>
    <s v="#1774B352"/>
  </r>
  <r>
    <s v="1831"/>
    <n v="990"/>
    <s v="Agencia Información"/>
    <s v="Social"/>
    <n v="1"/>
    <x v="95"/>
    <x v="9"/>
    <x v="1"/>
    <x v="1"/>
    <x v="1"/>
    <x v="165"/>
    <s v="Periodo 2019-2020"/>
    <s v="Porcentaje"/>
    <s v="Centro de Estudios y Análisis del Delito (CEAD) de la Subsecretaría de Prevención del Delito"/>
    <s v="Variación de Frecuencia de Casos Policiales entre 2019 y 2020 de Homicidios en la Región de Tarapacá"/>
    <m/>
    <s v="Gráfico de Evolución"/>
    <s v="social variación frecuencia casos policiales robo violencia intimidación delitos región tarapacá"/>
    <s v="https://analytics.zoho.com/open-view/2395394000008457225?ZOHO_CRITERIA=%22Frecuencia%20Final%20Fecha%22.%22cod_region%22%3D1"/>
    <x v="18"/>
    <s v="#1774B353"/>
  </r>
  <r>
    <s v="1832"/>
    <n v="990"/>
    <s v="Agencia Información"/>
    <s v="Social"/>
    <n v="2"/>
    <x v="95"/>
    <x v="9"/>
    <x v="1"/>
    <x v="2"/>
    <x v="1"/>
    <x v="165"/>
    <s v="Periodo 2019-2020"/>
    <s v="Porcentaje"/>
    <s v="Centro de Estudios y Análisis del Delito (CEAD) de la Subsecretaría de Prevención del Delito"/>
    <s v="Variación de Frecuencia de Casos Policiales entre 2019 y 2020 de Homicidios en la Región de Antofagasta"/>
    <m/>
    <s v="Gráfico de Evolución"/>
    <s v="social variación frecuencia casos policiales robo violencia intimidación delitos región antofagasta"/>
    <s v="https://analytics.zoho.com/open-view/2395394000008457225?ZOHO_CRITERIA=%22Frecuencia%20Final%20Fecha%22.%22cod_region%22%3D2"/>
    <x v="19"/>
    <s v="#1774B354"/>
  </r>
  <r>
    <s v="1833"/>
    <n v="990"/>
    <s v="Agencia Información"/>
    <s v="Social"/>
    <n v="3"/>
    <x v="95"/>
    <x v="9"/>
    <x v="1"/>
    <x v="3"/>
    <x v="1"/>
    <x v="165"/>
    <s v="Periodo 2019-2020"/>
    <s v="Porcentaje"/>
    <s v="Centro de Estudios y Análisis del Delito (CEAD) de la Subsecretaría de Prevención del Delito"/>
    <s v="Variación de Frecuencia de Casos Policiales entre 2019 y 2020 de Homicidios en la Región de Atacama"/>
    <m/>
    <s v="Gráfico de Evolución"/>
    <s v="social variación frecuencia casos policiales robo violencia intimidación delitos región atacama"/>
    <s v="https://analytics.zoho.com/open-view/2395394000008457225?ZOHO_CRITERIA=%22Frecuencia%20Final%20Fecha%22.%22cod_region%22%3D3"/>
    <x v="20"/>
    <s v="#1774B355"/>
  </r>
  <r>
    <s v="1834"/>
    <n v="990"/>
    <s v="Agencia Información"/>
    <s v="Social"/>
    <n v="4"/>
    <x v="95"/>
    <x v="9"/>
    <x v="1"/>
    <x v="4"/>
    <x v="1"/>
    <x v="165"/>
    <s v="Periodo 2019-2020"/>
    <s v="Porcentaje"/>
    <s v="Centro de Estudios y Análisis del Delito (CEAD) de la Subsecretaría de Prevención del Delito"/>
    <s v="Variación de Frecuencia de Casos Policiales entre 2019 y 2020 de Homicidios en la Región de Coquimbo"/>
    <m/>
    <s v="Gráfico de Evolución"/>
    <s v="social variación frecuencia casos policiales robo violencia intimidación delitos región coquimbo"/>
    <s v="https://analytics.zoho.com/open-view/2395394000008457225?ZOHO_CRITERIA=%22Frecuencia%20Final%20Fecha%22.%22cod_region%22%3D4"/>
    <x v="21"/>
    <s v="#1774B356"/>
  </r>
  <r>
    <s v="1835"/>
    <n v="990"/>
    <s v="Agencia Información"/>
    <s v="Social"/>
    <n v="5"/>
    <x v="95"/>
    <x v="9"/>
    <x v="1"/>
    <x v="5"/>
    <x v="1"/>
    <x v="165"/>
    <s v="Periodo 2019-2020"/>
    <s v="Porcentaje"/>
    <s v="Centro de Estudios y Análisis del Delito (CEAD) de la Subsecretaría de Prevención del Delito"/>
    <s v="Variación de Frecuencia de Casos Policiales entre 2019 y 2020 de Homicidios en la Región de Valparaíso"/>
    <m/>
    <s v="Gráfico de Evolución"/>
    <s v="social variación frecuencia casos policiales robo violencia intimidación delitos región valparaíso"/>
    <s v="https://analytics.zoho.com/open-view/2395394000008457225?ZOHO_CRITERIA=%22Frecuencia%20Final%20Fecha%22.%22cod_region%22%3D5"/>
    <x v="22"/>
    <s v="#1774B357"/>
  </r>
  <r>
    <s v="1836"/>
    <n v="990"/>
    <s v="Agencia Información"/>
    <s v="Social"/>
    <n v="6"/>
    <x v="95"/>
    <x v="9"/>
    <x v="1"/>
    <x v="6"/>
    <x v="1"/>
    <x v="165"/>
    <s v="Periodo 2019-2020"/>
    <s v="Porcentaje"/>
    <s v="Centro de Estudios y Análisis del Delito (CEAD) de la Subsecretaría de Prevención del Delito"/>
    <s v="Variación de Frecuencia de Casos Policiales entre 2019 y 2020 de Homicidios en la Región de O'Higgins"/>
    <m/>
    <s v="Gráfico de Evolución"/>
    <s v="social variación frecuencia casos policiales robo violencia intimidación delitos región o'higgins"/>
    <s v="https://analytics.zoho.com/open-view/2395394000008457225?ZOHO_CRITERIA=%22Frecuencia%20Final%20Fecha%22.%22cod_region%22%3D6"/>
    <x v="23"/>
    <s v="#1774B358"/>
  </r>
  <r>
    <s v="1837"/>
    <n v="990"/>
    <s v="Agencia Información"/>
    <s v="Social"/>
    <n v="7"/>
    <x v="95"/>
    <x v="9"/>
    <x v="1"/>
    <x v="7"/>
    <x v="1"/>
    <x v="165"/>
    <s v="Periodo 2019-2020"/>
    <s v="Porcentaje"/>
    <s v="Centro de Estudios y Análisis del Delito (CEAD) de la Subsecretaría de Prevención del Delito"/>
    <s v="Variación de Frecuencia de Casos Policiales entre 2019 y 2020 de Homicidios en la Región de Maule"/>
    <m/>
    <s v="Gráfico de Evolución"/>
    <s v="social variación frecuencia casos policiales robo violencia intimidación delitos región maule"/>
    <s v="https://analytics.zoho.com/open-view/2395394000008457225?ZOHO_CRITERIA=%22Frecuencia%20Final%20Fecha%22.%22cod_region%22%3D7"/>
    <x v="24"/>
    <s v="#1774B359"/>
  </r>
  <r>
    <s v="1838"/>
    <n v="990"/>
    <s v="Agencia Información"/>
    <s v="Social"/>
    <n v="8"/>
    <x v="95"/>
    <x v="9"/>
    <x v="1"/>
    <x v="8"/>
    <x v="1"/>
    <x v="165"/>
    <s v="Periodo 2019-2020"/>
    <s v="Porcentaje"/>
    <s v="Centro de Estudios y Análisis del Delito (CEAD) de la Subsecretaría de Prevención del Delito"/>
    <s v="Variación de Frecuencia de Casos Policiales entre 2019 y 2020 de Homicidios en la Región del Biobío"/>
    <m/>
    <s v="Gráfico de Evolución"/>
    <s v="social variación frecuencia casos policiales robo violencia intimidación dellitos región biobío"/>
    <s v="https://analytics.zoho.com/open-view/2395394000008457225?ZOHO_CRITERIA=%22Frecuencia%20Final%20Fecha%22.%22cod_region%22%3D8"/>
    <x v="25"/>
    <s v="#1774B360"/>
  </r>
  <r>
    <s v="1839"/>
    <n v="990"/>
    <s v="Agencia Información"/>
    <s v="Social"/>
    <n v="9"/>
    <x v="95"/>
    <x v="9"/>
    <x v="1"/>
    <x v="9"/>
    <x v="1"/>
    <x v="165"/>
    <s v="Periodo 2019-2020"/>
    <s v="Porcentaje"/>
    <s v="Centro de Estudios y Análisis del Delito (CEAD) de la Subsecretaría de Prevención del Delito"/>
    <s v="Variación de Frecuencia de Casos Policiales entre 2019 y 2020 de Homicidios en la Región de La Araucanía"/>
    <m/>
    <s v="Gráfico de Evolución"/>
    <s v="social variación frecuencia casos policiales robo violencia intimidación Lalitos región araucanía"/>
    <s v="https://analytics.zoho.com/open-view/2395394000008457225?ZOHO_CRITERIA=%22Frecuencia%20Final%20Fecha%22.%22cod_region%22%3D9"/>
    <x v="26"/>
    <s v="#1774B361"/>
  </r>
  <r>
    <s v="1840"/>
    <n v="990"/>
    <s v="Agencia Información"/>
    <s v="Social"/>
    <n v="10"/>
    <x v="95"/>
    <x v="9"/>
    <x v="1"/>
    <x v="10"/>
    <x v="1"/>
    <x v="165"/>
    <s v="Periodo 2019-2020"/>
    <s v="Porcentaje"/>
    <s v="Centro de Estudios y Análisis del Delito (CEAD) de la Subsecretaría de Prevención del Delito"/>
    <s v="Variación de Frecuencia de Casos Policiales entre 2019 y 2020 de Homicidios en la Región de Los Lagos"/>
    <m/>
    <s v="Gráfico de Evolución"/>
    <s v="social variación frecuencia casos policiales robo violencia intimidación Loslitos región lagos"/>
    <s v="https://analytics.zoho.com/open-view/2395394000008457225?ZOHO_CRITERIA=%22Frecuencia%20Final%20Fecha%22.%22cod_region%22%3D10"/>
    <x v="27"/>
    <s v="#1774B362"/>
  </r>
  <r>
    <s v="1841"/>
    <n v="990"/>
    <s v="Agencia Información"/>
    <s v="Social"/>
    <n v="11"/>
    <x v="95"/>
    <x v="9"/>
    <x v="1"/>
    <x v="11"/>
    <x v="1"/>
    <x v="165"/>
    <s v="Periodo 2019-2020"/>
    <s v="Porcentaje"/>
    <s v="Centro de Estudios y Análisis del Delito (CEAD) de la Subsecretaría de Prevención del Delito"/>
    <s v="Variación de Frecuencia de Casos Policiales entre 2019 y 2020 de Homicidios en la Región de Aysén"/>
    <m/>
    <s v="Gráfico de Evolución"/>
    <s v="social variación frecuencia casos policiales robo violencia intimidación delitos región aysén"/>
    <s v="https://analytics.zoho.com/open-view/2395394000008457225?ZOHO_CRITERIA=%22Frecuencia%20Final%20Fecha%22.%22cod_region%22%3D11"/>
    <x v="28"/>
    <s v="#1774B363"/>
  </r>
  <r>
    <s v="1842"/>
    <n v="990"/>
    <s v="Agencia Información"/>
    <s v="Social"/>
    <n v="12"/>
    <x v="95"/>
    <x v="9"/>
    <x v="1"/>
    <x v="12"/>
    <x v="1"/>
    <x v="165"/>
    <s v="Periodo 2019-2020"/>
    <s v="Porcentaje"/>
    <s v="Centro de Estudios y Análisis del Delito (CEAD) de la Subsecretaría de Prevención del Delito"/>
    <s v="Variación de Frecuencia de Casos Policiales entre 2019 y 2020 de Homicidios en la Región de Magallanes"/>
    <m/>
    <s v="Gráfico de Evolución"/>
    <s v="social variación frecuencia casos policiales robo violencia intimidación delitos región magallanes"/>
    <s v="https://analytics.zoho.com/open-view/2395394000008457225?ZOHO_CRITERIA=%22Frecuencia%20Final%20Fecha%22.%22cod_region%22%3D12"/>
    <x v="29"/>
    <s v="#1774B364"/>
  </r>
  <r>
    <s v="1843"/>
    <n v="990"/>
    <s v="Agencia Información"/>
    <s v="Social"/>
    <n v="13"/>
    <x v="95"/>
    <x v="9"/>
    <x v="1"/>
    <x v="13"/>
    <x v="1"/>
    <x v="165"/>
    <s v="Periodo 2019-2020"/>
    <s v="Porcentaje"/>
    <s v="Centro de Estudios y Análisis del Delito (CEAD) de la Subsecretaría de Prevención del Delito"/>
    <s v="Variación de Frecuencia de Casos Policiales entre 2019 y 2020 de Homicidios en la Región Metropolitana"/>
    <m/>
    <s v="Gráfico de Evolución"/>
    <s v="social variación frecuencia casos policiales robo violencia intimidación Regiónlitos región metropolitana"/>
    <s v="https://analytics.zoho.com/open-view/2395394000008457225?ZOHO_CRITERIA=%22Frecuencia%20Final%20Fecha%22.%22cod_region%22%3D13"/>
    <x v="30"/>
    <s v="#1774B365"/>
  </r>
  <r>
    <s v="1844"/>
    <n v="990"/>
    <s v="Agencia Información"/>
    <s v="Social"/>
    <n v="14"/>
    <x v="95"/>
    <x v="9"/>
    <x v="1"/>
    <x v="14"/>
    <x v="1"/>
    <x v="165"/>
    <s v="Periodo 2019-2020"/>
    <s v="Porcentaje"/>
    <s v="Centro de Estudios y Análisis del Delito (CEAD) de la Subsecretaría de Prevención del Delito"/>
    <s v="Variación de Frecuencia de Casos Policiales entre 2019 y 2020 de Homicidios en la Región de Los Ríos"/>
    <m/>
    <s v="Gráfico de Evolución"/>
    <s v="social variación frecuencia casos policiales robo violencia intimidación Loslitos región ríos"/>
    <s v="https://analytics.zoho.com/open-view/2395394000008457225?ZOHO_CRITERIA=%22Frecuencia%20Final%20Fecha%22.%22cod_region%22%3D14"/>
    <x v="31"/>
    <s v="#1774B366"/>
  </r>
  <r>
    <s v="1845"/>
    <n v="990"/>
    <s v="Agencia Información"/>
    <s v="Social"/>
    <n v="15"/>
    <x v="95"/>
    <x v="9"/>
    <x v="1"/>
    <x v="15"/>
    <x v="1"/>
    <x v="165"/>
    <s v="Periodo 2019-2020"/>
    <s v="Porcentaje"/>
    <s v="Centro de Estudios y Análisis del Delito (CEAD) de la Subsecretaría de Prevención del Delito"/>
    <s v="Variación de Frecuencia de Casos Policiales entre 2019 y 2020 de Homicidios en la Región de Arica y Parinacota"/>
    <m/>
    <s v="Gráfico de Evolución"/>
    <s v="social variación frecuencia casos policiales robo violencia intimidación ylitos región parinacota"/>
    <s v="https://analytics.zoho.com/open-view/2395394000008457225?ZOHO_CRITERIA=%22Frecuencia%20Final%20Fecha%22.%22cod_region%22%3D15"/>
    <x v="32"/>
    <s v="#1774B367"/>
  </r>
  <r>
    <s v="1846"/>
    <n v="990"/>
    <s v="Agencia Información"/>
    <s v="Social"/>
    <n v="16"/>
    <x v="95"/>
    <x v="9"/>
    <x v="1"/>
    <x v="16"/>
    <x v="1"/>
    <x v="165"/>
    <s v="Periodo 2019-2020"/>
    <s v="Porcentaje"/>
    <s v="Centro de Estudios y Análisis del Delito (CEAD) de la Subsecretaría de Prevención del Delito"/>
    <s v="Variación de Frecuencia de Casos Policiales entre 2019 y 2020 de Homicidios en la Región de Ñuble"/>
    <m/>
    <s v="Gráfico de Evolución"/>
    <s v="social variación frecuencia casos policiales robo violencia intimidación delitos región ñuble"/>
    <s v="https://analytics.zoho.com/open-view/2395394000008457225?ZOHO_CRITERIA=%22Frecuencia%20Final%20Fecha%22.%22cod_region%22%3D16"/>
    <x v="33"/>
    <s v="#1774B368"/>
  </r>
  <r>
    <s v="1847"/>
    <n v="990"/>
    <s v="Agencia Información"/>
    <s v="Social"/>
    <n v="0"/>
    <x v="96"/>
    <x v="9"/>
    <x v="0"/>
    <x v="0"/>
    <x v="0"/>
    <x v="166"/>
    <s v="Periodo 2008-2020"/>
    <s v="Porcentaje"/>
    <s v="Centro de Estudios y Análisis del Delito (CEAD) de la Subsecretaría de Prevención del Delito"/>
    <s v="Relación entre Detenciones y Denuncias (%) para Delitos de Homicidio y Violación"/>
    <s v="A nivel nacional, la relación porcentual entre detenciones y denuncias para delitos de homicidio bajó de 97,9% a 70% entre 2008 y 2020. Asimismo, la relación porcentual para delitos de violación disminuyó de 13,9% a 11,9% entre los mismos años."/>
    <s v="Gráfico de Evolución"/>
    <s v="social relación detenciones denuncias delitos homicidio violación nacional chile"/>
    <s v="https://analytics.zoho.com/open-view/2395394000008443177"/>
    <x v="0"/>
    <s v="#1774B369"/>
  </r>
  <r>
    <s v="1848"/>
    <n v="990"/>
    <s v="Agencia Información"/>
    <s v="Social"/>
    <n v="1"/>
    <x v="96"/>
    <x v="9"/>
    <x v="1"/>
    <x v="1"/>
    <x v="1"/>
    <x v="166"/>
    <s v="Periodo 2008-2020"/>
    <s v="Porcentaje"/>
    <s v="Centro de Estudios y Análisis del Delito (CEAD) de la Subsecretaría de Prevención del Delito"/>
    <s v="Relación entre Detenciones y Denuncias (%) para Delitos de Homicidio y Violación en la Región de Tarapacá"/>
    <m/>
    <s v="Gráfico de Evolución"/>
    <s v="social variación frecuencia casos policiales robo violencia intimidación delitos región tarapacá"/>
    <s v="https://analytics.zoho.com/open-view/2395394000008467312?ZOHO_CRITERIA=%22Localiza%20Chile%22.%22Codreg%22%3D1"/>
    <x v="1"/>
    <s v="#1774B370"/>
  </r>
  <r>
    <s v="1849"/>
    <n v="990"/>
    <s v="Agencia Información"/>
    <s v="Social"/>
    <n v="2"/>
    <x v="96"/>
    <x v="9"/>
    <x v="1"/>
    <x v="2"/>
    <x v="1"/>
    <x v="166"/>
    <s v="Periodo 2008-2020"/>
    <s v="Porcentaje"/>
    <s v="Centro de Estudios y Análisis del Delito (CEAD) de la Subsecretaría de Prevención del Delito"/>
    <s v="Relación entre Detenciones y Denuncias (%) para Delitos de Homicidio y Violación en la Región de Antofagasta"/>
    <m/>
    <s v="Gráfico de Evolución"/>
    <s v="social variación frecuencia casos policiales robo violencia intimidación delitos región antofagasta"/>
    <s v="https://analytics.zoho.com/open-view/2395394000008467312?ZOHO_CRITERIA=%22Localiza%20Chile%22.%22Codreg%22%3D2"/>
    <x v="2"/>
    <s v="#1774B371"/>
  </r>
  <r>
    <s v="1850"/>
    <n v="990"/>
    <s v="Agencia Información"/>
    <s v="Social"/>
    <n v="3"/>
    <x v="96"/>
    <x v="9"/>
    <x v="1"/>
    <x v="3"/>
    <x v="1"/>
    <x v="166"/>
    <s v="Periodo 2008-2020"/>
    <s v="Porcentaje"/>
    <s v="Centro de Estudios y Análisis del Delito (CEAD) de la Subsecretaría de Prevención del Delito"/>
    <s v="Relación entre Detenciones y Denuncias (%) para Delitos de Homicidio y Violación en la Región de Atacama"/>
    <m/>
    <s v="Gráfico de Evolución"/>
    <s v="social variación frecuencia casos policiales robo violencia intimidación delitos región atacama"/>
    <s v="https://analytics.zoho.com/open-view/2395394000008467312?ZOHO_CRITERIA=%22Localiza%20Chile%22.%22Codreg%22%3D3"/>
    <x v="3"/>
    <s v="#1774B372"/>
  </r>
  <r>
    <s v="1851"/>
    <n v="990"/>
    <s v="Agencia Información"/>
    <s v="Social"/>
    <n v="4"/>
    <x v="96"/>
    <x v="9"/>
    <x v="1"/>
    <x v="4"/>
    <x v="1"/>
    <x v="166"/>
    <s v="Periodo 2008-2020"/>
    <s v="Porcentaje"/>
    <s v="Centro de Estudios y Análisis del Delito (CEAD) de la Subsecretaría de Prevención del Delito"/>
    <s v="Relación entre Detenciones y Denuncias (%) para Delitos de Homicidio y Violación en la Región de Coquimbo"/>
    <m/>
    <s v="Gráfico de Evolución"/>
    <s v="social variación frecuencia casos policiales robo violencia intimidación delitos región coquimbo"/>
    <s v="https://analytics.zoho.com/open-view/2395394000008467312?ZOHO_CRITERIA=%22Localiza%20Chile%22.%22Codreg%22%3D4"/>
    <x v="4"/>
    <s v="#1774B373"/>
  </r>
  <r>
    <s v="1852"/>
    <n v="990"/>
    <s v="Agencia Información"/>
    <s v="Social"/>
    <n v="5"/>
    <x v="96"/>
    <x v="9"/>
    <x v="1"/>
    <x v="5"/>
    <x v="1"/>
    <x v="166"/>
    <s v="Periodo 2008-2020"/>
    <s v="Porcentaje"/>
    <s v="Centro de Estudios y Análisis del Delito (CEAD) de la Subsecretaría de Prevención del Delito"/>
    <s v="Relación entre Detenciones y Denuncias (%) para Delitos de Homicidio y Violación en la Región de Valparaíso"/>
    <m/>
    <s v="Gráfico de Evolución"/>
    <s v="social variación frecuencia casos policiales robo violencia intimidación delitos región valparaíso"/>
    <s v="https://analytics.zoho.com/open-view/2395394000008467312?ZOHO_CRITERIA=%22Localiza%20Chile%22.%22Codreg%22%3D5"/>
    <x v="5"/>
    <s v="#1774B374"/>
  </r>
  <r>
    <s v="1853"/>
    <n v="990"/>
    <s v="Agencia Información"/>
    <s v="Social"/>
    <n v="6"/>
    <x v="96"/>
    <x v="9"/>
    <x v="1"/>
    <x v="6"/>
    <x v="1"/>
    <x v="166"/>
    <s v="Periodo 2008-2020"/>
    <s v="Porcentaje"/>
    <s v="Centro de Estudios y Análisis del Delito (CEAD) de la Subsecretaría de Prevención del Delito"/>
    <s v="Relación entre Detenciones y Denuncias (%) para Delitos de Homicidio y Violación en la Región de O'Higgins"/>
    <m/>
    <s v="Gráfico de Evolución"/>
    <s v="social variación frecuencia casos policiales robo violencia intimidación delitos región o'higgins"/>
    <s v="https://analytics.zoho.com/open-view/2395394000008467312?ZOHO_CRITERIA=%22Localiza%20Chile%22.%22Codreg%22%3D6"/>
    <x v="6"/>
    <s v="#1774B375"/>
  </r>
  <r>
    <s v="1854"/>
    <n v="990"/>
    <s v="Agencia Información"/>
    <s v="Social"/>
    <n v="7"/>
    <x v="96"/>
    <x v="9"/>
    <x v="1"/>
    <x v="7"/>
    <x v="1"/>
    <x v="166"/>
    <s v="Periodo 2008-2020"/>
    <s v="Porcentaje"/>
    <s v="Centro de Estudios y Análisis del Delito (CEAD) de la Subsecretaría de Prevención del Delito"/>
    <s v="Relación entre Detenciones y Denuncias (%) para Delitos de Homicidio y Violación en la Región de Maule"/>
    <m/>
    <s v="Gráfico de Evolución"/>
    <s v="social variación frecuencia casos policiales robo violencia intimidación delitos región maule"/>
    <s v="https://analytics.zoho.com/open-view/2395394000008467312?ZOHO_CRITERIA=%22Localiza%20Chile%22.%22Codreg%22%3D7"/>
    <x v="7"/>
    <s v="#1774B376"/>
  </r>
  <r>
    <s v="1855"/>
    <n v="990"/>
    <s v="Agencia Información"/>
    <s v="Social"/>
    <n v="8"/>
    <x v="96"/>
    <x v="9"/>
    <x v="1"/>
    <x v="8"/>
    <x v="1"/>
    <x v="166"/>
    <s v="Periodo 2008-2020"/>
    <s v="Porcentaje"/>
    <s v="Centro de Estudios y Análisis del Delito (CEAD) de la Subsecretaría de Prevención del Delito"/>
    <s v="Relación entre Detenciones y Denuncias (%) para Delitos de Homicidio y Violación en la Región del Biobío"/>
    <m/>
    <s v="Gráfico de Evolución"/>
    <s v="social variación frecuencia casos policiales robo violencia intimidación dellitos región biobío"/>
    <s v="https://analytics.zoho.com/open-view/2395394000008467312?ZOHO_CRITERIA=%22Localiza%20Chile%22.%22Codreg%22%3D8"/>
    <x v="8"/>
    <s v="#1774B377"/>
  </r>
  <r>
    <s v="1856"/>
    <n v="990"/>
    <s v="Agencia Información"/>
    <s v="Social"/>
    <n v="9"/>
    <x v="96"/>
    <x v="9"/>
    <x v="1"/>
    <x v="9"/>
    <x v="1"/>
    <x v="166"/>
    <s v="Periodo 2008-2020"/>
    <s v="Porcentaje"/>
    <s v="Centro de Estudios y Análisis del Delito (CEAD) de la Subsecretaría de Prevención del Delito"/>
    <s v="Relación entre Detenciones y Denuncias (%) para Delitos de Homicidio y Violación en la Región de La Araucanía"/>
    <m/>
    <s v="Gráfico de Evolución"/>
    <s v="social variación frecuencia casos policiales robo violencia intimidación Lalitos región araucanía"/>
    <s v="https://analytics.zoho.com/open-view/2395394000008467312?ZOHO_CRITERIA=%22Localiza%20Chile%22.%22Codreg%22%3D9"/>
    <x v="9"/>
    <s v="#1774B378"/>
  </r>
  <r>
    <s v="1857"/>
    <n v="990"/>
    <s v="Agencia Información"/>
    <s v="Social"/>
    <n v="10"/>
    <x v="96"/>
    <x v="9"/>
    <x v="1"/>
    <x v="10"/>
    <x v="1"/>
    <x v="166"/>
    <s v="Periodo 2008-2020"/>
    <s v="Porcentaje"/>
    <s v="Centro de Estudios y Análisis del Delito (CEAD) de la Subsecretaría de Prevención del Delito"/>
    <s v="Relación entre Detenciones y Denuncias (%) para Delitos de Homicidio y Violación en la Región de Los Lagos"/>
    <m/>
    <s v="Gráfico de Evolución"/>
    <s v="social variación frecuencia casos policiales robo violencia intimidación Loslitos región lagos"/>
    <s v="https://analytics.zoho.com/open-view/2395394000008467312?ZOHO_CRITERIA=%22Localiza%20Chile%22.%22Codreg%22%3D10"/>
    <x v="10"/>
    <s v="#1774B379"/>
  </r>
  <r>
    <s v="1858"/>
    <n v="990"/>
    <s v="Agencia Información"/>
    <s v="Social"/>
    <n v="11"/>
    <x v="96"/>
    <x v="9"/>
    <x v="1"/>
    <x v="11"/>
    <x v="1"/>
    <x v="166"/>
    <s v="Periodo 2008-2020"/>
    <s v="Porcentaje"/>
    <s v="Centro de Estudios y Análisis del Delito (CEAD) de la Subsecretaría de Prevención del Delito"/>
    <s v="Relación entre Detenciones y Denuncias (%) para Delitos de Homicidio y Violación en la Región de Aysén"/>
    <m/>
    <s v="Gráfico de Evolución"/>
    <s v="social variación frecuencia casos policiales robo violencia intimidación delitos región aysén"/>
    <s v="https://analytics.zoho.com/open-view/2395394000008467312?ZOHO_CRITERIA=%22Localiza%20Chile%22.%22Codreg%22%3D11"/>
    <x v="11"/>
    <s v="#1774B380"/>
  </r>
  <r>
    <s v="1859"/>
    <n v="990"/>
    <s v="Agencia Información"/>
    <s v="Social"/>
    <n v="12"/>
    <x v="96"/>
    <x v="9"/>
    <x v="1"/>
    <x v="12"/>
    <x v="1"/>
    <x v="166"/>
    <s v="Periodo 2008-2020"/>
    <s v="Porcentaje"/>
    <s v="Centro de Estudios y Análisis del Delito (CEAD) de la Subsecretaría de Prevención del Delito"/>
    <s v="Relación entre Detenciones y Denuncias (%) para Delitos de Homicidio y Violación en la Región de Magallanes"/>
    <m/>
    <s v="Gráfico de Evolución"/>
    <s v="social variación frecuencia casos policiales robo violencia intimidación delitos región magallanes"/>
    <s v="https://analytics.zoho.com/open-view/2395394000008467312?ZOHO_CRITERIA=%22Localiza%20Chile%22.%22Codreg%22%3D12"/>
    <x v="12"/>
    <s v="#1774B381"/>
  </r>
  <r>
    <s v="1860"/>
    <n v="990"/>
    <s v="Agencia Información"/>
    <s v="Social"/>
    <n v="13"/>
    <x v="96"/>
    <x v="9"/>
    <x v="1"/>
    <x v="13"/>
    <x v="1"/>
    <x v="166"/>
    <s v="Periodo 2008-2020"/>
    <s v="Porcentaje"/>
    <s v="Centro de Estudios y Análisis del Delito (CEAD) de la Subsecretaría de Prevención del Delito"/>
    <s v="Relación entre Detenciones y Denuncias (%) para Delitos de Homicidio y Violación en la Región Metropolitana"/>
    <m/>
    <s v="Gráfico de Evolución"/>
    <s v="social variación frecuencia casos policiales robo violencia intimidación Regiónlitos región metropolitana"/>
    <s v="https://analytics.zoho.com/open-view/2395394000008467312?ZOHO_CRITERIA=%22Localiza%20Chile%22.%22Codreg%22%3D13"/>
    <x v="13"/>
    <s v="#1774B382"/>
  </r>
  <r>
    <s v="1861"/>
    <n v="990"/>
    <s v="Agencia Información"/>
    <s v="Social"/>
    <n v="14"/>
    <x v="96"/>
    <x v="9"/>
    <x v="1"/>
    <x v="14"/>
    <x v="1"/>
    <x v="166"/>
    <s v="Periodo 2008-2020"/>
    <s v="Porcentaje"/>
    <s v="Centro de Estudios y Análisis del Delito (CEAD) de la Subsecretaría de Prevención del Delito"/>
    <s v="Relación entre Detenciones y Denuncias (%) para Delitos de Homicidio y Violación en la Región de Los Ríos"/>
    <m/>
    <s v="Gráfico de Evolución"/>
    <s v="social variación frecuencia casos policiales robo violencia intimidación Loslitos región ríos"/>
    <s v="https://analytics.zoho.com/open-view/2395394000008467312?ZOHO_CRITERIA=%22Localiza%20Chile%22.%22Codreg%22%3D14"/>
    <x v="14"/>
    <s v="#1774B383"/>
  </r>
  <r>
    <s v="1862"/>
    <n v="990"/>
    <s v="Agencia Información"/>
    <s v="Social"/>
    <n v="15"/>
    <x v="96"/>
    <x v="9"/>
    <x v="1"/>
    <x v="15"/>
    <x v="1"/>
    <x v="166"/>
    <s v="Periodo 2008-2020"/>
    <s v="Porcentaje"/>
    <s v="Centro de Estudios y Análisis del Delito (CEAD) de la Subsecretaría de Prevención del Delito"/>
    <s v="Relación entre Detenciones y Denuncias (%) para Delitos de Homicidio y Violación en la Región de Arica y Parinacota"/>
    <m/>
    <s v="Gráfico de Evolución"/>
    <s v="social variación frecuencia casos policiales robo violencia intimidación ylitos región parinacota"/>
    <s v="https://analytics.zoho.com/open-view/2395394000008467312?ZOHO_CRITERIA=%22Localiza%20Chile%22.%22Codreg%22%3D15"/>
    <x v="15"/>
    <s v="#1774B384"/>
  </r>
  <r>
    <s v="1863"/>
    <n v="990"/>
    <s v="Agencia Información"/>
    <s v="Social"/>
    <n v="16"/>
    <x v="96"/>
    <x v="9"/>
    <x v="1"/>
    <x v="16"/>
    <x v="1"/>
    <x v="166"/>
    <s v="Periodo 2008-2020"/>
    <s v="Porcentaje"/>
    <s v="Centro de Estudios y Análisis del Delito (CEAD) de la Subsecretaría de Prevención del Delito"/>
    <s v="Relación entre Detenciones y Denuncias (%) para Delitos de Homicidio y Violación en la Región de Ñuble"/>
    <m/>
    <s v="Gráfico de Evolución"/>
    <s v="social variación frecuencia casos policiales robo violencia intimidación delitos región ñuble"/>
    <s v="https://analytics.zoho.com/open-view/2395394000008467312?ZOHO_CRITERIA=%22Localiza%20Chile%22.%22Codreg%22%3D16"/>
    <x v="16"/>
    <s v="#1774B385"/>
  </r>
  <r>
    <s v="1864"/>
    <n v="990"/>
    <s v="Agencia Información"/>
    <s v="Socioeconómico"/>
    <n v="0"/>
    <x v="97"/>
    <x v="38"/>
    <x v="0"/>
    <x v="0"/>
    <x v="0"/>
    <x v="167"/>
    <s v="Año 2020"/>
    <s v="Porcentaje"/>
    <s v="Encuestas CASEN"/>
    <s v="Pobreza en la Población Autodefinida como Indígena a Escala Comunal - 2020 (Extrema y No Extrema)"/>
    <s v="Según la encuesta CASEN realizada en 2020, existen 12 comunas en las que sobre el 50% de la población autodefinida como indígena vive en pobreza extrema y no extrema."/>
    <s v="Gráfico de Evolución"/>
    <s v="pobreza no extrema población autodefinida indígena comunal nacional chile"/>
    <s v="https://analytics.zoho.com/open-view/2395394000008493041"/>
    <x v="17"/>
    <s v="#1774B386"/>
  </r>
  <r>
    <s v="1865"/>
    <n v="990"/>
    <s v="Agencia Información"/>
    <s v="Socioeconómico"/>
    <n v="1"/>
    <x v="97"/>
    <x v="38"/>
    <x v="1"/>
    <x v="1"/>
    <x v="1"/>
    <x v="167"/>
    <s v="Año 2020"/>
    <s v="Porcentaje"/>
    <s v="Encuestas CASEN"/>
    <s v="Pobreza en la Población Autodefinida como Indígena a Escala Comunal en la Región de Tarapacá - 2020 (Extrema y No Extrema)"/>
    <m/>
    <s v="Gráfico de Evolución"/>
    <s v="pobreza no extrema población autodefinida indígena comunal región tarapacá"/>
    <s v="https://analytics.zoho.com/open-view/2395394000008493398?ZOHO_CRITERIA=%22Localiza%20CL%22.%22Codreg%22%3D1"/>
    <x v="18"/>
    <s v="#1774B387"/>
  </r>
  <r>
    <s v="1866"/>
    <n v="990"/>
    <s v="Agencia Información"/>
    <s v="Socioeconómico"/>
    <n v="2"/>
    <x v="97"/>
    <x v="38"/>
    <x v="1"/>
    <x v="2"/>
    <x v="1"/>
    <x v="167"/>
    <s v="Año 2020"/>
    <s v="Porcentaje"/>
    <s v="Encuestas CASEN"/>
    <s v="Pobreza en la Población Autodefinida como Indígena a Escala Comunal en la Región de Antofagasta - 2020 (Extrema y No Extrema)"/>
    <m/>
    <s v="Gráfico de Evolución"/>
    <s v="pobreza no extrema población autodefinida indígena comunal región antofagasta"/>
    <s v="https://analytics.zoho.com/open-view/2395394000008493398?ZOHO_CRITERIA=%22Localiza%20CL%22.%22Codreg%22%3D2"/>
    <x v="19"/>
    <s v="#1774B388"/>
  </r>
  <r>
    <s v="1867"/>
    <n v="990"/>
    <s v="Agencia Información"/>
    <s v="Socioeconómico"/>
    <n v="3"/>
    <x v="97"/>
    <x v="38"/>
    <x v="1"/>
    <x v="3"/>
    <x v="1"/>
    <x v="167"/>
    <s v="Año 2020"/>
    <s v="Porcentaje"/>
    <s v="Encuestas CASEN"/>
    <s v="Pobreza en la Población Autodefinida como Indígena a Escala Comunal en la Región de Atacama - 2020 (Extrema y No Extrema)"/>
    <m/>
    <s v="Gráfico de Evolución"/>
    <s v="pobreza no extrema población autodefinida indígena comunal región atacama"/>
    <s v="https://analytics.zoho.com/open-view/2395394000008493398?ZOHO_CRITERIA=%22Localiza%20CL%22.%22Codreg%22%3D3"/>
    <x v="20"/>
    <s v="#1774B389"/>
  </r>
  <r>
    <s v="1868"/>
    <n v="990"/>
    <s v="Agencia Información"/>
    <s v="Socioeconómico"/>
    <n v="4"/>
    <x v="97"/>
    <x v="38"/>
    <x v="1"/>
    <x v="4"/>
    <x v="1"/>
    <x v="167"/>
    <s v="Año 2020"/>
    <s v="Porcentaje"/>
    <s v="Encuestas CASEN"/>
    <s v="Pobreza en la Población Autodefinida como Indígena a Escala Comunal en la Región de Coquimbo - 2020 (Extrema y No Extrema)"/>
    <m/>
    <s v="Gráfico de Evolución"/>
    <s v="pobreza no extrema población autodefinida indígena comunal región coquimbo"/>
    <s v="https://analytics.zoho.com/open-view/2395394000008493398?ZOHO_CRITERIA=%22Localiza%20CL%22.%22Codreg%22%3D4"/>
    <x v="21"/>
    <s v="#1774B390"/>
  </r>
  <r>
    <s v="1869"/>
    <n v="990"/>
    <s v="Agencia Información"/>
    <s v="Socioeconómico"/>
    <n v="5"/>
    <x v="97"/>
    <x v="38"/>
    <x v="1"/>
    <x v="5"/>
    <x v="1"/>
    <x v="167"/>
    <s v="Año 2020"/>
    <s v="Porcentaje"/>
    <s v="Encuestas CASEN"/>
    <s v="Pobreza en la Población Autodefinida como Indígena a Escala Comunal en la Región de Valparaíso - 2020 (Extrema y No Extrema)"/>
    <m/>
    <s v="Gráfico de Evolución"/>
    <s v="pobreza no extrema población autodefinida indígena comunal región valparaíso"/>
    <s v="https://analytics.zoho.com/open-view/2395394000008493398?ZOHO_CRITERIA=%22Localiza%20CL%22.%22Codreg%22%3D5"/>
    <x v="22"/>
    <s v="#1774B391"/>
  </r>
  <r>
    <s v="1870"/>
    <n v="990"/>
    <s v="Agencia Información"/>
    <s v="Socioeconómico"/>
    <n v="6"/>
    <x v="97"/>
    <x v="38"/>
    <x v="1"/>
    <x v="6"/>
    <x v="1"/>
    <x v="167"/>
    <s v="Año 2020"/>
    <s v="Porcentaje"/>
    <s v="Encuestas CASEN"/>
    <s v="Pobreza en la Población Autodefinida como Indígena a Escala Comunal en la Región de O'Higgins - 2020 (Extrema y No Extrema)"/>
    <m/>
    <s v="Gráfico de Evolución"/>
    <s v="pobreza no extrema población autodefinida indígena comunal región ohiggins"/>
    <s v="https://analytics.zoho.com/open-view/2395394000008493398?ZOHO_CRITERIA=%22Localiza%20CL%22.%22Codreg%22%3D6"/>
    <x v="23"/>
    <s v="#1774B392"/>
  </r>
  <r>
    <s v="1871"/>
    <n v="990"/>
    <s v="Agencia Información"/>
    <s v="Socioeconómico"/>
    <n v="7"/>
    <x v="97"/>
    <x v="38"/>
    <x v="1"/>
    <x v="7"/>
    <x v="1"/>
    <x v="167"/>
    <s v="Año 2020"/>
    <s v="Porcentaje"/>
    <s v="Encuestas CASEN"/>
    <s v="Pobreza en la Población Autodefinida como Indígena a Escala Comunal en la Región de Maule - 2020 (Extrema y No Extrema)"/>
    <m/>
    <s v="Gráfico de Evolución"/>
    <s v="pobreza no extrema población autodefinida indígena comunal región maule"/>
    <s v="https://analytics.zoho.com/open-view/2395394000008493398?ZOHO_CRITERIA=%22Localiza%20CL%22.%22Codreg%22%3D7"/>
    <x v="24"/>
    <s v="#1774B393"/>
  </r>
  <r>
    <s v="1872"/>
    <n v="990"/>
    <s v="Agencia Información"/>
    <s v="Socioeconómico"/>
    <n v="8"/>
    <x v="97"/>
    <x v="38"/>
    <x v="1"/>
    <x v="8"/>
    <x v="1"/>
    <x v="167"/>
    <s v="Año 2020"/>
    <s v="Porcentaje"/>
    <s v="Encuestas CASEN"/>
    <s v="Pobreza en la Población Autodefinida como Indígena a Escala Comunal en la Región del Biobío - 2020 (Extrema y No Extrema)"/>
    <m/>
    <s v="Gráfico de Evolución"/>
    <s v="pobreza no extrema población autodefinida indígena comunal región biobío"/>
    <s v="https://analytics.zoho.com/open-view/2395394000008493398?ZOHO_CRITERIA=%22Localiza%20CL%22.%22Codreg%22%3D8"/>
    <x v="25"/>
    <s v="#1774B394"/>
  </r>
  <r>
    <s v="1873"/>
    <n v="990"/>
    <s v="Agencia Información"/>
    <s v="Socioeconómico"/>
    <n v="9"/>
    <x v="97"/>
    <x v="38"/>
    <x v="1"/>
    <x v="9"/>
    <x v="1"/>
    <x v="167"/>
    <s v="Año 2020"/>
    <s v="Porcentaje"/>
    <s v="Encuestas CASEN"/>
    <s v="Pobreza en la Población Autodefinida como Indígena a Escala Comunal en la Región de La Araucanía - 2020 (Extrema y No Extrema)"/>
    <m/>
    <s v="Gráfico de Evolución"/>
    <s v="pobreza no extrema población autodefinida indígena comunal región araucanía"/>
    <s v="https://analytics.zoho.com/open-view/2395394000008493398?ZOHO_CRITERIA=%22Localiza%20CL%22.%22Codreg%22%3D9"/>
    <x v="26"/>
    <s v="#1774B395"/>
  </r>
  <r>
    <s v="1874"/>
    <n v="990"/>
    <s v="Agencia Información"/>
    <s v="Socioeconómico"/>
    <n v="10"/>
    <x v="97"/>
    <x v="38"/>
    <x v="1"/>
    <x v="10"/>
    <x v="1"/>
    <x v="167"/>
    <s v="Año 2020"/>
    <s v="Porcentaje"/>
    <s v="Encuestas CASEN"/>
    <s v="Pobreza en la Población Autodefinida como Indígena a Escala Comunal en la Región de Los Lagos - 2020 (Extrema y No Extrema)"/>
    <m/>
    <s v="Gráfico de Evolución"/>
    <s v="pobreza no extrema población autodefinida indígena comunal región los lagos"/>
    <s v="https://analytics.zoho.com/open-view/2395394000008493398?ZOHO_CRITERIA=%22Localiza%20CL%22.%22Codreg%22%3D10"/>
    <x v="27"/>
    <s v="#1774B396"/>
  </r>
  <r>
    <s v="1875"/>
    <n v="990"/>
    <s v="Agencia Información"/>
    <s v="Socioeconómico"/>
    <n v="11"/>
    <x v="97"/>
    <x v="38"/>
    <x v="1"/>
    <x v="11"/>
    <x v="1"/>
    <x v="167"/>
    <s v="Año 2020"/>
    <s v="Porcentaje"/>
    <s v="Encuestas CASEN"/>
    <s v="Pobreza en la Población Autodefinida como Indígena a Escala Comunal en la Región de Aysén - 2020 (Extrema y No Extrema)"/>
    <m/>
    <s v="Gráfico de Evolución"/>
    <s v="pobreza no extrema población autodefinida indígena comunal región aysén"/>
    <s v="https://analytics.zoho.com/open-view/2395394000008493398?ZOHO_CRITERIA=%22Localiza%20CL%22.%22Codreg%22%3D11"/>
    <x v="28"/>
    <s v="#1774B397"/>
  </r>
  <r>
    <s v="1876"/>
    <n v="990"/>
    <s v="Agencia Información"/>
    <s v="Socioeconómico"/>
    <n v="12"/>
    <x v="97"/>
    <x v="38"/>
    <x v="1"/>
    <x v="12"/>
    <x v="1"/>
    <x v="167"/>
    <s v="Año 2020"/>
    <s v="Porcentaje"/>
    <s v="Encuestas CASEN"/>
    <s v="Pobreza en la Población Autodefinida como Indígena a Escala Comunal en la Región de Magallanes - 2020 (Extrema y No Extrema)"/>
    <m/>
    <s v="Gráfico de Evolución"/>
    <s v="pobreza no extrema población autodefinida indígena comunal región magallanes"/>
    <s v="https://analytics.zoho.com/open-view/2395394000008493398?ZOHO_CRITERIA=%22Localiza%20CL%22.%22Codreg%22%3D12"/>
    <x v="29"/>
    <s v="#1774B398"/>
  </r>
  <r>
    <s v="1877"/>
    <n v="990"/>
    <s v="Agencia Información"/>
    <s v="Socioeconómico"/>
    <n v="13"/>
    <x v="97"/>
    <x v="38"/>
    <x v="1"/>
    <x v="13"/>
    <x v="1"/>
    <x v="167"/>
    <s v="Año 2020"/>
    <s v="Porcentaje"/>
    <s v="Encuestas CASEN"/>
    <s v="Pobreza en la Población Autodefinida como Indígena a Escala Comunal en la Región Metropolitana - 2020 (Extrema y No Extrema)"/>
    <m/>
    <s v="Gráfico de Evolución"/>
    <s v="pobreza no extrema población autodefinida indígena comunal región metropolitana"/>
    <s v="https://analytics.zoho.com/open-view/2395394000008493398?ZOHO_CRITERIA=%22Localiza%20CL%22.%22Codreg%22%3D13"/>
    <x v="30"/>
    <s v="#1774B399"/>
  </r>
  <r>
    <s v="1878"/>
    <n v="990"/>
    <s v="Agencia Información"/>
    <s v="Socioeconómico"/>
    <n v="14"/>
    <x v="97"/>
    <x v="38"/>
    <x v="1"/>
    <x v="14"/>
    <x v="1"/>
    <x v="167"/>
    <s v="Año 2020"/>
    <s v="Porcentaje"/>
    <s v="Encuestas CASEN"/>
    <s v="Pobreza en la Población Autodefinida como Indígena a Escala Comunal en la Región de Los Ríos - 2020 (Extrema y No Extrema)"/>
    <m/>
    <s v="Gráfico de Evolución"/>
    <s v="pobreza no extrema población autodefinida indígena comunal región los ríos"/>
    <s v="https://analytics.zoho.com/open-view/2395394000008493398?ZOHO_CRITERIA=%22Localiza%20CL%22.%22Codreg%22%3D14"/>
    <x v="31"/>
    <s v="#1774B400"/>
  </r>
  <r>
    <s v="1879"/>
    <n v="990"/>
    <s v="Agencia Información"/>
    <s v="Socioeconómico"/>
    <n v="15"/>
    <x v="97"/>
    <x v="38"/>
    <x v="1"/>
    <x v="15"/>
    <x v="1"/>
    <x v="167"/>
    <s v="Año 2020"/>
    <s v="Porcentaje"/>
    <s v="Encuestas CASEN"/>
    <s v="Pobreza en la Población Autodefinida como Indígena a Escala Comunal en la Región de Arica y Parinacota - 2020 (Extrema y No Extrema)"/>
    <m/>
    <s v="Gráfico de Evolución"/>
    <s v="pobreza no extrema población autodefinida indígena comunal región arica parinacota"/>
    <s v="https://analytics.zoho.com/open-view/2395394000008493398?ZOHO_CRITERIA=%22Localiza%20CL%22.%22Codreg%22%3D15"/>
    <x v="32"/>
    <s v="#1774B401"/>
  </r>
  <r>
    <s v="1880"/>
    <n v="990"/>
    <s v="Agencia Información"/>
    <s v="Socioeconómico"/>
    <n v="16"/>
    <x v="97"/>
    <x v="38"/>
    <x v="1"/>
    <x v="16"/>
    <x v="1"/>
    <x v="167"/>
    <s v="Año 2020"/>
    <s v="Porcentaje"/>
    <s v="Encuestas CASEN"/>
    <s v="Pobreza en la Población Autodefinida como Indígena a Escala Comunal en la Región de Ñuble - 2020 (Extrema y No Extrema)"/>
    <m/>
    <s v="Gráfico de Evolución"/>
    <s v="pobreza no extrema población autodefinida indígena comunal región ñuble"/>
    <s v="https://analytics.zoho.com/open-view/2395394000008493398?ZOHO_CRITERIA=%22Localiza%20CL%22.%22Codreg%22%3D16"/>
    <x v="33"/>
    <s v="#1774B402"/>
  </r>
  <r>
    <s v="1881"/>
    <n v="990"/>
    <s v="Agencia Información"/>
    <s v="Socioeconómico"/>
    <n v="0"/>
    <x v="97"/>
    <x v="38"/>
    <x v="0"/>
    <x v="0"/>
    <x v="0"/>
    <x v="168"/>
    <s v="Periodo 2006-2020"/>
    <s v="Porcentaje"/>
    <s v="Encuestas CASEN"/>
    <s v="Evolución de la Pobreza y Pobreza Extrema a Escala Nacional"/>
    <s v="De acuerdo a los resultados de la encuesta CASEN, los niveles de pobreza han disminuido de un 8,8% en el año 2006 a un 6,5% en el año 2020. Al contrario, la pobreza extrema ha aumentado de un 2,5% a un 4,3% en ese mismo periodo."/>
    <s v="Gráfico de Evolución"/>
    <s v="socioeconómico evolución variación CASEN pobreza extrema nacional chile"/>
    <s v="https://analytics.zoho.com/open-view/2395394000008486718"/>
    <x v="0"/>
    <s v="#1774B403"/>
  </r>
  <r>
    <s v="1882"/>
    <n v="990"/>
    <s v="Agencia Información"/>
    <s v="Socioeconómico"/>
    <n v="1"/>
    <x v="97"/>
    <x v="38"/>
    <x v="1"/>
    <x v="1"/>
    <x v="1"/>
    <x v="168"/>
    <s v="Periodo 2006-2020"/>
    <s v="Porcentaje"/>
    <s v="Encuestas CASEN"/>
    <s v="Evolución de la Pobreza y Pobreza Extrema en la Región de Tarapacá"/>
    <m/>
    <s v="Gráfico de Evolución"/>
    <s v="socioeconómico evolución variación CASEN pobreza extrema región tarapacá"/>
    <s v="https://analytics.zoho.com/open-view/2395394000008493571?ZOHO_CRITERIA=%22Localiza%20CL%22.%22Codreg%22%3D1"/>
    <x v="1"/>
    <s v="#1774B404"/>
  </r>
  <r>
    <s v="1883"/>
    <n v="990"/>
    <s v="Agencia Información"/>
    <s v="Socioeconómico"/>
    <n v="2"/>
    <x v="97"/>
    <x v="38"/>
    <x v="1"/>
    <x v="2"/>
    <x v="1"/>
    <x v="168"/>
    <s v="Periodo 2006-2020"/>
    <s v="Porcentaje"/>
    <s v="Encuestas CASEN"/>
    <s v="Evolución de la Pobreza y Pobreza Extrema en la Región de Antofagasta"/>
    <m/>
    <s v="Gráfico de Evolución"/>
    <s v="socioeconómico evolución variación CASEN pobreza extrema región antofagasta"/>
    <s v="https://analytics.zoho.com/open-view/2395394000008493571?ZOHO_CRITERIA=%22Localiza%20CL%22.%22Codreg%22%3D2"/>
    <x v="2"/>
    <s v="#1774B405"/>
  </r>
  <r>
    <s v="1884"/>
    <n v="990"/>
    <s v="Agencia Información"/>
    <s v="Socioeconómico"/>
    <n v="3"/>
    <x v="97"/>
    <x v="38"/>
    <x v="1"/>
    <x v="3"/>
    <x v="1"/>
    <x v="168"/>
    <s v="Periodo 2006-2020"/>
    <s v="Porcentaje"/>
    <s v="Encuestas CASEN"/>
    <s v="Evolución de la Pobreza y Pobreza Extrema en la Región de Atacama"/>
    <m/>
    <s v="Gráfico de Evolución"/>
    <s v="socioeconómico evolución variación CASEN pobreza extrema región atacama"/>
    <s v="https://analytics.zoho.com/open-view/2395394000008493571?ZOHO_CRITERIA=%22Localiza%20CL%22.%22Codreg%22%3D3"/>
    <x v="3"/>
    <s v="#1774B406"/>
  </r>
  <r>
    <s v="1885"/>
    <n v="990"/>
    <s v="Agencia Información"/>
    <s v="Socioeconómico"/>
    <n v="4"/>
    <x v="97"/>
    <x v="38"/>
    <x v="1"/>
    <x v="4"/>
    <x v="1"/>
    <x v="168"/>
    <s v="Periodo 2006-2020"/>
    <s v="Porcentaje"/>
    <s v="Encuestas CASEN"/>
    <s v="Evolución de la Pobreza y Pobreza Extrema en la Región de Coquimbo"/>
    <m/>
    <s v="Gráfico de Evolución"/>
    <s v="socioeconómico evolución variación CASEN pobreza extrema región coquimbo"/>
    <s v="https://analytics.zoho.com/open-view/2395394000008493571?ZOHO_CRITERIA=%22Localiza%20CL%22.%22Codreg%22%3D4"/>
    <x v="4"/>
    <s v="#1774B407"/>
  </r>
  <r>
    <s v="1886"/>
    <n v="990"/>
    <s v="Agencia Información"/>
    <s v="Socioeconómico"/>
    <n v="5"/>
    <x v="97"/>
    <x v="38"/>
    <x v="1"/>
    <x v="5"/>
    <x v="1"/>
    <x v="168"/>
    <s v="Periodo 2006-2020"/>
    <s v="Porcentaje"/>
    <s v="Encuestas CASEN"/>
    <s v="Evolución de la Pobreza y Pobreza Extrema en la Región de Valparaíso"/>
    <m/>
    <s v="Gráfico de Evolución"/>
    <s v="socioeconómico evolución variación CASEN pobreza extrema región valparaíso"/>
    <s v="https://analytics.zoho.com/open-view/2395394000008493571?ZOHO_CRITERIA=%22Localiza%20CL%22.%22Codreg%22%3D5"/>
    <x v="5"/>
    <s v="#1774B408"/>
  </r>
  <r>
    <s v="1887"/>
    <n v="990"/>
    <s v="Agencia Información"/>
    <s v="Socioeconómico"/>
    <n v="6"/>
    <x v="97"/>
    <x v="38"/>
    <x v="1"/>
    <x v="6"/>
    <x v="1"/>
    <x v="168"/>
    <s v="Periodo 2006-2020"/>
    <s v="Porcentaje"/>
    <s v="Encuestas CASEN"/>
    <s v="Evolución de la Pobreza y Pobreza Extrema en la Región de O'Higgins"/>
    <m/>
    <s v="Gráfico de Evolución"/>
    <s v="socioeconómico evolución variación CASEN pobreza extrema región ohiggins"/>
    <s v="https://analytics.zoho.com/open-view/2395394000008493571?ZOHO_CRITERIA=%22Localiza%20CL%22.%22Codreg%22%3D6"/>
    <x v="6"/>
    <s v="#1774B409"/>
  </r>
  <r>
    <s v="1888"/>
    <n v="990"/>
    <s v="Agencia Información"/>
    <s v="Socioeconómico"/>
    <n v="7"/>
    <x v="97"/>
    <x v="38"/>
    <x v="1"/>
    <x v="7"/>
    <x v="1"/>
    <x v="168"/>
    <s v="Periodo 2006-2020"/>
    <s v="Porcentaje"/>
    <s v="Encuestas CASEN"/>
    <s v="Evolución de la Pobreza y Pobreza Extrema en la Región de Maule"/>
    <m/>
    <s v="Gráfico de Evolución"/>
    <s v="socioeconómico evolución variación CASEN pobreza extrema región maule"/>
    <s v="https://analytics.zoho.com/open-view/2395394000008493571?ZOHO_CRITERIA=%22Localiza%20CL%22.%22Codreg%22%3D7"/>
    <x v="7"/>
    <s v="#1774B410"/>
  </r>
  <r>
    <s v="1889"/>
    <n v="990"/>
    <s v="Agencia Información"/>
    <s v="Socioeconómico"/>
    <n v="8"/>
    <x v="97"/>
    <x v="38"/>
    <x v="1"/>
    <x v="8"/>
    <x v="1"/>
    <x v="168"/>
    <s v="Periodo 2006-2020"/>
    <s v="Porcentaje"/>
    <s v="Encuestas CASEN"/>
    <s v="Evolución de la Pobreza y Pobreza Extrema en la Región del Biobío"/>
    <m/>
    <s v="Gráfico de Evolución"/>
    <s v="socioeconómico evolución variación CASEN pobreza extrema región biobío"/>
    <s v="https://analytics.zoho.com/open-view/2395394000008493571?ZOHO_CRITERIA=%22Localiza%20CL%22.%22Codreg%22%3D8"/>
    <x v="8"/>
    <s v="#1774B411"/>
  </r>
  <r>
    <s v="1890"/>
    <n v="990"/>
    <s v="Agencia Información"/>
    <s v="Socioeconómico"/>
    <n v="9"/>
    <x v="97"/>
    <x v="38"/>
    <x v="1"/>
    <x v="9"/>
    <x v="1"/>
    <x v="168"/>
    <s v="Periodo 2006-2020"/>
    <s v="Porcentaje"/>
    <s v="Encuestas CASEN"/>
    <s v="Evolución de la Pobreza y Pobreza Extrema en la Región de La Araucanía"/>
    <m/>
    <s v="Gráfico de Evolución"/>
    <s v="socioeconómico evolución variación CASEN pobreza extrema región araucanía"/>
    <s v="https://analytics.zoho.com/open-view/2395394000008493571?ZOHO_CRITERIA=%22Localiza%20CL%22.%22Codreg%22%3D9"/>
    <x v="9"/>
    <s v="#1774B412"/>
  </r>
  <r>
    <s v="1891"/>
    <n v="990"/>
    <s v="Agencia Información"/>
    <s v="Socioeconómico"/>
    <n v="10"/>
    <x v="97"/>
    <x v="38"/>
    <x v="1"/>
    <x v="10"/>
    <x v="1"/>
    <x v="168"/>
    <s v="Periodo 2006-2020"/>
    <s v="Porcentaje"/>
    <s v="Encuestas CASEN"/>
    <s v="Evolución de la Pobreza y Pobreza Extrema en la Región de Los Lagos"/>
    <m/>
    <s v="Gráfico de Evolución"/>
    <s v="socioeconómico evolución variación CASEN pobreza extrema región los lagos"/>
    <s v="https://analytics.zoho.com/open-view/2395394000008493571?ZOHO_CRITERIA=%22Localiza%20CL%22.%22Codreg%22%3D10"/>
    <x v="10"/>
    <s v="#1774B413"/>
  </r>
  <r>
    <s v="1892"/>
    <n v="990"/>
    <s v="Agencia Información"/>
    <s v="Socioeconómico"/>
    <n v="11"/>
    <x v="97"/>
    <x v="38"/>
    <x v="1"/>
    <x v="11"/>
    <x v="1"/>
    <x v="168"/>
    <s v="Periodo 2006-2020"/>
    <s v="Porcentaje"/>
    <s v="Encuestas CASEN"/>
    <s v="Evolución de la Pobreza y Pobreza Extrema en la Región de Aysén"/>
    <m/>
    <s v="Gráfico de Evolución"/>
    <s v="socioeconómico evolución variación CASEN pobreza extrema región aysén"/>
    <s v="https://analytics.zoho.com/open-view/2395394000008493571?ZOHO_CRITERIA=%22Localiza%20CL%22.%22Codreg%22%3D11"/>
    <x v="11"/>
    <s v="#1774B414"/>
  </r>
  <r>
    <s v="1893"/>
    <n v="990"/>
    <s v="Agencia Información"/>
    <s v="Socioeconómico"/>
    <n v="12"/>
    <x v="97"/>
    <x v="38"/>
    <x v="1"/>
    <x v="12"/>
    <x v="1"/>
    <x v="168"/>
    <s v="Periodo 2006-2020"/>
    <s v="Porcentaje"/>
    <s v="Encuestas CASEN"/>
    <s v="Evolución de la Pobreza y Pobreza Extrema en la Región de Magallanes"/>
    <m/>
    <s v="Gráfico de Evolución"/>
    <s v="socioeconómico evolución variación CASEN pobreza extrema región magallanes"/>
    <s v="https://analytics.zoho.com/open-view/2395394000008493571?ZOHO_CRITERIA=%22Localiza%20CL%22.%22Codreg%22%3D12"/>
    <x v="12"/>
    <s v="#1774B415"/>
  </r>
  <r>
    <s v="1894"/>
    <n v="990"/>
    <s v="Agencia Información"/>
    <s v="Socioeconómico"/>
    <n v="13"/>
    <x v="97"/>
    <x v="38"/>
    <x v="1"/>
    <x v="13"/>
    <x v="1"/>
    <x v="168"/>
    <s v="Periodo 2006-2020"/>
    <s v="Porcentaje"/>
    <s v="Encuestas CASEN"/>
    <s v="Evolución de la Pobreza y Pobreza Extrema en la Región Metropolitana"/>
    <m/>
    <s v="Gráfico de Evolución"/>
    <s v="socioeconómico evolución variación CASEN pobreza extrema región metropolitana"/>
    <s v="https://analytics.zoho.com/open-view/2395394000008493571?ZOHO_CRITERIA=%22Localiza%20CL%22.%22Codreg%22%3D13"/>
    <x v="13"/>
    <s v="#1774B416"/>
  </r>
  <r>
    <s v="1895"/>
    <n v="990"/>
    <s v="Agencia Información"/>
    <s v="Socioeconómico"/>
    <n v="14"/>
    <x v="97"/>
    <x v="38"/>
    <x v="1"/>
    <x v="14"/>
    <x v="1"/>
    <x v="168"/>
    <s v="Periodo 2006-2020"/>
    <s v="Porcentaje"/>
    <s v="Encuestas CASEN"/>
    <s v="Evolución de la Pobreza y Pobreza Extrema en la Región de Los Ríos"/>
    <m/>
    <s v="Gráfico de Evolución"/>
    <s v="socioeconómico evolución variación CASEN pobreza extrema región los ríos"/>
    <s v="https://analytics.zoho.com/open-view/2395394000008493571?ZOHO_CRITERIA=%22Localiza%20CL%22.%22Codreg%22%3D14"/>
    <x v="14"/>
    <s v="#1774B417"/>
  </r>
  <r>
    <s v="1896"/>
    <n v="990"/>
    <s v="Agencia Información"/>
    <s v="Socioeconómico"/>
    <n v="15"/>
    <x v="97"/>
    <x v="38"/>
    <x v="1"/>
    <x v="15"/>
    <x v="1"/>
    <x v="168"/>
    <s v="Periodo 2006-2020"/>
    <s v="Porcentaje"/>
    <s v="Encuestas CASEN"/>
    <s v="Evolución de la Pobreza y Pobreza Extrema en la Región de Arica y Parinacota"/>
    <m/>
    <s v="Gráfico de Evolución"/>
    <s v="socioeconómico evolución variación CASEN pobreza extrema región arica parinacota"/>
    <s v="https://analytics.zoho.com/open-view/2395394000008493571?ZOHO_CRITERIA=%22Localiza%20CL%22.%22Codreg%22%3D15"/>
    <x v="15"/>
    <s v="#1774B418"/>
  </r>
  <r>
    <s v="1897"/>
    <n v="990"/>
    <s v="Agencia Información"/>
    <s v="Socioeconómico"/>
    <n v="16"/>
    <x v="97"/>
    <x v="38"/>
    <x v="1"/>
    <x v="16"/>
    <x v="1"/>
    <x v="168"/>
    <s v="Periodo 2006-2020"/>
    <s v="Porcentaje"/>
    <s v="Encuestas CASEN"/>
    <s v="Evolución de la Pobreza y Pobreza Extrema en la Región de Ñuble"/>
    <m/>
    <s v="Gráfico de Evolución"/>
    <s v="socioeconómico evolución variación CASEN pobreza extrema región ñuble"/>
    <s v="https://analytics.zoho.com/open-view/2395394000008493571?ZOHO_CRITERIA=%22Localiza%20CL%22.%22Codreg%22%3D16"/>
    <x v="16"/>
    <s v="#1774B419"/>
  </r>
  <r>
    <s v="1898"/>
    <n v="990"/>
    <s v="Agencia Información"/>
    <s v="Socioeconómico"/>
    <n v="0"/>
    <x v="98"/>
    <x v="38"/>
    <x v="0"/>
    <x v="0"/>
    <x v="0"/>
    <x v="169"/>
    <s v="Año 2020"/>
    <s v="Porcentaje"/>
    <s v="Encuestas CASEN"/>
    <s v="Geografía de la Pobreza Extrema a Escala Comunal - 2020"/>
    <s v="Según la encuesta CASEN del año 2020, existen 28 comunas en Chile que tienen sobre un 10% de pobreza extrema. En cambio, solo 15 comunas tienen un porcentaje de pobreza extrema menor o igual a 1%."/>
    <s v="Gráfico de Evolución"/>
    <s v="socioeconómico porcentaje mapa pobreza extrema comunal chile"/>
    <s v="https://analytics.zoho.com/open-view/2395394000008483613"/>
    <x v="17"/>
    <s v="#1774B420"/>
  </r>
  <r>
    <s v="1899"/>
    <n v="990"/>
    <s v="Agencia Información"/>
    <s v="Socioeconómico"/>
    <n v="1"/>
    <x v="98"/>
    <x v="38"/>
    <x v="1"/>
    <x v="1"/>
    <x v="1"/>
    <x v="169"/>
    <s v="Año 2020"/>
    <s v="Porcentaje"/>
    <s v="Encuestas CASEN"/>
    <s v="Geografía de la Pobreza Extrema a Escala Comunal en la Región de Tarapacá - 2020"/>
    <m/>
    <s v="Gráfico de Evolución"/>
    <s v="socioeconómico porcentaje mapa pobreza extrema comunal región tarapacá"/>
    <s v="https://analytics.zoho.com/open-view/2395394000008496266?ZOHO_CRITERIA=%22Localiza%20CL%22.%22Codreg%22%3D1"/>
    <x v="18"/>
    <s v="#1774B421"/>
  </r>
  <r>
    <s v="1900"/>
    <n v="990"/>
    <s v="Agencia Información"/>
    <s v="Socioeconómico"/>
    <n v="2"/>
    <x v="98"/>
    <x v="38"/>
    <x v="1"/>
    <x v="2"/>
    <x v="1"/>
    <x v="169"/>
    <s v="Año 2020"/>
    <s v="Porcentaje"/>
    <s v="Encuestas CASEN"/>
    <s v="Geografía de la Pobreza Extrema a Escala Comunal en la Región de Antofagasta - 2020"/>
    <m/>
    <s v="Gráfico de Evolución"/>
    <s v="socioeconómico porcentaje mapa pobreza extrema comunal región antofagasta"/>
    <s v="https://analytics.zoho.com/open-view/2395394000008496266?ZOHO_CRITERIA=%22Localiza%20CL%22.%22Codreg%22%3D2"/>
    <x v="19"/>
    <s v="#1774B422"/>
  </r>
  <r>
    <s v="1901"/>
    <n v="990"/>
    <s v="Agencia Información"/>
    <s v="Socioeconómico"/>
    <n v="3"/>
    <x v="98"/>
    <x v="38"/>
    <x v="1"/>
    <x v="3"/>
    <x v="1"/>
    <x v="169"/>
    <s v="Año 2020"/>
    <s v="Porcentaje"/>
    <s v="Encuestas CASEN"/>
    <s v="Geografía de la Pobreza Extrema a Escala Comunal en la Región de Atacama - 2020"/>
    <m/>
    <s v="Gráfico de Evolución"/>
    <s v="socioeconómico porcentaje mapa pobreza extrema comunal región atacama"/>
    <s v="https://analytics.zoho.com/open-view/2395394000008496266?ZOHO_CRITERIA=%22Localiza%20CL%22.%22Codreg%22%3D3"/>
    <x v="20"/>
    <s v="#1774B423"/>
  </r>
  <r>
    <s v="1902"/>
    <n v="990"/>
    <s v="Agencia Información"/>
    <s v="Socioeconómico"/>
    <n v="4"/>
    <x v="98"/>
    <x v="38"/>
    <x v="1"/>
    <x v="4"/>
    <x v="1"/>
    <x v="169"/>
    <s v="Año 2020"/>
    <s v="Porcentaje"/>
    <s v="Encuestas CASEN"/>
    <s v="Geografía de la Pobreza Extrema a Escala Comunal en la Región de Coquimbo - 2020"/>
    <m/>
    <s v="Gráfico de Evolución"/>
    <s v="socioeconómico porcentaje mapa pobreza extrema comunal región coquimbo"/>
    <s v="https://analytics.zoho.com/open-view/2395394000008496266?ZOHO_CRITERIA=%22Localiza%20CL%22.%22Codreg%22%3D4"/>
    <x v="21"/>
    <s v="#1774B424"/>
  </r>
  <r>
    <s v="1903"/>
    <n v="990"/>
    <s v="Agencia Información"/>
    <s v="Socioeconómico"/>
    <n v="5"/>
    <x v="98"/>
    <x v="38"/>
    <x v="1"/>
    <x v="5"/>
    <x v="1"/>
    <x v="169"/>
    <s v="Año 2020"/>
    <s v="Porcentaje"/>
    <s v="Encuestas CASEN"/>
    <s v="Geografía de la Pobreza Extrema a Escala Comunal en la Región de Valparaíso - 2020"/>
    <m/>
    <s v="Gráfico de Evolución"/>
    <s v="socioeconómico porcentaje mapa pobreza extrema comunal región valparaíso"/>
    <s v="https://analytics.zoho.com/open-view/2395394000008496266?ZOHO_CRITERIA=%22Localiza%20CL%22.%22Codreg%22%3D5"/>
    <x v="22"/>
    <s v="#1774B425"/>
  </r>
  <r>
    <s v="1904"/>
    <n v="990"/>
    <s v="Agencia Información"/>
    <s v="Socioeconómico"/>
    <n v="6"/>
    <x v="98"/>
    <x v="38"/>
    <x v="1"/>
    <x v="6"/>
    <x v="1"/>
    <x v="169"/>
    <s v="Año 2020"/>
    <s v="Porcentaje"/>
    <s v="Encuestas CASEN"/>
    <s v="Geografía de la Pobreza Extrema a Escala Comunal en la Región de O'Higgins - 2020"/>
    <m/>
    <s v="Gráfico de Evolución"/>
    <s v="socioeconómico porcentaje mapa pobreza extrema comunal región ohiggins"/>
    <s v="https://analytics.zoho.com/open-view/2395394000008496266?ZOHO_CRITERIA=%22Localiza%20CL%22.%22Codreg%22%3D6"/>
    <x v="23"/>
    <s v="#1774B426"/>
  </r>
  <r>
    <s v="1905"/>
    <n v="990"/>
    <s v="Agencia Información"/>
    <s v="Socioeconómico"/>
    <n v="7"/>
    <x v="98"/>
    <x v="38"/>
    <x v="1"/>
    <x v="7"/>
    <x v="1"/>
    <x v="169"/>
    <s v="Año 2020"/>
    <s v="Porcentaje"/>
    <s v="Encuestas CASEN"/>
    <s v="Geografía de la Pobreza Extrema a Escala Comunal en la Región de Maule - 2020"/>
    <m/>
    <s v="Gráfico de Evolución"/>
    <s v="socioeconómico porcentaje mapa pobreza extrema comunal región maule"/>
    <s v="https://analytics.zoho.com/open-view/2395394000008496266?ZOHO_CRITERIA=%22Localiza%20CL%22.%22Codreg%22%3D7"/>
    <x v="24"/>
    <s v="#1774B427"/>
  </r>
  <r>
    <s v="1906"/>
    <n v="990"/>
    <s v="Agencia Información"/>
    <s v="Socioeconómico"/>
    <n v="8"/>
    <x v="98"/>
    <x v="38"/>
    <x v="1"/>
    <x v="8"/>
    <x v="1"/>
    <x v="169"/>
    <s v="Año 2020"/>
    <s v="Porcentaje"/>
    <s v="Encuestas CASEN"/>
    <s v="Geografía de la Pobreza Extrema a Escala Comunal en la Región del Biobío - 2020"/>
    <m/>
    <s v="Gráfico de Evolución"/>
    <s v="socioeconómico porcentaje mapa pobreza extrema comunal región biobío"/>
    <s v="https://analytics.zoho.com/open-view/2395394000008496266?ZOHO_CRITERIA=%22Localiza%20CL%22.%22Codreg%22%3D8"/>
    <x v="25"/>
    <s v="#1774B428"/>
  </r>
  <r>
    <s v="1907"/>
    <n v="990"/>
    <s v="Agencia Información"/>
    <s v="Socioeconómico"/>
    <n v="9"/>
    <x v="98"/>
    <x v="38"/>
    <x v="1"/>
    <x v="9"/>
    <x v="1"/>
    <x v="169"/>
    <s v="Año 2020"/>
    <s v="Porcentaje"/>
    <s v="Encuestas CASEN"/>
    <s v="Geografía de la Pobreza Extrema a Escala Comunal en la Región de La Araucanía - 2020"/>
    <m/>
    <s v="Gráfico de Evolución"/>
    <s v="socioeconómico porcentaje mapa pobreza extrema comunal región araucanía"/>
    <s v="https://analytics.zoho.com/open-view/2395394000008496266?ZOHO_CRITERIA=%22Localiza%20CL%22.%22Codreg%22%3D9"/>
    <x v="26"/>
    <s v="#1774B429"/>
  </r>
  <r>
    <s v="1908"/>
    <n v="990"/>
    <s v="Agencia Información"/>
    <s v="Socioeconómico"/>
    <n v="10"/>
    <x v="98"/>
    <x v="38"/>
    <x v="1"/>
    <x v="10"/>
    <x v="1"/>
    <x v="169"/>
    <s v="Año 2020"/>
    <s v="Porcentaje"/>
    <s v="Encuestas CASEN"/>
    <s v="Geografía de la Pobreza Extrema a Escala Comunal en la Región de Los Lagos - 2020"/>
    <m/>
    <s v="Gráfico de Evolución"/>
    <s v="socioeconómico porcentaje mapa pobreza extrema comunal región los lagos"/>
    <s v="https://analytics.zoho.com/open-view/2395394000008496266?ZOHO_CRITERIA=%22Localiza%20CL%22.%22Codreg%22%3D10"/>
    <x v="27"/>
    <s v="#1774B430"/>
  </r>
  <r>
    <s v="1909"/>
    <n v="990"/>
    <s v="Agencia Información"/>
    <s v="Socioeconómico"/>
    <n v="11"/>
    <x v="98"/>
    <x v="38"/>
    <x v="1"/>
    <x v="11"/>
    <x v="1"/>
    <x v="169"/>
    <s v="Año 2020"/>
    <s v="Porcentaje"/>
    <s v="Encuestas CASEN"/>
    <s v="Geografía de la Pobreza Extrema a Escala Comunal en la Región de Aysén - 2020"/>
    <m/>
    <s v="Gráfico de Evolución"/>
    <s v="socioeconómico porcentaje mapa pobreza extrema comunal región aysén"/>
    <s v="https://analytics.zoho.com/open-view/2395394000008496266?ZOHO_CRITERIA=%22Localiza%20CL%22.%22Codreg%22%3D11"/>
    <x v="28"/>
    <s v="#1774B431"/>
  </r>
  <r>
    <s v="1910"/>
    <n v="990"/>
    <s v="Agencia Información"/>
    <s v="Socioeconómico"/>
    <n v="12"/>
    <x v="98"/>
    <x v="38"/>
    <x v="1"/>
    <x v="12"/>
    <x v="1"/>
    <x v="169"/>
    <s v="Año 2020"/>
    <s v="Porcentaje"/>
    <s v="Encuestas CASEN"/>
    <s v="Geografía de la Pobreza Extrema a Escala Comunal en la Región de Magallanes - 2020"/>
    <m/>
    <s v="Gráfico de Evolución"/>
    <s v="socioeconómico porcentaje mapa pobreza extrema comunal región magallanes"/>
    <s v="https://analytics.zoho.com/open-view/2395394000008496266?ZOHO_CRITERIA=%22Localiza%20CL%22.%22Codreg%22%3D12"/>
    <x v="29"/>
    <s v="#1774B432"/>
  </r>
  <r>
    <s v="1911"/>
    <n v="990"/>
    <s v="Agencia Información"/>
    <s v="Socioeconómico"/>
    <n v="13"/>
    <x v="98"/>
    <x v="38"/>
    <x v="1"/>
    <x v="13"/>
    <x v="1"/>
    <x v="169"/>
    <s v="Año 2020"/>
    <s v="Porcentaje"/>
    <s v="Encuestas CASEN"/>
    <s v="Geografía de la Pobreza Extrema a Escala Comunal en la Región Metropolitana - 2020"/>
    <m/>
    <s v="Gráfico de Evolución"/>
    <s v="socioeconómico porcentaje mapa pobreza extrema comunal región metropolitana"/>
    <s v="https://analytics.zoho.com/open-view/2395394000008496266?ZOHO_CRITERIA=%22Localiza%20CL%22.%22Codreg%22%3D13"/>
    <x v="30"/>
    <s v="#1774B433"/>
  </r>
  <r>
    <s v="1912"/>
    <n v="990"/>
    <s v="Agencia Información"/>
    <s v="Socioeconómico"/>
    <n v="14"/>
    <x v="98"/>
    <x v="38"/>
    <x v="1"/>
    <x v="14"/>
    <x v="1"/>
    <x v="169"/>
    <s v="Año 2020"/>
    <s v="Porcentaje"/>
    <s v="Encuestas CASEN"/>
    <s v="Geografía de la Pobreza Extrema a Escala Comunal en la Región de Los Ríos - 2020"/>
    <m/>
    <s v="Gráfico de Evolución"/>
    <s v="socioeconómico porcentaje mapa pobreza extrema comunal región los ríos"/>
    <s v="https://analytics.zoho.com/open-view/2395394000008496266?ZOHO_CRITERIA=%22Localiza%20CL%22.%22Codreg%22%3D14"/>
    <x v="31"/>
    <s v="#1774B434"/>
  </r>
  <r>
    <s v="1913"/>
    <n v="990"/>
    <s v="Agencia Información"/>
    <s v="Socioeconómico"/>
    <n v="15"/>
    <x v="98"/>
    <x v="38"/>
    <x v="1"/>
    <x v="15"/>
    <x v="1"/>
    <x v="169"/>
    <s v="Año 2020"/>
    <s v="Porcentaje"/>
    <s v="Encuestas CASEN"/>
    <s v="Geografía de la Pobreza Extrema a Escala Comunal en la Región de Arica y Parinacota - 2020"/>
    <m/>
    <s v="Gráfico de Evolución"/>
    <s v="socioeconómico porcentaje mapa pobreza extrema comunal región arica parinacota"/>
    <s v="https://analytics.zoho.com/open-view/2395394000008496266?ZOHO_CRITERIA=%22Localiza%20CL%22.%22Codreg%22%3D15"/>
    <x v="32"/>
    <s v="#1774B435"/>
  </r>
  <r>
    <s v="1914"/>
    <n v="990"/>
    <s v="Agencia Información"/>
    <s v="Socioeconómico"/>
    <n v="16"/>
    <x v="98"/>
    <x v="38"/>
    <x v="1"/>
    <x v="16"/>
    <x v="1"/>
    <x v="169"/>
    <s v="Año 2020"/>
    <s v="Porcentaje"/>
    <s v="Encuestas CASEN"/>
    <s v="Geografía de la Pobreza Extrema a Escala Comunal en la Región de Ñuble - 2020"/>
    <m/>
    <s v="Gráfico de Evolución"/>
    <s v="socioeconómico porcentaje mapa pobreza extrema comunal región ñuble"/>
    <s v="https://analytics.zoho.com/open-view/2395394000008496266?ZOHO_CRITERIA=%22Localiza%20CL%22.%22Codreg%22%3D16"/>
    <x v="33"/>
    <s v="#1774B436"/>
  </r>
  <r>
    <s v="1915"/>
    <n v="990"/>
    <s v="Agencia Información"/>
    <s v="Social"/>
    <n v="0"/>
    <x v="99"/>
    <x v="39"/>
    <x v="0"/>
    <x v="0"/>
    <x v="1"/>
    <x v="170"/>
    <s v="Periodo 2016-2019"/>
    <s v="Número de ingresos/egresos y Porcentaje"/>
    <s v="Servicio Nacional de Menores (SENAME)"/>
    <s v="Evolución de Ingresos y Egresos de NNA en el Periodo 2016-2019"/>
    <s v="En Chile, la diferencia entre los niños, niñas y adolescentes (NNA) egresados e ingresados en centros de SENAME en el año 2016 fue de 1.414, mientras que en el año 2019 fue de 15.080. Por otro lado, la variación porcentual anual de egresos en el periodo 2016-2019 ha disminuido de 11,4% a 6,8%, mientras que la de ingresos sufrió una baja desde el año 2018 al 2019 de 4,1%."/>
    <s v="Gráfico de Evolución"/>
    <s v="protección restitución derechos social evolución ingresos egresos niños niñas adolescentes sename protección menores nacional chile"/>
    <s v="https://app.powerbi.com/view?r=eyJrIjoiMTZjZmZhZjQtN2I5ZS00ZWFmLWFkZWMtMDlkMGYzOGZmNzk2IiwidCI6IjhmYmFhNWJmLTJlY2MtNGRjOC1iNTZiLThmOTJlMzA3ZjA3NiIsImMiOjR9"/>
    <x v="34"/>
    <s v="#1774B437"/>
  </r>
  <r>
    <s v="1916"/>
    <n v="990"/>
    <s v="Agencia Información"/>
    <s v="Social"/>
    <n v="0"/>
    <x v="99"/>
    <x v="39"/>
    <x v="0"/>
    <x v="0"/>
    <x v="1"/>
    <x v="171"/>
    <s v="Año 2019"/>
    <s v="Número de ingresos/egresos"/>
    <s v="Servicio Nacional de Menores (SENAME)"/>
    <s v="Ingresos y Egresos de NNA por Línea de Atención en el Año 2019"/>
    <s v="En Chile, la mayor cantidad de niños, niñas y adolescentes (NNA) ingresados en centros de SENAME en el año 2019 lo hizo por medio de la Línea Ambulatoria, seguida por la Línea Oficina Protección de Derechos, con 53.163 y 27.632 NNA respectivamente."/>
    <s v="Gráfico de Evolución"/>
    <s v="protección restitución derechos social sename protección menores ingresos egresos niños niñas adolescentes línea atención nacional chile"/>
    <s v="https://app.powerbi.com/view?r=eyJrIjoiMTFiMTI5YmQtYTU1Ni00MzI4LTk1NDUtMDRlYTM0NDAwYmJlIiwidCI6IjhmYmFhNWJmLTJlY2MtNGRjOC1iNTZiLThmOTJlMzA3ZjA3NiIsImMiOjR9"/>
    <x v="34"/>
    <s v="#1774B438"/>
  </r>
  <r>
    <s v="1917"/>
    <n v="990"/>
    <s v="Agencia Información"/>
    <s v="Social"/>
    <n v="0"/>
    <x v="99"/>
    <x v="39"/>
    <x v="0"/>
    <x v="0"/>
    <x v="1"/>
    <x v="171"/>
    <s v="Año 2019"/>
    <s v="Número de ingresos/egresos"/>
    <s v="Servicio Nacional de Menores (SENAME)"/>
    <s v="Ingresos y Egresos de NNA por Región en el Año 2019"/>
    <s v="En el año 2019, la mayor cantidad de egresos de niños, niñas y adolescentes (NNA) desde centros de SENAME ocurrió en la región Metropolitana, con 14.942, mientras que el egreso más bajo se dio en la región de Aysén, con 520 NNA."/>
    <s v="Gráfico de Evolución"/>
    <s v="protección restitución derechos social sename protección menores ingresos egresos niños niñas adolescentes regional chile"/>
    <s v="https://app.powerbi.com/view?r=eyJrIjoiNjg0OGI5NjEtNGNmMy00OGE4LWFlYzEtY2FmYWMxMjRhZmU5IiwidCI6IjhmYmFhNWJmLTJlY2MtNGRjOC1iNTZiLThmOTJlMzA3ZjA3NiIsImMiOjR9"/>
    <x v="34"/>
    <s v="#1774B439"/>
  </r>
  <r>
    <s v="1918"/>
    <n v="990"/>
    <s v="Agencia Información"/>
    <s v="Gobiernos locales"/>
    <n v="0"/>
    <x v="100"/>
    <x v="25"/>
    <x v="0"/>
    <x v="0"/>
    <x v="0"/>
    <x v="172"/>
    <s v="Periodo 2006-2019"/>
    <s v="Número de predios"/>
    <s v="Sistema Nacional de Información Municipal"/>
    <s v="Cantidad de Predios No Agrícolas Habitacionales por Comuna en el periodo 2006-2019"/>
    <s v="El pago de contribuciones de los predios no agrícolas habitacionales, permite a los diferentes municipios financiar bienes y servicios comunitarios. Estos predios están exentos del pago de contribuciones hasta un monto de avalúo de $33.199.976. En el año 2019, la comuna que contó con la mayor cantidad de predios no agrícolas habitacionales fue Santiago, con 185.481, seguido de Puente Alto, con 172.920."/>
    <s v="Gráfico de Evolución"/>
    <s v="gobiernos locales catastro predio municipal municipio no agrícola habitacional"/>
    <s v="https://analytics.zoho.com/open-view/2395394000008083041"/>
    <x v="17"/>
    <s v="#1774B440"/>
  </r>
  <r>
    <s v="1919"/>
    <n v="990"/>
    <s v="Agencia Información"/>
    <s v="Gobiernos locales"/>
    <n v="1"/>
    <x v="100"/>
    <x v="25"/>
    <x v="1"/>
    <x v="1"/>
    <x v="1"/>
    <x v="172"/>
    <s v="Periodo 2006-2019"/>
    <s v="Número de predios"/>
    <s v="Sistema Nacional de Información Municipal"/>
    <s v="Cantidad de Predios No Agrícolas Habitacionales por Comuna en la Región de Tarapacá en el periodo 2006-2019"/>
    <m/>
    <s v="Gráfico de Evolución"/>
    <s v="gobiernos locales catastro predio municipal municipio no agrícola habitacional región tarapacá"/>
    <s v="https://analytics.zoho.com/open-view/2395394000008464571?ZOHO_CRITERIA=%22Localiza%20CL%22.%22Codreg%22%20%3D%201"/>
    <x v="18"/>
    <s v="#1774B441"/>
  </r>
  <r>
    <s v="1920"/>
    <n v="990"/>
    <s v="Agencia Información"/>
    <s v="Gobiernos locales"/>
    <n v="2"/>
    <x v="100"/>
    <x v="25"/>
    <x v="1"/>
    <x v="2"/>
    <x v="1"/>
    <x v="172"/>
    <s v="Periodo 2006-2019"/>
    <s v="Número de predios"/>
    <s v="Sistema Nacional de Información Municipal"/>
    <s v="Cantidad de Predios No Agrícolas Habitacionales por Comuna en la Región de Antofagasta en el periodo 2006-2019"/>
    <m/>
    <s v="Gráfico de Evolución"/>
    <s v="gobiernos locales catastro predio municipal municipio no agrícola habitacional región antofagasta"/>
    <s v="https://analytics.zoho.com/open-view/2395394000008464571?ZOHO_CRITERIA=%22Localiza%20CL%22.%22Codreg%22%20%3D%202"/>
    <x v="19"/>
    <s v="#1774B442"/>
  </r>
  <r>
    <s v="1921"/>
    <n v="990"/>
    <s v="Agencia Información"/>
    <s v="Gobiernos locales"/>
    <n v="3"/>
    <x v="100"/>
    <x v="25"/>
    <x v="1"/>
    <x v="3"/>
    <x v="1"/>
    <x v="172"/>
    <s v="Periodo 2006-2019"/>
    <s v="Número de predios"/>
    <s v="Sistema Nacional de Información Municipal"/>
    <s v="Cantidad de Predios No Agrícolas Habitacionales por Comuna en la Región de Atacama en el periodo 2006-2019"/>
    <m/>
    <s v="Gráfico de Evolución"/>
    <s v="gobiernos locales catastro predio municipal municipio no agrícola habitacional región atacama"/>
    <s v="https://analytics.zoho.com/open-view/2395394000008464571?ZOHO_CRITERIA=%22Localiza%20CL%22.%22Codreg%22%20%3D%203"/>
    <x v="20"/>
    <s v="#1774B443"/>
  </r>
  <r>
    <s v="1922"/>
    <n v="990"/>
    <s v="Agencia Información"/>
    <s v="Gobiernos locales"/>
    <n v="4"/>
    <x v="100"/>
    <x v="25"/>
    <x v="1"/>
    <x v="4"/>
    <x v="1"/>
    <x v="172"/>
    <s v="Periodo 2006-2019"/>
    <s v="Número de predios"/>
    <s v="Sistema Nacional de Información Municipal"/>
    <s v="Cantidad de Predios No Agrícolas Habitacionales por Comuna en la Región de Coquimbo en el periodo 2006-2019"/>
    <m/>
    <s v="Gráfico de Evolución"/>
    <s v="gobiernos locales catastro predio municipal municipio no agrícola habitacional región coquimbo"/>
    <s v="https://analytics.zoho.com/open-view/2395394000008464571?ZOHO_CRITERIA=%22Localiza%20CL%22.%22Codreg%22%20%3D%204"/>
    <x v="21"/>
    <s v="#1774B444"/>
  </r>
  <r>
    <s v="1923"/>
    <n v="990"/>
    <s v="Agencia Información"/>
    <s v="Gobiernos locales"/>
    <n v="5"/>
    <x v="100"/>
    <x v="25"/>
    <x v="1"/>
    <x v="5"/>
    <x v="1"/>
    <x v="172"/>
    <s v="Periodo 2006-2019"/>
    <s v="Número de predios"/>
    <s v="Sistema Nacional de Información Municipal"/>
    <s v="Cantidad de Predios No Agrícolas Habitacionales por Comuna en la Región de Valparaíso en el periodo 2006-2019"/>
    <m/>
    <s v="Gráfico de Evolución"/>
    <s v="gobiernos locales catastro predio municipal municipio no agrícola habitacional región valparaíso"/>
    <s v="https://analytics.zoho.com/open-view/2395394000008464571?ZOHO_CRITERIA=%22Localiza%20CL%22.%22Codreg%22%20%3D%205"/>
    <x v="22"/>
    <s v="#1774B445"/>
  </r>
  <r>
    <s v="1924"/>
    <n v="990"/>
    <s v="Agencia Información"/>
    <s v="Gobiernos locales"/>
    <n v="6"/>
    <x v="100"/>
    <x v="25"/>
    <x v="1"/>
    <x v="6"/>
    <x v="1"/>
    <x v="172"/>
    <s v="Periodo 2006-2019"/>
    <s v="Número de predios"/>
    <s v="Sistema Nacional de Información Municipal"/>
    <s v="Cantidad de Predios No Agrícolas Habitacionales por Comuna en la Región de O'Higgins en el periodo 2006-2019"/>
    <m/>
    <s v="Gráfico de Evolución"/>
    <s v="gobiernos locales catastro predio municipal municipio no agrícola habitacional región ohiggins"/>
    <s v="https://analytics.zoho.com/open-view/2395394000008464571?ZOHO_CRITERIA=%22Localiza%20CL%22.%22Codreg%22%20%3D%206"/>
    <x v="23"/>
    <s v="#1774B446"/>
  </r>
  <r>
    <s v="1925"/>
    <n v="990"/>
    <s v="Agencia Información"/>
    <s v="Gobiernos locales"/>
    <n v="7"/>
    <x v="100"/>
    <x v="25"/>
    <x v="1"/>
    <x v="7"/>
    <x v="1"/>
    <x v="172"/>
    <s v="Periodo 2006-2019"/>
    <s v="Número de predios"/>
    <s v="Sistema Nacional de Información Municipal"/>
    <s v="Cantidad de Predios No Agrícolas Habitacionales por Comuna en la Región de Maule en el periodo 2006-2019"/>
    <m/>
    <s v="Gráfico de Evolución"/>
    <s v="gobiernos locales catastro predio municipal municipio no agrícola habitacional región maule"/>
    <s v="https://analytics.zoho.com/open-view/2395394000008464571?ZOHO_CRITERIA=%22Localiza%20CL%22.%22Codreg%22%20%3D%207"/>
    <x v="24"/>
    <s v="#1774B447"/>
  </r>
  <r>
    <s v="1926"/>
    <n v="990"/>
    <s v="Agencia Información"/>
    <s v="Gobiernos locales"/>
    <n v="8"/>
    <x v="100"/>
    <x v="25"/>
    <x v="1"/>
    <x v="8"/>
    <x v="1"/>
    <x v="172"/>
    <s v="Periodo 2006-2019"/>
    <s v="Número de predios"/>
    <s v="Sistema Nacional de Información Municipal"/>
    <s v="Cantidad de Predios No Agrícolas Habitacionales por Comuna en la Región del Biobío en el periodo 2006-2019"/>
    <m/>
    <s v="Gráfico de Evolución"/>
    <s v="gobiernos locales catastro predio municipal municipio no agrícola habitacional región biobío"/>
    <s v="https://analytics.zoho.com/open-view/2395394000008464571?ZOHO_CRITERIA=%22Localiza%20CL%22.%22Codreg%22%20%3D%208"/>
    <x v="25"/>
    <s v="#1774B448"/>
  </r>
  <r>
    <s v="1927"/>
    <n v="990"/>
    <s v="Agencia Información"/>
    <s v="Gobiernos locales"/>
    <n v="9"/>
    <x v="100"/>
    <x v="25"/>
    <x v="1"/>
    <x v="9"/>
    <x v="1"/>
    <x v="172"/>
    <s v="Periodo 2006-2019"/>
    <s v="Número de predios"/>
    <s v="Sistema Nacional de Información Municipal"/>
    <s v="Cantidad de Predios No Agrícolas Habitacionales por Comuna en la Región de La Araucanía en el periodo 2006-2019"/>
    <m/>
    <s v="Gráfico de Evolución"/>
    <s v="gobiernos locales catastro predio municipal municipio no agrícola habitacional región araucanía"/>
    <s v="https://analytics.zoho.com/open-view/2395394000008464571?ZOHO_CRITERIA=%22Localiza%20CL%22.%22Codreg%22%20%3D%209"/>
    <x v="26"/>
    <s v="#1774B449"/>
  </r>
  <r>
    <s v="1928"/>
    <n v="990"/>
    <s v="Agencia Información"/>
    <s v="Gobiernos locales"/>
    <n v="10"/>
    <x v="100"/>
    <x v="25"/>
    <x v="1"/>
    <x v="10"/>
    <x v="1"/>
    <x v="172"/>
    <s v="Periodo 2006-2019"/>
    <s v="Número de predios"/>
    <s v="Sistema Nacional de Información Municipal"/>
    <s v="Cantidad de Predios No Agrícolas Habitacionales por Comuna en la Región de Los Lagos en el periodo 2006-2019"/>
    <m/>
    <s v="Gráfico de Evolución"/>
    <s v="gobiernos locales catastro predio municipal municipio no agrícola habitacional región los lagos"/>
    <s v="https://analytics.zoho.com/open-view/2395394000008464571?ZOHO_CRITERIA=%22Localiza%20CL%22.%22Codreg%22%20%3D%2010"/>
    <x v="27"/>
    <s v="#1774B450"/>
  </r>
  <r>
    <s v="1929"/>
    <n v="990"/>
    <s v="Agencia Información"/>
    <s v="Gobiernos locales"/>
    <n v="11"/>
    <x v="100"/>
    <x v="25"/>
    <x v="1"/>
    <x v="11"/>
    <x v="1"/>
    <x v="172"/>
    <s v="Periodo 2006-2019"/>
    <s v="Número de predios"/>
    <s v="Sistema Nacional de Información Municipal"/>
    <s v="Cantidad de Predios No Agrícolas Habitacionales por Comuna en la Región de Aysén en el periodo 2006-2019"/>
    <m/>
    <s v="Gráfico de Evolución"/>
    <s v="gobiernos locales catastro predio municipal municipio no agrícola habitacional región aysén"/>
    <s v="https://analytics.zoho.com/open-view/2395394000008464571?ZOHO_CRITERIA=%22Localiza%20CL%22.%22Codreg%22%20%3D%2011"/>
    <x v="28"/>
    <s v="#1774B451"/>
  </r>
  <r>
    <s v="1930"/>
    <n v="990"/>
    <s v="Agencia Información"/>
    <s v="Gobiernos locales"/>
    <n v="12"/>
    <x v="100"/>
    <x v="25"/>
    <x v="1"/>
    <x v="12"/>
    <x v="1"/>
    <x v="172"/>
    <s v="Periodo 2006-2019"/>
    <s v="Número de predios"/>
    <s v="Sistema Nacional de Información Municipal"/>
    <s v="Cantidad de Predios No Agrícolas Habitacionales por Comuna en la Región de Magallanes en el periodo 2006-2019"/>
    <m/>
    <s v="Gráfico de Evolución"/>
    <s v="gobiernos locales catastro predio municipal municipio no agrícola habitacional región magallanes"/>
    <s v="https://analytics.zoho.com/open-view/2395394000008464571?ZOHO_CRITERIA=%22Localiza%20CL%22.%22Codreg%22%20%3D%2012"/>
    <x v="29"/>
    <s v="#1774B452"/>
  </r>
  <r>
    <s v="1931"/>
    <n v="990"/>
    <s v="Agencia Información"/>
    <s v="Gobiernos locales"/>
    <n v="13"/>
    <x v="100"/>
    <x v="25"/>
    <x v="1"/>
    <x v="13"/>
    <x v="1"/>
    <x v="172"/>
    <s v="Periodo 2006-2019"/>
    <s v="Número de predios"/>
    <s v="Sistema Nacional de Información Municipal"/>
    <s v="Cantidad de Predios No Agrícolas Habitacionales por Comuna en la Región Metropolitana en el periodo 2006-2019"/>
    <m/>
    <s v="Gráfico de Evolución"/>
    <s v="gobiernos locales catastro predio municipal municipio no agrícola habitacional región metropolitana"/>
    <s v="https://analytics.zoho.com/open-view/2395394000008464571?ZOHO_CRITERIA=%22Localiza%20CL%22.%22Codreg%22%20%3D%2013"/>
    <x v="30"/>
    <s v="#1774B453"/>
  </r>
  <r>
    <s v="1932"/>
    <n v="990"/>
    <s v="Agencia Información"/>
    <s v="Gobiernos locales"/>
    <n v="14"/>
    <x v="100"/>
    <x v="25"/>
    <x v="1"/>
    <x v="14"/>
    <x v="1"/>
    <x v="172"/>
    <s v="Periodo 2006-2019"/>
    <s v="Número de predios"/>
    <s v="Sistema Nacional de Información Municipal"/>
    <s v="Cantidad de Predios No Agrícolas Habitacionales por Comuna en la Región de Los Ríos en el periodo 2006-2019"/>
    <m/>
    <s v="Gráfico de Evolución"/>
    <s v="gobiernos locales catastro predio municipal municipio no agrícola habitacional región los ríos"/>
    <s v="https://analytics.zoho.com/open-view/2395394000008464571?ZOHO_CRITERIA=%22Localiza%20CL%22.%22Codreg%22%20%3D%2014"/>
    <x v="31"/>
    <s v="#1774B454"/>
  </r>
  <r>
    <s v="1933"/>
    <n v="990"/>
    <s v="Agencia Información"/>
    <s v="Gobiernos locales"/>
    <n v="15"/>
    <x v="100"/>
    <x v="25"/>
    <x v="1"/>
    <x v="15"/>
    <x v="1"/>
    <x v="172"/>
    <s v="Periodo 2006-2019"/>
    <s v="Número de predios"/>
    <s v="Sistema Nacional de Información Municipal"/>
    <s v="Cantidad de Predios No Agrícolas Habitacionales por Comuna en la Región de Arica y Parinacota en el periodo 2006-2019"/>
    <m/>
    <s v="Gráfico de Evolución"/>
    <s v="gobiernos locales catastro predio municipal municipio no agrícola habitacional región arica parinacota"/>
    <s v="https://analytics.zoho.com/open-view/2395394000008464571?ZOHO_CRITERIA=%22Localiza%20CL%22.%22Codreg%22%20%3D%2015"/>
    <x v="32"/>
    <s v="#1774B455"/>
  </r>
  <r>
    <s v="1934"/>
    <n v="990"/>
    <s v="Agencia Información"/>
    <s v="Gobiernos locales"/>
    <n v="16"/>
    <x v="100"/>
    <x v="25"/>
    <x v="1"/>
    <x v="16"/>
    <x v="1"/>
    <x v="172"/>
    <s v="Periodo 2006-2019"/>
    <s v="Número de predios"/>
    <s v="Sistema Nacional de Información Municipal"/>
    <s v="Cantidad de Predios No Agrícolas Habitacionales por Comuna en la Región de Ñuble en el periodo 2006-2019"/>
    <m/>
    <s v="Gráfico de Evolución"/>
    <s v="gobiernos locales catastro predio municipal municipio no agrícola habitacional región ñuble"/>
    <s v="https://analytics.zoho.com/open-view/2395394000008464571?ZOHO_CRITERIA=%22Localiza%20CL%22.%22Codreg%22%20%3D%2016"/>
    <x v="33"/>
    <s v="#1774B456"/>
  </r>
  <r>
    <s v="1935"/>
    <n v="990"/>
    <s v="Agencia Información"/>
    <s v="Gobiernos locales"/>
    <n v="0"/>
    <x v="101"/>
    <x v="25"/>
    <x v="0"/>
    <x v="0"/>
    <x v="0"/>
    <x v="173"/>
    <s v="Periodo 2010-2019"/>
    <s v="Número de propiedades municipales"/>
    <s v="Sistema Nacional de Información Municipal"/>
    <s v="Cantidad de Propiedades Municipales por Comuna en el periodo 2010-2019"/>
    <s v="Al año 2019, el municipio que tuvo más propiedades fue el de Coquimbo, con 1.408. Le sigue el de Maipú, con 1.308. Cochamó, al contrario, no tuvo ninguna."/>
    <s v="Gráfico de Evolución"/>
    <s v="gobiernos locales propiedades municipal municipio cantidad comunal chile"/>
    <s v="https://analytics.zoho.com/open-view/2395394000008083242"/>
    <x v="17"/>
    <s v="#1774B457"/>
  </r>
  <r>
    <s v="1936"/>
    <n v="990"/>
    <s v="Agencia Información"/>
    <s v="Gobiernos locales"/>
    <n v="1"/>
    <x v="101"/>
    <x v="25"/>
    <x v="1"/>
    <x v="1"/>
    <x v="1"/>
    <x v="173"/>
    <s v="Periodo 2010-2019"/>
    <s v="Número de propiedades municipales"/>
    <s v="Sistema Nacional de Información Municipal"/>
    <s v="Cantidad de Propiedades Municipales por Comuna en la Región de Tarapacá en el periodo 2010-2019"/>
    <m/>
    <s v="Gráfico de Evolución"/>
    <s v="gobiernos locales propiedades municipal municipio cantidad comunal región tarapacá"/>
    <s v="https://analytics.zoho.com/open-view/2395394000008771662?ZOHO_CRITERIA=%22Localiza%20CL%22.%22Codreg%22%20%3D%201"/>
    <x v="18"/>
    <s v="#1774B458"/>
  </r>
  <r>
    <s v="1937"/>
    <n v="990"/>
    <s v="Agencia Información"/>
    <s v="Gobiernos locales"/>
    <n v="2"/>
    <x v="101"/>
    <x v="25"/>
    <x v="1"/>
    <x v="2"/>
    <x v="1"/>
    <x v="173"/>
    <s v="Periodo 2010-2019"/>
    <s v="Número de propiedades municipales"/>
    <s v="Sistema Nacional de Información Municipal"/>
    <s v="Cantidad de Propiedades Municipales por Comuna en la Región de Antofagasta en el periodo 2010-2019"/>
    <m/>
    <s v="Gráfico de Evolución"/>
    <s v="gobiernos locales propiedades municipal municipio cantidad comunal región antofagasta"/>
    <s v="https://analytics.zoho.com/open-view/2395394000008771662?ZOHO_CRITERIA=%22Localiza%20CL%22.%22Codreg%22%20%3D%202"/>
    <x v="19"/>
    <s v="#1774B459"/>
  </r>
  <r>
    <s v="1938"/>
    <n v="990"/>
    <s v="Agencia Información"/>
    <s v="Gobiernos locales"/>
    <n v="3"/>
    <x v="101"/>
    <x v="25"/>
    <x v="1"/>
    <x v="3"/>
    <x v="1"/>
    <x v="173"/>
    <s v="Periodo 2010-2019"/>
    <s v="Número de propiedades municipales"/>
    <s v="Sistema Nacional de Información Municipal"/>
    <s v="Cantidad de Propiedades Municipales por Comuna en la Región de Atacama en el periodo 2010-2019"/>
    <m/>
    <s v="Gráfico de Evolución"/>
    <s v="gobiernos locales propiedades municipal municipio cantidad comunal región atacama"/>
    <s v="https://analytics.zoho.com/open-view/2395394000008771662?ZOHO_CRITERIA=%22Localiza%20CL%22.%22Codreg%22%20%3D%203"/>
    <x v="20"/>
    <s v="#1774B460"/>
  </r>
  <r>
    <s v="1939"/>
    <n v="990"/>
    <s v="Agencia Información"/>
    <s v="Gobiernos locales"/>
    <n v="4"/>
    <x v="101"/>
    <x v="25"/>
    <x v="1"/>
    <x v="4"/>
    <x v="1"/>
    <x v="173"/>
    <s v="Periodo 2010-2019"/>
    <s v="Número de propiedades municipales"/>
    <s v="Sistema Nacional de Información Municipal"/>
    <s v="Cantidad de Propiedades Municipales por Comuna en la Región de Coquimbo en el periodo 2010-2019"/>
    <m/>
    <s v="Gráfico de Evolución"/>
    <s v="gobiernos locales propiedades municipal municipio cantidad comunal región coquimbo"/>
    <s v="https://analytics.zoho.com/open-view/2395394000008771662?ZOHO_CRITERIA=%22Localiza%20CL%22.%22Codreg%22%20%3D%204"/>
    <x v="21"/>
    <s v="#1774B461"/>
  </r>
  <r>
    <s v="1940"/>
    <n v="990"/>
    <s v="Agencia Información"/>
    <s v="Gobiernos locales"/>
    <n v="5"/>
    <x v="101"/>
    <x v="25"/>
    <x v="1"/>
    <x v="5"/>
    <x v="1"/>
    <x v="173"/>
    <s v="Periodo 2010-2019"/>
    <s v="Número de propiedades municipales"/>
    <s v="Sistema Nacional de Información Municipal"/>
    <s v="Cantidad de Propiedades Municipales por Comuna en la Región de Valparaíso en el periodo 2010-2019"/>
    <m/>
    <s v="Gráfico de Evolución"/>
    <s v="gobiernos locales propiedades municipal municipio cantidad comunal región valparaíso"/>
    <s v="https://analytics.zoho.com/open-view/2395394000008771662?ZOHO_CRITERIA=%22Localiza%20CL%22.%22Codreg%22%20%3D%205"/>
    <x v="22"/>
    <s v="#1774B462"/>
  </r>
  <r>
    <s v="1941"/>
    <n v="990"/>
    <s v="Agencia Información"/>
    <s v="Gobiernos locales"/>
    <n v="6"/>
    <x v="101"/>
    <x v="25"/>
    <x v="1"/>
    <x v="6"/>
    <x v="1"/>
    <x v="173"/>
    <s v="Periodo 2010-2019"/>
    <s v="Número de propiedades municipales"/>
    <s v="Sistema Nacional de Información Municipal"/>
    <s v="Cantidad de Propiedades Municipales por Comuna en la Región de O'Higgins en el periodo 2010-2019"/>
    <m/>
    <s v="Gráfico de Evolución"/>
    <s v="gobiernos locales propiedades municipal municipio cantidad comunal región ohiggins"/>
    <s v="https://analytics.zoho.com/open-view/2395394000008771662?ZOHO_CRITERIA=%22Localiza%20CL%22.%22Codreg%22%20%3D%206"/>
    <x v="23"/>
    <s v="#1774B463"/>
  </r>
  <r>
    <s v="1942"/>
    <n v="990"/>
    <s v="Agencia Información"/>
    <s v="Gobiernos locales"/>
    <n v="7"/>
    <x v="101"/>
    <x v="25"/>
    <x v="1"/>
    <x v="7"/>
    <x v="1"/>
    <x v="173"/>
    <s v="Periodo 2010-2019"/>
    <s v="Número de propiedades municipales"/>
    <s v="Sistema Nacional de Información Municipal"/>
    <s v="Cantidad de Propiedades Municipales por Comuna en la Región de Maule en el periodo 2010-2019"/>
    <m/>
    <s v="Gráfico de Evolución"/>
    <s v="gobiernos locales propiedades municipal municipio cantidad comunal región maule"/>
    <s v="https://analytics.zoho.com/open-view/2395394000008771662?ZOHO_CRITERIA=%22Localiza%20CL%22.%22Codreg%22%20%3D%207"/>
    <x v="24"/>
    <s v="#1774B464"/>
  </r>
  <r>
    <s v="1943"/>
    <n v="990"/>
    <s v="Agencia Información"/>
    <s v="Gobiernos locales"/>
    <n v="8"/>
    <x v="101"/>
    <x v="25"/>
    <x v="1"/>
    <x v="8"/>
    <x v="1"/>
    <x v="173"/>
    <s v="Periodo 2010-2019"/>
    <s v="Número de propiedades municipales"/>
    <s v="Sistema Nacional de Información Municipal"/>
    <s v="Cantidad de Propiedades Municipales por Comuna en la Región del Biobío en el periodo 2010-2019"/>
    <m/>
    <s v="Gráfico de Evolución"/>
    <s v="gobiernos locales propiedades municipal municipio cantidad comunal región biobío"/>
    <s v="https://analytics.zoho.com/open-view/2395394000008771662?ZOHO_CRITERIA=%22Localiza%20CL%22.%22Codreg%22%20%3D%208"/>
    <x v="25"/>
    <s v="#1774B465"/>
  </r>
  <r>
    <s v="1944"/>
    <n v="990"/>
    <s v="Agencia Información"/>
    <s v="Gobiernos locales"/>
    <n v="9"/>
    <x v="101"/>
    <x v="25"/>
    <x v="1"/>
    <x v="9"/>
    <x v="1"/>
    <x v="173"/>
    <s v="Periodo 2010-2019"/>
    <s v="Número de propiedades municipales"/>
    <s v="Sistema Nacional de Información Municipal"/>
    <s v="Cantidad de Propiedades Municipales por Comuna en la Región de La Araucanía en el periodo 2010-2019"/>
    <m/>
    <s v="Gráfico de Evolución"/>
    <s v="gobiernos locales propiedades municipal municipio cantidad comunal región araucanía"/>
    <s v="https://analytics.zoho.com/open-view/2395394000008771662?ZOHO_CRITERIA=%22Localiza%20CL%22.%22Codreg%22%20%3D%209"/>
    <x v="26"/>
    <s v="#1774B466"/>
  </r>
  <r>
    <s v="1945"/>
    <n v="990"/>
    <s v="Agencia Información"/>
    <s v="Gobiernos locales"/>
    <n v="10"/>
    <x v="101"/>
    <x v="25"/>
    <x v="1"/>
    <x v="10"/>
    <x v="1"/>
    <x v="173"/>
    <s v="Periodo 2010-2019"/>
    <s v="Número de propiedades municipales"/>
    <s v="Sistema Nacional de Información Municipal"/>
    <s v="Cantidad de Propiedades Municipales por Comuna en la Región de Los Lagos en el periodo 2010-2019"/>
    <m/>
    <s v="Gráfico de Evolución"/>
    <s v="gobiernos locales propiedades municipal municipio cantidad comunal región los lagos"/>
    <s v="https://analytics.zoho.com/open-view/2395394000008771662?ZOHO_CRITERIA=%22Localiza%20CL%22.%22Codreg%22%20%3D%2010"/>
    <x v="27"/>
    <s v="#1774B467"/>
  </r>
  <r>
    <s v="1946"/>
    <n v="990"/>
    <s v="Agencia Información"/>
    <s v="Gobiernos locales"/>
    <n v="11"/>
    <x v="101"/>
    <x v="25"/>
    <x v="1"/>
    <x v="11"/>
    <x v="1"/>
    <x v="173"/>
    <s v="Periodo 2010-2019"/>
    <s v="Número de propiedades municipales"/>
    <s v="Sistema Nacional de Información Municipal"/>
    <s v="Cantidad de Propiedades Municipales por Comuna en la Región de Aysén en el periodo 2010-2019"/>
    <m/>
    <s v="Gráfico de Evolución"/>
    <s v="gobiernos locales propiedades municipal municipio cantidad comunal región aysén"/>
    <s v="https://analytics.zoho.com/open-view/2395394000008771662?ZOHO_CRITERIA=%22Localiza%20CL%22.%22Codreg%22%20%3D%2011"/>
    <x v="28"/>
    <s v="#1774B468"/>
  </r>
  <r>
    <s v="1947"/>
    <n v="990"/>
    <s v="Agencia Información"/>
    <s v="Gobiernos locales"/>
    <n v="12"/>
    <x v="101"/>
    <x v="25"/>
    <x v="1"/>
    <x v="12"/>
    <x v="1"/>
    <x v="173"/>
    <s v="Periodo 2010-2019"/>
    <s v="Número de propiedades municipales"/>
    <s v="Sistema Nacional de Información Municipal"/>
    <s v="Cantidad de Propiedades Municipales por Comuna en la Región de Magallanes en el periodo 2010-2019"/>
    <m/>
    <s v="Gráfico de Evolución"/>
    <s v="gobiernos locales propiedades municipal municipio cantidad comunal región magallanes"/>
    <s v="https://analytics.zoho.com/open-view/2395394000008771662?ZOHO_CRITERIA=%22Localiza%20CL%22.%22Codreg%22%20%3D%2012"/>
    <x v="29"/>
    <s v="#1774B469"/>
  </r>
  <r>
    <s v="1948"/>
    <n v="990"/>
    <s v="Agencia Información"/>
    <s v="Gobiernos locales"/>
    <n v="13"/>
    <x v="101"/>
    <x v="25"/>
    <x v="1"/>
    <x v="13"/>
    <x v="1"/>
    <x v="173"/>
    <s v="Periodo 2010-2019"/>
    <s v="Número de propiedades municipales"/>
    <s v="Sistema Nacional de Información Municipal"/>
    <s v="Cantidad de Propiedades Municipales por Comuna en la Región Metropolitana en el periodo 2010-2019"/>
    <m/>
    <s v="Gráfico de Evolución"/>
    <s v="gobiernos locales propiedades municipal municipio cantidad comunal región metropolitana"/>
    <s v="https://analytics.zoho.com/open-view/2395394000008771662?ZOHO_CRITERIA=%22Localiza%20CL%22.%22Codreg%22%20%3D%2013"/>
    <x v="30"/>
    <s v="#1774B470"/>
  </r>
  <r>
    <s v="1949"/>
    <n v="990"/>
    <s v="Agencia Información"/>
    <s v="Gobiernos locales"/>
    <n v="14"/>
    <x v="101"/>
    <x v="25"/>
    <x v="1"/>
    <x v="14"/>
    <x v="1"/>
    <x v="173"/>
    <s v="Periodo 2010-2019"/>
    <s v="Número de propiedades municipales"/>
    <s v="Sistema Nacional de Información Municipal"/>
    <s v="Cantidad de Propiedades Municipales por Comuna en la Región de Los Ríos en el periodo 2010-2019"/>
    <m/>
    <s v="Gráfico de Evolución"/>
    <s v="gobiernos locales propiedades municipal municipio cantidad comunal región los ríos"/>
    <s v="https://analytics.zoho.com/open-view/2395394000008771662?ZOHO_CRITERIA=%22Localiza%20CL%22.%22Codreg%22%20%3D%2014"/>
    <x v="31"/>
    <s v="#1774B471"/>
  </r>
  <r>
    <s v="1950"/>
    <n v="990"/>
    <s v="Agencia Información"/>
    <s v="Gobiernos locales"/>
    <n v="15"/>
    <x v="101"/>
    <x v="25"/>
    <x v="1"/>
    <x v="15"/>
    <x v="1"/>
    <x v="173"/>
    <s v="Periodo 2010-2019"/>
    <s v="Número de propiedades municipales"/>
    <s v="Sistema Nacional de Información Municipal"/>
    <s v="Cantidad de Propiedades Municipales por Comuna en la Región de Arica y Parinacota en el periodo 2010-2019"/>
    <m/>
    <s v="Gráfico de Evolución"/>
    <s v="gobiernos locales propiedades municipal municipio cantidad comunal región arica parinacota"/>
    <s v="https://analytics.zoho.com/open-view/2395394000008771662?ZOHO_CRITERIA=%22Localiza%20CL%22.%22Codreg%22%20%3D%2015"/>
    <x v="32"/>
    <s v="#1774B472"/>
  </r>
  <r>
    <s v="1951"/>
    <n v="990"/>
    <s v="Agencia Información"/>
    <s v="Gobiernos locales"/>
    <n v="16"/>
    <x v="101"/>
    <x v="25"/>
    <x v="1"/>
    <x v="16"/>
    <x v="1"/>
    <x v="173"/>
    <s v="Periodo 2010-2019"/>
    <s v="Número de propiedades municipales"/>
    <s v="Sistema Nacional de Información Municipal"/>
    <s v="Cantidad de Propiedades Municipales por Comuna en la Región de Ñuble en el periodo 2010-2019"/>
    <m/>
    <s v="Gráfico de Evolución"/>
    <s v="gobiernos locales propiedades municipal municipio cantidad comunal región ñuble"/>
    <s v="https://analytics.zoho.com/open-view/2395394000008771662?ZOHO_CRITERIA=%22Localiza%20CL%22.%22Codreg%22%20%3D%2016"/>
    <x v="33"/>
    <s v="#1774B473"/>
  </r>
  <r>
    <s v="1952"/>
    <n v="990"/>
    <s v="Agencia Información"/>
    <s v="Salud"/>
    <n v="0"/>
    <x v="46"/>
    <x v="14"/>
    <x v="0"/>
    <x v="0"/>
    <x v="1"/>
    <x v="174"/>
    <s v="Periodo 2012-2018"/>
    <s v="Número de personas"/>
    <s v="Departamento de Estadísticas e Información de la Salud (DEIS) - Ministerio de Salud"/>
    <s v="Evolución Población en Control del Programa de Salud Cardiovascular, Chile 2012-2018"/>
    <s v="La Población en Control del Programa de Salud Cardiovascular cayó considerablemente del año 2014 al 2015, reduciendo la Población en Control en un 42%. El año 2018 cerró con más de 5,5 millones de personas en control, lo cual supone un aumento de 1 millón de personas en control desde el año 2015."/>
    <s v="Gráfico de Evolución"/>
    <s v="cardiovascular corazón hipertensión enfermedad renal dislipidemias infarto salud programa nacional chile"/>
    <s v="https://analytics.zoho.com/open-view/2395394000008188638"/>
    <x v="34"/>
    <s v="#1774B474"/>
  </r>
  <r>
    <s v="1953"/>
    <n v="990"/>
    <s v="Agencia Información"/>
    <s v="Salud"/>
    <n v="0"/>
    <x v="46"/>
    <x v="14"/>
    <x v="0"/>
    <x v="0"/>
    <x v="14"/>
    <x v="174"/>
    <s v="Periodo 2012-2018"/>
    <s v="Número de personas"/>
    <s v="Departamento de Estadísticas e Información de la Salud (DEIS) - Ministerio de Salud"/>
    <s v="Población en Control del Programa de Salud Cardiovascular por Enfermedad, Chile 2012-2018"/>
    <s v="La enfermedad por la que más ingresaron pacientes al Programa de Salud Cardiovascular fue la hipertensión, llevándose el máximo durante todo el periodo 2012-2018. Por otro lado, las 5 etapas de Enfermedad Renal Crónica (ERC) fueron las que se llevaron la menor cantidad de ingresos durante el mismo periodo. Cabe mencionar que las etapas de la ERC dependen de la cantidad de orina que pueden filtrar los riñones por minuto (ml/min)."/>
    <s v="Gráfico de Evolución"/>
    <s v="diabetes tabaquismo obesidad cardiovascular corazón hipertensión enfermedad renal dislipidemias infarto salud programa nacional chile"/>
    <s v="https://analytics.zoho.com/open-view/2395394000008188953"/>
    <x v="0"/>
    <s v="#1774B475"/>
  </r>
  <r>
    <s v="1954"/>
    <n v="990"/>
    <s v="Agencia Información"/>
    <s v="Salud"/>
    <n v="1"/>
    <x v="46"/>
    <x v="14"/>
    <x v="1"/>
    <x v="1"/>
    <x v="11"/>
    <x v="174"/>
    <s v="Periodo 2012-2018"/>
    <s v="Número de personas"/>
    <s v="Departamento de Estadísticas e Información de la Salud (DEIS) - Ministerio de Salud"/>
    <s v="Población en Control del Programa de Salud Cardiovascular por Enfermedad en la Región de Tarapacá, 2012-2018"/>
    <m/>
    <s v="Gráfico de Evolución"/>
    <s v="diabetes tabaquismo obesidad cardiovascular corazón hipertensión enfermedad renal dislipidemias infarto salud programa región tarapacá"/>
    <s v="https://analytics.zoho.com/open-view/2395394000008539404?ZOHO_CRITERIA=%22Uni%C3%B3n%202.11-2.12%22.%22C%C3%B3digo%20Regi%C3%B3n%22%20%3D%201"/>
    <x v="1"/>
    <s v="#1774B476"/>
  </r>
  <r>
    <s v="1955"/>
    <n v="990"/>
    <s v="Agencia Información"/>
    <s v="Salud"/>
    <n v="2"/>
    <x v="46"/>
    <x v="14"/>
    <x v="1"/>
    <x v="2"/>
    <x v="11"/>
    <x v="174"/>
    <s v="Periodo 2012-2018"/>
    <s v="Número de personas"/>
    <s v="Departamento de Estadísticas e Información de la Salud (DEIS) - Ministerio de Salud"/>
    <s v="Población en Control del Programa de Salud Cardiovascular por Enfermedad en la Región de Antofagasta, 2012-2018"/>
    <m/>
    <s v="Gráfico de Evolución"/>
    <s v="diabetes tabaquismo obesidad cardiovascular corazón hipertensión enfermedad renal dislipidemias infarto salud programa región antofagasta"/>
    <s v="https://analytics.zoho.com/open-view/2395394000008539404?ZOHO_CRITERIA=%22Uni%C3%B3n%202.11-2.12%22.%22C%C3%B3digo%20Regi%C3%B3n%22%20%3D%202"/>
    <x v="2"/>
    <s v="#1774B477"/>
  </r>
  <r>
    <s v="1956"/>
    <n v="990"/>
    <s v="Agencia Información"/>
    <s v="Salud"/>
    <n v="3"/>
    <x v="46"/>
    <x v="14"/>
    <x v="1"/>
    <x v="3"/>
    <x v="11"/>
    <x v="174"/>
    <s v="Periodo 2012-2018"/>
    <s v="Número de personas"/>
    <s v="Departamento de Estadísticas e Información de la Salud (DEIS) - Ministerio de Salud"/>
    <s v="Población en Control del Programa de Salud Cardiovascular por Enfermedad en la Región de Atacama, 2012-2018"/>
    <m/>
    <s v="Gráfico de Evolución"/>
    <s v="diabetes tabaquismo obesidad cardiovascular corazón hipertensión enfermedad renal dislipidemias infarto salud programa región atacama"/>
    <s v="https://analytics.zoho.com/open-view/2395394000008539404?ZOHO_CRITERIA=%22Uni%C3%B3n%202.11-2.12%22.%22C%C3%B3digo%20Regi%C3%B3n%22%20%3D%203"/>
    <x v="3"/>
    <s v="#1774B478"/>
  </r>
  <r>
    <s v="1957"/>
    <n v="990"/>
    <s v="Agencia Información"/>
    <s v="Salud"/>
    <n v="4"/>
    <x v="46"/>
    <x v="14"/>
    <x v="1"/>
    <x v="4"/>
    <x v="11"/>
    <x v="174"/>
    <s v="Periodo 2012-2018"/>
    <s v="Número de personas"/>
    <s v="Departamento de Estadísticas e Información de la Salud (DEIS) - Ministerio de Salud"/>
    <s v="Población en Control del Programa de Salud Cardiovascular por Enfermedad en la Región de Coquimbo, 2012-2018"/>
    <m/>
    <s v="Gráfico de Evolución"/>
    <s v="diabetes tabaquismo obesidad cardiovascular corazón hipertensión enfermedad renal dislipidemias infarto salud programa región coquimbo"/>
    <s v="https://analytics.zoho.com/open-view/2395394000008539404?ZOHO_CRITERIA=%22Uni%C3%B3n%202.11-2.12%22.%22C%C3%B3digo%20Regi%C3%B3n%22%20%3D%204"/>
    <x v="4"/>
    <s v="#1774B479"/>
  </r>
  <r>
    <s v="1958"/>
    <n v="990"/>
    <s v="Agencia Información"/>
    <s v="Salud"/>
    <n v="5"/>
    <x v="46"/>
    <x v="14"/>
    <x v="1"/>
    <x v="5"/>
    <x v="11"/>
    <x v="174"/>
    <s v="Periodo 2012-2018"/>
    <s v="Número de personas"/>
    <s v="Departamento de Estadísticas e Información de la Salud (DEIS) - Ministerio de Salud"/>
    <s v="Población en Control del Programa de Salud Cardiovascular por Enfermedad en la Región de Valparaíso, 2012-2018"/>
    <m/>
    <s v="Gráfico de Evolución"/>
    <s v="diabetes tabaquismo obesidad cardiovascular corazón hipertensión enfermedad renal dislipidemias infarto salud programa región valparaíso"/>
    <s v="https://analytics.zoho.com/open-view/2395394000008539404?ZOHO_CRITERIA=%22Uni%C3%B3n%202.11-2.12%22.%22C%C3%B3digo%20Regi%C3%B3n%22%20%3D%205"/>
    <x v="5"/>
    <s v="#1774B480"/>
  </r>
  <r>
    <s v="1959"/>
    <n v="990"/>
    <s v="Agencia Información"/>
    <s v="Salud"/>
    <n v="6"/>
    <x v="46"/>
    <x v="14"/>
    <x v="1"/>
    <x v="6"/>
    <x v="11"/>
    <x v="174"/>
    <s v="Periodo 2012-2018"/>
    <s v="Número de personas"/>
    <s v="Departamento de Estadísticas e Información de la Salud (DEIS) - Ministerio de Salud"/>
    <s v="Población en Control del Programa de Salud Cardiovascular por Enfermedad en la Región de O'Higgins, 2012-2018"/>
    <m/>
    <s v="Gráfico de Evolución"/>
    <s v="diabetes tabaquismo obesidad cardiovascular corazón hipertensión enfermedad renal dislipidemias infarto salud programa región ohiggins"/>
    <s v="https://analytics.zoho.com/open-view/2395394000008539404?ZOHO_CRITERIA=%22Uni%C3%B3n%202.11-2.12%22.%22C%C3%B3digo%20Regi%C3%B3n%22%20%3D%206"/>
    <x v="6"/>
    <s v="#1774B481"/>
  </r>
  <r>
    <s v="1960"/>
    <n v="990"/>
    <s v="Agencia Información"/>
    <s v="Salud"/>
    <n v="7"/>
    <x v="46"/>
    <x v="14"/>
    <x v="1"/>
    <x v="7"/>
    <x v="11"/>
    <x v="174"/>
    <s v="Periodo 2012-2018"/>
    <s v="Número de personas"/>
    <s v="Departamento de Estadísticas e Información de la Salud (DEIS) - Ministerio de Salud"/>
    <s v="Población en Control del Programa de Salud Cardiovascular por Enfermedad en la Región de Maule, 2012-2018"/>
    <m/>
    <s v="Gráfico de Evolución"/>
    <s v="diabetes tabaquismo obesidad cardiovascular corazón hipertensión enfermedad renal dislipidemias infarto salud programa región maule"/>
    <s v="https://analytics.zoho.com/open-view/2395394000008539404?ZOHO_CRITERIA=%22Uni%C3%B3n%202.11-2.12%22.%22C%C3%B3digo%20Regi%C3%B3n%22%20%3D%207"/>
    <x v="7"/>
    <s v="#1774B482"/>
  </r>
  <r>
    <s v="1961"/>
    <n v="990"/>
    <s v="Agencia Información"/>
    <s v="Salud"/>
    <n v="8"/>
    <x v="46"/>
    <x v="14"/>
    <x v="1"/>
    <x v="8"/>
    <x v="11"/>
    <x v="174"/>
    <s v="Periodo 2012-2018"/>
    <s v="Número de personas"/>
    <s v="Departamento de Estadísticas e Información de la Salud (DEIS) - Ministerio de Salud"/>
    <s v="Población en Control del Programa de Salud Cardiovascular por Enfermedad en la Región del Biobío, 2012-2018"/>
    <m/>
    <s v="Gráfico de Evolución"/>
    <s v="diabetes tabaquismo obesidad cardiovascular corazón hipertensión enfermedad renal dislipidemias infarto salud programa región biobío"/>
    <s v="https://analytics.zoho.com/open-view/2395394000008539404?ZOHO_CRITERIA=%22Uni%C3%B3n%202.11-2.12%22.%22C%C3%B3digo%20Regi%C3%B3n%22%20%3D%208"/>
    <x v="8"/>
    <s v="#1774B483"/>
  </r>
  <r>
    <s v="1962"/>
    <n v="990"/>
    <s v="Agencia Información"/>
    <s v="Salud"/>
    <n v="9"/>
    <x v="46"/>
    <x v="14"/>
    <x v="1"/>
    <x v="9"/>
    <x v="11"/>
    <x v="174"/>
    <s v="Periodo 2012-2018"/>
    <s v="Número de personas"/>
    <s v="Departamento de Estadísticas e Información de la Salud (DEIS) - Ministerio de Salud"/>
    <s v="Población en Control del Programa de Salud Cardiovascular por Enfermedad en la Región de La Araucanía, 2012-2018"/>
    <m/>
    <s v="Gráfico de Evolución"/>
    <s v="diabetes tabaquismo obesidad cardiovascular corazón hipertensión enfermedad renal dislipidemias infarto salud programa región araucanía"/>
    <s v="https://analytics.zoho.com/open-view/2395394000008539404?ZOHO_CRITERIA=%22Uni%C3%B3n%202.11-2.12%22.%22C%C3%B3digo%20Regi%C3%B3n%22%20%3D%209"/>
    <x v="9"/>
    <s v="#1774B484"/>
  </r>
  <r>
    <s v="1963"/>
    <n v="990"/>
    <s v="Agencia Información"/>
    <s v="Salud"/>
    <n v="10"/>
    <x v="46"/>
    <x v="14"/>
    <x v="1"/>
    <x v="10"/>
    <x v="11"/>
    <x v="174"/>
    <s v="Periodo 2012-2018"/>
    <s v="Número de personas"/>
    <s v="Departamento de Estadísticas e Información de la Salud (DEIS) - Ministerio de Salud"/>
    <s v="Población en Control del Programa de Salud Cardiovascular por Enfermedad en la Región de Los Lagos, 2012-2018"/>
    <m/>
    <s v="Gráfico de Evolución"/>
    <s v="diabetes tabaquismo obesidad cardiovascular corazón hipertensión enfermedad renal dislipidemias infarto salud programa región los lagos"/>
    <s v="https://analytics.zoho.com/open-view/2395394000008539404?ZOHO_CRITERIA=%22Uni%C3%B3n%202.11-2.12%22.%22C%C3%B3digo%20Regi%C3%B3n%22%20%3D%2010"/>
    <x v="10"/>
    <s v="#1774B485"/>
  </r>
  <r>
    <s v="1964"/>
    <n v="990"/>
    <s v="Agencia Información"/>
    <s v="Salud"/>
    <n v="11"/>
    <x v="46"/>
    <x v="14"/>
    <x v="1"/>
    <x v="11"/>
    <x v="11"/>
    <x v="174"/>
    <s v="Periodo 2012-2018"/>
    <s v="Número de personas"/>
    <s v="Departamento de Estadísticas e Información de la Salud (DEIS) - Ministerio de Salud"/>
    <s v="Población en Control del Programa de Salud Cardiovascular por Enfermedad en la Región de Aysén, 2012-2018"/>
    <m/>
    <s v="Gráfico de Evolución"/>
    <s v="diabetes tabaquismo obesidad cardiovascular corazón hipertensión enfermedad renal dislipidemias infarto salud programa región aysén"/>
    <s v="https://analytics.zoho.com/open-view/2395394000008539404?ZOHO_CRITERIA=%22Uni%C3%B3n%202.11-2.12%22.%22C%C3%B3digo%20Regi%C3%B3n%22%20%3D%2011"/>
    <x v="11"/>
    <s v="#1774B486"/>
  </r>
  <r>
    <s v="1965"/>
    <n v="990"/>
    <s v="Agencia Información"/>
    <s v="Salud"/>
    <n v="12"/>
    <x v="46"/>
    <x v="14"/>
    <x v="1"/>
    <x v="12"/>
    <x v="11"/>
    <x v="174"/>
    <s v="Periodo 2012-2018"/>
    <s v="Número de personas"/>
    <s v="Departamento de Estadísticas e Información de la Salud (DEIS) - Ministerio de Salud"/>
    <s v="Población en Control del Programa de Salud Cardiovascular por Enfermedad en la Región de Magallanes, 2012-2018"/>
    <m/>
    <s v="Gráfico de Evolución"/>
    <s v="diabetes tabaquismo obesidad cardiovascular corazón hipertensión enfermedad renal dislipidemias infarto salud programa región magallanes"/>
    <s v="https://analytics.zoho.com/open-view/2395394000008539404?ZOHO_CRITERIA=%22Uni%C3%B3n%202.11-2.12%22.%22C%C3%B3digo%20Regi%C3%B3n%22%20%3D%2012"/>
    <x v="12"/>
    <s v="#1774B487"/>
  </r>
  <r>
    <s v="1966"/>
    <n v="990"/>
    <s v="Agencia Información"/>
    <s v="Salud"/>
    <n v="13"/>
    <x v="46"/>
    <x v="14"/>
    <x v="1"/>
    <x v="13"/>
    <x v="11"/>
    <x v="174"/>
    <s v="Periodo 2012-2018"/>
    <s v="Número de personas"/>
    <s v="Departamento de Estadísticas e Información de la Salud (DEIS) - Ministerio de Salud"/>
    <s v="Población en Control del Programa de Salud Cardiovascular por Enfermedad en la Región Metropolitana, 2012-2018"/>
    <m/>
    <s v="Gráfico de Evolución"/>
    <s v="diabetes tabaquismo obesidad cardiovascular corazón hipertensión enfermedad renal dislipidemias infarto salud programa región metropolitana"/>
    <s v="https://analytics.zoho.com/open-view/2395394000008539404?ZOHO_CRITERIA=%22Uni%C3%B3n%202.11-2.12%22.%22C%C3%B3digo%20Regi%C3%B3n%22%20%3D%2013"/>
    <x v="13"/>
    <s v="#1774B488"/>
  </r>
  <r>
    <s v="1967"/>
    <n v="990"/>
    <s v="Agencia Información"/>
    <s v="Salud"/>
    <n v="14"/>
    <x v="46"/>
    <x v="14"/>
    <x v="1"/>
    <x v="14"/>
    <x v="11"/>
    <x v="174"/>
    <s v="Periodo 2012-2018"/>
    <s v="Número de personas"/>
    <s v="Departamento de Estadísticas e Información de la Salud (DEIS) - Ministerio de Salud"/>
    <s v="Población en Control del Programa de Salud Cardiovascular por Enfermedad en la Región de Los Ríos, 2012-2018"/>
    <m/>
    <s v="Gráfico de Evolución"/>
    <s v="diabetes tabaquismo obesidad cardiovascular corazón hipertensión enfermedad renal dislipidemias infarto salud programa región los ríos"/>
    <s v="https://analytics.zoho.com/open-view/2395394000008539404?ZOHO_CRITERIA=%22Uni%C3%B3n%202.11-2.12%22.%22C%C3%B3digo%20Regi%C3%B3n%22%20%3D%2014"/>
    <x v="14"/>
    <s v="#1774B489"/>
  </r>
  <r>
    <s v="1968"/>
    <n v="990"/>
    <s v="Agencia Información"/>
    <s v="Salud"/>
    <n v="15"/>
    <x v="46"/>
    <x v="14"/>
    <x v="1"/>
    <x v="15"/>
    <x v="11"/>
    <x v="174"/>
    <s v="Periodo 2012-2018"/>
    <s v="Número de personas"/>
    <s v="Departamento de Estadísticas e Información de la Salud (DEIS) - Ministerio de Salud"/>
    <s v="Población en Control del Programa de Salud Cardiovascular por Enfermedad en la Región de Arica y Parinacota, 2012-2018"/>
    <m/>
    <s v="Gráfico de Evolución"/>
    <s v="diabetes tabaquismo obesidad cardiovascular corazón hipertensión enfermedad renal dislipidemias infarto salud programa región arica parinacota"/>
    <s v="https://analytics.zoho.com/open-view/2395394000008539404?ZOHO_CRITERIA=%22Uni%C3%B3n%202.11-2.12%22.%22C%C3%B3digo%20Regi%C3%B3n%22%20%3D%2015"/>
    <x v="15"/>
    <s v="#1774B490"/>
  </r>
  <r>
    <s v="1969"/>
    <n v="990"/>
    <s v="Agencia Información"/>
    <s v="Salud"/>
    <n v="16"/>
    <x v="46"/>
    <x v="14"/>
    <x v="1"/>
    <x v="16"/>
    <x v="11"/>
    <x v="174"/>
    <s v="Periodo 2012-2018"/>
    <s v="Número de personas"/>
    <s v="Departamento de Estadísticas e Información de la Salud (DEIS) - Ministerio de Salud"/>
    <s v="Población en Control del Programa de Salud Cardiovascular por Enfermedad en la Región de Ñuble, 2012-2018"/>
    <m/>
    <s v="Gráfico de Evolución"/>
    <s v="diabetes tabaquismo obesidad cardiovascular corazón hipertensión enfermedad renal dislipidemias infarto salud programa región ñuble"/>
    <s v="https://analytics.zoho.com/open-view/2395394000008539404?ZOHO_CRITERIA=%22Uni%C3%B3n%202.11-2.12%22.%22C%C3%B3digo%20Regi%C3%B3n%22%20%3D%2016"/>
    <x v="16"/>
    <s v="#1774B491"/>
  </r>
  <r>
    <s v="1970"/>
    <n v="990"/>
    <s v="Agencia Información"/>
    <s v="Salud"/>
    <n v="0"/>
    <x v="46"/>
    <x v="14"/>
    <x v="0"/>
    <x v="0"/>
    <x v="1"/>
    <x v="174"/>
    <s v="Periodo 2012-2018"/>
    <s v="Número de personas"/>
    <s v="Departamento de Estadísticas e Información de la Salud (DEIS) - Ministerio de Salud"/>
    <s v="Población en Control del Programa de Salud Cardiovascular por Región, Chile 2012-2018"/>
    <s v="Para el año 2018, la Población en Control del Programa de Salud Cardiovascular (PSCV) se concentró en mayor cantidad en la Región Metropolitana con casi 2 millones de personas. Luego viene la Región del Biobío, la cual terminó el año 2018 con más de 600 mil personas en el programa."/>
    <s v="Gráfico de Evolución"/>
    <s v="enfermedad cardiovascular corazón población control salud programa regional chile"/>
    <s v="https://analytics.zoho.com/open-view/2395394000008188130"/>
    <x v="0"/>
    <s v="#1774B492"/>
  </r>
  <r>
    <s v="1971"/>
    <n v="990"/>
    <s v="Agencia Información"/>
    <s v="Salud"/>
    <n v="1"/>
    <x v="46"/>
    <x v="14"/>
    <x v="1"/>
    <x v="1"/>
    <x v="1"/>
    <x v="174"/>
    <s v="Periodo 2012-2018"/>
    <s v="Número de personas"/>
    <s v="Departamento de Estadísticas e Información de la Salud (DEIS) - Ministerio de Salud"/>
    <s v="Población en Control del Programa de Salud Cardiovascular en la Región de Tarapacá, 2012-2018"/>
    <m/>
    <s v="Gráfico de Evolución"/>
    <s v="enfermedad cardiovascular corazón población control salud programa región tarapacá"/>
    <s v="https://analytics.zoho.com/open-view/2395394000008188130?ZOHO_CRITERIA=%22Uni%C3%B3n%202.11-2.12%22.%22C%C3%B3digo%20Regi%C3%B3n%22%20%3D%201"/>
    <x v="1"/>
    <s v="#1774B493"/>
  </r>
  <r>
    <s v="1972"/>
    <n v="990"/>
    <s v="Agencia Información"/>
    <s v="Salud"/>
    <n v="2"/>
    <x v="46"/>
    <x v="14"/>
    <x v="1"/>
    <x v="2"/>
    <x v="1"/>
    <x v="174"/>
    <s v="Periodo 2012-2018"/>
    <s v="Número de personas"/>
    <s v="Departamento de Estadísticas e Información de la Salud (DEIS) - Ministerio de Salud"/>
    <s v="Población en Control del Programa de Salud Cardiovascular en la Región de Antofagasta, 2012-2018"/>
    <m/>
    <s v="Gráfico de Evolución"/>
    <s v="enfermedad cardiovascular corazón población control salud programa región antofagasta"/>
    <s v="https://analytics.zoho.com/open-view/2395394000008188130?ZOHO_CRITERIA=%22Uni%C3%B3n%202.11-2.12%22.%22C%C3%B3digo%20Regi%C3%B3n%22%20%3D%202"/>
    <x v="2"/>
    <s v="#1774B494"/>
  </r>
  <r>
    <s v="1973"/>
    <n v="990"/>
    <s v="Agencia Información"/>
    <s v="Salud"/>
    <n v="3"/>
    <x v="46"/>
    <x v="14"/>
    <x v="1"/>
    <x v="3"/>
    <x v="1"/>
    <x v="174"/>
    <s v="Periodo 2012-2018"/>
    <s v="Número de personas"/>
    <s v="Departamento de Estadísticas e Información de la Salud (DEIS) - Ministerio de Salud"/>
    <s v="Población en Control del Programa de Salud Cardiovascular en la Región de Atacama, 2012-2018"/>
    <m/>
    <s v="Gráfico de Evolución"/>
    <s v="enfermedad cardiovascular corazón población control salud programa región atacama"/>
    <s v="https://analytics.zoho.com/open-view/2395394000008188130?ZOHO_CRITERIA=%22Uni%C3%B3n%202.11-2.12%22.%22C%C3%B3digo%20Regi%C3%B3n%22%20%3D%203"/>
    <x v="3"/>
    <s v="#1774B495"/>
  </r>
  <r>
    <s v="1974"/>
    <n v="990"/>
    <s v="Agencia Información"/>
    <s v="Salud"/>
    <n v="4"/>
    <x v="46"/>
    <x v="14"/>
    <x v="1"/>
    <x v="4"/>
    <x v="1"/>
    <x v="174"/>
    <s v="Periodo 2012-2018"/>
    <s v="Número de personas"/>
    <s v="Departamento de Estadísticas e Información de la Salud (DEIS) - Ministerio de Salud"/>
    <s v="Población en Control del Programa de Salud Cardiovascular en la Región de Coquimbo, 2012-2018"/>
    <m/>
    <s v="Gráfico de Evolución"/>
    <s v="enfermedad cardiovascular corazón población control salud programa región coquimbo"/>
    <s v="https://analytics.zoho.com/open-view/2395394000008188130?ZOHO_CRITERIA=%22Uni%C3%B3n%202.11-2.12%22.%22C%C3%B3digo%20Regi%C3%B3n%22%20%3D%204"/>
    <x v="4"/>
    <s v="#1774B496"/>
  </r>
  <r>
    <s v="1975"/>
    <n v="990"/>
    <s v="Agencia Información"/>
    <s v="Salud"/>
    <n v="5"/>
    <x v="46"/>
    <x v="14"/>
    <x v="1"/>
    <x v="5"/>
    <x v="1"/>
    <x v="174"/>
    <s v="Periodo 2012-2018"/>
    <s v="Número de personas"/>
    <s v="Departamento de Estadísticas e Información de la Salud (DEIS) - Ministerio de Salud"/>
    <s v="Población en Control del Programa de Salud Cardiovascular en la Región de Valparaíso, 2012-2018"/>
    <m/>
    <s v="Gráfico de Evolución"/>
    <s v="enfermedad cardiovascular corazón población control salud programa región valparaíso"/>
    <s v="https://analytics.zoho.com/open-view/2395394000008188130?ZOHO_CRITERIA=%22Uni%C3%B3n%202.11-2.12%22.%22C%C3%B3digo%20Regi%C3%B3n%22%20%3D%205"/>
    <x v="5"/>
    <s v="#1774B497"/>
  </r>
  <r>
    <s v="1976"/>
    <n v="990"/>
    <s v="Agencia Información"/>
    <s v="Salud"/>
    <n v="6"/>
    <x v="46"/>
    <x v="14"/>
    <x v="1"/>
    <x v="6"/>
    <x v="1"/>
    <x v="174"/>
    <s v="Periodo 2012-2018"/>
    <s v="Número de personas"/>
    <s v="Departamento de Estadísticas e Información de la Salud (DEIS) - Ministerio de Salud"/>
    <s v="Población en Control del Programa de Salud Cardiovascular en la Región de O'Higgins, 2012-2018"/>
    <m/>
    <s v="Gráfico de Evolución"/>
    <s v="enfermedad cardiovascular corazón población control salud programa región ohiggins"/>
    <s v="https://analytics.zoho.com/open-view/2395394000008188130?ZOHO_CRITERIA=%22Uni%C3%B3n%202.11-2.12%22.%22C%C3%B3digo%20Regi%C3%B3n%22%20%3D%206"/>
    <x v="6"/>
    <s v="#1774B498"/>
  </r>
  <r>
    <s v="1977"/>
    <n v="990"/>
    <s v="Agencia Información"/>
    <s v="Salud"/>
    <n v="7"/>
    <x v="46"/>
    <x v="14"/>
    <x v="1"/>
    <x v="7"/>
    <x v="1"/>
    <x v="174"/>
    <s v="Periodo 2012-2018"/>
    <s v="Número de personas"/>
    <s v="Departamento de Estadísticas e Información de la Salud (DEIS) - Ministerio de Salud"/>
    <s v="Población en Control del Programa de Salud Cardiovascular en la Región de Maule, 2012-2018"/>
    <m/>
    <s v="Gráfico de Evolución"/>
    <s v="enfermedad cardiovascular corazón población control salud programa región maule"/>
    <s v="https://analytics.zoho.com/open-view/2395394000008188130?ZOHO_CRITERIA=%22Uni%C3%B3n%202.11-2.12%22.%22C%C3%B3digo%20Regi%C3%B3n%22%20%3D%207"/>
    <x v="7"/>
    <s v="#1774B499"/>
  </r>
  <r>
    <s v="1978"/>
    <n v="990"/>
    <s v="Agencia Información"/>
    <s v="Salud"/>
    <n v="8"/>
    <x v="46"/>
    <x v="14"/>
    <x v="1"/>
    <x v="8"/>
    <x v="1"/>
    <x v="174"/>
    <s v="Periodo 2012-2018"/>
    <s v="Número de personas"/>
    <s v="Departamento de Estadísticas e Información de la Salud (DEIS) - Ministerio de Salud"/>
    <s v="Población en Control del Programa de Salud Cardiovascular en la Región del Biobío, 2012-2018"/>
    <m/>
    <s v="Gráfico de Evolución"/>
    <s v="enfermedad cardiovascular corazón población control salud programa región biobío"/>
    <s v="https://analytics.zoho.com/open-view/2395394000008188130?ZOHO_CRITERIA=%22Uni%C3%B3n%202.11-2.12%22.%22C%C3%B3digo%20Regi%C3%B3n%22%20%3D%208"/>
    <x v="8"/>
    <s v="#1774B500"/>
  </r>
  <r>
    <s v="1979"/>
    <n v="990"/>
    <s v="Agencia Información"/>
    <s v="Salud"/>
    <n v="9"/>
    <x v="46"/>
    <x v="14"/>
    <x v="1"/>
    <x v="9"/>
    <x v="1"/>
    <x v="174"/>
    <s v="Periodo 2012-2018"/>
    <s v="Número de personas"/>
    <s v="Departamento de Estadísticas e Información de la Salud (DEIS) - Ministerio de Salud"/>
    <s v="Población en Control del Programa de Salud Cardiovascular en la Región de La Araucanía, 2012-2018"/>
    <m/>
    <s v="Gráfico de Evolución"/>
    <s v="enfermedad cardiovascular corazón población control salud programa región araucanía"/>
    <s v="https://analytics.zoho.com/open-view/2395394000008188130?ZOHO_CRITERIA=%22Uni%C3%B3n%202.11-2.12%22.%22C%C3%B3digo%20Regi%C3%B3n%22%20%3D%209"/>
    <x v="9"/>
    <s v="#1774B501"/>
  </r>
  <r>
    <s v="1980"/>
    <n v="990"/>
    <s v="Agencia Información"/>
    <s v="Salud"/>
    <n v="10"/>
    <x v="46"/>
    <x v="14"/>
    <x v="1"/>
    <x v="10"/>
    <x v="1"/>
    <x v="174"/>
    <s v="Periodo 2012-2018"/>
    <s v="Número de personas"/>
    <s v="Departamento de Estadísticas e Información de la Salud (DEIS) - Ministerio de Salud"/>
    <s v="Población en Control del Programa de Salud Cardiovascular en la Región de Los Lagos, 2012-2018"/>
    <m/>
    <s v="Gráfico de Evolución"/>
    <s v="enfermedad cardiovascular corazón población control salud programa región los lagos"/>
    <s v="https://analytics.zoho.com/open-view/2395394000008188130?ZOHO_CRITERIA=%22Uni%C3%B3n%202.11-2.12%22.%22C%C3%B3digo%20Regi%C3%B3n%22%20%3D%2010"/>
    <x v="10"/>
    <s v="#1774B502"/>
  </r>
  <r>
    <s v="1981"/>
    <n v="990"/>
    <s v="Agencia Información"/>
    <s v="Salud"/>
    <n v="11"/>
    <x v="46"/>
    <x v="14"/>
    <x v="1"/>
    <x v="11"/>
    <x v="1"/>
    <x v="174"/>
    <s v="Periodo 2012-2018"/>
    <s v="Número de personas"/>
    <s v="Departamento de Estadísticas e Información de la Salud (DEIS) - Ministerio de Salud"/>
    <s v="Población en Control del Programa de Salud Cardiovascular en la Región de Aysén, 2012-2018"/>
    <m/>
    <s v="Gráfico de Evolución"/>
    <s v="enfermedad cardiovascular corazón población control salud programa región aysén"/>
    <s v="https://analytics.zoho.com/open-view/2395394000008188130?ZOHO_CRITERIA=%22Uni%C3%B3n%202.11-2.12%22.%22C%C3%B3digo%20Regi%C3%B3n%22%20%3D%2011"/>
    <x v="11"/>
    <s v="#1774B503"/>
  </r>
  <r>
    <s v="1982"/>
    <n v="990"/>
    <s v="Agencia Información"/>
    <s v="Salud"/>
    <n v="12"/>
    <x v="46"/>
    <x v="14"/>
    <x v="1"/>
    <x v="12"/>
    <x v="1"/>
    <x v="174"/>
    <s v="Periodo 2012-2018"/>
    <s v="Número de personas"/>
    <s v="Departamento de Estadísticas e Información de la Salud (DEIS) - Ministerio de Salud"/>
    <s v="Población en Control del Programa de Salud Cardiovascular en la Región de Magallanes, 2012-2018"/>
    <m/>
    <s v="Gráfico de Evolución"/>
    <s v="enfermedad cardiovascular corazón población control salud programa región magallanes"/>
    <s v="https://analytics.zoho.com/open-view/2395394000008188130?ZOHO_CRITERIA=%22Uni%C3%B3n%202.11-2.12%22.%22C%C3%B3digo%20Regi%C3%B3n%22%20%3D%2012"/>
    <x v="12"/>
    <s v="#1774B504"/>
  </r>
  <r>
    <s v="1983"/>
    <n v="990"/>
    <s v="Agencia Información"/>
    <s v="Salud"/>
    <n v="13"/>
    <x v="46"/>
    <x v="14"/>
    <x v="1"/>
    <x v="13"/>
    <x v="1"/>
    <x v="174"/>
    <s v="Periodo 2012-2018"/>
    <s v="Número de personas"/>
    <s v="Departamento de Estadísticas e Información de la Salud (DEIS) - Ministerio de Salud"/>
    <s v="Población en Control del Programa de Salud Cardiovascular en la Región Metropolitana, 2012-2018"/>
    <m/>
    <s v="Gráfico de Evolución"/>
    <s v="enfermedad cardiovascular corazón población control salud programa región metropolitana"/>
    <s v="https://analytics.zoho.com/open-view/2395394000008188130?ZOHO_CRITERIA=%22Uni%C3%B3n%202.11-2.12%22.%22C%C3%B3digo%20Regi%C3%B3n%22%20%3D%2013"/>
    <x v="13"/>
    <s v="#1774B505"/>
  </r>
  <r>
    <s v="1984"/>
    <n v="990"/>
    <s v="Agencia Información"/>
    <s v="Salud"/>
    <n v="14"/>
    <x v="46"/>
    <x v="14"/>
    <x v="1"/>
    <x v="14"/>
    <x v="1"/>
    <x v="174"/>
    <s v="Periodo 2012-2018"/>
    <s v="Número de personas"/>
    <s v="Departamento de Estadísticas e Información de la Salud (DEIS) - Ministerio de Salud"/>
    <s v="Población en Control del Programa de Salud Cardiovascular en la Región de Los Ríos, 2012-2018"/>
    <m/>
    <s v="Gráfico de Evolución"/>
    <s v="enfermedad cardiovascular corazón población control salud programa región los ríos"/>
    <s v="https://analytics.zoho.com/open-view/2395394000008188130?ZOHO_CRITERIA=%22Uni%C3%B3n%202.11-2.12%22.%22C%C3%B3digo%20Regi%C3%B3n%22%20%3D%2014"/>
    <x v="14"/>
    <s v="#1774B506"/>
  </r>
  <r>
    <s v="1985"/>
    <n v="990"/>
    <s v="Agencia Información"/>
    <s v="Salud"/>
    <n v="15"/>
    <x v="46"/>
    <x v="14"/>
    <x v="1"/>
    <x v="15"/>
    <x v="1"/>
    <x v="174"/>
    <s v="Periodo 2012-2018"/>
    <s v="Número de personas"/>
    <s v="Departamento de Estadísticas e Información de la Salud (DEIS) - Ministerio de Salud"/>
    <s v="Población en Control del Programa de Salud Cardiovascular en la Región de Arica y Parinacota, 2012-2018"/>
    <m/>
    <s v="Gráfico de Evolución"/>
    <s v="enfermedad cardiovascular corazón población control salud programa región arica parinacota"/>
    <s v="https://analytics.zoho.com/open-view/2395394000008188130?ZOHO_CRITERIA=%22Uni%C3%B3n%202.11-2.12%22.%22C%C3%B3digo%20Regi%C3%B3n%22%20%3D%2015"/>
    <x v="15"/>
    <s v="#1774B507"/>
  </r>
  <r>
    <s v="1986"/>
    <n v="990"/>
    <s v="Agencia Información"/>
    <s v="Salud"/>
    <n v="16"/>
    <x v="46"/>
    <x v="14"/>
    <x v="1"/>
    <x v="16"/>
    <x v="1"/>
    <x v="174"/>
    <s v="Periodo 2012-2018"/>
    <s v="Número de personas"/>
    <s v="Departamento de Estadísticas e Información de la Salud (DEIS) - Ministerio de Salud"/>
    <s v="Población en Control del Programa de Salud Cardiovascular en la Región de Ñuble, 2012-2018"/>
    <m/>
    <s v="Gráfico de Evolución"/>
    <s v="enfermedad cardiovascular corazón población control salud programa región ñuble"/>
    <s v="https://analytics.zoho.com/open-view/2395394000008188130?ZOHO_CRITERIA=%22Uni%C3%B3n%202.11-2.12%22.%22C%C3%B3digo%20Regi%C3%B3n%22%20%3D%2016"/>
    <x v="16"/>
    <s v="#1774B508"/>
  </r>
  <r>
    <s v="1987"/>
    <n v="990"/>
    <s v="Agencia Información"/>
    <s v="Salud"/>
    <n v="0"/>
    <x v="46"/>
    <x v="14"/>
    <x v="0"/>
    <x v="0"/>
    <x v="12"/>
    <x v="174"/>
    <s v="Periodo 2012-2018"/>
    <s v="Número de personas"/>
    <s v="Departamento de Estadísticas e Información de la Salud (DEIS) - Ministerio de Salud"/>
    <s v="Población en Control del Programa de Salud Cardiovascular por Comuna, Chile 2012-2018"/>
    <s v="Considerando el periodo 2012-2018, se observa que las comunas de Puente Alto y La Florida tuvieron la mayor Población en Control del Programa de Salud Cardiovascular superando el millón de personas, seguidos por la comuna Valparaíso que alcanzó 800 mil personas en control para el periodo analizado."/>
    <s v="Gráfico de Evolución"/>
    <s v="enfermedad cardiovascular corazón población control salud programa comunal chile"/>
    <s v="https://analytics.zoho.com/open-view/2395394000008188039"/>
    <x v="17"/>
    <s v="#1774B509"/>
  </r>
  <r>
    <s v="1988"/>
    <n v="990"/>
    <s v="Agencia Información"/>
    <s v="Salud"/>
    <n v="1"/>
    <x v="46"/>
    <x v="14"/>
    <x v="1"/>
    <x v="1"/>
    <x v="13"/>
    <x v="174"/>
    <s v="Periodo 2012-2018"/>
    <s v="Número de personas"/>
    <s v="Departamento de Estadísticas e Información de la Salud (DEIS) - Ministerio de Salud"/>
    <s v="Población en Control del Programa de Salud Cardiovascular por Comuna en la Región de Tarapacá, 2012-2018"/>
    <m/>
    <s v="Gráfico de Evolución"/>
    <s v="enfermedad cardiovascular corazón población control salud programa comunal región tarapacá"/>
    <s v="https://analytics.zoho.com/open-view/2395394000008463254?ZOHO_CRITERIA=%22Uni%C3%B3n%202.11-2.12%22.%22C%C3%B3digo%20Regi%C3%B3n%22%20%3D%201"/>
    <x v="18"/>
    <s v="#1774B510"/>
  </r>
  <r>
    <s v="1989"/>
    <n v="990"/>
    <s v="Agencia Información"/>
    <s v="Salud"/>
    <n v="2"/>
    <x v="46"/>
    <x v="14"/>
    <x v="1"/>
    <x v="2"/>
    <x v="13"/>
    <x v="174"/>
    <s v="Periodo 2012-2018"/>
    <s v="Número de personas"/>
    <s v="Departamento de Estadísticas e Información de la Salud (DEIS) - Ministerio de Salud"/>
    <s v="Población en Control del Programa de Salud Cardiovascular por Comuna en la Región de Antofagasta, 2012-2018"/>
    <m/>
    <s v="Gráfico de Evolución"/>
    <s v="enfermedad cardiovascular corazón población control salud programa comunal región antofagasta"/>
    <s v="https://analytics.zoho.com/open-view/2395394000008463254?ZOHO_CRITERIA=%22Uni%C3%B3n%202.11-2.12%22.%22C%C3%B3digo%20Regi%C3%B3n%22%20%3D%202"/>
    <x v="19"/>
    <s v="#1774B511"/>
  </r>
  <r>
    <s v="1990"/>
    <n v="990"/>
    <s v="Agencia Información"/>
    <s v="Salud"/>
    <n v="3"/>
    <x v="46"/>
    <x v="14"/>
    <x v="1"/>
    <x v="3"/>
    <x v="13"/>
    <x v="174"/>
    <s v="Periodo 2012-2018"/>
    <s v="Número de personas"/>
    <s v="Departamento de Estadísticas e Información de la Salud (DEIS) - Ministerio de Salud"/>
    <s v="Población en Control del Programa de Salud Cardiovascular por Comuna en la Región de Atacama, 2012-2018"/>
    <m/>
    <s v="Gráfico de Evolución"/>
    <s v="enfermedad cardiovascular corazón población control salud programa comunal región atacama"/>
    <s v="https://analytics.zoho.com/open-view/2395394000008463254?ZOHO_CRITERIA=%22Uni%C3%B3n%202.11-2.12%22.%22C%C3%B3digo%20Regi%C3%B3n%22%20%3D%203"/>
    <x v="20"/>
    <s v="#1774B512"/>
  </r>
  <r>
    <s v="1991"/>
    <n v="990"/>
    <s v="Agencia Información"/>
    <s v="Salud"/>
    <n v="4"/>
    <x v="46"/>
    <x v="14"/>
    <x v="1"/>
    <x v="4"/>
    <x v="13"/>
    <x v="174"/>
    <s v="Periodo 2012-2018"/>
    <s v="Número de personas"/>
    <s v="Departamento de Estadísticas e Información de la Salud (DEIS) - Ministerio de Salud"/>
    <s v="Población en Control del Programa de Salud Cardiovascular por Comuna en la Región de Coquimbo, 2012-2018"/>
    <m/>
    <s v="Gráfico de Evolución"/>
    <s v="enfermedad cardiovascular corazón población control salud programa comunal región coquimbo"/>
    <s v="https://analytics.zoho.com/open-view/2395394000008463254?ZOHO_CRITERIA=%22Uni%C3%B3n%202.11-2.12%22.%22C%C3%B3digo%20Regi%C3%B3n%22%20%3D%204"/>
    <x v="21"/>
    <s v="#1774B513"/>
  </r>
  <r>
    <s v="1992"/>
    <n v="990"/>
    <s v="Agencia Información"/>
    <s v="Salud"/>
    <n v="5"/>
    <x v="46"/>
    <x v="14"/>
    <x v="1"/>
    <x v="5"/>
    <x v="13"/>
    <x v="174"/>
    <s v="Periodo 2012-2018"/>
    <s v="Número de personas"/>
    <s v="Departamento de Estadísticas e Información de la Salud (DEIS) - Ministerio de Salud"/>
    <s v="Población en Control del Programa de Salud Cardiovascular por Comuna en la Región de Valparaíso, 2012-2018"/>
    <m/>
    <s v="Gráfico de Evolución"/>
    <s v="enfermedad cardiovascular corazón población control salud programa comunal región valparaíso"/>
    <s v="https://analytics.zoho.com/open-view/2395394000008463254?ZOHO_CRITERIA=%22Uni%C3%B3n%202.11-2.12%22.%22C%C3%B3digo%20Regi%C3%B3n%22%20%3D%205"/>
    <x v="22"/>
    <s v="#1774B514"/>
  </r>
  <r>
    <s v="1993"/>
    <n v="990"/>
    <s v="Agencia Información"/>
    <s v="Salud"/>
    <n v="6"/>
    <x v="46"/>
    <x v="14"/>
    <x v="1"/>
    <x v="6"/>
    <x v="13"/>
    <x v="174"/>
    <s v="Periodo 2012-2018"/>
    <s v="Número de personas"/>
    <s v="Departamento de Estadísticas e Información de la Salud (DEIS) - Ministerio de Salud"/>
    <s v="Población en Control del Programa de Salud Cardiovascular por Comuna en la Región de O'Higgins, 2012-2018"/>
    <m/>
    <s v="Gráfico de Evolución"/>
    <s v="enfermedad cardiovascular corazón población control salud programa comunal región ohiggins"/>
    <s v="https://analytics.zoho.com/open-view/2395394000008463254?ZOHO_CRITERIA=%22Uni%C3%B3n%202.11-2.12%22.%22C%C3%B3digo%20Regi%C3%B3n%22%20%3D%206"/>
    <x v="23"/>
    <s v="#1774B515"/>
  </r>
  <r>
    <s v="1994"/>
    <n v="990"/>
    <s v="Agencia Información"/>
    <s v="Salud"/>
    <n v="7"/>
    <x v="46"/>
    <x v="14"/>
    <x v="1"/>
    <x v="7"/>
    <x v="13"/>
    <x v="174"/>
    <s v="Periodo 2012-2018"/>
    <s v="Número de personas"/>
    <s v="Departamento de Estadísticas e Información de la Salud (DEIS) - Ministerio de Salud"/>
    <s v="Población en Control del Programa de Salud Cardiovascular por Comuna en la Región de Maule, 2012-2018"/>
    <m/>
    <s v="Gráfico de Evolución"/>
    <s v="enfermedad cardiovascular corazón población control salud programa comunal región maule"/>
    <s v="https://analytics.zoho.com/open-view/2395394000008463254?ZOHO_CRITERIA=%22Uni%C3%B3n%202.11-2.12%22.%22C%C3%B3digo%20Regi%C3%B3n%22%20%3D%207"/>
    <x v="24"/>
    <s v="#1774B516"/>
  </r>
  <r>
    <s v="1995"/>
    <n v="990"/>
    <s v="Agencia Información"/>
    <s v="Salud"/>
    <n v="8"/>
    <x v="46"/>
    <x v="14"/>
    <x v="1"/>
    <x v="8"/>
    <x v="13"/>
    <x v="174"/>
    <s v="Periodo 2012-2018"/>
    <s v="Número de personas"/>
    <s v="Departamento de Estadísticas e Información de la Salud (DEIS) - Ministerio de Salud"/>
    <s v="Población en Control del Programa de Salud Cardiovascular por Comuna en la Región del Biobío, 2012-2018"/>
    <m/>
    <s v="Gráfico de Evolución"/>
    <s v="enfermedad cardiovascular corazón población control salud programa comunal región biobío"/>
    <s v="https://analytics.zoho.com/open-view/2395394000008463254?ZOHO_CRITERIA=%22Uni%C3%B3n%202.11-2.12%22.%22C%C3%B3digo%20Regi%C3%B3n%22%20%3D%208"/>
    <x v="25"/>
    <s v="#1774B517"/>
  </r>
  <r>
    <s v="1996"/>
    <n v="990"/>
    <s v="Agencia Información"/>
    <s v="Salud"/>
    <n v="9"/>
    <x v="46"/>
    <x v="14"/>
    <x v="1"/>
    <x v="9"/>
    <x v="13"/>
    <x v="174"/>
    <s v="Periodo 2012-2018"/>
    <s v="Número de personas"/>
    <s v="Departamento de Estadísticas e Información de la Salud (DEIS) - Ministerio de Salud"/>
    <s v="Población en Control del Programa de Salud Cardiovascular por Comuna en la Región de La Araucanía, 2012-2018"/>
    <m/>
    <s v="Gráfico de Evolución"/>
    <s v="enfermedad cardiovascular corazón población control salud programa comunal región araucanía"/>
    <s v="https://analytics.zoho.com/open-view/2395394000008463254?ZOHO_CRITERIA=%22Uni%C3%B3n%202.11-2.12%22.%22C%C3%B3digo%20Regi%C3%B3n%22%20%3D%209"/>
    <x v="26"/>
    <s v="#1774B518"/>
  </r>
  <r>
    <s v="1997"/>
    <n v="990"/>
    <s v="Agencia Información"/>
    <s v="Salud"/>
    <n v="10"/>
    <x v="46"/>
    <x v="14"/>
    <x v="1"/>
    <x v="10"/>
    <x v="13"/>
    <x v="174"/>
    <s v="Periodo 2012-2018"/>
    <s v="Número de personas"/>
    <s v="Departamento de Estadísticas e Información de la Salud (DEIS) - Ministerio de Salud"/>
    <s v="Población en Control del Programa de Salud Cardiovascular por Comuna en la Región de Los Lagos, 2012-2018"/>
    <m/>
    <s v="Gráfico de Evolución"/>
    <s v="enfermedad cardiovascular corazón población control salud programa comunal región los lagos"/>
    <s v="https://analytics.zoho.com/open-view/2395394000008463254?ZOHO_CRITERIA=%22Uni%C3%B3n%202.11-2.12%22.%22C%C3%B3digo%20Regi%C3%B3n%22%20%3D%2010"/>
    <x v="27"/>
    <s v="#1774B519"/>
  </r>
  <r>
    <s v="1998"/>
    <n v="990"/>
    <s v="Agencia Información"/>
    <s v="Salud"/>
    <n v="11"/>
    <x v="46"/>
    <x v="14"/>
    <x v="1"/>
    <x v="11"/>
    <x v="13"/>
    <x v="174"/>
    <s v="Periodo 2012-2018"/>
    <s v="Número de personas"/>
    <s v="Departamento de Estadísticas e Información de la Salud (DEIS) - Ministerio de Salud"/>
    <s v="Población en Control del Programa de Salud Cardiovascular por Comuna en la Región de Aysén, 2012-2018"/>
    <m/>
    <s v="Gráfico de Evolución"/>
    <s v="enfermedad cardiovascular corazón población control salud programa comunal región aysén"/>
    <s v="https://analytics.zoho.com/open-view/2395394000008463254?ZOHO_CRITERIA=%22Uni%C3%B3n%202.11-2.12%22.%22C%C3%B3digo%20Regi%C3%B3n%22%20%3D%2011"/>
    <x v="28"/>
    <s v="#1774B520"/>
  </r>
  <r>
    <s v="1999"/>
    <n v="990"/>
    <s v="Agencia Información"/>
    <s v="Salud"/>
    <n v="12"/>
    <x v="46"/>
    <x v="14"/>
    <x v="1"/>
    <x v="12"/>
    <x v="13"/>
    <x v="174"/>
    <s v="Periodo 2012-2018"/>
    <s v="Número de personas"/>
    <s v="Departamento de Estadísticas e Información de la Salud (DEIS) - Ministerio de Salud"/>
    <s v="Población en Control del Programa de Salud Cardiovascular por Comuna en la Región de Magallanes, 2012-2018"/>
    <m/>
    <s v="Gráfico de Evolución"/>
    <s v="enfermedad cardiovascular corazón población control salud programa comunal región magallanes"/>
    <s v="https://analytics.zoho.com/open-view/2395394000008463254?ZOHO_CRITERIA=%22Uni%C3%B3n%202.11-2.12%22.%22C%C3%B3digo%20Regi%C3%B3n%22%20%3D%2012"/>
    <x v="29"/>
    <s v="#1774B521"/>
  </r>
  <r>
    <s v="2000"/>
    <n v="990"/>
    <s v="Agencia Información"/>
    <s v="Salud"/>
    <n v="13"/>
    <x v="46"/>
    <x v="14"/>
    <x v="1"/>
    <x v="13"/>
    <x v="13"/>
    <x v="174"/>
    <s v="Periodo 2012-2018"/>
    <s v="Número de personas"/>
    <s v="Departamento de Estadísticas e Información de la Salud (DEIS) - Ministerio de Salud"/>
    <s v="Población en Control del Programa de Salud Cardiovascular por Comuna en la Región Metropolitana, 2012-2018"/>
    <m/>
    <s v="Gráfico de Evolución"/>
    <s v="enfermedad cardiovascular corazón población control salud programa comunal región metropolitana"/>
    <s v="https://analytics.zoho.com/open-view/2395394000008463254?ZOHO_CRITERIA=%22Uni%C3%B3n%202.11-2.12%22.%22C%C3%B3digo%20Regi%C3%B3n%22%20%3D%2013"/>
    <x v="30"/>
    <s v="#1774B522"/>
  </r>
  <r>
    <s v="2001"/>
    <n v="990"/>
    <s v="Agencia Información"/>
    <s v="Salud"/>
    <n v="14"/>
    <x v="46"/>
    <x v="14"/>
    <x v="1"/>
    <x v="14"/>
    <x v="13"/>
    <x v="174"/>
    <s v="Periodo 2012-2018"/>
    <s v="Número de personas"/>
    <s v="Departamento de Estadísticas e Información de la Salud (DEIS) - Ministerio de Salud"/>
    <s v="Población en Control del Programa de Salud Cardiovascular por Comuna en la Región de Los Ríos, 2012-2018"/>
    <m/>
    <s v="Gráfico de Evolución"/>
    <s v="enfermedad cardiovascular corazón población control salud programa comunal región los ríos"/>
    <s v="https://analytics.zoho.com/open-view/2395394000008463254?ZOHO_CRITERIA=%22Uni%C3%B3n%202.11-2.12%22.%22C%C3%B3digo%20Regi%C3%B3n%22%20%3D%2014"/>
    <x v="31"/>
    <s v="#1774B523"/>
  </r>
  <r>
    <s v="2002"/>
    <n v="990"/>
    <s v="Agencia Información"/>
    <s v="Salud"/>
    <n v="15"/>
    <x v="46"/>
    <x v="14"/>
    <x v="1"/>
    <x v="15"/>
    <x v="13"/>
    <x v="174"/>
    <s v="Periodo 2012-2018"/>
    <s v="Número de personas"/>
    <s v="Departamento de Estadísticas e Información de la Salud (DEIS) - Ministerio de Salud"/>
    <s v="Población en Control del Programa de Salud Cardiovascular por Comuna en la Región de Arica y Parinacota, 2012-2018"/>
    <m/>
    <s v="Gráfico de Evolución"/>
    <s v="enfermedad cardiovascular corazón población control salud programa comunal región arica parinacota"/>
    <s v="https://analytics.zoho.com/open-view/2395394000008463254?ZOHO_CRITERIA=%22Uni%C3%B3n%202.11-2.12%22.%22C%C3%B3digo%20Regi%C3%B3n%22%20%3D%2015"/>
    <x v="32"/>
    <s v="#1774B524"/>
  </r>
  <r>
    <s v="2003"/>
    <n v="990"/>
    <s v="Agencia Información"/>
    <s v="Salud"/>
    <n v="16"/>
    <x v="46"/>
    <x v="14"/>
    <x v="1"/>
    <x v="16"/>
    <x v="13"/>
    <x v="174"/>
    <s v="Periodo 2012-2018"/>
    <s v="Número de personas"/>
    <s v="Departamento de Estadísticas e Información de la Salud (DEIS) - Ministerio de Salud"/>
    <s v="Población en Control del Programa de Salud Cardiovascular por Comuna en la Región de Ñuble, 2012-2018"/>
    <m/>
    <s v="Gráfico de Evolución"/>
    <s v="enfermedad cardiovascular corazón población control salud programa comunal región ñuble"/>
    <s v="https://analytics.zoho.com/open-view/2395394000008463254?ZOHO_CRITERIA=%22Uni%C3%B3n%202.11-2.12%22.%22C%C3%B3digo%20Regi%C3%B3n%22%20%3D%2016"/>
    <x v="33"/>
    <s v="#1774B525"/>
  </r>
  <r>
    <s v="2004"/>
    <n v="990"/>
    <s v="Agencia Información"/>
    <s v="Salud"/>
    <n v="0"/>
    <x v="46"/>
    <x v="14"/>
    <x v="0"/>
    <x v="0"/>
    <x v="0"/>
    <x v="174"/>
    <s v="Periodo 2012-2018"/>
    <s v="Número de personas"/>
    <s v="Departamento de Estadísticas e Información de la Salud (DEIS) - Ministerio de Salud"/>
    <s v="Población en Control del Programa de Salud Cardiovascular por Sexo, Chile 2012-2018"/>
    <s v="En el Programa de Salud Cardiovascular (PSCV), durante el periodo comprendido entre los años 2012-2018, es mayor la cantidad de mujeres que de hombres, alcanzando su peak el año 2014. Sin embargo, durante los años 2015-2018, en que se observa una disminución en la Población en Control del PSCV, la diferencia entre pacientes mujeres y hombres se reduce a la mitad."/>
    <s v="Gráfico de Evolución"/>
    <s v="enfermedad cardiovascular corazón población control salud programa sexo hombre mujer nacional chile"/>
    <s v="https://analytics.zoho.com/open-view/2395394000008188229"/>
    <x v="0"/>
    <s v="#1774B526"/>
  </r>
  <r>
    <s v="2005"/>
    <n v="990"/>
    <s v="Agencia Información"/>
    <s v="Salud"/>
    <n v="1"/>
    <x v="46"/>
    <x v="14"/>
    <x v="1"/>
    <x v="1"/>
    <x v="1"/>
    <x v="174"/>
    <s v="Periodo 2012-2018"/>
    <s v="Número de personas"/>
    <s v="Departamento de Estadísticas e Información de la Salud (DEIS) - Ministerio de Salud"/>
    <s v="Población en Control del Programa de Salud Cardiovascular por Sexo en la Región de Tarapacá, 2012-2018"/>
    <m/>
    <s v="Gráfico de Evolución"/>
    <s v="enfermedad cardiovascular corazón población control salud programa sexo hombre mujer región tarapacá"/>
    <s v="https://analytics.zoho.com/open-view/2395394000008463332?ZOHO_CRITERIA=%22Uni%C3%B3n%202.11-2.12%22.%22C%C3%B3digo%20Regi%C3%B3n%22%20%3D%201"/>
    <x v="1"/>
    <s v="#1774B527"/>
  </r>
  <r>
    <s v="2006"/>
    <n v="990"/>
    <s v="Agencia Información"/>
    <s v="Salud"/>
    <n v="2"/>
    <x v="46"/>
    <x v="14"/>
    <x v="1"/>
    <x v="2"/>
    <x v="1"/>
    <x v="174"/>
    <s v="Periodo 2012-2018"/>
    <s v="Número de personas"/>
    <s v="Departamento de Estadísticas e Información de la Salud (DEIS) - Ministerio de Salud"/>
    <s v="Población en Control del Programa de Salud Cardiovascular por Sexo en la Región de Antofagasta, 2012-2018"/>
    <m/>
    <s v="Gráfico de Evolución"/>
    <s v="enfermedad cardiovascular corazón población control salud programa sexo hombre mujer región antofagasta"/>
    <s v="https://analytics.zoho.com/open-view/2395394000008463332?ZOHO_CRITERIA=%22Uni%C3%B3n%202.11-2.12%22.%22C%C3%B3digo%20Regi%C3%B3n%22%20%3D%202"/>
    <x v="2"/>
    <s v="#1774B528"/>
  </r>
  <r>
    <s v="2007"/>
    <n v="990"/>
    <s v="Agencia Información"/>
    <s v="Salud"/>
    <n v="3"/>
    <x v="46"/>
    <x v="14"/>
    <x v="1"/>
    <x v="3"/>
    <x v="1"/>
    <x v="174"/>
    <s v="Periodo 2012-2018"/>
    <s v="Número de personas"/>
    <s v="Departamento de Estadísticas e Información de la Salud (DEIS) - Ministerio de Salud"/>
    <s v="Población en Control del Programa de Salud Cardiovascular por Sexo en la Región de Atacama, 2012-2018"/>
    <m/>
    <s v="Gráfico de Evolución"/>
    <s v="enfermedad cardiovascular corazón población control salud programa sexo hombre mujer región atacama"/>
    <s v="https://analytics.zoho.com/open-view/2395394000008463332?ZOHO_CRITERIA=%22Uni%C3%B3n%202.11-2.12%22.%22C%C3%B3digo%20Regi%C3%B3n%22%20%3D%203"/>
    <x v="3"/>
    <s v="#1774B529"/>
  </r>
  <r>
    <s v="2008"/>
    <n v="990"/>
    <s v="Agencia Información"/>
    <s v="Salud"/>
    <n v="4"/>
    <x v="46"/>
    <x v="14"/>
    <x v="1"/>
    <x v="4"/>
    <x v="1"/>
    <x v="174"/>
    <s v="Periodo 2012-2018"/>
    <s v="Número de personas"/>
    <s v="Departamento de Estadísticas e Información de la Salud (DEIS) - Ministerio de Salud"/>
    <s v="Población en Control del Programa de Salud Cardiovascular por Sexo en la Región de Coquimbo, 2012-2018"/>
    <m/>
    <s v="Gráfico de Evolución"/>
    <s v="enfermedad cardiovascular corazón población control salud programa sexo hombre mujer región coquimbo"/>
    <s v="https://analytics.zoho.com/open-view/2395394000008463332?ZOHO_CRITERIA=%22Uni%C3%B3n%202.11-2.12%22.%22C%C3%B3digo%20Regi%C3%B3n%22%20%3D%204"/>
    <x v="4"/>
    <s v="#1774B530"/>
  </r>
  <r>
    <s v="2009"/>
    <n v="990"/>
    <s v="Agencia Información"/>
    <s v="Salud"/>
    <n v="5"/>
    <x v="46"/>
    <x v="14"/>
    <x v="1"/>
    <x v="5"/>
    <x v="1"/>
    <x v="174"/>
    <s v="Periodo 2012-2018"/>
    <s v="Número de personas"/>
    <s v="Departamento de Estadísticas e Información de la Salud (DEIS) - Ministerio de Salud"/>
    <s v="Población en Control del Programa de Salud Cardiovascular por Sexo en la Región de Valparaíso, 2012-2018"/>
    <m/>
    <s v="Gráfico de Evolución"/>
    <s v="enfermedad cardiovascular corazón población control salud programa sexo hombre mujer región valparaíso"/>
    <s v="https://analytics.zoho.com/open-view/2395394000008463332?ZOHO_CRITERIA=%22Uni%C3%B3n%202.11-2.12%22.%22C%C3%B3digo%20Regi%C3%B3n%22%20%3D%205"/>
    <x v="5"/>
    <s v="#1774B531"/>
  </r>
  <r>
    <s v="2010"/>
    <n v="990"/>
    <s v="Agencia Información"/>
    <s v="Salud"/>
    <n v="6"/>
    <x v="46"/>
    <x v="14"/>
    <x v="1"/>
    <x v="6"/>
    <x v="1"/>
    <x v="174"/>
    <s v="Periodo 2012-2018"/>
    <s v="Número de personas"/>
    <s v="Departamento de Estadísticas e Información de la Salud (DEIS) - Ministerio de Salud"/>
    <s v="Población en Control del Programa de Salud Cardiovascular por Sexo en la Región de O'Higgins, 2012-2018"/>
    <m/>
    <s v="Gráfico de Evolución"/>
    <s v="enfermedad cardiovascular corazón población control salud programa sexo hombre mujer región ohiggins"/>
    <s v="https://analytics.zoho.com/open-view/2395394000008463332?ZOHO_CRITERIA=%22Uni%C3%B3n%202.11-2.12%22.%22C%C3%B3digo%20Regi%C3%B3n%22%20%3D%206"/>
    <x v="6"/>
    <s v="#1774B532"/>
  </r>
  <r>
    <s v="2011"/>
    <n v="990"/>
    <s v="Agencia Información"/>
    <s v="Salud"/>
    <n v="7"/>
    <x v="46"/>
    <x v="14"/>
    <x v="1"/>
    <x v="7"/>
    <x v="1"/>
    <x v="174"/>
    <s v="Periodo 2012-2018"/>
    <s v="Número de personas"/>
    <s v="Departamento de Estadísticas e Información de la Salud (DEIS) - Ministerio de Salud"/>
    <s v="Población en Control del Programa de Salud Cardiovascular por Sexo en la Región de Maule, 2012-2018"/>
    <m/>
    <s v="Gráfico de Evolución"/>
    <s v="enfermedad cardiovascular corazón población control salud programa sexo hombre mujer región maule"/>
    <s v="https://analytics.zoho.com/open-view/2395394000008463332?ZOHO_CRITERIA=%22Uni%C3%B3n%202.11-2.12%22.%22C%C3%B3digo%20Regi%C3%B3n%22%20%3D%207"/>
    <x v="7"/>
    <s v="#1774B533"/>
  </r>
  <r>
    <s v="2012"/>
    <n v="990"/>
    <s v="Agencia Información"/>
    <s v="Salud"/>
    <n v="8"/>
    <x v="46"/>
    <x v="14"/>
    <x v="1"/>
    <x v="8"/>
    <x v="1"/>
    <x v="174"/>
    <s v="Periodo 2012-2018"/>
    <s v="Número de personas"/>
    <s v="Departamento de Estadísticas e Información de la Salud (DEIS) - Ministerio de Salud"/>
    <s v="Población en Control del Programa de Salud Cardiovascular por Sexo en la Región del Biobío, 2012-2018"/>
    <m/>
    <s v="Gráfico de Evolución"/>
    <s v="enfermedad cardiovascular corazón población control salud programa sexo hombre mujer región biobío"/>
    <s v="https://analytics.zoho.com/open-view/2395394000008463332?ZOHO_CRITERIA=%22Uni%C3%B3n%202.11-2.12%22.%22C%C3%B3digo%20Regi%C3%B3n%22%20%3D%208"/>
    <x v="8"/>
    <s v="#1774B534"/>
  </r>
  <r>
    <s v="2013"/>
    <n v="990"/>
    <s v="Agencia Información"/>
    <s v="Salud"/>
    <n v="9"/>
    <x v="46"/>
    <x v="14"/>
    <x v="1"/>
    <x v="9"/>
    <x v="1"/>
    <x v="174"/>
    <s v="Periodo 2012-2018"/>
    <s v="Número de personas"/>
    <s v="Departamento de Estadísticas e Información de la Salud (DEIS) - Ministerio de Salud"/>
    <s v="Población en Control del Programa de Salud Cardiovascular por Sexo en la Región de La Araucanía, 2012-2018"/>
    <m/>
    <s v="Gráfico de Evolución"/>
    <s v="enfermedad cardiovascular corazón población control salud programa sexo hombre mujer región araucanía"/>
    <s v="https://analytics.zoho.com/open-view/2395394000008463332?ZOHO_CRITERIA=%22Uni%C3%B3n%202.11-2.12%22.%22C%C3%B3digo%20Regi%C3%B3n%22%20%3D%209"/>
    <x v="9"/>
    <s v="#1774B535"/>
  </r>
  <r>
    <s v="2014"/>
    <n v="990"/>
    <s v="Agencia Información"/>
    <s v="Salud"/>
    <n v="10"/>
    <x v="46"/>
    <x v="14"/>
    <x v="1"/>
    <x v="10"/>
    <x v="1"/>
    <x v="174"/>
    <s v="Periodo 2012-2018"/>
    <s v="Número de personas"/>
    <s v="Departamento de Estadísticas e Información de la Salud (DEIS) - Ministerio de Salud"/>
    <s v="Población en Control del Programa de Salud Cardiovascular por Sexo en la Región de Los Lagos, 2012-2018"/>
    <m/>
    <s v="Gráfico de Evolución"/>
    <s v="enfermedad cardiovascular corazón población control salud programa sexo hombre mujer región los lagos"/>
    <s v="https://analytics.zoho.com/open-view/2395394000008463332?ZOHO_CRITERIA=%22Uni%C3%B3n%202.11-2.12%22.%22C%C3%B3digo%20Regi%C3%B3n%22%20%3D%2010"/>
    <x v="10"/>
    <s v="#1774B536"/>
  </r>
  <r>
    <s v="2015"/>
    <n v="990"/>
    <s v="Agencia Información"/>
    <s v="Salud"/>
    <n v="11"/>
    <x v="46"/>
    <x v="14"/>
    <x v="1"/>
    <x v="11"/>
    <x v="1"/>
    <x v="174"/>
    <s v="Periodo 2012-2018"/>
    <s v="Número de personas"/>
    <s v="Departamento de Estadísticas e Información de la Salud (DEIS) - Ministerio de Salud"/>
    <s v="Población en Control del Programa de Salud Cardiovascular por Sexo en la Región de Aysén, 2012-2018"/>
    <m/>
    <s v="Gráfico de Evolución"/>
    <s v="enfermedad cardiovascular corazón población control salud programa sexo hombre mujer región aysén"/>
    <s v="https://analytics.zoho.com/open-view/2395394000008463332?ZOHO_CRITERIA=%22Uni%C3%B3n%202.11-2.12%22.%22C%C3%B3digo%20Regi%C3%B3n%22%20%3D%2011"/>
    <x v="11"/>
    <s v="#1774B537"/>
  </r>
  <r>
    <s v="2016"/>
    <n v="990"/>
    <s v="Agencia Información"/>
    <s v="Salud"/>
    <n v="12"/>
    <x v="46"/>
    <x v="14"/>
    <x v="1"/>
    <x v="12"/>
    <x v="1"/>
    <x v="174"/>
    <s v="Periodo 2012-2018"/>
    <s v="Número de personas"/>
    <s v="Departamento de Estadísticas e Información de la Salud (DEIS) - Ministerio de Salud"/>
    <s v="Población en Control del Programa de Salud Cardiovascular por Sexo en la Región de Magallanes, 2012-2018"/>
    <m/>
    <s v="Gráfico de Evolución"/>
    <s v="enfermedad cardiovascular corazón población control salud programa sexo hombre mujer región magallanes"/>
    <s v="https://analytics.zoho.com/open-view/2395394000008463332?ZOHO_CRITERIA=%22Uni%C3%B3n%202.11-2.12%22.%22C%C3%B3digo%20Regi%C3%B3n%22%20%3D%2012"/>
    <x v="12"/>
    <s v="#1774B538"/>
  </r>
  <r>
    <s v="2017"/>
    <n v="990"/>
    <s v="Agencia Información"/>
    <s v="Salud"/>
    <n v="13"/>
    <x v="46"/>
    <x v="14"/>
    <x v="1"/>
    <x v="13"/>
    <x v="1"/>
    <x v="174"/>
    <s v="Periodo 2012-2018"/>
    <s v="Número de personas"/>
    <s v="Departamento de Estadísticas e Información de la Salud (DEIS) - Ministerio de Salud"/>
    <s v="Población en Control del Programa de Salud Cardiovascular por Sexo en la Región Metropolitana, 2012-2018"/>
    <m/>
    <s v="Gráfico de Evolución"/>
    <s v="enfermedad cardiovascular corazón población control salud programa sexo hombre mujer región metropolitana"/>
    <s v="https://analytics.zoho.com/open-view/2395394000008463332?ZOHO_CRITERIA=%22Uni%C3%B3n%202.11-2.12%22.%22C%C3%B3digo%20Regi%C3%B3n%22%20%3D%2013"/>
    <x v="13"/>
    <s v="#1774B539"/>
  </r>
  <r>
    <s v="2018"/>
    <n v="990"/>
    <s v="Agencia Información"/>
    <s v="Salud"/>
    <n v="14"/>
    <x v="46"/>
    <x v="14"/>
    <x v="1"/>
    <x v="14"/>
    <x v="1"/>
    <x v="174"/>
    <s v="Periodo 2012-2018"/>
    <s v="Número de personas"/>
    <s v="Departamento de Estadísticas e Información de la Salud (DEIS) - Ministerio de Salud"/>
    <s v="Población en Control del Programa de Salud Cardiovascular por Sexo en la Región de Los Ríos, 2012-2018"/>
    <m/>
    <s v="Gráfico de Evolución"/>
    <s v="enfermedad cardiovascular corazón población control salud programa sexo hombre mujer región los ríos"/>
    <s v="https://analytics.zoho.com/open-view/2395394000008463332?ZOHO_CRITERIA=%22Uni%C3%B3n%202.11-2.12%22.%22C%C3%B3digo%20Regi%C3%B3n%22%20%3D%2014"/>
    <x v="14"/>
    <s v="#1774B540"/>
  </r>
  <r>
    <s v="2019"/>
    <n v="990"/>
    <s v="Agencia Información"/>
    <s v="Salud"/>
    <n v="15"/>
    <x v="46"/>
    <x v="14"/>
    <x v="1"/>
    <x v="15"/>
    <x v="1"/>
    <x v="174"/>
    <s v="Periodo 2012-2018"/>
    <s v="Número de personas"/>
    <s v="Departamento de Estadísticas e Información de la Salud (DEIS) - Ministerio de Salud"/>
    <s v="Población en Control del Programa de Salud Cardiovascular por Sexo en la Región de Arica y Parinacota, 2012-2018"/>
    <m/>
    <s v="Gráfico de Evolución"/>
    <s v="enfermedad cardiovascular corazón población control salud programa sexo hombre mujer región arica parinacota"/>
    <s v="https://analytics.zoho.com/open-view/2395394000008463332?ZOHO_CRITERIA=%22Uni%C3%B3n%202.11-2.12%22.%22C%C3%B3digo%20Regi%C3%B3n%22%20%3D%2015"/>
    <x v="15"/>
    <s v="#1774B541"/>
  </r>
  <r>
    <s v="2020"/>
    <n v="990"/>
    <s v="Agencia Información"/>
    <s v="Salud"/>
    <n v="16"/>
    <x v="46"/>
    <x v="14"/>
    <x v="1"/>
    <x v="16"/>
    <x v="1"/>
    <x v="174"/>
    <s v="Periodo 2012-2018"/>
    <s v="Número de personas"/>
    <s v="Departamento de Estadísticas e Información de la Salud (DEIS) - Ministerio de Salud"/>
    <s v="Población en Control del Programa de Salud Cardiovascular por Sexo en la Región de Ñuble, 2012-2018"/>
    <m/>
    <s v="Gráfico de Evolución"/>
    <s v="enfermedad cardiovascular corazón población control salud programa sexo hombre mujer región ñuble"/>
    <s v="https://analytics.zoho.com/open-view/2395394000008463332?ZOHO_CRITERIA=%22Uni%C3%B3n%202.11-2.12%22.%22C%C3%B3digo%20Regi%C3%B3n%22%20%3D%2016"/>
    <x v="16"/>
    <s v="#1774B542"/>
  </r>
  <r>
    <s v="2021"/>
    <n v="990"/>
    <s v="Agencia Información"/>
    <s v="Salud"/>
    <n v="0"/>
    <x v="46"/>
    <x v="14"/>
    <x v="0"/>
    <x v="0"/>
    <x v="0"/>
    <x v="174"/>
    <s v="Periodo 2012-2018"/>
    <s v="Número de personas"/>
    <s v="Departamento de Estadísticas e Información de la Salud (DEIS) - Ministerio de Salud"/>
    <s v="Población en Control del Programa de Salud Cardiovascular por Rango Etario, Chile 2012-2018"/>
    <s v="El año 2014 tuvo un peak de Población en Control del Programa de Salud Cardiovascular que superó los 8 millones de personas, siendo el rango etario que tuvo más pacientes el de&quot; 65 y más años&quot;. El año 2018, los pacientes no superaron los 6 millones, siendo el rango etario mayoritario el comprendido entre los &quot;55-64 años&quot;."/>
    <s v="Gráfico de Evolución"/>
    <s v="enfermedad cardiovascular corazón población control salud programa edades rango etario nacional chile"/>
    <s v="https://analytics.zoho.com/open-view/2395394000008188448"/>
    <x v="0"/>
    <s v="#1774B543"/>
  </r>
  <r>
    <s v="2022"/>
    <n v="990"/>
    <s v="Agencia Información"/>
    <s v="Salud"/>
    <n v="1"/>
    <x v="46"/>
    <x v="14"/>
    <x v="1"/>
    <x v="1"/>
    <x v="1"/>
    <x v="174"/>
    <s v="Periodo 2012-2018"/>
    <s v="Número de personas"/>
    <s v="Departamento de Estadísticas e Información de la Salud (DEIS) - Ministerio de Salud"/>
    <s v="Población en Control del Programa de Salud Cardiovascular por Rango Etario en la Región de Tarapacá, 2012-2018"/>
    <m/>
    <s v="Gráfico de Evolución"/>
    <s v="enfermedad cardiovascular corazón población control salud programa edades rango etario región tarapacá"/>
    <s v="https://analytics.zoho.com/open-view/2395394000008463071?ZOHO_CRITERIA=%22Uni%C3%B3n%202.11-2.12%22.%22C%C3%B3digo%20Regi%C3%B3n%22%20%3D%201"/>
    <x v="1"/>
    <s v="#1774B544"/>
  </r>
  <r>
    <s v="2023"/>
    <n v="990"/>
    <s v="Agencia Información"/>
    <s v="Salud"/>
    <n v="2"/>
    <x v="46"/>
    <x v="14"/>
    <x v="1"/>
    <x v="2"/>
    <x v="1"/>
    <x v="174"/>
    <s v="Periodo 2012-2018"/>
    <s v="Número de personas"/>
    <s v="Departamento de Estadísticas e Información de la Salud (DEIS) - Ministerio de Salud"/>
    <s v="Población en Control del Programa de Salud Cardiovascular por Rango Etario en la Región de Antofagasta, 2012-2018"/>
    <m/>
    <s v="Gráfico de Evolución"/>
    <s v="enfermedad cardiovascular corazón población control salud programa edades rango etario región antofagasta"/>
    <s v="https://analytics.zoho.com/open-view/2395394000008463071?ZOHO_CRITERIA=%22Uni%C3%B3n%202.11-2.12%22.%22C%C3%B3digo%20Regi%C3%B3n%22%20%3D%202"/>
    <x v="2"/>
    <s v="#1774B545"/>
  </r>
  <r>
    <s v="2024"/>
    <n v="990"/>
    <s v="Agencia Información"/>
    <s v="Salud"/>
    <n v="3"/>
    <x v="46"/>
    <x v="14"/>
    <x v="1"/>
    <x v="3"/>
    <x v="1"/>
    <x v="174"/>
    <s v="Periodo 2012-2018"/>
    <s v="Número de personas"/>
    <s v="Departamento de Estadísticas e Información de la Salud (DEIS) - Ministerio de Salud"/>
    <s v="Población en Control del Programa de Salud Cardiovascular por Rango Etario en la Región de Atacama, 2012-2018"/>
    <m/>
    <s v="Gráfico de Evolución"/>
    <s v="enfermedad cardiovascular corazón población control salud programa edades rango etario región atacama"/>
    <s v="https://analytics.zoho.com/open-view/2395394000008463071?ZOHO_CRITERIA=%22Uni%C3%B3n%202.11-2.12%22.%22C%C3%B3digo%20Regi%C3%B3n%22%20%3D%203"/>
    <x v="3"/>
    <s v="#1774B546"/>
  </r>
  <r>
    <s v="2025"/>
    <n v="990"/>
    <s v="Agencia Información"/>
    <s v="Salud"/>
    <n v="4"/>
    <x v="46"/>
    <x v="14"/>
    <x v="1"/>
    <x v="4"/>
    <x v="1"/>
    <x v="174"/>
    <s v="Periodo 2012-2018"/>
    <s v="Número de personas"/>
    <s v="Departamento de Estadísticas e Información de la Salud (DEIS) - Ministerio de Salud"/>
    <s v="Población en Control del Programa de Salud Cardiovascular por Rango Etario en la Región de Coquimbo, 2012-2018"/>
    <m/>
    <s v="Gráfico de Evolución"/>
    <s v="enfermedad cardiovascular corazón población control salud programa edades rango etario región coquimbo"/>
    <s v="https://analytics.zoho.com/open-view/2395394000008463071?ZOHO_CRITERIA=%22Uni%C3%B3n%202.11-2.12%22.%22C%C3%B3digo%20Regi%C3%B3n%22%20%3D%204"/>
    <x v="4"/>
    <s v="#1774B547"/>
  </r>
  <r>
    <s v="2026"/>
    <n v="990"/>
    <s v="Agencia Información"/>
    <s v="Salud"/>
    <n v="5"/>
    <x v="46"/>
    <x v="14"/>
    <x v="1"/>
    <x v="5"/>
    <x v="1"/>
    <x v="174"/>
    <s v="Periodo 2012-2018"/>
    <s v="Número de personas"/>
    <s v="Departamento de Estadísticas e Información de la Salud (DEIS) - Ministerio de Salud"/>
    <s v="Población en Control del Programa de Salud Cardiovascular por Rango Etario en la Región de Valparaíso, 2012-2018"/>
    <m/>
    <s v="Gráfico de Evolución"/>
    <s v="enfermedad cardiovascular corazón población control salud programa edades rango etario región valparaíso"/>
    <s v="https://analytics.zoho.com/open-view/2395394000008463071?ZOHO_CRITERIA=%22Uni%C3%B3n%202.11-2.12%22.%22C%C3%B3digo%20Regi%C3%B3n%22%20%3D%205"/>
    <x v="5"/>
    <s v="#1774B548"/>
  </r>
  <r>
    <s v="2027"/>
    <n v="990"/>
    <s v="Agencia Información"/>
    <s v="Salud"/>
    <n v="6"/>
    <x v="46"/>
    <x v="14"/>
    <x v="1"/>
    <x v="6"/>
    <x v="1"/>
    <x v="174"/>
    <s v="Periodo 2012-2018"/>
    <s v="Número de personas"/>
    <s v="Departamento de Estadísticas e Información de la Salud (DEIS) - Ministerio de Salud"/>
    <s v="Población en Control del Programa de Salud Cardiovascular por Rango Etario en la Región de O'Higgins, 2012-2018"/>
    <m/>
    <s v="Gráfico de Evolución"/>
    <s v="enfermedad cardiovascular corazón población control salud programa edades rango etario región ohiggins"/>
    <s v="https://analytics.zoho.com/open-view/2395394000008463071?ZOHO_CRITERIA=%22Uni%C3%B3n%202.11-2.12%22.%22C%C3%B3digo%20Regi%C3%B3n%22%20%3D%206"/>
    <x v="6"/>
    <s v="#1774B549"/>
  </r>
  <r>
    <s v="2028"/>
    <n v="990"/>
    <s v="Agencia Información"/>
    <s v="Salud"/>
    <n v="7"/>
    <x v="46"/>
    <x v="14"/>
    <x v="1"/>
    <x v="7"/>
    <x v="1"/>
    <x v="174"/>
    <s v="Periodo 2012-2018"/>
    <s v="Número de personas"/>
    <s v="Departamento de Estadísticas e Información de la Salud (DEIS) - Ministerio de Salud"/>
    <s v="Población en Control del Programa de Salud Cardiovascular por Rango Etario en la Región de Maule, 2012-2018"/>
    <m/>
    <s v="Gráfico de Evolución"/>
    <s v="enfermedad cardiovascular corazón población control salud programa edades rango etario región maule"/>
    <s v="https://analytics.zoho.com/open-view/2395394000008463071?ZOHO_CRITERIA=%22Uni%C3%B3n%202.11-2.12%22.%22C%C3%B3digo%20Regi%C3%B3n%22%20%3D%207"/>
    <x v="7"/>
    <s v="#1774B550"/>
  </r>
  <r>
    <s v="2029"/>
    <n v="990"/>
    <s v="Agencia Información"/>
    <s v="Salud"/>
    <n v="8"/>
    <x v="46"/>
    <x v="14"/>
    <x v="1"/>
    <x v="8"/>
    <x v="1"/>
    <x v="174"/>
    <s v="Periodo 2012-2018"/>
    <s v="Número de personas"/>
    <s v="Departamento de Estadísticas e Información de la Salud (DEIS) - Ministerio de Salud"/>
    <s v="Población en Control del Programa de Salud Cardiovascular por Rango Etario en la Región del Biobío, 2012-2018"/>
    <m/>
    <s v="Gráfico de Evolución"/>
    <s v="enfermedad cardiovascular corazón población control salud programa edades rango etario región biobío"/>
    <s v="https://analytics.zoho.com/open-view/2395394000008463071?ZOHO_CRITERIA=%22Uni%C3%B3n%202.11-2.12%22.%22C%C3%B3digo%20Regi%C3%B3n%22%20%3D%208"/>
    <x v="8"/>
    <s v="#1774B551"/>
  </r>
  <r>
    <s v="2030"/>
    <n v="990"/>
    <s v="Agencia Información"/>
    <s v="Salud"/>
    <n v="9"/>
    <x v="46"/>
    <x v="14"/>
    <x v="1"/>
    <x v="9"/>
    <x v="1"/>
    <x v="174"/>
    <s v="Periodo 2012-2018"/>
    <s v="Número de personas"/>
    <s v="Departamento de Estadísticas e Información de la Salud (DEIS) - Ministerio de Salud"/>
    <s v="Población en Control del Programa de Salud Cardiovascular por Rango Etario en la Región de La Araucanía, 2012-2018"/>
    <m/>
    <s v="Gráfico de Evolución"/>
    <s v="enfermedad cardiovascular corazón población control salud programa edades rango etario región araucanía"/>
    <s v="https://analytics.zoho.com/open-view/2395394000008463071?ZOHO_CRITERIA=%22Uni%C3%B3n%202.11-2.12%22.%22C%C3%B3digo%20Regi%C3%B3n%22%20%3D%209"/>
    <x v="9"/>
    <s v="#1774B552"/>
  </r>
  <r>
    <s v="2031"/>
    <n v="990"/>
    <s v="Agencia Información"/>
    <s v="Salud"/>
    <n v="10"/>
    <x v="46"/>
    <x v="14"/>
    <x v="1"/>
    <x v="10"/>
    <x v="1"/>
    <x v="174"/>
    <s v="Periodo 2012-2018"/>
    <s v="Número de personas"/>
    <s v="Departamento de Estadísticas e Información de la Salud (DEIS) - Ministerio de Salud"/>
    <s v="Población en Control del Programa de Salud Cardiovascular por Rango Etario en la Región de Los Lagos, 2012-2018"/>
    <m/>
    <s v="Gráfico de Evolución"/>
    <s v="enfermedad cardiovascular corazón población control salud programa edades rango etario región los lagos"/>
    <s v="https://analytics.zoho.com/open-view/2395394000008463071?ZOHO_CRITERIA=%22Uni%C3%B3n%202.11-2.12%22.%22C%C3%B3digo%20Regi%C3%B3n%22%20%3D%2010"/>
    <x v="10"/>
    <s v="#1774B553"/>
  </r>
  <r>
    <s v="2032"/>
    <n v="990"/>
    <s v="Agencia Información"/>
    <s v="Salud"/>
    <n v="11"/>
    <x v="46"/>
    <x v="14"/>
    <x v="1"/>
    <x v="11"/>
    <x v="1"/>
    <x v="174"/>
    <s v="Periodo 2012-2018"/>
    <s v="Número de personas"/>
    <s v="Departamento de Estadísticas e Información de la Salud (DEIS) - Ministerio de Salud"/>
    <s v="Población en Control del Programa de Salud Cardiovascular por Rango Etario en la Región de Aysén, 2012-2018"/>
    <m/>
    <s v="Gráfico de Evolución"/>
    <s v="enfermedad cardiovascular corazón población control salud programa edades rango etario región aysén"/>
    <s v="https://analytics.zoho.com/open-view/2395394000008463071?ZOHO_CRITERIA=%22Uni%C3%B3n%202.11-2.12%22.%22C%C3%B3digo%20Regi%C3%B3n%22%20%3D%2011"/>
    <x v="11"/>
    <s v="#1774B554"/>
  </r>
  <r>
    <s v="2033"/>
    <n v="990"/>
    <s v="Agencia Información"/>
    <s v="Salud"/>
    <n v="12"/>
    <x v="46"/>
    <x v="14"/>
    <x v="1"/>
    <x v="12"/>
    <x v="1"/>
    <x v="174"/>
    <s v="Periodo 2012-2018"/>
    <s v="Número de personas"/>
    <s v="Departamento de Estadísticas e Información de la Salud (DEIS) - Ministerio de Salud"/>
    <s v="Población en Control del Programa de Salud Cardiovascular por Rango Etario en la Región de Magallanes, 2012-2018"/>
    <m/>
    <s v="Gráfico de Evolución"/>
    <s v="enfermedad cardiovascular corazón población control salud programa edades rango etario región magallanes"/>
    <s v="https://analytics.zoho.com/open-view/2395394000008463071?ZOHO_CRITERIA=%22Uni%C3%B3n%202.11-2.12%22.%22C%C3%B3digo%20Regi%C3%B3n%22%20%3D%2012"/>
    <x v="12"/>
    <s v="#1774B555"/>
  </r>
  <r>
    <s v="2034"/>
    <n v="990"/>
    <s v="Agencia Información"/>
    <s v="Salud"/>
    <n v="13"/>
    <x v="46"/>
    <x v="14"/>
    <x v="1"/>
    <x v="13"/>
    <x v="1"/>
    <x v="174"/>
    <s v="Periodo 2012-2018"/>
    <s v="Número de personas"/>
    <s v="Departamento de Estadísticas e Información de la Salud (DEIS) - Ministerio de Salud"/>
    <s v="Población en Control del Programa de Salud Cardiovascular por Rango Etario en la Región Metropolitana, 2012-2018"/>
    <m/>
    <s v="Gráfico de Evolución"/>
    <s v="enfermedad cardiovascular corazón población control salud programa edades rango etario región metropolitana"/>
    <s v="https://analytics.zoho.com/open-view/2395394000008463071?ZOHO_CRITERIA=%22Uni%C3%B3n%202.11-2.12%22.%22C%C3%B3digo%20Regi%C3%B3n%22%20%3D%2013"/>
    <x v="13"/>
    <s v="#1774B556"/>
  </r>
  <r>
    <s v="2035"/>
    <n v="990"/>
    <s v="Agencia Información"/>
    <s v="Salud"/>
    <n v="14"/>
    <x v="46"/>
    <x v="14"/>
    <x v="1"/>
    <x v="14"/>
    <x v="1"/>
    <x v="174"/>
    <s v="Periodo 2012-2018"/>
    <s v="Número de personas"/>
    <s v="Departamento de Estadísticas e Información de la Salud (DEIS) - Ministerio de Salud"/>
    <s v="Población en Control del Programa de Salud Cardiovascular por Rango Etario en la Región de Los Ríos, 2012-2018"/>
    <m/>
    <s v="Gráfico de Evolución"/>
    <s v="enfermedad cardiovascular corazón población control salud programa edades rango etario región los ríos"/>
    <s v="https://analytics.zoho.com/open-view/2395394000008463071?ZOHO_CRITERIA=%22Uni%C3%B3n%202.11-2.12%22.%22C%C3%B3digo%20Regi%C3%B3n%22%20%3D%2014"/>
    <x v="14"/>
    <s v="#1774B557"/>
  </r>
  <r>
    <s v="2036"/>
    <n v="990"/>
    <s v="Agencia Información"/>
    <s v="Salud"/>
    <n v="15"/>
    <x v="46"/>
    <x v="14"/>
    <x v="1"/>
    <x v="15"/>
    <x v="1"/>
    <x v="174"/>
    <s v="Periodo 2012-2018"/>
    <s v="Número de personas"/>
    <s v="Departamento de Estadísticas e Información de la Salud (DEIS) - Ministerio de Salud"/>
    <s v="Población en Control del Programa de Salud Cardiovascular por Rango Etario en la Región de Arica y Parinacota, 2012-2018"/>
    <m/>
    <s v="Gráfico de Evolución"/>
    <s v="enfermedad cardiovascular corazón población control salud programa edades rango etario región arica parinacota"/>
    <s v="https://analytics.zoho.com/open-view/2395394000008463071?ZOHO_CRITERIA=%22Uni%C3%B3n%202.11-2.12%22.%22C%C3%B3digo%20Regi%C3%B3n%22%20%3D%2015"/>
    <x v="15"/>
    <s v="#1774B558"/>
  </r>
  <r>
    <s v="2037"/>
    <n v="990"/>
    <s v="Agencia Información"/>
    <s v="Salud"/>
    <n v="16"/>
    <x v="46"/>
    <x v="14"/>
    <x v="1"/>
    <x v="16"/>
    <x v="1"/>
    <x v="174"/>
    <s v="Periodo 2012-2018"/>
    <s v="Número de personas"/>
    <s v="Departamento de Estadísticas e Información de la Salud (DEIS) - Ministerio de Salud"/>
    <s v="Población en Control del Programa de Salud Cardiovascular por Rango Etario en la Región de Ñuble, 2012-2018"/>
    <m/>
    <s v="Gráfico de Evolución"/>
    <s v="enfermedad cardiovascular corazón población control salud programa edades rango etario región ñuble"/>
    <s v="https://analytics.zoho.com/open-view/2395394000008463071?ZOHO_CRITERIA=%22Uni%C3%B3n%202.11-2.12%22.%22C%C3%B3digo%20Regi%C3%B3n%22%20%3D%2016"/>
    <x v="16"/>
    <s v="#1774B5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A04027-766E-4B37-A9E8-E2CD49860816}" name="TablaDinámica1" cacheId="13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E229" firstHeaderRow="1" firstDataRow="1" firstDataCol="4"/>
  <pivotFields count="27">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4">
        <item x="0"/>
        <item x="1"/>
        <item m="1" x="2"/>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axis="axisRow" compact="0" outline="0" subtotalTop="0" showAll="0" defaultSubtotal="0">
      <items count="157">
        <item m="1" x="126"/>
        <item m="1" x="154"/>
        <item m="1" x="115"/>
        <item x="5"/>
        <item m="1" x="136"/>
        <item m="1" x="120"/>
        <item m="1" x="107"/>
        <item m="1" x="148"/>
        <item m="1" x="117"/>
        <item m="1" x="127"/>
        <item x="9"/>
        <item m="1" x="151"/>
        <item m="1" x="150"/>
        <item m="1" x="110"/>
        <item x="12"/>
        <item m="1" x="146"/>
        <item m="1" x="132"/>
        <item m="1" x="111"/>
        <item m="1" x="135"/>
        <item m="1" x="140"/>
        <item m="1" x="105"/>
        <item m="1" x="131"/>
        <item x="18"/>
        <item x="51"/>
        <item m="1" x="141"/>
        <item m="1" x="108"/>
        <item m="1" x="104"/>
        <item m="1" x="112"/>
        <item m="1" x="143"/>
        <item m="1" x="155"/>
        <item x="0"/>
        <item x="3"/>
        <item m="1" x="145"/>
        <item m="1" x="128"/>
        <item x="24"/>
        <item x="25"/>
        <item x="26"/>
        <item x="27"/>
        <item m="1" x="106"/>
        <item x="28"/>
        <item x="29"/>
        <item x="30"/>
        <item x="31"/>
        <item x="32"/>
        <item x="33"/>
        <item x="34"/>
        <item x="35"/>
        <item m="1" x="122"/>
        <item m="1" x="147"/>
        <item m="1" x="113"/>
        <item m="1" x="103"/>
        <item m="1" x="142"/>
        <item m="1" x="123"/>
        <item m="1" x="130"/>
        <item m="1" x="116"/>
        <item x="40"/>
        <item m="1" x="133"/>
        <item m="1" x="121"/>
        <item m="1" x="124"/>
        <item m="1" x="118"/>
        <item m="1" x="153"/>
        <item m="1" x="139"/>
        <item m="1" x="134"/>
        <item x="43"/>
        <item x="44"/>
        <item x="45"/>
        <item x="46"/>
        <item x="47"/>
        <item x="48"/>
        <item x="49"/>
        <item x="50"/>
        <item m="1" x="137"/>
        <item x="52"/>
        <item x="53"/>
        <item x="54"/>
        <item x="55"/>
        <item x="56"/>
        <item x="57"/>
        <item x="58"/>
        <item x="59"/>
        <item x="2"/>
        <item x="4"/>
        <item x="6"/>
        <item x="7"/>
        <item x="8"/>
        <item x="11"/>
        <item m="1" x="144"/>
        <item x="14"/>
        <item x="15"/>
        <item x="16"/>
        <item x="17"/>
        <item x="19"/>
        <item x="20"/>
        <item x="21"/>
        <item x="22"/>
        <item x="23"/>
        <item x="36"/>
        <item x="38"/>
        <item x="39"/>
        <item x="41"/>
        <item x="10"/>
        <item m="1" x="109"/>
        <item x="61"/>
        <item x="62"/>
        <item x="63"/>
        <item m="1" x="129"/>
        <item m="1" x="114"/>
        <item x="66"/>
        <item x="67"/>
        <item x="68"/>
        <item x="69"/>
        <item x="70"/>
        <item m="1" x="138"/>
        <item m="1" x="125"/>
        <item x="102"/>
        <item x="60"/>
        <item x="64"/>
        <item x="65"/>
        <item x="71"/>
        <item x="72"/>
        <item x="73"/>
        <item x="74"/>
        <item x="75"/>
        <item x="76"/>
        <item x="77"/>
        <item x="78"/>
        <item x="79"/>
        <item x="80"/>
        <item x="81"/>
        <item x="82"/>
        <item x="83"/>
        <item x="84"/>
        <item x="85"/>
        <item x="1"/>
        <item x="37"/>
        <item x="86"/>
        <item x="87"/>
        <item x="88"/>
        <item m="1" x="152"/>
        <item x="90"/>
        <item x="91"/>
        <item x="92"/>
        <item x="93"/>
        <item m="1" x="156"/>
        <item m="1" x="119"/>
        <item m="1" x="149"/>
        <item x="97"/>
        <item x="98"/>
        <item x="99"/>
        <item x="100"/>
        <item x="101"/>
        <item x="13"/>
        <item x="89"/>
        <item x="94"/>
        <item x="95"/>
        <item x="96"/>
        <item x="42"/>
      </items>
      <extLst>
        <ext xmlns:x14="http://schemas.microsoft.com/office/spreadsheetml/2009/9/main" uri="{2946ED86-A175-432a-8AC1-64E0C546D7DE}">
          <x14:pivotField fillDownLabels="1"/>
        </ext>
      </extLst>
    </pivotField>
    <pivotField axis="axisRow" compact="0" outline="0" subtotalTop="0" showAll="0">
      <items count="96">
        <item m="1" x="82"/>
        <item m="1" x="88"/>
        <item x="4"/>
        <item m="1" x="50"/>
        <item m="1" x="52"/>
        <item m="1" x="63"/>
        <item m="1" x="74"/>
        <item m="1" x="41"/>
        <item m="1" x="53"/>
        <item m="1" x="59"/>
        <item m="1" x="79"/>
        <item m="1" x="75"/>
        <item m="1" x="86"/>
        <item m="1" x="54"/>
        <item m="1" x="64"/>
        <item m="1" x="92"/>
        <item m="1" x="44"/>
        <item m="1" x="84"/>
        <item m="1" x="70"/>
        <item m="1" x="91"/>
        <item m="1" x="71"/>
        <item m="1" x="62"/>
        <item m="1" x="43"/>
        <item m="1" x="55"/>
        <item m="1" x="48"/>
        <item m="1" x="68"/>
        <item m="1" x="73"/>
        <item x="15"/>
        <item m="1" x="81"/>
        <item m="1" x="76"/>
        <item m="1" x="72"/>
        <item m="1" x="67"/>
        <item m="1" x="47"/>
        <item m="1" x="85"/>
        <item m="1" x="69"/>
        <item m="1" x="46"/>
        <item m="1" x="57"/>
        <item m="1" x="60"/>
        <item m="1" x="89"/>
        <item m="1" x="49"/>
        <item x="11"/>
        <item m="1" x="51"/>
        <item m="1" x="45"/>
        <item m="1" x="80"/>
        <item x="24"/>
        <item x="0"/>
        <item m="1" x="93"/>
        <item x="2"/>
        <item m="1" x="61"/>
        <item x="5"/>
        <item x="9"/>
        <item x="10"/>
        <item x="12"/>
        <item x="16"/>
        <item m="1" x="66"/>
        <item x="19"/>
        <item x="22"/>
        <item x="21"/>
        <item x="31"/>
        <item m="1" x="87"/>
        <item x="6"/>
        <item x="7"/>
        <item x="8"/>
        <item x="13"/>
        <item x="14"/>
        <item x="23"/>
        <item x="18"/>
        <item m="1" x="56"/>
        <item x="26"/>
        <item m="1" x="42"/>
        <item m="1" x="58"/>
        <item x="27"/>
        <item x="25"/>
        <item m="1" x="83"/>
        <item x="40"/>
        <item x="20"/>
        <item x="28"/>
        <item x="29"/>
        <item x="30"/>
        <item m="1" x="65"/>
        <item x="32"/>
        <item x="33"/>
        <item x="3"/>
        <item x="34"/>
        <item x="35"/>
        <item x="36"/>
        <item m="1" x="90"/>
        <item x="37"/>
        <item m="1" x="94"/>
        <item m="1" x="77"/>
        <item m="1" x="78"/>
        <item x="38"/>
        <item x="39"/>
        <item x="1"/>
        <item x="17"/>
        <item t="default"/>
      </items>
      <extLst>
        <ext xmlns:x14="http://schemas.microsoft.com/office/spreadsheetml/2009/9/main" uri="{2946ED86-A175-432a-8AC1-64E0C546D7DE}">
          <x14:pivotField fillDownLabels="1"/>
        </ext>
      </extLst>
    </pivotField>
    <pivotField axis="axisRow" compact="0" outline="0" subtotalTop="0" showAll="0">
      <items count="4">
        <item x="0"/>
        <item x="1"/>
        <item x="2"/>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s>
  <rowFields count="4">
    <field x="2"/>
    <field x="6"/>
    <field x="5"/>
    <field x="7"/>
  </rowFields>
  <rowItems count="226">
    <i>
      <x/>
      <x v="2"/>
      <x v="82"/>
      <x/>
    </i>
    <i r="3">
      <x v="1"/>
    </i>
    <i t="default" r="1">
      <x v="2"/>
    </i>
    <i r="1">
      <x v="27"/>
      <x v="36"/>
      <x/>
    </i>
    <i r="3">
      <x v="1"/>
    </i>
    <i t="default" r="1">
      <x v="27"/>
    </i>
    <i r="1">
      <x v="40"/>
      <x v="23"/>
      <x/>
    </i>
    <i r="2">
      <x v="45"/>
      <x/>
    </i>
    <i r="2">
      <x v="46"/>
      <x/>
    </i>
    <i r="3">
      <x v="1"/>
    </i>
    <i r="2">
      <x v="63"/>
      <x/>
    </i>
    <i r="3">
      <x v="1"/>
    </i>
    <i r="2">
      <x v="64"/>
      <x/>
    </i>
    <i r="3">
      <x v="1"/>
    </i>
    <i r="2">
      <x v="65"/>
      <x/>
    </i>
    <i r="3">
      <x v="1"/>
    </i>
    <i r="2">
      <x v="74"/>
      <x/>
    </i>
    <i r="3">
      <x v="1"/>
    </i>
    <i r="2">
      <x v="75"/>
      <x/>
    </i>
    <i r="3">
      <x v="1"/>
    </i>
    <i r="2">
      <x v="91"/>
      <x/>
    </i>
    <i r="3">
      <x v="1"/>
    </i>
    <i t="default" r="1">
      <x v="40"/>
    </i>
    <i r="1">
      <x v="44"/>
      <x v="72"/>
      <x/>
    </i>
    <i r="3">
      <x v="1"/>
    </i>
    <i r="2">
      <x v="73"/>
      <x/>
    </i>
    <i r="3">
      <x v="1"/>
    </i>
    <i t="default" r="1">
      <x v="44"/>
    </i>
    <i r="1">
      <x v="45"/>
      <x v="30"/>
      <x/>
    </i>
    <i r="3">
      <x v="1"/>
    </i>
    <i r="2">
      <x v="31"/>
      <x/>
    </i>
    <i r="2">
      <x v="81"/>
      <x/>
    </i>
    <i r="3">
      <x v="1"/>
    </i>
    <i t="default" r="1">
      <x v="45"/>
    </i>
    <i r="1">
      <x v="47"/>
      <x v="80"/>
      <x/>
    </i>
    <i r="3">
      <x v="1"/>
    </i>
    <i r="2">
      <x v="84"/>
      <x/>
    </i>
    <i r="3">
      <x v="1"/>
    </i>
    <i r="2">
      <x v="87"/>
      <x/>
    </i>
    <i r="3">
      <x v="1"/>
    </i>
    <i r="2">
      <x v="92"/>
      <x/>
    </i>
    <i r="2">
      <x v="93"/>
      <x/>
    </i>
    <i r="3">
      <x v="1"/>
    </i>
    <i r="2">
      <x v="97"/>
      <x/>
    </i>
    <i r="3">
      <x v="1"/>
    </i>
    <i t="default" r="1">
      <x v="47"/>
    </i>
    <i r="1">
      <x v="49"/>
      <x v="83"/>
      <x/>
    </i>
    <i r="3">
      <x v="1"/>
    </i>
    <i r="2">
      <x v="85"/>
      <x/>
    </i>
    <i r="3">
      <x v="1"/>
    </i>
    <i r="2">
      <x v="88"/>
      <x/>
    </i>
    <i r="3">
      <x v="1"/>
    </i>
    <i r="2">
      <x v="89"/>
      <x/>
    </i>
    <i r="3">
      <x v="1"/>
    </i>
    <i r="2">
      <x v="95"/>
      <x/>
    </i>
    <i t="default" r="1">
      <x v="49"/>
    </i>
    <i r="1">
      <x v="50"/>
      <x v="151"/>
      <x/>
    </i>
    <i r="3">
      <x v="1"/>
    </i>
    <i r="2">
      <x v="153"/>
      <x/>
    </i>
    <i r="3">
      <x v="1"/>
    </i>
    <i r="2">
      <x v="154"/>
      <x/>
    </i>
    <i r="3">
      <x v="1"/>
    </i>
    <i r="2">
      <x v="155"/>
      <x/>
    </i>
    <i r="3">
      <x v="1"/>
    </i>
    <i t="default" r="1">
      <x v="50"/>
    </i>
    <i r="1">
      <x v="51"/>
      <x v="90"/>
      <x/>
    </i>
    <i t="default" r="1">
      <x v="51"/>
    </i>
    <i r="1">
      <x v="52"/>
      <x v="94"/>
      <x/>
    </i>
    <i r="3">
      <x v="1"/>
    </i>
    <i r="2">
      <x v="107"/>
      <x/>
    </i>
    <i r="3">
      <x v="1"/>
    </i>
    <i r="2">
      <x v="116"/>
      <x/>
    </i>
    <i r="2">
      <x v="117"/>
      <x/>
    </i>
    <i t="default" r="1">
      <x v="52"/>
    </i>
    <i r="1">
      <x v="53"/>
      <x v="37"/>
      <x/>
    </i>
    <i r="3">
      <x v="1"/>
    </i>
    <i t="default" r="1">
      <x v="53"/>
    </i>
    <i r="1">
      <x v="55"/>
      <x v="41"/>
      <x/>
    </i>
    <i r="3">
      <x v="1"/>
    </i>
    <i r="2">
      <x v="42"/>
      <x/>
    </i>
    <i r="3">
      <x v="1"/>
    </i>
    <i t="default" r="1">
      <x v="55"/>
    </i>
    <i r="1">
      <x v="56"/>
      <x v="98"/>
      <x/>
    </i>
    <i r="2">
      <x v="152"/>
      <x/>
    </i>
    <i r="3">
      <x v="1"/>
    </i>
    <i t="default" r="1">
      <x v="56"/>
    </i>
    <i r="1">
      <x v="57"/>
      <x v="44"/>
      <x/>
    </i>
    <i r="2">
      <x v="67"/>
      <x/>
    </i>
    <i r="2">
      <x v="68"/>
      <x/>
    </i>
    <i r="2">
      <x v="69"/>
      <x/>
    </i>
    <i r="2">
      <x v="70"/>
      <x/>
    </i>
    <i t="default" r="1">
      <x v="57"/>
    </i>
    <i r="1">
      <x v="58"/>
      <x v="123"/>
      <x/>
    </i>
    <i r="2">
      <x v="124"/>
      <x/>
    </i>
    <i r="2">
      <x v="125"/>
      <x/>
    </i>
    <i t="default" r="1">
      <x v="58"/>
    </i>
    <i r="1">
      <x v="60"/>
      <x v="10"/>
      <x/>
    </i>
    <i r="2">
      <x v="55"/>
      <x/>
    </i>
    <i t="default" r="1">
      <x v="60"/>
    </i>
    <i r="1">
      <x v="61"/>
      <x v="100"/>
      <x/>
    </i>
    <i r="3">
      <x v="1"/>
    </i>
    <i t="default" r="1">
      <x v="61"/>
    </i>
    <i r="1">
      <x v="62"/>
      <x v="14"/>
      <x/>
    </i>
    <i r="3">
      <x v="1"/>
    </i>
    <i r="2">
      <x v="22"/>
      <x/>
    </i>
    <i r="3">
      <x v="1"/>
    </i>
    <i r="2">
      <x v="76"/>
      <x/>
    </i>
    <i r="3">
      <x v="1"/>
    </i>
    <i r="2">
      <x v="77"/>
      <x/>
    </i>
    <i r="3">
      <x v="1"/>
    </i>
    <i r="2">
      <x v="78"/>
      <x/>
    </i>
    <i r="3">
      <x v="1"/>
    </i>
    <i r="2">
      <x v="79"/>
      <x/>
    </i>
    <i r="3">
      <x v="1"/>
    </i>
    <i t="default" r="1">
      <x v="62"/>
    </i>
    <i r="1">
      <x v="63"/>
      <x v="34"/>
      <x/>
    </i>
    <i r="3">
      <x v="1"/>
    </i>
    <i t="default" r="1">
      <x v="63"/>
    </i>
    <i r="1">
      <x v="64"/>
      <x v="35"/>
      <x/>
    </i>
    <i r="3">
      <x v="1"/>
    </i>
    <i r="2">
      <x v="66"/>
      <x/>
    </i>
    <i r="3">
      <x v="1"/>
    </i>
    <i t="default" r="1">
      <x v="64"/>
    </i>
    <i r="1">
      <x v="65"/>
      <x v="140"/>
      <x/>
    </i>
    <i r="3">
      <x v="1"/>
    </i>
    <i r="2">
      <x v="141"/>
      <x/>
    </i>
    <i r="3">
      <x v="1"/>
    </i>
    <i r="2">
      <x v="142"/>
      <x/>
    </i>
    <i r="3">
      <x v="1"/>
    </i>
    <i r="2">
      <x v="156"/>
      <x/>
    </i>
    <i t="default" r="1">
      <x v="65"/>
    </i>
    <i r="1">
      <x v="66"/>
      <x v="40"/>
      <x/>
    </i>
    <i r="2">
      <x v="122"/>
      <x/>
    </i>
    <i r="3">
      <x v="1"/>
    </i>
    <i t="default" r="1">
      <x v="66"/>
    </i>
    <i r="1">
      <x v="68"/>
      <x v="102"/>
      <x/>
    </i>
    <i r="3">
      <x v="1"/>
    </i>
    <i r="2">
      <x v="108"/>
      <x/>
    </i>
    <i r="3">
      <x v="1"/>
    </i>
    <i t="default" r="1">
      <x v="68"/>
    </i>
    <i r="1">
      <x v="71"/>
      <x v="83"/>
      <x/>
    </i>
    <i r="3">
      <x v="1"/>
    </i>
    <i r="2">
      <x v="95"/>
      <x/>
    </i>
    <i r="3">
      <x v="1"/>
    </i>
    <i r="2">
      <x v="109"/>
      <x/>
    </i>
    <i r="3">
      <x v="1"/>
    </i>
    <i r="2">
      <x v="132"/>
      <x/>
    </i>
    <i t="default" r="1">
      <x v="71"/>
    </i>
    <i r="1">
      <x v="72"/>
      <x v="110"/>
      <x/>
    </i>
    <i r="3">
      <x v="1"/>
    </i>
    <i r="2">
      <x v="111"/>
      <x/>
    </i>
    <i r="3">
      <x v="1"/>
    </i>
    <i r="2">
      <x v="115"/>
      <x/>
    </i>
    <i r="3">
      <x v="1"/>
    </i>
    <i r="2">
      <x v="118"/>
      <x/>
    </i>
    <i r="3">
      <x v="1"/>
    </i>
    <i r="2">
      <x v="149"/>
      <x/>
    </i>
    <i r="3">
      <x v="1"/>
    </i>
    <i r="2">
      <x v="150"/>
      <x/>
    </i>
    <i r="3">
      <x v="1"/>
    </i>
    <i t="default" r="1">
      <x v="72"/>
    </i>
    <i r="1">
      <x v="75"/>
      <x v="43"/>
      <x/>
    </i>
    <i r="3">
      <x v="1"/>
    </i>
    <i r="2">
      <x v="103"/>
      <x/>
    </i>
    <i r="3">
      <x v="1"/>
    </i>
    <i r="2">
      <x v="104"/>
      <x/>
    </i>
    <i r="3">
      <x v="1"/>
    </i>
    <i t="default" r="1">
      <x v="75"/>
    </i>
    <i r="1">
      <x v="76"/>
      <x v="119"/>
      <x/>
    </i>
    <i r="3">
      <x v="1"/>
    </i>
    <i t="default" r="1">
      <x v="76"/>
    </i>
    <i r="1">
      <x v="77"/>
      <x v="120"/>
      <x/>
    </i>
    <i r="3">
      <x v="1"/>
    </i>
    <i t="default" r="1">
      <x v="77"/>
    </i>
    <i r="1">
      <x v="78"/>
      <x v="121"/>
      <x/>
    </i>
    <i r="3">
      <x v="1"/>
    </i>
    <i t="default" r="1">
      <x v="78"/>
    </i>
    <i r="1">
      <x v="80"/>
      <x v="126"/>
      <x/>
    </i>
    <i r="3">
      <x v="1"/>
    </i>
    <i t="default" r="1">
      <x v="80"/>
    </i>
    <i r="1">
      <x v="81"/>
      <x v="127"/>
      <x/>
    </i>
    <i r="3">
      <x v="1"/>
    </i>
    <i r="2">
      <x v="128"/>
      <x/>
    </i>
    <i r="3">
      <x v="1"/>
    </i>
    <i t="default" r="1">
      <x v="81"/>
    </i>
    <i r="1">
      <x v="82"/>
      <x v="3"/>
      <x/>
    </i>
    <i r="3">
      <x v="1"/>
    </i>
    <i t="default" r="1">
      <x v="82"/>
    </i>
    <i r="1">
      <x v="83"/>
      <x v="135"/>
      <x/>
    </i>
    <i r="3">
      <x v="1"/>
    </i>
    <i t="default" r="1">
      <x v="83"/>
    </i>
    <i r="1">
      <x v="84"/>
      <x v="136"/>
      <x/>
    </i>
    <i r="3">
      <x v="1"/>
    </i>
    <i t="default" r="1">
      <x v="84"/>
    </i>
    <i r="1">
      <x v="85"/>
      <x v="137"/>
      <x/>
    </i>
    <i r="3">
      <x v="1"/>
    </i>
    <i t="default" r="1">
      <x v="85"/>
    </i>
    <i r="1">
      <x v="87"/>
      <x v="139"/>
      <x/>
    </i>
    <i r="3">
      <x v="1"/>
    </i>
    <i t="default" r="1">
      <x v="87"/>
    </i>
    <i r="1">
      <x v="91"/>
      <x v="146"/>
      <x/>
    </i>
    <i r="3">
      <x v="1"/>
    </i>
    <i r="2">
      <x v="147"/>
      <x/>
    </i>
    <i r="3">
      <x v="1"/>
    </i>
    <i t="default" r="1">
      <x v="91"/>
    </i>
    <i r="1">
      <x v="92"/>
      <x v="148"/>
      <x/>
    </i>
    <i t="default" r="1">
      <x v="92"/>
    </i>
    <i r="1">
      <x v="93"/>
      <x v="96"/>
      <x/>
    </i>
    <i r="3">
      <x v="1"/>
    </i>
    <i r="2">
      <x v="99"/>
      <x/>
    </i>
    <i r="3">
      <x v="1"/>
    </i>
    <i r="2">
      <x v="133"/>
      <x/>
    </i>
    <i r="3">
      <x v="1"/>
    </i>
    <i r="2">
      <x v="134"/>
      <x/>
    </i>
    <i r="3">
      <x v="1"/>
    </i>
    <i t="default" r="1">
      <x v="93"/>
    </i>
    <i r="1">
      <x v="94"/>
      <x v="39"/>
      <x/>
    </i>
    <i r="3">
      <x v="1"/>
    </i>
    <i r="2">
      <x v="129"/>
      <x/>
    </i>
    <i r="2">
      <x v="130"/>
      <x/>
    </i>
    <i r="2">
      <x v="131"/>
      <x/>
    </i>
    <i t="default" r="1">
      <x v="94"/>
    </i>
    <i t="default">
      <x/>
    </i>
    <i>
      <x v="1"/>
      <x v="74"/>
      <x v="114"/>
      <x v="2"/>
    </i>
    <i t="default" r="1">
      <x v="74"/>
    </i>
    <i t="default">
      <x v="1"/>
    </i>
  </rowItems>
  <colItems count="1">
    <i/>
  </colItems>
  <dataFields count="1">
    <dataField name="Cuenta de id_grafico" fld="21"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D9BD45-183F-44F3-A19D-87E484DAF5C0}" name="TablaDinámica7" cacheId="13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10:H2111" firstHeaderRow="1" firstDataRow="1" firstDataCol="8"/>
  <pivotFields count="27">
    <pivotField axis="axisRow" compact="0" outline="0" showAll="0" defaultSubtotal="0">
      <items count="8000">
        <item x="0"/>
        <item x="1"/>
        <item x="2"/>
        <item x="3"/>
        <item x="4"/>
        <item x="5"/>
        <item x="6"/>
        <item x="7"/>
        <item x="8"/>
        <item x="9"/>
        <item x="10"/>
        <item x="11"/>
        <item x="12"/>
        <item x="13"/>
        <item x="14"/>
        <item x="15"/>
        <item x="16"/>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17"/>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23"/>
        <item x="1107"/>
        <item x="1108"/>
        <item x="1109"/>
        <item x="1110"/>
        <item x="1111"/>
        <item x="1112"/>
        <item x="1113"/>
        <item x="1114"/>
        <item x="1115"/>
        <item x="1116"/>
        <item x="1117"/>
        <item x="1118"/>
        <item x="1119"/>
        <item x="1120"/>
        <item x="1121"/>
        <item x="1122"/>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m="1" x="2106"/>
        <item x="1106"/>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m="1" x="2725"/>
        <item m="1" x="2921"/>
        <item m="1" x="3081"/>
        <item m="1" x="3241"/>
        <item m="1" x="3401"/>
        <item m="1" x="3561"/>
        <item m="1" x="3777"/>
        <item m="1" x="4074"/>
        <item m="1" x="2171"/>
        <item m="1" x="2460"/>
        <item m="1" x="2735"/>
        <item m="1" x="2929"/>
        <item m="1" x="3089"/>
        <item m="1" x="3249"/>
        <item m="1" x="3409"/>
        <item m="1" x="3569"/>
        <item m="1" x="3788"/>
        <item m="1" x="4086"/>
        <item m="1" x="2177"/>
        <item m="1" x="2468"/>
        <item m="1" x="2743"/>
        <item m="1" x="2937"/>
        <item m="1" x="3097"/>
        <item m="1" x="3257"/>
        <item m="1" x="3417"/>
        <item m="1" x="3577"/>
        <item m="1" x="3797"/>
        <item m="1" x="4094"/>
        <item m="1" x="2183"/>
        <item m="1" x="2476"/>
        <item m="1" x="2751"/>
        <item m="1" x="2945"/>
        <item m="1" x="3105"/>
        <item m="1" x="3265"/>
        <item m="1" x="3425"/>
        <item m="1" x="3585"/>
        <item m="1" x="3805"/>
        <item m="1" x="4101"/>
        <item m="1" x="2189"/>
        <item m="1" x="2484"/>
        <item m="1" x="2759"/>
        <item m="1" x="2953"/>
        <item m="1" x="3113"/>
        <item m="1" x="3273"/>
        <item m="1" x="3433"/>
        <item m="1" x="3593"/>
        <item m="1" x="3813"/>
        <item m="1" x="4108"/>
        <item m="1" x="2195"/>
        <item m="1" x="2492"/>
        <item m="1" x="2767"/>
        <item m="1" x="2961"/>
        <item m="1" x="3121"/>
        <item m="1" x="3281"/>
        <item m="1" x="3441"/>
        <item m="1" x="3601"/>
        <item m="1" x="3821"/>
        <item m="1" x="4115"/>
        <item m="1" x="2201"/>
        <item m="1" x="2500"/>
        <item m="1" x="2775"/>
        <item m="1" x="2969"/>
        <item m="1" x="3129"/>
        <item m="1" x="3289"/>
        <item m="1" x="3449"/>
        <item m="1" x="3609"/>
        <item m="1" x="3829"/>
        <item m="1" x="4122"/>
        <item m="1" x="2211"/>
        <item m="1" x="2512"/>
        <item m="1" x="2785"/>
        <item m="1" x="2977"/>
        <item m="1" x="3137"/>
        <item m="1" x="3297"/>
        <item m="1" x="3457"/>
        <item m="1" x="3617"/>
        <item m="1" x="3839"/>
        <item m="1" x="4132"/>
        <item m="1" x="2225"/>
        <item m="1" x="2527"/>
        <item m="1" x="2796"/>
        <item m="1" x="2985"/>
        <item m="1" x="3145"/>
        <item m="1" x="3305"/>
        <item m="1" x="3465"/>
        <item m="1" x="3627"/>
        <item m="1" x="3853"/>
        <item m="1" x="4147"/>
        <item m="1" x="2237"/>
        <item m="1" x="2539"/>
        <item m="1" x="2804"/>
        <item m="1" x="2990"/>
        <item m="1" x="3150"/>
        <item m="1" x="3310"/>
        <item m="1" x="3470"/>
        <item m="1" x="3634"/>
        <item m="1" x="3865"/>
        <item m="1" x="4160"/>
        <item m="1" x="3731"/>
        <item m="1" x="4005"/>
        <item m="1" x="4287"/>
        <item m="1" x="4479"/>
        <item m="1" x="4639"/>
        <item m="1" x="4799"/>
        <item m="1" x="4959"/>
        <item m="1" x="5119"/>
        <item m="1" x="5335"/>
        <item m="1" x="5633"/>
        <item m="1" x="3739"/>
        <item m="1" x="4016"/>
        <item m="1" x="4296"/>
        <item m="1" x="4486"/>
        <item m="1" x="4646"/>
        <item m="1" x="4806"/>
        <item m="1" x="4966"/>
        <item m="1" x="5126"/>
        <item m="1" x="5345"/>
        <item m="1" x="5645"/>
        <item m="1" x="3743"/>
        <item m="1" x="4023"/>
        <item m="1" x="4303"/>
        <item m="1" x="4493"/>
        <item m="1" x="4653"/>
        <item m="1" x="4813"/>
        <item m="1" x="4973"/>
        <item m="1" x="5133"/>
        <item m="1" x="5353"/>
        <item m="1" x="5653"/>
        <item m="1" x="3747"/>
        <item m="1" x="4030"/>
        <item m="1" x="4310"/>
        <item m="1" x="4500"/>
        <item m="1" x="4660"/>
        <item m="1" x="4820"/>
        <item m="1" x="4980"/>
        <item m="1" x="5140"/>
        <item m="1" x="5360"/>
        <item m="1" x="5660"/>
        <item m="1" x="3751"/>
        <item m="1" x="4037"/>
        <item m="1" x="4317"/>
        <item m="1" x="4507"/>
        <item m="1" x="4667"/>
        <item m="1" x="4827"/>
        <item m="1" x="4987"/>
        <item m="1" x="5147"/>
        <item m="1" x="5367"/>
        <item m="1" x="5667"/>
        <item m="1" x="3755"/>
        <item m="1" x="4044"/>
        <item m="1" x="4324"/>
        <item m="1" x="4514"/>
        <item m="1" x="4674"/>
        <item m="1" x="4834"/>
        <item m="1" x="4994"/>
        <item m="1" x="5154"/>
        <item m="1" x="5374"/>
        <item m="1" x="5674"/>
        <item m="1" x="3759"/>
        <item m="1" x="4051"/>
        <item m="1" x="4331"/>
        <item m="1" x="4521"/>
        <item m="1" x="4681"/>
        <item m="1" x="4841"/>
        <item m="1" x="5001"/>
        <item m="1" x="5161"/>
        <item m="1" x="5381"/>
        <item m="1" x="5681"/>
        <item m="1" x="3766"/>
        <item m="1" x="4061"/>
        <item m="1" x="4339"/>
        <item m="1" x="4528"/>
        <item m="1" x="4688"/>
        <item m="1" x="4848"/>
        <item m="1" x="5008"/>
        <item m="1" x="5168"/>
        <item m="1" x="5390"/>
        <item m="1" x="5691"/>
        <item m="1" x="3778"/>
        <item m="1" x="4075"/>
        <item m="1" x="4348"/>
        <item m="1" x="4535"/>
        <item m="1" x="4695"/>
        <item m="1" x="4855"/>
        <item m="1" x="5015"/>
        <item m="1" x="5177"/>
        <item m="1" x="5403"/>
        <item m="1" x="5706"/>
        <item m="1" x="3789"/>
        <item m="1" x="4087"/>
        <item m="1" x="4355"/>
        <item m="1" x="4540"/>
        <item m="1" x="4700"/>
        <item m="1" x="4860"/>
        <item m="1" x="5020"/>
        <item m="1" x="5184"/>
        <item m="1" x="5415"/>
        <item m="1" x="5720"/>
        <item m="1" x="5288"/>
        <item m="1" x="5562"/>
        <item m="1" x="5864"/>
        <item m="1" x="6078"/>
        <item m="1" x="6239"/>
        <item m="1" x="6399"/>
        <item m="1" x="6559"/>
        <item m="1" x="6719"/>
        <item m="1" x="6915"/>
        <item m="1" x="7191"/>
        <item m="1" x="5298"/>
        <item m="1" x="5575"/>
        <item m="1" x="5875"/>
        <item m="1" x="6086"/>
        <item m="1" x="6246"/>
        <item m="1" x="6406"/>
        <item m="1" x="6566"/>
        <item m="1" x="6726"/>
        <item m="1" x="6925"/>
        <item m="1" x="7204"/>
        <item m="1" x="5303"/>
        <item m="1" x="5583"/>
        <item m="1" x="5883"/>
        <item m="1" x="6093"/>
        <item m="1" x="6253"/>
        <item m="1" x="6413"/>
        <item m="1" x="6573"/>
        <item m="1" x="6733"/>
        <item m="1" x="6933"/>
        <item m="1" x="7213"/>
        <item m="1" x="5307"/>
        <item m="1" x="5590"/>
        <item m="1" x="5890"/>
        <item m="1" x="6100"/>
        <item m="1" x="6260"/>
        <item m="1" x="6420"/>
        <item m="1" x="6580"/>
        <item m="1" x="6740"/>
        <item m="1" x="6940"/>
        <item m="1" x="7220"/>
        <item m="1" x="5311"/>
        <item m="1" x="5597"/>
        <item m="1" x="5897"/>
        <item m="1" x="6107"/>
        <item m="1" x="6267"/>
        <item m="1" x="6427"/>
        <item m="1" x="6587"/>
        <item m="1" x="6747"/>
        <item m="1" x="6947"/>
        <item m="1" x="7227"/>
        <item m="1" x="5315"/>
        <item m="1" x="5604"/>
        <item m="1" x="5904"/>
        <item m="1" x="6114"/>
        <item m="1" x="6274"/>
        <item m="1" x="6434"/>
        <item m="1" x="6594"/>
        <item m="1" x="6754"/>
        <item m="1" x="6954"/>
        <item m="1" x="7234"/>
        <item m="1" x="5319"/>
        <item m="1" x="5611"/>
        <item m="1" x="5911"/>
        <item m="1" x="6121"/>
        <item m="1" x="6281"/>
        <item m="1" x="6441"/>
        <item m="1" x="6601"/>
        <item m="1" x="6761"/>
        <item m="1" x="6961"/>
        <item m="1" x="7241"/>
        <item m="1" x="5325"/>
        <item m="1" x="5620"/>
        <item m="1" x="5919"/>
        <item m="1" x="6128"/>
        <item m="1" x="6288"/>
        <item m="1" x="6448"/>
        <item m="1" x="6608"/>
        <item m="1" x="6768"/>
        <item m="1" x="6969"/>
        <item m="1" x="7250"/>
        <item m="1" x="5336"/>
        <item m="1" x="5634"/>
        <item m="1" x="5929"/>
        <item m="1" x="6135"/>
        <item m="1" x="6295"/>
        <item m="1" x="6455"/>
        <item m="1" x="6615"/>
        <item m="1" x="6776"/>
        <item m="1" x="6980"/>
        <item m="1" x="7264"/>
        <item m="1" x="5346"/>
        <item m="1" x="5646"/>
        <item m="1" x="5937"/>
        <item m="1" x="6140"/>
        <item m="1" x="6300"/>
        <item m="1" x="6460"/>
        <item m="1" x="6620"/>
        <item m="1" x="6782"/>
        <item m="1" x="6990"/>
        <item m="1" x="7277"/>
        <item m="1" x="6876"/>
        <item m="1" x="7120"/>
        <item m="1" x="7408"/>
        <item m="1" x="7617"/>
        <item m="1" x="7773"/>
        <item m="1" x="7928"/>
        <item m="1" x="2362"/>
        <item m="1" x="6885"/>
        <item m="1" x="7133"/>
        <item m="1" x="7420"/>
        <item m="1" x="7626"/>
        <item m="1" x="7781"/>
        <item m="1" x="7936"/>
        <item m="1" x="2376"/>
        <item m="1" x="6889"/>
        <item m="1" x="7141"/>
        <item m="1" x="7429"/>
        <item m="1" x="7634"/>
        <item m="1" x="7789"/>
        <item m="1" x="7944"/>
        <item m="1" x="2101"/>
        <item m="1" x="2386"/>
        <item m="1" x="6892"/>
        <item m="1" x="7148"/>
        <item m="1" x="7437"/>
        <item m="1" x="7642"/>
        <item m="1" x="7797"/>
        <item m="1" x="7952"/>
        <item m="1" x="2110"/>
        <item m="1" x="2394"/>
        <item m="1" x="6895"/>
        <item m="1" x="7155"/>
        <item m="1" x="7445"/>
        <item m="1" x="7650"/>
        <item m="1" x="7805"/>
        <item m="1" x="7960"/>
        <item m="1" x="2118"/>
        <item m="1" x="2402"/>
        <item m="1" x="6898"/>
        <item m="1" x="7162"/>
        <item m="1" x="7453"/>
        <item m="1" x="7658"/>
        <item m="1" x="7813"/>
        <item m="1" x="7968"/>
        <item m="1" x="2126"/>
        <item m="1" x="2410"/>
        <item m="1" x="6901"/>
        <item m="1" x="7169"/>
        <item m="1" x="7461"/>
        <item m="1" x="7666"/>
        <item m="1" x="7821"/>
        <item m="1" x="7976"/>
        <item m="1" x="2134"/>
        <item m="1" x="2418"/>
        <item m="1" x="6906"/>
        <item m="1" x="7178"/>
        <item m="1" x="7470"/>
        <item m="1" x="7674"/>
        <item m="1" x="7829"/>
        <item m="1" x="7984"/>
        <item m="1" x="2143"/>
        <item m="1" x="2427"/>
        <item m="1" x="6916"/>
        <item m="1" x="7192"/>
        <item m="1" x="7481"/>
        <item m="1" x="7682"/>
        <item m="1" x="7837"/>
        <item m="1" x="7992"/>
        <item m="1" x="2155"/>
        <item m="1" x="2441"/>
        <item m="1" x="6926"/>
        <item m="1" x="7205"/>
        <item m="1" x="7491"/>
        <item m="1" x="7689"/>
        <item m="1" x="7844"/>
        <item m="1" x="7999"/>
        <item m="1" x="2167"/>
        <item m="1" x="2455"/>
        <item m="1" x="2292"/>
        <item m="1" x="2588"/>
        <item m="1" x="2826"/>
        <item m="1" x="2998"/>
        <item m="1" x="3158"/>
        <item m="1" x="3318"/>
        <item m="1" x="3478"/>
        <item m="1" x="3655"/>
        <item m="1" x="3919"/>
        <item m="1" x="2305"/>
        <item m="1" x="2601"/>
        <item m="1" x="2836"/>
        <item m="1" x="3006"/>
        <item m="1" x="3166"/>
        <item m="1" x="3326"/>
        <item m="1" x="3486"/>
        <item m="1" x="3665"/>
        <item m="1" x="3933"/>
        <item m="1" x="2313"/>
        <item m="1" x="2610"/>
        <item m="1" x="2844"/>
        <item m="1" x="3014"/>
        <item m="1" x="3174"/>
        <item m="1" x="3334"/>
        <item m="1" x="3494"/>
        <item m="1" x="3674"/>
        <item m="1" x="3944"/>
        <item m="1" x="2320"/>
        <item m="1" x="2618"/>
        <item m="1" x="2852"/>
        <item m="1" x="3022"/>
        <item m="1" x="3182"/>
        <item m="1" x="3342"/>
        <item m="1" x="3502"/>
        <item m="1" x="3682"/>
        <item m="1" x="3952"/>
        <item m="1" x="2327"/>
        <item m="1" x="2626"/>
        <item m="1" x="2860"/>
        <item m="1" x="3030"/>
        <item m="1" x="3190"/>
        <item m="1" x="3350"/>
        <item m="1" x="3510"/>
        <item m="1" x="3690"/>
        <item m="1" x="3960"/>
        <item m="1" x="2334"/>
        <item m="1" x="2634"/>
        <item m="1" x="2868"/>
        <item m="1" x="3038"/>
        <item m="1" x="3198"/>
        <item m="1" x="3358"/>
        <item m="1" x="3518"/>
        <item m="1" x="3698"/>
        <item m="1" x="3968"/>
        <item m="1" x="2341"/>
        <item m="1" x="2642"/>
        <item m="1" x="2876"/>
        <item m="1" x="3046"/>
        <item m="1" x="3206"/>
        <item m="1" x="3366"/>
        <item m="1" x="3526"/>
        <item m="1" x="3706"/>
        <item m="1" x="3976"/>
        <item m="1" x="2349"/>
        <item m="1" x="2651"/>
        <item m="1" x="2884"/>
        <item m="1" x="3054"/>
        <item m="1" x="3214"/>
        <item m="1" x="3374"/>
        <item m="1" x="3534"/>
        <item m="1" x="3714"/>
        <item m="1" x="3984"/>
        <item m="1" x="2363"/>
        <item m="1" x="2663"/>
        <item m="1" x="2893"/>
        <item m="1" x="3062"/>
        <item m="1" x="3222"/>
        <item m="1" x="3382"/>
        <item m="1" x="3542"/>
        <item m="1" x="3724"/>
        <item m="1" x="3996"/>
        <item m="1" x="2377"/>
        <item m="1" x="2675"/>
        <item m="1" x="2901"/>
        <item m="1" x="3069"/>
        <item m="1" x="3229"/>
        <item m="1" x="3389"/>
        <item m="1" x="3549"/>
        <item m="1" x="3735"/>
        <item m="1" x="4010"/>
        <item m="1" x="3623"/>
        <item m="1" x="3847"/>
        <item m="1" x="4140"/>
        <item m="1" x="4376"/>
        <item m="1" x="4548"/>
        <item m="1" x="4708"/>
        <item m="1" x="4868"/>
        <item m="1" x="5028"/>
        <item m="1" x="5205"/>
        <item m="1" x="5469"/>
        <item m="1" x="3632"/>
        <item m="1" x="3861"/>
        <item m="1" x="4155"/>
        <item m="1" x="4387"/>
        <item m="1" x="4557"/>
        <item m="1" x="4717"/>
        <item m="1" x="4877"/>
        <item m="1" x="5037"/>
        <item m="1" x="5216"/>
        <item m="1" x="5484"/>
        <item m="1" x="3636"/>
        <item m="1" x="3870"/>
        <item m="1" x="4166"/>
        <item m="1" x="4396"/>
        <item m="1" x="4566"/>
        <item m="1" x="4726"/>
        <item m="1" x="4886"/>
        <item m="1" x="5046"/>
        <item m="1" x="5226"/>
        <item m="1" x="5496"/>
        <item m="1" x="3638"/>
        <item m="1" x="3877"/>
        <item m="1" x="4175"/>
        <item m="1" x="4405"/>
        <item m="1" x="4575"/>
        <item m="1" x="4735"/>
        <item m="1" x="4895"/>
        <item m="1" x="5055"/>
        <item m="1" x="5235"/>
        <item m="1" x="5505"/>
        <item m="1" x="3640"/>
        <item m="1" x="3884"/>
        <item m="1" x="4184"/>
        <item m="1" x="4414"/>
        <item m="1" x="4584"/>
        <item m="1" x="4744"/>
        <item m="1" x="4904"/>
        <item m="1" x="5064"/>
        <item m="1" x="5244"/>
        <item m="1" x="5514"/>
        <item m="1" x="3642"/>
        <item m="1" x="3891"/>
        <item m="1" x="4193"/>
        <item m="1" x="4423"/>
        <item m="1" x="4593"/>
        <item m="1" x="4753"/>
        <item m="1" x="4913"/>
        <item m="1" x="5073"/>
        <item m="1" x="5253"/>
        <item m="1" x="5523"/>
        <item m="1" x="3644"/>
        <item m="1" x="3898"/>
        <item m="1" x="4202"/>
        <item m="1" x="4432"/>
        <item m="1" x="4602"/>
        <item m="1" x="4762"/>
        <item m="1" x="4922"/>
        <item m="1" x="5082"/>
        <item m="1" x="5262"/>
        <item m="1" x="5532"/>
        <item m="1" x="3647"/>
        <item m="1" x="3906"/>
        <item m="1" x="4212"/>
        <item m="1" x="4441"/>
        <item m="1" x="4611"/>
        <item m="1" x="4771"/>
        <item m="1" x="4931"/>
        <item m="1" x="5091"/>
        <item m="1" x="5271"/>
        <item m="1" x="5541"/>
        <item m="1" x="3656"/>
        <item m="1" x="3920"/>
        <item m="1" x="4225"/>
        <item m="1" x="4451"/>
        <item m="1" x="4620"/>
        <item m="1" x="4780"/>
        <item m="1" x="4940"/>
        <item m="1" x="5100"/>
        <item m="1" x="5282"/>
        <item m="1" x="5554"/>
        <item m="1" x="3666"/>
        <item m="1" x="3934"/>
        <item m="1" x="4238"/>
        <item m="1" x="4460"/>
        <item m="1" x="4628"/>
        <item m="1" x="4788"/>
        <item m="1" x="4948"/>
        <item m="1" x="5108"/>
        <item m="1" x="5294"/>
        <item m="1" x="5569"/>
        <item m="1" x="5172"/>
        <item m="1" x="5396"/>
        <item m="1" x="5698"/>
        <item m="1" x="5964"/>
        <item m="1" x="6148"/>
        <item m="1" x="6308"/>
        <item m="1" x="6468"/>
        <item m="1" x="6628"/>
        <item m="1" x="6796"/>
        <item m="1" x="7030"/>
        <item m="1" x="5181"/>
        <item m="1" x="5410"/>
        <item m="1" x="5714"/>
        <item m="1" x="5976"/>
        <item m="1" x="6157"/>
        <item m="1" x="6317"/>
        <item m="1" x="6477"/>
        <item m="1" x="6637"/>
        <item m="1" x="6806"/>
        <item m="1" x="7044"/>
        <item m="1" x="5186"/>
        <item m="1" x="5420"/>
        <item m="1" x="5726"/>
        <item m="1" x="5986"/>
        <item m="1" x="6166"/>
        <item m="1" x="6326"/>
        <item m="1" x="6486"/>
        <item m="1" x="6646"/>
        <item m="1" x="6816"/>
        <item m="1" x="7056"/>
        <item m="1" x="5188"/>
        <item m="1" x="5427"/>
        <item m="1" x="5735"/>
        <item m="1" x="5995"/>
        <item m="1" x="6175"/>
        <item m="1" x="6335"/>
        <item m="1" x="6495"/>
        <item m="1" x="6655"/>
        <item m="1" x="6825"/>
        <item m="1" x="7065"/>
        <item m="1" x="5190"/>
        <item m="1" x="5434"/>
        <item m="1" x="5744"/>
        <item m="1" x="6004"/>
        <item m="1" x="6184"/>
        <item m="1" x="6344"/>
        <item m="1" x="6504"/>
        <item m="1" x="6664"/>
        <item m="1" x="6834"/>
        <item m="1" x="7074"/>
        <item m="1" x="5192"/>
        <item m="1" x="5441"/>
        <item m="1" x="5753"/>
        <item m="1" x="6013"/>
        <item m="1" x="6193"/>
        <item m="1" x="6353"/>
        <item m="1" x="6513"/>
        <item m="1" x="6673"/>
        <item m="1" x="6843"/>
        <item m="1" x="7083"/>
        <item m="1" x="5194"/>
        <item m="1" x="5448"/>
        <item m="1" x="5762"/>
        <item m="1" x="6022"/>
        <item m="1" x="6202"/>
        <item m="1" x="6362"/>
        <item m="1" x="6522"/>
        <item m="1" x="6682"/>
        <item m="1" x="6852"/>
        <item m="1" x="7092"/>
        <item m="1" x="5197"/>
        <item m="1" x="5456"/>
        <item m="1" x="5772"/>
        <item m="1" x="6031"/>
        <item m="1" x="6211"/>
        <item m="1" x="6371"/>
        <item m="1" x="6531"/>
        <item m="1" x="6691"/>
        <item m="1" x="6861"/>
        <item m="1" x="7101"/>
        <item m="1" x="5206"/>
        <item m="1" x="5470"/>
        <item m="1" x="5786"/>
        <item m="1" x="6042"/>
        <item m="1" x="6220"/>
        <item m="1" x="6380"/>
        <item m="1" x="6540"/>
        <item m="1" x="6700"/>
        <item m="1" x="6871"/>
        <item m="1" x="7113"/>
        <item m="1" x="5217"/>
        <item m="1" x="5485"/>
        <item m="1" x="5801"/>
        <item m="1" x="6052"/>
        <item m="1" x="6228"/>
        <item m="1" x="6388"/>
        <item m="1" x="6548"/>
        <item m="1" x="6708"/>
        <item m="1" x="6882"/>
        <item m="1" x="7128"/>
        <item m="1" x="6771"/>
        <item m="1" x="6973"/>
        <item m="1" x="7255"/>
        <item m="1" x="7516"/>
        <item m="1" x="7695"/>
        <item m="1" x="7850"/>
        <item m="1" x="2212"/>
        <item m="1" x="6779"/>
        <item m="1" x="6985"/>
        <item m="1" x="7270"/>
        <item m="1" x="7527"/>
        <item m="1" x="7703"/>
        <item m="1" x="7858"/>
        <item m="1" x="2226"/>
        <item m="1" x="6783"/>
        <item m="1" x="6993"/>
        <item m="1" x="7281"/>
        <item m="1" x="7536"/>
        <item m="1" x="7711"/>
        <item m="1" x="7866"/>
        <item m="1" x="2238"/>
        <item m="1" x="6784"/>
        <item m="1" x="6998"/>
        <item m="1" x="7289"/>
        <item m="1" x="7544"/>
        <item m="1" x="7719"/>
        <item m="1" x="7874"/>
        <item m="1" x="2246"/>
        <item m="1" x="6785"/>
        <item m="1" x="7003"/>
        <item m="1" x="7297"/>
        <item m="1" x="7552"/>
        <item m="1" x="7727"/>
        <item m="1" x="7882"/>
        <item m="1" x="2254"/>
        <item m="1" x="6786"/>
        <item m="1" x="7008"/>
        <item m="1" x="7304"/>
        <item m="1" x="7559"/>
        <item m="1" x="7734"/>
        <item m="1" x="7889"/>
        <item m="1" x="2261"/>
        <item m="1" x="6787"/>
        <item m="1" x="7013"/>
        <item m="1" x="7311"/>
        <item m="1" x="7566"/>
        <item m="1" x="7741"/>
        <item m="1" x="7896"/>
        <item m="1" x="2268"/>
        <item m="1" x="6789"/>
        <item m="1" x="7019"/>
        <item m="1" x="7319"/>
        <item m="1" x="7573"/>
        <item m="1" x="7748"/>
        <item m="1" x="7903"/>
        <item m="1" x="2275"/>
        <item m="1" x="6797"/>
        <item m="1" x="7031"/>
        <item m="1" x="7331"/>
        <item m="1" x="7582"/>
        <item m="1" x="7755"/>
        <item m="1" x="7910"/>
        <item m="1" x="2285"/>
        <item m="1" x="6807"/>
        <item m="1" x="7045"/>
        <item m="1" x="7345"/>
        <item m="1" x="7591"/>
        <item m="1" x="7762"/>
        <item m="1" x="7917"/>
        <item m="1" x="2299"/>
        <item m="1" x="2149"/>
        <item m="1" x="2434"/>
        <item m="1" x="2713"/>
        <item m="1" x="2913"/>
        <item m="1" x="3074"/>
        <item m="1" x="3234"/>
        <item m="1" x="3394"/>
        <item m="1" x="3554"/>
        <item m="1" x="3767"/>
        <item m="1" x="2162"/>
        <item m="1" x="2449"/>
        <item m="1" x="2726"/>
        <item m="1" x="2922"/>
        <item m="1" x="3082"/>
        <item m="1" x="3242"/>
        <item m="1" x="3402"/>
        <item m="1" x="3562"/>
        <item m="1" x="3779"/>
        <item m="1" x="2172"/>
        <item m="1" x="2461"/>
        <item m="1" x="2736"/>
        <item m="1" x="2930"/>
        <item m="1" x="3090"/>
        <item m="1" x="3250"/>
        <item m="1" x="3410"/>
        <item m="1" x="3570"/>
        <item m="1" x="3790"/>
        <item m="1" x="2178"/>
        <item m="1" x="2469"/>
        <item m="1" x="2744"/>
        <item m="1" x="2938"/>
        <item m="1" x="3098"/>
        <item m="1" x="3258"/>
        <item m="1" x="3418"/>
        <item m="1" x="3578"/>
        <item m="1" x="3798"/>
        <item m="1" x="2184"/>
        <item m="1" x="2477"/>
        <item m="1" x="2752"/>
        <item m="1" x="2946"/>
        <item m="1" x="3106"/>
        <item m="1" x="3266"/>
        <item m="1" x="3426"/>
        <item m="1" x="3586"/>
        <item m="1" x="3806"/>
        <item m="1" x="2190"/>
        <item m="1" x="2485"/>
        <item m="1" x="2760"/>
        <item m="1" x="2954"/>
        <item m="1" x="3114"/>
        <item m="1" x="3274"/>
        <item m="1" x="3434"/>
        <item m="1" x="3594"/>
        <item m="1" x="3814"/>
        <item m="1" x="2196"/>
        <item m="1" x="2493"/>
        <item m="1" x="2768"/>
        <item m="1" x="2962"/>
        <item m="1" x="3122"/>
        <item m="1" x="3282"/>
        <item m="1" x="3442"/>
        <item m="1" x="3602"/>
        <item m="1" x="3822"/>
        <item m="1" x="2202"/>
        <item m="1" x="2501"/>
        <item m="1" x="2776"/>
        <item m="1" x="2970"/>
        <item m="1" x="3130"/>
        <item m="1" x="3290"/>
        <item m="1" x="3450"/>
        <item m="1" x="3610"/>
        <item m="1" x="3830"/>
        <item m="1" x="2213"/>
        <item m="1" x="2513"/>
        <item m="1" x="2786"/>
        <item m="1" x="2978"/>
        <item m="1" x="3138"/>
        <item m="1" x="3298"/>
        <item m="1" x="3458"/>
        <item m="1" x="3618"/>
        <item m="1" x="3840"/>
        <item m="1" x="2227"/>
        <item m="1" x="2528"/>
        <item m="1" x="2797"/>
        <item m="1" x="2986"/>
        <item m="1" x="3146"/>
        <item m="1" x="3306"/>
        <item m="1" x="3466"/>
        <item m="1" x="3628"/>
        <item m="1" x="3854"/>
        <item m="1" x="3855"/>
        <item m="1" x="4148"/>
        <item m="1" x="4381"/>
        <item m="1" x="4552"/>
        <item m="1" x="4712"/>
        <item m="1" x="4872"/>
        <item m="1" x="5032"/>
        <item m="1" x="5210"/>
        <item m="1" x="5476"/>
        <item m="1" x="5793"/>
        <item m="1" x="3866"/>
        <item m="1" x="4161"/>
        <item m="1" x="4391"/>
        <item m="1" x="4561"/>
        <item m="1" x="4721"/>
        <item m="1" x="4881"/>
        <item m="1" x="5041"/>
        <item m="1" x="5221"/>
        <item m="1" x="5490"/>
        <item m="1" x="5806"/>
        <item m="1" x="3873"/>
        <item m="1" x="4170"/>
        <item m="1" x="4400"/>
        <item m="1" x="4570"/>
        <item m="1" x="4730"/>
        <item m="1" x="4890"/>
        <item m="1" x="5050"/>
        <item m="1" x="5230"/>
        <item m="1" x="5500"/>
        <item m="1" x="5814"/>
        <item m="1" x="3880"/>
        <item m="1" x="4179"/>
        <item m="1" x="4409"/>
        <item m="1" x="4579"/>
        <item m="1" x="4739"/>
        <item m="1" x="4899"/>
        <item m="1" x="5059"/>
        <item m="1" x="5239"/>
        <item m="1" x="5509"/>
        <item m="1" x="5821"/>
        <item m="1" x="3887"/>
        <item m="1" x="4188"/>
        <item m="1" x="4418"/>
        <item m="1" x="4588"/>
        <item m="1" x="4748"/>
        <item m="1" x="4908"/>
        <item m="1" x="5068"/>
        <item m="1" x="5248"/>
        <item m="1" x="5518"/>
        <item m="1" x="5828"/>
        <item m="1" x="3894"/>
        <item m="1" x="4197"/>
        <item m="1" x="4427"/>
        <item m="1" x="4597"/>
        <item m="1" x="4757"/>
        <item m="1" x="4917"/>
        <item m="1" x="5077"/>
        <item m="1" x="5257"/>
        <item m="1" x="5527"/>
        <item m="1" x="5835"/>
        <item m="1" x="3901"/>
        <item m="1" x="4206"/>
        <item m="1" x="4436"/>
        <item m="1" x="4606"/>
        <item m="1" x="4766"/>
        <item m="1" x="4926"/>
        <item m="1" x="5086"/>
        <item m="1" x="5266"/>
        <item m="1" x="5536"/>
        <item m="1" x="5842"/>
        <item m="1" x="3912"/>
        <item m="1" x="4218"/>
        <item m="1" x="4446"/>
        <item m="1" x="4615"/>
        <item m="1" x="4775"/>
        <item m="1" x="4935"/>
        <item m="1" x="5095"/>
        <item m="1" x="5276"/>
        <item m="1" x="5547"/>
        <item m="1" x="5851"/>
        <item m="1" x="3927"/>
        <item m="1" x="4232"/>
        <item m="1" x="4456"/>
        <item m="1" x="4624"/>
        <item m="1" x="4784"/>
        <item m="1" x="4944"/>
        <item m="1" x="5104"/>
        <item m="1" x="5289"/>
        <item m="1" x="5563"/>
        <item m="1" x="5865"/>
        <item m="1" x="3940"/>
        <item m="1" x="4243"/>
        <item m="1" x="4463"/>
        <item m="1" x="4630"/>
        <item m="1" x="4790"/>
        <item m="1" x="4950"/>
        <item m="1" x="5110"/>
        <item m="1" x="5299"/>
        <item m="1" x="5576"/>
        <item m="1" x="5876"/>
        <item m="1" x="5404"/>
        <item m="1" x="5707"/>
        <item m="1" x="5970"/>
        <item m="1" x="6152"/>
        <item m="1" x="6312"/>
        <item m="1" x="6472"/>
        <item m="1" x="6632"/>
        <item m="1" x="6801"/>
        <item m="1" x="7037"/>
        <item m="1" x="7338"/>
        <item m="1" x="5416"/>
        <item m="1" x="5721"/>
        <item m="1" x="5981"/>
        <item m="1" x="6161"/>
        <item m="1" x="6321"/>
        <item m="1" x="6481"/>
        <item m="1" x="6641"/>
        <item m="1" x="6811"/>
        <item m="1" x="7050"/>
        <item m="1" x="7351"/>
        <item m="1" x="5423"/>
        <item m="1" x="5730"/>
        <item m="1" x="5990"/>
        <item m="1" x="6170"/>
        <item m="1" x="6330"/>
        <item m="1" x="6490"/>
        <item m="1" x="6650"/>
        <item m="1" x="6820"/>
        <item m="1" x="7060"/>
        <item m="1" x="7359"/>
        <item m="1" x="5430"/>
        <item m="1" x="5739"/>
        <item m="1" x="5999"/>
        <item m="1" x="6179"/>
        <item m="1" x="6339"/>
        <item m="1" x="6499"/>
        <item m="1" x="6659"/>
        <item m="1" x="6829"/>
        <item m="1" x="7069"/>
        <item m="1" x="7366"/>
        <item m="1" x="5437"/>
        <item m="1" x="5748"/>
        <item m="1" x="6008"/>
        <item m="1" x="6188"/>
        <item m="1" x="6348"/>
        <item m="1" x="6508"/>
        <item m="1" x="6668"/>
        <item m="1" x="6838"/>
        <item m="1" x="7078"/>
        <item m="1" x="7373"/>
        <item m="1" x="5444"/>
        <item m="1" x="5757"/>
        <item m="1" x="6017"/>
        <item m="1" x="6197"/>
        <item m="1" x="6357"/>
        <item m="1" x="6517"/>
        <item m="1" x="6677"/>
        <item m="1" x="6847"/>
        <item m="1" x="7087"/>
        <item m="1" x="7380"/>
        <item m="1" x="5451"/>
        <item m="1" x="5766"/>
        <item m="1" x="6026"/>
        <item m="1" x="6206"/>
        <item m="1" x="6366"/>
        <item m="1" x="6526"/>
        <item m="1" x="6686"/>
        <item m="1" x="6856"/>
        <item m="1" x="7096"/>
        <item m="1" x="7387"/>
        <item m="1" x="5461"/>
        <item m="1" x="5778"/>
        <item m="1" x="6036"/>
        <item m="1" x="6215"/>
        <item m="1" x="6375"/>
        <item m="1" x="6535"/>
        <item m="1" x="6695"/>
        <item m="1" x="6865"/>
        <item m="1" x="7106"/>
        <item m="1" x="7395"/>
        <item m="1" x="5477"/>
        <item m="1" x="5794"/>
        <item m="1" x="6047"/>
        <item m="1" x="6224"/>
        <item m="1" x="6384"/>
        <item m="1" x="6544"/>
        <item m="1" x="6704"/>
        <item m="1" x="6877"/>
        <item m="1" x="7121"/>
        <item m="1" x="7409"/>
        <item m="1" x="5491"/>
        <item m="1" x="5807"/>
        <item m="1" x="6055"/>
        <item m="1" x="6230"/>
        <item m="1" x="6390"/>
        <item m="1" x="6550"/>
        <item m="1" x="6710"/>
        <item m="1" x="6886"/>
        <item m="1" x="7134"/>
        <item m="1" x="7421"/>
        <item m="1" x="6981"/>
        <item m="1" x="7265"/>
        <item m="1" x="7523"/>
        <item m="1" x="7700"/>
        <item m="1" x="7855"/>
        <item m="1" x="2220"/>
        <item m="1" x="2521"/>
        <item m="1" x="6991"/>
        <item m="1" x="7278"/>
        <item m="1" x="7533"/>
        <item m="1" x="7708"/>
        <item m="1" x="7863"/>
        <item m="1" x="2233"/>
        <item m="1" x="2535"/>
        <item m="1" x="6996"/>
        <item m="1" x="7286"/>
        <item m="1" x="7541"/>
        <item m="1" x="7716"/>
        <item m="1" x="7871"/>
        <item m="1" x="2243"/>
        <item m="1" x="2544"/>
        <item m="1" x="7001"/>
        <item m="1" x="7294"/>
        <item m="1" x="7549"/>
        <item m="1" x="7724"/>
        <item m="1" x="7879"/>
        <item m="1" x="2251"/>
        <item m="1" x="2551"/>
        <item m="1" x="7006"/>
        <item m="1" x="7301"/>
        <item m="1" x="7556"/>
        <item m="1" x="7731"/>
        <item m="1" x="7886"/>
        <item m="1" x="2258"/>
        <item m="1" x="2557"/>
        <item m="1" x="7011"/>
        <item m="1" x="7308"/>
        <item m="1" x="7563"/>
        <item m="1" x="7738"/>
        <item m="1" x="7893"/>
        <item m="1" x="2265"/>
        <item m="1" x="2563"/>
        <item m="1" x="7016"/>
        <item m="1" x="7315"/>
        <item m="1" x="7570"/>
        <item m="1" x="7745"/>
        <item m="1" x="7900"/>
        <item m="1" x="2272"/>
        <item m="1" x="2569"/>
        <item m="1" x="7024"/>
        <item m="1" x="7325"/>
        <item m="1" x="7578"/>
        <item m="1" x="7752"/>
        <item m="1" x="7907"/>
        <item m="1" x="2280"/>
        <item m="1" x="2576"/>
        <item m="1" x="7038"/>
        <item m="1" x="7339"/>
        <item m="1" x="7587"/>
        <item m="1" x="7759"/>
        <item m="1" x="7914"/>
        <item m="1" x="2293"/>
        <item m="1" x="2589"/>
        <item m="1" x="7051"/>
        <item m="1" x="7352"/>
        <item m="1" x="7595"/>
        <item m="1" x="7765"/>
        <item m="1" x="7920"/>
        <item m="1" x="2306"/>
        <item m="1" x="2602"/>
        <item m="1" x="2156"/>
        <item m="1" x="2442"/>
        <item m="1" x="2719"/>
        <item m="1" x="2917"/>
        <item m="1" x="3078"/>
        <item m="1" x="3238"/>
        <item m="1" x="3398"/>
        <item m="1" x="3558"/>
        <item m="1" x="3772"/>
        <item m="1" x="4067"/>
        <item m="1" x="2168"/>
        <item m="1" x="2456"/>
        <item m="1" x="2731"/>
        <item m="1" x="2926"/>
        <item m="1" x="3086"/>
        <item m="1" x="3246"/>
        <item m="1" x="3406"/>
        <item m="1" x="3566"/>
        <item m="1" x="3784"/>
        <item m="1" x="4081"/>
        <item m="1" x="2175"/>
        <item m="1" x="2465"/>
        <item m="1" x="2740"/>
        <item m="1" x="2934"/>
        <item m="1" x="3094"/>
        <item m="1" x="3254"/>
        <item m="1" x="3414"/>
        <item m="1" x="3574"/>
        <item m="1" x="3794"/>
        <item m="1" x="4091"/>
        <item m="1" x="2181"/>
        <item m="1" x="2473"/>
        <item m="1" x="2748"/>
        <item m="1" x="2942"/>
        <item m="1" x="3102"/>
        <item m="1" x="3262"/>
        <item m="1" x="3422"/>
        <item m="1" x="3582"/>
        <item m="1" x="3802"/>
        <item m="1" x="4098"/>
        <item m="1" x="2187"/>
        <item m="1" x="2481"/>
        <item m="1" x="2756"/>
        <item m="1" x="2950"/>
        <item m="1" x="3110"/>
        <item m="1" x="3270"/>
        <item m="1" x="3430"/>
        <item m="1" x="3590"/>
        <item m="1" x="3810"/>
        <item m="1" x="4105"/>
        <item m="1" x="2193"/>
        <item m="1" x="2489"/>
        <item m="1" x="2764"/>
        <item m="1" x="2958"/>
        <item m="1" x="3118"/>
        <item m="1" x="3278"/>
        <item m="1" x="3438"/>
        <item m="1" x="3598"/>
        <item m="1" x="3818"/>
        <item m="1" x="4112"/>
        <item m="1" x="2199"/>
        <item m="1" x="2497"/>
        <item m="1" x="2772"/>
        <item m="1" x="2966"/>
        <item m="1" x="3126"/>
        <item m="1" x="3286"/>
        <item m="1" x="3446"/>
        <item m="1" x="3606"/>
        <item m="1" x="3826"/>
        <item m="1" x="4119"/>
        <item m="1" x="2207"/>
        <item m="1" x="2507"/>
        <item m="1" x="2781"/>
        <item m="1" x="2974"/>
        <item m="1" x="3134"/>
        <item m="1" x="3294"/>
        <item m="1" x="3454"/>
        <item m="1" x="3614"/>
        <item m="1" x="3835"/>
        <item m="1" x="4127"/>
        <item m="1" x="2221"/>
        <item m="1" x="2522"/>
        <item m="1" x="2792"/>
        <item m="1" x="2982"/>
        <item m="1" x="3142"/>
        <item m="1" x="3302"/>
        <item m="1" x="3462"/>
        <item m="1" x="3624"/>
        <item m="1" x="3848"/>
        <item m="1" x="4141"/>
        <item m="1" x="2234"/>
        <item m="1" x="2536"/>
        <item m="1" x="2802"/>
        <item m="1" x="2989"/>
        <item m="1" x="3149"/>
        <item m="1" x="3309"/>
        <item m="1" x="3469"/>
        <item m="1" x="3633"/>
        <item m="1" x="3862"/>
        <item m="1" x="4156"/>
        <item m="1" x="3725"/>
        <item m="1" x="3997"/>
        <item m="1" x="4280"/>
        <item m="1" x="4474"/>
        <item m="1" x="4635"/>
        <item m="1" x="4795"/>
        <item m="1" x="4955"/>
        <item m="1" x="5115"/>
        <item m="1" x="5329"/>
        <item m="1" x="5625"/>
        <item m="1" x="3736"/>
        <item m="1" x="4011"/>
        <item m="1" x="4291"/>
        <item m="1" x="4482"/>
        <item m="1" x="4642"/>
        <item m="1" x="4802"/>
        <item m="1" x="4962"/>
        <item m="1" x="5122"/>
        <item m="1" x="5340"/>
        <item m="1" x="5639"/>
        <item m="1" x="3741"/>
        <item m="1" x="4019"/>
        <item m="1" x="4299"/>
        <item m="1" x="4489"/>
        <item m="1" x="4649"/>
        <item m="1" x="4809"/>
        <item m="1" x="4969"/>
        <item m="1" x="5129"/>
        <item m="1" x="5349"/>
        <item m="1" x="5649"/>
        <item m="1" x="3745"/>
        <item m="1" x="4026"/>
        <item m="1" x="4306"/>
        <item m="1" x="4496"/>
        <item m="1" x="4656"/>
        <item m="1" x="4816"/>
        <item m="1" x="4976"/>
        <item m="1" x="5136"/>
        <item m="1" x="5356"/>
        <item m="1" x="5656"/>
        <item m="1" x="3749"/>
        <item m="1" x="4033"/>
        <item m="1" x="4313"/>
        <item m="1" x="4503"/>
        <item m="1" x="4663"/>
        <item m="1" x="4823"/>
        <item m="1" x="4983"/>
        <item m="1" x="5143"/>
        <item m="1" x="5363"/>
        <item m="1" x="5663"/>
        <item m="1" x="3753"/>
        <item m="1" x="4040"/>
        <item m="1" x="4320"/>
        <item m="1" x="4510"/>
        <item m="1" x="4670"/>
        <item m="1" x="4830"/>
        <item m="1" x="4990"/>
        <item m="1" x="5150"/>
        <item m="1" x="5370"/>
        <item m="1" x="5670"/>
        <item m="1" x="3757"/>
        <item m="1" x="4047"/>
        <item m="1" x="4327"/>
        <item m="1" x="4517"/>
        <item m="1" x="4677"/>
        <item m="1" x="4837"/>
        <item m="1" x="4997"/>
        <item m="1" x="5157"/>
        <item m="1" x="5377"/>
        <item m="1" x="5677"/>
        <item m="1" x="3762"/>
        <item m="1" x="4055"/>
        <item m="1" x="4334"/>
        <item m="1" x="4524"/>
        <item m="1" x="4684"/>
        <item m="1" x="4844"/>
        <item m="1" x="5004"/>
        <item m="1" x="5164"/>
        <item m="1" x="5385"/>
        <item m="1" x="5685"/>
        <item m="1" x="3773"/>
        <item m="1" x="4068"/>
        <item m="1" x="4343"/>
        <item m="1" x="4531"/>
        <item m="1" x="4691"/>
        <item m="1" x="4851"/>
        <item m="1" x="5011"/>
        <item m="1" x="5173"/>
        <item m="1" x="5397"/>
        <item m="1" x="5699"/>
        <item m="1" x="3785"/>
        <item m="1" x="4082"/>
        <item m="1" x="4352"/>
        <item m="1" x="4538"/>
        <item m="1" x="4698"/>
        <item m="1" x="4858"/>
        <item m="1" x="5018"/>
        <item m="1" x="5182"/>
        <item m="1" x="5411"/>
        <item m="1" x="5715"/>
        <item m="1" x="5283"/>
        <item m="1" x="5555"/>
        <item m="1" x="5857"/>
        <item m="1" x="6073"/>
        <item m="1" x="6235"/>
        <item m="1" x="6395"/>
        <item m="1" x="6555"/>
        <item m="1" x="6715"/>
        <item m="1" x="6910"/>
        <item m="1" x="7184"/>
        <item m="1" x="5295"/>
        <item m="1" x="5570"/>
        <item m="1" x="5870"/>
        <item m="1" x="6082"/>
        <item m="1" x="6242"/>
        <item m="1" x="6402"/>
        <item m="1" x="6562"/>
        <item m="1" x="6722"/>
        <item m="1" x="6920"/>
        <item m="1" x="7198"/>
        <item m="1" x="5301"/>
        <item m="1" x="5579"/>
        <item m="1" x="5879"/>
        <item m="1" x="6089"/>
        <item m="1" x="6249"/>
        <item m="1" x="6409"/>
        <item m="1" x="6569"/>
        <item m="1" x="6729"/>
        <item m="1" x="6929"/>
        <item m="1" x="7209"/>
        <item m="1" x="5305"/>
        <item m="1" x="5586"/>
        <item m="1" x="5886"/>
        <item m="1" x="6096"/>
        <item m="1" x="6256"/>
        <item m="1" x="6416"/>
        <item m="1" x="6576"/>
        <item m="1" x="6736"/>
        <item m="1" x="6936"/>
        <item m="1" x="7216"/>
        <item m="1" x="5309"/>
        <item m="1" x="5593"/>
        <item m="1" x="5893"/>
        <item m="1" x="6103"/>
        <item m="1" x="6263"/>
        <item m="1" x="6423"/>
        <item m="1" x="6583"/>
        <item m="1" x="6743"/>
        <item m="1" x="6943"/>
        <item m="1" x="7223"/>
        <item m="1" x="5313"/>
        <item m="1" x="5600"/>
        <item m="1" x="5900"/>
        <item m="1" x="6110"/>
        <item m="1" x="6270"/>
        <item m="1" x="6430"/>
        <item m="1" x="6590"/>
        <item m="1" x="6750"/>
        <item m="1" x="6950"/>
        <item m="1" x="7230"/>
        <item m="1" x="5317"/>
        <item m="1" x="5607"/>
        <item m="1" x="5907"/>
        <item m="1" x="6117"/>
        <item m="1" x="6277"/>
        <item m="1" x="6437"/>
        <item m="1" x="6597"/>
        <item m="1" x="6757"/>
        <item m="1" x="6957"/>
        <item m="1" x="7237"/>
        <item m="1" x="5321"/>
        <item m="1" x="5614"/>
        <item m="1" x="5914"/>
        <item m="1" x="6124"/>
        <item m="1" x="6284"/>
        <item m="1" x="6444"/>
        <item m="1" x="6604"/>
        <item m="1" x="6764"/>
        <item m="1" x="6964"/>
        <item m="1" x="7244"/>
        <item m="1" x="5330"/>
        <item m="1" x="5626"/>
        <item m="1" x="5923"/>
        <item m="1" x="6131"/>
        <item m="1" x="6291"/>
        <item m="1" x="6451"/>
        <item m="1" x="6611"/>
        <item m="1" x="6772"/>
        <item m="1" x="6974"/>
        <item m="1" x="7256"/>
        <item m="1" x="5341"/>
        <item m="1" x="5640"/>
        <item m="1" x="5933"/>
        <item m="1" x="6138"/>
        <item m="1" x="6298"/>
        <item m="1" x="6458"/>
        <item m="1" x="6618"/>
        <item m="1" x="6780"/>
        <item m="1" x="6986"/>
        <item m="1" x="7271"/>
        <item m="1" x="6872"/>
        <item m="1" x="7114"/>
        <item m="1" x="7402"/>
        <item m="1" x="7613"/>
        <item m="1" x="7770"/>
        <item m="1" x="7925"/>
        <item m="1" x="2356"/>
        <item m="1" x="6883"/>
        <item m="1" x="7129"/>
        <item m="1" x="7416"/>
        <item m="1" x="7623"/>
        <item m="1" x="7778"/>
        <item m="1" x="7933"/>
        <item m="1" x="2371"/>
        <item m="1" x="6888"/>
        <item m="1" x="7138"/>
        <item m="1" x="7426"/>
        <item m="1" x="7631"/>
        <item m="1" x="7786"/>
        <item m="1" x="7941"/>
        <item m="1" x="2383"/>
        <item m="1" x="6891"/>
        <item m="1" x="7145"/>
        <item m="1" x="7434"/>
        <item m="1" x="7639"/>
        <item m="1" x="7794"/>
        <item m="1" x="7949"/>
        <item m="1" x="2107"/>
        <item m="1" x="2391"/>
        <item m="1" x="6894"/>
        <item m="1" x="7152"/>
        <item m="1" x="7442"/>
        <item m="1" x="7647"/>
        <item m="1" x="7802"/>
        <item m="1" x="7957"/>
        <item m="1" x="2115"/>
        <item m="1" x="2399"/>
        <item m="1" x="6897"/>
        <item m="1" x="7159"/>
        <item m="1" x="7450"/>
        <item m="1" x="7655"/>
        <item m="1" x="7810"/>
        <item m="1" x="7965"/>
        <item m="1" x="2123"/>
        <item m="1" x="2407"/>
        <item m="1" x="6900"/>
        <item m="1" x="7166"/>
        <item m="1" x="7458"/>
        <item m="1" x="7663"/>
        <item m="1" x="7818"/>
        <item m="1" x="7973"/>
        <item m="1" x="2131"/>
        <item m="1" x="2415"/>
        <item m="1" x="6903"/>
        <item m="1" x="7173"/>
        <item m="1" x="7466"/>
        <item m="1" x="7671"/>
        <item m="1" x="7826"/>
        <item m="1" x="7981"/>
        <item m="1" x="2139"/>
        <item m="1" x="2423"/>
        <item m="1" x="6911"/>
        <item m="1" x="7185"/>
        <item m="1" x="7476"/>
        <item m="1" x="7679"/>
        <item m="1" x="7834"/>
        <item m="1" x="7989"/>
        <item m="1" x="2150"/>
        <item m="1" x="2435"/>
        <item m="1" x="6921"/>
        <item m="1" x="7199"/>
        <item m="1" x="7487"/>
        <item m="1" x="7687"/>
        <item m="1" x="7842"/>
        <item m="1" x="7997"/>
        <item m="1" x="2163"/>
        <item m="1" x="2450"/>
        <item m="1" x="2286"/>
        <item m="1" x="2582"/>
        <item m="1" x="2822"/>
        <item m="1" x="2995"/>
        <item m="1" x="3155"/>
        <item m="1" x="3315"/>
        <item m="1" x="3475"/>
        <item m="1" x="3651"/>
        <item m="1" x="3913"/>
        <item m="1" x="2300"/>
        <item m="1" x="2596"/>
        <item m="1" x="2832"/>
        <item m="1" x="3003"/>
        <item m="1" x="3163"/>
        <item m="1" x="3323"/>
        <item m="1" x="3483"/>
        <item m="1" x="3661"/>
        <item m="1" x="3928"/>
        <item m="1" x="2310"/>
        <item m="1" x="2607"/>
        <item m="1" x="2841"/>
        <item m="1" x="3011"/>
        <item m="1" x="3171"/>
        <item m="1" x="3331"/>
        <item m="1" x="3491"/>
        <item m="1" x="3671"/>
        <item m="1" x="3941"/>
        <item m="1" x="2317"/>
        <item m="1" x="2615"/>
        <item m="1" x="2849"/>
        <item m="1" x="3019"/>
        <item m="1" x="3179"/>
        <item m="1" x="3339"/>
        <item m="1" x="3499"/>
        <item m="1" x="3679"/>
        <item m="1" x="3949"/>
        <item m="1" x="2324"/>
        <item m="1" x="2623"/>
        <item m="1" x="2857"/>
        <item m="1" x="3027"/>
        <item m="1" x="3187"/>
        <item m="1" x="3347"/>
        <item m="1" x="3507"/>
        <item m="1" x="3687"/>
        <item m="1" x="3957"/>
        <item m="1" x="2331"/>
        <item m="1" x="2631"/>
        <item m="1" x="2865"/>
        <item m="1" x="3035"/>
        <item m="1" x="3195"/>
        <item m="1" x="3355"/>
        <item m="1" x="3515"/>
        <item m="1" x="3695"/>
        <item m="1" x="3965"/>
        <item m="1" x="2338"/>
        <item m="1" x="2639"/>
        <item m="1" x="2873"/>
        <item m="1" x="3043"/>
        <item m="1" x="3203"/>
        <item m="1" x="3363"/>
        <item m="1" x="3523"/>
        <item m="1" x="3703"/>
        <item m="1" x="3973"/>
        <item m="1" x="2345"/>
        <item m="1" x="2647"/>
        <item m="1" x="2881"/>
        <item m="1" x="3051"/>
        <item m="1" x="3211"/>
        <item m="1" x="3371"/>
        <item m="1" x="3531"/>
        <item m="1" x="3711"/>
        <item m="1" x="3981"/>
        <item m="1" x="2357"/>
        <item m="1" x="2658"/>
        <item m="1" x="2890"/>
        <item m="1" x="3059"/>
        <item m="1" x="3219"/>
        <item m="1" x="3379"/>
        <item m="1" x="3539"/>
        <item m="1" x="3720"/>
        <item m="1" x="3991"/>
        <item m="1" x="2372"/>
        <item m="1" x="2671"/>
        <item m="1" x="2899"/>
        <item m="1" x="3067"/>
        <item m="1" x="3227"/>
        <item m="1" x="3387"/>
        <item m="1" x="3547"/>
        <item m="1" x="3732"/>
        <item m="1" x="4006"/>
        <item m="1" x="3619"/>
        <item m="1" x="3841"/>
        <item m="1" x="4133"/>
        <item m="1" x="4371"/>
        <item m="1" x="4544"/>
        <item m="1" x="4704"/>
        <item m="1" x="4864"/>
        <item m="1" x="5024"/>
        <item m="1" x="5200"/>
        <item m="1" x="5462"/>
        <item m="1" x="3629"/>
        <item m="1" x="3856"/>
        <item m="1" x="4149"/>
        <item m="1" x="4382"/>
        <item m="1" x="4553"/>
        <item m="1" x="4713"/>
        <item m="1" x="4873"/>
        <item m="1" x="5033"/>
        <item m="1" x="5211"/>
        <item m="1" x="5478"/>
        <item m="1" x="3635"/>
        <item m="1" x="3867"/>
        <item m="1" x="4162"/>
        <item m="1" x="4392"/>
        <item m="1" x="4562"/>
        <item m="1" x="4722"/>
        <item m="1" x="4882"/>
        <item m="1" x="5042"/>
        <item m="1" x="5222"/>
        <item m="1" x="5492"/>
        <item m="1" x="3637"/>
        <item m="1" x="3874"/>
        <item m="1" x="4171"/>
        <item m="1" x="4401"/>
        <item m="1" x="4571"/>
        <item m="1" x="4731"/>
        <item m="1" x="4891"/>
        <item m="1" x="5051"/>
        <item m="1" x="5231"/>
        <item m="1" x="5501"/>
        <item m="1" x="3639"/>
        <item m="1" x="3881"/>
        <item m="1" x="4180"/>
        <item m="1" x="4410"/>
        <item m="1" x="4580"/>
        <item m="1" x="4740"/>
        <item m="1" x="4900"/>
        <item m="1" x="5060"/>
        <item m="1" x="5240"/>
        <item m="1" x="5510"/>
        <item m="1" x="3641"/>
        <item m="1" x="3888"/>
        <item m="1" x="4189"/>
        <item m="1" x="4419"/>
        <item m="1" x="4589"/>
        <item m="1" x="4749"/>
        <item m="1" x="4909"/>
        <item m="1" x="5069"/>
        <item m="1" x="5249"/>
        <item m="1" x="5519"/>
        <item m="1" x="3643"/>
        <item m="1" x="3895"/>
        <item m="1" x="4198"/>
        <item m="1" x="4428"/>
        <item m="1" x="4598"/>
        <item m="1" x="4758"/>
        <item m="1" x="4918"/>
        <item m="1" x="5078"/>
        <item m="1" x="5258"/>
        <item m="1" x="5528"/>
        <item m="1" x="3645"/>
        <item m="1" x="3902"/>
        <item m="1" x="4207"/>
        <item m="1" x="4437"/>
        <item m="1" x="4607"/>
        <item m="1" x="4767"/>
        <item m="1" x="4927"/>
        <item m="1" x="5087"/>
        <item m="1" x="5267"/>
        <item m="1" x="5537"/>
        <item m="1" x="3652"/>
        <item m="1" x="3914"/>
        <item m="1" x="4219"/>
        <item m="1" x="4447"/>
        <item m="1" x="4616"/>
        <item m="1" x="4776"/>
        <item m="1" x="4936"/>
        <item m="1" x="5096"/>
        <item m="1" x="5277"/>
        <item m="1" x="5548"/>
        <item m="1" x="3662"/>
        <item m="1" x="3929"/>
        <item m="1" x="4233"/>
        <item m="1" x="4457"/>
        <item m="1" x="4625"/>
        <item m="1" x="4785"/>
        <item m="1" x="4945"/>
        <item m="1" x="5105"/>
        <item m="1" x="5290"/>
        <item m="1" x="5564"/>
        <item m="1" x="5169"/>
        <item m="1" x="5391"/>
        <item m="1" x="5692"/>
        <item m="1" x="5959"/>
        <item m="1" x="6144"/>
        <item m="1" x="6304"/>
        <item m="1" x="6464"/>
        <item m="1" x="6624"/>
        <item m="1" x="6792"/>
        <item m="1" x="7025"/>
        <item m="1" x="5178"/>
        <item m="1" x="5405"/>
        <item m="1" x="5708"/>
        <item m="1" x="5971"/>
        <item m="1" x="6153"/>
        <item m="1" x="6313"/>
        <item m="1" x="6473"/>
        <item m="1" x="6633"/>
        <item m="1" x="6802"/>
        <item m="1" x="7039"/>
        <item m="1" x="5185"/>
        <item m="1" x="5417"/>
        <item m="1" x="5722"/>
        <item m="1" x="5982"/>
        <item m="1" x="6162"/>
        <item m="1" x="6322"/>
        <item m="1" x="6482"/>
        <item m="1" x="6642"/>
        <item m="1" x="6812"/>
        <item m="1" x="7052"/>
        <item m="1" x="5187"/>
        <item m="1" x="5424"/>
        <item m="1" x="5731"/>
        <item m="1" x="5991"/>
        <item m="1" x="6171"/>
        <item m="1" x="6331"/>
        <item m="1" x="6491"/>
        <item m="1" x="6651"/>
        <item m="1" x="6821"/>
        <item m="1" x="7061"/>
        <item m="1" x="5189"/>
        <item m="1" x="5431"/>
        <item m="1" x="5740"/>
        <item m="1" x="6000"/>
        <item m="1" x="6180"/>
        <item m="1" x="6340"/>
        <item m="1" x="6500"/>
        <item m="1" x="6660"/>
        <item m="1" x="6830"/>
        <item m="1" x="7070"/>
        <item m="1" x="5191"/>
        <item m="1" x="5438"/>
        <item m="1" x="5749"/>
        <item m="1" x="6009"/>
        <item m="1" x="6189"/>
        <item m="1" x="6349"/>
        <item m="1" x="6509"/>
        <item m="1" x="6669"/>
        <item m="1" x="6839"/>
        <item m="1" x="7079"/>
        <item m="1" x="5193"/>
        <item m="1" x="5445"/>
        <item m="1" x="5758"/>
        <item m="1" x="6018"/>
        <item m="1" x="6198"/>
        <item m="1" x="6358"/>
        <item m="1" x="6518"/>
        <item m="1" x="6678"/>
        <item m="1" x="6848"/>
        <item m="1" x="7088"/>
        <item m="1" x="5195"/>
        <item m="1" x="5452"/>
        <item m="1" x="5767"/>
        <item m="1" x="6027"/>
        <item m="1" x="6207"/>
        <item m="1" x="6367"/>
        <item m="1" x="6527"/>
        <item m="1" x="6687"/>
        <item m="1" x="6857"/>
        <item m="1" x="7097"/>
        <item m="1" x="5201"/>
        <item m="1" x="5463"/>
        <item m="1" x="5779"/>
        <item m="1" x="6037"/>
        <item m="1" x="6216"/>
        <item m="1" x="6376"/>
        <item m="1" x="6536"/>
        <item m="1" x="6696"/>
        <item m="1" x="6866"/>
        <item m="1" x="7107"/>
        <item m="1" x="5212"/>
        <item m="1" x="5479"/>
        <item m="1" x="5795"/>
        <item m="1" x="6048"/>
        <item m="1" x="6225"/>
        <item m="1" x="6385"/>
        <item m="1" x="6545"/>
        <item m="1" x="6705"/>
        <item m="1" x="6878"/>
        <item m="1" x="7122"/>
        <item m="1" x="7123"/>
        <item m="1" x="7410"/>
        <item m="1" x="7618"/>
        <item m="1" x="7774"/>
        <item m="1" x="7929"/>
        <item m="1" x="2364"/>
        <item m="1" x="2664"/>
        <item m="1" x="7135"/>
        <item m="1" x="7422"/>
        <item m="1" x="7627"/>
        <item m="1" x="7782"/>
        <item m="1" x="7937"/>
        <item m="1" x="2378"/>
        <item m="1" x="2676"/>
        <item m="1" x="7142"/>
        <item m="1" x="7430"/>
        <item m="1" x="7635"/>
        <item m="1" x="7790"/>
        <item m="1" x="7945"/>
        <item m="1" x="2102"/>
        <item m="1" x="2387"/>
        <item m="1" x="2682"/>
        <item m="1" x="7149"/>
        <item m="1" x="7438"/>
        <item m="1" x="7643"/>
        <item m="1" x="7798"/>
        <item m="1" x="7953"/>
        <item m="1" x="2111"/>
        <item m="1" x="2395"/>
        <item m="1" x="2687"/>
        <item m="1" x="7156"/>
        <item m="1" x="7446"/>
        <item m="1" x="7651"/>
        <item m="1" x="7806"/>
        <item m="1" x="7961"/>
        <item m="1" x="2119"/>
        <item m="1" x="2403"/>
        <item m="1" x="2692"/>
        <item m="1" x="7163"/>
        <item m="1" x="7454"/>
        <item m="1" x="7659"/>
        <item m="1" x="7814"/>
        <item m="1" x="7969"/>
        <item m="1" x="2127"/>
        <item m="1" x="2411"/>
        <item m="1" x="2697"/>
        <item m="1" x="7170"/>
        <item m="1" x="7462"/>
        <item m="1" x="7667"/>
        <item m="1" x="7822"/>
        <item m="1" x="7977"/>
        <item m="1" x="2135"/>
        <item m="1" x="2419"/>
        <item m="1" x="2702"/>
        <item m="1" x="7179"/>
        <item m="1" x="7471"/>
        <item m="1" x="7675"/>
        <item m="1" x="7830"/>
        <item m="1" x="7985"/>
        <item m="1" x="2144"/>
        <item m="1" x="2428"/>
        <item m="1" x="2708"/>
        <item m="1" x="7193"/>
        <item m="1" x="7482"/>
        <item m="1" x="7683"/>
        <item m="1" x="7838"/>
        <item m="1" x="7993"/>
        <item m="1" x="2157"/>
        <item m="1" x="2443"/>
        <item m="1" x="2720"/>
        <item m="1" x="7206"/>
        <item m="1" x="7492"/>
        <item m="1" x="7690"/>
        <item m="1" x="7845"/>
        <item m="1" x="2169"/>
        <item m="1" x="2457"/>
        <item m="1" x="2732"/>
        <item m="1" x="2294"/>
        <item m="1" x="2590"/>
        <item m="1" x="2827"/>
        <item m="1" x="2999"/>
        <item m="1" x="3159"/>
        <item m="1" x="3319"/>
        <item m="1" x="3479"/>
        <item m="1" x="3657"/>
        <item m="1" x="3921"/>
        <item m="1" x="4226"/>
        <item m="1" x="2307"/>
        <item m="1" x="2603"/>
        <item m="1" x="2837"/>
        <item m="1" x="3007"/>
        <item m="1" x="3167"/>
        <item m="1" x="3327"/>
        <item m="1" x="3487"/>
        <item m="1" x="3667"/>
        <item m="1" x="3935"/>
        <item m="1" x="4239"/>
        <item m="1" x="2314"/>
        <item m="1" x="2611"/>
        <item m="1" x="2845"/>
        <item m="1" x="3015"/>
        <item m="1" x="3175"/>
        <item m="1" x="3335"/>
        <item m="1" x="3495"/>
        <item m="1" x="3675"/>
        <item m="1" x="3945"/>
        <item m="1" x="4246"/>
        <item m="1" x="2321"/>
        <item m="1" x="2619"/>
        <item m="1" x="2853"/>
        <item m="1" x="3023"/>
        <item m="1" x="3183"/>
        <item m="1" x="3343"/>
        <item m="1" x="3503"/>
        <item m="1" x="3683"/>
        <item m="1" x="3953"/>
        <item m="1" x="4251"/>
        <item m="1" x="2328"/>
        <item m="1" x="2627"/>
        <item m="1" x="2861"/>
        <item m="1" x="3031"/>
        <item m="1" x="3191"/>
        <item m="1" x="3351"/>
        <item m="1" x="3511"/>
        <item m="1" x="3691"/>
        <item m="1" x="3961"/>
        <item m="1" x="4256"/>
        <item m="1" x="2335"/>
        <item m="1" x="2635"/>
        <item m="1" x="2869"/>
        <item m="1" x="3039"/>
        <item m="1" x="3199"/>
        <item m="1" x="3359"/>
        <item m="1" x="3519"/>
        <item m="1" x="3699"/>
        <item m="1" x="3969"/>
        <item m="1" x="4261"/>
        <item m="1" x="2342"/>
        <item m="1" x="2643"/>
        <item m="1" x="2877"/>
        <item m="1" x="3047"/>
        <item m="1" x="3207"/>
        <item m="1" x="3367"/>
        <item m="1" x="3527"/>
        <item m="1" x="3707"/>
        <item m="1" x="3977"/>
        <item m="1" x="4266"/>
        <item m="1" x="2350"/>
        <item m="1" x="2652"/>
        <item m="1" x="2885"/>
        <item m="1" x="3055"/>
        <item m="1" x="3215"/>
        <item m="1" x="3375"/>
        <item m="1" x="3535"/>
        <item m="1" x="3715"/>
        <item m="1" x="3985"/>
        <item m="1" x="4271"/>
        <item m="1" x="2365"/>
        <item m="1" x="2665"/>
        <item m="1" x="2894"/>
        <item m="1" x="3063"/>
        <item m="1" x="3223"/>
        <item m="1" x="3383"/>
        <item m="1" x="3543"/>
        <item m="1" x="3726"/>
        <item m="1" x="3998"/>
        <item m="1" x="4281"/>
        <item m="1" x="2379"/>
        <item m="1" x="2677"/>
        <item m="1" x="2902"/>
        <item m="1" x="3070"/>
        <item m="1" x="3230"/>
        <item m="1" x="3390"/>
        <item m="1" x="3550"/>
        <item m="1" x="3737"/>
        <item m="1" x="4012"/>
        <item m="1" x="4292"/>
        <item m="1" x="3849"/>
        <item m="1" x="4142"/>
        <item m="1" x="4377"/>
        <item m="1" x="4549"/>
        <item m="1" x="4709"/>
        <item m="1" x="4869"/>
        <item m="1" x="5029"/>
        <item m="1" x="5207"/>
        <item m="1" x="5471"/>
        <item m="1" x="5787"/>
        <item m="1" x="3863"/>
        <item m="1" x="4157"/>
        <item m="1" x="4388"/>
        <item m="1" x="4558"/>
        <item m="1" x="4718"/>
        <item m="1" x="4878"/>
        <item m="1" x="5038"/>
        <item m="1" x="5218"/>
        <item m="1" x="5486"/>
        <item m="1" x="5802"/>
        <item m="1" x="3871"/>
        <item m="1" x="4167"/>
        <item m="1" x="4397"/>
        <item m="1" x="4567"/>
        <item m="1" x="4727"/>
        <item m="1" x="4887"/>
        <item m="1" x="5047"/>
        <item m="1" x="5227"/>
        <item m="1" x="5497"/>
        <item m="1" x="5811"/>
        <item m="1" x="3878"/>
        <item m="1" x="4176"/>
        <item m="1" x="4406"/>
        <item m="1" x="4576"/>
        <item m="1" x="4736"/>
        <item m="1" x="4896"/>
        <item m="1" x="5056"/>
        <item m="1" x="5236"/>
        <item m="1" x="5506"/>
        <item m="1" x="5818"/>
        <item m="1" x="3885"/>
        <item m="1" x="4185"/>
        <item m="1" x="4415"/>
        <item m="1" x="4585"/>
        <item m="1" x="4745"/>
        <item m="1" x="4905"/>
        <item m="1" x="5065"/>
        <item m="1" x="5245"/>
        <item m="1" x="5515"/>
        <item m="1" x="5825"/>
        <item m="1" x="3892"/>
        <item m="1" x="4194"/>
        <item m="1" x="4424"/>
        <item m="1" x="4594"/>
        <item m="1" x="4754"/>
        <item m="1" x="4914"/>
        <item m="1" x="5074"/>
        <item m="1" x="5254"/>
        <item m="1" x="5524"/>
        <item m="1" x="5832"/>
        <item m="1" x="3899"/>
        <item m="1" x="4203"/>
        <item m="1" x="4433"/>
        <item m="1" x="4603"/>
        <item m="1" x="4763"/>
        <item m="1" x="4923"/>
        <item m="1" x="5083"/>
        <item m="1" x="5263"/>
        <item m="1" x="5533"/>
        <item m="1" x="5839"/>
        <item m="1" x="3907"/>
        <item m="1" x="4213"/>
        <item m="1" x="4442"/>
        <item m="1" x="4612"/>
        <item m="1" x="4772"/>
        <item m="1" x="4932"/>
        <item m="1" x="5092"/>
        <item m="1" x="5272"/>
        <item m="1" x="5542"/>
        <item m="1" x="5846"/>
        <item m="1" x="3922"/>
        <item m="1" x="4227"/>
        <item m="1" x="4452"/>
        <item m="1" x="4621"/>
        <item m="1" x="4781"/>
        <item m="1" x="4941"/>
        <item m="1" x="5101"/>
        <item m="1" x="5284"/>
        <item m="1" x="5556"/>
        <item m="1" x="5858"/>
        <item m="1" x="3936"/>
        <item m="1" x="4240"/>
        <item m="1" x="4461"/>
        <item m="1" x="4629"/>
        <item m="1" x="4789"/>
        <item m="1" x="4949"/>
        <item m="1" x="5109"/>
        <item m="1" x="5296"/>
        <item m="1" x="5571"/>
        <item m="1" x="5871"/>
        <item m="1" x="5398"/>
        <item m="1" x="5700"/>
        <item m="1" x="5965"/>
        <item m="1" x="6149"/>
        <item m="1" x="6309"/>
        <item m="1" x="6469"/>
        <item m="1" x="6629"/>
        <item m="1" x="6798"/>
        <item m="1" x="7032"/>
        <item m="1" x="7332"/>
        <item m="1" x="5412"/>
        <item m="1" x="5716"/>
        <item m="1" x="5977"/>
        <item m="1" x="6158"/>
        <item m="1" x="6318"/>
        <item m="1" x="6478"/>
        <item m="1" x="6638"/>
        <item m="1" x="6808"/>
        <item m="1" x="7046"/>
        <item m="1" x="7346"/>
        <item m="1" x="5421"/>
        <item m="1" x="5727"/>
        <item m="1" x="5987"/>
        <item m="1" x="6167"/>
        <item m="1" x="6327"/>
        <item m="1" x="6487"/>
        <item m="1" x="6647"/>
        <item m="1" x="6817"/>
        <item m="1" x="7057"/>
        <item m="1" x="7356"/>
        <item m="1" x="5428"/>
        <item m="1" x="5736"/>
        <item m="1" x="5996"/>
        <item m="1" x="6176"/>
        <item m="1" x="6336"/>
        <item m="1" x="6496"/>
        <item m="1" x="6656"/>
        <item m="1" x="6826"/>
        <item m="1" x="7066"/>
        <item m="1" x="7363"/>
        <item m="1" x="5435"/>
        <item m="1" x="5745"/>
        <item m="1" x="6005"/>
        <item m="1" x="6185"/>
        <item m="1" x="6345"/>
        <item m="1" x="6505"/>
        <item m="1" x="6665"/>
        <item m="1" x="6835"/>
        <item m="1" x="7075"/>
        <item m="1" x="7370"/>
        <item m="1" x="5442"/>
        <item m="1" x="5754"/>
        <item m="1" x="6014"/>
        <item m="1" x="6194"/>
        <item m="1" x="6354"/>
        <item m="1" x="6514"/>
        <item m="1" x="6674"/>
        <item m="1" x="6844"/>
        <item m="1" x="7084"/>
        <item m="1" x="7377"/>
        <item m="1" x="5449"/>
        <item m="1" x="5763"/>
        <item m="1" x="6023"/>
        <item m="1" x="6203"/>
        <item m="1" x="6363"/>
        <item m="1" x="6523"/>
        <item m="1" x="6683"/>
        <item m="1" x="6853"/>
        <item m="1" x="7093"/>
        <item m="1" x="7384"/>
        <item m="1" x="5457"/>
        <item m="1" x="5773"/>
        <item m="1" x="6032"/>
        <item m="1" x="6212"/>
        <item m="1" x="6372"/>
        <item m="1" x="6532"/>
        <item m="1" x="6692"/>
        <item m="1" x="6862"/>
        <item m="1" x="7102"/>
        <item m="1" x="7391"/>
        <item m="1" x="5472"/>
        <item m="1" x="5788"/>
        <item m="1" x="6043"/>
        <item m="1" x="6221"/>
        <item m="1" x="6381"/>
        <item m="1" x="6541"/>
        <item m="1" x="6701"/>
        <item m="1" x="6873"/>
        <item m="1" x="7115"/>
        <item m="1" x="7403"/>
        <item m="1" x="5487"/>
        <item m="1" x="5803"/>
        <item m="1" x="6053"/>
        <item m="1" x="6229"/>
        <item m="1" x="6389"/>
        <item m="1" x="6549"/>
        <item m="1" x="6709"/>
        <item m="1" x="6884"/>
        <item m="1" x="7130"/>
        <item m="1" x="7417"/>
        <item m="1" x="6975"/>
        <item m="1" x="7257"/>
        <item m="1" x="7517"/>
        <item m="1" x="7696"/>
        <item m="1" x="7851"/>
        <item m="1" x="2214"/>
        <item m="1" x="2514"/>
        <item m="1" x="6987"/>
        <item m="1" x="7272"/>
        <item m="1" x="7528"/>
        <item m="1" x="7704"/>
        <item m="1" x="7859"/>
        <item m="1" x="2228"/>
        <item m="1" x="2529"/>
        <item m="1" x="6994"/>
        <item m="1" x="7282"/>
        <item m="1" x="7537"/>
        <item m="1" x="7712"/>
        <item m="1" x="7867"/>
        <item m="1" x="2239"/>
        <item m="1" x="2540"/>
        <item m="1" x="6999"/>
        <item m="1" x="7290"/>
        <item m="1" x="7545"/>
        <item m="1" x="7720"/>
        <item m="1" x="7875"/>
        <item m="1" x="2247"/>
        <item m="1" x="2547"/>
        <item m="1" x="7004"/>
        <item m="1" x="7298"/>
        <item m="1" x="7553"/>
        <item m="1" x="7728"/>
        <item m="1" x="7883"/>
        <item m="1" x="2255"/>
        <item m="1" x="2554"/>
        <item m="1" x="7009"/>
        <item m="1" x="7305"/>
        <item m="1" x="7560"/>
        <item m="1" x="7735"/>
        <item m="1" x="7890"/>
        <item m="1" x="2262"/>
        <item m="1" x="2560"/>
        <item m="1" x="7014"/>
        <item m="1" x="7312"/>
        <item m="1" x="7567"/>
        <item m="1" x="7742"/>
        <item m="1" x="7897"/>
        <item m="1" x="2269"/>
        <item m="1" x="2566"/>
        <item m="1" x="7020"/>
        <item m="1" x="7320"/>
        <item m="1" x="7574"/>
        <item m="1" x="7749"/>
        <item m="1" x="7904"/>
        <item m="1" x="2276"/>
        <item m="1" x="2572"/>
        <item m="1" x="7033"/>
        <item m="1" x="7333"/>
        <item m="1" x="7583"/>
        <item m="1" x="7756"/>
        <item m="1" x="7911"/>
        <item m="1" x="2287"/>
        <item m="1" x="2583"/>
        <item m="1" x="7047"/>
        <item m="1" x="7347"/>
        <item m="1" x="7592"/>
        <item m="1" x="7763"/>
        <item m="1" x="7918"/>
        <item m="1" x="2301"/>
        <item m="1" x="2597"/>
        <item m="1" x="2151"/>
        <item m="1" x="2436"/>
        <item m="1" x="2714"/>
        <item m="1" x="2914"/>
        <item m="1" x="3075"/>
        <item m="1" x="3235"/>
        <item m="1" x="3395"/>
        <item m="1" x="3555"/>
        <item m="1" x="3768"/>
        <item m="1" x="4062"/>
        <item m="1" x="2164"/>
        <item m="1" x="2451"/>
        <item m="1" x="2727"/>
        <item m="1" x="2923"/>
        <item m="1" x="3083"/>
        <item m="1" x="3243"/>
        <item m="1" x="3403"/>
        <item m="1" x="3563"/>
        <item m="1" x="3780"/>
        <item m="1" x="4076"/>
        <item m="1" x="2173"/>
        <item m="1" x="2462"/>
        <item m="1" x="2737"/>
        <item m="1" x="2931"/>
        <item m="1" x="3091"/>
        <item m="1" x="3251"/>
        <item m="1" x="3411"/>
        <item m="1" x="3571"/>
        <item m="1" x="3791"/>
        <item m="1" x="4088"/>
        <item m="1" x="2179"/>
        <item m="1" x="2470"/>
        <item m="1" x="2745"/>
        <item m="1" x="2939"/>
        <item m="1" x="3099"/>
        <item m="1" x="3259"/>
        <item m="1" x="3419"/>
        <item m="1" x="3579"/>
        <item m="1" x="3799"/>
        <item m="1" x="4095"/>
        <item m="1" x="2185"/>
        <item m="1" x="2478"/>
        <item m="1" x="2753"/>
        <item m="1" x="2947"/>
        <item m="1" x="3107"/>
        <item m="1" x="3267"/>
        <item m="1" x="3427"/>
        <item m="1" x="3587"/>
        <item m="1" x="3807"/>
        <item m="1" x="4102"/>
        <item m="1" x="2191"/>
        <item m="1" x="2486"/>
        <item m="1" x="2761"/>
        <item m="1" x="2955"/>
        <item m="1" x="3115"/>
        <item m="1" x="3275"/>
        <item m="1" x="3435"/>
        <item m="1" x="3595"/>
        <item m="1" x="3815"/>
        <item m="1" x="4109"/>
        <item m="1" x="2197"/>
        <item m="1" x="2494"/>
        <item m="1" x="2769"/>
        <item m="1" x="2963"/>
        <item m="1" x="3123"/>
        <item m="1" x="3283"/>
        <item m="1" x="3443"/>
        <item m="1" x="3603"/>
        <item m="1" x="3823"/>
        <item m="1" x="4116"/>
        <item m="1" x="2203"/>
        <item m="1" x="2502"/>
        <item m="1" x="2777"/>
        <item m="1" x="2971"/>
        <item m="1" x="3131"/>
        <item m="1" x="3291"/>
        <item m="1" x="3451"/>
        <item m="1" x="3611"/>
        <item m="1" x="3831"/>
        <item m="1" x="4123"/>
        <item m="1" x="2215"/>
        <item m="1" x="2515"/>
        <item m="1" x="2787"/>
        <item m="1" x="2979"/>
        <item m="1" x="3139"/>
        <item m="1" x="3299"/>
        <item m="1" x="3459"/>
        <item m="1" x="3620"/>
        <item m="1" x="3842"/>
        <item m="1" x="4134"/>
        <item m="1" x="2229"/>
        <item m="1" x="2530"/>
        <item m="1" x="2798"/>
        <item m="1" x="2987"/>
        <item m="1" x="3147"/>
        <item m="1" x="3307"/>
        <item m="1" x="3467"/>
        <item m="1" x="3630"/>
        <item m="1" x="3857"/>
        <item m="1" x="4150"/>
        <item m="1" x="3721"/>
        <item m="1" x="3992"/>
        <item m="1" x="4276"/>
        <item m="1" x="4472"/>
        <item m="1" x="4633"/>
        <item m="1" x="4793"/>
        <item m="1" x="4953"/>
        <item m="1" x="5113"/>
        <item m="1" x="5326"/>
        <item m="1" x="5621"/>
        <item m="1" x="3733"/>
        <item m="1" x="4007"/>
        <item m="1" x="4288"/>
        <item m="1" x="4480"/>
        <item m="1" x="4640"/>
        <item m="1" x="4800"/>
        <item m="1" x="4960"/>
        <item m="1" x="5120"/>
        <item m="1" x="5337"/>
        <item m="1" x="5635"/>
        <item m="1" x="3740"/>
        <item m="1" x="4017"/>
        <item m="1" x="4297"/>
        <item m="1" x="4487"/>
        <item m="1" x="4647"/>
        <item m="1" x="4807"/>
        <item m="1" x="4967"/>
        <item m="1" x="5127"/>
        <item m="1" x="5347"/>
        <item m="1" x="5647"/>
        <item m="1" x="3744"/>
        <item m="1" x="4024"/>
        <item m="1" x="4304"/>
        <item m="1" x="4494"/>
        <item m="1" x="4654"/>
        <item m="1" x="4814"/>
        <item m="1" x="4974"/>
        <item m="1" x="5134"/>
        <item m="1" x="5354"/>
        <item m="1" x="5654"/>
        <item m="1" x="3748"/>
        <item m="1" x="4031"/>
        <item m="1" x="4311"/>
        <item m="1" x="4501"/>
        <item m="1" x="4661"/>
        <item m="1" x="4821"/>
        <item m="1" x="4981"/>
        <item m="1" x="5141"/>
        <item m="1" x="5361"/>
        <item m="1" x="5661"/>
        <item m="1" x="3752"/>
        <item m="1" x="4038"/>
        <item m="1" x="4318"/>
        <item m="1" x="4508"/>
        <item m="1" x="4668"/>
        <item m="1" x="4828"/>
        <item m="1" x="4988"/>
        <item m="1" x="5148"/>
        <item m="1" x="5368"/>
        <item m="1" x="5668"/>
        <item m="1" x="3756"/>
        <item m="1" x="4045"/>
        <item m="1" x="4325"/>
        <item m="1" x="4515"/>
        <item m="1" x="4675"/>
        <item m="1" x="4835"/>
        <item m="1" x="4995"/>
        <item m="1" x="5155"/>
        <item m="1" x="5375"/>
        <item m="1" x="5675"/>
        <item m="1" x="3760"/>
        <item m="1" x="4052"/>
        <item m="1" x="4332"/>
        <item m="1" x="4522"/>
        <item m="1" x="4682"/>
        <item m="1" x="4842"/>
        <item m="1" x="5002"/>
        <item m="1" x="5162"/>
        <item m="1" x="5382"/>
        <item m="1" x="5682"/>
        <item m="1" x="3769"/>
        <item m="1" x="4063"/>
        <item m="1" x="4340"/>
        <item m="1" x="4529"/>
        <item m="1" x="4689"/>
        <item m="1" x="4849"/>
        <item m="1" x="5009"/>
        <item m="1" x="5170"/>
        <item m="1" x="5392"/>
        <item m="1" x="5693"/>
        <item m="1" x="3781"/>
        <item m="1" x="4077"/>
        <item m="1" x="4349"/>
        <item m="1" x="4536"/>
        <item m="1" x="4696"/>
        <item m="1" x="4856"/>
        <item m="1" x="5016"/>
        <item m="1" x="5179"/>
        <item m="1" x="5406"/>
        <item m="1" x="5709"/>
        <item m="1" x="5278"/>
        <item m="1" x="5549"/>
        <item m="1" x="5852"/>
        <item m="1" x="6070"/>
        <item m="1" x="6233"/>
        <item m="1" x="6393"/>
        <item m="1" x="6553"/>
        <item m="1" x="6713"/>
        <item m="1" x="6907"/>
        <item m="1" x="7180"/>
        <item m="1" x="5291"/>
        <item m="1" x="5565"/>
        <item m="1" x="5866"/>
        <item m="1" x="6079"/>
        <item m="1" x="6240"/>
        <item m="1" x="6400"/>
        <item m="1" x="6560"/>
        <item m="1" x="6720"/>
        <item m="1" x="6917"/>
        <item m="1" x="7194"/>
        <item m="1" x="5300"/>
        <item m="1" x="5577"/>
        <item m="1" x="5877"/>
        <item m="1" x="6087"/>
        <item m="1" x="6247"/>
        <item m="1" x="6407"/>
        <item m="1" x="6567"/>
        <item m="1" x="6727"/>
        <item m="1" x="6927"/>
        <item m="1" x="7207"/>
        <item m="1" x="5304"/>
        <item m="1" x="5584"/>
        <item m="1" x="5884"/>
        <item m="1" x="6094"/>
        <item m="1" x="6254"/>
        <item m="1" x="6414"/>
        <item m="1" x="6574"/>
        <item m="1" x="6734"/>
        <item m="1" x="6934"/>
        <item m="1" x="7214"/>
        <item m="1" x="5308"/>
        <item m="1" x="5591"/>
        <item m="1" x="5891"/>
        <item m="1" x="6101"/>
        <item m="1" x="6261"/>
        <item m="1" x="6421"/>
        <item m="1" x="6581"/>
        <item m="1" x="6741"/>
        <item m="1" x="6941"/>
        <item m="1" x="7221"/>
        <item m="1" x="5312"/>
        <item m="1" x="5598"/>
        <item m="1" x="5898"/>
        <item m="1" x="6108"/>
        <item m="1" x="6268"/>
        <item m="1" x="6428"/>
        <item m="1" x="6588"/>
        <item m="1" x="6748"/>
        <item m="1" x="6948"/>
        <item m="1" x="7228"/>
        <item m="1" x="5316"/>
        <item m="1" x="5605"/>
        <item m="1" x="5905"/>
        <item m="1" x="6115"/>
        <item m="1" x="6275"/>
        <item m="1" x="6435"/>
        <item m="1" x="6595"/>
        <item m="1" x="6755"/>
        <item m="1" x="6955"/>
        <item m="1" x="7235"/>
        <item m="1" x="5320"/>
        <item m="1" x="5612"/>
        <item m="1" x="5912"/>
        <item m="1" x="6122"/>
        <item m="1" x="6282"/>
        <item m="1" x="6442"/>
        <item m="1" x="6602"/>
        <item m="1" x="6762"/>
        <item m="1" x="6962"/>
        <item m="1" x="7242"/>
        <item m="1" x="5327"/>
        <item m="1" x="5622"/>
        <item m="1" x="5920"/>
        <item m="1" x="6129"/>
        <item m="1" x="6289"/>
        <item m="1" x="6449"/>
        <item m="1" x="6609"/>
        <item m="1" x="6769"/>
        <item m="1" x="6970"/>
        <item m="1" x="7251"/>
        <item m="1" x="5338"/>
        <item m="1" x="5636"/>
        <item m="1" x="5930"/>
        <item m="1" x="6136"/>
        <item m="1" x="6296"/>
        <item m="1" x="6456"/>
        <item m="1" x="6616"/>
        <item m="1" x="6777"/>
        <item m="1" x="6982"/>
        <item m="1" x="7266"/>
        <item m="1" x="6867"/>
        <item m="1" x="7108"/>
        <item m="1" x="7396"/>
        <item m="1" x="7609"/>
        <item m="1" x="7767"/>
        <item m="1" x="7922"/>
        <item m="1" x="2351"/>
        <item m="1" x="6879"/>
        <item m="1" x="7124"/>
        <item m="1" x="7411"/>
        <item m="1" x="7619"/>
        <item m="1" x="7775"/>
        <item m="1" x="7930"/>
        <item m="1" x="2366"/>
        <item m="1" x="6887"/>
        <item m="1" x="7136"/>
        <item m="1" x="7423"/>
        <item m="1" x="7628"/>
        <item m="1" x="7783"/>
        <item m="1" x="7938"/>
        <item m="1" x="2380"/>
        <item m="1" x="6890"/>
        <item m="1" x="7143"/>
        <item m="1" x="7431"/>
        <item m="1" x="7636"/>
        <item m="1" x="7791"/>
        <item m="1" x="7946"/>
        <item m="1" x="2103"/>
        <item m="1" x="2388"/>
        <item m="1" x="6893"/>
        <item m="1" x="7150"/>
        <item m="1" x="7439"/>
        <item m="1" x="7644"/>
        <item m="1" x="7799"/>
        <item m="1" x="7954"/>
        <item m="1" x="2112"/>
        <item m="1" x="2396"/>
        <item m="1" x="6896"/>
        <item m="1" x="7157"/>
        <item m="1" x="7447"/>
        <item m="1" x="7652"/>
        <item m="1" x="7807"/>
        <item m="1" x="7962"/>
        <item m="1" x="2120"/>
        <item m="1" x="2404"/>
        <item m="1" x="6899"/>
        <item m="1" x="7164"/>
        <item m="1" x="7455"/>
        <item m="1" x="7660"/>
        <item m="1" x="7815"/>
        <item m="1" x="7970"/>
        <item m="1" x="2128"/>
        <item m="1" x="2412"/>
        <item m="1" x="6902"/>
        <item m="1" x="7171"/>
        <item m="1" x="7463"/>
        <item m="1" x="7668"/>
        <item m="1" x="7823"/>
        <item m="1" x="7978"/>
        <item m="1" x="2136"/>
        <item m="1" x="2420"/>
        <item m="1" x="6908"/>
        <item m="1" x="7181"/>
        <item m="1" x="7472"/>
        <item m="1" x="7676"/>
        <item m="1" x="7831"/>
        <item m="1" x="7986"/>
        <item m="1" x="2145"/>
        <item m="1" x="2429"/>
        <item m="1" x="6918"/>
        <item m="1" x="7195"/>
        <item m="1" x="7483"/>
        <item m="1" x="7684"/>
        <item m="1" x="7839"/>
        <item m="1" x="7994"/>
        <item m="1" x="2158"/>
        <item m="1" x="2444"/>
        <item m="1" x="2281"/>
        <item m="1" x="2577"/>
        <item m="1" x="2818"/>
        <item m="1" x="2992"/>
        <item m="1" x="3152"/>
        <item m="1" x="3312"/>
        <item m="1" x="3472"/>
        <item m="1" x="3648"/>
        <item m="1" x="3908"/>
        <item m="1" x="2295"/>
        <item m="1" x="2591"/>
        <item m="1" x="2828"/>
        <item m="1" x="3000"/>
        <item m="1" x="3160"/>
        <item m="1" x="3320"/>
        <item m="1" x="3480"/>
        <item m="1" x="3658"/>
        <item m="1" x="3923"/>
        <item m="1" x="2308"/>
        <item m="1" x="2604"/>
        <item m="1" x="2838"/>
        <item m="1" x="3008"/>
        <item m="1" x="3168"/>
        <item m="1" x="3328"/>
        <item m="1" x="3488"/>
        <item m="1" x="3668"/>
        <item m="1" x="3937"/>
        <item m="1" x="2315"/>
        <item m="1" x="2612"/>
        <item m="1" x="2846"/>
        <item m="1" x="3016"/>
        <item m="1" x="3176"/>
        <item m="1" x="3336"/>
        <item m="1" x="3496"/>
        <item m="1" x="3676"/>
        <item m="1" x="3946"/>
        <item m="1" x="2322"/>
        <item m="1" x="2620"/>
        <item m="1" x="2854"/>
        <item m="1" x="3024"/>
        <item m="1" x="3184"/>
        <item m="1" x="3344"/>
        <item m="1" x="3504"/>
        <item m="1" x="3684"/>
        <item m="1" x="3954"/>
        <item m="1" x="2329"/>
        <item m="1" x="2628"/>
        <item m="1" x="2862"/>
        <item m="1" x="3032"/>
        <item m="1" x="3192"/>
        <item m="1" x="3352"/>
        <item m="1" x="3512"/>
        <item m="1" x="3692"/>
        <item m="1" x="3962"/>
        <item m="1" x="2336"/>
        <item m="1" x="2636"/>
        <item m="1" x="2870"/>
        <item m="1" x="3040"/>
        <item m="1" x="3200"/>
        <item m="1" x="3360"/>
        <item m="1" x="3520"/>
        <item m="1" x="3700"/>
        <item m="1" x="3970"/>
        <item m="1" x="2343"/>
        <item m="1" x="2644"/>
        <item m="1" x="2878"/>
        <item m="1" x="3048"/>
        <item m="1" x="3208"/>
        <item m="1" x="3368"/>
        <item m="1" x="3528"/>
        <item m="1" x="3708"/>
        <item m="1" x="3978"/>
        <item m="1" x="2352"/>
        <item m="1" x="2653"/>
        <item m="1" x="2886"/>
        <item m="1" x="3056"/>
        <item m="1" x="3216"/>
        <item m="1" x="3376"/>
        <item m="1" x="3536"/>
        <item m="1" x="3716"/>
        <item m="1" x="3986"/>
        <item m="1" x="2367"/>
        <item m="1" x="2666"/>
        <item m="1" x="2895"/>
        <item m="1" x="3064"/>
        <item m="1" x="3224"/>
        <item m="1" x="3384"/>
        <item m="1" x="3544"/>
        <item m="1" x="3727"/>
        <item m="1" x="3999"/>
        <item m="1" x="4000"/>
        <item m="1" x="4282"/>
        <item m="1" x="4475"/>
        <item m="1" x="4636"/>
        <item m="1" x="4796"/>
        <item m="1" x="4956"/>
        <item m="1" x="5116"/>
        <item m="1" x="5331"/>
        <item m="1" x="5627"/>
        <item m="1" x="5924"/>
        <item m="1" x="4013"/>
        <item m="1" x="4293"/>
        <item m="1" x="4483"/>
        <item m="1" x="4643"/>
        <item m="1" x="4803"/>
        <item m="1" x="4963"/>
        <item m="1" x="5123"/>
        <item m="1" x="5342"/>
        <item m="1" x="5641"/>
        <item m="1" x="5934"/>
        <item m="1" x="4020"/>
        <item m="1" x="4300"/>
        <item m="1" x="4490"/>
        <item m="1" x="4650"/>
        <item m="1" x="4810"/>
        <item m="1" x="4970"/>
        <item m="1" x="5130"/>
        <item m="1" x="5350"/>
        <item m="1" x="5650"/>
        <item m="1" x="5939"/>
        <item m="1" x="4027"/>
        <item m="1" x="4307"/>
        <item m="1" x="4497"/>
        <item m="1" x="4657"/>
        <item m="1" x="4817"/>
        <item m="1" x="4977"/>
        <item m="1" x="5137"/>
        <item m="1" x="5357"/>
        <item m="1" x="5657"/>
        <item m="1" x="5942"/>
        <item m="1" x="4034"/>
        <item m="1" x="4314"/>
        <item m="1" x="4504"/>
        <item m="1" x="4664"/>
        <item m="1" x="4824"/>
        <item m="1" x="4984"/>
        <item m="1" x="5144"/>
        <item m="1" x="5364"/>
        <item m="1" x="5664"/>
        <item m="1" x="5945"/>
        <item m="1" x="4041"/>
        <item m="1" x="4321"/>
        <item m="1" x="4511"/>
        <item m="1" x="4671"/>
        <item m="1" x="4831"/>
        <item m="1" x="4991"/>
        <item m="1" x="5151"/>
        <item m="1" x="5371"/>
        <item m="1" x="5671"/>
        <item m="1" x="5948"/>
        <item m="1" x="4048"/>
        <item m="1" x="4328"/>
        <item m="1" x="4518"/>
        <item m="1" x="4678"/>
        <item m="1" x="4838"/>
        <item m="1" x="4998"/>
        <item m="1" x="5158"/>
        <item m="1" x="5378"/>
        <item m="1" x="5678"/>
        <item m="1" x="5951"/>
        <item m="1" x="4056"/>
        <item m="1" x="4335"/>
        <item m="1" x="4525"/>
        <item m="1" x="4685"/>
        <item m="1" x="4845"/>
        <item m="1" x="5005"/>
        <item m="1" x="5165"/>
        <item m="1" x="5386"/>
        <item m="1" x="5686"/>
        <item m="1" x="5955"/>
        <item m="1" x="4069"/>
        <item m="1" x="4344"/>
        <item m="1" x="4532"/>
        <item m="1" x="4692"/>
        <item m="1" x="4852"/>
        <item m="1" x="5012"/>
        <item m="1" x="5174"/>
        <item m="1" x="5399"/>
        <item m="1" x="5701"/>
        <item m="1" x="5966"/>
        <item m="1" x="4083"/>
        <item m="1" x="4353"/>
        <item m="1" x="4539"/>
        <item m="1" x="4699"/>
        <item m="1" x="4859"/>
        <item m="1" x="5019"/>
        <item m="1" x="5183"/>
        <item m="1" x="5413"/>
        <item m="1" x="5717"/>
        <item m="1" x="5978"/>
        <item m="1" x="5557"/>
        <item m="1" x="5859"/>
        <item m="1" x="6074"/>
        <item m="1" x="6236"/>
        <item m="1" x="6396"/>
        <item m="1" x="6556"/>
        <item m="1" x="6716"/>
        <item m="1" x="6912"/>
        <item m="1" x="7186"/>
        <item m="1" x="7477"/>
        <item m="1" x="5572"/>
        <item m="1" x="5872"/>
        <item m="1" x="6083"/>
        <item m="1" x="6243"/>
        <item m="1" x="6403"/>
        <item m="1" x="6563"/>
        <item m="1" x="6723"/>
        <item m="1" x="6922"/>
        <item m="1" x="7200"/>
        <item m="1" x="7488"/>
        <item m="1" x="5580"/>
        <item m="1" x="5880"/>
        <item m="1" x="6090"/>
        <item m="1" x="6250"/>
        <item m="1" x="6410"/>
        <item m="1" x="6570"/>
        <item m="1" x="6730"/>
        <item m="1" x="6930"/>
        <item m="1" x="7210"/>
        <item m="1" x="7494"/>
        <item m="1" x="5587"/>
        <item m="1" x="5887"/>
        <item m="1" x="6097"/>
        <item m="1" x="6257"/>
        <item m="1" x="6417"/>
        <item m="1" x="6577"/>
        <item m="1" x="6737"/>
        <item m="1" x="6937"/>
        <item m="1" x="7217"/>
        <item m="1" x="7497"/>
        <item m="1" x="5594"/>
        <item m="1" x="5894"/>
        <item m="1" x="6104"/>
        <item m="1" x="6264"/>
        <item m="1" x="6424"/>
        <item m="1" x="6584"/>
        <item m="1" x="6744"/>
        <item m="1" x="6944"/>
        <item m="1" x="7224"/>
        <item m="1" x="7500"/>
        <item m="1" x="5601"/>
        <item m="1" x="5901"/>
        <item m="1" x="6111"/>
        <item m="1" x="6271"/>
        <item m="1" x="6431"/>
        <item m="1" x="6591"/>
        <item m="1" x="6751"/>
        <item m="1" x="6951"/>
        <item m="1" x="7231"/>
        <item m="1" x="7503"/>
        <item m="1" x="5608"/>
        <item m="1" x="5908"/>
        <item m="1" x="6118"/>
        <item m="1" x="6278"/>
        <item m="1" x="6438"/>
        <item m="1" x="6598"/>
        <item m="1" x="6758"/>
        <item m="1" x="6958"/>
        <item m="1" x="7238"/>
        <item m="1" x="7506"/>
        <item m="1" x="5615"/>
        <item m="1" x="5915"/>
        <item m="1" x="6125"/>
        <item m="1" x="6285"/>
        <item m="1" x="6445"/>
        <item m="1" x="6605"/>
        <item m="1" x="6765"/>
        <item m="1" x="6965"/>
        <item m="1" x="7245"/>
        <item m="1" x="7509"/>
        <item m="1" x="5628"/>
        <item m="1" x="5925"/>
        <item m="1" x="6132"/>
        <item m="1" x="6292"/>
        <item m="1" x="6452"/>
        <item m="1" x="6612"/>
        <item m="1" x="6773"/>
        <item m="1" x="6976"/>
        <item m="1" x="7258"/>
        <item m="1" x="7518"/>
        <item m="1" x="5642"/>
        <item m="1" x="5935"/>
        <item m="1" x="6139"/>
        <item m="1" x="6299"/>
        <item m="1" x="6459"/>
        <item m="1" x="6619"/>
        <item m="1" x="6781"/>
        <item m="1" x="6988"/>
        <item m="1" x="7273"/>
        <item m="1" x="7529"/>
        <item m="1" x="7116"/>
        <item m="1" x="7404"/>
        <item m="1" x="7614"/>
        <item m="1" x="7771"/>
        <item m="1" x="7926"/>
        <item m="1" x="2358"/>
        <item m="1" x="2659"/>
        <item m="1" x="7131"/>
        <item m="1" x="7418"/>
        <item m="1" x="7624"/>
        <item m="1" x="7779"/>
        <item m="1" x="7934"/>
        <item m="1" x="2373"/>
        <item m="1" x="2672"/>
        <item m="1" x="7139"/>
        <item m="1" x="7427"/>
        <item m="1" x="7632"/>
        <item m="1" x="7787"/>
        <item m="1" x="7942"/>
        <item m="1" x="2384"/>
        <item m="1" x="2680"/>
        <item m="1" x="7146"/>
        <item m="1" x="7435"/>
        <item m="1" x="7640"/>
        <item m="1" x="7795"/>
        <item m="1" x="7950"/>
        <item m="1" x="2108"/>
        <item m="1" x="2392"/>
        <item m="1" x="2685"/>
        <item m="1" x="7153"/>
        <item m="1" x="7443"/>
        <item m="1" x="7648"/>
        <item m="1" x="7803"/>
        <item m="1" x="7958"/>
        <item m="1" x="2116"/>
        <item m="1" x="2400"/>
        <item m="1" x="2690"/>
        <item m="1" x="7160"/>
        <item m="1" x="7451"/>
        <item m="1" x="7656"/>
        <item m="1" x="7811"/>
        <item m="1" x="7966"/>
        <item m="1" x="2124"/>
        <item m="1" x="2408"/>
        <item m="1" x="2695"/>
        <item m="1" x="7167"/>
        <item m="1" x="7459"/>
        <item m="1" x="7664"/>
        <item m="1" x="7819"/>
        <item m="1" x="7974"/>
        <item m="1" x="2132"/>
        <item m="1" x="2416"/>
        <item m="1" x="2700"/>
        <item m="1" x="7174"/>
        <item m="1" x="7467"/>
        <item m="1" x="7672"/>
        <item m="1" x="7827"/>
        <item m="1" x="7982"/>
        <item m="1" x="2140"/>
        <item m="1" x="2424"/>
        <item m="1" x="2705"/>
        <item m="1" x="7187"/>
        <item m="1" x="7478"/>
        <item m="1" x="7680"/>
        <item m="1" x="7835"/>
        <item m="1" x="7990"/>
        <item m="1" x="2152"/>
        <item m="1" x="2437"/>
        <item m="1" x="2715"/>
        <item m="1" x="7201"/>
        <item m="1" x="7489"/>
        <item m="1" x="7688"/>
        <item m="1" x="7843"/>
        <item m="1" x="7998"/>
        <item m="1" x="2165"/>
        <item m="1" x="2452"/>
        <item m="1" x="2728"/>
        <item m="1" x="2288"/>
        <item m="1" x="2584"/>
        <item m="1" x="2823"/>
        <item m="1" x="2996"/>
        <item m="1" x="3156"/>
        <item m="1" x="3316"/>
        <item m="1" x="3476"/>
        <item m="1" x="3653"/>
        <item m="1" x="3915"/>
        <item m="1" x="4220"/>
        <item m="1" x="2302"/>
        <item m="1" x="2598"/>
        <item m="1" x="2833"/>
        <item m="1" x="3004"/>
        <item m="1" x="3164"/>
        <item m="1" x="3324"/>
        <item m="1" x="3484"/>
        <item m="1" x="3663"/>
        <item m="1" x="3930"/>
        <item m="1" x="4234"/>
        <item m="1" x="2311"/>
        <item m="1" x="2608"/>
        <item m="1" x="2842"/>
        <item m="1" x="3012"/>
        <item m="1" x="3172"/>
        <item m="1" x="3332"/>
        <item m="1" x="3492"/>
        <item m="1" x="3672"/>
        <item m="1" x="3942"/>
        <item m="1" x="4244"/>
        <item m="1" x="2318"/>
        <item m="1" x="2616"/>
        <item m="1" x="2850"/>
        <item m="1" x="3020"/>
        <item m="1" x="3180"/>
        <item m="1" x="3340"/>
        <item m="1" x="3500"/>
        <item m="1" x="3680"/>
        <item m="1" x="3950"/>
        <item m="1" x="4249"/>
        <item m="1" x="2325"/>
        <item m="1" x="2624"/>
        <item m="1" x="2858"/>
        <item m="1" x="3028"/>
        <item m="1" x="3188"/>
        <item m="1" x="3348"/>
        <item m="1" x="3508"/>
        <item m="1" x="3688"/>
        <item m="1" x="3958"/>
        <item m="1" x="4254"/>
        <item m="1" x="2332"/>
        <item m="1" x="2632"/>
        <item m="1" x="2866"/>
        <item m="1" x="3036"/>
        <item m="1" x="3196"/>
        <item m="1" x="3356"/>
        <item m="1" x="3516"/>
        <item m="1" x="3696"/>
        <item m="1" x="3966"/>
        <item m="1" x="4259"/>
        <item m="1" x="2339"/>
        <item m="1" x="2640"/>
        <item m="1" x="2874"/>
        <item m="1" x="3044"/>
        <item m="1" x="3204"/>
        <item m="1" x="3364"/>
        <item m="1" x="3524"/>
        <item m="1" x="3704"/>
        <item m="1" x="3974"/>
        <item m="1" x="4264"/>
        <item m="1" x="2346"/>
        <item m="1" x="2648"/>
        <item m="1" x="2882"/>
        <item m="1" x="3052"/>
        <item m="1" x="3212"/>
        <item m="1" x="3372"/>
        <item m="1" x="3532"/>
        <item m="1" x="3712"/>
        <item m="1" x="3982"/>
        <item m="1" x="4269"/>
        <item m="1" x="2359"/>
        <item m="1" x="2660"/>
        <item m="1" x="2891"/>
        <item m="1" x="3060"/>
        <item m="1" x="3220"/>
        <item m="1" x="3380"/>
        <item m="1" x="3540"/>
        <item m="1" x="3722"/>
        <item m="1" x="3993"/>
        <item m="1" x="4277"/>
        <item m="1" x="2374"/>
        <item m="1" x="2673"/>
        <item m="1" x="2900"/>
        <item m="1" x="3068"/>
        <item m="1" x="3228"/>
        <item m="1" x="3388"/>
        <item m="1" x="3548"/>
        <item m="1" x="3734"/>
        <item m="1" x="4008"/>
        <item m="1" x="4289"/>
        <item m="1" x="3843"/>
        <item m="1" x="4135"/>
        <item m="1" x="4372"/>
        <item m="1" x="4545"/>
        <item m="1" x="4705"/>
        <item m="1" x="4865"/>
        <item m="1" x="5025"/>
        <item m="1" x="5202"/>
        <item m="1" x="5464"/>
        <item m="1" x="5780"/>
        <item m="1" x="3858"/>
        <item m="1" x="4151"/>
        <item m="1" x="4383"/>
        <item m="1" x="4554"/>
        <item m="1" x="4714"/>
        <item m="1" x="4874"/>
        <item m="1" x="5034"/>
        <item m="1" x="5213"/>
        <item m="1" x="5480"/>
        <item m="1" x="5796"/>
        <item m="1" x="3868"/>
        <item m="1" x="4163"/>
        <item m="1" x="4393"/>
        <item m="1" x="4563"/>
        <item m="1" x="4723"/>
        <item m="1" x="4883"/>
        <item m="1" x="5043"/>
        <item m="1" x="5223"/>
        <item m="1" x="5493"/>
        <item m="1" x="5808"/>
        <item m="1" x="3875"/>
        <item m="1" x="4172"/>
        <item m="1" x="4402"/>
        <item m="1" x="4572"/>
        <item m="1" x="4732"/>
        <item m="1" x="4892"/>
        <item m="1" x="5052"/>
        <item m="1" x="5232"/>
        <item m="1" x="5502"/>
        <item m="1" x="5815"/>
        <item m="1" x="3882"/>
        <item m="1" x="4181"/>
        <item m="1" x="4411"/>
        <item m="1" x="4581"/>
        <item m="1" x="4741"/>
        <item m="1" x="4901"/>
        <item m="1" x="5061"/>
        <item m="1" x="5241"/>
        <item m="1" x="5511"/>
        <item m="1" x="5822"/>
        <item m="1" x="3889"/>
        <item m="1" x="4190"/>
        <item m="1" x="4420"/>
        <item m="1" x="4590"/>
        <item m="1" x="4750"/>
        <item m="1" x="4910"/>
        <item m="1" x="5070"/>
        <item m="1" x="5250"/>
        <item m="1" x="5520"/>
        <item m="1" x="5829"/>
        <item m="1" x="3896"/>
        <item m="1" x="4199"/>
        <item m="1" x="4429"/>
        <item m="1" x="4599"/>
        <item m="1" x="4759"/>
        <item m="1" x="4919"/>
        <item m="1" x="5079"/>
        <item m="1" x="5259"/>
        <item m="1" x="5529"/>
        <item m="1" x="5836"/>
        <item m="1" x="3903"/>
        <item m="1" x="4208"/>
        <item m="1" x="4438"/>
        <item m="1" x="4608"/>
        <item m="1" x="4768"/>
        <item m="1" x="4928"/>
        <item m="1" x="5088"/>
        <item m="1" x="5268"/>
        <item m="1" x="5538"/>
        <item m="1" x="5843"/>
        <item m="1" x="3916"/>
        <item m="1" x="4221"/>
        <item m="1" x="4448"/>
        <item m="1" x="4617"/>
        <item m="1" x="4777"/>
        <item m="1" x="4937"/>
        <item m="1" x="5097"/>
        <item m="1" x="5279"/>
        <item m="1" x="5550"/>
        <item m="1" x="5853"/>
        <item m="1" x="3931"/>
        <item m="1" x="4235"/>
        <item m="1" x="4458"/>
        <item m="1" x="4626"/>
        <item m="1" x="4786"/>
        <item m="1" x="4946"/>
        <item m="1" x="5106"/>
        <item m="1" x="5292"/>
        <item m="1" x="5566"/>
        <item m="1" x="5867"/>
        <item m="1" x="5393"/>
        <item m="1" x="5694"/>
        <item m="1" x="5960"/>
        <item m="1" x="6145"/>
        <item m="1" x="6305"/>
        <item m="1" x="6465"/>
        <item m="1" x="6625"/>
        <item m="1" x="6793"/>
        <item m="1" x="7026"/>
        <item m="1" x="7326"/>
        <item m="1" x="5407"/>
        <item m="1" x="5710"/>
        <item m="1" x="5972"/>
        <item m="1" x="6154"/>
        <item m="1" x="6314"/>
        <item m="1" x="6474"/>
        <item m="1" x="6634"/>
        <item m="1" x="6803"/>
        <item m="1" x="7040"/>
        <item m="1" x="7340"/>
        <item m="1" x="5418"/>
        <item m="1" x="5723"/>
        <item m="1" x="5983"/>
        <item m="1" x="6163"/>
        <item m="1" x="6323"/>
        <item m="1" x="6483"/>
        <item m="1" x="6643"/>
        <item m="1" x="6813"/>
        <item m="1" x="7053"/>
        <item m="1" x="7353"/>
        <item m="1" x="5425"/>
        <item m="1" x="5732"/>
        <item m="1" x="5992"/>
        <item m="1" x="6172"/>
        <item m="1" x="6332"/>
        <item m="1" x="6492"/>
        <item m="1" x="6652"/>
        <item m="1" x="6822"/>
        <item m="1" x="7062"/>
        <item m="1" x="7360"/>
        <item m="1" x="5432"/>
        <item m="1" x="5741"/>
        <item m="1" x="6001"/>
        <item m="1" x="6181"/>
        <item m="1" x="6341"/>
        <item m="1" x="6501"/>
        <item m="1" x="6661"/>
        <item m="1" x="6831"/>
        <item m="1" x="7071"/>
        <item m="1" x="7367"/>
        <item m="1" x="5439"/>
        <item m="1" x="5750"/>
        <item m="1" x="6010"/>
        <item m="1" x="6190"/>
        <item m="1" x="6350"/>
        <item m="1" x="6510"/>
        <item m="1" x="6670"/>
        <item m="1" x="6840"/>
        <item m="1" x="7080"/>
        <item m="1" x="7374"/>
        <item m="1" x="5446"/>
        <item m="1" x="5759"/>
        <item m="1" x="6019"/>
        <item m="1" x="6199"/>
        <item m="1" x="6359"/>
        <item m="1" x="6519"/>
        <item m="1" x="6679"/>
        <item m="1" x="6849"/>
        <item m="1" x="7089"/>
        <item m="1" x="7381"/>
        <item m="1" x="5453"/>
        <item m="1" x="5768"/>
        <item m="1" x="6028"/>
        <item m="1" x="6208"/>
        <item m="1" x="6368"/>
        <item m="1" x="6528"/>
        <item m="1" x="6688"/>
        <item m="1" x="6858"/>
        <item m="1" x="7098"/>
        <item m="1" x="7388"/>
        <item m="1" x="5465"/>
        <item m="1" x="5781"/>
        <item m="1" x="6038"/>
        <item m="1" x="6217"/>
        <item m="1" x="6377"/>
        <item m="1" x="6537"/>
        <item m="1" x="6697"/>
        <item m="1" x="6868"/>
        <item m="1" x="7109"/>
        <item m="1" x="7397"/>
        <item m="1" x="5481"/>
        <item m="1" x="5797"/>
        <item m="1" x="6049"/>
        <item m="1" x="6226"/>
        <item m="1" x="6386"/>
        <item m="1" x="6546"/>
        <item m="1" x="6706"/>
        <item m="1" x="6880"/>
        <item m="1" x="7125"/>
        <item m="1" x="7412"/>
        <item m="1" x="6971"/>
        <item m="1" x="7252"/>
        <item m="1" x="7513"/>
        <item m="1" x="7693"/>
        <item m="1" x="7848"/>
        <item m="1" x="2208"/>
        <item m="1" x="2508"/>
        <item m="1" x="6983"/>
        <item m="1" x="7267"/>
        <item m="1" x="7524"/>
        <item m="1" x="7701"/>
        <item m="1" x="7856"/>
        <item m="1" x="2222"/>
        <item m="1" x="2523"/>
        <item m="1" x="6992"/>
        <item m="1" x="7279"/>
        <item m="1" x="7534"/>
        <item m="1" x="7709"/>
        <item m="1" x="7864"/>
        <item m="1" x="2235"/>
        <item m="1" x="2537"/>
        <item m="1" x="6997"/>
        <item m="1" x="7287"/>
        <item m="1" x="7542"/>
        <item m="1" x="7717"/>
        <item m="1" x="7872"/>
        <item m="1" x="2244"/>
        <item m="1" x="2545"/>
        <item m="1" x="7002"/>
        <item m="1" x="7295"/>
        <item m="1" x="7550"/>
        <item m="1" x="7725"/>
        <item m="1" x="7880"/>
        <item m="1" x="2252"/>
        <item m="1" x="2552"/>
        <item m="1" x="7007"/>
        <item m="1" x="7302"/>
        <item m="1" x="7557"/>
        <item m="1" x="7732"/>
        <item m="1" x="7887"/>
        <item m="1" x="2259"/>
        <item m="1" x="2558"/>
        <item m="1" x="7012"/>
        <item m="1" x="7309"/>
        <item m="1" x="7564"/>
        <item m="1" x="7739"/>
        <item m="1" x="7894"/>
        <item m="1" x="2266"/>
        <item m="1" x="2564"/>
        <item m="1" x="7017"/>
        <item m="1" x="7316"/>
        <item m="1" x="7571"/>
        <item m="1" x="7746"/>
        <item m="1" x="7901"/>
        <item m="1" x="2273"/>
        <item m="1" x="2570"/>
        <item m="1" x="7027"/>
        <item m="1" x="7327"/>
        <item m="1" x="7579"/>
        <item m="1" x="7753"/>
        <item m="1" x="7908"/>
        <item m="1" x="2282"/>
        <item m="1" x="2578"/>
        <item m="1" x="7041"/>
        <item m="1" x="7341"/>
        <item m="1" x="7588"/>
        <item m="1" x="7760"/>
        <item m="1" x="7915"/>
        <item m="1" x="2296"/>
        <item m="1" x="2592"/>
        <item m="1" x="2146"/>
        <item m="1" x="2430"/>
        <item m="1" x="2709"/>
        <item m="1" x="2910"/>
        <item m="1" x="3072"/>
        <item m="1" x="3232"/>
        <item m="1" x="3392"/>
        <item m="1" x="3552"/>
        <item m="1" x="3763"/>
        <item m="1" x="4057"/>
        <item m="1" x="2159"/>
        <item m="1" x="2445"/>
        <item m="1" x="2721"/>
        <item m="1" x="2918"/>
        <item m="1" x="3079"/>
        <item m="1" x="3239"/>
        <item m="1" x="3399"/>
        <item m="1" x="3559"/>
        <item m="1" x="3774"/>
        <item m="1" x="4070"/>
        <item m="1" x="2170"/>
        <item m="1" x="2458"/>
        <item m="1" x="2733"/>
        <item m="1" x="2927"/>
        <item m="1" x="3087"/>
        <item m="1" x="3247"/>
        <item m="1" x="3407"/>
        <item m="1" x="3567"/>
        <item m="1" x="3786"/>
        <item m="1" x="4084"/>
        <item m="1" x="2176"/>
        <item m="1" x="2466"/>
        <item m="1" x="2741"/>
        <item m="1" x="2935"/>
        <item m="1" x="3095"/>
        <item m="1" x="3255"/>
        <item m="1" x="3415"/>
        <item m="1" x="3575"/>
        <item m="1" x="3795"/>
        <item m="1" x="4092"/>
        <item m="1" x="2182"/>
        <item m="1" x="2474"/>
        <item m="1" x="2749"/>
        <item m="1" x="2943"/>
        <item m="1" x="3103"/>
        <item m="1" x="3263"/>
        <item m="1" x="3423"/>
        <item m="1" x="3583"/>
        <item m="1" x="3803"/>
        <item m="1" x="4099"/>
        <item m="1" x="2188"/>
        <item m="1" x="2482"/>
        <item m="1" x="2757"/>
        <item m="1" x="2951"/>
        <item m="1" x="3111"/>
        <item m="1" x="3271"/>
        <item m="1" x="3431"/>
        <item m="1" x="3591"/>
        <item m="1" x="3811"/>
        <item m="1" x="4106"/>
        <item m="1" x="2194"/>
        <item m="1" x="2490"/>
        <item m="1" x="2765"/>
        <item m="1" x="2959"/>
        <item m="1" x="3119"/>
        <item m="1" x="3279"/>
        <item m="1" x="3439"/>
        <item m="1" x="3599"/>
        <item m="1" x="3819"/>
        <item m="1" x="4113"/>
        <item m="1" x="2200"/>
        <item m="1" x="2498"/>
        <item m="1" x="2773"/>
        <item m="1" x="2967"/>
        <item m="1" x="3127"/>
        <item m="1" x="3287"/>
        <item m="1" x="3447"/>
        <item m="1" x="3607"/>
        <item m="1" x="3827"/>
        <item m="1" x="4120"/>
        <item m="1" x="2209"/>
        <item m="1" x="2509"/>
        <item m="1" x="2782"/>
        <item m="1" x="2975"/>
        <item m="1" x="3135"/>
        <item m="1" x="3295"/>
        <item m="1" x="3455"/>
        <item m="1" x="3615"/>
        <item m="1" x="3836"/>
        <item m="1" x="4128"/>
        <item m="1" x="2223"/>
        <item m="1" x="2524"/>
        <item m="1" x="2793"/>
        <item m="1" x="2983"/>
        <item m="1" x="3143"/>
        <item m="1" x="3303"/>
        <item m="1" x="3463"/>
        <item m="1" x="3625"/>
        <item m="1" x="3850"/>
        <item m="1" x="4143"/>
        <item m="1" x="3717"/>
        <item m="1" x="3987"/>
        <item m="1" x="4272"/>
        <item m="1" x="4469"/>
        <item m="1" x="4631"/>
        <item m="1" x="4791"/>
        <item m="1" x="4951"/>
        <item m="1" x="5111"/>
        <item m="1" x="5322"/>
        <item m="1" x="5616"/>
        <item m="1" x="3728"/>
        <item m="1" x="4001"/>
        <item m="1" x="4283"/>
        <item m="1" x="4476"/>
        <item m="1" x="4637"/>
        <item m="1" x="4797"/>
        <item m="1" x="4957"/>
        <item m="1" x="5117"/>
        <item m="1" x="5332"/>
        <item m="1" x="5629"/>
        <item m="1" x="3738"/>
        <item m="1" x="4014"/>
        <item m="1" x="4294"/>
        <item m="1" x="4484"/>
        <item m="1" x="4644"/>
        <item m="1" x="4804"/>
        <item m="1" x="4964"/>
        <item m="1" x="5124"/>
        <item m="1" x="5343"/>
        <item m="1" x="5643"/>
        <item m="1" x="3742"/>
        <item m="1" x="4021"/>
        <item m="1" x="4301"/>
        <item m="1" x="4491"/>
        <item m="1" x="4651"/>
        <item m="1" x="4811"/>
        <item m="1" x="4971"/>
        <item m="1" x="5131"/>
        <item m="1" x="5351"/>
        <item m="1" x="5651"/>
        <item m="1" x="3746"/>
        <item m="1" x="4028"/>
        <item m="1" x="4308"/>
        <item m="1" x="4498"/>
        <item m="1" x="4658"/>
        <item m="1" x="4818"/>
        <item m="1" x="4978"/>
        <item m="1" x="5138"/>
        <item m="1" x="5358"/>
        <item m="1" x="5658"/>
        <item m="1" x="3750"/>
        <item m="1" x="4035"/>
        <item m="1" x="4315"/>
        <item m="1" x="4505"/>
        <item m="1" x="4665"/>
        <item m="1" x="4825"/>
        <item m="1" x="4985"/>
        <item m="1" x="5145"/>
        <item m="1" x="5365"/>
        <item m="1" x="5665"/>
        <item m="1" x="3754"/>
        <item m="1" x="4042"/>
        <item m="1" x="4322"/>
        <item m="1" x="4512"/>
        <item m="1" x="4672"/>
        <item m="1" x="4832"/>
        <item m="1" x="4992"/>
        <item m="1" x="5152"/>
        <item m="1" x="5372"/>
        <item m="1" x="5672"/>
        <item m="1" x="3758"/>
        <item m="1" x="4049"/>
        <item m="1" x="4329"/>
        <item m="1" x="4519"/>
        <item m="1" x="4679"/>
        <item m="1" x="4839"/>
        <item m="1" x="4999"/>
        <item m="1" x="5159"/>
        <item m="1" x="5379"/>
        <item m="1" x="5679"/>
        <item m="1" x="3764"/>
        <item m="1" x="4058"/>
        <item m="1" x="4336"/>
        <item m="1" x="4526"/>
        <item m="1" x="4686"/>
        <item m="1" x="4846"/>
        <item m="1" x="5006"/>
        <item m="1" x="5166"/>
        <item m="1" x="5387"/>
        <item m="1" x="5687"/>
        <item m="1" x="3775"/>
        <item m="1" x="4071"/>
        <item m="1" x="4345"/>
        <item m="1" x="4533"/>
        <item m="1" x="4693"/>
        <item m="1" x="4853"/>
        <item m="1" x="5013"/>
        <item m="1" x="5175"/>
        <item m="1" x="5400"/>
        <item m="1" x="5702"/>
        <item m="1" x="5273"/>
        <item m="1" x="5543"/>
        <item m="1" x="5847"/>
        <item m="1" x="6067"/>
        <item m="1" x="6231"/>
        <item m="1" x="6391"/>
        <item m="1" x="6551"/>
        <item m="1" x="6711"/>
        <item m="1" x="6904"/>
        <item m="1" x="7175"/>
        <item m="1" x="5285"/>
        <item m="1" x="5558"/>
        <item m="1" x="5860"/>
        <item m="1" x="6075"/>
        <item m="1" x="6237"/>
        <item m="1" x="6397"/>
        <item m="1" x="6557"/>
        <item m="1" x="6717"/>
        <item m="1" x="6913"/>
        <item m="1" x="7188"/>
        <item m="1" x="5297"/>
        <item m="1" x="5573"/>
        <item m="1" x="5873"/>
        <item m="1" x="6084"/>
        <item m="1" x="6244"/>
        <item m="1" x="6404"/>
        <item m="1" x="6564"/>
        <item m="1" x="6724"/>
        <item m="1" x="6923"/>
        <item m="1" x="7202"/>
        <item m="1" x="5302"/>
        <item m="1" x="5581"/>
        <item m="1" x="5881"/>
        <item m="1" x="6091"/>
        <item m="1" x="6251"/>
        <item m="1" x="6411"/>
        <item m="1" x="6571"/>
        <item m="1" x="6731"/>
        <item m="1" x="6931"/>
        <item m="1" x="7211"/>
        <item m="1" x="5306"/>
        <item m="1" x="5588"/>
        <item m="1" x="5888"/>
        <item m="1" x="6098"/>
        <item m="1" x="6258"/>
        <item m="1" x="6418"/>
        <item m="1" x="6578"/>
        <item m="1" x="6738"/>
        <item m="1" x="6938"/>
        <item m="1" x="7218"/>
        <item m="1" x="5310"/>
        <item m="1" x="5595"/>
        <item m="1" x="5895"/>
        <item m="1" x="6105"/>
        <item m="1" x="6265"/>
        <item m="1" x="6425"/>
        <item m="1" x="6585"/>
        <item m="1" x="6745"/>
        <item m="1" x="6945"/>
        <item m="1" x="7225"/>
        <item m="1" x="5314"/>
        <item m="1" x="5602"/>
        <item m="1" x="5902"/>
        <item m="1" x="6112"/>
        <item m="1" x="6272"/>
        <item m="1" x="6432"/>
        <item m="1" x="6592"/>
        <item m="1" x="6752"/>
        <item m="1" x="6952"/>
        <item m="1" x="7232"/>
        <item m="1" x="5318"/>
        <item m="1" x="5609"/>
        <item m="1" x="5909"/>
        <item m="1" x="6119"/>
        <item m="1" x="6279"/>
        <item m="1" x="6439"/>
        <item m="1" x="6599"/>
        <item m="1" x="6759"/>
        <item m="1" x="6959"/>
        <item m="1" x="7239"/>
        <item m="1" x="5323"/>
        <item m="1" x="5617"/>
        <item m="1" x="5916"/>
        <item m="1" x="6126"/>
        <item m="1" x="6286"/>
        <item m="1" x="6446"/>
        <item m="1" x="6606"/>
        <item m="1" x="6766"/>
        <item m="1" x="6966"/>
        <item m="1" x="7246"/>
        <item m="1" x="5333"/>
        <item m="1" x="5630"/>
        <item m="1" x="5926"/>
        <item m="1" x="6133"/>
        <item m="1" x="6293"/>
        <item m="1" x="6453"/>
        <item m="1" x="6613"/>
        <item m="1" x="6774"/>
        <item m="1" x="6977"/>
        <item m="1" x="7259"/>
        <item m="1" x="7260"/>
        <item m="1" x="7519"/>
        <item m="1" x="7697"/>
        <item m="1" x="7852"/>
        <item m="1" x="2216"/>
        <item m="1" x="2516"/>
        <item m="1" x="2788"/>
        <item m="1" x="7274"/>
        <item m="1" x="7530"/>
        <item m="1" x="7705"/>
        <item m="1" x="7860"/>
        <item m="1" x="2230"/>
        <item m="1" x="2531"/>
        <item m="1" x="2799"/>
        <item m="1" x="7283"/>
        <item m="1" x="7538"/>
        <item m="1" x="7713"/>
        <item m="1" x="7868"/>
        <item m="1" x="2240"/>
        <item m="1" x="2541"/>
        <item m="1" x="2805"/>
        <item m="1" x="7291"/>
        <item m="1" x="7546"/>
        <item m="1" x="7721"/>
        <item m="1" x="7876"/>
        <item m="1" x="2248"/>
        <item m="1" x="2548"/>
        <item m="1" x="2808"/>
        <item m="1" x="7299"/>
        <item m="1" x="7554"/>
        <item m="1" x="7729"/>
        <item m="1" x="7884"/>
        <item m="1" x="2256"/>
        <item m="1" x="2555"/>
        <item m="1" x="2810"/>
        <item m="1" x="7306"/>
        <item m="1" x="7561"/>
        <item m="1" x="7736"/>
        <item m="1" x="7891"/>
        <item m="1" x="2263"/>
        <item m="1" x="2561"/>
        <item m="1" x="2812"/>
        <item m="1" x="7313"/>
        <item m="1" x="7568"/>
        <item m="1" x="7743"/>
        <item m="1" x="7898"/>
        <item m="1" x="2270"/>
        <item m="1" x="2567"/>
        <item m="1" x="2814"/>
        <item m="1" x="7321"/>
        <item m="1" x="7575"/>
        <item m="1" x="7750"/>
        <item m="1" x="7905"/>
        <item m="1" x="2277"/>
        <item m="1" x="2573"/>
        <item m="1" x="2816"/>
        <item m="1" x="7334"/>
        <item m="1" x="7584"/>
        <item m="1" x="7757"/>
        <item m="1" x="7912"/>
        <item m="1" x="2289"/>
        <item m="1" x="2585"/>
        <item m="1" x="2824"/>
        <item m="1" x="7348"/>
        <item m="1" x="7593"/>
        <item m="1" x="7764"/>
        <item m="1" x="7919"/>
        <item m="1" x="2303"/>
        <item m="1" x="2599"/>
        <item m="1" x="2834"/>
        <item m="1" x="2438"/>
        <item m="1" x="2716"/>
        <item m="1" x="2915"/>
        <item m="1" x="3076"/>
        <item m="1" x="3236"/>
        <item m="1" x="3396"/>
        <item m="1" x="3556"/>
        <item m="1" x="3770"/>
        <item m="1" x="4064"/>
        <item m="1" x="4341"/>
        <item m="1" x="2453"/>
        <item m="1" x="2729"/>
        <item m="1" x="2924"/>
        <item m="1" x="3084"/>
        <item m="1" x="3244"/>
        <item m="1" x="3404"/>
        <item m="1" x="3564"/>
        <item m="1" x="3782"/>
        <item m="1" x="4078"/>
        <item m="1" x="4350"/>
        <item m="1" x="2463"/>
        <item m="1" x="2738"/>
        <item m="1" x="2932"/>
        <item m="1" x="3092"/>
        <item m="1" x="3252"/>
        <item m="1" x="3412"/>
        <item m="1" x="3572"/>
        <item m="1" x="3792"/>
        <item m="1" x="4089"/>
        <item m="1" x="4356"/>
        <item m="1" x="2471"/>
        <item m="1" x="2746"/>
        <item m="1" x="2940"/>
        <item m="1" x="3100"/>
        <item m="1" x="3260"/>
        <item m="1" x="3420"/>
        <item m="1" x="3580"/>
        <item m="1" x="3800"/>
        <item m="1" x="4096"/>
        <item m="1" x="4358"/>
        <item m="1" x="2479"/>
        <item m="1" x="2754"/>
        <item m="1" x="2948"/>
        <item m="1" x="3108"/>
        <item m="1" x="3268"/>
        <item m="1" x="3428"/>
        <item m="1" x="3588"/>
        <item m="1" x="3808"/>
        <item m="1" x="4103"/>
        <item m="1" x="4360"/>
        <item m="1" x="2487"/>
        <item m="1" x="2762"/>
        <item m="1" x="2956"/>
        <item m="1" x="3116"/>
        <item m="1" x="3276"/>
        <item m="1" x="3436"/>
        <item m="1" x="3596"/>
        <item m="1" x="3816"/>
        <item m="1" x="4110"/>
        <item m="1" x="4362"/>
        <item m="1" x="2495"/>
        <item m="1" x="2770"/>
        <item m="1" x="2964"/>
        <item m="1" x="3124"/>
        <item m="1" x="3284"/>
        <item m="1" x="3444"/>
        <item m="1" x="3604"/>
        <item m="1" x="3824"/>
        <item m="1" x="4117"/>
        <item m="1" x="4364"/>
        <item m="1" x="2503"/>
        <item m="1" x="2778"/>
        <item m="1" x="2972"/>
        <item m="1" x="3132"/>
        <item m="1" x="3292"/>
        <item m="1" x="3452"/>
        <item m="1" x="3612"/>
        <item m="1" x="3832"/>
        <item m="1" x="4124"/>
        <item m="1" x="4366"/>
        <item m="1" x="2517"/>
        <item m="1" x="2789"/>
        <item m="1" x="2980"/>
        <item m="1" x="3140"/>
        <item m="1" x="3300"/>
        <item m="1" x="3460"/>
        <item m="1" x="3621"/>
        <item m="1" x="3844"/>
        <item m="1" x="4136"/>
        <item m="1" x="4373"/>
        <item m="1" x="2532"/>
        <item m="1" x="2800"/>
        <item m="1" x="2988"/>
        <item m="1" x="3148"/>
        <item m="1" x="3308"/>
        <item m="1" x="3468"/>
        <item m="1" x="3631"/>
        <item m="1" x="3859"/>
        <item m="1" x="4152"/>
        <item m="1" x="4384"/>
        <item m="1" x="3994"/>
        <item m="1" x="4278"/>
        <item m="1" x="4473"/>
        <item m="1" x="4634"/>
        <item m="1" x="4794"/>
        <item m="1" x="4954"/>
        <item m="1" x="5114"/>
        <item m="1" x="5328"/>
        <item m="1" x="5623"/>
        <item m="1" x="5921"/>
        <item m="1" x="4009"/>
        <item m="1" x="4290"/>
        <item m="1" x="4481"/>
        <item m="1" x="4641"/>
        <item m="1" x="4801"/>
        <item m="1" x="4961"/>
        <item m="1" x="5121"/>
        <item m="1" x="5339"/>
        <item m="1" x="5637"/>
        <item m="1" x="5931"/>
        <item m="1" x="4018"/>
        <item m="1" x="4298"/>
        <item m="1" x="4488"/>
        <item m="1" x="4648"/>
        <item m="1" x="4808"/>
        <item m="1" x="4968"/>
        <item m="1" x="5128"/>
        <item m="1" x="5348"/>
        <item m="1" x="5648"/>
        <item m="1" x="5938"/>
        <item m="1" x="4025"/>
        <item m="1" x="4305"/>
        <item m="1" x="4495"/>
        <item m="1" x="4655"/>
        <item m="1" x="4815"/>
        <item m="1" x="4975"/>
        <item m="1" x="5135"/>
        <item m="1" x="5355"/>
        <item m="1" x="5655"/>
        <item m="1" x="5941"/>
        <item m="1" x="4032"/>
        <item m="1" x="4312"/>
        <item m="1" x="4502"/>
        <item m="1" x="4662"/>
        <item m="1" x="4822"/>
        <item m="1" x="4982"/>
        <item m="1" x="5142"/>
        <item m="1" x="5362"/>
        <item m="1" x="5662"/>
        <item m="1" x="5944"/>
        <item m="1" x="4039"/>
        <item m="1" x="4319"/>
        <item m="1" x="4509"/>
        <item m="1" x="4669"/>
        <item m="1" x="4829"/>
        <item m="1" x="4989"/>
        <item m="1" x="5149"/>
        <item m="1" x="5369"/>
        <item m="1" x="5669"/>
        <item m="1" x="5947"/>
        <item m="1" x="4046"/>
        <item m="1" x="4326"/>
        <item m="1" x="4516"/>
        <item m="1" x="4676"/>
        <item m="1" x="4836"/>
        <item m="1" x="4996"/>
        <item m="1" x="5156"/>
        <item m="1" x="5376"/>
        <item m="1" x="5676"/>
        <item m="1" x="5950"/>
        <item m="1" x="4053"/>
        <item m="1" x="4333"/>
        <item m="1" x="4523"/>
        <item m="1" x="4683"/>
        <item m="1" x="4843"/>
        <item m="1" x="5003"/>
        <item m="1" x="5163"/>
        <item m="1" x="5383"/>
        <item m="1" x="5683"/>
        <item m="1" x="5953"/>
        <item m="1" x="4065"/>
        <item m="1" x="4342"/>
        <item m="1" x="4530"/>
        <item m="1" x="4690"/>
        <item m="1" x="4850"/>
        <item m="1" x="5010"/>
        <item m="1" x="5171"/>
        <item m="1" x="5394"/>
        <item m="1" x="5695"/>
        <item m="1" x="5961"/>
        <item m="1" x="4079"/>
        <item m="1" x="4351"/>
        <item m="1" x="4537"/>
        <item m="1" x="4697"/>
        <item m="1" x="4857"/>
        <item m="1" x="5017"/>
        <item m="1" x="5180"/>
        <item m="1" x="5408"/>
        <item m="1" x="5711"/>
        <item m="1" x="5973"/>
        <item m="1" x="5551"/>
        <item m="1" x="5854"/>
        <item m="1" x="6071"/>
        <item m="1" x="6234"/>
        <item m="1" x="6394"/>
        <item m="1" x="6554"/>
        <item m="1" x="6714"/>
        <item m="1" x="6909"/>
        <item m="1" x="7182"/>
        <item m="1" x="7473"/>
        <item m="1" x="5567"/>
        <item m="1" x="5868"/>
        <item m="1" x="6080"/>
        <item m="1" x="6241"/>
        <item m="1" x="6401"/>
        <item m="1" x="6561"/>
        <item m="1" x="6721"/>
        <item m="1" x="6919"/>
        <item m="1" x="7196"/>
        <item m="1" x="7484"/>
        <item m="1" x="5578"/>
        <item m="1" x="5878"/>
        <item m="1" x="6088"/>
        <item m="1" x="6248"/>
        <item m="1" x="6408"/>
        <item m="1" x="6568"/>
        <item m="1" x="6728"/>
        <item m="1" x="6928"/>
        <item m="1" x="7208"/>
        <item m="1" x="7493"/>
        <item m="1" x="5585"/>
        <item m="1" x="5885"/>
        <item m="1" x="6095"/>
        <item m="1" x="6255"/>
        <item m="1" x="6415"/>
        <item m="1" x="6575"/>
        <item m="1" x="6735"/>
        <item m="1" x="6935"/>
        <item m="1" x="7215"/>
        <item m="1" x="7496"/>
        <item m="1" x="5592"/>
        <item m="1" x="5892"/>
        <item m="1" x="6102"/>
        <item m="1" x="6262"/>
        <item m="1" x="6422"/>
        <item m="1" x="6582"/>
        <item m="1" x="6742"/>
        <item m="1" x="6942"/>
        <item m="1" x="7222"/>
        <item m="1" x="7499"/>
        <item m="1" x="5599"/>
        <item m="1" x="5899"/>
        <item m="1" x="6109"/>
        <item m="1" x="6269"/>
        <item m="1" x="6429"/>
        <item m="1" x="6589"/>
        <item m="1" x="6749"/>
        <item m="1" x="6949"/>
        <item m="1" x="7229"/>
        <item m="1" x="7502"/>
        <item m="1" x="5606"/>
        <item m="1" x="5906"/>
        <item m="1" x="6116"/>
        <item m="1" x="6276"/>
        <item m="1" x="6436"/>
        <item m="1" x="6596"/>
        <item m="1" x="6756"/>
        <item m="1" x="6956"/>
        <item m="1" x="7236"/>
        <item m="1" x="7505"/>
        <item m="1" x="5613"/>
        <item m="1" x="5913"/>
        <item m="1" x="6123"/>
        <item m="1" x="6283"/>
        <item m="1" x="6443"/>
        <item m="1" x="6603"/>
        <item m="1" x="6763"/>
        <item m="1" x="6963"/>
        <item m="1" x="7243"/>
        <item m="1" x="7508"/>
        <item m="1" x="5624"/>
        <item m="1" x="5922"/>
        <item m="1" x="6130"/>
        <item m="1" x="6290"/>
        <item m="1" x="6450"/>
        <item m="1" x="6610"/>
        <item m="1" x="6770"/>
        <item m="1" x="6972"/>
        <item m="1" x="7253"/>
        <item m="1" x="7514"/>
        <item m="1" x="5638"/>
        <item m="1" x="5932"/>
        <item m="1" x="6137"/>
        <item m="1" x="6297"/>
        <item m="1" x="6457"/>
        <item m="1" x="6617"/>
        <item m="1" x="6778"/>
        <item m="1" x="6984"/>
        <item m="1" x="7268"/>
        <item m="1" x="7525"/>
        <item m="1" x="7110"/>
        <item m="1" x="7398"/>
        <item m="1" x="7610"/>
        <item m="1" x="7768"/>
        <item m="1" x="7923"/>
        <item m="1" x="2353"/>
        <item m="1" x="2654"/>
        <item m="1" x="7126"/>
        <item m="1" x="7413"/>
        <item m="1" x="7620"/>
        <item m="1" x="7776"/>
        <item m="1" x="7931"/>
        <item m="1" x="2368"/>
        <item m="1" x="2667"/>
        <item m="1" x="7137"/>
        <item m="1" x="7424"/>
        <item m="1" x="7629"/>
        <item m="1" x="7784"/>
        <item m="1" x="7939"/>
        <item m="1" x="2381"/>
        <item m="1" x="2678"/>
        <item m="1" x="7144"/>
        <item m="1" x="7432"/>
        <item m="1" x="7637"/>
        <item m="1" x="7792"/>
        <item m="1" x="7947"/>
        <item m="1" x="2104"/>
        <item m="1" x="2389"/>
        <item m="1" x="2683"/>
        <item m="1" x="7151"/>
        <item m="1" x="7440"/>
        <item m="1" x="7645"/>
        <item m="1" x="7800"/>
        <item m="1" x="7955"/>
        <item m="1" x="2113"/>
        <item m="1" x="2397"/>
        <item m="1" x="2688"/>
        <item m="1" x="7158"/>
        <item m="1" x="7448"/>
        <item m="1" x="7653"/>
        <item m="1" x="7808"/>
        <item m="1" x="7963"/>
        <item m="1" x="2121"/>
        <item m="1" x="2405"/>
        <item m="1" x="2693"/>
        <item m="1" x="7165"/>
        <item m="1" x="7456"/>
        <item m="1" x="7661"/>
        <item m="1" x="7816"/>
        <item m="1" x="7971"/>
        <item m="1" x="2129"/>
        <item m="1" x="2413"/>
        <item m="1" x="2698"/>
        <item m="1" x="7172"/>
        <item m="1" x="7464"/>
        <item m="1" x="7669"/>
        <item m="1" x="7824"/>
        <item m="1" x="7979"/>
        <item m="1" x="2137"/>
        <item m="1" x="2421"/>
        <item m="1" x="2703"/>
        <item m="1" x="7183"/>
        <item m="1" x="7474"/>
        <item m="1" x="7677"/>
        <item m="1" x="7832"/>
        <item m="1" x="7987"/>
        <item m="1" x="2147"/>
        <item m="1" x="2431"/>
        <item m="1" x="2710"/>
        <item m="1" x="7197"/>
        <item m="1" x="7485"/>
        <item m="1" x="7685"/>
        <item m="1" x="7840"/>
        <item m="1" x="7995"/>
        <item m="1" x="2160"/>
        <item m="1" x="2446"/>
        <item m="1" x="2722"/>
        <item m="1" x="2283"/>
        <item m="1" x="2579"/>
        <item m="1" x="2819"/>
        <item m="1" x="2993"/>
        <item m="1" x="3153"/>
        <item m="1" x="3313"/>
        <item m="1" x="3473"/>
        <item m="1" x="3649"/>
        <item m="1" x="3909"/>
        <item m="1" x="4214"/>
        <item m="1" x="2297"/>
        <item m="1" x="2593"/>
        <item m="1" x="2829"/>
        <item m="1" x="3001"/>
        <item m="1" x="3161"/>
        <item m="1" x="3321"/>
        <item m="1" x="3481"/>
        <item m="1" x="3659"/>
        <item m="1" x="3924"/>
        <item m="1" x="4228"/>
        <item m="1" x="2309"/>
        <item m="1" x="2605"/>
        <item m="1" x="2839"/>
        <item m="1" x="3009"/>
        <item m="1" x="3169"/>
        <item m="1" x="3329"/>
        <item m="1" x="3489"/>
        <item m="1" x="3669"/>
        <item m="1" x="3938"/>
        <item m="1" x="4241"/>
        <item m="1" x="2316"/>
        <item m="1" x="2613"/>
        <item m="1" x="2847"/>
        <item m="1" x="3017"/>
        <item m="1" x="3177"/>
        <item m="1" x="3337"/>
        <item m="1" x="3497"/>
        <item m="1" x="3677"/>
        <item m="1" x="3947"/>
        <item m="1" x="4247"/>
        <item m="1" x="2323"/>
        <item m="1" x="2621"/>
        <item m="1" x="2855"/>
        <item m="1" x="3025"/>
        <item m="1" x="3185"/>
        <item m="1" x="3345"/>
        <item m="1" x="3505"/>
        <item m="1" x="3685"/>
        <item m="1" x="3955"/>
        <item m="1" x="4252"/>
        <item m="1" x="2330"/>
        <item m="1" x="2629"/>
        <item m="1" x="2863"/>
        <item m="1" x="3033"/>
        <item m="1" x="3193"/>
        <item m="1" x="3353"/>
        <item m="1" x="3513"/>
        <item m="1" x="3693"/>
        <item m="1" x="3963"/>
        <item m="1" x="4257"/>
        <item m="1" x="2337"/>
        <item m="1" x="2637"/>
        <item m="1" x="2871"/>
        <item m="1" x="3041"/>
        <item m="1" x="3201"/>
        <item m="1" x="3361"/>
        <item m="1" x="3521"/>
        <item m="1" x="3701"/>
        <item m="1" x="3971"/>
        <item m="1" x="4262"/>
        <item m="1" x="2344"/>
        <item m="1" x="2645"/>
        <item m="1" x="2879"/>
        <item m="1" x="3049"/>
        <item m="1" x="3209"/>
        <item m="1" x="3369"/>
        <item m="1" x="3529"/>
        <item m="1" x="3709"/>
        <item m="1" x="3979"/>
        <item m="1" x="4267"/>
        <item m="1" x="2354"/>
        <item m="1" x="2655"/>
        <item m="1" x="2887"/>
        <item m="1" x="3057"/>
        <item m="1" x="3217"/>
        <item m="1" x="3377"/>
        <item m="1" x="3537"/>
        <item m="1" x="3718"/>
        <item m="1" x="3988"/>
        <item m="1" x="4273"/>
        <item m="1" x="2369"/>
        <item m="1" x="2668"/>
        <item m="1" x="2896"/>
        <item m="1" x="3065"/>
        <item m="1" x="3225"/>
        <item m="1" x="3385"/>
        <item m="1" x="3545"/>
        <item m="1" x="3729"/>
        <item m="1" x="4002"/>
        <item m="1" x="4284"/>
        <item m="1" x="3837"/>
        <item m="1" x="4129"/>
        <item m="1" x="4368"/>
        <item m="1" x="4542"/>
        <item m="1" x="4702"/>
        <item m="1" x="4862"/>
        <item m="1" x="5022"/>
        <item m="1" x="5198"/>
        <item m="1" x="5458"/>
        <item m="1" x="5774"/>
        <item m="1" x="3851"/>
        <item m="1" x="4144"/>
        <item m="1" x="4378"/>
        <item m="1" x="4550"/>
        <item m="1" x="4710"/>
        <item m="1" x="4870"/>
        <item m="1" x="5030"/>
        <item m="1" x="5208"/>
        <item m="1" x="5473"/>
        <item m="1" x="5789"/>
        <item m="1" x="3864"/>
        <item m="1" x="4158"/>
        <item m="1" x="4389"/>
        <item m="1" x="4559"/>
        <item m="1" x="4719"/>
        <item m="1" x="4879"/>
        <item m="1" x="5039"/>
        <item m="1" x="5219"/>
        <item m="1" x="5488"/>
        <item m="1" x="5804"/>
        <item m="1" x="3872"/>
        <item m="1" x="4168"/>
        <item m="1" x="4398"/>
        <item m="1" x="4568"/>
        <item m="1" x="4728"/>
        <item m="1" x="4888"/>
        <item m="1" x="5048"/>
        <item m="1" x="5228"/>
        <item m="1" x="5498"/>
        <item m="1" x="5812"/>
        <item m="1" x="3879"/>
        <item m="1" x="4177"/>
        <item m="1" x="4407"/>
        <item m="1" x="4577"/>
        <item m="1" x="4737"/>
        <item m="1" x="4897"/>
        <item m="1" x="5057"/>
        <item m="1" x="5237"/>
        <item m="1" x="5507"/>
        <item m="1" x="5819"/>
        <item m="1" x="3886"/>
        <item m="1" x="4186"/>
        <item m="1" x="4416"/>
        <item m="1" x="4586"/>
        <item m="1" x="4746"/>
        <item m="1" x="4906"/>
        <item m="1" x="5066"/>
        <item m="1" x="5246"/>
        <item m="1" x="5516"/>
        <item m="1" x="5826"/>
        <item m="1" x="3893"/>
        <item m="1" x="4195"/>
        <item m="1" x="4425"/>
        <item m="1" x="4595"/>
        <item m="1" x="4755"/>
        <item m="1" x="4915"/>
        <item m="1" x="5075"/>
        <item m="1" x="5255"/>
        <item m="1" x="5525"/>
        <item m="1" x="5833"/>
        <item m="1" x="3900"/>
        <item m="1" x="4204"/>
        <item m="1" x="4434"/>
        <item m="1" x="4604"/>
        <item m="1" x="4764"/>
        <item m="1" x="4924"/>
        <item m="1" x="5084"/>
        <item m="1" x="5264"/>
        <item m="1" x="5534"/>
        <item m="1" x="5840"/>
        <item m="1" x="3910"/>
        <item m="1" x="4215"/>
        <item m="1" x="4443"/>
        <item m="1" x="4613"/>
        <item m="1" x="4773"/>
        <item m="1" x="4933"/>
        <item m="1" x="5093"/>
        <item m="1" x="5274"/>
        <item m="1" x="5544"/>
        <item m="1" x="5848"/>
        <item m="1" x="3925"/>
        <item m="1" x="4229"/>
        <item m="1" x="4453"/>
        <item m="1" x="4622"/>
        <item m="1" x="4782"/>
        <item m="1" x="4942"/>
        <item m="1" x="5102"/>
        <item m="1" x="5286"/>
        <item m="1" x="5559"/>
        <item m="1" x="5861"/>
        <item m="1" x="5388"/>
        <item m="1" x="5688"/>
        <item m="1" x="5956"/>
        <item m="1" x="6142"/>
        <item m="1" x="6302"/>
        <item m="1" x="6462"/>
        <item m="1" x="6622"/>
        <item m="1" x="6790"/>
        <item m="1" x="7021"/>
        <item m="1" x="7322"/>
        <item m="1" x="5401"/>
        <item m="1" x="5703"/>
        <item m="1" x="5967"/>
        <item m="1" x="6150"/>
        <item m="1" x="6310"/>
        <item m="1" x="6470"/>
        <item m="1" x="6630"/>
        <item m="1" x="6799"/>
        <item m="1" x="7034"/>
        <item m="1" x="7335"/>
        <item m="1" x="5414"/>
        <item m="1" x="5718"/>
        <item m="1" x="5979"/>
        <item m="1" x="6159"/>
        <item m="1" x="6319"/>
        <item m="1" x="6479"/>
        <item m="1" x="6639"/>
        <item m="1" x="6809"/>
        <item m="1" x="7048"/>
        <item m="1" x="7349"/>
        <item m="1" x="5422"/>
        <item m="1" x="5728"/>
        <item m="1" x="5988"/>
        <item m="1" x="6168"/>
        <item m="1" x="6328"/>
        <item m="1" x="6488"/>
        <item m="1" x="6648"/>
        <item m="1" x="6818"/>
        <item m="1" x="7058"/>
        <item m="1" x="7357"/>
        <item m="1" x="5429"/>
        <item m="1" x="5737"/>
        <item m="1" x="5997"/>
        <item m="1" x="6177"/>
        <item m="1" x="6337"/>
        <item m="1" x="6497"/>
        <item m="1" x="6657"/>
        <item m="1" x="6827"/>
        <item m="1" x="7067"/>
        <item m="1" x="7364"/>
        <item m="1" x="5436"/>
        <item m="1" x="5746"/>
        <item m="1" x="6006"/>
        <item m="1" x="6186"/>
        <item m="1" x="6346"/>
        <item m="1" x="6506"/>
        <item m="1" x="6666"/>
        <item m="1" x="6836"/>
        <item m="1" x="7076"/>
        <item m="1" x="7371"/>
        <item m="1" x="5443"/>
        <item m="1" x="5755"/>
        <item m="1" x="6015"/>
        <item m="1" x="6195"/>
        <item m="1" x="6355"/>
        <item m="1" x="6515"/>
        <item m="1" x="6675"/>
        <item m="1" x="6845"/>
        <item m="1" x="7085"/>
        <item m="1" x="7378"/>
        <item m="1" x="5450"/>
        <item m="1" x="5764"/>
        <item m="1" x="6024"/>
        <item m="1" x="6204"/>
        <item m="1" x="6364"/>
        <item m="1" x="6524"/>
        <item m="1" x="6684"/>
        <item m="1" x="6854"/>
        <item m="1" x="7094"/>
        <item m="1" x="7385"/>
        <item m="1" x="5459"/>
        <item m="1" x="5775"/>
        <item m="1" x="6033"/>
        <item m="1" x="6213"/>
        <item m="1" x="6373"/>
        <item m="1" x="6533"/>
        <item m="1" x="6693"/>
        <item m="1" x="6863"/>
        <item m="1" x="7103"/>
        <item m="1" x="7392"/>
        <item m="1" x="5474"/>
        <item m="1" x="5790"/>
        <item m="1" x="6044"/>
        <item m="1" x="6222"/>
        <item m="1" x="6382"/>
        <item m="1" x="6542"/>
        <item m="1" x="6702"/>
        <item m="1" x="6874"/>
        <item m="1" x="7117"/>
        <item m="1" x="7405"/>
        <item m="1" x="6967"/>
        <item m="1" x="7247"/>
        <item m="1" x="7510"/>
        <item m="1" x="7691"/>
        <item m="1" x="7846"/>
        <item m="1" x="2204"/>
        <item m="1" x="2504"/>
        <item m="1" x="6978"/>
        <item m="1" x="7261"/>
        <item m="1" x="7520"/>
        <item m="1" x="7698"/>
        <item m="1" x="7853"/>
        <item m="1" x="2217"/>
        <item m="1" x="2518"/>
        <item m="1" x="6989"/>
        <item m="1" x="7275"/>
        <item m="1" x="7531"/>
        <item m="1" x="7706"/>
        <item m="1" x="7861"/>
        <item m="1" x="2231"/>
        <item m="1" x="2533"/>
        <item m="1" x="6995"/>
        <item m="1" x="7284"/>
        <item m="1" x="7539"/>
        <item m="1" x="7714"/>
        <item m="1" x="7869"/>
        <item m="1" x="2241"/>
        <item m="1" x="2542"/>
        <item m="1" x="7000"/>
        <item m="1" x="7292"/>
        <item m="1" x="7547"/>
        <item m="1" x="7722"/>
        <item m="1" x="7877"/>
        <item m="1" x="2249"/>
        <item m="1" x="2549"/>
        <item m="1" x="7005"/>
        <item m="1" x="7300"/>
        <item m="1" x="7555"/>
        <item m="1" x="7730"/>
        <item m="1" x="7885"/>
        <item m="1" x="2257"/>
        <item m="1" x="2556"/>
        <item m="1" x="7010"/>
        <item m="1" x="7307"/>
        <item m="1" x="7562"/>
        <item m="1" x="7737"/>
        <item m="1" x="7892"/>
        <item m="1" x="2264"/>
        <item m="1" x="2562"/>
        <item m="1" x="7015"/>
        <item m="1" x="7314"/>
        <item m="1" x="7569"/>
        <item m="1" x="7744"/>
        <item m="1" x="7899"/>
        <item m="1" x="2271"/>
        <item m="1" x="2568"/>
        <item m="1" x="7022"/>
        <item m="1" x="7323"/>
        <item m="1" x="7576"/>
        <item m="1" x="7751"/>
        <item m="1" x="7906"/>
        <item m="1" x="2278"/>
        <item m="1" x="2574"/>
        <item m="1" x="7035"/>
        <item m="1" x="7336"/>
        <item m="1" x="7585"/>
        <item m="1" x="7758"/>
        <item m="1" x="7913"/>
        <item m="1" x="2290"/>
        <item m="1" x="2586"/>
        <item m="1" x="2141"/>
        <item m="1" x="2425"/>
        <item m="1" x="2706"/>
        <item m="1" x="2909"/>
        <item m="1" x="3071"/>
        <item m="1" x="3231"/>
        <item m="1" x="3391"/>
        <item m="1" x="3551"/>
        <item m="1" x="3761"/>
        <item m="1" x="4054"/>
        <item m="1" x="2153"/>
        <item m="1" x="2439"/>
        <item m="1" x="2717"/>
        <item m="1" x="2916"/>
        <item m="1" x="3077"/>
        <item m="1" x="3237"/>
        <item m="1" x="3397"/>
        <item m="1" x="3557"/>
        <item m="1" x="3771"/>
        <item m="1" x="4066"/>
        <item m="1" x="2166"/>
        <item m="1" x="2454"/>
        <item m="1" x="2730"/>
        <item m="1" x="2925"/>
        <item m="1" x="3085"/>
        <item m="1" x="3245"/>
        <item m="1" x="3405"/>
        <item m="1" x="3565"/>
        <item m="1" x="3783"/>
        <item m="1" x="4080"/>
        <item m="1" x="2174"/>
        <item m="1" x="2464"/>
        <item m="1" x="2739"/>
        <item m="1" x="2933"/>
        <item m="1" x="3093"/>
        <item m="1" x="3253"/>
        <item m="1" x="3413"/>
        <item m="1" x="3573"/>
        <item m="1" x="3793"/>
        <item m="1" x="4090"/>
        <item m="1" x="2180"/>
        <item m="1" x="2472"/>
        <item m="1" x="2747"/>
        <item m="1" x="2941"/>
        <item m="1" x="3101"/>
        <item m="1" x="3261"/>
        <item m="1" x="3421"/>
        <item m="1" x="3581"/>
        <item m="1" x="3801"/>
        <item m="1" x="4097"/>
        <item m="1" x="2186"/>
        <item m="1" x="2480"/>
        <item m="1" x="2755"/>
        <item m="1" x="2949"/>
        <item m="1" x="3109"/>
        <item m="1" x="3269"/>
        <item m="1" x="3429"/>
        <item m="1" x="3589"/>
        <item m="1" x="3809"/>
        <item m="1" x="4104"/>
        <item m="1" x="2192"/>
        <item m="1" x="2488"/>
        <item m="1" x="2763"/>
        <item m="1" x="2957"/>
        <item m="1" x="3117"/>
        <item m="1" x="3277"/>
        <item m="1" x="3437"/>
        <item m="1" x="3597"/>
        <item m="1" x="3817"/>
        <item m="1" x="4111"/>
        <item m="1" x="2198"/>
        <item m="1" x="2496"/>
        <item m="1" x="2771"/>
        <item m="1" x="2965"/>
        <item m="1" x="3125"/>
        <item m="1" x="3285"/>
        <item m="1" x="3445"/>
        <item m="1" x="3605"/>
        <item m="1" x="3825"/>
        <item m="1" x="4118"/>
        <item m="1" x="2205"/>
        <item m="1" x="2505"/>
        <item m="1" x="2779"/>
        <item m="1" x="2973"/>
        <item m="1" x="3133"/>
        <item m="1" x="3293"/>
        <item m="1" x="3453"/>
        <item m="1" x="3613"/>
        <item m="1" x="3833"/>
        <item m="1" x="4125"/>
        <item m="1" x="2218"/>
        <item m="1" x="2519"/>
        <item m="1" x="2790"/>
        <item m="1" x="2981"/>
        <item m="1" x="3141"/>
        <item m="1" x="3301"/>
        <item m="1" x="3461"/>
        <item m="1" x="3622"/>
        <item m="1" x="3845"/>
        <item m="1" x="4137"/>
        <item m="1" x="4138"/>
        <item m="1" x="4374"/>
        <item m="1" x="4546"/>
        <item m="1" x="4706"/>
        <item m="1" x="4866"/>
        <item m="1" x="5026"/>
        <item m="1" x="5203"/>
        <item m="1" x="5466"/>
        <item m="1" x="5782"/>
        <item m="1" x="6039"/>
        <item m="1" x="4153"/>
        <item m="1" x="4385"/>
        <item m="1" x="4555"/>
        <item m="1" x="4715"/>
        <item m="1" x="4875"/>
        <item m="1" x="5035"/>
        <item m="1" x="5214"/>
        <item m="1" x="5482"/>
        <item m="1" x="5798"/>
        <item m="1" x="6050"/>
        <item m="1" x="4164"/>
        <item m="1" x="4394"/>
        <item m="1" x="4564"/>
        <item m="1" x="4724"/>
        <item m="1" x="4884"/>
        <item m="1" x="5044"/>
        <item m="1" x="5224"/>
        <item m="1" x="5494"/>
        <item m="1" x="5809"/>
        <item m="1" x="6056"/>
        <item m="1" x="4173"/>
        <item m="1" x="4403"/>
        <item m="1" x="4573"/>
        <item m="1" x="4733"/>
        <item m="1" x="4893"/>
        <item m="1" x="5053"/>
        <item m="1" x="5233"/>
        <item m="1" x="5503"/>
        <item m="1" x="5816"/>
        <item m="1" x="6058"/>
        <item m="1" x="4182"/>
        <item m="1" x="4412"/>
        <item m="1" x="4582"/>
        <item m="1" x="4742"/>
        <item m="1" x="4902"/>
        <item m="1" x="5062"/>
        <item m="1" x="5242"/>
        <item m="1" x="5512"/>
        <item m="1" x="5823"/>
        <item m="1" x="6060"/>
        <item m="1" x="4191"/>
        <item m="1" x="4421"/>
        <item m="1" x="4591"/>
        <item m="1" x="4751"/>
        <item m="1" x="4911"/>
        <item m="1" x="5071"/>
        <item m="1" x="5251"/>
        <item m="1" x="5521"/>
        <item m="1" x="5830"/>
        <item m="1" x="6062"/>
        <item m="1" x="4200"/>
        <item m="1" x="4430"/>
        <item m="1" x="4600"/>
        <item m="1" x="4760"/>
        <item m="1" x="4920"/>
        <item m="1" x="5080"/>
        <item m="1" x="5260"/>
        <item m="1" x="5530"/>
        <item m="1" x="5837"/>
        <item m="1" x="6064"/>
        <item m="1" x="4209"/>
        <item m="1" x="4439"/>
        <item m="1" x="4609"/>
        <item m="1" x="4769"/>
        <item m="1" x="4929"/>
        <item m="1" x="5089"/>
        <item m="1" x="5269"/>
        <item m="1" x="5539"/>
        <item m="1" x="5844"/>
        <item m="1" x="6066"/>
        <item m="1" x="4222"/>
        <item m="1" x="4449"/>
        <item m="1" x="4618"/>
        <item m="1" x="4778"/>
        <item m="1" x="4938"/>
        <item m="1" x="5098"/>
        <item m="1" x="5280"/>
        <item m="1" x="5552"/>
        <item m="1" x="5855"/>
        <item m="1" x="6072"/>
        <item m="1" x="4236"/>
        <item m="1" x="4459"/>
        <item m="1" x="4627"/>
        <item m="1" x="4787"/>
        <item m="1" x="4947"/>
        <item m="1" x="5107"/>
        <item m="1" x="5293"/>
        <item m="1" x="5568"/>
        <item m="1" x="5869"/>
        <item m="1" x="6081"/>
        <item m="1" x="5696"/>
        <item m="1" x="5962"/>
        <item m="1" x="6146"/>
        <item m="1" x="6306"/>
        <item m="1" x="6466"/>
        <item m="1" x="6626"/>
        <item m="1" x="6794"/>
        <item m="1" x="7028"/>
        <item m="1" x="7328"/>
        <item m="1" x="7580"/>
        <item m="1" x="5712"/>
        <item m="1" x="5974"/>
        <item m="1" x="6155"/>
        <item m="1" x="6315"/>
        <item m="1" x="6475"/>
        <item m="1" x="6635"/>
        <item m="1" x="6804"/>
        <item m="1" x="7042"/>
        <item m="1" x="7342"/>
        <item m="1" x="7589"/>
        <item m="1" x="5724"/>
        <item m="1" x="5984"/>
        <item m="1" x="6164"/>
        <item m="1" x="6324"/>
        <item m="1" x="6484"/>
        <item m="1" x="6644"/>
        <item m="1" x="6814"/>
        <item m="1" x="7054"/>
        <item m="1" x="7354"/>
        <item m="1" x="7596"/>
        <item m="1" x="5733"/>
        <item m="1" x="5993"/>
        <item m="1" x="6173"/>
        <item m="1" x="6333"/>
        <item m="1" x="6493"/>
        <item m="1" x="6653"/>
        <item m="1" x="6823"/>
        <item m="1" x="7063"/>
        <item m="1" x="7361"/>
        <item m="1" x="7598"/>
        <item m="1" x="5742"/>
        <item m="1" x="6002"/>
        <item m="1" x="6182"/>
        <item m="1" x="6342"/>
        <item m="1" x="6502"/>
        <item m="1" x="6662"/>
        <item m="1" x="6832"/>
        <item m="1" x="7072"/>
        <item m="1" x="7368"/>
        <item m="1" x="7600"/>
        <item m="1" x="5751"/>
        <item m="1" x="6011"/>
        <item m="1" x="6191"/>
        <item m="1" x="6351"/>
        <item m="1" x="6511"/>
        <item m="1" x="6671"/>
        <item m="1" x="6841"/>
        <item m="1" x="7081"/>
        <item m="1" x="7375"/>
        <item m="1" x="7602"/>
        <item m="1" x="5760"/>
        <item m="1" x="6020"/>
        <item m="1" x="6200"/>
        <item m="1" x="6360"/>
        <item m="1" x="6520"/>
        <item m="1" x="6680"/>
        <item m="1" x="6850"/>
        <item m="1" x="7090"/>
        <item m="1" x="7382"/>
        <item m="1" x="7604"/>
        <item m="1" x="5769"/>
        <item m="1" x="6029"/>
        <item m="1" x="6209"/>
        <item m="1" x="6369"/>
        <item m="1" x="6529"/>
        <item m="1" x="6689"/>
        <item m="1" x="6859"/>
        <item m="1" x="7099"/>
        <item m="1" x="7389"/>
        <item m="1" x="7606"/>
        <item m="1" x="5783"/>
        <item m="1" x="6040"/>
        <item m="1" x="6218"/>
        <item m="1" x="6378"/>
        <item m="1" x="6538"/>
        <item m="1" x="6698"/>
        <item m="1" x="6869"/>
        <item m="1" x="7111"/>
        <item m="1" x="7399"/>
        <item m="1" x="7611"/>
        <item m="1" x="5799"/>
        <item m="1" x="6051"/>
        <item m="1" x="6227"/>
        <item m="1" x="6387"/>
        <item m="1" x="6547"/>
        <item m="1" x="6707"/>
        <item m="1" x="6881"/>
        <item m="1" x="7127"/>
        <item m="1" x="7414"/>
        <item m="1" x="7621"/>
        <item m="1" x="7254"/>
        <item m="1" x="7515"/>
        <item m="1" x="7694"/>
        <item m="1" x="7849"/>
        <item m="1" x="2210"/>
        <item m="1" x="2510"/>
        <item m="1" x="2783"/>
        <item m="1" x="7269"/>
        <item m="1" x="7526"/>
        <item m="1" x="7702"/>
        <item m="1" x="7857"/>
        <item m="1" x="2224"/>
        <item m="1" x="2525"/>
        <item m="1" x="2794"/>
        <item m="1" x="7280"/>
        <item m="1" x="7535"/>
        <item m="1" x="7710"/>
        <item m="1" x="7865"/>
        <item m="1" x="2236"/>
        <item m="1" x="2538"/>
        <item m="1" x="2803"/>
        <item m="1" x="7288"/>
        <item m="1" x="7543"/>
        <item m="1" x="7718"/>
        <item m="1" x="7873"/>
        <item m="1" x="2245"/>
        <item m="1" x="2546"/>
        <item m="1" x="2807"/>
        <item m="1" x="7296"/>
        <item m="1" x="7551"/>
        <item m="1" x="7726"/>
        <item m="1" x="7881"/>
        <item m="1" x="2253"/>
        <item m="1" x="2553"/>
        <item m="1" x="2809"/>
        <item m="1" x="7303"/>
        <item m="1" x="7558"/>
        <item m="1" x="7733"/>
        <item m="1" x="7888"/>
        <item m="1" x="2260"/>
        <item m="1" x="2559"/>
        <item m="1" x="2811"/>
        <item m="1" x="7310"/>
        <item m="1" x="7565"/>
        <item m="1" x="7740"/>
        <item m="1" x="7895"/>
        <item m="1" x="2267"/>
        <item m="1" x="2565"/>
        <item m="1" x="2813"/>
        <item m="1" x="7317"/>
        <item m="1" x="7572"/>
        <item m="1" x="7747"/>
        <item m="1" x="7902"/>
        <item m="1" x="2274"/>
        <item m="1" x="2571"/>
        <item m="1" x="2815"/>
        <item m="1" x="7329"/>
        <item m="1" x="7581"/>
        <item m="1" x="7754"/>
        <item m="1" x="7909"/>
        <item m="1" x="2284"/>
        <item m="1" x="2580"/>
        <item m="1" x="2820"/>
        <item m="1" x="7343"/>
        <item m="1" x="7590"/>
        <item m="1" x="7761"/>
        <item m="1" x="7916"/>
        <item m="1" x="2298"/>
        <item m="1" x="2594"/>
        <item m="1" x="2830"/>
        <item m="1" x="2432"/>
        <item m="1" x="2711"/>
        <item m="1" x="2911"/>
        <item m="1" x="3073"/>
        <item m="1" x="3233"/>
        <item m="1" x="3393"/>
        <item m="1" x="3553"/>
        <item m="1" x="3765"/>
        <item m="1" x="4059"/>
        <item m="1" x="4337"/>
        <item m="1" x="2447"/>
        <item m="1" x="2723"/>
        <item m="1" x="2919"/>
        <item m="1" x="3080"/>
        <item m="1" x="3240"/>
        <item m="1" x="3400"/>
        <item m="1" x="3560"/>
        <item m="1" x="3776"/>
        <item m="1" x="4072"/>
        <item m="1" x="4346"/>
        <item m="1" x="2459"/>
        <item m="1" x="2734"/>
        <item m="1" x="2928"/>
        <item m="1" x="3088"/>
        <item m="1" x="3248"/>
        <item m="1" x="3408"/>
        <item m="1" x="3568"/>
        <item m="1" x="3787"/>
        <item m="1" x="4085"/>
        <item m="1" x="4354"/>
        <item m="1" x="2467"/>
        <item m="1" x="2742"/>
        <item m="1" x="2936"/>
        <item m="1" x="3096"/>
        <item m="1" x="3256"/>
        <item m="1" x="3416"/>
        <item m="1" x="3576"/>
        <item m="1" x="3796"/>
        <item m="1" x="4093"/>
        <item m="1" x="4357"/>
        <item m="1" x="2475"/>
        <item m="1" x="2750"/>
        <item m="1" x="2944"/>
        <item m="1" x="3104"/>
        <item m="1" x="3264"/>
        <item m="1" x="3424"/>
        <item m="1" x="3584"/>
        <item m="1" x="3804"/>
        <item m="1" x="4100"/>
        <item m="1" x="4359"/>
        <item m="1" x="2483"/>
        <item m="1" x="2758"/>
        <item m="1" x="2952"/>
        <item m="1" x="3112"/>
        <item m="1" x="3272"/>
        <item m="1" x="3432"/>
        <item m="1" x="3592"/>
        <item m="1" x="3812"/>
        <item m="1" x="4107"/>
        <item m="1" x="4361"/>
        <item m="1" x="2491"/>
        <item m="1" x="2766"/>
        <item m="1" x="2960"/>
        <item m="1" x="3120"/>
        <item m="1" x="3280"/>
        <item m="1" x="3440"/>
        <item m="1" x="3600"/>
        <item m="1" x="3820"/>
        <item m="1" x="4114"/>
        <item m="1" x="4363"/>
        <item m="1" x="2499"/>
        <item m="1" x="2774"/>
        <item m="1" x="2968"/>
        <item m="1" x="3128"/>
        <item m="1" x="3288"/>
        <item m="1" x="3448"/>
        <item m="1" x="3608"/>
        <item m="1" x="3828"/>
        <item m="1" x="4121"/>
        <item m="1" x="4365"/>
        <item m="1" x="2511"/>
        <item m="1" x="2784"/>
        <item m="1" x="2976"/>
        <item m="1" x="3136"/>
        <item m="1" x="3296"/>
        <item m="1" x="3456"/>
        <item m="1" x="3616"/>
        <item m="1" x="3838"/>
        <item m="1" x="4130"/>
        <item m="1" x="4369"/>
        <item m="1" x="2526"/>
        <item m="1" x="2795"/>
        <item m="1" x="2984"/>
        <item m="1" x="3144"/>
        <item m="1" x="3304"/>
        <item m="1" x="3464"/>
        <item m="1" x="3626"/>
        <item m="1" x="3852"/>
        <item m="1" x="4145"/>
        <item m="1" x="4379"/>
        <item m="1" x="3989"/>
        <item m="1" x="4274"/>
        <item m="1" x="4470"/>
        <item m="1" x="4632"/>
        <item m="1" x="4792"/>
        <item m="1" x="4952"/>
        <item m="1" x="5112"/>
        <item m="1" x="5324"/>
        <item m="1" x="5618"/>
        <item m="1" x="5917"/>
        <item m="1" x="4003"/>
        <item m="1" x="4285"/>
        <item m="1" x="4477"/>
        <item m="1" x="4638"/>
        <item m="1" x="4798"/>
        <item m="1" x="4958"/>
        <item m="1" x="5118"/>
        <item m="1" x="5334"/>
        <item m="1" x="5631"/>
        <item m="1" x="5927"/>
        <item m="1" x="4015"/>
        <item m="1" x="4295"/>
        <item m="1" x="4485"/>
        <item m="1" x="4645"/>
        <item m="1" x="4805"/>
        <item m="1" x="4965"/>
        <item m="1" x="5125"/>
        <item m="1" x="5344"/>
        <item m="1" x="5644"/>
        <item m="1" x="5936"/>
        <item m="1" x="4022"/>
        <item m="1" x="4302"/>
        <item m="1" x="4492"/>
        <item m="1" x="4652"/>
        <item m="1" x="4812"/>
        <item m="1" x="4972"/>
        <item m="1" x="5132"/>
        <item m="1" x="5352"/>
        <item m="1" x="5652"/>
        <item m="1" x="5940"/>
        <item m="1" x="4029"/>
        <item m="1" x="4309"/>
        <item m="1" x="4499"/>
        <item m="1" x="4659"/>
        <item m="1" x="4819"/>
        <item m="1" x="4979"/>
        <item m="1" x="5139"/>
        <item m="1" x="5359"/>
        <item m="1" x="5659"/>
        <item m="1" x="5943"/>
        <item m="1" x="4036"/>
        <item m="1" x="4316"/>
        <item m="1" x="4506"/>
        <item m="1" x="4666"/>
        <item m="1" x="4826"/>
        <item m="1" x="4986"/>
        <item m="1" x="5146"/>
        <item m="1" x="5366"/>
        <item m="1" x="5666"/>
        <item m="1" x="5946"/>
        <item m="1" x="4043"/>
        <item m="1" x="4323"/>
        <item m="1" x="4513"/>
        <item m="1" x="4673"/>
        <item m="1" x="4833"/>
        <item m="1" x="4993"/>
        <item m="1" x="5153"/>
        <item m="1" x="5373"/>
        <item m="1" x="5673"/>
        <item m="1" x="5949"/>
        <item m="1" x="4050"/>
        <item m="1" x="4330"/>
        <item m="1" x="4520"/>
        <item m="1" x="4680"/>
        <item m="1" x="4840"/>
        <item m="1" x="5000"/>
        <item m="1" x="5160"/>
        <item m="1" x="5380"/>
        <item m="1" x="5680"/>
        <item m="1" x="5952"/>
        <item m="1" x="4060"/>
        <item m="1" x="4338"/>
        <item m="1" x="4527"/>
        <item m="1" x="4687"/>
        <item m="1" x="4847"/>
        <item m="1" x="5007"/>
        <item m="1" x="5167"/>
        <item m="1" x="5389"/>
        <item m="1" x="5689"/>
        <item m="1" x="5957"/>
        <item m="1" x="4073"/>
        <item m="1" x="4347"/>
        <item m="1" x="4534"/>
        <item m="1" x="4694"/>
        <item m="1" x="4854"/>
        <item m="1" x="5014"/>
        <item m="1" x="5176"/>
        <item m="1" x="5402"/>
        <item m="1" x="5704"/>
        <item m="1" x="5968"/>
        <item m="1" x="5545"/>
        <item m="1" x="5849"/>
        <item m="1" x="6068"/>
        <item m="1" x="6232"/>
        <item m="1" x="6392"/>
        <item m="1" x="6552"/>
        <item m="1" x="6712"/>
        <item m="1" x="6905"/>
        <item m="1" x="7176"/>
        <item m="1" x="7468"/>
        <item m="1" x="5560"/>
        <item m="1" x="5862"/>
        <item m="1" x="6076"/>
        <item m="1" x="6238"/>
        <item m="1" x="6398"/>
        <item m="1" x="6558"/>
        <item m="1" x="6718"/>
        <item m="1" x="6914"/>
        <item m="1" x="7189"/>
        <item m="1" x="7479"/>
        <item m="1" x="5574"/>
        <item m="1" x="5874"/>
        <item m="1" x="6085"/>
        <item m="1" x="6245"/>
        <item m="1" x="6405"/>
        <item m="1" x="6565"/>
        <item m="1" x="6725"/>
        <item m="1" x="6924"/>
        <item m="1" x="7203"/>
        <item m="1" x="7490"/>
        <item m="1" x="5582"/>
        <item m="1" x="5882"/>
        <item m="1" x="6092"/>
        <item m="1" x="6252"/>
        <item m="1" x="6412"/>
        <item m="1" x="6572"/>
        <item m="1" x="6732"/>
        <item m="1" x="6932"/>
        <item m="1" x="7212"/>
        <item m="1" x="7495"/>
        <item m="1" x="5589"/>
        <item m="1" x="5889"/>
        <item m="1" x="6099"/>
        <item m="1" x="6259"/>
        <item m="1" x="6419"/>
        <item m="1" x="6579"/>
        <item m="1" x="6739"/>
        <item m="1" x="6939"/>
        <item m="1" x="7219"/>
        <item m="1" x="7498"/>
        <item m="1" x="5596"/>
        <item m="1" x="5896"/>
        <item m="1" x="6106"/>
        <item m="1" x="6266"/>
        <item m="1" x="6426"/>
        <item m="1" x="6586"/>
        <item m="1" x="6746"/>
        <item m="1" x="6946"/>
        <item m="1" x="7226"/>
        <item m="1" x="7501"/>
        <item m="1" x="5603"/>
        <item m="1" x="5903"/>
        <item m="1" x="6113"/>
        <item m="1" x="6273"/>
        <item m="1" x="6433"/>
        <item m="1" x="6593"/>
        <item m="1" x="6753"/>
        <item m="1" x="6953"/>
        <item m="1" x="7233"/>
        <item m="1" x="7504"/>
        <item m="1" x="5610"/>
        <item m="1" x="5910"/>
        <item m="1" x="6120"/>
        <item m="1" x="6280"/>
        <item m="1" x="6440"/>
        <item m="1" x="6600"/>
        <item m="1" x="6760"/>
        <item m="1" x="6960"/>
        <item m="1" x="7240"/>
        <item m="1" x="7507"/>
        <item m="1" x="5619"/>
        <item m="1" x="5918"/>
        <item m="1" x="6127"/>
        <item m="1" x="6287"/>
        <item m="1" x="6447"/>
        <item m="1" x="6607"/>
        <item m="1" x="6767"/>
        <item m="1" x="6968"/>
        <item m="1" x="7248"/>
        <item m="1" x="7511"/>
        <item m="1" x="5632"/>
        <item m="1" x="5928"/>
        <item m="1" x="6134"/>
        <item m="1" x="6294"/>
        <item m="1" x="6454"/>
        <item m="1" x="6614"/>
        <item m="1" x="6775"/>
        <item m="1" x="6979"/>
        <item m="1" x="7262"/>
        <item m="1" x="7521"/>
        <item m="1" x="7104"/>
        <item m="1" x="7393"/>
        <item m="1" x="7607"/>
        <item m="1" x="7766"/>
        <item m="1" x="7921"/>
        <item m="1" x="2347"/>
        <item m="1" x="2649"/>
        <item m="1" x="7118"/>
        <item m="1" x="7406"/>
        <item m="1" x="7615"/>
        <item m="1" x="7772"/>
        <item m="1" x="7927"/>
        <item m="1" x="2360"/>
        <item m="1" x="2661"/>
        <item m="1" x="7132"/>
        <item m="1" x="7419"/>
        <item m="1" x="7625"/>
        <item m="1" x="7780"/>
        <item m="1" x="7935"/>
        <item m="1" x="2375"/>
        <item m="1" x="2674"/>
        <item m="1" x="7140"/>
        <item m="1" x="7428"/>
        <item m="1" x="7633"/>
        <item m="1" x="7788"/>
        <item m="1" x="7943"/>
        <item m="1" x="2385"/>
        <item m="1" x="2681"/>
        <item m="1" x="7147"/>
        <item m="1" x="7436"/>
        <item m="1" x="7641"/>
        <item m="1" x="7796"/>
        <item m="1" x="7951"/>
        <item m="1" x="2109"/>
        <item m="1" x="2393"/>
        <item m="1" x="2686"/>
        <item m="1" x="7154"/>
        <item m="1" x="7444"/>
        <item m="1" x="7649"/>
        <item m="1" x="7804"/>
        <item m="1" x="7959"/>
        <item m="1" x="2117"/>
        <item m="1" x="2401"/>
        <item m="1" x="2691"/>
        <item m="1" x="7161"/>
        <item m="1" x="7452"/>
        <item m="1" x="7657"/>
        <item m="1" x="7812"/>
        <item m="1" x="7967"/>
        <item m="1" x="2125"/>
        <item m="1" x="2409"/>
        <item m="1" x="2696"/>
        <item m="1" x="7168"/>
        <item m="1" x="7460"/>
        <item m="1" x="7665"/>
        <item m="1" x="7820"/>
        <item m="1" x="7975"/>
        <item m="1" x="2133"/>
        <item m="1" x="2417"/>
        <item m="1" x="2701"/>
        <item m="1" x="7177"/>
        <item m="1" x="7469"/>
        <item m="1" x="7673"/>
        <item m="1" x="7828"/>
        <item m="1" x="7983"/>
        <item m="1" x="2142"/>
        <item m="1" x="2426"/>
        <item m="1" x="2707"/>
        <item m="1" x="7190"/>
        <item m="1" x="7480"/>
        <item m="1" x="7681"/>
        <item m="1" x="7836"/>
        <item m="1" x="7991"/>
        <item m="1" x="2154"/>
        <item m="1" x="2440"/>
        <item m="1" x="2718"/>
        <item m="1" x="2279"/>
        <item m="1" x="2575"/>
        <item m="1" x="2817"/>
        <item m="1" x="2991"/>
        <item m="1" x="3151"/>
        <item m="1" x="3311"/>
        <item m="1" x="3471"/>
        <item m="1" x="3646"/>
        <item m="1" x="3904"/>
        <item m="1" x="4210"/>
        <item m="1" x="2291"/>
        <item m="1" x="2587"/>
        <item m="1" x="2825"/>
        <item m="1" x="2997"/>
        <item m="1" x="3157"/>
        <item m="1" x="3317"/>
        <item m="1" x="3477"/>
        <item m="1" x="3654"/>
        <item m="1" x="3917"/>
        <item m="1" x="4223"/>
        <item m="1" x="2304"/>
        <item m="1" x="2600"/>
        <item m="1" x="2835"/>
        <item m="1" x="3005"/>
        <item m="1" x="3165"/>
        <item m="1" x="3325"/>
        <item m="1" x="3485"/>
        <item m="1" x="3664"/>
        <item m="1" x="3932"/>
        <item m="1" x="4237"/>
        <item m="1" x="2312"/>
        <item m="1" x="2609"/>
        <item m="1" x="2843"/>
        <item m="1" x="3013"/>
        <item m="1" x="3173"/>
        <item m="1" x="3333"/>
        <item m="1" x="3493"/>
        <item m="1" x="3673"/>
        <item m="1" x="3943"/>
        <item m="1" x="4245"/>
        <item m="1" x="2319"/>
        <item m="1" x="2617"/>
        <item m="1" x="2851"/>
        <item m="1" x="3021"/>
        <item m="1" x="3181"/>
        <item m="1" x="3341"/>
        <item m="1" x="3501"/>
        <item m="1" x="3681"/>
        <item m="1" x="3951"/>
        <item m="1" x="4250"/>
        <item m="1" x="2326"/>
        <item m="1" x="2625"/>
        <item m="1" x="2859"/>
        <item m="1" x="3029"/>
        <item m="1" x="3189"/>
        <item m="1" x="3349"/>
        <item m="1" x="3509"/>
        <item m="1" x="3689"/>
        <item m="1" x="3959"/>
        <item m="1" x="4255"/>
        <item m="1" x="2333"/>
        <item m="1" x="2633"/>
        <item m="1" x="2867"/>
        <item m="1" x="3037"/>
        <item m="1" x="3197"/>
        <item m="1" x="3357"/>
        <item m="1" x="3517"/>
        <item m="1" x="3697"/>
        <item m="1" x="3967"/>
        <item m="1" x="4260"/>
        <item m="1" x="2340"/>
        <item m="1" x="2641"/>
        <item m="1" x="2875"/>
        <item m="1" x="3045"/>
        <item m="1" x="3205"/>
        <item m="1" x="3365"/>
        <item m="1" x="3525"/>
        <item m="1" x="3705"/>
        <item m="1" x="3975"/>
        <item m="1" x="4265"/>
        <item m="1" x="2348"/>
        <item m="1" x="2650"/>
        <item m="1" x="2883"/>
        <item m="1" x="3053"/>
        <item m="1" x="3213"/>
        <item m="1" x="3373"/>
        <item m="1" x="3533"/>
        <item m="1" x="3713"/>
        <item m="1" x="3983"/>
        <item m="1" x="4270"/>
        <item m="1" x="2361"/>
        <item m="1" x="2662"/>
        <item m="1" x="2892"/>
        <item m="1" x="3061"/>
        <item m="1" x="3221"/>
        <item m="1" x="3381"/>
        <item m="1" x="3541"/>
        <item m="1" x="3723"/>
        <item m="1" x="3995"/>
        <item m="1" x="4279"/>
        <item m="1" x="3834"/>
        <item m="1" x="4126"/>
        <item m="1" x="4367"/>
        <item m="1" x="4541"/>
        <item m="1" x="4701"/>
        <item m="1" x="4861"/>
        <item m="1" x="5021"/>
        <item m="1" x="5196"/>
        <item m="1" x="5454"/>
        <item m="1" x="5770"/>
        <item m="1" x="3846"/>
        <item m="1" x="4139"/>
        <item m="1" x="4375"/>
        <item m="1" x="4547"/>
        <item m="1" x="4707"/>
        <item m="1" x="4867"/>
        <item m="1" x="5027"/>
        <item m="1" x="5204"/>
        <item m="1" x="5467"/>
        <item m="1" x="5784"/>
        <item m="1" x="3860"/>
        <item m="1" x="4154"/>
        <item m="1" x="4386"/>
        <item m="1" x="4556"/>
        <item m="1" x="4716"/>
        <item m="1" x="4876"/>
        <item m="1" x="5036"/>
        <item m="1" x="5215"/>
        <item m="1" x="5483"/>
        <item m="1" x="5800"/>
        <item m="1" x="3869"/>
        <item m="1" x="4165"/>
        <item m="1" x="4395"/>
        <item m="1" x="4565"/>
        <item m="1" x="4725"/>
        <item m="1" x="4885"/>
        <item m="1" x="5045"/>
        <item m="1" x="5225"/>
        <item m="1" x="5495"/>
        <item m="1" x="5810"/>
        <item m="1" x="3876"/>
        <item m="1" x="4174"/>
        <item m="1" x="4404"/>
        <item m="1" x="4574"/>
        <item m="1" x="4734"/>
        <item m="1" x="4894"/>
        <item m="1" x="5054"/>
        <item m="1" x="5234"/>
        <item m="1" x="5504"/>
        <item m="1" x="5817"/>
        <item m="1" x="3883"/>
        <item m="1" x="4183"/>
        <item m="1" x="4413"/>
        <item m="1" x="4583"/>
        <item m="1" x="4743"/>
        <item m="1" x="4903"/>
        <item m="1" x="5063"/>
        <item m="1" x="5243"/>
        <item m="1" x="5513"/>
        <item m="1" x="5824"/>
        <item m="1" x="3890"/>
        <item m="1" x="4192"/>
        <item m="1" x="4422"/>
        <item m="1" x="4592"/>
        <item m="1" x="4752"/>
        <item m="1" x="4912"/>
        <item m="1" x="5072"/>
        <item m="1" x="5252"/>
        <item m="1" x="5522"/>
        <item m="1" x="5831"/>
        <item m="1" x="3897"/>
        <item m="1" x="4201"/>
        <item m="1" x="4431"/>
        <item m="1" x="4601"/>
        <item m="1" x="4761"/>
        <item m="1" x="4921"/>
        <item m="1" x="5081"/>
        <item m="1" x="5261"/>
        <item m="1" x="5531"/>
        <item m="1" x="5838"/>
        <item m="1" x="3905"/>
        <item m="1" x="4211"/>
        <item m="1" x="4440"/>
        <item m="1" x="4610"/>
        <item m="1" x="4770"/>
        <item m="1" x="4930"/>
        <item m="1" x="5090"/>
        <item m="1" x="5270"/>
        <item m="1" x="5540"/>
        <item m="1" x="5845"/>
        <item m="1" x="3918"/>
        <item m="1" x="4224"/>
        <item m="1" x="4450"/>
        <item m="1" x="4619"/>
        <item m="1" x="4779"/>
        <item m="1" x="4939"/>
        <item m="1" x="5099"/>
        <item m="1" x="5281"/>
        <item m="1" x="5553"/>
        <item m="1" x="5856"/>
        <item m="1" x="5384"/>
        <item m="1" x="5684"/>
        <item m="1" x="5954"/>
        <item m="1" x="6141"/>
        <item m="1" x="6301"/>
        <item m="1" x="6461"/>
        <item m="1" x="6621"/>
        <item m="1" x="6788"/>
        <item m="1" x="7018"/>
        <item m="1" x="7318"/>
        <item m="1" x="5395"/>
        <item m="1" x="5697"/>
        <item m="1" x="5963"/>
        <item m="1" x="6147"/>
        <item m="1" x="6307"/>
        <item m="1" x="6467"/>
        <item m="1" x="6627"/>
        <item m="1" x="6795"/>
        <item m="1" x="7029"/>
        <item m="1" x="7330"/>
        <item m="1" x="5409"/>
        <item m="1" x="5713"/>
        <item m="1" x="5975"/>
        <item m="1" x="6156"/>
        <item m="1" x="6316"/>
        <item m="1" x="6476"/>
        <item m="1" x="6636"/>
        <item m="1" x="6805"/>
        <item m="1" x="7043"/>
        <item m="1" x="7344"/>
        <item m="1" x="5419"/>
        <item m="1" x="5725"/>
        <item m="1" x="5985"/>
        <item m="1" x="6165"/>
        <item m="1" x="6325"/>
        <item m="1" x="6485"/>
        <item m="1" x="6645"/>
        <item m="1" x="6815"/>
        <item m="1" x="7055"/>
        <item m="1" x="7355"/>
        <item m="1" x="5426"/>
        <item m="1" x="5734"/>
        <item m="1" x="5994"/>
        <item m="1" x="6174"/>
        <item m="1" x="6334"/>
        <item m="1" x="6494"/>
        <item m="1" x="6654"/>
        <item m="1" x="6824"/>
        <item m="1" x="7064"/>
        <item m="1" x="7362"/>
        <item m="1" x="5433"/>
        <item m="1" x="5743"/>
        <item m="1" x="6003"/>
        <item m="1" x="6183"/>
        <item m="1" x="6343"/>
        <item m="1" x="6503"/>
        <item m="1" x="6663"/>
        <item m="1" x="6833"/>
        <item m="1" x="7073"/>
        <item m="1" x="7369"/>
        <item m="1" x="5440"/>
        <item m="1" x="5752"/>
        <item m="1" x="6012"/>
        <item m="1" x="6192"/>
        <item m="1" x="6352"/>
        <item m="1" x="6512"/>
        <item m="1" x="6672"/>
        <item m="1" x="6842"/>
        <item m="1" x="7082"/>
        <item m="1" x="7376"/>
        <item m="1" x="5447"/>
        <item m="1" x="5761"/>
        <item m="1" x="6021"/>
        <item m="1" x="6201"/>
        <item m="1" x="6361"/>
        <item m="1" x="6521"/>
        <item m="1" x="6681"/>
        <item m="1" x="6851"/>
        <item m="1" x="7091"/>
        <item m="1" x="7383"/>
        <item m="1" x="5455"/>
        <item m="1" x="5771"/>
        <item m="1" x="6030"/>
        <item m="1" x="6210"/>
        <item m="1" x="6370"/>
        <item m="1" x="6530"/>
        <item m="1" x="6690"/>
        <item m="1" x="6860"/>
        <item m="1" x="7100"/>
        <item m="1" x="7390"/>
        <item m="1" x="5468"/>
        <item m="1" x="5785"/>
        <item m="1" x="6041"/>
        <item m="1" x="6219"/>
        <item m="1" x="6379"/>
        <item m="1" x="6539"/>
        <item m="1" x="6699"/>
        <item m="1" x="6870"/>
        <item m="1" x="7112"/>
        <item m="1" x="7400"/>
        <item m="1" x="7401"/>
        <item m="1" x="7612"/>
        <item m="1" x="7769"/>
        <item m="1" x="7924"/>
        <item m="1" x="2355"/>
        <item m="1" x="2656"/>
        <item m="1" x="2888"/>
        <item m="1" x="7415"/>
        <item m="1" x="7622"/>
        <item m="1" x="7777"/>
        <item m="1" x="7932"/>
        <item m="1" x="2370"/>
        <item m="1" x="2669"/>
        <item m="1" x="2897"/>
        <item m="1" x="7425"/>
        <item m="1" x="7630"/>
        <item m="1" x="7785"/>
        <item m="1" x="7940"/>
        <item m="1" x="2382"/>
        <item m="1" x="2679"/>
        <item m="1" x="2903"/>
        <item m="1" x="7433"/>
        <item m="1" x="7638"/>
        <item m="1" x="7793"/>
        <item m="1" x="7948"/>
        <item m="1" x="2105"/>
        <item m="1" x="2390"/>
        <item m="1" x="2684"/>
        <item m="1" x="2904"/>
        <item m="1" x="7441"/>
        <item m="1" x="7646"/>
        <item m="1" x="7801"/>
        <item m="1" x="7956"/>
        <item m="1" x="2114"/>
        <item m="1" x="2398"/>
        <item m="1" x="2689"/>
        <item m="1" x="2905"/>
        <item m="1" x="7449"/>
        <item m="1" x="7654"/>
        <item m="1" x="7809"/>
        <item m="1" x="7964"/>
        <item m="1" x="2122"/>
        <item m="1" x="2406"/>
        <item m="1" x="2694"/>
        <item m="1" x="2906"/>
        <item m="1" x="7457"/>
        <item m="1" x="7662"/>
        <item m="1" x="7817"/>
        <item m="1" x="7972"/>
        <item m="1" x="2130"/>
        <item m="1" x="2414"/>
        <item m="1" x="2699"/>
        <item m="1" x="2907"/>
        <item m="1" x="7465"/>
        <item m="1" x="7670"/>
        <item m="1" x="7825"/>
        <item m="1" x="7980"/>
        <item m="1" x="2138"/>
        <item m="1" x="2422"/>
        <item m="1" x="2704"/>
        <item m="1" x="2908"/>
        <item m="1" x="7475"/>
        <item m="1" x="7678"/>
        <item m="1" x="7833"/>
        <item m="1" x="7988"/>
        <item m="1" x="2148"/>
        <item m="1" x="2433"/>
        <item m="1" x="2712"/>
        <item m="1" x="2912"/>
        <item m="1" x="7486"/>
        <item m="1" x="7686"/>
        <item m="1" x="7841"/>
        <item m="1" x="7996"/>
        <item m="1" x="2161"/>
        <item m="1" x="2448"/>
        <item m="1" x="2724"/>
        <item m="1" x="2920"/>
        <item m="1" x="2581"/>
        <item m="1" x="2821"/>
        <item m="1" x="2994"/>
        <item m="1" x="3154"/>
        <item m="1" x="3314"/>
        <item m="1" x="3474"/>
        <item m="1" x="3650"/>
        <item m="1" x="3911"/>
        <item m="1" x="4216"/>
        <item m="1" x="4444"/>
        <item m="1" x="2595"/>
        <item m="1" x="2831"/>
        <item m="1" x="3002"/>
        <item m="1" x="3162"/>
        <item m="1" x="3322"/>
        <item m="1" x="3482"/>
        <item m="1" x="3660"/>
        <item m="1" x="3926"/>
        <item m="1" x="4230"/>
        <item m="1" x="4454"/>
        <item m="1" x="2606"/>
        <item m="1" x="2840"/>
        <item m="1" x="3010"/>
        <item m="1" x="3170"/>
        <item m="1" x="3330"/>
        <item m="1" x="3490"/>
        <item m="1" x="3670"/>
        <item m="1" x="3939"/>
        <item m="1" x="4242"/>
        <item m="1" x="4462"/>
        <item m="1" x="2614"/>
        <item m="1" x="2848"/>
        <item m="1" x="3018"/>
        <item m="1" x="3178"/>
        <item m="1" x="3338"/>
        <item m="1" x="3498"/>
        <item m="1" x="3678"/>
        <item m="1" x="3948"/>
        <item m="1" x="4248"/>
        <item m="1" x="4464"/>
        <item m="1" x="2622"/>
        <item m="1" x="2856"/>
        <item m="1" x="3026"/>
        <item m="1" x="3186"/>
        <item m="1" x="3346"/>
        <item m="1" x="3506"/>
        <item m="1" x="3686"/>
        <item m="1" x="3956"/>
        <item m="1" x="4253"/>
        <item m="1" x="4465"/>
        <item m="1" x="2630"/>
        <item m="1" x="2864"/>
        <item m="1" x="3034"/>
        <item m="1" x="3194"/>
        <item m="1" x="3354"/>
        <item m="1" x="3514"/>
        <item m="1" x="3694"/>
        <item m="1" x="3964"/>
        <item m="1" x="4258"/>
        <item m="1" x="4466"/>
        <item m="1" x="2638"/>
        <item m="1" x="2872"/>
        <item m="1" x="3042"/>
        <item m="1" x="3202"/>
        <item m="1" x="3362"/>
        <item m="1" x="3522"/>
        <item m="1" x="3702"/>
        <item m="1" x="3972"/>
        <item m="1" x="4263"/>
        <item m="1" x="4467"/>
        <item m="1" x="2646"/>
        <item m="1" x="2880"/>
        <item m="1" x="3050"/>
        <item m="1" x="3210"/>
        <item m="1" x="3370"/>
        <item m="1" x="3530"/>
        <item m="1" x="3710"/>
        <item m="1" x="3980"/>
        <item m="1" x="4268"/>
        <item m="1" x="4468"/>
        <item m="1" x="2657"/>
        <item m="1" x="2889"/>
        <item m="1" x="3058"/>
        <item m="1" x="3218"/>
        <item m="1" x="3378"/>
        <item m="1" x="3538"/>
        <item m="1" x="3719"/>
        <item m="1" x="3990"/>
        <item m="1" x="4275"/>
        <item m="1" x="4471"/>
        <item m="1" x="2670"/>
        <item m="1" x="2898"/>
        <item m="1" x="3066"/>
        <item m="1" x="3226"/>
        <item m="1" x="3386"/>
        <item m="1" x="3546"/>
        <item m="1" x="3730"/>
        <item m="1" x="4004"/>
        <item m="1" x="4286"/>
        <item m="1" x="4478"/>
        <item m="1" x="4131"/>
        <item m="1" x="4370"/>
        <item m="1" x="4543"/>
        <item m="1" x="4703"/>
        <item m="1" x="4863"/>
        <item m="1" x="5023"/>
        <item m="1" x="5199"/>
        <item m="1" x="5460"/>
        <item m="1" x="5776"/>
        <item m="1" x="6034"/>
        <item m="1" x="4146"/>
        <item m="1" x="4380"/>
        <item m="1" x="4551"/>
        <item m="1" x="4711"/>
        <item m="1" x="4871"/>
        <item m="1" x="5031"/>
        <item m="1" x="5209"/>
        <item m="1" x="5475"/>
        <item m="1" x="5791"/>
        <item m="1" x="6045"/>
        <item m="1" x="4159"/>
        <item m="1" x="4390"/>
        <item m="1" x="4560"/>
        <item m="1" x="4720"/>
        <item m="1" x="4880"/>
        <item m="1" x="5040"/>
        <item m="1" x="5220"/>
        <item m="1" x="5489"/>
        <item m="1" x="5805"/>
        <item m="1" x="6054"/>
        <item m="1" x="4169"/>
        <item m="1" x="4399"/>
        <item m="1" x="4569"/>
        <item m="1" x="4729"/>
        <item m="1" x="4889"/>
        <item m="1" x="5049"/>
        <item m="1" x="5229"/>
        <item m="1" x="5499"/>
        <item m="1" x="5813"/>
        <item m="1" x="6057"/>
        <item m="1" x="4178"/>
        <item m="1" x="4408"/>
        <item m="1" x="4578"/>
        <item m="1" x="4738"/>
        <item m="1" x="4898"/>
        <item m="1" x="5058"/>
        <item m="1" x="5238"/>
        <item m="1" x="5508"/>
        <item m="1" x="5820"/>
        <item m="1" x="6059"/>
        <item m="1" x="4187"/>
        <item m="1" x="4417"/>
        <item m="1" x="4587"/>
        <item m="1" x="4747"/>
        <item m="1" x="4907"/>
        <item m="1" x="5067"/>
        <item m="1" x="5247"/>
        <item m="1" x="5517"/>
        <item m="1" x="5827"/>
        <item m="1" x="6061"/>
        <item m="1" x="4196"/>
        <item m="1" x="4426"/>
        <item m="1" x="4596"/>
        <item m="1" x="4756"/>
        <item m="1" x="4916"/>
        <item m="1" x="5076"/>
        <item m="1" x="5256"/>
        <item m="1" x="5526"/>
        <item m="1" x="5834"/>
        <item m="1" x="6063"/>
        <item m="1" x="4205"/>
        <item m="1" x="4435"/>
        <item m="1" x="4605"/>
        <item m="1" x="4765"/>
        <item m="1" x="4925"/>
        <item m="1" x="5085"/>
        <item m="1" x="5265"/>
        <item m="1" x="5535"/>
        <item m="1" x="5841"/>
        <item m="1" x="6065"/>
        <item m="1" x="4217"/>
        <item m="1" x="4445"/>
        <item m="1" x="4614"/>
        <item m="1" x="4774"/>
        <item m="1" x="4934"/>
        <item m="1" x="5094"/>
        <item m="1" x="5275"/>
        <item m="1" x="5546"/>
        <item m="1" x="5850"/>
        <item m="1" x="6069"/>
        <item m="1" x="4231"/>
        <item m="1" x="4455"/>
        <item m="1" x="4623"/>
        <item m="1" x="4783"/>
        <item m="1" x="4943"/>
        <item m="1" x="5103"/>
        <item m="1" x="5287"/>
        <item m="1" x="5561"/>
        <item m="1" x="5863"/>
        <item m="1" x="6077"/>
        <item m="1" x="5690"/>
        <item m="1" x="5958"/>
        <item m="1" x="6143"/>
        <item m="1" x="6303"/>
        <item m="1" x="6463"/>
        <item m="1" x="6623"/>
        <item m="1" x="6791"/>
        <item m="1" x="7023"/>
        <item m="1" x="7324"/>
        <item m="1" x="7577"/>
        <item m="1" x="5705"/>
        <item m="1" x="5969"/>
        <item m="1" x="6151"/>
        <item m="1" x="6311"/>
        <item m="1" x="6471"/>
        <item m="1" x="6631"/>
        <item m="1" x="6800"/>
        <item m="1" x="7036"/>
        <item m="1" x="7337"/>
        <item m="1" x="7586"/>
        <item m="1" x="5719"/>
        <item m="1" x="5980"/>
        <item m="1" x="6160"/>
        <item m="1" x="6320"/>
        <item m="1" x="6480"/>
        <item m="1" x="6640"/>
        <item m="1" x="6810"/>
        <item m="1" x="7049"/>
        <item m="1" x="7350"/>
        <item m="1" x="7594"/>
        <item m="1" x="5729"/>
        <item m="1" x="5989"/>
        <item m="1" x="6169"/>
        <item m="1" x="6329"/>
        <item m="1" x="6489"/>
        <item m="1" x="6649"/>
        <item m="1" x="6819"/>
        <item m="1" x="7059"/>
        <item m="1" x="7358"/>
        <item m="1" x="7597"/>
        <item m="1" x="5738"/>
        <item m="1" x="5998"/>
        <item m="1" x="6178"/>
        <item m="1" x="6338"/>
        <item m="1" x="6498"/>
        <item m="1" x="6658"/>
        <item m="1" x="6828"/>
        <item m="1" x="7068"/>
        <item m="1" x="7365"/>
        <item m="1" x="7599"/>
        <item m="1" x="5747"/>
        <item m="1" x="6007"/>
        <item m="1" x="6187"/>
        <item m="1" x="6347"/>
        <item m="1" x="6507"/>
        <item m="1" x="6667"/>
        <item m="1" x="6837"/>
        <item m="1" x="7077"/>
        <item m="1" x="7372"/>
        <item m="1" x="7601"/>
        <item m="1" x="5756"/>
        <item m="1" x="6016"/>
        <item m="1" x="6196"/>
        <item m="1" x="6356"/>
        <item m="1" x="6516"/>
        <item m="1" x="6676"/>
        <item m="1" x="6846"/>
        <item m="1" x="7086"/>
        <item m="1" x="7379"/>
        <item m="1" x="7603"/>
        <item m="1" x="5765"/>
        <item m="1" x="6025"/>
        <item m="1" x="6205"/>
        <item m="1" x="6365"/>
        <item m="1" x="6525"/>
        <item m="1" x="6685"/>
        <item m="1" x="6855"/>
        <item m="1" x="7095"/>
        <item m="1" x="7386"/>
        <item m="1" x="7605"/>
        <item m="1" x="5777"/>
        <item m="1" x="6035"/>
        <item m="1" x="6214"/>
        <item m="1" x="6374"/>
        <item m="1" x="6534"/>
        <item m="1" x="6694"/>
        <item m="1" x="6864"/>
        <item m="1" x="7105"/>
        <item m="1" x="7394"/>
        <item m="1" x="7608"/>
        <item m="1" x="5792"/>
        <item m="1" x="6046"/>
        <item m="1" x="6223"/>
        <item m="1" x="6383"/>
        <item m="1" x="6543"/>
        <item m="1" x="6703"/>
        <item m="1" x="6875"/>
        <item m="1" x="7119"/>
        <item m="1" x="7407"/>
        <item m="1" x="7616"/>
        <item m="1" x="7249"/>
        <item m="1" x="7512"/>
        <item m="1" x="7692"/>
        <item m="1" x="7847"/>
        <item m="1" x="2206"/>
        <item m="1" x="2506"/>
        <item m="1" x="2780"/>
        <item m="1" x="7263"/>
        <item m="1" x="7522"/>
        <item m="1" x="7699"/>
        <item m="1" x="7854"/>
        <item m="1" x="2219"/>
        <item m="1" x="2520"/>
        <item m="1" x="2791"/>
        <item m="1" x="7276"/>
        <item m="1" x="7532"/>
        <item m="1" x="7707"/>
        <item m="1" x="7862"/>
        <item m="1" x="2232"/>
        <item m="1" x="2534"/>
        <item m="1" x="2801"/>
        <item m="1" x="7285"/>
        <item m="1" x="7540"/>
        <item m="1" x="7715"/>
        <item m="1" x="7870"/>
        <item m="1" x="2242"/>
        <item m="1" x="2543"/>
        <item m="1" x="2806"/>
        <item m="1" x="7293"/>
        <item m="1" x="7548"/>
        <item m="1" x="7723"/>
        <item m="1" x="7878"/>
        <item m="1" x="2250"/>
        <item m="1" x="2550"/>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s>
    </pivotField>
    <pivotField compact="0" outline="0" showAll="0" defaultSubtotal="0"/>
    <pivotField compact="0" outline="0" showAll="0" defaultSubtotal="0"/>
    <pivotField axis="axisRow" compact="0" outline="0" showAll="0" defaultSubtotal="0">
      <items count="17">
        <item x="5"/>
        <item x="7"/>
        <item x="10"/>
        <item x="1"/>
        <item x="11"/>
        <item x="3"/>
        <item x="2"/>
        <item x="6"/>
        <item x="4"/>
        <item x="8"/>
        <item x="0"/>
        <item x="9"/>
        <item x="12"/>
        <item x="13"/>
        <item x="16"/>
        <item x="14"/>
        <item x="15"/>
      </items>
    </pivotField>
    <pivotField compact="0" outline="0" showAll="0" defaultSubtotal="0"/>
    <pivotField axis="axisRow" compact="0" outline="0" showAll="0" defaultSubtotal="0">
      <items count="157">
        <item x="18"/>
        <item m="1" x="117"/>
        <item m="1" x="104"/>
        <item m="1" x="108"/>
        <item m="1" x="126"/>
        <item m="1" x="132"/>
        <item m="1" x="141"/>
        <item m="1" x="154"/>
        <item m="1" x="111"/>
        <item m="1" x="135"/>
        <item m="1" x="146"/>
        <item m="1" x="115"/>
        <item m="1" x="143"/>
        <item x="5"/>
        <item m="1" x="136"/>
        <item m="1" x="120"/>
        <item m="1" x="107"/>
        <item m="1" x="140"/>
        <item m="1" x="131"/>
        <item m="1" x="110"/>
        <item m="1" x="150"/>
        <item m="1" x="155"/>
        <item x="9"/>
        <item m="1" x="148"/>
        <item m="1" x="151"/>
        <item m="1" x="105"/>
        <item x="12"/>
        <item m="1" x="112"/>
        <item x="51"/>
        <item m="1" x="127"/>
        <item x="0"/>
        <item x="3"/>
        <item m="1" x="145"/>
        <item m="1" x="128"/>
        <item x="24"/>
        <item x="25"/>
        <item x="26"/>
        <item x="27"/>
        <item m="1" x="106"/>
        <item x="28"/>
        <item x="29"/>
        <item x="30"/>
        <item x="31"/>
        <item x="32"/>
        <item x="33"/>
        <item x="34"/>
        <item x="35"/>
        <item m="1" x="122"/>
        <item m="1" x="147"/>
        <item m="1" x="113"/>
        <item m="1" x="103"/>
        <item m="1" x="142"/>
        <item m="1" x="123"/>
        <item m="1" x="130"/>
        <item m="1" x="116"/>
        <item x="40"/>
        <item m="1" x="133"/>
        <item m="1" x="121"/>
        <item m="1" x="124"/>
        <item m="1" x="118"/>
        <item m="1" x="153"/>
        <item m="1" x="139"/>
        <item m="1" x="134"/>
        <item x="43"/>
        <item x="44"/>
        <item x="45"/>
        <item x="46"/>
        <item x="47"/>
        <item x="48"/>
        <item x="49"/>
        <item x="50"/>
        <item m="1" x="137"/>
        <item x="52"/>
        <item x="53"/>
        <item x="54"/>
        <item x="55"/>
        <item x="56"/>
        <item x="57"/>
        <item x="58"/>
        <item x="59"/>
        <item x="2"/>
        <item x="4"/>
        <item x="6"/>
        <item x="7"/>
        <item x="8"/>
        <item x="11"/>
        <item m="1" x="144"/>
        <item x="14"/>
        <item x="15"/>
        <item x="16"/>
        <item x="17"/>
        <item x="19"/>
        <item x="20"/>
        <item x="21"/>
        <item x="22"/>
        <item x="23"/>
        <item x="36"/>
        <item x="38"/>
        <item x="39"/>
        <item x="41"/>
        <item x="10"/>
        <item m="1" x="109"/>
        <item x="61"/>
        <item x="62"/>
        <item x="63"/>
        <item m="1" x="129"/>
        <item m="1" x="114"/>
        <item x="66"/>
        <item x="67"/>
        <item x="68"/>
        <item x="69"/>
        <item x="70"/>
        <item m="1" x="138"/>
        <item m="1" x="125"/>
        <item x="102"/>
        <item x="60"/>
        <item x="64"/>
        <item x="65"/>
        <item x="71"/>
        <item x="72"/>
        <item x="73"/>
        <item x="74"/>
        <item x="75"/>
        <item x="76"/>
        <item x="77"/>
        <item x="78"/>
        <item x="79"/>
        <item x="80"/>
        <item x="81"/>
        <item x="82"/>
        <item x="83"/>
        <item x="84"/>
        <item x="85"/>
        <item x="1"/>
        <item x="37"/>
        <item x="86"/>
        <item x="87"/>
        <item x="88"/>
        <item m="1" x="152"/>
        <item x="90"/>
        <item x="91"/>
        <item x="92"/>
        <item x="93"/>
        <item m="1" x="156"/>
        <item m="1" x="119"/>
        <item m="1" x="149"/>
        <item x="97"/>
        <item x="98"/>
        <item x="99"/>
        <item x="100"/>
        <item x="101"/>
        <item x="13"/>
        <item x="89"/>
        <item x="94"/>
        <item x="95"/>
        <item x="96"/>
        <item x="42"/>
      </items>
    </pivotField>
    <pivotField axis="axisRow" compact="0" outline="0" showAll="0" defaultSubtotal="0">
      <items count="95">
        <item m="1" x="82"/>
        <item m="1" x="91"/>
        <item m="1" x="88"/>
        <item x="4"/>
        <item m="1" x="86"/>
        <item m="1" x="71"/>
        <item m="1" x="70"/>
        <item m="1" x="53"/>
        <item m="1" x="41"/>
        <item m="1" x="50"/>
        <item m="1" x="52"/>
        <item m="1" x="59"/>
        <item m="1" x="75"/>
        <item m="1" x="63"/>
        <item m="1" x="44"/>
        <item m="1" x="92"/>
        <item m="1" x="79"/>
        <item m="1" x="64"/>
        <item m="1" x="84"/>
        <item m="1" x="74"/>
        <item m="1" x="54"/>
        <item m="1" x="62"/>
        <item m="1" x="43"/>
        <item m="1" x="55"/>
        <item m="1" x="48"/>
        <item m="1" x="68"/>
        <item m="1" x="73"/>
        <item x="15"/>
        <item m="1" x="81"/>
        <item m="1" x="76"/>
        <item m="1" x="72"/>
        <item m="1" x="67"/>
        <item m="1" x="47"/>
        <item m="1" x="85"/>
        <item m="1" x="69"/>
        <item m="1" x="46"/>
        <item m="1" x="57"/>
        <item m="1" x="60"/>
        <item m="1" x="89"/>
        <item m="1" x="49"/>
        <item x="11"/>
        <item m="1" x="51"/>
        <item m="1" x="45"/>
        <item m="1" x="80"/>
        <item x="24"/>
        <item x="0"/>
        <item m="1" x="93"/>
        <item x="2"/>
        <item m="1" x="61"/>
        <item x="5"/>
        <item x="9"/>
        <item x="10"/>
        <item x="12"/>
        <item x="16"/>
        <item m="1" x="66"/>
        <item x="19"/>
        <item x="22"/>
        <item x="21"/>
        <item x="31"/>
        <item m="1" x="87"/>
        <item x="6"/>
        <item x="7"/>
        <item x="8"/>
        <item x="13"/>
        <item x="14"/>
        <item x="23"/>
        <item x="18"/>
        <item m="1" x="56"/>
        <item x="26"/>
        <item m="1" x="42"/>
        <item m="1" x="58"/>
        <item x="27"/>
        <item x="25"/>
        <item m="1" x="83"/>
        <item x="40"/>
        <item x="20"/>
        <item x="28"/>
        <item x="29"/>
        <item x="30"/>
        <item m="1" x="65"/>
        <item x="32"/>
        <item x="33"/>
        <item x="3"/>
        <item x="34"/>
        <item x="35"/>
        <item x="36"/>
        <item m="1" x="90"/>
        <item x="37"/>
        <item m="1" x="94"/>
        <item m="1" x="77"/>
        <item m="1" x="78"/>
        <item x="38"/>
        <item x="39"/>
        <item x="1"/>
        <item x="17"/>
      </items>
    </pivotField>
    <pivotField axis="axisRow" compact="0" outline="0" showAll="0" defaultSubtotal="0">
      <items count="3">
        <item x="0"/>
        <item x="1"/>
        <item x="2"/>
      </items>
    </pivotField>
    <pivotField axis="axisRow" compact="0" outline="0" showAll="0" defaultSubtotal="0">
      <items count="18">
        <item x="0"/>
        <item x="2"/>
        <item x="15"/>
        <item x="3"/>
        <item x="11"/>
        <item x="4"/>
        <item x="9"/>
        <item x="10"/>
        <item x="14"/>
        <item x="12"/>
        <item x="7"/>
        <item x="16"/>
        <item x="6"/>
        <item x="1"/>
        <item x="5"/>
        <item x="8"/>
        <item x="13"/>
        <item x="1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376">
        <item x="278"/>
        <item x="197"/>
        <item x="198"/>
        <item x="244"/>
        <item x="246"/>
        <item x="259"/>
        <item x="247"/>
        <item x="255"/>
        <item x="248"/>
        <item x="253"/>
        <item x="254"/>
        <item x="258"/>
        <item x="256"/>
        <item x="251"/>
        <item x="260"/>
        <item x="250"/>
        <item x="245"/>
        <item x="249"/>
        <item x="252"/>
        <item x="257"/>
        <item x="147"/>
        <item x="160"/>
        <item x="148"/>
        <item x="156"/>
        <item x="149"/>
        <item x="154"/>
        <item x="155"/>
        <item x="159"/>
        <item x="157"/>
        <item x="152"/>
        <item x="161"/>
        <item x="151"/>
        <item x="146"/>
        <item x="150"/>
        <item x="153"/>
        <item x="158"/>
        <item x="145"/>
        <item x="279"/>
        <item x="280"/>
        <item m="1" x="2109"/>
        <item m="1" x="2112"/>
        <item m="1" x="2181"/>
        <item m="1" x="2099"/>
        <item m="1" x="2327"/>
        <item m="1" x="2026"/>
        <item m="1" x="2321"/>
        <item m="1" x="2219"/>
        <item m="1" x="2027"/>
        <item m="1" x="2357"/>
        <item m="1" x="2328"/>
        <item m="1" x="2329"/>
        <item m="1" x="2220"/>
        <item m="1" x="2028"/>
        <item m="1" x="2358"/>
        <item m="1" x="2100"/>
        <item m="1" x="2359"/>
        <item m="1" x="2055"/>
        <item m="1" x="2060"/>
        <item m="1" x="2260"/>
        <item m="1" x="2250"/>
        <item m="1" x="2282"/>
        <item m="1" x="2197"/>
        <item m="1" x="2270"/>
        <item m="1" x="2125"/>
        <item m="1" x="2198"/>
        <item m="1" x="2302"/>
        <item m="1" x="2283"/>
        <item m="1" x="2284"/>
        <item m="1" x="2126"/>
        <item m="1" x="2199"/>
        <item m="1" x="2303"/>
        <item m="1" x="2251"/>
        <item m="1" x="2304"/>
        <item x="122"/>
        <item x="243"/>
        <item m="1" x="2236"/>
        <item x="241"/>
        <item x="233"/>
        <item m="1" x="2130"/>
        <item x="234"/>
        <item x="239"/>
        <item m="1" x="2356"/>
        <item m="1" x="2171"/>
        <item m="1" x="2118"/>
        <item x="237"/>
        <item x="242"/>
        <item x="236"/>
        <item m="1" x="2332"/>
        <item x="235"/>
        <item x="238"/>
        <item x="240"/>
        <item x="232"/>
        <item x="86"/>
        <item x="88"/>
        <item x="101"/>
        <item x="89"/>
        <item x="97"/>
        <item x="90"/>
        <item x="95"/>
        <item x="96"/>
        <item x="100"/>
        <item x="98"/>
        <item x="93"/>
        <item x="102"/>
        <item x="92"/>
        <item x="87"/>
        <item x="91"/>
        <item x="94"/>
        <item x="99"/>
        <item x="0"/>
        <item x="2"/>
        <item x="15"/>
        <item x="3"/>
        <item x="11"/>
        <item x="4"/>
        <item x="9"/>
        <item x="10"/>
        <item x="14"/>
        <item x="12"/>
        <item x="7"/>
        <item x="16"/>
        <item x="6"/>
        <item x="1"/>
        <item x="5"/>
        <item x="8"/>
        <item x="13"/>
        <item x="124"/>
        <item x="282"/>
        <item x="284"/>
        <item x="297"/>
        <item x="285"/>
        <item x="293"/>
        <item x="286"/>
        <item x="291"/>
        <item x="292"/>
        <item x="296"/>
        <item x="294"/>
        <item x="289"/>
        <item x="298"/>
        <item x="288"/>
        <item x="283"/>
        <item x="287"/>
        <item x="290"/>
        <item x="295"/>
        <item x="299"/>
        <item x="301"/>
        <item x="314"/>
        <item x="302"/>
        <item x="310"/>
        <item x="303"/>
        <item x="308"/>
        <item x="309"/>
        <item x="313"/>
        <item x="311"/>
        <item x="306"/>
        <item x="315"/>
        <item x="305"/>
        <item x="300"/>
        <item x="304"/>
        <item x="307"/>
        <item x="312"/>
        <item x="179"/>
        <item x="180"/>
        <item x="182"/>
        <item x="195"/>
        <item x="183"/>
        <item x="191"/>
        <item x="184"/>
        <item x="189"/>
        <item x="190"/>
        <item x="194"/>
        <item x="192"/>
        <item x="187"/>
        <item x="196"/>
        <item x="186"/>
        <item x="181"/>
        <item x="185"/>
        <item x="188"/>
        <item x="193"/>
        <item m="1" x="2070"/>
        <item m="1" x="2245"/>
        <item m="1" x="2068"/>
        <item m="1" x="2287"/>
        <item m="1" x="2139"/>
        <item m="1" x="2131"/>
        <item m="1" x="2255"/>
        <item m="1" x="2258"/>
        <item m="1" x="2132"/>
        <item m="1" x="2036"/>
        <item m="1" x="2140"/>
        <item m="1" x="2141"/>
        <item m="1" x="2259"/>
        <item m="1" x="2133"/>
        <item m="1" x="2037"/>
        <item m="1" x="2288"/>
        <item m="1" x="2038"/>
        <item m="1" x="2091"/>
        <item m="1" x="2312"/>
        <item m="1" x="2360"/>
        <item m="1" x="2217"/>
        <item m="1" x="2104"/>
        <item m="1" x="2226"/>
        <item m="1" x="2326"/>
        <item m="1" x="2094"/>
        <item m="1" x="2227"/>
        <item m="1" x="2074"/>
        <item m="1" x="2105"/>
        <item m="1" x="2106"/>
        <item m="1" x="2095"/>
        <item m="1" x="2228"/>
        <item m="1" x="2075"/>
        <item m="1" x="2218"/>
        <item m="1" x="2076"/>
        <item x="123"/>
        <item m="1" x="2364"/>
        <item m="1" x="2178"/>
        <item m="1" x="2215"/>
        <item m="1" x="2223"/>
        <item m="1" x="2240"/>
        <item m="1" x="2292"/>
        <item m="1" x="2120"/>
        <item m="1" x="2333"/>
        <item m="1" x="2266"/>
        <item m="1" x="2207"/>
        <item m="1" x="2334"/>
        <item m="1" x="2242"/>
        <item m="1" x="2121"/>
        <item m="1" x="2122"/>
        <item m="1" x="2208"/>
        <item m="1" x="2335"/>
        <item m="1" x="2243"/>
        <item m="1" x="2293"/>
        <item m="1" x="2244"/>
        <item x="17"/>
        <item x="19"/>
        <item x="32"/>
        <item x="20"/>
        <item x="28"/>
        <item x="21"/>
        <item x="26"/>
        <item x="27"/>
        <item x="31"/>
        <item x="29"/>
        <item x="24"/>
        <item x="33"/>
        <item x="23"/>
        <item x="18"/>
        <item x="22"/>
        <item x="25"/>
        <item x="30"/>
        <item x="215"/>
        <item x="217"/>
        <item x="230"/>
        <item x="218"/>
        <item x="226"/>
        <item x="219"/>
        <item x="224"/>
        <item x="225"/>
        <item x="229"/>
        <item x="227"/>
        <item x="222"/>
        <item x="231"/>
        <item x="221"/>
        <item x="216"/>
        <item x="220"/>
        <item x="223"/>
        <item x="228"/>
        <item x="281"/>
        <item x="69"/>
        <item x="71"/>
        <item x="84"/>
        <item x="72"/>
        <item x="80"/>
        <item x="73"/>
        <item x="78"/>
        <item x="79"/>
        <item x="83"/>
        <item x="81"/>
        <item x="76"/>
        <item x="85"/>
        <item x="75"/>
        <item x="70"/>
        <item x="74"/>
        <item x="77"/>
        <item x="82"/>
        <item x="105"/>
        <item m="1" x="2024"/>
        <item x="107"/>
        <item x="199"/>
        <item x="120"/>
        <item x="212"/>
        <item x="108"/>
        <item x="200"/>
        <item x="116"/>
        <item x="208"/>
        <item x="109"/>
        <item x="201"/>
        <item x="114"/>
        <item x="206"/>
        <item x="115"/>
        <item x="207"/>
        <item x="119"/>
        <item x="211"/>
        <item x="117"/>
        <item x="209"/>
        <item x="112"/>
        <item x="204"/>
        <item x="121"/>
        <item x="213"/>
        <item x="111"/>
        <item x="203"/>
        <item x="106"/>
        <item x="110"/>
        <item x="202"/>
        <item x="113"/>
        <item x="205"/>
        <item x="118"/>
        <item x="210"/>
        <item x="214"/>
        <item m="1" x="2241"/>
        <item x="162"/>
        <item x="164"/>
        <item x="177"/>
        <item x="165"/>
        <item x="173"/>
        <item x="166"/>
        <item x="171"/>
        <item x="172"/>
        <item x="176"/>
        <item x="174"/>
        <item x="169"/>
        <item x="178"/>
        <item x="168"/>
        <item x="163"/>
        <item x="167"/>
        <item x="170"/>
        <item x="175"/>
        <item x="261"/>
        <item x="263"/>
        <item x="276"/>
        <item x="264"/>
        <item x="272"/>
        <item x="265"/>
        <item x="270"/>
        <item x="271"/>
        <item x="275"/>
        <item x="273"/>
        <item x="268"/>
        <item x="277"/>
        <item x="267"/>
        <item x="262"/>
        <item x="266"/>
        <item x="269"/>
        <item x="274"/>
        <item x="104"/>
        <item x="103"/>
        <item m="1" x="2107"/>
        <item m="1" x="2235"/>
        <item m="1" x="2367"/>
        <item m="1" x="2127"/>
        <item m="1" x="2271"/>
        <item m="1" x="2337"/>
        <item m="1" x="2021"/>
        <item m="1" x="2272"/>
        <item m="1" x="2305"/>
        <item m="1" x="2128"/>
        <item m="1" x="2129"/>
        <item m="1" x="2022"/>
        <item m="1" x="2273"/>
        <item m="1" x="2306"/>
        <item m="1" x="2368"/>
        <item m="1" x="2307"/>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125"/>
        <item x="126"/>
        <item x="127"/>
        <item x="128"/>
        <item x="129"/>
        <item x="130"/>
        <item x="131"/>
        <item x="132"/>
        <item x="133"/>
        <item x="134"/>
        <item x="135"/>
        <item x="136"/>
        <item x="137"/>
        <item x="138"/>
        <item x="139"/>
        <item x="140"/>
        <item x="141"/>
        <item x="142"/>
        <item x="143"/>
        <item x="144"/>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2020"/>
        <item x="1123"/>
        <item x="1124"/>
        <item x="1125"/>
        <item x="1126"/>
        <item x="1127"/>
        <item x="1128"/>
        <item x="1129"/>
        <item x="1130"/>
        <item x="1131"/>
        <item x="1132"/>
        <item x="1133"/>
        <item x="1134"/>
        <item x="1135"/>
        <item x="1136"/>
        <item x="1137"/>
        <item x="1138"/>
        <item x="1139"/>
        <item m="1" x="2225"/>
        <item m="1" x="2081"/>
        <item x="1141"/>
        <item x="1142"/>
        <item x="1143"/>
        <item x="1144"/>
        <item x="1145"/>
        <item x="1146"/>
        <item x="1147"/>
        <item x="1148"/>
        <item x="1149"/>
        <item x="1150"/>
        <item x="1151"/>
        <item x="1152"/>
        <item x="1153"/>
        <item x="1154"/>
        <item x="1155"/>
        <item m="1" x="2224"/>
        <item m="1" x="2065"/>
        <item x="1158"/>
        <item x="1159"/>
        <item x="1160"/>
        <item x="1161"/>
        <item x="1162"/>
        <item x="1163"/>
        <item x="1164"/>
        <item x="1165"/>
        <item x="1166"/>
        <item x="1167"/>
        <item x="1168"/>
        <item x="1169"/>
        <item x="1170"/>
        <item x="1171"/>
        <item x="1172"/>
        <item m="1" x="2185"/>
        <item m="1" x="2052"/>
        <item m="1" x="2170"/>
        <item m="1" x="2248"/>
        <item m="1" x="2077"/>
        <item m="1" x="2168"/>
        <item m="1" x="2147"/>
        <item m="1" x="2189"/>
        <item m="1" x="2320"/>
        <item m="1" x="2078"/>
        <item m="1" x="2143"/>
        <item m="1" x="2188"/>
        <item m="1" x="2319"/>
        <item m="1" x="2146"/>
        <item m="1" x="2148"/>
        <item m="1" x="2169"/>
        <item m="1" x="2158"/>
        <item m="1" x="2167"/>
        <item m="1" x="2317"/>
        <item m="1" x="2044"/>
        <item m="1" x="2032"/>
        <item m="1" x="2203"/>
        <item m="1" x="2042"/>
        <item m="1" x="2371"/>
        <item m="1" x="2341"/>
        <item m="1" x="2174"/>
        <item m="1" x="2204"/>
        <item m="1" x="2246"/>
        <item m="1" x="2340"/>
        <item m="1" x="2173"/>
        <item m="1" x="2370"/>
        <item m="1" x="2372"/>
        <item m="1" x="2043"/>
        <item m="1" x="2187"/>
        <item m="1" x="2231"/>
        <item m="1" x="2163"/>
        <item m="1" x="2136"/>
        <item m="1" x="2261"/>
        <item m="1" x="2276"/>
        <item m="1" x="2134"/>
        <item m="1" x="2062"/>
        <item m="1" x="2152"/>
        <item m="1" x="2054"/>
        <item m="1" x="2277"/>
        <item m="1" x="2322"/>
        <item m="1" x="2151"/>
        <item m="1" x="2053"/>
        <item m="1" x="2061"/>
        <item m="1" x="2063"/>
        <item m="1" x="2135"/>
        <item m="1" x="2082"/>
        <item m="1" x="2278"/>
        <item m="1" x="2066"/>
        <item m="1" x="2310"/>
        <item m="1" x="2325"/>
        <item m="1" x="2348"/>
        <item m="1" x="2308"/>
        <item m="1" x="2298"/>
        <item m="1" x="2353"/>
        <item m="1" x="2331"/>
        <item m="1" x="2349"/>
        <item m="1" x="2059"/>
        <item m="1" x="2352"/>
        <item m="1" x="2330"/>
        <item m="1" x="2297"/>
        <item m="1" x="2299"/>
        <item m="1" x="2309"/>
        <item m="1" x="2233"/>
        <item m="1" x="2336"/>
        <item m="1" x="2342"/>
        <item m="1" x="2281"/>
        <item m="1" x="2064"/>
        <item m="1" x="2176"/>
        <item m="1" x="2279"/>
        <item m="1" x="2155"/>
        <item m="1" x="2138"/>
        <item m="1" x="2046"/>
        <item m="1" x="2177"/>
        <item m="1" x="2262"/>
        <item m="1" x="2137"/>
        <item m="1" x="2045"/>
        <item m="1" x="2154"/>
        <item m="1" x="2156"/>
        <item m="1" x="2280"/>
        <item m="1" x="2145"/>
        <item m="1" x="2153"/>
        <item m="1" x="2050"/>
        <item m="1" x="2296"/>
        <item m="1" x="2114"/>
        <item m="1" x="2350"/>
        <item m="1" x="2294"/>
        <item m="1" x="2057"/>
        <item m="1" x="2324"/>
        <item m="1" x="2347"/>
        <item m="1" x="2351"/>
        <item m="1" x="2069"/>
        <item m="1" x="2323"/>
        <item m="1" x="2346"/>
        <item m="1" x="2056"/>
        <item m="1" x="2058"/>
        <item m="1" x="2295"/>
        <item m="1" x="2144"/>
        <item m="1" x="2311"/>
        <item m="1" x="2175"/>
        <item m="1" x="2315"/>
        <item m="1" x="2285"/>
        <item m="1" x="2083"/>
        <item m="1" x="2313"/>
        <item m="1" x="2072"/>
        <item m="1" x="2124"/>
        <item m="1" x="2222"/>
        <item m="1" x="2084"/>
        <item m="1" x="2051"/>
        <item m="1" x="2123"/>
        <item m="1" x="2221"/>
        <item m="1" x="2071"/>
        <item m="1" x="2073"/>
        <item m="1" x="2314"/>
        <item m="1" x="2067"/>
        <item m="1" x="2318"/>
        <item m="1" x="2366"/>
        <item m="1" x="2035"/>
        <item m="1" x="2232"/>
        <item m="1" x="2086"/>
        <item m="1" x="2033"/>
        <item m="1" x="2160"/>
        <item m="1" x="2344"/>
        <item m="1" x="2150"/>
        <item m="1" x="2087"/>
        <item m="1" x="2116"/>
        <item m="1" x="2343"/>
        <item m="1" x="2149"/>
        <item m="1" x="2159"/>
        <item m="1" x="2161"/>
        <item m="1" x="2034"/>
        <item m="1" x="2190"/>
        <item m="1" x="2186"/>
        <item m="1" x="2345"/>
        <item x="1311"/>
        <item x="1312"/>
        <item x="1313"/>
        <item x="1314"/>
        <item x="1315"/>
        <item x="1316"/>
        <item x="1317"/>
        <item x="1318"/>
        <item x="1319"/>
        <item x="1320"/>
        <item x="1321"/>
        <item x="1322"/>
        <item x="1323"/>
        <item m="1" x="2316"/>
        <item m="1" x="2092"/>
        <item m="1" x="2041"/>
        <item m="1" x="2229"/>
        <item x="1329"/>
        <item x="1330"/>
        <item x="1331"/>
        <item x="1332"/>
        <item x="1333"/>
        <item x="1334"/>
        <item x="1335"/>
        <item x="1336"/>
        <item x="1337"/>
        <item x="1338"/>
        <item x="1339"/>
        <item x="1340"/>
        <item m="1" x="2162"/>
        <item m="1" x="2373"/>
        <item m="1" x="2365"/>
        <item m="1" x="2157"/>
        <item m="1" x="2183"/>
        <item m="1" x="2265"/>
        <item m="1" x="2289"/>
        <item m="1" x="2275"/>
        <item m="1" x="2142"/>
        <item m="1" x="2047"/>
        <item m="1" x="2274"/>
        <item m="1" x="2119"/>
        <item m="1" x="2196"/>
        <item m="1" x="2080"/>
        <item m="1" x="2048"/>
        <item m="1" x="2264"/>
        <item m="1" x="2195"/>
        <item m="1" x="2079"/>
        <item m="1" x="2049"/>
        <item m="1" x="2263"/>
        <item m="1" x="2249"/>
        <item m="1" x="2286"/>
        <item x="1369"/>
        <item x="1370"/>
        <item x="1371"/>
        <item x="1372"/>
        <item x="1373"/>
        <item x="1374"/>
        <item x="1375"/>
        <item x="1376"/>
        <item x="1377"/>
        <item x="1378"/>
        <item x="1379"/>
        <item x="1380"/>
        <item x="1381"/>
        <item x="1382"/>
        <item x="1383"/>
        <item x="1384"/>
        <item x="1385"/>
        <item m="1" x="2117"/>
        <item x="1386"/>
        <item x="1387"/>
        <item x="1388"/>
        <item x="1389"/>
        <item x="1390"/>
        <item x="1391"/>
        <item x="1392"/>
        <item x="1393"/>
        <item x="1394"/>
        <item x="1395"/>
        <item x="1396"/>
        <item x="1397"/>
        <item x="1398"/>
        <item x="1399"/>
        <item m="1" x="2025"/>
        <item m="1" x="2085"/>
        <item m="1" x="2211"/>
        <item m="1" x="2088"/>
        <item m="1" x="2300"/>
        <item m="1" x="2209"/>
        <item m="1" x="2030"/>
        <item m="1" x="2375"/>
        <item m="1" x="2097"/>
        <item m="1" x="2301"/>
        <item m="1" x="2184"/>
        <item m="1" x="2374"/>
        <item m="1" x="2096"/>
        <item m="1" x="2029"/>
        <item m="1" x="2031"/>
        <item m="1" x="2210"/>
        <item m="1" x="2193"/>
        <item m="1" x="2089"/>
        <item m="1" x="2202"/>
        <item x="1419"/>
        <item x="1420"/>
        <item x="1421"/>
        <item x="1422"/>
        <item x="1423"/>
        <item x="1424"/>
        <item x="1425"/>
        <item x="1426"/>
        <item x="1427"/>
        <item x="1428"/>
        <item x="1429"/>
        <item x="1430"/>
        <item x="1431"/>
        <item x="1432"/>
        <item x="1433"/>
        <item m="1" x="2090"/>
        <item m="1" x="2254"/>
        <item m="1" x="2239"/>
        <item m="1" x="2234"/>
        <item m="1" x="2252"/>
        <item m="1" x="2237"/>
        <item m="1" x="2268"/>
        <item m="1" x="2040"/>
        <item m="1" x="2111"/>
        <item m="1" x="2253"/>
        <item m="1" x="2172"/>
        <item m="1" x="2039"/>
        <item m="1" x="2110"/>
        <item m="1" x="2267"/>
        <item m="1" x="2269"/>
        <item m="1" x="2238"/>
        <item m="1" x="2247"/>
        <item m="1" x="2354"/>
        <item m="1" x="2214"/>
        <item m="1" x="2216"/>
        <item m="1" x="2179"/>
        <item m="1" x="2212"/>
        <item m="1" x="2165"/>
        <item m="1" x="2291"/>
        <item m="1" x="2362"/>
        <item m="1" x="2180"/>
        <item m="1" x="2206"/>
        <item m="1" x="2290"/>
        <item m="1" x="2361"/>
        <item m="1" x="2164"/>
        <item m="1" x="2166"/>
        <item m="1" x="2213"/>
        <item m="1" x="2355"/>
        <item m="1" x="2363"/>
        <item m="1" x="2257"/>
        <item m="1" x="2369"/>
        <item m="1" x="2093"/>
        <item m="1" x="2023"/>
        <item x="1140"/>
        <item x="1156"/>
        <item x="1157"/>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24"/>
        <item x="1325"/>
        <item x="1326"/>
        <item x="1327"/>
        <item x="1328"/>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400"/>
        <item x="1401"/>
        <item x="1402"/>
        <item x="1403"/>
        <item x="1404"/>
        <item x="1405"/>
        <item x="1406"/>
        <item x="1407"/>
        <item x="1408"/>
        <item x="1409"/>
        <item x="1410"/>
        <item x="1411"/>
        <item x="1412"/>
        <item x="1413"/>
        <item x="1414"/>
        <item x="1415"/>
        <item x="1416"/>
        <item x="1417"/>
        <item x="1418"/>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m="1" x="2103"/>
        <item x="1489"/>
        <item x="1490"/>
        <item x="1491"/>
        <item x="1492"/>
        <item x="1493"/>
        <item x="1494"/>
        <item x="1495"/>
        <item x="1496"/>
        <item x="1497"/>
        <item x="1498"/>
        <item x="1499"/>
        <item x="1500"/>
        <item x="1501"/>
        <item m="1" x="2192"/>
        <item x="1503"/>
        <item x="1504"/>
        <item x="1505"/>
        <item x="1679"/>
        <item m="1" x="2256"/>
        <item m="1" x="2113"/>
        <item m="1" x="2201"/>
        <item m="1" x="2194"/>
        <item m="1" x="2115"/>
        <item m="1" x="2200"/>
        <item m="1" x="2339"/>
        <item m="1" x="2101"/>
        <item m="1" x="2230"/>
        <item m="1" x="2182"/>
        <item m="1" x="2098"/>
        <item m="1" x="2102"/>
        <item m="1" x="2191"/>
        <item m="1" x="2108"/>
        <item m="1" x="2338"/>
        <item m="1" x="2205"/>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80"/>
        <item x="1681"/>
        <item x="1682"/>
        <item x="1683"/>
        <item x="1684"/>
        <item x="1488"/>
        <item x="1502"/>
        <item x="1506"/>
        <item x="1507"/>
        <item x="1508"/>
        <item x="1509"/>
        <item x="1510"/>
        <item x="1511"/>
        <item x="1512"/>
        <item x="1513"/>
        <item x="1514"/>
        <item x="1515"/>
        <item x="1516"/>
        <item x="1517"/>
        <item x="1518"/>
        <item x="1519"/>
        <item x="1520"/>
        <item x="1521"/>
        <item x="1522"/>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s>
    </pivotField>
    <pivotField compact="0" outline="0" showAll="0" defaultSubtotal="0"/>
    <pivotField compact="0" outline="0" showAll="0" defaultSubtotal="0"/>
    <pivotField compact="0" outline="0" showAll="0" defaultSubtotal="0"/>
    <pivotField axis="axisRow" compact="0" outline="0" showAll="0" defaultSubtotal="0">
      <items count="1707">
        <item m="1" x="1672"/>
        <item m="1" x="1677"/>
        <item m="1" x="1664"/>
        <item x="104"/>
        <item x="103"/>
        <item m="1" x="1681"/>
        <item m="1" x="1666"/>
        <item x="106"/>
        <item x="115"/>
        <item x="116"/>
        <item x="117"/>
        <item x="118"/>
        <item x="119"/>
        <item x="120"/>
        <item x="121"/>
        <item x="107"/>
        <item x="108"/>
        <item x="109"/>
        <item x="110"/>
        <item x="111"/>
        <item x="112"/>
        <item x="113"/>
        <item x="114"/>
        <item m="1" x="1673"/>
        <item x="69"/>
        <item x="277"/>
        <item x="278"/>
        <item x="279"/>
        <item x="280"/>
        <item m="1" x="1683"/>
        <item m="1" x="1703"/>
        <item m="1" x="1706"/>
        <item m="1" x="1665"/>
        <item m="1" x="1671"/>
        <item m="1" x="1675"/>
        <item m="1" x="1678"/>
        <item m="1" x="1679"/>
        <item m="1" x="1691"/>
        <item m="1" x="1702"/>
        <item m="1" x="1704"/>
        <item m="1" x="1667"/>
        <item m="1" x="1676"/>
        <item m="1" x="1680"/>
        <item m="1" x="1682"/>
        <item m="1" x="1684"/>
        <item x="178"/>
        <item x="180"/>
        <item x="189"/>
        <item x="190"/>
        <item x="191"/>
        <item x="192"/>
        <item x="193"/>
        <item x="194"/>
        <item x="195"/>
        <item x="181"/>
        <item x="182"/>
        <item x="183"/>
        <item x="184"/>
        <item x="185"/>
        <item x="186"/>
        <item x="187"/>
        <item x="188"/>
        <item x="197"/>
        <item x="206"/>
        <item x="207"/>
        <item x="208"/>
        <item x="209"/>
        <item x="210"/>
        <item x="211"/>
        <item x="212"/>
        <item x="198"/>
        <item x="199"/>
        <item x="200"/>
        <item x="201"/>
        <item x="202"/>
        <item x="203"/>
        <item x="204"/>
        <item x="205"/>
        <item x="213"/>
        <item x="231"/>
        <item x="282"/>
        <item x="291"/>
        <item x="292"/>
        <item x="293"/>
        <item x="294"/>
        <item x="295"/>
        <item x="296"/>
        <item x="297"/>
        <item x="283"/>
        <item x="284"/>
        <item x="285"/>
        <item x="286"/>
        <item x="287"/>
        <item x="288"/>
        <item x="289"/>
        <item x="290"/>
        <item x="299"/>
        <item x="308"/>
        <item x="309"/>
        <item x="310"/>
        <item x="311"/>
        <item x="312"/>
        <item x="313"/>
        <item x="314"/>
        <item x="300"/>
        <item x="301"/>
        <item x="302"/>
        <item x="303"/>
        <item x="304"/>
        <item x="305"/>
        <item x="306"/>
        <item x="307"/>
        <item x="315"/>
        <item m="1" x="1670"/>
        <item x="243"/>
        <item x="145"/>
        <item m="1" x="1705"/>
        <item x="196"/>
        <item x="214"/>
        <item x="215"/>
        <item x="224"/>
        <item x="225"/>
        <item x="226"/>
        <item x="227"/>
        <item x="228"/>
        <item x="229"/>
        <item x="230"/>
        <item x="216"/>
        <item x="217"/>
        <item x="218"/>
        <item x="219"/>
        <item x="220"/>
        <item x="221"/>
        <item x="222"/>
        <item x="223"/>
        <item x="179"/>
        <item x="123"/>
        <item x="172"/>
        <item x="175"/>
        <item x="171"/>
        <item x="163"/>
        <item x="167"/>
        <item x="174"/>
        <item x="164"/>
        <item x="176"/>
        <item x="168"/>
        <item x="165"/>
        <item x="169"/>
        <item x="162"/>
        <item x="177"/>
        <item x="170"/>
        <item x="166"/>
        <item x="173"/>
        <item x="122"/>
        <item m="1" x="1692"/>
        <item x="2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5"/>
        <item x="124"/>
        <item x="125"/>
        <item x="126"/>
        <item x="127"/>
        <item x="128"/>
        <item x="129"/>
        <item x="130"/>
        <item x="131"/>
        <item x="132"/>
        <item x="133"/>
        <item x="134"/>
        <item x="135"/>
        <item x="136"/>
        <item x="137"/>
        <item x="138"/>
        <item x="139"/>
        <item x="140"/>
        <item x="141"/>
        <item x="142"/>
        <item x="143"/>
        <item x="144"/>
        <item x="146"/>
        <item x="147"/>
        <item x="148"/>
        <item x="149"/>
        <item x="150"/>
        <item x="151"/>
        <item x="152"/>
        <item x="153"/>
        <item x="154"/>
        <item x="155"/>
        <item x="156"/>
        <item x="157"/>
        <item x="158"/>
        <item x="159"/>
        <item x="160"/>
        <item x="161"/>
        <item x="232"/>
        <item x="233"/>
        <item x="234"/>
        <item x="235"/>
        <item x="236"/>
        <item x="237"/>
        <item x="238"/>
        <item x="239"/>
        <item x="240"/>
        <item x="241"/>
        <item x="242"/>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98"/>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m="1" x="1674"/>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m="1" x="1688"/>
        <item x="767"/>
        <item x="768"/>
        <item x="769"/>
        <item x="770"/>
        <item x="771"/>
        <item x="772"/>
        <item x="773"/>
        <item x="774"/>
        <item x="775"/>
        <item x="776"/>
        <item x="777"/>
        <item x="778"/>
        <item x="779"/>
        <item x="780"/>
        <item x="781"/>
        <item x="783"/>
        <item m="1" x="1687"/>
        <item x="784"/>
        <item x="785"/>
        <item x="786"/>
        <item x="787"/>
        <item x="788"/>
        <item x="789"/>
        <item x="790"/>
        <item x="791"/>
        <item x="792"/>
        <item x="793"/>
        <item x="794"/>
        <item x="795"/>
        <item x="796"/>
        <item x="797"/>
        <item x="798"/>
        <item x="800"/>
        <item m="1" x="1689"/>
        <item x="801"/>
        <item x="802"/>
        <item x="803"/>
        <item x="804"/>
        <item x="805"/>
        <item x="806"/>
        <item x="807"/>
        <item x="808"/>
        <item x="809"/>
        <item x="810"/>
        <item x="811"/>
        <item x="812"/>
        <item x="813"/>
        <item x="814"/>
        <item x="815"/>
        <item x="817"/>
        <item m="1" x="1699"/>
        <item x="818"/>
        <item x="819"/>
        <item x="820"/>
        <item x="821"/>
        <item x="822"/>
        <item x="823"/>
        <item x="824"/>
        <item x="825"/>
        <item x="826"/>
        <item x="827"/>
        <item x="828"/>
        <item x="829"/>
        <item x="830"/>
        <item x="831"/>
        <item x="832"/>
        <item x="834"/>
        <item m="1" x="1690"/>
        <item x="835"/>
        <item x="836"/>
        <item x="837"/>
        <item x="838"/>
        <item x="839"/>
        <item x="840"/>
        <item x="841"/>
        <item x="842"/>
        <item x="843"/>
        <item x="844"/>
        <item x="845"/>
        <item x="846"/>
        <item x="847"/>
        <item x="848"/>
        <item x="849"/>
        <item x="851"/>
        <item m="1" x="1693"/>
        <item x="852"/>
        <item x="853"/>
        <item x="854"/>
        <item x="855"/>
        <item x="856"/>
        <item x="857"/>
        <item x="858"/>
        <item x="859"/>
        <item x="860"/>
        <item x="861"/>
        <item x="862"/>
        <item x="863"/>
        <item x="864"/>
        <item x="865"/>
        <item x="866"/>
        <item x="868"/>
        <item m="1" x="1668"/>
        <item x="869"/>
        <item x="870"/>
        <item x="871"/>
        <item x="872"/>
        <item x="873"/>
        <item x="874"/>
        <item x="875"/>
        <item x="876"/>
        <item x="877"/>
        <item x="878"/>
        <item x="879"/>
        <item x="880"/>
        <item x="881"/>
        <item x="882"/>
        <item x="883"/>
        <item x="885"/>
        <item m="1" x="1695"/>
        <item x="886"/>
        <item x="887"/>
        <item x="888"/>
        <item x="889"/>
        <item x="890"/>
        <item x="891"/>
        <item x="892"/>
        <item x="893"/>
        <item x="894"/>
        <item x="895"/>
        <item x="896"/>
        <item x="897"/>
        <item x="898"/>
        <item x="899"/>
        <item x="900"/>
        <item x="902"/>
        <item m="1" x="1669"/>
        <item x="903"/>
        <item x="904"/>
        <item x="905"/>
        <item x="906"/>
        <item x="907"/>
        <item x="908"/>
        <item x="909"/>
        <item x="910"/>
        <item x="911"/>
        <item x="912"/>
        <item x="913"/>
        <item x="914"/>
        <item x="915"/>
        <item x="916"/>
        <item x="917"/>
        <item x="919"/>
        <item m="1" x="1694"/>
        <item x="920"/>
        <item x="921"/>
        <item x="922"/>
        <item x="923"/>
        <item x="924"/>
        <item x="925"/>
        <item x="926"/>
        <item x="927"/>
        <item x="928"/>
        <item x="929"/>
        <item x="930"/>
        <item x="931"/>
        <item x="932"/>
        <item x="933"/>
        <item x="934"/>
        <item x="936"/>
        <item m="1" x="1685"/>
        <item x="937"/>
        <item x="938"/>
        <item x="939"/>
        <item x="940"/>
        <item x="941"/>
        <item x="942"/>
        <item x="943"/>
        <item x="944"/>
        <item x="945"/>
        <item x="946"/>
        <item x="947"/>
        <item x="948"/>
        <item x="949"/>
        <item x="953"/>
        <item x="954"/>
        <item x="955"/>
        <item m="1" x="1686"/>
        <item x="956"/>
        <item x="957"/>
        <item x="958"/>
        <item x="959"/>
        <item x="960"/>
        <item x="961"/>
        <item x="962"/>
        <item x="963"/>
        <item x="964"/>
        <item x="965"/>
        <item x="966"/>
        <item x="967"/>
        <item x="972"/>
        <item x="973"/>
        <item x="974"/>
        <item x="975"/>
        <item m="1" x="1700"/>
        <item x="976"/>
        <item x="977"/>
        <item x="978"/>
        <item x="979"/>
        <item x="980"/>
        <item x="981"/>
        <item x="982"/>
        <item x="983"/>
        <item x="984"/>
        <item x="985"/>
        <item x="986"/>
        <item x="992"/>
        <item x="993"/>
        <item x="994"/>
        <item x="995"/>
        <item x="996"/>
        <item x="997"/>
        <item x="998"/>
        <item x="999"/>
        <item x="1000"/>
        <item x="1001"/>
        <item x="1002"/>
        <item x="1003"/>
        <item x="1004"/>
        <item x="1005"/>
        <item x="1006"/>
        <item x="1007"/>
        <item x="1008"/>
        <item x="1009"/>
        <item x="1010"/>
        <item x="1011"/>
        <item x="1012"/>
        <item m="1" x="1701"/>
        <item x="1013"/>
        <item x="1014"/>
        <item x="1015"/>
        <item x="1016"/>
        <item x="1017"/>
        <item x="1018"/>
        <item x="1019"/>
        <item x="1020"/>
        <item x="1021"/>
        <item x="1022"/>
        <item x="1023"/>
        <item x="1024"/>
        <item x="1025"/>
        <item x="1026"/>
        <item x="1028"/>
        <item x="1029"/>
        <item x="1030"/>
        <item x="1031"/>
        <item x="1032"/>
        <item x="1033"/>
        <item x="1034"/>
        <item x="1035"/>
        <item x="1036"/>
        <item x="1037"/>
        <item x="1038"/>
        <item x="1039"/>
        <item x="1040"/>
        <item x="1041"/>
        <item x="1042"/>
        <item x="1043"/>
        <item x="1044"/>
        <item x="1045"/>
        <item m="1" x="1696"/>
        <item x="1046"/>
        <item x="1047"/>
        <item x="1048"/>
        <item x="1049"/>
        <item x="1050"/>
        <item x="1051"/>
        <item x="1052"/>
        <item x="1053"/>
        <item x="1054"/>
        <item x="1055"/>
        <item x="1056"/>
        <item x="1057"/>
        <item x="1058"/>
        <item x="1059"/>
        <item x="1060"/>
        <item x="1062"/>
        <item m="1" x="1697"/>
        <item x="1063"/>
        <item x="1064"/>
        <item x="1065"/>
        <item x="1066"/>
        <item x="1067"/>
        <item x="1068"/>
        <item x="1069"/>
        <item x="1070"/>
        <item x="1071"/>
        <item x="1072"/>
        <item x="1073"/>
        <item x="1074"/>
        <item x="1075"/>
        <item x="1076"/>
        <item x="1077"/>
        <item x="1079"/>
        <item m="1" x="1698"/>
        <item x="1080"/>
        <item x="1081"/>
        <item x="1082"/>
        <item x="1083"/>
        <item x="1084"/>
        <item x="1085"/>
        <item x="1086"/>
        <item x="1087"/>
        <item x="1088"/>
        <item x="1089"/>
        <item x="1090"/>
        <item x="1091"/>
        <item x="1092"/>
        <item x="1096"/>
        <item x="1097"/>
        <item x="1098"/>
        <item m="1" x="1663"/>
        <item x="782"/>
        <item x="799"/>
        <item x="816"/>
        <item x="833"/>
        <item x="850"/>
        <item x="867"/>
        <item x="884"/>
        <item x="901"/>
        <item x="918"/>
        <item x="935"/>
        <item x="950"/>
        <item x="951"/>
        <item x="952"/>
        <item x="968"/>
        <item x="969"/>
        <item x="970"/>
        <item x="971"/>
        <item x="987"/>
        <item x="988"/>
        <item x="989"/>
        <item x="990"/>
        <item x="991"/>
        <item x="1027"/>
        <item x="1061"/>
        <item x="1078"/>
        <item x="1093"/>
        <item x="1094"/>
        <item x="1095"/>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697"/>
        <item x="698"/>
        <item x="699"/>
        <item x="700"/>
        <item x="701"/>
        <item x="702"/>
        <item x="703"/>
        <item x="704"/>
        <item x="705"/>
        <item x="706"/>
        <item x="707"/>
        <item x="708"/>
        <item x="709"/>
        <item x="710"/>
        <item x="711"/>
        <item x="712"/>
        <item x="713"/>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424"/>
        <item x="425"/>
        <item x="426"/>
        <item x="427"/>
        <item x="428"/>
        <item x="429"/>
        <item x="430"/>
        <item x="431"/>
        <item x="432"/>
        <item x="433"/>
        <item x="434"/>
        <item x="435"/>
        <item x="436"/>
        <item x="437"/>
        <item x="438"/>
        <item x="439"/>
        <item x="4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8">
    <field x="0"/>
    <field x="3"/>
    <field x="5"/>
    <field x="6"/>
    <field x="7"/>
    <field x="8"/>
    <field x="14"/>
    <field x="18"/>
  </rowFields>
  <rowItems count="2101">
    <i>
      <x/>
      <x v="10"/>
      <x v="30"/>
      <x v="45"/>
      <x/>
      <x/>
      <x v="109"/>
      <x v="156"/>
    </i>
    <i>
      <x v="1"/>
      <x v="10"/>
      <x v="30"/>
      <x v="45"/>
      <x v="1"/>
      <x v="13"/>
      <x v="122"/>
      <x v="157"/>
    </i>
    <i>
      <x v="2"/>
      <x v="10"/>
      <x v="30"/>
      <x v="45"/>
      <x v="1"/>
      <x v="1"/>
      <x v="110"/>
      <x v="158"/>
    </i>
    <i>
      <x v="3"/>
      <x v="10"/>
      <x v="30"/>
      <x v="45"/>
      <x v="1"/>
      <x v="3"/>
      <x v="112"/>
      <x v="159"/>
    </i>
    <i>
      <x v="4"/>
      <x v="10"/>
      <x v="30"/>
      <x v="45"/>
      <x v="1"/>
      <x v="5"/>
      <x v="114"/>
      <x v="160"/>
    </i>
    <i>
      <x v="5"/>
      <x v="10"/>
      <x v="30"/>
      <x v="45"/>
      <x v="1"/>
      <x v="14"/>
      <x v="123"/>
      <x v="161"/>
    </i>
    <i>
      <x v="6"/>
      <x v="10"/>
      <x v="30"/>
      <x v="45"/>
      <x v="1"/>
      <x v="12"/>
      <x v="121"/>
      <x v="162"/>
    </i>
    <i>
      <x v="7"/>
      <x v="10"/>
      <x v="30"/>
      <x v="45"/>
      <x v="1"/>
      <x v="10"/>
      <x v="119"/>
      <x v="163"/>
    </i>
    <i>
      <x v="8"/>
      <x v="10"/>
      <x v="30"/>
      <x v="45"/>
      <x v="1"/>
      <x v="15"/>
      <x v="124"/>
      <x v="164"/>
    </i>
    <i>
      <x v="9"/>
      <x v="10"/>
      <x v="30"/>
      <x v="45"/>
      <x v="1"/>
      <x v="6"/>
      <x v="115"/>
      <x v="165"/>
    </i>
    <i>
      <x v="10"/>
      <x v="10"/>
      <x v="30"/>
      <x v="45"/>
      <x v="1"/>
      <x v="7"/>
      <x v="116"/>
      <x v="166"/>
    </i>
    <i>
      <x v="11"/>
      <x v="10"/>
      <x v="30"/>
      <x v="45"/>
      <x v="1"/>
      <x v="4"/>
      <x v="113"/>
      <x v="167"/>
    </i>
    <i>
      <x v="12"/>
      <x v="10"/>
      <x v="30"/>
      <x v="45"/>
      <x v="1"/>
      <x v="9"/>
      <x v="118"/>
      <x v="168"/>
    </i>
    <i>
      <x v="13"/>
      <x v="10"/>
      <x v="30"/>
      <x v="45"/>
      <x v="1"/>
      <x v="16"/>
      <x v="125"/>
      <x v="169"/>
    </i>
    <i>
      <x v="14"/>
      <x v="10"/>
      <x v="30"/>
      <x v="45"/>
      <x v="1"/>
      <x v="8"/>
      <x v="117"/>
      <x v="170"/>
    </i>
    <i>
      <x v="15"/>
      <x v="10"/>
      <x v="30"/>
      <x v="45"/>
      <x v="1"/>
      <x v="2"/>
      <x v="111"/>
      <x v="171"/>
    </i>
    <i>
      <x v="16"/>
      <x v="10"/>
      <x v="30"/>
      <x v="45"/>
      <x v="1"/>
      <x v="11"/>
      <x v="120"/>
      <x v="172"/>
    </i>
    <i>
      <x v="17"/>
      <x v="3"/>
      <x v="133"/>
      <x v="93"/>
      <x v="1"/>
      <x v="13"/>
      <x v="246"/>
      <x v="174"/>
    </i>
    <i>
      <x v="18"/>
      <x v="3"/>
      <x v="133"/>
      <x v="93"/>
      <x v="1"/>
      <x v="1"/>
      <x v="234"/>
      <x v="175"/>
    </i>
    <i>
      <x v="19"/>
      <x v="3"/>
      <x v="133"/>
      <x v="93"/>
      <x v="1"/>
      <x v="3"/>
      <x v="236"/>
      <x v="176"/>
    </i>
    <i>
      <x v="20"/>
      <x v="3"/>
      <x v="133"/>
      <x v="93"/>
      <x v="1"/>
      <x v="5"/>
      <x v="238"/>
      <x v="177"/>
    </i>
    <i>
      <x v="21"/>
      <x v="3"/>
      <x v="133"/>
      <x v="93"/>
      <x v="1"/>
      <x v="14"/>
      <x v="247"/>
      <x v="178"/>
    </i>
    <i>
      <x v="22"/>
      <x v="3"/>
      <x v="133"/>
      <x v="93"/>
      <x v="1"/>
      <x v="12"/>
      <x v="245"/>
      <x v="179"/>
    </i>
    <i>
      <x v="23"/>
      <x v="3"/>
      <x v="133"/>
      <x v="93"/>
      <x v="1"/>
      <x v="10"/>
      <x v="243"/>
      <x v="180"/>
    </i>
    <i>
      <x v="24"/>
      <x v="3"/>
      <x v="133"/>
      <x v="93"/>
      <x v="1"/>
      <x v="15"/>
      <x v="248"/>
      <x v="181"/>
    </i>
    <i>
      <x v="25"/>
      <x v="3"/>
      <x v="133"/>
      <x v="93"/>
      <x v="1"/>
      <x v="6"/>
      <x v="239"/>
      <x v="182"/>
    </i>
    <i>
      <x v="26"/>
      <x v="3"/>
      <x v="133"/>
      <x v="93"/>
      <x v="1"/>
      <x v="7"/>
      <x v="240"/>
      <x v="183"/>
    </i>
    <i>
      <x v="27"/>
      <x v="3"/>
      <x v="133"/>
      <x v="93"/>
      <x v="1"/>
      <x v="4"/>
      <x v="237"/>
      <x v="184"/>
    </i>
    <i>
      <x v="28"/>
      <x v="3"/>
      <x v="133"/>
      <x v="93"/>
      <x v="1"/>
      <x v="9"/>
      <x v="242"/>
      <x v="185"/>
    </i>
    <i>
      <x v="29"/>
      <x v="3"/>
      <x v="133"/>
      <x v="93"/>
      <x v="1"/>
      <x v="16"/>
      <x v="249"/>
      <x v="186"/>
    </i>
    <i>
      <x v="30"/>
      <x v="3"/>
      <x v="133"/>
      <x v="93"/>
      <x v="1"/>
      <x v="8"/>
      <x v="241"/>
      <x v="187"/>
    </i>
    <i>
      <x v="31"/>
      <x v="3"/>
      <x v="133"/>
      <x v="93"/>
      <x v="1"/>
      <x v="2"/>
      <x v="235"/>
      <x v="188"/>
    </i>
    <i>
      <x v="32"/>
      <x v="3"/>
      <x v="133"/>
      <x v="93"/>
      <x v="1"/>
      <x v="11"/>
      <x v="244"/>
      <x v="189"/>
    </i>
    <i>
      <x v="33"/>
      <x v="6"/>
      <x v="80"/>
      <x v="47"/>
      <x/>
      <x/>
      <x v="372"/>
      <x v="190"/>
    </i>
    <i>
      <x v="34"/>
      <x v="6"/>
      <x v="80"/>
      <x v="47"/>
      <x v="1"/>
      <x v="13"/>
      <x v="373"/>
      <x v="191"/>
    </i>
    <i>
      <x v="35"/>
      <x v="6"/>
      <x v="80"/>
      <x v="47"/>
      <x v="1"/>
      <x v="1"/>
      <x v="374"/>
      <x v="192"/>
    </i>
    <i>
      <x v="36"/>
      <x v="6"/>
      <x v="80"/>
      <x v="47"/>
      <x v="1"/>
      <x v="3"/>
      <x v="375"/>
      <x v="193"/>
    </i>
    <i>
      <x v="37"/>
      <x v="6"/>
      <x v="80"/>
      <x v="47"/>
      <x v="1"/>
      <x v="5"/>
      <x v="376"/>
      <x v="194"/>
    </i>
    <i>
      <x v="38"/>
      <x v="6"/>
      <x v="80"/>
      <x v="47"/>
      <x v="1"/>
      <x v="14"/>
      <x v="377"/>
      <x v="195"/>
    </i>
    <i>
      <x v="39"/>
      <x v="6"/>
      <x v="80"/>
      <x v="47"/>
      <x v="1"/>
      <x v="12"/>
      <x v="378"/>
      <x v="196"/>
    </i>
    <i>
      <x v="40"/>
      <x v="6"/>
      <x v="80"/>
      <x v="47"/>
      <x v="1"/>
      <x v="10"/>
      <x v="379"/>
      <x v="197"/>
    </i>
    <i>
      <x v="41"/>
      <x v="6"/>
      <x v="80"/>
      <x v="47"/>
      <x v="1"/>
      <x v="15"/>
      <x v="380"/>
      <x v="198"/>
    </i>
    <i>
      <x v="42"/>
      <x v="6"/>
      <x v="80"/>
      <x v="47"/>
      <x v="1"/>
      <x v="6"/>
      <x v="381"/>
      <x v="199"/>
    </i>
    <i>
      <x v="43"/>
      <x v="6"/>
      <x v="80"/>
      <x v="47"/>
      <x v="1"/>
      <x v="7"/>
      <x v="382"/>
      <x v="200"/>
    </i>
    <i>
      <x v="44"/>
      <x v="6"/>
      <x v="80"/>
      <x v="47"/>
      <x v="1"/>
      <x v="4"/>
      <x v="383"/>
      <x v="201"/>
    </i>
    <i>
      <x v="45"/>
      <x v="6"/>
      <x v="80"/>
      <x v="47"/>
      <x v="1"/>
      <x v="9"/>
      <x v="384"/>
      <x v="202"/>
    </i>
    <i>
      <x v="46"/>
      <x v="6"/>
      <x v="80"/>
      <x v="47"/>
      <x v="1"/>
      <x v="16"/>
      <x v="385"/>
      <x v="203"/>
    </i>
    <i>
      <x v="47"/>
      <x v="6"/>
      <x v="80"/>
      <x v="47"/>
      <x v="1"/>
      <x v="8"/>
      <x v="386"/>
      <x v="204"/>
    </i>
    <i>
      <x v="48"/>
      <x v="6"/>
      <x v="80"/>
      <x v="47"/>
      <x v="1"/>
      <x v="2"/>
      <x v="387"/>
      <x v="205"/>
    </i>
    <i>
      <x v="49"/>
      <x v="6"/>
      <x v="80"/>
      <x v="47"/>
      <x v="1"/>
      <x v="11"/>
      <x v="388"/>
      <x v="206"/>
    </i>
    <i>
      <x v="50"/>
      <x v="10"/>
      <x v="31"/>
      <x v="45"/>
      <x/>
      <x/>
      <x v="389"/>
      <x v="207"/>
    </i>
    <i>
      <x v="51"/>
      <x v="10"/>
      <x v="81"/>
      <x v="45"/>
      <x/>
      <x/>
      <x v="390"/>
      <x v="208"/>
    </i>
    <i>
      <x v="52"/>
      <x v="10"/>
      <x v="81"/>
      <x v="45"/>
      <x v="1"/>
      <x v="13"/>
      <x v="391"/>
      <x v="209"/>
    </i>
    <i>
      <x v="53"/>
      <x v="10"/>
      <x v="81"/>
      <x v="45"/>
      <x v="1"/>
      <x v="1"/>
      <x v="392"/>
      <x v="210"/>
    </i>
    <i>
      <x v="54"/>
      <x v="10"/>
      <x v="81"/>
      <x v="45"/>
      <x v="1"/>
      <x v="3"/>
      <x v="393"/>
      <x v="211"/>
    </i>
    <i>
      <x v="55"/>
      <x v="10"/>
      <x v="81"/>
      <x v="45"/>
      <x v="1"/>
      <x v="5"/>
      <x v="394"/>
      <x v="212"/>
    </i>
    <i>
      <x v="56"/>
      <x v="10"/>
      <x v="81"/>
      <x v="45"/>
      <x v="1"/>
      <x v="14"/>
      <x v="395"/>
      <x v="213"/>
    </i>
    <i>
      <x v="57"/>
      <x v="10"/>
      <x v="81"/>
      <x v="45"/>
      <x v="1"/>
      <x v="12"/>
      <x v="396"/>
      <x v="214"/>
    </i>
    <i>
      <x v="58"/>
      <x v="10"/>
      <x v="81"/>
      <x v="45"/>
      <x v="1"/>
      <x v="10"/>
      <x v="397"/>
      <x v="215"/>
    </i>
    <i>
      <x v="59"/>
      <x v="10"/>
      <x v="81"/>
      <x v="45"/>
      <x v="1"/>
      <x v="15"/>
      <x v="398"/>
      <x v="216"/>
    </i>
    <i>
      <x v="60"/>
      <x v="10"/>
      <x v="81"/>
      <x v="45"/>
      <x v="1"/>
      <x v="6"/>
      <x v="399"/>
      <x v="217"/>
    </i>
    <i>
      <x v="61"/>
      <x v="10"/>
      <x v="81"/>
      <x v="45"/>
      <x v="1"/>
      <x v="7"/>
      <x v="400"/>
      <x v="218"/>
    </i>
    <i>
      <x v="62"/>
      <x v="10"/>
      <x v="81"/>
      <x v="45"/>
      <x v="1"/>
      <x v="4"/>
      <x v="401"/>
      <x v="219"/>
    </i>
    <i>
      <x v="63"/>
      <x v="10"/>
      <x v="81"/>
      <x v="45"/>
      <x v="1"/>
      <x v="9"/>
      <x v="402"/>
      <x v="220"/>
    </i>
    <i>
      <x v="64"/>
      <x v="10"/>
      <x v="81"/>
      <x v="45"/>
      <x v="1"/>
      <x v="16"/>
      <x v="403"/>
      <x v="221"/>
    </i>
    <i>
      <x v="65"/>
      <x v="10"/>
      <x v="81"/>
      <x v="45"/>
      <x v="1"/>
      <x v="8"/>
      <x v="404"/>
      <x v="222"/>
    </i>
    <i>
      <x v="66"/>
      <x v="10"/>
      <x v="81"/>
      <x v="45"/>
      <x v="1"/>
      <x v="2"/>
      <x v="405"/>
      <x v="223"/>
    </i>
    <i>
      <x v="67"/>
      <x v="10"/>
      <x v="81"/>
      <x v="45"/>
      <x v="1"/>
      <x v="11"/>
      <x v="406"/>
      <x v="224"/>
    </i>
    <i>
      <x v="68"/>
      <x v="5"/>
      <x v="13"/>
      <x v="82"/>
      <x/>
      <x/>
      <x v="268"/>
      <x v="24"/>
    </i>
    <i>
      <x v="69"/>
      <x v="5"/>
      <x v="13"/>
      <x v="82"/>
      <x v="1"/>
      <x v="13"/>
      <x v="281"/>
      <x v="225"/>
    </i>
    <i>
      <x v="70"/>
      <x v="5"/>
      <x v="13"/>
      <x v="82"/>
      <x v="1"/>
      <x v="1"/>
      <x v="269"/>
      <x v="226"/>
    </i>
    <i>
      <x v="71"/>
      <x v="5"/>
      <x v="13"/>
      <x v="82"/>
      <x v="1"/>
      <x v="3"/>
      <x v="271"/>
      <x v="227"/>
    </i>
    <i>
      <x v="72"/>
      <x v="5"/>
      <x v="13"/>
      <x v="82"/>
      <x v="1"/>
      <x v="5"/>
      <x v="273"/>
      <x v="228"/>
    </i>
    <i>
      <x v="73"/>
      <x v="5"/>
      <x v="13"/>
      <x v="82"/>
      <x v="1"/>
      <x v="14"/>
      <x v="282"/>
      <x v="229"/>
    </i>
    <i>
      <x v="74"/>
      <x v="5"/>
      <x v="13"/>
      <x v="82"/>
      <x v="1"/>
      <x v="12"/>
      <x v="280"/>
      <x v="230"/>
    </i>
    <i>
      <x v="75"/>
      <x v="5"/>
      <x v="13"/>
      <x v="82"/>
      <x v="1"/>
      <x v="10"/>
      <x v="278"/>
      <x v="231"/>
    </i>
    <i>
      <x v="76"/>
      <x v="5"/>
      <x v="13"/>
      <x v="82"/>
      <x v="1"/>
      <x v="15"/>
      <x v="283"/>
      <x v="232"/>
    </i>
    <i>
      <x v="77"/>
      <x v="5"/>
      <x v="13"/>
      <x v="82"/>
      <x v="1"/>
      <x v="6"/>
      <x v="274"/>
      <x v="233"/>
    </i>
    <i>
      <x v="78"/>
      <x v="5"/>
      <x v="13"/>
      <x v="82"/>
      <x v="1"/>
      <x v="7"/>
      <x v="275"/>
      <x v="234"/>
    </i>
    <i>
      <x v="79"/>
      <x v="5"/>
      <x v="13"/>
      <x v="82"/>
      <x v="1"/>
      <x v="4"/>
      <x v="272"/>
      <x v="235"/>
    </i>
    <i>
      <x v="80"/>
      <x v="5"/>
      <x v="13"/>
      <x v="82"/>
      <x v="1"/>
      <x v="9"/>
      <x v="277"/>
      <x v="236"/>
    </i>
    <i>
      <x v="81"/>
      <x v="5"/>
      <x v="13"/>
      <x v="82"/>
      <x v="1"/>
      <x v="16"/>
      <x v="284"/>
      <x v="237"/>
    </i>
    <i>
      <x v="82"/>
      <x v="5"/>
      <x v="13"/>
      <x v="82"/>
      <x v="1"/>
      <x v="8"/>
      <x v="276"/>
      <x v="238"/>
    </i>
    <i>
      <x v="83"/>
      <x v="5"/>
      <x v="13"/>
      <x v="82"/>
      <x v="1"/>
      <x v="2"/>
      <x v="270"/>
      <x v="239"/>
    </i>
    <i>
      <x v="84"/>
      <x v="5"/>
      <x v="13"/>
      <x v="82"/>
      <x v="1"/>
      <x v="11"/>
      <x v="279"/>
      <x v="240"/>
    </i>
    <i>
      <x v="85"/>
      <x v="8"/>
      <x v="82"/>
      <x v="3"/>
      <x/>
      <x/>
      <x v="92"/>
      <x v="241"/>
    </i>
    <i>
      <x v="86"/>
      <x v="8"/>
      <x v="82"/>
      <x v="3"/>
      <x v="1"/>
      <x v="13"/>
      <x v="105"/>
      <x v="242"/>
    </i>
    <i>
      <x v="87"/>
      <x v="8"/>
      <x v="82"/>
      <x v="3"/>
      <x v="1"/>
      <x v="1"/>
      <x v="93"/>
      <x v="243"/>
    </i>
    <i>
      <x v="88"/>
      <x v="8"/>
      <x v="82"/>
      <x v="3"/>
      <x v="1"/>
      <x v="3"/>
      <x v="95"/>
      <x v="244"/>
    </i>
    <i>
      <x v="89"/>
      <x v="8"/>
      <x v="82"/>
      <x v="3"/>
      <x v="1"/>
      <x v="5"/>
      <x v="97"/>
      <x v="245"/>
    </i>
    <i>
      <x v="90"/>
      <x v="8"/>
      <x v="82"/>
      <x v="3"/>
      <x v="1"/>
      <x v="14"/>
      <x v="106"/>
      <x v="246"/>
    </i>
    <i>
      <x v="91"/>
      <x v="8"/>
      <x v="82"/>
      <x v="3"/>
      <x v="1"/>
      <x v="12"/>
      <x v="104"/>
      <x v="247"/>
    </i>
    <i>
      <x v="92"/>
      <x v="8"/>
      <x v="82"/>
      <x v="3"/>
      <x v="1"/>
      <x v="10"/>
      <x v="102"/>
      <x v="248"/>
    </i>
    <i>
      <x v="93"/>
      <x v="8"/>
      <x v="82"/>
      <x v="3"/>
      <x v="1"/>
      <x v="15"/>
      <x v="107"/>
      <x v="249"/>
    </i>
    <i>
      <x v="94"/>
      <x v="8"/>
      <x v="82"/>
      <x v="3"/>
      <x v="1"/>
      <x v="6"/>
      <x v="98"/>
      <x v="250"/>
    </i>
    <i>
      <x v="95"/>
      <x v="8"/>
      <x v="82"/>
      <x v="3"/>
      <x v="1"/>
      <x v="7"/>
      <x v="99"/>
      <x v="251"/>
    </i>
    <i>
      <x v="96"/>
      <x v="8"/>
      <x v="82"/>
      <x v="3"/>
      <x v="1"/>
      <x v="4"/>
      <x v="96"/>
      <x v="252"/>
    </i>
    <i>
      <x v="97"/>
      <x v="8"/>
      <x v="82"/>
      <x v="3"/>
      <x v="1"/>
      <x v="9"/>
      <x v="101"/>
      <x v="253"/>
    </i>
    <i>
      <x v="98"/>
      <x v="8"/>
      <x v="82"/>
      <x v="3"/>
      <x v="1"/>
      <x v="16"/>
      <x v="108"/>
      <x v="254"/>
    </i>
    <i>
      <x v="99"/>
      <x v="8"/>
      <x v="82"/>
      <x v="3"/>
      <x v="1"/>
      <x v="8"/>
      <x v="100"/>
      <x v="255"/>
    </i>
    <i>
      <x v="100"/>
      <x v="8"/>
      <x v="82"/>
      <x v="3"/>
      <x v="1"/>
      <x v="2"/>
      <x v="94"/>
      <x v="256"/>
    </i>
    <i>
      <x v="101"/>
      <x v="8"/>
      <x v="82"/>
      <x v="3"/>
      <x v="1"/>
      <x v="11"/>
      <x v="103"/>
      <x v="257"/>
    </i>
    <i>
      <x v="102"/>
      <x/>
      <x v="83"/>
      <x v="49"/>
      <x/>
      <x/>
      <x v="355"/>
      <x v="4"/>
    </i>
    <i>
      <x v="103"/>
      <x/>
      <x v="83"/>
      <x v="49"/>
      <x/>
      <x/>
      <x v="354"/>
      <x v="3"/>
    </i>
    <i>
      <x v="104"/>
      <x v="6"/>
      <x v="84"/>
      <x v="47"/>
      <x/>
      <x/>
      <x v="285"/>
      <x v="258"/>
    </i>
    <i>
      <x v="105"/>
      <x v="6"/>
      <x v="84"/>
      <x v="47"/>
      <x v="1"/>
      <x v="13"/>
      <x v="311"/>
      <x v="7"/>
    </i>
    <i>
      <x v="106"/>
      <x v="6"/>
      <x v="84"/>
      <x v="47"/>
      <x v="1"/>
      <x v="1"/>
      <x v="287"/>
      <x v="15"/>
    </i>
    <i>
      <x v="107"/>
      <x v="6"/>
      <x v="84"/>
      <x v="47"/>
      <x v="1"/>
      <x v="3"/>
      <x v="291"/>
      <x v="16"/>
    </i>
    <i>
      <x v="108"/>
      <x v="6"/>
      <x v="84"/>
      <x v="47"/>
      <x v="1"/>
      <x v="5"/>
      <x v="295"/>
      <x v="17"/>
    </i>
    <i>
      <x v="109"/>
      <x v="6"/>
      <x v="84"/>
      <x v="47"/>
      <x v="1"/>
      <x v="14"/>
      <x v="312"/>
      <x v="18"/>
    </i>
    <i>
      <x v="110"/>
      <x v="6"/>
      <x v="84"/>
      <x v="47"/>
      <x v="1"/>
      <x v="12"/>
      <x v="309"/>
      <x v="19"/>
    </i>
    <i>
      <x v="111"/>
      <x v="6"/>
      <x v="84"/>
      <x v="47"/>
      <x v="1"/>
      <x v="10"/>
      <x v="305"/>
      <x v="20"/>
    </i>
    <i>
      <x v="112"/>
      <x v="6"/>
      <x v="84"/>
      <x v="47"/>
      <x v="1"/>
      <x v="15"/>
      <x v="314"/>
      <x v="21"/>
    </i>
    <i>
      <x v="113"/>
      <x v="6"/>
      <x v="84"/>
      <x v="47"/>
      <x v="1"/>
      <x v="6"/>
      <x v="297"/>
      <x v="22"/>
    </i>
    <i>
      <x v="114"/>
      <x v="6"/>
      <x v="84"/>
      <x v="47"/>
      <x v="1"/>
      <x v="7"/>
      <x v="299"/>
      <x v="8"/>
    </i>
    <i>
      <x v="115"/>
      <x v="6"/>
      <x v="84"/>
      <x v="47"/>
      <x v="1"/>
      <x v="4"/>
      <x v="293"/>
      <x v="9"/>
    </i>
    <i>
      <x v="116"/>
      <x v="6"/>
      <x v="84"/>
      <x v="47"/>
      <x v="1"/>
      <x v="9"/>
      <x v="303"/>
      <x v="10"/>
    </i>
    <i>
      <x v="117"/>
      <x v="6"/>
      <x v="84"/>
      <x v="47"/>
      <x v="1"/>
      <x v="16"/>
      <x v="316"/>
      <x v="11"/>
    </i>
    <i>
      <x v="118"/>
      <x v="6"/>
      <x v="84"/>
      <x v="47"/>
      <x v="1"/>
      <x v="8"/>
      <x v="301"/>
      <x v="12"/>
    </i>
    <i>
      <x v="119"/>
      <x v="6"/>
      <x v="84"/>
      <x v="47"/>
      <x v="1"/>
      <x v="2"/>
      <x v="289"/>
      <x v="13"/>
    </i>
    <i>
      <x v="120"/>
      <x v="6"/>
      <x v="84"/>
      <x v="47"/>
      <x v="1"/>
      <x v="11"/>
      <x v="307"/>
      <x v="14"/>
    </i>
    <i>
      <x v="121"/>
      <x v="7"/>
      <x v="22"/>
      <x v="60"/>
      <x/>
      <x/>
      <x v="73"/>
      <x v="153"/>
    </i>
    <i>
      <x v="122"/>
      <x v="7"/>
      <x v="22"/>
      <x v="60"/>
      <x/>
      <x/>
      <x v="213"/>
      <x v="136"/>
    </i>
    <i>
      <x v="123"/>
      <x/>
      <x v="100"/>
      <x v="61"/>
      <x/>
      <x/>
      <x v="126"/>
      <x v="259"/>
    </i>
    <i>
      <x v="124"/>
      <x/>
      <x v="85"/>
      <x v="49"/>
      <x/>
      <x/>
      <x v="407"/>
      <x v="260"/>
    </i>
    <i>
      <x v="125"/>
      <x/>
      <x v="85"/>
      <x v="49"/>
      <x v="1"/>
      <x v="5"/>
      <x v="408"/>
      <x v="261"/>
    </i>
    <i>
      <x v="126"/>
      <x/>
      <x v="85"/>
      <x v="49"/>
      <x v="1"/>
      <x v="14"/>
      <x v="409"/>
      <x v="262"/>
    </i>
    <i>
      <x v="127"/>
      <x/>
      <x v="85"/>
      <x v="49"/>
      <x v="1"/>
      <x v="10"/>
      <x v="410"/>
      <x v="263"/>
    </i>
    <i>
      <x v="128"/>
      <x/>
      <x v="85"/>
      <x v="49"/>
      <x v="1"/>
      <x v="15"/>
      <x v="411"/>
      <x v="264"/>
    </i>
    <i>
      <x v="129"/>
      <x/>
      <x v="85"/>
      <x v="49"/>
      <x v="1"/>
      <x v="6"/>
      <x v="412"/>
      <x v="265"/>
    </i>
    <i>
      <x v="130"/>
      <x/>
      <x v="85"/>
      <x v="49"/>
      <x v="1"/>
      <x v="7"/>
      <x v="413"/>
      <x v="266"/>
    </i>
    <i>
      <x v="131"/>
      <x/>
      <x v="85"/>
      <x v="49"/>
      <x v="1"/>
      <x v="16"/>
      <x v="414"/>
      <x v="267"/>
    </i>
    <i>
      <x v="132"/>
      <x/>
      <x v="85"/>
      <x v="49"/>
      <x v="1"/>
      <x v="2"/>
      <x v="415"/>
      <x v="268"/>
    </i>
    <i>
      <x v="133"/>
      <x/>
      <x v="85"/>
      <x v="49"/>
      <x v="1"/>
      <x v="11"/>
      <x v="416"/>
      <x v="269"/>
    </i>
    <i>
      <x v="134"/>
      <x/>
      <x v="85"/>
      <x v="49"/>
      <x/>
      <x/>
      <x v="417"/>
      <x v="270"/>
    </i>
    <i>
      <x v="135"/>
      <x/>
      <x v="85"/>
      <x v="49"/>
      <x v="1"/>
      <x v="5"/>
      <x v="418"/>
      <x v="271"/>
    </i>
    <i>
      <x v="136"/>
      <x/>
      <x v="85"/>
      <x v="49"/>
      <x v="1"/>
      <x v="14"/>
      <x v="419"/>
      <x v="272"/>
    </i>
    <i>
      <x v="137"/>
      <x/>
      <x v="85"/>
      <x v="49"/>
      <x v="1"/>
      <x v="10"/>
      <x v="420"/>
      <x v="273"/>
    </i>
    <i>
      <x v="138"/>
      <x/>
      <x v="85"/>
      <x v="49"/>
      <x v="1"/>
      <x v="15"/>
      <x v="421"/>
      <x v="274"/>
    </i>
    <i>
      <x v="139"/>
      <x/>
      <x v="85"/>
      <x v="49"/>
      <x v="1"/>
      <x v="6"/>
      <x v="422"/>
      <x v="275"/>
    </i>
    <i>
      <x v="140"/>
      <x/>
      <x v="85"/>
      <x v="49"/>
      <x v="1"/>
      <x v="7"/>
      <x v="423"/>
      <x v="276"/>
    </i>
    <i>
      <x v="141"/>
      <x/>
      <x v="85"/>
      <x v="49"/>
      <x v="1"/>
      <x v="16"/>
      <x v="424"/>
      <x v="277"/>
    </i>
    <i>
      <x v="142"/>
      <x/>
      <x v="85"/>
      <x v="49"/>
      <x v="1"/>
      <x v="2"/>
      <x v="425"/>
      <x v="278"/>
    </i>
    <i>
      <x v="143"/>
      <x/>
      <x v="85"/>
      <x v="49"/>
      <x v="1"/>
      <x v="11"/>
      <x v="426"/>
      <x v="279"/>
    </i>
    <i>
      <x v="144"/>
      <x v="1"/>
      <x v="26"/>
      <x v="62"/>
      <x/>
      <x/>
      <x v="36"/>
      <x v="115"/>
    </i>
    <i>
      <x v="145"/>
      <x v="1"/>
      <x v="26"/>
      <x v="62"/>
      <x v="1"/>
      <x v="13"/>
      <x v="32"/>
      <x v="280"/>
    </i>
    <i>
      <x v="146"/>
      <x v="1"/>
      <x v="26"/>
      <x v="62"/>
      <x v="1"/>
      <x v="1"/>
      <x v="20"/>
      <x v="281"/>
    </i>
    <i>
      <x v="147"/>
      <x v="1"/>
      <x v="26"/>
      <x v="62"/>
      <x v="1"/>
      <x v="3"/>
      <x v="22"/>
      <x v="282"/>
    </i>
    <i>
      <x v="148"/>
      <x v="1"/>
      <x v="26"/>
      <x v="62"/>
      <x v="1"/>
      <x v="5"/>
      <x v="24"/>
      <x v="283"/>
    </i>
    <i>
      <x v="149"/>
      <x v="1"/>
      <x v="26"/>
      <x v="62"/>
      <x v="1"/>
      <x v="14"/>
      <x v="33"/>
      <x v="284"/>
    </i>
    <i>
      <x v="150"/>
      <x v="1"/>
      <x v="26"/>
      <x v="62"/>
      <x v="1"/>
      <x v="12"/>
      <x v="31"/>
      <x v="285"/>
    </i>
    <i>
      <x v="151"/>
      <x v="1"/>
      <x v="26"/>
      <x v="62"/>
      <x v="1"/>
      <x v="10"/>
      <x v="29"/>
      <x v="286"/>
    </i>
    <i>
      <x v="152"/>
      <x v="1"/>
      <x v="26"/>
      <x v="62"/>
      <x v="1"/>
      <x v="15"/>
      <x v="34"/>
      <x v="287"/>
    </i>
    <i>
      <x v="153"/>
      <x v="1"/>
      <x v="26"/>
      <x v="62"/>
      <x v="1"/>
      <x v="6"/>
      <x v="25"/>
      <x v="288"/>
    </i>
    <i>
      <x v="154"/>
      <x v="1"/>
      <x v="26"/>
      <x v="62"/>
      <x v="1"/>
      <x v="7"/>
      <x v="26"/>
      <x v="289"/>
    </i>
    <i>
      <x v="155"/>
      <x v="1"/>
      <x v="26"/>
      <x v="62"/>
      <x v="1"/>
      <x v="4"/>
      <x v="23"/>
      <x v="290"/>
    </i>
    <i>
      <x v="156"/>
      <x v="1"/>
      <x v="26"/>
      <x v="62"/>
      <x v="1"/>
      <x v="9"/>
      <x v="28"/>
      <x v="291"/>
    </i>
    <i>
      <x v="157"/>
      <x v="1"/>
      <x v="26"/>
      <x v="62"/>
      <x v="1"/>
      <x v="16"/>
      <x v="35"/>
      <x v="292"/>
    </i>
    <i>
      <x v="158"/>
      <x v="1"/>
      <x v="26"/>
      <x v="62"/>
      <x v="1"/>
      <x v="8"/>
      <x v="27"/>
      <x v="293"/>
    </i>
    <i>
      <x v="159"/>
      <x v="1"/>
      <x v="26"/>
      <x v="62"/>
      <x v="1"/>
      <x v="2"/>
      <x v="21"/>
      <x v="294"/>
    </i>
    <i>
      <x v="160"/>
      <x v="1"/>
      <x v="26"/>
      <x v="62"/>
      <x v="1"/>
      <x v="11"/>
      <x v="30"/>
      <x v="295"/>
    </i>
    <i>
      <x v="161"/>
      <x v="9"/>
      <x v="151"/>
      <x v="50"/>
      <x/>
      <x/>
      <x v="320"/>
      <x v="148"/>
    </i>
    <i>
      <x v="162"/>
      <x v="9"/>
      <x v="151"/>
      <x v="50"/>
      <x v="1"/>
      <x v="13"/>
      <x v="333"/>
      <x v="140"/>
    </i>
    <i>
      <x v="163"/>
      <x v="9"/>
      <x v="151"/>
      <x v="50"/>
      <x v="1"/>
      <x v="1"/>
      <x v="321"/>
      <x v="143"/>
    </i>
    <i>
      <x v="164"/>
      <x v="9"/>
      <x v="151"/>
      <x v="50"/>
      <x v="1"/>
      <x v="3"/>
      <x v="323"/>
      <x v="143"/>
    </i>
    <i>
      <x v="165"/>
      <x v="9"/>
      <x v="151"/>
      <x v="50"/>
      <x v="1"/>
      <x v="5"/>
      <x v="325"/>
      <x v="146"/>
    </i>
    <i>
      <x v="166"/>
      <x v="9"/>
      <x v="151"/>
      <x v="50"/>
      <x v="1"/>
      <x v="14"/>
      <x v="334"/>
      <x v="151"/>
    </i>
    <i>
      <x v="167"/>
      <x v="9"/>
      <x v="151"/>
      <x v="50"/>
      <x v="1"/>
      <x v="12"/>
      <x v="332"/>
      <x v="141"/>
    </i>
    <i>
      <x v="168"/>
      <x v="9"/>
      <x v="151"/>
      <x v="50"/>
      <x v="1"/>
      <x v="10"/>
      <x v="330"/>
      <x v="145"/>
    </i>
    <i>
      <x v="169"/>
      <x v="9"/>
      <x v="151"/>
      <x v="50"/>
      <x v="1"/>
      <x v="15"/>
      <x v="335"/>
      <x v="147"/>
    </i>
    <i>
      <x v="170"/>
      <x v="9"/>
      <x v="151"/>
      <x v="50"/>
      <x v="1"/>
      <x v="6"/>
      <x v="326"/>
      <x v="150"/>
    </i>
    <i>
      <x v="171"/>
      <x v="9"/>
      <x v="151"/>
      <x v="50"/>
      <x v="1"/>
      <x v="7"/>
      <x v="327"/>
      <x v="139"/>
    </i>
    <i>
      <x v="172"/>
      <x v="9"/>
      <x v="151"/>
      <x v="50"/>
      <x v="1"/>
      <x v="4"/>
      <x v="324"/>
      <x v="137"/>
    </i>
    <i>
      <x v="173"/>
      <x v="9"/>
      <x v="151"/>
      <x v="50"/>
      <x v="1"/>
      <x v="9"/>
      <x v="329"/>
      <x v="152"/>
    </i>
    <i>
      <x v="174"/>
      <x v="9"/>
      <x v="151"/>
      <x v="50"/>
      <x v="1"/>
      <x v="16"/>
      <x v="336"/>
      <x v="142"/>
    </i>
    <i>
      <x v="175"/>
      <x v="9"/>
      <x v="151"/>
      <x v="50"/>
      <x v="1"/>
      <x v="8"/>
      <x v="328"/>
      <x v="138"/>
    </i>
    <i>
      <x v="176"/>
      <x v="9"/>
      <x v="151"/>
      <x v="50"/>
      <x v="1"/>
      <x v="2"/>
      <x v="322"/>
      <x v="144"/>
    </i>
    <i>
      <x v="177"/>
      <x v="9"/>
      <x v="151"/>
      <x v="50"/>
      <x v="1"/>
      <x v="11"/>
      <x v="331"/>
      <x v="149"/>
    </i>
    <i>
      <x v="178"/>
      <x v="6"/>
      <x v="87"/>
      <x v="47"/>
      <x/>
      <x/>
      <x v="161"/>
      <x v="45"/>
    </i>
    <i>
      <x v="179"/>
      <x v="6"/>
      <x v="87"/>
      <x v="47"/>
      <x/>
      <x/>
      <x v="162"/>
      <x v="135"/>
    </i>
    <i>
      <x v="180"/>
      <x v="6"/>
      <x v="87"/>
      <x v="47"/>
      <x v="1"/>
      <x v="13"/>
      <x v="175"/>
      <x v="46"/>
    </i>
    <i>
      <x v="181"/>
      <x v="6"/>
      <x v="87"/>
      <x v="47"/>
      <x v="1"/>
      <x v="1"/>
      <x v="163"/>
      <x v="54"/>
    </i>
    <i>
      <x v="182"/>
      <x v="6"/>
      <x v="87"/>
      <x v="47"/>
      <x v="1"/>
      <x v="3"/>
      <x v="165"/>
      <x v="55"/>
    </i>
    <i>
      <x v="183"/>
      <x v="6"/>
      <x v="87"/>
      <x v="47"/>
      <x v="1"/>
      <x v="5"/>
      <x v="167"/>
      <x v="56"/>
    </i>
    <i>
      <x v="184"/>
      <x v="6"/>
      <x v="87"/>
      <x v="47"/>
      <x v="1"/>
      <x v="14"/>
      <x v="176"/>
      <x v="57"/>
    </i>
    <i>
      <x v="185"/>
      <x v="6"/>
      <x v="87"/>
      <x v="47"/>
      <x v="1"/>
      <x v="12"/>
      <x v="174"/>
      <x v="58"/>
    </i>
    <i>
      <x v="186"/>
      <x v="6"/>
      <x v="87"/>
      <x v="47"/>
      <x v="1"/>
      <x v="10"/>
      <x v="172"/>
      <x v="59"/>
    </i>
    <i>
      <x v="187"/>
      <x v="6"/>
      <x v="87"/>
      <x v="47"/>
      <x v="1"/>
      <x v="15"/>
      <x v="177"/>
      <x v="60"/>
    </i>
    <i>
      <x v="188"/>
      <x v="6"/>
      <x v="87"/>
      <x v="47"/>
      <x v="1"/>
      <x v="6"/>
      <x v="168"/>
      <x v="61"/>
    </i>
    <i>
      <x v="189"/>
      <x v="6"/>
      <x v="87"/>
      <x v="47"/>
      <x v="1"/>
      <x v="7"/>
      <x v="169"/>
      <x v="47"/>
    </i>
    <i>
      <x v="190"/>
      <x v="6"/>
      <x v="87"/>
      <x v="47"/>
      <x v="1"/>
      <x v="4"/>
      <x v="166"/>
      <x v="48"/>
    </i>
    <i>
      <x v="191"/>
      <x v="6"/>
      <x v="87"/>
      <x v="47"/>
      <x v="1"/>
      <x v="9"/>
      <x v="171"/>
      <x v="49"/>
    </i>
    <i>
      <x v="192"/>
      <x v="6"/>
      <x v="87"/>
      <x v="47"/>
      <x v="1"/>
      <x v="16"/>
      <x v="178"/>
      <x v="50"/>
    </i>
    <i>
      <x v="193"/>
      <x v="6"/>
      <x v="87"/>
      <x v="47"/>
      <x v="1"/>
      <x v="8"/>
      <x v="170"/>
      <x v="51"/>
    </i>
    <i>
      <x v="194"/>
      <x v="6"/>
      <x v="87"/>
      <x v="47"/>
      <x v="1"/>
      <x v="2"/>
      <x v="164"/>
      <x v="52"/>
    </i>
    <i>
      <x v="195"/>
      <x v="6"/>
      <x v="87"/>
      <x v="47"/>
      <x v="1"/>
      <x v="11"/>
      <x v="173"/>
      <x v="53"/>
    </i>
    <i>
      <x v="196"/>
      <x v="6"/>
      <x v="87"/>
      <x v="47"/>
      <x/>
      <x/>
      <x v="1"/>
      <x v="117"/>
    </i>
    <i>
      <x v="197"/>
      <x v="6"/>
      <x v="87"/>
      <x v="47"/>
      <x v="1"/>
      <x v="13"/>
      <x v="2"/>
      <x v="62"/>
    </i>
    <i>
      <x v="198"/>
      <x v="6"/>
      <x v="87"/>
      <x v="47"/>
      <x v="1"/>
      <x v="1"/>
      <x v="288"/>
      <x v="70"/>
    </i>
    <i>
      <x v="199"/>
      <x v="6"/>
      <x v="87"/>
      <x v="47"/>
      <x v="1"/>
      <x v="3"/>
      <x v="292"/>
      <x v="71"/>
    </i>
    <i>
      <x v="200"/>
      <x v="6"/>
      <x v="87"/>
      <x v="47"/>
      <x v="1"/>
      <x v="5"/>
      <x v="296"/>
      <x v="72"/>
    </i>
    <i>
      <x v="201"/>
      <x v="6"/>
      <x v="87"/>
      <x v="47"/>
      <x v="1"/>
      <x v="14"/>
      <x v="313"/>
      <x v="73"/>
    </i>
    <i>
      <x v="202"/>
      <x v="6"/>
      <x v="87"/>
      <x v="47"/>
      <x v="1"/>
      <x v="12"/>
      <x v="310"/>
      <x v="74"/>
    </i>
    <i>
      <x v="203"/>
      <x v="6"/>
      <x v="87"/>
      <x v="47"/>
      <x v="1"/>
      <x v="10"/>
      <x v="306"/>
      <x v="75"/>
    </i>
    <i>
      <x v="204"/>
      <x v="6"/>
      <x v="87"/>
      <x v="47"/>
      <x v="1"/>
      <x v="15"/>
      <x v="315"/>
      <x v="76"/>
    </i>
    <i>
      <x v="205"/>
      <x v="6"/>
      <x v="87"/>
      <x v="47"/>
      <x v="1"/>
      <x v="6"/>
      <x v="298"/>
      <x v="77"/>
    </i>
    <i>
      <x v="206"/>
      <x v="6"/>
      <x v="87"/>
      <x v="47"/>
      <x v="1"/>
      <x v="7"/>
      <x v="300"/>
      <x v="63"/>
    </i>
    <i>
      <x v="207"/>
      <x v="6"/>
      <x v="87"/>
      <x v="47"/>
      <x v="1"/>
      <x v="4"/>
      <x v="294"/>
      <x v="64"/>
    </i>
    <i>
      <x v="208"/>
      <x v="6"/>
      <x v="87"/>
      <x v="47"/>
      <x v="1"/>
      <x v="9"/>
      <x v="304"/>
      <x v="65"/>
    </i>
    <i>
      <x v="209"/>
      <x v="6"/>
      <x v="87"/>
      <x v="47"/>
      <x v="1"/>
      <x v="16"/>
      <x v="317"/>
      <x v="66"/>
    </i>
    <i>
      <x v="210"/>
      <x v="6"/>
      <x v="87"/>
      <x v="47"/>
      <x v="1"/>
      <x v="8"/>
      <x v="302"/>
      <x v="67"/>
    </i>
    <i>
      <x v="211"/>
      <x v="6"/>
      <x v="87"/>
      <x v="47"/>
      <x v="1"/>
      <x v="2"/>
      <x v="290"/>
      <x v="68"/>
    </i>
    <i>
      <x v="212"/>
      <x v="6"/>
      <x v="87"/>
      <x v="47"/>
      <x v="1"/>
      <x v="11"/>
      <x v="308"/>
      <x v="69"/>
    </i>
    <i>
      <x v="213"/>
      <x/>
      <x v="88"/>
      <x v="49"/>
      <x/>
      <x/>
      <x v="318"/>
      <x v="78"/>
    </i>
    <i>
      <x v="214"/>
      <x/>
      <x v="83"/>
      <x v="49"/>
      <x/>
      <x/>
      <x v="250"/>
      <x v="118"/>
    </i>
    <i>
      <x v="215"/>
      <x/>
      <x v="83"/>
      <x v="49"/>
      <x v="1"/>
      <x v="13"/>
      <x v="263"/>
      <x v="119"/>
    </i>
    <i>
      <x v="216"/>
      <x/>
      <x v="83"/>
      <x v="49"/>
      <x v="1"/>
      <x v="1"/>
      <x v="251"/>
      <x v="127"/>
    </i>
    <i>
      <x v="217"/>
      <x/>
      <x v="83"/>
      <x v="49"/>
      <x v="1"/>
      <x v="3"/>
      <x v="253"/>
      <x v="128"/>
    </i>
    <i>
      <x v="218"/>
      <x/>
      <x v="83"/>
      <x v="49"/>
      <x v="1"/>
      <x v="5"/>
      <x v="255"/>
      <x v="129"/>
    </i>
    <i>
      <x v="219"/>
      <x/>
      <x v="83"/>
      <x v="49"/>
      <x v="1"/>
      <x v="14"/>
      <x v="264"/>
      <x v="130"/>
    </i>
    <i>
      <x v="220"/>
      <x/>
      <x v="83"/>
      <x v="49"/>
      <x v="1"/>
      <x v="12"/>
      <x v="262"/>
      <x v="131"/>
    </i>
    <i>
      <x v="221"/>
      <x/>
      <x v="83"/>
      <x v="49"/>
      <x v="1"/>
      <x v="10"/>
      <x v="260"/>
      <x v="132"/>
    </i>
    <i>
      <x v="222"/>
      <x/>
      <x v="83"/>
      <x v="49"/>
      <x v="1"/>
      <x v="15"/>
      <x v="265"/>
      <x v="133"/>
    </i>
    <i>
      <x v="223"/>
      <x/>
      <x v="83"/>
      <x v="49"/>
      <x v="1"/>
      <x v="6"/>
      <x v="256"/>
      <x v="134"/>
    </i>
    <i>
      <x v="224"/>
      <x/>
      <x v="83"/>
      <x v="49"/>
      <x v="1"/>
      <x v="7"/>
      <x v="257"/>
      <x v="120"/>
    </i>
    <i>
      <x v="225"/>
      <x/>
      <x v="83"/>
      <x v="49"/>
      <x v="1"/>
      <x v="4"/>
      <x v="254"/>
      <x v="121"/>
    </i>
    <i>
      <x v="226"/>
      <x/>
      <x v="83"/>
      <x v="49"/>
      <x v="1"/>
      <x v="9"/>
      <x v="259"/>
      <x v="122"/>
    </i>
    <i>
      <x v="227"/>
      <x/>
      <x v="83"/>
      <x v="49"/>
      <x v="1"/>
      <x v="16"/>
      <x v="266"/>
      <x v="123"/>
    </i>
    <i>
      <x v="228"/>
      <x/>
      <x v="83"/>
      <x v="49"/>
      <x v="1"/>
      <x v="8"/>
      <x v="258"/>
      <x v="124"/>
    </i>
    <i>
      <x v="229"/>
      <x/>
      <x v="83"/>
      <x v="49"/>
      <x v="1"/>
      <x v="2"/>
      <x v="252"/>
      <x v="125"/>
    </i>
    <i>
      <x v="230"/>
      <x/>
      <x v="83"/>
      <x v="49"/>
      <x v="1"/>
      <x v="11"/>
      <x v="261"/>
      <x v="126"/>
    </i>
    <i>
      <x v="231"/>
      <x/>
      <x v="89"/>
      <x v="49"/>
      <x/>
      <x/>
      <x v="91"/>
      <x v="79"/>
    </i>
    <i>
      <x v="232"/>
      <x/>
      <x v="89"/>
      <x v="49"/>
      <x v="1"/>
      <x v="3"/>
      <x v="77"/>
      <x v="296"/>
    </i>
    <i>
      <x v="233"/>
      <x/>
      <x v="89"/>
      <x v="49"/>
      <x v="1"/>
      <x v="5"/>
      <x v="79"/>
      <x v="297"/>
    </i>
    <i>
      <x v="234"/>
      <x/>
      <x v="89"/>
      <x v="49"/>
      <x v="1"/>
      <x v="14"/>
      <x v="88"/>
      <x v="298"/>
    </i>
    <i>
      <x v="235"/>
      <x/>
      <x v="89"/>
      <x v="49"/>
      <x v="1"/>
      <x v="12"/>
      <x v="86"/>
      <x v="299"/>
    </i>
    <i>
      <x v="236"/>
      <x/>
      <x v="89"/>
      <x v="49"/>
      <x v="1"/>
      <x v="10"/>
      <x v="84"/>
      <x v="300"/>
    </i>
    <i>
      <x v="237"/>
      <x/>
      <x v="89"/>
      <x v="49"/>
      <x v="1"/>
      <x v="15"/>
      <x v="89"/>
      <x v="301"/>
    </i>
    <i>
      <x v="238"/>
      <x/>
      <x v="89"/>
      <x v="49"/>
      <x v="1"/>
      <x v="6"/>
      <x v="80"/>
      <x v="302"/>
    </i>
    <i>
      <x v="239"/>
      <x/>
      <x v="89"/>
      <x v="49"/>
      <x v="1"/>
      <x v="16"/>
      <x v="90"/>
      <x v="303"/>
    </i>
    <i>
      <x v="240"/>
      <x/>
      <x v="89"/>
      <x v="49"/>
      <x v="1"/>
      <x v="2"/>
      <x v="76"/>
      <x v="304"/>
    </i>
    <i>
      <x v="241"/>
      <x/>
      <x v="89"/>
      <x v="49"/>
      <x v="1"/>
      <x v="11"/>
      <x v="85"/>
      <x v="305"/>
    </i>
    <i>
      <x v="242"/>
      <x v="11"/>
      <x v="90"/>
      <x v="51"/>
      <x/>
      <x/>
      <x v="74"/>
      <x v="306"/>
    </i>
    <i>
      <x v="243"/>
      <x v="1"/>
      <x/>
      <x v="62"/>
      <x/>
      <x/>
      <x v="3"/>
      <x v="114"/>
    </i>
    <i>
      <x v="244"/>
      <x v="1"/>
      <x/>
      <x v="62"/>
      <x v="1"/>
      <x v="13"/>
      <x v="16"/>
      <x v="307"/>
    </i>
    <i>
      <x v="245"/>
      <x v="1"/>
      <x/>
      <x v="62"/>
      <x v="1"/>
      <x v="1"/>
      <x v="4"/>
      <x v="308"/>
    </i>
    <i>
      <x v="246"/>
      <x v="1"/>
      <x/>
      <x v="62"/>
      <x v="1"/>
      <x v="3"/>
      <x v="6"/>
      <x v="309"/>
    </i>
    <i>
      <x v="247"/>
      <x v="1"/>
      <x/>
      <x v="62"/>
      <x v="1"/>
      <x v="5"/>
      <x v="8"/>
      <x v="310"/>
    </i>
    <i>
      <x v="248"/>
      <x v="1"/>
      <x/>
      <x v="62"/>
      <x v="1"/>
      <x v="14"/>
      <x v="17"/>
      <x v="311"/>
    </i>
    <i>
      <x v="249"/>
      <x v="1"/>
      <x/>
      <x v="62"/>
      <x v="1"/>
      <x v="12"/>
      <x v="15"/>
      <x v="312"/>
    </i>
    <i>
      <x v="250"/>
      <x v="1"/>
      <x/>
      <x v="62"/>
      <x v="1"/>
      <x v="10"/>
      <x v="13"/>
      <x v="313"/>
    </i>
    <i>
      <x v="251"/>
      <x v="1"/>
      <x/>
      <x v="62"/>
      <x v="1"/>
      <x v="15"/>
      <x v="18"/>
      <x v="314"/>
    </i>
    <i>
      <x v="252"/>
      <x v="1"/>
      <x/>
      <x v="62"/>
      <x v="1"/>
      <x v="6"/>
      <x v="9"/>
      <x v="315"/>
    </i>
    <i>
      <x v="253"/>
      <x v="1"/>
      <x/>
      <x v="62"/>
      <x v="1"/>
      <x v="7"/>
      <x v="10"/>
      <x v="316"/>
    </i>
    <i>
      <x v="254"/>
      <x v="1"/>
      <x/>
      <x v="62"/>
      <x v="1"/>
      <x v="4"/>
      <x v="7"/>
      <x v="317"/>
    </i>
    <i>
      <x v="255"/>
      <x v="1"/>
      <x/>
      <x v="62"/>
      <x v="1"/>
      <x v="9"/>
      <x v="12"/>
      <x v="318"/>
    </i>
    <i>
      <x v="256"/>
      <x v="1"/>
      <x/>
      <x v="62"/>
      <x v="1"/>
      <x v="16"/>
      <x v="19"/>
      <x v="319"/>
    </i>
    <i>
      <x v="257"/>
      <x v="1"/>
      <x/>
      <x v="62"/>
      <x v="1"/>
      <x v="8"/>
      <x v="11"/>
      <x v="320"/>
    </i>
    <i>
      <x v="258"/>
      <x v="1"/>
      <x/>
      <x v="62"/>
      <x v="1"/>
      <x v="2"/>
      <x v="5"/>
      <x v="321"/>
    </i>
    <i>
      <x v="259"/>
      <x v="1"/>
      <x/>
      <x v="62"/>
      <x v="1"/>
      <x v="11"/>
      <x v="14"/>
      <x v="322"/>
    </i>
    <i>
      <x v="260"/>
      <x v="2"/>
      <x v="91"/>
      <x v="40"/>
      <x/>
      <x/>
      <x v="337"/>
      <x v="323"/>
    </i>
    <i>
      <x v="261"/>
      <x v="2"/>
      <x v="91"/>
      <x v="40"/>
      <x v="1"/>
      <x v="13"/>
      <x v="350"/>
      <x v="324"/>
    </i>
    <i>
      <x v="262"/>
      <x v="2"/>
      <x v="91"/>
      <x v="40"/>
      <x v="1"/>
      <x v="1"/>
      <x v="338"/>
      <x v="325"/>
    </i>
    <i>
      <x v="263"/>
      <x v="2"/>
      <x v="91"/>
      <x v="40"/>
      <x v="1"/>
      <x v="3"/>
      <x v="340"/>
      <x v="326"/>
    </i>
    <i>
      <x v="264"/>
      <x v="2"/>
      <x v="91"/>
      <x v="40"/>
      <x v="1"/>
      <x v="5"/>
      <x v="342"/>
      <x v="327"/>
    </i>
    <i>
      <x v="265"/>
      <x v="2"/>
      <x v="91"/>
      <x v="40"/>
      <x v="1"/>
      <x v="14"/>
      <x v="351"/>
      <x v="328"/>
    </i>
    <i>
      <x v="266"/>
      <x v="2"/>
      <x v="91"/>
      <x v="40"/>
      <x v="1"/>
      <x v="12"/>
      <x v="349"/>
      <x v="329"/>
    </i>
    <i>
      <x v="267"/>
      <x v="2"/>
      <x v="91"/>
      <x v="40"/>
      <x v="1"/>
      <x v="10"/>
      <x v="347"/>
      <x v="330"/>
    </i>
    <i>
      <x v="268"/>
      <x v="2"/>
      <x v="91"/>
      <x v="40"/>
      <x v="1"/>
      <x v="15"/>
      <x v="352"/>
      <x v="331"/>
    </i>
    <i>
      <x v="269"/>
      <x v="2"/>
      <x v="91"/>
      <x v="40"/>
      <x v="1"/>
      <x v="6"/>
      <x v="343"/>
      <x v="332"/>
    </i>
    <i>
      <x v="270"/>
      <x v="2"/>
      <x v="91"/>
      <x v="40"/>
      <x v="1"/>
      <x v="7"/>
      <x v="344"/>
      <x v="333"/>
    </i>
    <i>
      <x v="271"/>
      <x v="2"/>
      <x v="91"/>
      <x v="40"/>
      <x v="1"/>
      <x v="4"/>
      <x v="341"/>
      <x v="334"/>
    </i>
    <i>
      <x v="272"/>
      <x v="2"/>
      <x v="91"/>
      <x v="40"/>
      <x v="1"/>
      <x v="9"/>
      <x v="346"/>
      <x v="335"/>
    </i>
    <i>
      <x v="273"/>
      <x v="2"/>
      <x v="91"/>
      <x v="40"/>
      <x v="1"/>
      <x v="16"/>
      <x v="353"/>
      <x v="336"/>
    </i>
    <i>
      <x v="274"/>
      <x v="2"/>
      <x v="91"/>
      <x v="40"/>
      <x v="1"/>
      <x v="8"/>
      <x v="345"/>
      <x v="337"/>
    </i>
    <i>
      <x v="275"/>
      <x v="2"/>
      <x v="91"/>
      <x v="40"/>
      <x v="1"/>
      <x v="2"/>
      <x v="339"/>
      <x v="338"/>
    </i>
    <i>
      <x v="276"/>
      <x v="2"/>
      <x v="91"/>
      <x v="40"/>
      <x v="1"/>
      <x v="11"/>
      <x v="348"/>
      <x v="339"/>
    </i>
    <i>
      <x v="277"/>
      <x v="6"/>
      <x v="92"/>
      <x v="47"/>
      <x/>
      <x/>
      <x/>
      <x v="25"/>
    </i>
    <i>
      <x v="278"/>
      <x v="6"/>
      <x v="92"/>
      <x v="47"/>
      <x/>
      <x/>
      <x v="37"/>
      <x v="26"/>
    </i>
    <i>
      <x v="279"/>
      <x v="6"/>
      <x v="92"/>
      <x v="47"/>
      <x/>
      <x/>
      <x v="38"/>
      <x v="27"/>
    </i>
    <i>
      <x v="280"/>
      <x v="6"/>
      <x v="92"/>
      <x v="47"/>
      <x/>
      <x/>
      <x v="267"/>
      <x v="28"/>
    </i>
    <i>
      <x v="281"/>
      <x v="6"/>
      <x v="93"/>
      <x v="47"/>
      <x/>
      <x/>
      <x v="127"/>
      <x v="155"/>
    </i>
    <i>
      <x v="282"/>
      <x v="6"/>
      <x v="93"/>
      <x v="47"/>
      <x v="1"/>
      <x v="13"/>
      <x v="140"/>
      <x v="80"/>
    </i>
    <i>
      <x v="283"/>
      <x v="6"/>
      <x v="93"/>
      <x v="47"/>
      <x v="1"/>
      <x v="1"/>
      <x v="128"/>
      <x v="88"/>
    </i>
    <i>
      <x v="284"/>
      <x v="6"/>
      <x v="93"/>
      <x v="47"/>
      <x v="1"/>
      <x v="3"/>
      <x v="130"/>
      <x v="89"/>
    </i>
    <i>
      <x v="285"/>
      <x v="6"/>
      <x v="93"/>
      <x v="47"/>
      <x v="1"/>
      <x v="5"/>
      <x v="132"/>
      <x v="90"/>
    </i>
    <i>
      <x v="286"/>
      <x v="6"/>
      <x v="93"/>
      <x v="47"/>
      <x v="1"/>
      <x v="14"/>
      <x v="141"/>
      <x v="91"/>
    </i>
    <i>
      <x v="287"/>
      <x v="6"/>
      <x v="93"/>
      <x v="47"/>
      <x v="1"/>
      <x v="12"/>
      <x v="139"/>
      <x v="92"/>
    </i>
    <i>
      <x v="288"/>
      <x v="6"/>
      <x v="93"/>
      <x v="47"/>
      <x v="1"/>
      <x v="10"/>
      <x v="137"/>
      <x v="93"/>
    </i>
    <i>
      <x v="289"/>
      <x v="6"/>
      <x v="93"/>
      <x v="47"/>
      <x v="1"/>
      <x v="15"/>
      <x v="142"/>
      <x v="94"/>
    </i>
    <i>
      <x v="290"/>
      <x v="6"/>
      <x v="93"/>
      <x v="47"/>
      <x v="1"/>
      <x v="6"/>
      <x v="133"/>
      <x v="95"/>
    </i>
    <i>
      <x v="291"/>
      <x v="6"/>
      <x v="93"/>
      <x v="47"/>
      <x v="1"/>
      <x v="7"/>
      <x v="134"/>
      <x v="81"/>
    </i>
    <i>
      <x v="292"/>
      <x v="6"/>
      <x v="93"/>
      <x v="47"/>
      <x v="1"/>
      <x v="4"/>
      <x v="131"/>
      <x v="82"/>
    </i>
    <i>
      <x v="293"/>
      <x v="6"/>
      <x v="93"/>
      <x v="47"/>
      <x v="1"/>
      <x v="9"/>
      <x v="136"/>
      <x v="83"/>
    </i>
    <i>
      <x v="294"/>
      <x v="6"/>
      <x v="93"/>
      <x v="47"/>
      <x v="1"/>
      <x v="16"/>
      <x v="143"/>
      <x v="84"/>
    </i>
    <i>
      <x v="295"/>
      <x v="6"/>
      <x v="93"/>
      <x v="47"/>
      <x v="1"/>
      <x v="8"/>
      <x v="135"/>
      <x v="85"/>
    </i>
    <i>
      <x v="296"/>
      <x v="6"/>
      <x v="93"/>
      <x v="47"/>
      <x v="1"/>
      <x v="2"/>
      <x v="129"/>
      <x v="86"/>
    </i>
    <i>
      <x v="297"/>
      <x v="6"/>
      <x v="93"/>
      <x v="47"/>
      <x v="1"/>
      <x v="11"/>
      <x v="138"/>
      <x v="87"/>
    </i>
    <i>
      <x v="298"/>
      <x/>
      <x v="83"/>
      <x v="49"/>
      <x/>
      <x/>
      <x v="144"/>
      <x v="340"/>
    </i>
    <i>
      <x v="299"/>
      <x/>
      <x v="83"/>
      <x v="49"/>
      <x v="1"/>
      <x v="13"/>
      <x v="157"/>
      <x v="96"/>
    </i>
    <i>
      <x v="300"/>
      <x/>
      <x v="83"/>
      <x v="49"/>
      <x v="1"/>
      <x v="1"/>
      <x v="145"/>
      <x v="104"/>
    </i>
    <i>
      <x v="301"/>
      <x/>
      <x v="83"/>
      <x v="49"/>
      <x v="1"/>
      <x v="3"/>
      <x v="147"/>
      <x v="105"/>
    </i>
    <i>
      <x v="302"/>
      <x/>
      <x v="83"/>
      <x v="49"/>
      <x v="1"/>
      <x v="5"/>
      <x v="149"/>
      <x v="106"/>
    </i>
    <i>
      <x v="303"/>
      <x/>
      <x v="83"/>
      <x v="49"/>
      <x v="1"/>
      <x v="14"/>
      <x v="158"/>
      <x v="107"/>
    </i>
    <i>
      <x v="304"/>
      <x/>
      <x v="83"/>
      <x v="49"/>
      <x v="1"/>
      <x v="12"/>
      <x v="156"/>
      <x v="108"/>
    </i>
    <i>
      <x v="305"/>
      <x/>
      <x v="83"/>
      <x v="49"/>
      <x v="1"/>
      <x v="10"/>
      <x v="154"/>
      <x v="109"/>
    </i>
    <i>
      <x v="306"/>
      <x/>
      <x v="83"/>
      <x v="49"/>
      <x v="1"/>
      <x v="15"/>
      <x v="159"/>
      <x v="110"/>
    </i>
    <i>
      <x v="307"/>
      <x/>
      <x v="83"/>
      <x v="49"/>
      <x v="1"/>
      <x v="6"/>
      <x v="150"/>
      <x v="111"/>
    </i>
    <i>
      <x v="308"/>
      <x/>
      <x v="83"/>
      <x v="49"/>
      <x v="1"/>
      <x v="7"/>
      <x v="151"/>
      <x v="97"/>
    </i>
    <i>
      <x v="309"/>
      <x/>
      <x v="83"/>
      <x v="49"/>
      <x v="1"/>
      <x v="4"/>
      <x v="148"/>
      <x v="98"/>
    </i>
    <i>
      <x v="310"/>
      <x/>
      <x v="83"/>
      <x v="49"/>
      <x v="1"/>
      <x v="9"/>
      <x v="153"/>
      <x v="99"/>
    </i>
    <i>
      <x v="311"/>
      <x/>
      <x v="83"/>
      <x v="49"/>
      <x v="1"/>
      <x v="16"/>
      <x v="160"/>
      <x v="100"/>
    </i>
    <i>
      <x v="312"/>
      <x/>
      <x v="83"/>
      <x v="49"/>
      <x v="1"/>
      <x v="8"/>
      <x v="152"/>
      <x v="101"/>
    </i>
    <i>
      <x v="313"/>
      <x/>
      <x v="83"/>
      <x v="49"/>
      <x v="1"/>
      <x v="2"/>
      <x v="146"/>
      <x v="102"/>
    </i>
    <i>
      <x v="314"/>
      <x/>
      <x v="83"/>
      <x v="49"/>
      <x v="1"/>
      <x v="11"/>
      <x v="155"/>
      <x v="103"/>
    </i>
    <i>
      <x v="315"/>
      <x/>
      <x v="83"/>
      <x v="49"/>
      <x/>
      <x/>
      <x v="427"/>
      <x v="112"/>
    </i>
    <i>
      <x v="316"/>
      <x v="4"/>
      <x v="94"/>
      <x v="52"/>
      <x/>
      <x/>
      <x v="428"/>
      <x v="341"/>
    </i>
    <i>
      <x v="317"/>
      <x v="4"/>
      <x v="94"/>
      <x v="52"/>
      <x v="1"/>
      <x v="13"/>
      <x v="429"/>
      <x v="342"/>
    </i>
    <i>
      <x v="318"/>
      <x v="4"/>
      <x v="94"/>
      <x v="52"/>
      <x v="1"/>
      <x v="1"/>
      <x v="430"/>
      <x v="343"/>
    </i>
    <i>
      <x v="319"/>
      <x v="4"/>
      <x v="94"/>
      <x v="52"/>
      <x v="1"/>
      <x v="3"/>
      <x v="431"/>
      <x v="344"/>
    </i>
    <i>
      <x v="320"/>
      <x v="4"/>
      <x v="94"/>
      <x v="52"/>
      <x v="1"/>
      <x v="5"/>
      <x v="432"/>
      <x v="345"/>
    </i>
    <i>
      <x v="321"/>
      <x v="4"/>
      <x v="94"/>
      <x v="52"/>
      <x v="1"/>
      <x v="14"/>
      <x v="433"/>
      <x v="346"/>
    </i>
    <i>
      <x v="322"/>
      <x v="4"/>
      <x v="94"/>
      <x v="52"/>
      <x v="1"/>
      <x v="12"/>
      <x v="434"/>
      <x v="347"/>
    </i>
    <i>
      <x v="323"/>
      <x v="4"/>
      <x v="94"/>
      <x v="52"/>
      <x v="1"/>
      <x v="10"/>
      <x v="435"/>
      <x v="348"/>
    </i>
    <i>
      <x v="324"/>
      <x v="4"/>
      <x v="94"/>
      <x v="52"/>
      <x v="1"/>
      <x v="15"/>
      <x v="436"/>
      <x v="349"/>
    </i>
    <i>
      <x v="325"/>
      <x v="4"/>
      <x v="94"/>
      <x v="52"/>
      <x v="1"/>
      <x v="6"/>
      <x v="437"/>
      <x v="350"/>
    </i>
    <i>
      <x v="326"/>
      <x v="4"/>
      <x v="94"/>
      <x v="52"/>
      <x v="1"/>
      <x v="7"/>
      <x v="438"/>
      <x v="351"/>
    </i>
    <i>
      <x v="327"/>
      <x v="4"/>
      <x v="94"/>
      <x v="52"/>
      <x v="1"/>
      <x v="4"/>
      <x v="439"/>
      <x v="352"/>
    </i>
    <i>
      <x v="328"/>
      <x v="4"/>
      <x v="94"/>
      <x v="52"/>
      <x v="1"/>
      <x v="9"/>
      <x v="440"/>
      <x v="353"/>
    </i>
    <i>
      <x v="329"/>
      <x v="4"/>
      <x v="94"/>
      <x v="52"/>
      <x v="1"/>
      <x v="16"/>
      <x v="441"/>
      <x v="354"/>
    </i>
    <i>
      <x v="330"/>
      <x v="4"/>
      <x v="94"/>
      <x v="52"/>
      <x v="1"/>
      <x v="8"/>
      <x v="442"/>
      <x v="355"/>
    </i>
    <i>
      <x v="331"/>
      <x v="4"/>
      <x v="94"/>
      <x v="52"/>
      <x v="1"/>
      <x v="2"/>
      <x v="443"/>
      <x v="356"/>
    </i>
    <i>
      <x v="332"/>
      <x v="4"/>
      <x v="94"/>
      <x v="52"/>
      <x v="1"/>
      <x v="11"/>
      <x v="444"/>
      <x v="357"/>
    </i>
    <i>
      <x v="333"/>
      <x/>
      <x v="88"/>
      <x v="49"/>
      <x/>
      <x/>
      <x v="445"/>
      <x v="358"/>
    </i>
    <i>
      <x v="334"/>
      <x/>
      <x v="88"/>
      <x v="49"/>
      <x v="1"/>
      <x v="13"/>
      <x v="446"/>
      <x v="359"/>
    </i>
    <i>
      <x v="335"/>
      <x/>
      <x v="88"/>
      <x v="49"/>
      <x v="1"/>
      <x v="1"/>
      <x v="447"/>
      <x v="360"/>
    </i>
    <i>
      <x v="336"/>
      <x/>
      <x v="88"/>
      <x v="49"/>
      <x v="1"/>
      <x v="3"/>
      <x v="448"/>
      <x v="361"/>
    </i>
    <i>
      <x v="337"/>
      <x/>
      <x v="88"/>
      <x v="49"/>
      <x v="1"/>
      <x v="5"/>
      <x v="449"/>
      <x v="362"/>
    </i>
    <i>
      <x v="338"/>
      <x/>
      <x v="88"/>
      <x v="49"/>
      <x v="1"/>
      <x v="14"/>
      <x v="450"/>
      <x v="363"/>
    </i>
    <i>
      <x v="339"/>
      <x/>
      <x v="88"/>
      <x v="49"/>
      <x v="1"/>
      <x v="12"/>
      <x v="451"/>
      <x v="364"/>
    </i>
    <i>
      <x v="340"/>
      <x/>
      <x v="88"/>
      <x v="49"/>
      <x v="1"/>
      <x v="10"/>
      <x v="452"/>
      <x v="365"/>
    </i>
    <i>
      <x v="341"/>
      <x/>
      <x v="88"/>
      <x v="49"/>
      <x v="1"/>
      <x v="15"/>
      <x v="453"/>
      <x v="366"/>
    </i>
    <i>
      <x v="342"/>
      <x/>
      <x v="88"/>
      <x v="49"/>
      <x v="1"/>
      <x v="6"/>
      <x v="454"/>
      <x v="367"/>
    </i>
    <i>
      <x v="343"/>
      <x/>
      <x v="88"/>
      <x v="49"/>
      <x v="1"/>
      <x v="7"/>
      <x v="455"/>
      <x v="368"/>
    </i>
    <i>
      <x v="344"/>
      <x/>
      <x v="88"/>
      <x v="49"/>
      <x v="1"/>
      <x v="4"/>
      <x v="456"/>
      <x v="369"/>
    </i>
    <i>
      <x v="345"/>
      <x/>
      <x v="88"/>
      <x v="49"/>
      <x v="1"/>
      <x v="9"/>
      <x v="457"/>
      <x v="370"/>
    </i>
    <i>
      <x v="346"/>
      <x/>
      <x v="88"/>
      <x v="49"/>
      <x v="1"/>
      <x v="16"/>
      <x v="458"/>
      <x v="371"/>
    </i>
    <i>
      <x v="347"/>
      <x/>
      <x v="88"/>
      <x v="49"/>
      <x v="1"/>
      <x v="8"/>
      <x v="459"/>
      <x v="372"/>
    </i>
    <i>
      <x v="348"/>
      <x/>
      <x v="88"/>
      <x v="49"/>
      <x v="1"/>
      <x v="2"/>
      <x v="460"/>
      <x v="373"/>
    </i>
    <i>
      <x v="349"/>
      <x/>
      <x v="88"/>
      <x v="49"/>
      <x v="1"/>
      <x v="11"/>
      <x v="461"/>
      <x v="374"/>
    </i>
    <i>
      <x v="350"/>
      <x/>
      <x v="95"/>
      <x v="49"/>
      <x/>
      <x/>
      <x v="462"/>
      <x v="375"/>
    </i>
    <i>
      <x v="351"/>
      <x/>
      <x v="95"/>
      <x v="49"/>
      <x/>
      <x/>
      <x v="463"/>
      <x v="376"/>
    </i>
    <i>
      <x v="352"/>
      <x v="6"/>
      <x v="34"/>
      <x v="63"/>
      <x/>
      <x/>
      <x v="464"/>
      <x v="377"/>
    </i>
    <i>
      <x v="353"/>
      <x v="8"/>
      <x v="35"/>
      <x v="64"/>
      <x/>
      <x/>
      <x v="465"/>
      <x v="378"/>
    </i>
    <i>
      <x v="354"/>
      <x v="8"/>
      <x v="35"/>
      <x v="64"/>
      <x v="1"/>
      <x v="13"/>
      <x v="466"/>
      <x v="379"/>
    </i>
    <i>
      <x v="355"/>
      <x v="8"/>
      <x v="35"/>
      <x v="64"/>
      <x v="1"/>
      <x v="1"/>
      <x v="467"/>
      <x v="380"/>
    </i>
    <i>
      <x v="356"/>
      <x v="8"/>
      <x v="35"/>
      <x v="64"/>
      <x v="1"/>
      <x v="3"/>
      <x v="468"/>
      <x v="381"/>
    </i>
    <i>
      <x v="357"/>
      <x v="8"/>
      <x v="35"/>
      <x v="64"/>
      <x v="1"/>
      <x v="5"/>
      <x v="469"/>
      <x v="382"/>
    </i>
    <i>
      <x v="358"/>
      <x v="8"/>
      <x v="35"/>
      <x v="64"/>
      <x v="1"/>
      <x v="14"/>
      <x v="470"/>
      <x v="383"/>
    </i>
    <i>
      <x v="359"/>
      <x v="8"/>
      <x v="35"/>
      <x v="64"/>
      <x v="1"/>
      <x v="12"/>
      <x v="471"/>
      <x v="384"/>
    </i>
    <i>
      <x v="360"/>
      <x v="8"/>
      <x v="35"/>
      <x v="64"/>
      <x v="1"/>
      <x v="10"/>
      <x v="472"/>
      <x v="385"/>
    </i>
    <i>
      <x v="361"/>
      <x v="8"/>
      <x v="35"/>
      <x v="64"/>
      <x v="1"/>
      <x v="15"/>
      <x v="473"/>
      <x v="386"/>
    </i>
    <i>
      <x v="362"/>
      <x v="8"/>
      <x v="35"/>
      <x v="64"/>
      <x v="1"/>
      <x v="6"/>
      <x v="474"/>
      <x v="387"/>
    </i>
    <i>
      <x v="363"/>
      <x v="8"/>
      <x v="35"/>
      <x v="64"/>
      <x v="1"/>
      <x v="7"/>
      <x v="475"/>
      <x v="388"/>
    </i>
    <i>
      <x v="364"/>
      <x v="8"/>
      <x v="35"/>
      <x v="64"/>
      <x v="1"/>
      <x v="4"/>
      <x v="476"/>
      <x v="389"/>
    </i>
    <i>
      <x v="365"/>
      <x v="8"/>
      <x v="35"/>
      <x v="64"/>
      <x v="1"/>
      <x v="9"/>
      <x v="477"/>
      <x v="390"/>
    </i>
    <i>
      <x v="366"/>
      <x v="8"/>
      <x v="35"/>
      <x v="64"/>
      <x v="1"/>
      <x v="16"/>
      <x v="478"/>
      <x v="391"/>
    </i>
    <i>
      <x v="367"/>
      <x v="8"/>
      <x v="35"/>
      <x v="64"/>
      <x v="1"/>
      <x v="8"/>
      <x v="479"/>
      <x v="392"/>
    </i>
    <i>
      <x v="368"/>
      <x v="8"/>
      <x v="35"/>
      <x v="64"/>
      <x v="1"/>
      <x v="2"/>
      <x v="480"/>
      <x v="393"/>
    </i>
    <i>
      <x v="369"/>
      <x v="8"/>
      <x v="35"/>
      <x v="64"/>
      <x v="1"/>
      <x v="11"/>
      <x v="481"/>
      <x v="394"/>
    </i>
    <i>
      <x v="370"/>
      <x v="12"/>
      <x v="36"/>
      <x v="27"/>
      <x/>
      <x/>
      <x v="482"/>
      <x v="395"/>
    </i>
    <i>
      <x v="371"/>
      <x v="12"/>
      <x v="36"/>
      <x v="27"/>
      <x v="1"/>
      <x v="13"/>
      <x v="483"/>
      <x v="155"/>
    </i>
    <i>
      <x v="372"/>
      <x v="12"/>
      <x v="36"/>
      <x v="27"/>
      <x v="1"/>
      <x v="1"/>
      <x v="484"/>
      <x v="155"/>
    </i>
    <i>
      <x v="373"/>
      <x v="12"/>
      <x v="36"/>
      <x v="27"/>
      <x v="1"/>
      <x v="3"/>
      <x v="485"/>
      <x v="155"/>
    </i>
    <i>
      <x v="374"/>
      <x v="12"/>
      <x v="36"/>
      <x v="27"/>
      <x v="1"/>
      <x v="5"/>
      <x v="486"/>
      <x v="155"/>
    </i>
    <i>
      <x v="375"/>
      <x v="12"/>
      <x v="36"/>
      <x v="27"/>
      <x v="1"/>
      <x v="14"/>
      <x v="487"/>
      <x v="155"/>
    </i>
    <i>
      <x v="376"/>
      <x v="12"/>
      <x v="36"/>
      <x v="27"/>
      <x v="1"/>
      <x v="12"/>
      <x v="488"/>
      <x v="155"/>
    </i>
    <i>
      <x v="377"/>
      <x v="12"/>
      <x v="36"/>
      <x v="27"/>
      <x v="1"/>
      <x v="10"/>
      <x v="489"/>
      <x v="155"/>
    </i>
    <i>
      <x v="378"/>
      <x v="12"/>
      <x v="36"/>
      <x v="27"/>
      <x v="1"/>
      <x v="15"/>
      <x v="490"/>
      <x v="155"/>
    </i>
    <i>
      <x v="379"/>
      <x v="12"/>
      <x v="36"/>
      <x v="27"/>
      <x v="1"/>
      <x v="6"/>
      <x v="491"/>
      <x v="155"/>
    </i>
    <i>
      <x v="380"/>
      <x v="12"/>
      <x v="36"/>
      <x v="27"/>
      <x v="1"/>
      <x v="7"/>
      <x v="492"/>
      <x v="155"/>
    </i>
    <i>
      <x v="381"/>
      <x v="12"/>
      <x v="36"/>
      <x v="27"/>
      <x v="1"/>
      <x v="4"/>
      <x v="493"/>
      <x v="155"/>
    </i>
    <i>
      <x v="382"/>
      <x v="12"/>
      <x v="36"/>
      <x v="27"/>
      <x v="1"/>
      <x v="9"/>
      <x v="494"/>
      <x v="155"/>
    </i>
    <i>
      <x v="383"/>
      <x v="12"/>
      <x v="36"/>
      <x v="27"/>
      <x v="1"/>
      <x v="16"/>
      <x v="495"/>
      <x v="155"/>
    </i>
    <i>
      <x v="384"/>
      <x v="12"/>
      <x v="36"/>
      <x v="27"/>
      <x v="1"/>
      <x v="8"/>
      <x v="496"/>
      <x v="155"/>
    </i>
    <i>
      <x v="385"/>
      <x v="12"/>
      <x v="36"/>
      <x v="27"/>
      <x v="1"/>
      <x v="2"/>
      <x v="497"/>
      <x v="155"/>
    </i>
    <i>
      <x v="386"/>
      <x v="12"/>
      <x v="36"/>
      <x v="27"/>
      <x v="1"/>
      <x v="11"/>
      <x v="498"/>
      <x v="155"/>
    </i>
    <i>
      <x v="387"/>
      <x v="12"/>
      <x v="36"/>
      <x v="27"/>
      <x/>
      <x/>
      <x v="499"/>
      <x v="396"/>
    </i>
    <i>
      <x v="388"/>
      <x v="12"/>
      <x v="36"/>
      <x v="27"/>
      <x/>
      <x/>
      <x v="500"/>
      <x v="397"/>
    </i>
    <i>
      <x v="389"/>
      <x v="12"/>
      <x v="37"/>
      <x v="53"/>
      <x/>
      <x/>
      <x v="501"/>
      <x v="155"/>
    </i>
    <i>
      <x v="390"/>
      <x v="12"/>
      <x v="37"/>
      <x v="53"/>
      <x v="1"/>
      <x v="13"/>
      <x v="502"/>
      <x v="155"/>
    </i>
    <i>
      <x v="391"/>
      <x v="12"/>
      <x v="37"/>
      <x v="53"/>
      <x v="1"/>
      <x v="1"/>
      <x v="503"/>
      <x v="155"/>
    </i>
    <i>
      <x v="392"/>
      <x v="12"/>
      <x v="37"/>
      <x v="53"/>
      <x v="1"/>
      <x v="3"/>
      <x v="504"/>
      <x v="155"/>
    </i>
    <i>
      <x v="393"/>
      <x v="12"/>
      <x v="37"/>
      <x v="53"/>
      <x v="1"/>
      <x v="5"/>
      <x v="505"/>
      <x v="155"/>
    </i>
    <i>
      <x v="394"/>
      <x v="12"/>
      <x v="37"/>
      <x v="53"/>
      <x v="1"/>
      <x v="14"/>
      <x v="506"/>
      <x v="155"/>
    </i>
    <i>
      <x v="395"/>
      <x v="12"/>
      <x v="37"/>
      <x v="53"/>
      <x v="1"/>
      <x v="12"/>
      <x v="507"/>
      <x v="155"/>
    </i>
    <i>
      <x v="396"/>
      <x v="12"/>
      <x v="37"/>
      <x v="53"/>
      <x v="1"/>
      <x v="10"/>
      <x v="508"/>
      <x v="155"/>
    </i>
    <i>
      <x v="397"/>
      <x v="12"/>
      <x v="37"/>
      <x v="53"/>
      <x v="1"/>
      <x v="15"/>
      <x v="509"/>
      <x v="155"/>
    </i>
    <i>
      <x v="398"/>
      <x v="12"/>
      <x v="37"/>
      <x v="53"/>
      <x v="1"/>
      <x v="6"/>
      <x v="510"/>
      <x v="155"/>
    </i>
    <i>
      <x v="399"/>
      <x v="12"/>
      <x v="37"/>
      <x v="53"/>
      <x v="1"/>
      <x v="7"/>
      <x v="511"/>
      <x v="155"/>
    </i>
    <i>
      <x v="400"/>
      <x v="12"/>
      <x v="37"/>
      <x v="53"/>
      <x v="1"/>
      <x v="4"/>
      <x v="512"/>
      <x v="155"/>
    </i>
    <i>
      <x v="401"/>
      <x v="12"/>
      <x v="37"/>
      <x v="53"/>
      <x v="1"/>
      <x v="9"/>
      <x v="513"/>
      <x v="155"/>
    </i>
    <i>
      <x v="402"/>
      <x v="12"/>
      <x v="37"/>
      <x v="53"/>
      <x v="1"/>
      <x v="16"/>
      <x v="514"/>
      <x v="155"/>
    </i>
    <i>
      <x v="403"/>
      <x v="12"/>
      <x v="37"/>
      <x v="53"/>
      <x v="1"/>
      <x v="8"/>
      <x v="515"/>
      <x v="155"/>
    </i>
    <i>
      <x v="404"/>
      <x v="12"/>
      <x v="37"/>
      <x v="53"/>
      <x v="1"/>
      <x v="2"/>
      <x v="516"/>
      <x v="155"/>
    </i>
    <i>
      <x v="405"/>
      <x v="12"/>
      <x v="37"/>
      <x v="53"/>
      <x v="1"/>
      <x v="11"/>
      <x v="517"/>
      <x v="155"/>
    </i>
    <i>
      <x v="406"/>
      <x v="11"/>
      <x v="90"/>
      <x v="51"/>
      <x/>
      <x/>
      <x v="518"/>
      <x v="398"/>
    </i>
    <i>
      <x v="407"/>
      <x/>
      <x v="39"/>
      <x v="94"/>
      <x/>
      <x/>
      <x v="519"/>
      <x v="155"/>
    </i>
    <i>
      <x v="408"/>
      <x/>
      <x v="39"/>
      <x v="94"/>
      <x v="1"/>
      <x v="13"/>
      <x v="520"/>
      <x v="155"/>
    </i>
    <i>
      <x v="409"/>
      <x/>
      <x v="39"/>
      <x v="94"/>
      <x v="1"/>
      <x v="1"/>
      <x v="521"/>
      <x v="155"/>
    </i>
    <i>
      <x v="410"/>
      <x/>
      <x v="39"/>
      <x v="94"/>
      <x v="1"/>
      <x v="3"/>
      <x v="522"/>
      <x v="155"/>
    </i>
    <i>
      <x v="411"/>
      <x/>
      <x v="39"/>
      <x v="94"/>
      <x v="1"/>
      <x v="5"/>
      <x v="523"/>
      <x v="155"/>
    </i>
    <i>
      <x v="412"/>
      <x/>
      <x v="39"/>
      <x v="94"/>
      <x v="1"/>
      <x v="14"/>
      <x v="524"/>
      <x v="155"/>
    </i>
    <i>
      <x v="413"/>
      <x/>
      <x v="39"/>
      <x v="94"/>
      <x v="1"/>
      <x v="12"/>
      <x v="525"/>
      <x v="155"/>
    </i>
    <i>
      <x v="414"/>
      <x/>
      <x v="39"/>
      <x v="94"/>
      <x v="1"/>
      <x v="10"/>
      <x v="526"/>
      <x v="155"/>
    </i>
    <i>
      <x v="415"/>
      <x/>
      <x v="39"/>
      <x v="94"/>
      <x v="1"/>
      <x v="15"/>
      <x v="527"/>
      <x v="155"/>
    </i>
    <i>
      <x v="416"/>
      <x/>
      <x v="39"/>
      <x v="94"/>
      <x v="1"/>
      <x v="6"/>
      <x v="528"/>
      <x v="155"/>
    </i>
    <i>
      <x v="417"/>
      <x/>
      <x v="39"/>
      <x v="94"/>
      <x v="1"/>
      <x v="7"/>
      <x v="529"/>
      <x v="155"/>
    </i>
    <i>
      <x v="418"/>
      <x/>
      <x v="39"/>
      <x v="94"/>
      <x v="1"/>
      <x v="4"/>
      <x v="530"/>
      <x v="155"/>
    </i>
    <i>
      <x v="419"/>
      <x/>
      <x v="39"/>
      <x v="94"/>
      <x v="1"/>
      <x v="9"/>
      <x v="531"/>
      <x v="155"/>
    </i>
    <i>
      <x v="420"/>
      <x/>
      <x v="39"/>
      <x v="94"/>
      <x v="1"/>
      <x v="16"/>
      <x v="532"/>
      <x v="155"/>
    </i>
    <i>
      <x v="421"/>
      <x/>
      <x v="39"/>
      <x v="94"/>
      <x v="1"/>
      <x v="8"/>
      <x v="533"/>
      <x v="155"/>
    </i>
    <i>
      <x v="422"/>
      <x/>
      <x v="39"/>
      <x v="94"/>
      <x v="1"/>
      <x v="2"/>
      <x v="534"/>
      <x v="155"/>
    </i>
    <i>
      <x v="423"/>
      <x/>
      <x v="39"/>
      <x v="94"/>
      <x v="1"/>
      <x v="11"/>
      <x v="535"/>
      <x v="155"/>
    </i>
    <i>
      <x v="424"/>
      <x v="9"/>
      <x v="40"/>
      <x v="66"/>
      <x/>
      <x/>
      <x v="536"/>
      <x v="399"/>
    </i>
    <i>
      <x v="425"/>
      <x v="9"/>
      <x v="41"/>
      <x v="55"/>
      <x/>
      <x/>
      <x v="537"/>
      <x v="400"/>
    </i>
    <i>
      <x v="426"/>
      <x v="9"/>
      <x v="41"/>
      <x v="55"/>
      <x v="1"/>
      <x v="13"/>
      <x v="538"/>
      <x v="401"/>
    </i>
    <i>
      <x v="427"/>
      <x v="9"/>
      <x v="41"/>
      <x v="55"/>
      <x v="1"/>
      <x v="1"/>
      <x v="539"/>
      <x v="402"/>
    </i>
    <i>
      <x v="428"/>
      <x v="9"/>
      <x v="41"/>
      <x v="55"/>
      <x v="1"/>
      <x v="3"/>
      <x v="540"/>
      <x v="403"/>
    </i>
    <i>
      <x v="429"/>
      <x v="9"/>
      <x v="41"/>
      <x v="55"/>
      <x v="1"/>
      <x v="5"/>
      <x v="541"/>
      <x v="404"/>
    </i>
    <i>
      <x v="430"/>
      <x v="9"/>
      <x v="41"/>
      <x v="55"/>
      <x v="1"/>
      <x v="14"/>
      <x v="542"/>
      <x v="405"/>
    </i>
    <i>
      <x v="431"/>
      <x v="9"/>
      <x v="41"/>
      <x v="55"/>
      <x v="1"/>
      <x v="12"/>
      <x v="543"/>
      <x v="406"/>
    </i>
    <i>
      <x v="432"/>
      <x v="9"/>
      <x v="41"/>
      <x v="55"/>
      <x v="1"/>
      <x v="10"/>
      <x v="544"/>
      <x v="407"/>
    </i>
    <i>
      <x v="433"/>
      <x v="9"/>
      <x v="41"/>
      <x v="55"/>
      <x v="1"/>
      <x v="15"/>
      <x v="545"/>
      <x v="408"/>
    </i>
    <i>
      <x v="434"/>
      <x v="9"/>
      <x v="41"/>
      <x v="55"/>
      <x v="1"/>
      <x v="6"/>
      <x v="546"/>
      <x v="409"/>
    </i>
    <i>
      <x v="435"/>
      <x v="9"/>
      <x v="41"/>
      <x v="55"/>
      <x v="1"/>
      <x v="7"/>
      <x v="547"/>
      <x v="410"/>
    </i>
    <i>
      <x v="436"/>
      <x v="9"/>
      <x v="41"/>
      <x v="55"/>
      <x v="1"/>
      <x v="4"/>
      <x v="548"/>
      <x v="411"/>
    </i>
    <i>
      <x v="437"/>
      <x v="9"/>
      <x v="41"/>
      <x v="55"/>
      <x v="1"/>
      <x v="9"/>
      <x v="549"/>
      <x v="412"/>
    </i>
    <i>
      <x v="438"/>
      <x v="9"/>
      <x v="41"/>
      <x v="55"/>
      <x v="1"/>
      <x v="16"/>
      <x v="550"/>
      <x v="413"/>
    </i>
    <i>
      <x v="439"/>
      <x v="9"/>
      <x v="41"/>
      <x v="55"/>
      <x v="1"/>
      <x v="8"/>
      <x v="551"/>
      <x v="414"/>
    </i>
    <i>
      <x v="440"/>
      <x v="9"/>
      <x v="41"/>
      <x v="55"/>
      <x v="1"/>
      <x v="2"/>
      <x v="552"/>
      <x v="415"/>
    </i>
    <i>
      <x v="441"/>
      <x v="9"/>
      <x v="41"/>
      <x v="55"/>
      <x v="1"/>
      <x v="11"/>
      <x v="553"/>
      <x v="416"/>
    </i>
    <i>
      <x v="442"/>
      <x v="9"/>
      <x v="42"/>
      <x v="55"/>
      <x/>
      <x/>
      <x v="554"/>
      <x v="417"/>
    </i>
    <i>
      <x v="443"/>
      <x v="9"/>
      <x v="42"/>
      <x v="55"/>
      <x v="1"/>
      <x v="13"/>
      <x v="555"/>
      <x v="155"/>
    </i>
    <i>
      <x v="444"/>
      <x v="9"/>
      <x v="42"/>
      <x v="55"/>
      <x v="1"/>
      <x v="1"/>
      <x v="556"/>
      <x v="155"/>
    </i>
    <i>
      <x v="445"/>
      <x v="9"/>
      <x v="42"/>
      <x v="55"/>
      <x v="1"/>
      <x v="3"/>
      <x v="557"/>
      <x v="155"/>
    </i>
    <i>
      <x v="446"/>
      <x v="3"/>
      <x v="133"/>
      <x v="93"/>
      <x/>
      <x/>
      <x v="233"/>
      <x v="173"/>
    </i>
    <i>
      <x v="447"/>
      <x v="9"/>
      <x v="42"/>
      <x v="55"/>
      <x v="1"/>
      <x v="5"/>
      <x v="558"/>
      <x v="155"/>
    </i>
    <i>
      <x v="448"/>
      <x v="9"/>
      <x v="42"/>
      <x v="55"/>
      <x v="1"/>
      <x v="14"/>
      <x v="559"/>
      <x v="155"/>
    </i>
    <i>
      <x v="449"/>
      <x v="9"/>
      <x v="42"/>
      <x v="55"/>
      <x v="1"/>
      <x v="12"/>
      <x v="560"/>
      <x v="155"/>
    </i>
    <i>
      <x v="450"/>
      <x v="9"/>
      <x v="42"/>
      <x v="55"/>
      <x v="1"/>
      <x v="10"/>
      <x v="561"/>
      <x v="155"/>
    </i>
    <i>
      <x v="451"/>
      <x v="9"/>
      <x v="42"/>
      <x v="55"/>
      <x v="1"/>
      <x v="15"/>
      <x v="562"/>
      <x v="155"/>
    </i>
    <i>
      <x v="452"/>
      <x v="9"/>
      <x v="42"/>
      <x v="55"/>
      <x v="1"/>
      <x v="6"/>
      <x v="563"/>
      <x v="155"/>
    </i>
    <i>
      <x v="453"/>
      <x v="9"/>
      <x v="42"/>
      <x v="55"/>
      <x v="1"/>
      <x v="7"/>
      <x v="564"/>
      <x v="155"/>
    </i>
    <i>
      <x v="454"/>
      <x v="9"/>
      <x v="42"/>
      <x v="55"/>
      <x v="1"/>
      <x v="4"/>
      <x v="565"/>
      <x v="155"/>
    </i>
    <i>
      <x v="455"/>
      <x v="9"/>
      <x v="42"/>
      <x v="55"/>
      <x v="1"/>
      <x v="9"/>
      <x v="566"/>
      <x v="155"/>
    </i>
    <i>
      <x v="456"/>
      <x v="9"/>
      <x v="42"/>
      <x v="55"/>
      <x v="1"/>
      <x v="16"/>
      <x v="567"/>
      <x v="155"/>
    </i>
    <i>
      <x v="457"/>
      <x v="9"/>
      <x v="42"/>
      <x v="55"/>
      <x v="1"/>
      <x v="8"/>
      <x v="568"/>
      <x v="155"/>
    </i>
    <i>
      <x v="458"/>
      <x v="9"/>
      <x v="42"/>
      <x v="55"/>
      <x v="1"/>
      <x v="2"/>
      <x v="569"/>
      <x v="155"/>
    </i>
    <i>
      <x v="459"/>
      <x v="9"/>
      <x v="42"/>
      <x v="55"/>
      <x v="1"/>
      <x v="11"/>
      <x v="570"/>
      <x v="155"/>
    </i>
    <i>
      <x v="460"/>
      <x v="13"/>
      <x v="43"/>
      <x v="75"/>
      <x/>
      <x/>
      <x v="571"/>
      <x v="155"/>
    </i>
    <i>
      <x v="461"/>
      <x v="13"/>
      <x v="43"/>
      <x v="75"/>
      <x v="1"/>
      <x v="13"/>
      <x v="572"/>
      <x v="155"/>
    </i>
    <i>
      <x v="462"/>
      <x v="13"/>
      <x v="43"/>
      <x v="75"/>
      <x v="1"/>
      <x v="1"/>
      <x v="573"/>
      <x v="155"/>
    </i>
    <i>
      <x v="463"/>
      <x v="13"/>
      <x v="43"/>
      <x v="75"/>
      <x v="1"/>
      <x v="3"/>
      <x v="574"/>
      <x v="155"/>
    </i>
    <i>
      <x v="464"/>
      <x v="13"/>
      <x v="43"/>
      <x v="75"/>
      <x v="1"/>
      <x v="5"/>
      <x v="575"/>
      <x v="155"/>
    </i>
    <i>
      <x v="465"/>
      <x v="13"/>
      <x v="43"/>
      <x v="75"/>
      <x v="1"/>
      <x v="14"/>
      <x v="576"/>
      <x v="155"/>
    </i>
    <i>
      <x v="466"/>
      <x v="13"/>
      <x v="43"/>
      <x v="75"/>
      <x v="1"/>
      <x v="12"/>
      <x v="577"/>
      <x v="155"/>
    </i>
    <i>
      <x v="467"/>
      <x v="13"/>
      <x v="43"/>
      <x v="75"/>
      <x v="1"/>
      <x v="10"/>
      <x v="578"/>
      <x v="155"/>
    </i>
    <i>
      <x v="468"/>
      <x v="13"/>
      <x v="43"/>
      <x v="75"/>
      <x v="1"/>
      <x v="15"/>
      <x v="579"/>
      <x v="155"/>
    </i>
    <i>
      <x v="469"/>
      <x v="13"/>
      <x v="43"/>
      <x v="75"/>
      <x v="1"/>
      <x v="6"/>
      <x v="580"/>
      <x v="155"/>
    </i>
    <i>
      <x v="470"/>
      <x v="13"/>
      <x v="43"/>
      <x v="75"/>
      <x v="1"/>
      <x v="7"/>
      <x v="581"/>
      <x v="155"/>
    </i>
    <i>
      <x v="471"/>
      <x v="13"/>
      <x v="43"/>
      <x v="75"/>
      <x v="1"/>
      <x v="4"/>
      <x v="582"/>
      <x v="155"/>
    </i>
    <i>
      <x v="472"/>
      <x v="13"/>
      <x v="43"/>
      <x v="75"/>
      <x v="1"/>
      <x v="9"/>
      <x v="583"/>
      <x v="155"/>
    </i>
    <i>
      <x v="473"/>
      <x v="13"/>
      <x v="43"/>
      <x v="75"/>
      <x v="1"/>
      <x v="16"/>
      <x v="584"/>
      <x v="155"/>
    </i>
    <i>
      <x v="474"/>
      <x v="13"/>
      <x v="43"/>
      <x v="75"/>
      <x v="1"/>
      <x v="8"/>
      <x v="585"/>
      <x v="155"/>
    </i>
    <i>
      <x v="475"/>
      <x v="13"/>
      <x v="43"/>
      <x v="75"/>
      <x v="1"/>
      <x v="2"/>
      <x v="586"/>
      <x v="155"/>
    </i>
    <i>
      <x v="476"/>
      <x v="13"/>
      <x v="43"/>
      <x v="75"/>
      <x v="1"/>
      <x v="11"/>
      <x v="587"/>
      <x v="155"/>
    </i>
    <i>
      <x v="477"/>
      <x v="12"/>
      <x v="44"/>
      <x v="57"/>
      <x/>
      <x/>
      <x v="588"/>
      <x v="418"/>
    </i>
    <i>
      <x v="478"/>
      <x v="12"/>
      <x v="44"/>
      <x v="57"/>
      <x/>
      <x/>
      <x v="589"/>
      <x v="419"/>
    </i>
    <i>
      <x v="479"/>
      <x v="12"/>
      <x v="44"/>
      <x v="57"/>
      <x/>
      <x/>
      <x v="590"/>
      <x v="420"/>
    </i>
    <i>
      <x v="480"/>
      <x v="12"/>
      <x v="44"/>
      <x v="57"/>
      <x/>
      <x/>
      <x v="591"/>
      <x v="421"/>
    </i>
    <i>
      <x v="481"/>
      <x v="2"/>
      <x v="45"/>
      <x v="40"/>
      <x/>
      <x/>
      <x v="592"/>
      <x v="422"/>
    </i>
    <i>
      <x v="482"/>
      <x v="2"/>
      <x v="46"/>
      <x v="40"/>
      <x/>
      <x/>
      <x v="593"/>
      <x v="423"/>
    </i>
    <i>
      <x v="483"/>
      <x v="2"/>
      <x v="46"/>
      <x v="40"/>
      <x v="1"/>
      <x v="13"/>
      <x v="594"/>
      <x v="424"/>
    </i>
    <i>
      <x v="484"/>
      <x v="2"/>
      <x v="46"/>
      <x v="40"/>
      <x v="1"/>
      <x v="1"/>
      <x v="595"/>
      <x v="425"/>
    </i>
    <i>
      <x v="485"/>
      <x v="2"/>
      <x v="46"/>
      <x v="40"/>
      <x v="1"/>
      <x v="3"/>
      <x v="596"/>
      <x v="426"/>
    </i>
    <i>
      <x v="486"/>
      <x v="2"/>
      <x v="46"/>
      <x v="40"/>
      <x v="1"/>
      <x v="5"/>
      <x v="597"/>
      <x v="427"/>
    </i>
    <i>
      <x v="487"/>
      <x v="2"/>
      <x v="46"/>
      <x v="40"/>
      <x v="1"/>
      <x v="14"/>
      <x v="598"/>
      <x v="428"/>
    </i>
    <i>
      <x v="488"/>
      <x v="2"/>
      <x v="46"/>
      <x v="40"/>
      <x v="1"/>
      <x v="12"/>
      <x v="599"/>
      <x v="429"/>
    </i>
    <i>
      <x v="489"/>
      <x v="2"/>
      <x v="46"/>
      <x v="40"/>
      <x v="1"/>
      <x v="10"/>
      <x v="600"/>
      <x v="430"/>
    </i>
    <i>
      <x v="490"/>
      <x v="2"/>
      <x v="46"/>
      <x v="40"/>
      <x v="1"/>
      <x v="15"/>
      <x v="601"/>
      <x v="431"/>
    </i>
    <i>
      <x v="491"/>
      <x v="2"/>
      <x v="46"/>
      <x v="40"/>
      <x v="1"/>
      <x v="6"/>
      <x v="602"/>
      <x v="432"/>
    </i>
    <i>
      <x v="492"/>
      <x v="2"/>
      <x v="46"/>
      <x v="40"/>
      <x v="1"/>
      <x v="7"/>
      <x v="603"/>
      <x v="433"/>
    </i>
    <i>
      <x v="493"/>
      <x v="2"/>
      <x v="46"/>
      <x v="40"/>
      <x v="1"/>
      <x v="4"/>
      <x v="604"/>
      <x v="434"/>
    </i>
    <i>
      <x v="494"/>
      <x v="2"/>
      <x v="46"/>
      <x v="40"/>
      <x v="1"/>
      <x v="9"/>
      <x v="605"/>
      <x v="435"/>
    </i>
    <i>
      <x v="495"/>
      <x v="2"/>
      <x v="46"/>
      <x v="40"/>
      <x v="1"/>
      <x v="16"/>
      <x v="606"/>
      <x v="436"/>
    </i>
    <i>
      <x v="496"/>
      <x v="2"/>
      <x v="46"/>
      <x v="40"/>
      <x v="1"/>
      <x v="8"/>
      <x v="607"/>
      <x v="437"/>
    </i>
    <i>
      <x v="497"/>
      <x v="2"/>
      <x v="46"/>
      <x v="40"/>
      <x v="1"/>
      <x v="2"/>
      <x v="608"/>
      <x v="438"/>
    </i>
    <i>
      <x v="498"/>
      <x v="2"/>
      <x v="46"/>
      <x v="40"/>
      <x v="1"/>
      <x v="11"/>
      <x v="609"/>
      <x v="439"/>
    </i>
    <i>
      <x v="499"/>
      <x v="3"/>
      <x v="96"/>
      <x v="93"/>
      <x/>
      <x/>
      <x v="610"/>
      <x v="440"/>
    </i>
    <i>
      <x v="500"/>
      <x v="3"/>
      <x v="96"/>
      <x v="93"/>
      <x v="1"/>
      <x v="13"/>
      <x v="611"/>
      <x v="155"/>
    </i>
    <i>
      <x v="501"/>
      <x v="3"/>
      <x v="96"/>
      <x v="93"/>
      <x v="1"/>
      <x v="1"/>
      <x v="612"/>
      <x v="155"/>
    </i>
    <i>
      <x v="502"/>
      <x v="3"/>
      <x v="96"/>
      <x v="93"/>
      <x v="1"/>
      <x v="3"/>
      <x v="613"/>
      <x v="155"/>
    </i>
    <i>
      <x v="503"/>
      <x v="3"/>
      <x v="96"/>
      <x v="93"/>
      <x v="1"/>
      <x v="5"/>
      <x v="614"/>
      <x v="155"/>
    </i>
    <i>
      <x v="504"/>
      <x v="3"/>
      <x v="96"/>
      <x v="93"/>
      <x v="1"/>
      <x v="14"/>
      <x v="615"/>
      <x v="155"/>
    </i>
    <i>
      <x v="505"/>
      <x v="3"/>
      <x v="96"/>
      <x v="93"/>
      <x v="1"/>
      <x v="12"/>
      <x v="616"/>
      <x v="155"/>
    </i>
    <i>
      <x v="506"/>
      <x v="3"/>
      <x v="96"/>
      <x v="93"/>
      <x v="1"/>
      <x v="10"/>
      <x v="617"/>
      <x v="155"/>
    </i>
    <i>
      <x v="507"/>
      <x v="3"/>
      <x v="96"/>
      <x v="93"/>
      <x v="1"/>
      <x v="15"/>
      <x v="618"/>
      <x v="155"/>
    </i>
    <i>
      <x v="508"/>
      <x v="3"/>
      <x v="96"/>
      <x v="93"/>
      <x v="1"/>
      <x v="6"/>
      <x v="619"/>
      <x v="155"/>
    </i>
    <i>
      <x v="509"/>
      <x v="3"/>
      <x v="96"/>
      <x v="93"/>
      <x v="1"/>
      <x v="7"/>
      <x v="620"/>
      <x v="155"/>
    </i>
    <i>
      <x v="510"/>
      <x v="3"/>
      <x v="96"/>
      <x v="93"/>
      <x v="1"/>
      <x v="4"/>
      <x v="621"/>
      <x v="155"/>
    </i>
    <i>
      <x v="511"/>
      <x v="3"/>
      <x v="96"/>
      <x v="93"/>
      <x v="1"/>
      <x v="9"/>
      <x v="622"/>
      <x v="155"/>
    </i>
    <i>
      <x v="512"/>
      <x v="3"/>
      <x v="96"/>
      <x v="93"/>
      <x v="1"/>
      <x v="16"/>
      <x v="623"/>
      <x v="155"/>
    </i>
    <i>
      <x v="513"/>
      <x v="3"/>
      <x v="96"/>
      <x v="93"/>
      <x v="1"/>
      <x v="8"/>
      <x v="624"/>
      <x v="155"/>
    </i>
    <i>
      <x v="514"/>
      <x v="3"/>
      <x v="96"/>
      <x v="93"/>
      <x v="1"/>
      <x v="2"/>
      <x v="625"/>
      <x v="155"/>
    </i>
    <i>
      <x v="515"/>
      <x v="3"/>
      <x v="96"/>
      <x v="93"/>
      <x v="1"/>
      <x v="11"/>
      <x v="626"/>
      <x v="155"/>
    </i>
    <i>
      <x v="516"/>
      <x v="3"/>
      <x v="96"/>
      <x v="93"/>
      <x/>
      <x/>
      <x v="627"/>
      <x v="155"/>
    </i>
    <i>
      <x v="517"/>
      <x v="3"/>
      <x v="96"/>
      <x v="93"/>
      <x v="1"/>
      <x v="13"/>
      <x v="628"/>
      <x v="155"/>
    </i>
    <i>
      <x v="518"/>
      <x v="3"/>
      <x v="96"/>
      <x v="93"/>
      <x v="1"/>
      <x v="1"/>
      <x v="629"/>
      <x v="155"/>
    </i>
    <i>
      <x v="519"/>
      <x v="3"/>
      <x v="96"/>
      <x v="93"/>
      <x v="1"/>
      <x v="3"/>
      <x v="630"/>
      <x v="155"/>
    </i>
    <i>
      <x v="520"/>
      <x v="3"/>
      <x v="96"/>
      <x v="93"/>
      <x v="1"/>
      <x v="5"/>
      <x v="631"/>
      <x v="155"/>
    </i>
    <i>
      <x v="521"/>
      <x v="3"/>
      <x v="96"/>
      <x v="93"/>
      <x v="1"/>
      <x v="14"/>
      <x v="632"/>
      <x v="155"/>
    </i>
    <i>
      <x v="522"/>
      <x v="3"/>
      <x v="96"/>
      <x v="93"/>
      <x v="1"/>
      <x v="12"/>
      <x v="633"/>
      <x v="155"/>
    </i>
    <i>
      <x v="523"/>
      <x v="3"/>
      <x v="96"/>
      <x v="93"/>
      <x v="1"/>
      <x v="10"/>
      <x v="634"/>
      <x v="155"/>
    </i>
    <i>
      <x v="524"/>
      <x v="3"/>
      <x v="96"/>
      <x v="93"/>
      <x v="1"/>
      <x v="15"/>
      <x v="635"/>
      <x v="155"/>
    </i>
    <i>
      <x v="525"/>
      <x v="3"/>
      <x v="96"/>
      <x v="93"/>
      <x v="1"/>
      <x v="6"/>
      <x v="636"/>
      <x v="155"/>
    </i>
    <i>
      <x v="526"/>
      <x v="3"/>
      <x v="96"/>
      <x v="93"/>
      <x v="1"/>
      <x v="7"/>
      <x v="637"/>
      <x v="155"/>
    </i>
    <i>
      <x v="527"/>
      <x v="3"/>
      <x v="96"/>
      <x v="93"/>
      <x v="1"/>
      <x v="4"/>
      <x v="638"/>
      <x v="155"/>
    </i>
    <i>
      <x v="528"/>
      <x v="3"/>
      <x v="96"/>
      <x v="93"/>
      <x v="1"/>
      <x v="9"/>
      <x v="639"/>
      <x v="155"/>
    </i>
    <i>
      <x v="529"/>
      <x v="3"/>
      <x v="96"/>
      <x v="93"/>
      <x v="1"/>
      <x v="16"/>
      <x v="640"/>
      <x v="155"/>
    </i>
    <i>
      <x v="530"/>
      <x v="3"/>
      <x v="96"/>
      <x v="93"/>
      <x v="1"/>
      <x v="8"/>
      <x v="641"/>
      <x v="155"/>
    </i>
    <i>
      <x v="531"/>
      <x v="3"/>
      <x v="96"/>
      <x v="93"/>
      <x v="1"/>
      <x v="2"/>
      <x v="642"/>
      <x v="155"/>
    </i>
    <i>
      <x v="532"/>
      <x v="3"/>
      <x v="96"/>
      <x v="93"/>
      <x v="1"/>
      <x v="11"/>
      <x v="643"/>
      <x v="155"/>
    </i>
    <i>
      <x v="533"/>
      <x v="3"/>
      <x v="96"/>
      <x v="93"/>
      <x/>
      <x/>
      <x v="644"/>
      <x v="441"/>
    </i>
    <i>
      <x v="534"/>
      <x v="3"/>
      <x v="96"/>
      <x v="93"/>
      <x v="1"/>
      <x v="13"/>
      <x v="645"/>
      <x v="155"/>
    </i>
    <i>
      <x v="535"/>
      <x v="3"/>
      <x v="96"/>
      <x v="93"/>
      <x v="1"/>
      <x v="1"/>
      <x v="646"/>
      <x v="155"/>
    </i>
    <i>
      <x v="536"/>
      <x v="3"/>
      <x v="96"/>
      <x v="93"/>
      <x v="1"/>
      <x v="3"/>
      <x v="647"/>
      <x v="155"/>
    </i>
    <i>
      <x v="537"/>
      <x v="3"/>
      <x v="96"/>
      <x v="93"/>
      <x v="1"/>
      <x v="5"/>
      <x v="648"/>
      <x v="155"/>
    </i>
    <i>
      <x v="538"/>
      <x v="3"/>
      <x v="96"/>
      <x v="93"/>
      <x v="1"/>
      <x v="14"/>
      <x v="649"/>
      <x v="155"/>
    </i>
    <i>
      <x v="539"/>
      <x v="3"/>
      <x v="96"/>
      <x v="93"/>
      <x v="1"/>
      <x v="12"/>
      <x v="650"/>
      <x v="155"/>
    </i>
    <i>
      <x v="540"/>
      <x v="3"/>
      <x v="96"/>
      <x v="93"/>
      <x v="1"/>
      <x v="10"/>
      <x v="651"/>
      <x v="155"/>
    </i>
    <i>
      <x v="541"/>
      <x v="3"/>
      <x v="96"/>
      <x v="93"/>
      <x v="1"/>
      <x v="15"/>
      <x v="652"/>
      <x v="155"/>
    </i>
    <i>
      <x v="542"/>
      <x v="3"/>
      <x v="96"/>
      <x v="93"/>
      <x v="1"/>
      <x v="6"/>
      <x v="653"/>
      <x v="155"/>
    </i>
    <i>
      <x v="543"/>
      <x v="3"/>
      <x v="96"/>
      <x v="93"/>
      <x v="1"/>
      <x v="7"/>
      <x v="654"/>
      <x v="155"/>
    </i>
    <i>
      <x v="544"/>
      <x v="3"/>
      <x v="96"/>
      <x v="93"/>
      <x v="1"/>
      <x v="4"/>
      <x v="655"/>
      <x v="155"/>
    </i>
    <i>
      <x v="545"/>
      <x v="3"/>
      <x v="96"/>
      <x v="93"/>
      <x v="1"/>
      <x v="9"/>
      <x v="656"/>
      <x v="155"/>
    </i>
    <i>
      <x v="546"/>
      <x v="3"/>
      <x v="96"/>
      <x v="93"/>
      <x v="1"/>
      <x v="16"/>
      <x v="657"/>
      <x v="155"/>
    </i>
    <i>
      <x v="547"/>
      <x v="3"/>
      <x v="96"/>
      <x v="93"/>
      <x v="1"/>
      <x v="8"/>
      <x v="658"/>
      <x v="155"/>
    </i>
    <i>
      <x v="548"/>
      <x v="3"/>
      <x v="96"/>
      <x v="93"/>
      <x v="1"/>
      <x v="2"/>
      <x v="659"/>
      <x v="155"/>
    </i>
    <i>
      <x v="549"/>
      <x v="3"/>
      <x v="96"/>
      <x v="93"/>
      <x v="1"/>
      <x v="11"/>
      <x v="660"/>
      <x v="155"/>
    </i>
    <i>
      <x v="550"/>
      <x v="3"/>
      <x v="134"/>
      <x v="93"/>
      <x/>
      <x/>
      <x v="661"/>
      <x v="442"/>
    </i>
    <i>
      <x v="551"/>
      <x v="3"/>
      <x v="134"/>
      <x v="93"/>
      <x v="1"/>
      <x v="13"/>
      <x v="662"/>
      <x v="155"/>
    </i>
    <i>
      <x v="552"/>
      <x v="3"/>
      <x v="134"/>
      <x v="93"/>
      <x v="1"/>
      <x v="1"/>
      <x v="663"/>
      <x v="155"/>
    </i>
    <i>
      <x v="553"/>
      <x v="3"/>
      <x v="134"/>
      <x v="93"/>
      <x v="1"/>
      <x v="3"/>
      <x v="664"/>
      <x v="155"/>
    </i>
    <i>
      <x v="554"/>
      <x v="3"/>
      <x v="134"/>
      <x v="93"/>
      <x v="1"/>
      <x v="5"/>
      <x v="665"/>
      <x v="155"/>
    </i>
    <i>
      <x v="555"/>
      <x v="3"/>
      <x v="134"/>
      <x v="93"/>
      <x v="1"/>
      <x v="14"/>
      <x v="666"/>
      <x v="155"/>
    </i>
    <i>
      <x v="556"/>
      <x v="3"/>
      <x v="134"/>
      <x v="93"/>
      <x v="1"/>
      <x v="12"/>
      <x v="667"/>
      <x v="155"/>
    </i>
    <i>
      <x v="557"/>
      <x v="3"/>
      <x v="134"/>
      <x v="93"/>
      <x v="1"/>
      <x v="10"/>
      <x v="668"/>
      <x v="155"/>
    </i>
    <i>
      <x v="558"/>
      <x v="3"/>
      <x v="134"/>
      <x v="93"/>
      <x v="1"/>
      <x v="15"/>
      <x v="669"/>
      <x v="155"/>
    </i>
    <i>
      <x v="559"/>
      <x v="3"/>
      <x v="134"/>
      <x v="93"/>
      <x v="1"/>
      <x v="6"/>
      <x v="670"/>
      <x v="155"/>
    </i>
    <i>
      <x v="560"/>
      <x v="3"/>
      <x v="134"/>
      <x v="93"/>
      <x v="1"/>
      <x v="7"/>
      <x v="671"/>
      <x v="155"/>
    </i>
    <i>
      <x v="561"/>
      <x v="3"/>
      <x v="134"/>
      <x v="93"/>
      <x v="1"/>
      <x v="4"/>
      <x v="672"/>
      <x v="155"/>
    </i>
    <i>
      <x v="562"/>
      <x v="3"/>
      <x v="134"/>
      <x v="93"/>
      <x v="1"/>
      <x v="9"/>
      <x v="673"/>
      <x v="155"/>
    </i>
    <i>
      <x v="563"/>
      <x v="3"/>
      <x v="134"/>
      <x v="93"/>
      <x v="1"/>
      <x v="16"/>
      <x v="674"/>
      <x v="155"/>
    </i>
    <i>
      <x v="564"/>
      <x v="3"/>
      <x v="134"/>
      <x v="93"/>
      <x v="1"/>
      <x v="8"/>
      <x v="675"/>
      <x v="155"/>
    </i>
    <i>
      <x v="565"/>
      <x v="3"/>
      <x v="134"/>
      <x v="93"/>
      <x v="1"/>
      <x v="2"/>
      <x v="676"/>
      <x v="155"/>
    </i>
    <i>
      <x v="566"/>
      <x v="3"/>
      <x v="134"/>
      <x v="93"/>
      <x v="1"/>
      <x v="11"/>
      <x v="677"/>
      <x v="155"/>
    </i>
    <i>
      <x v="567"/>
      <x v="6"/>
      <x v="97"/>
      <x v="47"/>
      <x/>
      <x/>
      <x v="678"/>
      <x v="443"/>
    </i>
    <i>
      <x v="568"/>
      <x v="6"/>
      <x v="97"/>
      <x v="47"/>
      <x v="1"/>
      <x v="13"/>
      <x v="679"/>
      <x v="155"/>
    </i>
    <i>
      <x v="569"/>
      <x v="6"/>
      <x v="97"/>
      <x v="47"/>
      <x v="1"/>
      <x v="1"/>
      <x v="680"/>
      <x v="155"/>
    </i>
    <i>
      <x v="570"/>
      <x v="6"/>
      <x v="97"/>
      <x v="47"/>
      <x v="1"/>
      <x v="3"/>
      <x v="681"/>
      <x v="155"/>
    </i>
    <i>
      <x v="571"/>
      <x v="6"/>
      <x v="97"/>
      <x v="47"/>
      <x v="1"/>
      <x v="5"/>
      <x v="682"/>
      <x v="155"/>
    </i>
    <i>
      <x v="572"/>
      <x v="6"/>
      <x v="97"/>
      <x v="47"/>
      <x v="1"/>
      <x v="14"/>
      <x v="683"/>
      <x v="155"/>
    </i>
    <i>
      <x v="573"/>
      <x v="6"/>
      <x v="97"/>
      <x v="47"/>
      <x v="1"/>
      <x v="12"/>
      <x v="684"/>
      <x v="155"/>
    </i>
    <i>
      <x v="574"/>
      <x v="6"/>
      <x v="97"/>
      <x v="47"/>
      <x v="1"/>
      <x v="10"/>
      <x v="685"/>
      <x v="155"/>
    </i>
    <i>
      <x v="575"/>
      <x v="6"/>
      <x v="97"/>
      <x v="47"/>
      <x v="1"/>
      <x v="15"/>
      <x v="686"/>
      <x v="155"/>
    </i>
    <i>
      <x v="576"/>
      <x v="6"/>
      <x v="97"/>
      <x v="47"/>
      <x v="1"/>
      <x v="6"/>
      <x v="687"/>
      <x v="155"/>
    </i>
    <i>
      <x v="577"/>
      <x v="6"/>
      <x v="97"/>
      <x v="47"/>
      <x v="1"/>
      <x v="7"/>
      <x v="688"/>
      <x v="155"/>
    </i>
    <i>
      <x v="578"/>
      <x v="6"/>
      <x v="97"/>
      <x v="47"/>
      <x v="1"/>
      <x v="4"/>
      <x v="689"/>
      <x v="155"/>
    </i>
    <i>
      <x v="579"/>
      <x v="6"/>
      <x v="97"/>
      <x v="47"/>
      <x v="1"/>
      <x v="9"/>
      <x v="690"/>
      <x v="155"/>
    </i>
    <i>
      <x v="580"/>
      <x v="6"/>
      <x v="97"/>
      <x v="47"/>
      <x v="1"/>
      <x v="16"/>
      <x v="691"/>
      <x v="155"/>
    </i>
    <i>
      <x v="581"/>
      <x v="6"/>
      <x v="97"/>
      <x v="47"/>
      <x v="1"/>
      <x v="8"/>
      <x v="692"/>
      <x v="155"/>
    </i>
    <i>
      <x v="582"/>
      <x v="6"/>
      <x v="97"/>
      <x v="47"/>
      <x v="1"/>
      <x v="2"/>
      <x v="693"/>
      <x v="155"/>
    </i>
    <i>
      <x v="583"/>
      <x v="6"/>
      <x v="97"/>
      <x v="47"/>
      <x v="1"/>
      <x v="11"/>
      <x v="694"/>
      <x v="155"/>
    </i>
    <i>
      <x v="584"/>
      <x v="6"/>
      <x v="97"/>
      <x v="47"/>
      <x/>
      <x/>
      <x v="695"/>
      <x v="444"/>
    </i>
    <i>
      <x v="585"/>
      <x v="6"/>
      <x v="97"/>
      <x v="47"/>
      <x v="1"/>
      <x v="13"/>
      <x v="696"/>
      <x v="155"/>
    </i>
    <i>
      <x v="586"/>
      <x v="6"/>
      <x v="97"/>
      <x v="47"/>
      <x v="1"/>
      <x v="1"/>
      <x v="697"/>
      <x v="155"/>
    </i>
    <i>
      <x v="587"/>
      <x v="6"/>
      <x v="97"/>
      <x v="47"/>
      <x v="1"/>
      <x v="3"/>
      <x v="698"/>
      <x v="155"/>
    </i>
    <i>
      <x v="588"/>
      <x v="6"/>
      <x v="97"/>
      <x v="47"/>
      <x v="1"/>
      <x v="5"/>
      <x v="699"/>
      <x v="155"/>
    </i>
    <i>
      <x v="589"/>
      <x v="6"/>
      <x v="97"/>
      <x v="47"/>
      <x v="1"/>
      <x v="14"/>
      <x v="700"/>
      <x v="155"/>
    </i>
    <i>
      <x v="590"/>
      <x v="6"/>
      <x v="97"/>
      <x v="47"/>
      <x v="1"/>
      <x v="12"/>
      <x v="701"/>
      <x v="155"/>
    </i>
    <i>
      <x v="591"/>
      <x v="6"/>
      <x v="97"/>
      <x v="47"/>
      <x v="1"/>
      <x v="10"/>
      <x v="702"/>
      <x v="155"/>
    </i>
    <i>
      <x v="592"/>
      <x v="6"/>
      <x v="97"/>
      <x v="47"/>
      <x v="1"/>
      <x v="15"/>
      <x v="703"/>
      <x v="155"/>
    </i>
    <i>
      <x v="593"/>
      <x v="6"/>
      <x v="97"/>
      <x v="47"/>
      <x v="1"/>
      <x v="6"/>
      <x v="704"/>
      <x v="155"/>
    </i>
    <i>
      <x v="594"/>
      <x v="6"/>
      <x v="97"/>
      <x v="47"/>
      <x v="1"/>
      <x v="7"/>
      <x v="705"/>
      <x v="155"/>
    </i>
    <i>
      <x v="595"/>
      <x v="6"/>
      <x v="97"/>
      <x v="47"/>
      <x v="1"/>
      <x v="4"/>
      <x v="706"/>
      <x v="155"/>
    </i>
    <i>
      <x v="596"/>
      <x v="6"/>
      <x v="97"/>
      <x v="47"/>
      <x v="1"/>
      <x v="9"/>
      <x v="707"/>
      <x v="155"/>
    </i>
    <i>
      <x v="597"/>
      <x v="6"/>
      <x v="97"/>
      <x v="47"/>
      <x v="1"/>
      <x v="16"/>
      <x v="708"/>
      <x v="155"/>
    </i>
    <i>
      <x v="598"/>
      <x v="6"/>
      <x v="97"/>
      <x v="47"/>
      <x v="1"/>
      <x v="8"/>
      <x v="709"/>
      <x v="155"/>
    </i>
    <i>
      <x v="599"/>
      <x v="6"/>
      <x v="97"/>
      <x v="47"/>
      <x v="1"/>
      <x v="2"/>
      <x v="710"/>
      <x v="155"/>
    </i>
    <i>
      <x v="600"/>
      <x v="6"/>
      <x v="97"/>
      <x v="47"/>
      <x v="1"/>
      <x v="11"/>
      <x v="711"/>
      <x v="155"/>
    </i>
    <i>
      <x v="601"/>
      <x v="6"/>
      <x v="97"/>
      <x v="47"/>
      <x/>
      <x/>
      <x v="712"/>
      <x v="445"/>
    </i>
    <i>
      <x v="602"/>
      <x v="6"/>
      <x v="97"/>
      <x v="47"/>
      <x/>
      <x/>
      <x v="713"/>
      <x v="446"/>
    </i>
    <i>
      <x v="603"/>
      <x v="13"/>
      <x v="98"/>
      <x v="56"/>
      <x/>
      <x/>
      <x v="714"/>
      <x v="447"/>
    </i>
    <i>
      <x v="604"/>
      <x v="7"/>
      <x v="55"/>
      <x v="60"/>
      <x/>
      <x/>
      <x v="715"/>
      <x v="448"/>
    </i>
    <i>
      <x v="605"/>
      <x v="8"/>
      <x v="82"/>
      <x v="3"/>
      <x/>
      <x/>
      <x v="716"/>
      <x v="1690"/>
    </i>
    <i>
      <x v="606"/>
      <x v="8"/>
      <x v="82"/>
      <x v="3"/>
      <x v="1"/>
      <x v="13"/>
      <x v="717"/>
      <x v="1691"/>
    </i>
    <i>
      <x v="607"/>
      <x v="8"/>
      <x v="82"/>
      <x v="3"/>
      <x v="1"/>
      <x v="1"/>
      <x v="718"/>
      <x v="1692"/>
    </i>
    <i>
      <x v="608"/>
      <x v="8"/>
      <x v="82"/>
      <x v="3"/>
      <x v="1"/>
      <x v="3"/>
      <x v="719"/>
      <x v="1693"/>
    </i>
    <i>
      <x v="609"/>
      <x v="8"/>
      <x v="82"/>
      <x v="3"/>
      <x v="1"/>
      <x v="5"/>
      <x v="720"/>
      <x v="1694"/>
    </i>
    <i>
      <x v="610"/>
      <x v="8"/>
      <x v="82"/>
      <x v="3"/>
      <x v="1"/>
      <x v="14"/>
      <x v="721"/>
      <x v="1695"/>
    </i>
    <i>
      <x v="611"/>
      <x v="8"/>
      <x v="82"/>
      <x v="3"/>
      <x v="1"/>
      <x v="12"/>
      <x v="722"/>
      <x v="1696"/>
    </i>
    <i>
      <x v="612"/>
      <x v="8"/>
      <x v="82"/>
      <x v="3"/>
      <x v="1"/>
      <x v="10"/>
      <x v="723"/>
      <x v="1697"/>
    </i>
    <i>
      <x v="613"/>
      <x v="8"/>
      <x v="82"/>
      <x v="3"/>
      <x v="1"/>
      <x v="15"/>
      <x v="724"/>
      <x v="1698"/>
    </i>
    <i>
      <x v="614"/>
      <x v="8"/>
      <x v="82"/>
      <x v="3"/>
      <x v="1"/>
      <x v="6"/>
      <x v="725"/>
      <x v="1699"/>
    </i>
    <i>
      <x v="615"/>
      <x v="8"/>
      <x v="82"/>
      <x v="3"/>
      <x v="1"/>
      <x v="7"/>
      <x v="726"/>
      <x v="1700"/>
    </i>
    <i>
      <x v="616"/>
      <x v="8"/>
      <x v="82"/>
      <x v="3"/>
      <x v="1"/>
      <x v="4"/>
      <x v="727"/>
      <x v="1701"/>
    </i>
    <i>
      <x v="617"/>
      <x v="8"/>
      <x v="82"/>
      <x v="3"/>
      <x v="1"/>
      <x v="9"/>
      <x v="728"/>
      <x v="1702"/>
    </i>
    <i>
      <x v="618"/>
      <x v="8"/>
      <x v="82"/>
      <x v="3"/>
      <x v="1"/>
      <x v="16"/>
      <x v="729"/>
      <x v="1703"/>
    </i>
    <i>
      <x v="619"/>
      <x v="8"/>
      <x v="82"/>
      <x v="3"/>
      <x v="1"/>
      <x v="8"/>
      <x v="730"/>
      <x v="1704"/>
    </i>
    <i>
      <x v="620"/>
      <x v="8"/>
      <x v="82"/>
      <x v="3"/>
      <x v="1"/>
      <x v="2"/>
      <x v="731"/>
      <x v="1705"/>
    </i>
    <i>
      <x v="621"/>
      <x v="8"/>
      <x v="82"/>
      <x v="3"/>
      <x v="1"/>
      <x v="11"/>
      <x v="732"/>
      <x v="1706"/>
    </i>
    <i>
      <x v="622"/>
      <x v="3"/>
      <x v="96"/>
      <x v="93"/>
      <x/>
      <x/>
      <x v="733"/>
      <x v="450"/>
    </i>
    <i>
      <x v="623"/>
      <x v="3"/>
      <x v="96"/>
      <x v="93"/>
      <x v="1"/>
      <x v="13"/>
      <x v="734"/>
      <x v="155"/>
    </i>
    <i>
      <x v="624"/>
      <x v="3"/>
      <x v="96"/>
      <x v="93"/>
      <x v="1"/>
      <x v="1"/>
      <x v="735"/>
      <x v="155"/>
    </i>
    <i>
      <x v="625"/>
      <x v="3"/>
      <x v="96"/>
      <x v="93"/>
      <x v="1"/>
      <x v="3"/>
      <x v="736"/>
      <x v="155"/>
    </i>
    <i>
      <x v="626"/>
      <x v="3"/>
      <x v="96"/>
      <x v="93"/>
      <x v="1"/>
      <x v="5"/>
      <x v="737"/>
      <x v="155"/>
    </i>
    <i>
      <x v="627"/>
      <x v="3"/>
      <x v="96"/>
      <x v="93"/>
      <x v="1"/>
      <x v="14"/>
      <x v="738"/>
      <x v="155"/>
    </i>
    <i>
      <x v="628"/>
      <x v="3"/>
      <x v="96"/>
      <x v="93"/>
      <x v="1"/>
      <x v="12"/>
      <x v="739"/>
      <x v="155"/>
    </i>
    <i>
      <x v="629"/>
      <x v="3"/>
      <x v="96"/>
      <x v="93"/>
      <x v="1"/>
      <x v="10"/>
      <x v="740"/>
      <x v="155"/>
    </i>
    <i>
      <x v="630"/>
      <x v="3"/>
      <x v="96"/>
      <x v="93"/>
      <x v="1"/>
      <x v="15"/>
      <x v="741"/>
      <x v="155"/>
    </i>
    <i>
      <x v="631"/>
      <x v="3"/>
      <x v="96"/>
      <x v="93"/>
      <x v="1"/>
      <x v="6"/>
      <x v="742"/>
      <x v="155"/>
    </i>
    <i>
      <x v="632"/>
      <x v="3"/>
      <x v="96"/>
      <x v="93"/>
      <x v="1"/>
      <x v="7"/>
      <x v="743"/>
      <x v="155"/>
    </i>
    <i>
      <x v="633"/>
      <x v="3"/>
      <x v="96"/>
      <x v="93"/>
      <x v="1"/>
      <x v="4"/>
      <x v="744"/>
      <x v="155"/>
    </i>
    <i>
      <x v="634"/>
      <x v="3"/>
      <x v="96"/>
      <x v="93"/>
      <x v="1"/>
      <x v="9"/>
      <x v="745"/>
      <x v="155"/>
    </i>
    <i>
      <x v="635"/>
      <x v="3"/>
      <x v="96"/>
      <x v="93"/>
      <x v="1"/>
      <x v="16"/>
      <x v="746"/>
      <x v="155"/>
    </i>
    <i>
      <x v="636"/>
      <x v="3"/>
      <x v="96"/>
      <x v="93"/>
      <x v="1"/>
      <x v="8"/>
      <x v="747"/>
      <x v="155"/>
    </i>
    <i>
      <x v="637"/>
      <x v="3"/>
      <x v="96"/>
      <x v="93"/>
      <x v="1"/>
      <x v="2"/>
      <x v="748"/>
      <x v="155"/>
    </i>
    <i>
      <x v="638"/>
      <x v="3"/>
      <x v="96"/>
      <x v="93"/>
      <x v="1"/>
      <x v="11"/>
      <x v="749"/>
      <x v="155"/>
    </i>
    <i>
      <x v="639"/>
      <x v="3"/>
      <x v="96"/>
      <x v="93"/>
      <x/>
      <x/>
      <x v="750"/>
      <x v="451"/>
    </i>
    <i>
      <x v="640"/>
      <x v="3"/>
      <x v="96"/>
      <x v="93"/>
      <x v="1"/>
      <x v="13"/>
      <x v="751"/>
      <x v="155"/>
    </i>
    <i>
      <x v="641"/>
      <x v="3"/>
      <x v="96"/>
      <x v="93"/>
      <x v="1"/>
      <x v="1"/>
      <x v="752"/>
      <x v="155"/>
    </i>
    <i>
      <x v="642"/>
      <x v="3"/>
      <x v="96"/>
      <x v="93"/>
      <x v="1"/>
      <x v="3"/>
      <x v="753"/>
      <x v="155"/>
    </i>
    <i>
      <x v="643"/>
      <x v="3"/>
      <x v="96"/>
      <x v="93"/>
      <x v="1"/>
      <x v="5"/>
      <x v="754"/>
      <x v="155"/>
    </i>
    <i>
      <x v="644"/>
      <x v="3"/>
      <x v="96"/>
      <x v="93"/>
      <x v="1"/>
      <x v="14"/>
      <x v="755"/>
      <x v="155"/>
    </i>
    <i>
      <x v="645"/>
      <x v="3"/>
      <x v="96"/>
      <x v="93"/>
      <x v="1"/>
      <x v="12"/>
      <x v="756"/>
      <x v="155"/>
    </i>
    <i>
      <x v="646"/>
      <x v="3"/>
      <x v="96"/>
      <x v="93"/>
      <x v="1"/>
      <x v="10"/>
      <x v="757"/>
      <x v="155"/>
    </i>
    <i>
      <x v="647"/>
      <x v="3"/>
      <x v="96"/>
      <x v="93"/>
      <x v="1"/>
      <x v="15"/>
      <x v="758"/>
      <x v="155"/>
    </i>
    <i>
      <x v="648"/>
      <x v="3"/>
      <x v="96"/>
      <x v="93"/>
      <x v="1"/>
      <x v="6"/>
      <x v="759"/>
      <x v="155"/>
    </i>
    <i>
      <x v="649"/>
      <x v="3"/>
      <x v="96"/>
      <x v="93"/>
      <x v="1"/>
      <x v="7"/>
      <x v="760"/>
      <x v="155"/>
    </i>
    <i>
      <x v="650"/>
      <x v="3"/>
      <x v="96"/>
      <x v="93"/>
      <x v="1"/>
      <x v="4"/>
      <x v="761"/>
      <x v="155"/>
    </i>
    <i>
      <x v="651"/>
      <x v="3"/>
      <x v="96"/>
      <x v="93"/>
      <x v="1"/>
      <x v="9"/>
      <x v="762"/>
      <x v="155"/>
    </i>
    <i>
      <x v="652"/>
      <x v="3"/>
      <x v="96"/>
      <x v="93"/>
      <x v="1"/>
      <x v="16"/>
      <x v="763"/>
      <x v="155"/>
    </i>
    <i>
      <x v="653"/>
      <x v="3"/>
      <x v="96"/>
      <x v="93"/>
      <x v="1"/>
      <x v="8"/>
      <x v="764"/>
      <x v="155"/>
    </i>
    <i>
      <x v="654"/>
      <x v="3"/>
      <x v="96"/>
      <x v="93"/>
      <x v="1"/>
      <x v="2"/>
      <x v="765"/>
      <x v="155"/>
    </i>
    <i>
      <x v="655"/>
      <x v="3"/>
      <x v="96"/>
      <x v="93"/>
      <x v="1"/>
      <x v="11"/>
      <x v="766"/>
      <x v="155"/>
    </i>
    <i>
      <x v="656"/>
      <x v="3"/>
      <x v="99"/>
      <x v="93"/>
      <x/>
      <x/>
      <x v="767"/>
      <x v="155"/>
    </i>
    <i>
      <x v="657"/>
      <x v="3"/>
      <x v="99"/>
      <x v="93"/>
      <x v="1"/>
      <x v="13"/>
      <x v="768"/>
      <x v="452"/>
    </i>
    <i>
      <x v="658"/>
      <x v="3"/>
      <x v="99"/>
      <x v="93"/>
      <x v="1"/>
      <x v="1"/>
      <x v="769"/>
      <x v="453"/>
    </i>
    <i>
      <x v="659"/>
      <x v="3"/>
      <x v="99"/>
      <x v="93"/>
      <x v="1"/>
      <x v="3"/>
      <x v="770"/>
      <x v="454"/>
    </i>
    <i>
      <x v="660"/>
      <x v="3"/>
      <x v="99"/>
      <x v="93"/>
      <x v="1"/>
      <x v="5"/>
      <x v="771"/>
      <x v="455"/>
    </i>
    <i>
      <x v="661"/>
      <x v="3"/>
      <x v="99"/>
      <x v="93"/>
      <x v="1"/>
      <x v="14"/>
      <x v="772"/>
      <x v="456"/>
    </i>
    <i>
      <x v="662"/>
      <x v="3"/>
      <x v="99"/>
      <x v="93"/>
      <x v="1"/>
      <x v="12"/>
      <x v="773"/>
      <x v="457"/>
    </i>
    <i>
      <x v="663"/>
      <x v="3"/>
      <x v="99"/>
      <x v="93"/>
      <x v="1"/>
      <x v="10"/>
      <x v="774"/>
      <x v="458"/>
    </i>
    <i>
      <x v="664"/>
      <x v="3"/>
      <x v="99"/>
      <x v="93"/>
      <x v="1"/>
      <x v="15"/>
      <x v="775"/>
      <x v="459"/>
    </i>
    <i>
      <x v="665"/>
      <x v="3"/>
      <x v="99"/>
      <x v="93"/>
      <x v="1"/>
      <x v="6"/>
      <x v="776"/>
      <x v="460"/>
    </i>
    <i>
      <x v="666"/>
      <x v="3"/>
      <x v="99"/>
      <x v="93"/>
      <x v="1"/>
      <x v="7"/>
      <x v="777"/>
      <x v="461"/>
    </i>
    <i>
      <x v="667"/>
      <x v="3"/>
      <x v="99"/>
      <x v="93"/>
      <x v="1"/>
      <x v="4"/>
      <x v="778"/>
      <x v="462"/>
    </i>
    <i>
      <x v="668"/>
      <x v="3"/>
      <x v="99"/>
      <x v="93"/>
      <x v="1"/>
      <x v="9"/>
      <x v="779"/>
      <x v="463"/>
    </i>
    <i>
      <x v="669"/>
      <x v="3"/>
      <x v="99"/>
      <x v="93"/>
      <x v="1"/>
      <x v="16"/>
      <x v="780"/>
      <x v="464"/>
    </i>
    <i>
      <x v="670"/>
      <x v="3"/>
      <x v="99"/>
      <x v="93"/>
      <x v="1"/>
      <x v="8"/>
      <x v="781"/>
      <x v="465"/>
    </i>
    <i>
      <x v="671"/>
      <x v="3"/>
      <x v="99"/>
      <x v="93"/>
      <x v="1"/>
      <x v="2"/>
      <x v="782"/>
      <x v="466"/>
    </i>
    <i>
      <x v="672"/>
      <x v="3"/>
      <x v="99"/>
      <x v="93"/>
      <x v="1"/>
      <x v="11"/>
      <x v="783"/>
      <x v="467"/>
    </i>
    <i>
      <x v="673"/>
      <x v="3"/>
      <x v="99"/>
      <x v="93"/>
      <x/>
      <x/>
      <x v="784"/>
      <x v="468"/>
    </i>
    <i>
      <x v="674"/>
      <x v="3"/>
      <x v="99"/>
      <x v="93"/>
      <x v="1"/>
      <x v="13"/>
      <x v="785"/>
      <x v="155"/>
    </i>
    <i>
      <x v="675"/>
      <x v="3"/>
      <x v="99"/>
      <x v="93"/>
      <x v="1"/>
      <x v="1"/>
      <x v="786"/>
      <x v="155"/>
    </i>
    <i>
      <x v="676"/>
      <x v="3"/>
      <x v="99"/>
      <x v="93"/>
      <x v="1"/>
      <x v="3"/>
      <x v="787"/>
      <x v="155"/>
    </i>
    <i>
      <x v="677"/>
      <x v="3"/>
      <x v="99"/>
      <x v="93"/>
      <x v="1"/>
      <x v="5"/>
      <x v="788"/>
      <x v="155"/>
    </i>
    <i>
      <x v="678"/>
      <x v="3"/>
      <x v="99"/>
      <x v="93"/>
      <x v="1"/>
      <x v="14"/>
      <x v="789"/>
      <x v="155"/>
    </i>
    <i>
      <x v="679"/>
      <x v="3"/>
      <x v="99"/>
      <x v="93"/>
      <x v="1"/>
      <x v="12"/>
      <x v="790"/>
      <x v="155"/>
    </i>
    <i>
      <x v="680"/>
      <x v="3"/>
      <x v="99"/>
      <x v="93"/>
      <x v="1"/>
      <x v="10"/>
      <x v="791"/>
      <x v="155"/>
    </i>
    <i>
      <x v="681"/>
      <x v="3"/>
      <x v="99"/>
      <x v="93"/>
      <x v="1"/>
      <x v="15"/>
      <x v="792"/>
      <x v="155"/>
    </i>
    <i>
      <x v="682"/>
      <x v="3"/>
      <x v="99"/>
      <x v="93"/>
      <x v="1"/>
      <x v="6"/>
      <x v="793"/>
      <x v="155"/>
    </i>
    <i>
      <x v="683"/>
      <x v="3"/>
      <x v="99"/>
      <x v="93"/>
      <x v="1"/>
      <x v="7"/>
      <x v="794"/>
      <x v="155"/>
    </i>
    <i>
      <x v="684"/>
      <x v="3"/>
      <x v="99"/>
      <x v="93"/>
      <x v="1"/>
      <x v="4"/>
      <x v="795"/>
      <x v="155"/>
    </i>
    <i>
      <x v="685"/>
      <x v="3"/>
      <x v="99"/>
      <x v="93"/>
      <x v="1"/>
      <x v="9"/>
      <x v="796"/>
      <x v="155"/>
    </i>
    <i>
      <x v="686"/>
      <x v="3"/>
      <x v="99"/>
      <x v="93"/>
      <x v="1"/>
      <x v="16"/>
      <x v="797"/>
      <x v="155"/>
    </i>
    <i>
      <x v="687"/>
      <x v="3"/>
      <x v="99"/>
      <x v="93"/>
      <x v="1"/>
      <x v="8"/>
      <x v="798"/>
      <x v="155"/>
    </i>
    <i>
      <x v="688"/>
      <x v="3"/>
      <x v="99"/>
      <x v="93"/>
      <x v="1"/>
      <x v="2"/>
      <x v="799"/>
      <x v="155"/>
    </i>
    <i>
      <x v="689"/>
      <x v="3"/>
      <x v="99"/>
      <x v="93"/>
      <x v="1"/>
      <x v="11"/>
      <x v="800"/>
      <x v="155"/>
    </i>
    <i>
      <x v="690"/>
      <x v="3"/>
      <x v="99"/>
      <x v="93"/>
      <x/>
      <x/>
      <x v="801"/>
      <x v="469"/>
    </i>
    <i>
      <x v="691"/>
      <x v="3"/>
      <x v="99"/>
      <x v="93"/>
      <x v="1"/>
      <x v="13"/>
      <x v="802"/>
      <x v="155"/>
    </i>
    <i>
      <x v="692"/>
      <x v="3"/>
      <x v="99"/>
      <x v="93"/>
      <x v="1"/>
      <x v="1"/>
      <x v="803"/>
      <x v="155"/>
    </i>
    <i>
      <x v="693"/>
      <x v="3"/>
      <x v="99"/>
      <x v="93"/>
      <x v="1"/>
      <x v="3"/>
      <x v="804"/>
      <x v="155"/>
    </i>
    <i>
      <x v="694"/>
      <x v="3"/>
      <x v="99"/>
      <x v="93"/>
      <x v="1"/>
      <x v="5"/>
      <x v="805"/>
      <x v="155"/>
    </i>
    <i>
      <x v="695"/>
      <x v="3"/>
      <x v="99"/>
      <x v="93"/>
      <x v="1"/>
      <x v="14"/>
      <x v="806"/>
      <x v="155"/>
    </i>
    <i>
      <x v="696"/>
      <x v="3"/>
      <x v="99"/>
      <x v="93"/>
      <x v="1"/>
      <x v="12"/>
      <x v="807"/>
      <x v="155"/>
    </i>
    <i>
      <x v="697"/>
      <x v="3"/>
      <x v="99"/>
      <x v="93"/>
      <x v="1"/>
      <x v="10"/>
      <x v="808"/>
      <x v="155"/>
    </i>
    <i>
      <x v="698"/>
      <x v="3"/>
      <x v="99"/>
      <x v="93"/>
      <x v="1"/>
      <x v="15"/>
      <x v="809"/>
      <x v="155"/>
    </i>
    <i>
      <x v="699"/>
      <x v="3"/>
      <x v="99"/>
      <x v="93"/>
      <x v="1"/>
      <x v="6"/>
      <x v="810"/>
      <x v="155"/>
    </i>
    <i>
      <x v="700"/>
      <x v="3"/>
      <x v="99"/>
      <x v="93"/>
      <x v="1"/>
      <x v="7"/>
      <x v="811"/>
      <x v="155"/>
    </i>
    <i>
      <x v="701"/>
      <x v="3"/>
      <x v="99"/>
      <x v="93"/>
      <x v="1"/>
      <x v="4"/>
      <x v="812"/>
      <x v="155"/>
    </i>
    <i>
      <x v="702"/>
      <x v="3"/>
      <x v="99"/>
      <x v="93"/>
      <x v="1"/>
      <x v="9"/>
      <x v="813"/>
      <x v="155"/>
    </i>
    <i>
      <x v="703"/>
      <x v="3"/>
      <x v="99"/>
      <x v="93"/>
      <x v="1"/>
      <x v="16"/>
      <x v="814"/>
      <x v="155"/>
    </i>
    <i>
      <x v="704"/>
      <x v="3"/>
      <x v="99"/>
      <x v="93"/>
      <x v="1"/>
      <x v="8"/>
      <x v="815"/>
      <x v="155"/>
    </i>
    <i>
      <x v="705"/>
      <x v="3"/>
      <x v="99"/>
      <x v="93"/>
      <x v="1"/>
      <x v="2"/>
      <x v="816"/>
      <x v="155"/>
    </i>
    <i>
      <x v="706"/>
      <x v="3"/>
      <x v="99"/>
      <x v="93"/>
      <x v="1"/>
      <x v="11"/>
      <x v="817"/>
      <x v="155"/>
    </i>
    <i>
      <x v="707"/>
      <x v="11"/>
      <x v="156"/>
      <x v="65"/>
      <x/>
      <x/>
      <x v="818"/>
      <x v="470"/>
    </i>
    <i>
      <x v="708"/>
      <x v="2"/>
      <x v="63"/>
      <x v="40"/>
      <x/>
      <x/>
      <x v="819"/>
      <x v="471"/>
    </i>
    <i>
      <x v="709"/>
      <x v="2"/>
      <x v="63"/>
      <x v="40"/>
      <x v="1"/>
      <x v="13"/>
      <x v="820"/>
      <x v="472"/>
    </i>
    <i>
      <x v="710"/>
      <x v="2"/>
      <x v="63"/>
      <x v="40"/>
      <x v="1"/>
      <x v="1"/>
      <x v="821"/>
      <x v="473"/>
    </i>
    <i>
      <x v="711"/>
      <x v="2"/>
      <x v="63"/>
      <x v="40"/>
      <x v="1"/>
      <x v="3"/>
      <x v="822"/>
      <x v="474"/>
    </i>
    <i>
      <x v="712"/>
      <x v="2"/>
      <x v="63"/>
      <x v="40"/>
      <x v="1"/>
      <x v="5"/>
      <x v="823"/>
      <x v="475"/>
    </i>
    <i>
      <x v="713"/>
      <x v="2"/>
      <x v="63"/>
      <x v="40"/>
      <x v="1"/>
      <x v="14"/>
      <x v="824"/>
      <x v="476"/>
    </i>
    <i>
      <x v="714"/>
      <x v="2"/>
      <x v="63"/>
      <x v="40"/>
      <x v="1"/>
      <x v="12"/>
      <x v="825"/>
      <x v="477"/>
    </i>
    <i>
      <x v="715"/>
      <x v="2"/>
      <x v="63"/>
      <x v="40"/>
      <x v="1"/>
      <x v="10"/>
      <x v="826"/>
      <x v="478"/>
    </i>
    <i>
      <x v="716"/>
      <x v="2"/>
      <x v="63"/>
      <x v="40"/>
      <x v="1"/>
      <x v="15"/>
      <x v="827"/>
      <x v="479"/>
    </i>
    <i>
      <x v="717"/>
      <x v="2"/>
      <x v="63"/>
      <x v="40"/>
      <x v="1"/>
      <x v="6"/>
      <x v="828"/>
      <x v="480"/>
    </i>
    <i>
      <x v="718"/>
      <x v="2"/>
      <x v="63"/>
      <x v="40"/>
      <x v="1"/>
      <x v="7"/>
      <x v="829"/>
      <x v="481"/>
    </i>
    <i>
      <x v="719"/>
      <x v="2"/>
      <x v="63"/>
      <x v="40"/>
      <x v="1"/>
      <x v="4"/>
      <x v="830"/>
      <x v="482"/>
    </i>
    <i>
      <x v="720"/>
      <x v="2"/>
      <x v="63"/>
      <x v="40"/>
      <x v="1"/>
      <x v="9"/>
      <x v="831"/>
      <x v="483"/>
    </i>
    <i>
      <x v="721"/>
      <x v="2"/>
      <x v="63"/>
      <x v="40"/>
      <x v="1"/>
      <x v="16"/>
      <x v="832"/>
      <x v="484"/>
    </i>
    <i>
      <x v="722"/>
      <x v="2"/>
      <x v="63"/>
      <x v="40"/>
      <x v="1"/>
      <x v="8"/>
      <x v="833"/>
      <x v="485"/>
    </i>
    <i>
      <x v="723"/>
      <x v="2"/>
      <x v="63"/>
      <x v="40"/>
      <x v="1"/>
      <x v="2"/>
      <x v="834"/>
      <x v="486"/>
    </i>
    <i>
      <x v="724"/>
      <x v="2"/>
      <x v="63"/>
      <x v="40"/>
      <x v="1"/>
      <x v="11"/>
      <x v="835"/>
      <x v="487"/>
    </i>
    <i>
      <x v="725"/>
      <x v="2"/>
      <x v="64"/>
      <x v="40"/>
      <x/>
      <x/>
      <x v="836"/>
      <x v="488"/>
    </i>
    <i>
      <x v="726"/>
      <x v="2"/>
      <x v="64"/>
      <x v="40"/>
      <x v="1"/>
      <x v="13"/>
      <x v="837"/>
      <x v="489"/>
    </i>
    <i>
      <x v="727"/>
      <x v="2"/>
      <x v="64"/>
      <x v="40"/>
      <x v="1"/>
      <x v="1"/>
      <x v="838"/>
      <x v="490"/>
    </i>
    <i>
      <x v="728"/>
      <x v="2"/>
      <x v="64"/>
      <x v="40"/>
      <x v="1"/>
      <x v="3"/>
      <x v="839"/>
      <x v="491"/>
    </i>
    <i>
      <x v="729"/>
      <x v="2"/>
      <x v="64"/>
      <x v="40"/>
      <x v="1"/>
      <x v="5"/>
      <x v="840"/>
      <x v="492"/>
    </i>
    <i>
      <x v="730"/>
      <x v="2"/>
      <x v="64"/>
      <x v="40"/>
      <x v="1"/>
      <x v="14"/>
      <x v="841"/>
      <x v="493"/>
    </i>
    <i>
      <x v="731"/>
      <x v="2"/>
      <x v="64"/>
      <x v="40"/>
      <x v="1"/>
      <x v="12"/>
      <x v="842"/>
      <x v="494"/>
    </i>
    <i>
      <x v="732"/>
      <x v="2"/>
      <x v="64"/>
      <x v="40"/>
      <x v="1"/>
      <x v="10"/>
      <x v="843"/>
      <x v="495"/>
    </i>
    <i>
      <x v="733"/>
      <x v="2"/>
      <x v="64"/>
      <x v="40"/>
      <x v="1"/>
      <x v="15"/>
      <x v="844"/>
      <x v="496"/>
    </i>
    <i>
      <x v="734"/>
      <x v="2"/>
      <x v="64"/>
      <x v="40"/>
      <x v="1"/>
      <x v="6"/>
      <x v="845"/>
      <x v="497"/>
    </i>
    <i>
      <x v="735"/>
      <x v="2"/>
      <x v="64"/>
      <x v="40"/>
      <x v="1"/>
      <x v="7"/>
      <x v="846"/>
      <x v="498"/>
    </i>
    <i>
      <x v="736"/>
      <x v="2"/>
      <x v="64"/>
      <x v="40"/>
      <x v="1"/>
      <x v="4"/>
      <x v="847"/>
      <x v="499"/>
    </i>
    <i>
      <x v="737"/>
      <x v="2"/>
      <x v="64"/>
      <x v="40"/>
      <x v="1"/>
      <x v="9"/>
      <x v="848"/>
      <x v="500"/>
    </i>
    <i>
      <x v="738"/>
      <x v="2"/>
      <x v="64"/>
      <x v="40"/>
      <x v="1"/>
      <x v="16"/>
      <x v="849"/>
      <x v="501"/>
    </i>
    <i>
      <x v="739"/>
      <x v="2"/>
      <x v="64"/>
      <x v="40"/>
      <x v="1"/>
      <x v="8"/>
      <x v="850"/>
      <x v="502"/>
    </i>
    <i>
      <x v="740"/>
      <x v="2"/>
      <x v="64"/>
      <x v="40"/>
      <x v="1"/>
      <x v="2"/>
      <x v="851"/>
      <x v="503"/>
    </i>
    <i>
      <x v="741"/>
      <x v="2"/>
      <x v="64"/>
      <x v="40"/>
      <x v="1"/>
      <x v="11"/>
      <x v="852"/>
      <x v="504"/>
    </i>
    <i>
      <x v="742"/>
      <x v="2"/>
      <x v="65"/>
      <x v="40"/>
      <x/>
      <x/>
      <x v="853"/>
      <x v="505"/>
    </i>
    <i>
      <x v="743"/>
      <x v="2"/>
      <x v="65"/>
      <x v="40"/>
      <x v="1"/>
      <x v="13"/>
      <x v="854"/>
      <x v="506"/>
    </i>
    <i>
      <x v="744"/>
      <x v="2"/>
      <x v="65"/>
      <x v="40"/>
      <x v="1"/>
      <x v="1"/>
      <x v="855"/>
      <x v="507"/>
    </i>
    <i>
      <x v="745"/>
      <x v="2"/>
      <x v="65"/>
      <x v="40"/>
      <x v="1"/>
      <x v="3"/>
      <x v="856"/>
      <x v="508"/>
    </i>
    <i>
      <x v="746"/>
      <x v="2"/>
      <x v="65"/>
      <x v="40"/>
      <x v="1"/>
      <x v="5"/>
      <x v="857"/>
      <x v="509"/>
    </i>
    <i>
      <x v="747"/>
      <x v="2"/>
      <x v="65"/>
      <x v="40"/>
      <x v="1"/>
      <x v="14"/>
      <x v="858"/>
      <x v="510"/>
    </i>
    <i>
      <x v="748"/>
      <x v="2"/>
      <x v="65"/>
      <x v="40"/>
      <x v="1"/>
      <x v="12"/>
      <x v="859"/>
      <x v="511"/>
    </i>
    <i>
      <x v="749"/>
      <x v="2"/>
      <x v="65"/>
      <x v="40"/>
      <x v="1"/>
      <x v="10"/>
      <x v="860"/>
      <x v="512"/>
    </i>
    <i>
      <x v="750"/>
      <x v="2"/>
      <x v="65"/>
      <x v="40"/>
      <x v="1"/>
      <x v="15"/>
      <x v="861"/>
      <x v="513"/>
    </i>
    <i>
      <x v="751"/>
      <x v="2"/>
      <x v="65"/>
      <x v="40"/>
      <x v="1"/>
      <x v="6"/>
      <x v="862"/>
      <x v="514"/>
    </i>
    <i>
      <x v="752"/>
      <x v="2"/>
      <x v="65"/>
      <x v="40"/>
      <x v="1"/>
      <x v="7"/>
      <x v="863"/>
      <x v="515"/>
    </i>
    <i>
      <x v="753"/>
      <x v="2"/>
      <x v="65"/>
      <x v="40"/>
      <x v="1"/>
      <x v="4"/>
      <x v="864"/>
      <x v="516"/>
    </i>
    <i>
      <x v="754"/>
      <x v="2"/>
      <x v="65"/>
      <x v="40"/>
      <x v="1"/>
      <x v="9"/>
      <x v="865"/>
      <x v="517"/>
    </i>
    <i>
      <x v="755"/>
      <x v="2"/>
      <x v="65"/>
      <x v="40"/>
      <x v="1"/>
      <x v="16"/>
      <x v="866"/>
      <x v="518"/>
    </i>
    <i>
      <x v="756"/>
      <x v="2"/>
      <x v="65"/>
      <x v="40"/>
      <x v="1"/>
      <x v="8"/>
      <x v="867"/>
      <x v="519"/>
    </i>
    <i>
      <x v="757"/>
      <x v="2"/>
      <x v="65"/>
      <x v="40"/>
      <x v="1"/>
      <x v="2"/>
      <x v="868"/>
      <x v="520"/>
    </i>
    <i>
      <x v="758"/>
      <x v="2"/>
      <x v="65"/>
      <x v="40"/>
      <x v="1"/>
      <x v="11"/>
      <x v="869"/>
      <x v="521"/>
    </i>
    <i>
      <x v="759"/>
      <x v="8"/>
      <x v="66"/>
      <x v="64"/>
      <x/>
      <x/>
      <x v="870"/>
      <x v="522"/>
    </i>
    <i>
      <x v="760"/>
      <x v="12"/>
      <x v="67"/>
      <x v="57"/>
      <x/>
      <x/>
      <x v="871"/>
      <x v="523"/>
    </i>
    <i>
      <x v="761"/>
      <x v="12"/>
      <x v="68"/>
      <x v="57"/>
      <x/>
      <x/>
      <x v="872"/>
      <x v="524"/>
    </i>
    <i>
      <x v="762"/>
      <x v="12"/>
      <x v="69"/>
      <x v="57"/>
      <x/>
      <x/>
      <x v="873"/>
      <x v="525"/>
    </i>
    <i>
      <x v="763"/>
      <x v="12"/>
      <x v="70"/>
      <x v="57"/>
      <x/>
      <x/>
      <x v="874"/>
      <x v="526"/>
    </i>
    <i>
      <x v="764"/>
      <x v="2"/>
      <x v="63"/>
      <x v="40"/>
      <x/>
      <x/>
      <x v="875"/>
      <x v="527"/>
    </i>
    <i>
      <x v="765"/>
      <x v="2"/>
      <x v="63"/>
      <x v="40"/>
      <x v="1"/>
      <x v="13"/>
      <x v="876"/>
      <x v="528"/>
    </i>
    <i>
      <x v="766"/>
      <x v="2"/>
      <x v="63"/>
      <x v="40"/>
      <x v="1"/>
      <x v="1"/>
      <x v="877"/>
      <x v="529"/>
    </i>
    <i>
      <x v="767"/>
      <x v="2"/>
      <x v="63"/>
      <x v="40"/>
      <x v="1"/>
      <x v="3"/>
      <x v="878"/>
      <x v="530"/>
    </i>
    <i>
      <x v="768"/>
      <x v="2"/>
      <x v="63"/>
      <x v="40"/>
      <x v="1"/>
      <x v="5"/>
      <x v="879"/>
      <x v="531"/>
    </i>
    <i>
      <x v="769"/>
      <x v="2"/>
      <x v="63"/>
      <x v="40"/>
      <x v="1"/>
      <x v="14"/>
      <x v="880"/>
      <x v="532"/>
    </i>
    <i>
      <x v="770"/>
      <x v="2"/>
      <x v="63"/>
      <x v="40"/>
      <x v="1"/>
      <x v="12"/>
      <x v="881"/>
      <x v="533"/>
    </i>
    <i>
      <x v="771"/>
      <x v="2"/>
      <x v="63"/>
      <x v="40"/>
      <x v="1"/>
      <x v="10"/>
      <x v="882"/>
      <x v="534"/>
    </i>
    <i>
      <x v="772"/>
      <x v="2"/>
      <x v="63"/>
      <x v="40"/>
      <x v="1"/>
      <x v="15"/>
      <x v="883"/>
      <x v="535"/>
    </i>
    <i>
      <x v="773"/>
      <x v="2"/>
      <x v="63"/>
      <x v="40"/>
      <x v="1"/>
      <x v="6"/>
      <x v="884"/>
      <x v="536"/>
    </i>
    <i>
      <x v="774"/>
      <x v="2"/>
      <x v="63"/>
      <x v="40"/>
      <x v="1"/>
      <x v="7"/>
      <x v="885"/>
      <x v="537"/>
    </i>
    <i>
      <x v="775"/>
      <x v="2"/>
      <x v="63"/>
      <x v="40"/>
      <x v="1"/>
      <x v="4"/>
      <x v="886"/>
      <x v="538"/>
    </i>
    <i>
      <x v="776"/>
      <x v="2"/>
      <x v="63"/>
      <x v="40"/>
      <x v="1"/>
      <x v="9"/>
      <x v="887"/>
      <x v="539"/>
    </i>
    <i>
      <x v="777"/>
      <x v="2"/>
      <x v="63"/>
      <x v="40"/>
      <x v="1"/>
      <x v="16"/>
      <x v="888"/>
      <x v="540"/>
    </i>
    <i>
      <x v="778"/>
      <x v="2"/>
      <x v="63"/>
      <x v="40"/>
      <x v="1"/>
      <x v="8"/>
      <x v="889"/>
      <x v="541"/>
    </i>
    <i>
      <x v="779"/>
      <x v="2"/>
      <x v="63"/>
      <x v="40"/>
      <x v="1"/>
      <x v="2"/>
      <x v="890"/>
      <x v="542"/>
    </i>
    <i>
      <x v="780"/>
      <x v="2"/>
      <x v="63"/>
      <x v="40"/>
      <x v="1"/>
      <x v="11"/>
      <x v="891"/>
      <x v="543"/>
    </i>
    <i>
      <x v="781"/>
      <x v="2"/>
      <x v="28"/>
      <x v="40"/>
      <x/>
      <x/>
      <x v="892"/>
      <x v="544"/>
    </i>
    <i>
      <x v="782"/>
      <x v="6"/>
      <x v="34"/>
      <x v="63"/>
      <x/>
      <x/>
      <x v="893"/>
      <x v="545"/>
    </i>
    <i>
      <x v="783"/>
      <x v="6"/>
      <x v="34"/>
      <x v="63"/>
      <x v="1"/>
      <x v="13"/>
      <x v="894"/>
      <x v="546"/>
    </i>
    <i>
      <x v="784"/>
      <x v="6"/>
      <x v="34"/>
      <x v="63"/>
      <x v="1"/>
      <x v="1"/>
      <x v="895"/>
      <x v="547"/>
    </i>
    <i>
      <x v="785"/>
      <x v="6"/>
      <x v="34"/>
      <x v="63"/>
      <x v="1"/>
      <x v="3"/>
      <x v="896"/>
      <x v="548"/>
    </i>
    <i>
      <x v="786"/>
      <x v="6"/>
      <x v="34"/>
      <x v="63"/>
      <x v="1"/>
      <x v="5"/>
      <x v="897"/>
      <x v="549"/>
    </i>
    <i>
      <x v="787"/>
      <x v="6"/>
      <x v="34"/>
      <x v="63"/>
      <x v="1"/>
      <x v="14"/>
      <x v="898"/>
      <x v="550"/>
    </i>
    <i>
      <x v="788"/>
      <x v="6"/>
      <x v="34"/>
      <x v="63"/>
      <x v="1"/>
      <x v="12"/>
      <x v="899"/>
      <x v="551"/>
    </i>
    <i>
      <x v="789"/>
      <x v="6"/>
      <x v="34"/>
      <x v="63"/>
      <x v="1"/>
      <x v="10"/>
      <x v="900"/>
      <x v="552"/>
    </i>
    <i>
      <x v="790"/>
      <x v="6"/>
      <x v="34"/>
      <x v="63"/>
      <x v="1"/>
      <x v="15"/>
      <x v="901"/>
      <x v="553"/>
    </i>
    <i>
      <x v="791"/>
      <x v="6"/>
      <x v="34"/>
      <x v="63"/>
      <x v="1"/>
      <x v="6"/>
      <x v="902"/>
      <x v="554"/>
    </i>
    <i>
      <x v="792"/>
      <x v="6"/>
      <x v="34"/>
      <x v="63"/>
      <x v="1"/>
      <x v="7"/>
      <x v="903"/>
      <x v="555"/>
    </i>
    <i>
      <x v="793"/>
      <x v="6"/>
      <x v="34"/>
      <x v="63"/>
      <x v="1"/>
      <x v="4"/>
      <x v="904"/>
      <x v="556"/>
    </i>
    <i>
      <x v="794"/>
      <x v="6"/>
      <x v="34"/>
      <x v="63"/>
      <x v="1"/>
      <x v="9"/>
      <x v="905"/>
      <x v="557"/>
    </i>
    <i>
      <x v="795"/>
      <x v="6"/>
      <x v="34"/>
      <x v="63"/>
      <x v="1"/>
      <x v="16"/>
      <x v="906"/>
      <x v="558"/>
    </i>
    <i>
      <x v="796"/>
      <x v="6"/>
      <x v="34"/>
      <x v="63"/>
      <x v="1"/>
      <x v="8"/>
      <x v="907"/>
      <x v="559"/>
    </i>
    <i>
      <x v="797"/>
      <x v="6"/>
      <x v="34"/>
      <x v="63"/>
      <x v="1"/>
      <x v="2"/>
      <x v="908"/>
      <x v="560"/>
    </i>
    <i>
      <x v="798"/>
      <x v="6"/>
      <x v="34"/>
      <x v="63"/>
      <x v="1"/>
      <x v="11"/>
      <x v="909"/>
      <x v="561"/>
    </i>
    <i>
      <x v="799"/>
      <x v="12"/>
      <x v="68"/>
      <x v="57"/>
      <x/>
      <x/>
      <x v="910"/>
      <x v="562"/>
    </i>
    <i>
      <x v="800"/>
      <x/>
      <x v="100"/>
      <x v="61"/>
      <x/>
      <x/>
      <x v="911"/>
      <x v="155"/>
    </i>
    <i>
      <x v="801"/>
      <x/>
      <x v="100"/>
      <x v="61"/>
      <x v="1"/>
      <x v="13"/>
      <x v="912"/>
      <x v="155"/>
    </i>
    <i>
      <x v="802"/>
      <x/>
      <x v="100"/>
      <x v="61"/>
      <x v="1"/>
      <x v="1"/>
      <x v="913"/>
      <x v="155"/>
    </i>
    <i>
      <x v="803"/>
      <x/>
      <x v="100"/>
      <x v="61"/>
      <x v="1"/>
      <x v="3"/>
      <x v="914"/>
      <x v="155"/>
    </i>
    <i>
      <x v="804"/>
      <x/>
      <x v="100"/>
      <x v="61"/>
      <x v="1"/>
      <x v="5"/>
      <x v="915"/>
      <x v="155"/>
    </i>
    <i>
      <x v="805"/>
      <x/>
      <x v="100"/>
      <x v="61"/>
      <x v="1"/>
      <x v="14"/>
      <x v="916"/>
      <x v="155"/>
    </i>
    <i>
      <x v="806"/>
      <x/>
      <x v="100"/>
      <x v="61"/>
      <x v="1"/>
      <x v="12"/>
      <x v="917"/>
      <x v="155"/>
    </i>
    <i>
      <x v="807"/>
      <x/>
      <x v="100"/>
      <x v="61"/>
      <x v="1"/>
      <x v="10"/>
      <x v="918"/>
      <x v="155"/>
    </i>
    <i>
      <x v="808"/>
      <x/>
      <x v="100"/>
      <x v="61"/>
      <x v="1"/>
      <x v="15"/>
      <x v="919"/>
      <x v="155"/>
    </i>
    <i>
      <x v="809"/>
      <x/>
      <x v="100"/>
      <x v="61"/>
      <x v="1"/>
      <x v="6"/>
      <x v="920"/>
      <x v="563"/>
    </i>
    <i>
      <x v="810"/>
      <x/>
      <x v="100"/>
      <x v="61"/>
      <x v="1"/>
      <x v="7"/>
      <x v="921"/>
      <x v="155"/>
    </i>
    <i>
      <x v="811"/>
      <x/>
      <x v="100"/>
      <x v="61"/>
      <x v="1"/>
      <x v="4"/>
      <x v="922"/>
      <x v="155"/>
    </i>
    <i>
      <x v="812"/>
      <x/>
      <x v="100"/>
      <x v="61"/>
      <x v="1"/>
      <x v="9"/>
      <x v="923"/>
      <x v="155"/>
    </i>
    <i>
      <x v="813"/>
      <x/>
      <x v="100"/>
      <x v="61"/>
      <x v="1"/>
      <x v="16"/>
      <x v="924"/>
      <x v="155"/>
    </i>
    <i>
      <x v="814"/>
      <x/>
      <x v="100"/>
      <x v="61"/>
      <x v="1"/>
      <x v="8"/>
      <x v="925"/>
      <x v="155"/>
    </i>
    <i>
      <x v="815"/>
      <x/>
      <x v="100"/>
      <x v="61"/>
      <x v="1"/>
      <x v="2"/>
      <x v="926"/>
      <x v="155"/>
    </i>
    <i>
      <x v="816"/>
      <x/>
      <x v="100"/>
      <x v="61"/>
      <x v="1"/>
      <x v="11"/>
      <x v="927"/>
      <x v="155"/>
    </i>
    <i>
      <x v="817"/>
      <x/>
      <x v="100"/>
      <x v="61"/>
      <x/>
      <x/>
      <x v="928"/>
      <x v="155"/>
    </i>
    <i>
      <x v="818"/>
      <x/>
      <x v="100"/>
      <x v="61"/>
      <x v="1"/>
      <x v="13"/>
      <x v="929"/>
      <x v="155"/>
    </i>
    <i>
      <x v="819"/>
      <x/>
      <x v="100"/>
      <x v="61"/>
      <x v="1"/>
      <x v="1"/>
      <x v="930"/>
      <x v="155"/>
    </i>
    <i>
      <x v="820"/>
      <x/>
      <x v="100"/>
      <x v="61"/>
      <x v="1"/>
      <x v="3"/>
      <x v="931"/>
      <x v="155"/>
    </i>
    <i>
      <x v="821"/>
      <x/>
      <x v="100"/>
      <x v="61"/>
      <x v="1"/>
      <x v="5"/>
      <x v="932"/>
      <x v="155"/>
    </i>
    <i>
      <x v="822"/>
      <x/>
      <x v="100"/>
      <x v="61"/>
      <x v="1"/>
      <x v="14"/>
      <x v="933"/>
      <x v="155"/>
    </i>
    <i>
      <x v="823"/>
      <x/>
      <x v="100"/>
      <x v="61"/>
      <x v="1"/>
      <x v="12"/>
      <x v="934"/>
      <x v="155"/>
    </i>
    <i>
      <x v="824"/>
      <x/>
      <x v="100"/>
      <x v="61"/>
      <x v="1"/>
      <x v="10"/>
      <x v="935"/>
      <x v="155"/>
    </i>
    <i>
      <x v="825"/>
      <x/>
      <x v="100"/>
      <x v="61"/>
      <x v="1"/>
      <x v="15"/>
      <x v="936"/>
      <x v="155"/>
    </i>
    <i>
      <x v="826"/>
      <x/>
      <x v="100"/>
      <x v="61"/>
      <x v="1"/>
      <x v="6"/>
      <x v="937"/>
      <x v="155"/>
    </i>
    <i>
      <x v="827"/>
      <x/>
      <x v="100"/>
      <x v="61"/>
      <x v="1"/>
      <x v="7"/>
      <x v="938"/>
      <x v="564"/>
    </i>
    <i>
      <x v="828"/>
      <x/>
      <x v="100"/>
      <x v="61"/>
      <x v="1"/>
      <x v="4"/>
      <x v="939"/>
      <x v="155"/>
    </i>
    <i>
      <x v="829"/>
      <x/>
      <x v="100"/>
      <x v="61"/>
      <x v="1"/>
      <x v="9"/>
      <x v="940"/>
      <x v="155"/>
    </i>
    <i>
      <x v="830"/>
      <x/>
      <x v="100"/>
      <x v="61"/>
      <x v="1"/>
      <x v="16"/>
      <x v="941"/>
      <x v="155"/>
    </i>
    <i>
      <x v="831"/>
      <x/>
      <x v="100"/>
      <x v="61"/>
      <x v="1"/>
      <x v="8"/>
      <x v="942"/>
      <x v="155"/>
    </i>
    <i>
      <x v="832"/>
      <x/>
      <x v="100"/>
      <x v="61"/>
      <x v="1"/>
      <x v="2"/>
      <x v="943"/>
      <x v="155"/>
    </i>
    <i>
      <x v="833"/>
      <x/>
      <x v="100"/>
      <x v="61"/>
      <x v="1"/>
      <x v="11"/>
      <x v="944"/>
      <x v="155"/>
    </i>
    <i>
      <x v="834"/>
      <x/>
      <x v="100"/>
      <x v="61"/>
      <x/>
      <x/>
      <x v="945"/>
      <x v="155"/>
    </i>
    <i>
      <x v="835"/>
      <x/>
      <x v="100"/>
      <x v="61"/>
      <x v="1"/>
      <x v="13"/>
      <x v="946"/>
      <x v="155"/>
    </i>
    <i>
      <x v="836"/>
      <x/>
      <x v="100"/>
      <x v="61"/>
      <x v="1"/>
      <x v="1"/>
      <x v="947"/>
      <x v="155"/>
    </i>
    <i>
      <x v="837"/>
      <x/>
      <x v="100"/>
      <x v="61"/>
      <x v="1"/>
      <x v="3"/>
      <x v="948"/>
      <x v="155"/>
    </i>
    <i>
      <x v="838"/>
      <x/>
      <x v="100"/>
      <x v="61"/>
      <x v="1"/>
      <x v="5"/>
      <x v="949"/>
      <x v="155"/>
    </i>
    <i>
      <x v="839"/>
      <x/>
      <x v="100"/>
      <x v="61"/>
      <x v="1"/>
      <x v="14"/>
      <x v="950"/>
      <x v="155"/>
    </i>
    <i>
      <x v="840"/>
      <x/>
      <x v="100"/>
      <x v="61"/>
      <x v="1"/>
      <x v="12"/>
      <x v="951"/>
      <x v="155"/>
    </i>
    <i>
      <x v="841"/>
      <x/>
      <x v="100"/>
      <x v="61"/>
      <x v="1"/>
      <x v="10"/>
      <x v="952"/>
      <x v="155"/>
    </i>
    <i>
      <x v="842"/>
      <x/>
      <x v="100"/>
      <x v="61"/>
      <x v="1"/>
      <x v="15"/>
      <x v="953"/>
      <x v="565"/>
    </i>
    <i>
      <x v="843"/>
      <x/>
      <x v="100"/>
      <x v="61"/>
      <x v="1"/>
      <x v="6"/>
      <x v="954"/>
      <x v="155"/>
    </i>
    <i>
      <x v="844"/>
      <x/>
      <x v="100"/>
      <x v="61"/>
      <x v="1"/>
      <x v="7"/>
      <x v="955"/>
      <x v="155"/>
    </i>
    <i>
      <x v="845"/>
      <x/>
      <x v="100"/>
      <x v="61"/>
      <x v="1"/>
      <x v="4"/>
      <x v="956"/>
      <x v="155"/>
    </i>
    <i>
      <x v="846"/>
      <x/>
      <x v="100"/>
      <x v="61"/>
      <x v="1"/>
      <x v="9"/>
      <x v="957"/>
      <x v="155"/>
    </i>
    <i>
      <x v="847"/>
      <x/>
      <x v="100"/>
      <x v="61"/>
      <x v="1"/>
      <x v="16"/>
      <x v="958"/>
      <x v="155"/>
    </i>
    <i>
      <x v="848"/>
      <x/>
      <x v="100"/>
      <x v="61"/>
      <x v="1"/>
      <x v="8"/>
      <x v="959"/>
      <x v="155"/>
    </i>
    <i>
      <x v="849"/>
      <x/>
      <x v="100"/>
      <x v="61"/>
      <x v="1"/>
      <x v="2"/>
      <x v="960"/>
      <x v="155"/>
    </i>
    <i>
      <x v="850"/>
      <x/>
      <x v="100"/>
      <x v="61"/>
      <x v="1"/>
      <x v="11"/>
      <x v="961"/>
      <x v="155"/>
    </i>
    <i>
      <x v="851"/>
      <x/>
      <x v="100"/>
      <x v="61"/>
      <x/>
      <x/>
      <x v="962"/>
      <x v="155"/>
    </i>
    <i>
      <x v="852"/>
      <x/>
      <x v="100"/>
      <x v="61"/>
      <x v="1"/>
      <x v="13"/>
      <x v="963"/>
      <x v="155"/>
    </i>
    <i>
      <x v="853"/>
      <x/>
      <x v="100"/>
      <x v="61"/>
      <x v="1"/>
      <x v="1"/>
      <x v="964"/>
      <x v="155"/>
    </i>
    <i>
      <x v="854"/>
      <x/>
      <x v="100"/>
      <x v="61"/>
      <x v="1"/>
      <x v="3"/>
      <x v="965"/>
      <x v="155"/>
    </i>
    <i>
      <x v="855"/>
      <x/>
      <x v="100"/>
      <x v="61"/>
      <x v="1"/>
      <x v="5"/>
      <x v="966"/>
      <x v="155"/>
    </i>
    <i>
      <x v="856"/>
      <x/>
      <x v="100"/>
      <x v="61"/>
      <x v="1"/>
      <x v="14"/>
      <x v="967"/>
      <x v="566"/>
    </i>
    <i>
      <x v="857"/>
      <x/>
      <x v="100"/>
      <x v="61"/>
      <x v="1"/>
      <x v="12"/>
      <x v="968"/>
      <x v="155"/>
    </i>
    <i>
      <x v="858"/>
      <x/>
      <x v="100"/>
      <x v="61"/>
      <x v="1"/>
      <x v="10"/>
      <x v="969"/>
      <x v="155"/>
    </i>
    <i>
      <x v="859"/>
      <x/>
      <x v="100"/>
      <x v="61"/>
      <x v="1"/>
      <x v="15"/>
      <x v="970"/>
      <x v="567"/>
    </i>
    <i>
      <x v="860"/>
      <x/>
      <x v="100"/>
      <x v="61"/>
      <x v="1"/>
      <x v="6"/>
      <x v="971"/>
      <x v="155"/>
    </i>
    <i>
      <x v="861"/>
      <x/>
      <x v="100"/>
      <x v="61"/>
      <x v="1"/>
      <x v="7"/>
      <x v="972"/>
      <x v="155"/>
    </i>
    <i>
      <x v="862"/>
      <x/>
      <x v="100"/>
      <x v="61"/>
      <x v="1"/>
      <x v="4"/>
      <x v="973"/>
      <x v="155"/>
    </i>
    <i>
      <x v="863"/>
      <x/>
      <x v="100"/>
      <x v="61"/>
      <x v="1"/>
      <x v="9"/>
      <x v="974"/>
      <x v="155"/>
    </i>
    <i>
      <x v="864"/>
      <x/>
      <x v="100"/>
      <x v="61"/>
      <x v="1"/>
      <x v="16"/>
      <x v="975"/>
      <x v="155"/>
    </i>
    <i>
      <x v="865"/>
      <x/>
      <x v="100"/>
      <x v="61"/>
      <x v="1"/>
      <x v="8"/>
      <x v="976"/>
      <x v="155"/>
    </i>
    <i>
      <x v="866"/>
      <x/>
      <x v="100"/>
      <x v="61"/>
      <x v="1"/>
      <x v="2"/>
      <x v="977"/>
      <x v="155"/>
    </i>
    <i>
      <x v="867"/>
      <x/>
      <x v="100"/>
      <x v="61"/>
      <x v="1"/>
      <x v="11"/>
      <x v="978"/>
      <x v="155"/>
    </i>
    <i>
      <x v="868"/>
      <x v="7"/>
      <x v="72"/>
      <x v="44"/>
      <x/>
      <x/>
      <x v="979"/>
      <x v="155"/>
    </i>
    <i>
      <x v="869"/>
      <x v="7"/>
      <x v="72"/>
      <x v="44"/>
      <x v="1"/>
      <x v="13"/>
      <x v="980"/>
      <x v="155"/>
    </i>
    <i>
      <x v="870"/>
      <x v="7"/>
      <x v="72"/>
      <x v="44"/>
      <x v="1"/>
      <x v="1"/>
      <x v="981"/>
      <x v="155"/>
    </i>
    <i>
      <x v="871"/>
      <x v="7"/>
      <x v="72"/>
      <x v="44"/>
      <x v="1"/>
      <x v="3"/>
      <x v="982"/>
      <x v="155"/>
    </i>
    <i>
      <x v="872"/>
      <x v="7"/>
      <x v="72"/>
      <x v="44"/>
      <x v="1"/>
      <x v="5"/>
      <x v="983"/>
      <x v="155"/>
    </i>
    <i>
      <x v="873"/>
      <x v="7"/>
      <x v="72"/>
      <x v="44"/>
      <x v="1"/>
      <x v="14"/>
      <x v="984"/>
      <x v="155"/>
    </i>
    <i>
      <x v="874"/>
      <x v="7"/>
      <x v="72"/>
      <x v="44"/>
      <x v="1"/>
      <x v="12"/>
      <x v="985"/>
      <x v="155"/>
    </i>
    <i>
      <x v="875"/>
      <x v="7"/>
      <x v="72"/>
      <x v="44"/>
      <x v="1"/>
      <x v="10"/>
      <x v="986"/>
      <x v="155"/>
    </i>
    <i>
      <x v="876"/>
      <x v="7"/>
      <x v="72"/>
      <x v="44"/>
      <x v="1"/>
      <x v="15"/>
      <x v="987"/>
      <x v="155"/>
    </i>
    <i>
      <x v="877"/>
      <x v="7"/>
      <x v="72"/>
      <x v="44"/>
      <x v="1"/>
      <x v="6"/>
      <x v="988"/>
      <x v="155"/>
    </i>
    <i>
      <x v="878"/>
      <x v="7"/>
      <x v="72"/>
      <x v="44"/>
      <x v="1"/>
      <x v="7"/>
      <x v="989"/>
      <x v="155"/>
    </i>
    <i>
      <x v="879"/>
      <x v="7"/>
      <x v="72"/>
      <x v="44"/>
      <x v="1"/>
      <x v="4"/>
      <x v="990"/>
      <x v="155"/>
    </i>
    <i>
      <x v="880"/>
      <x v="7"/>
      <x v="72"/>
      <x v="44"/>
      <x v="1"/>
      <x v="9"/>
      <x v="991"/>
      <x v="155"/>
    </i>
    <i>
      <x v="881"/>
      <x v="7"/>
      <x v="72"/>
      <x v="44"/>
      <x v="1"/>
      <x v="16"/>
      <x v="992"/>
      <x v="568"/>
    </i>
    <i>
      <x v="882"/>
      <x v="7"/>
      <x v="72"/>
      <x v="44"/>
      <x v="1"/>
      <x v="8"/>
      <x v="993"/>
      <x v="155"/>
    </i>
    <i>
      <x v="883"/>
      <x v="7"/>
      <x v="72"/>
      <x v="44"/>
      <x v="1"/>
      <x v="2"/>
      <x v="994"/>
      <x v="155"/>
    </i>
    <i>
      <x v="884"/>
      <x v="7"/>
      <x v="72"/>
      <x v="44"/>
      <x v="1"/>
      <x v="11"/>
      <x v="995"/>
      <x v="155"/>
    </i>
    <i>
      <x v="885"/>
      <x v="7"/>
      <x v="73"/>
      <x v="44"/>
      <x/>
      <x/>
      <x v="996"/>
      <x v="569"/>
    </i>
    <i>
      <x v="886"/>
      <x v="7"/>
      <x v="73"/>
      <x v="44"/>
      <x v="1"/>
      <x v="13"/>
      <x v="997"/>
      <x v="155"/>
    </i>
    <i>
      <x v="887"/>
      <x v="7"/>
      <x v="73"/>
      <x v="44"/>
      <x v="1"/>
      <x v="1"/>
      <x v="998"/>
      <x v="155"/>
    </i>
    <i>
      <x v="888"/>
      <x v="7"/>
      <x v="73"/>
      <x v="44"/>
      <x v="1"/>
      <x v="3"/>
      <x v="999"/>
      <x v="155"/>
    </i>
    <i>
      <x v="889"/>
      <x v="7"/>
      <x v="73"/>
      <x v="44"/>
      <x v="1"/>
      <x v="5"/>
      <x v="1000"/>
      <x v="155"/>
    </i>
    <i>
      <x v="890"/>
      <x v="7"/>
      <x v="73"/>
      <x v="44"/>
      <x v="1"/>
      <x v="14"/>
      <x v="1001"/>
      <x v="155"/>
    </i>
    <i>
      <x v="891"/>
      <x v="7"/>
      <x v="73"/>
      <x v="44"/>
      <x v="1"/>
      <x v="12"/>
      <x v="1002"/>
      <x v="155"/>
    </i>
    <i>
      <x v="892"/>
      <x v="7"/>
      <x v="73"/>
      <x v="44"/>
      <x v="1"/>
      <x v="10"/>
      <x v="1003"/>
      <x v="155"/>
    </i>
    <i>
      <x v="893"/>
      <x v="7"/>
      <x v="73"/>
      <x v="44"/>
      <x v="1"/>
      <x v="15"/>
      <x v="1004"/>
      <x v="567"/>
    </i>
    <i>
      <x v="894"/>
      <x v="7"/>
      <x v="73"/>
      <x v="44"/>
      <x v="1"/>
      <x v="6"/>
      <x v="1005"/>
      <x v="155"/>
    </i>
    <i>
      <x v="895"/>
      <x v="7"/>
      <x v="73"/>
      <x v="44"/>
      <x v="1"/>
      <x v="7"/>
      <x v="1006"/>
      <x v="155"/>
    </i>
    <i>
      <x v="896"/>
      <x v="7"/>
      <x v="73"/>
      <x v="44"/>
      <x v="1"/>
      <x v="4"/>
      <x v="1007"/>
      <x v="155"/>
    </i>
    <i>
      <x v="897"/>
      <x v="7"/>
      <x v="73"/>
      <x v="44"/>
      <x v="1"/>
      <x v="9"/>
      <x v="1008"/>
      <x v="155"/>
    </i>
    <i>
      <x v="898"/>
      <x v="7"/>
      <x v="73"/>
      <x v="44"/>
      <x v="1"/>
      <x v="16"/>
      <x v="1009"/>
      <x v="155"/>
    </i>
    <i>
      <x v="899"/>
      <x v="7"/>
      <x v="73"/>
      <x v="44"/>
      <x v="1"/>
      <x v="8"/>
      <x v="1010"/>
      <x v="155"/>
    </i>
    <i>
      <x v="900"/>
      <x v="7"/>
      <x v="73"/>
      <x v="44"/>
      <x v="1"/>
      <x v="2"/>
      <x v="1011"/>
      <x v="155"/>
    </i>
    <i>
      <x v="901"/>
      <x v="7"/>
      <x v="73"/>
      <x v="44"/>
      <x v="1"/>
      <x v="11"/>
      <x v="1012"/>
      <x v="155"/>
    </i>
    <i>
      <x v="902"/>
      <x v="2"/>
      <x v="74"/>
      <x v="40"/>
      <x/>
      <x/>
      <x v="1013"/>
      <x v="570"/>
    </i>
    <i>
      <x v="903"/>
      <x v="2"/>
      <x v="74"/>
      <x v="40"/>
      <x v="1"/>
      <x v="13"/>
      <x v="1014"/>
      <x v="571"/>
    </i>
    <i>
      <x v="904"/>
      <x v="2"/>
      <x v="74"/>
      <x v="40"/>
      <x v="1"/>
      <x v="1"/>
      <x v="1015"/>
      <x v="572"/>
    </i>
    <i>
      <x v="905"/>
      <x v="2"/>
      <x v="74"/>
      <x v="40"/>
      <x v="1"/>
      <x v="3"/>
      <x v="1016"/>
      <x v="573"/>
    </i>
    <i>
      <x v="906"/>
      <x v="2"/>
      <x v="74"/>
      <x v="40"/>
      <x v="1"/>
      <x v="5"/>
      <x v="1017"/>
      <x v="574"/>
    </i>
    <i>
      <x v="907"/>
      <x v="2"/>
      <x v="74"/>
      <x v="40"/>
      <x v="1"/>
      <x v="14"/>
      <x v="1018"/>
      <x v="575"/>
    </i>
    <i>
      <x v="908"/>
      <x v="2"/>
      <x v="74"/>
      <x v="40"/>
      <x v="1"/>
      <x v="12"/>
      <x v="1019"/>
      <x v="576"/>
    </i>
    <i>
      <x v="909"/>
      <x v="2"/>
      <x v="74"/>
      <x v="40"/>
      <x v="1"/>
      <x v="10"/>
      <x v="1020"/>
      <x v="577"/>
    </i>
    <i>
      <x v="910"/>
      <x v="2"/>
      <x v="74"/>
      <x v="40"/>
      <x v="1"/>
      <x v="15"/>
      <x v="1021"/>
      <x v="578"/>
    </i>
    <i>
      <x v="911"/>
      <x v="2"/>
      <x v="74"/>
      <x v="40"/>
      <x v="1"/>
      <x v="6"/>
      <x v="1022"/>
      <x v="579"/>
    </i>
    <i>
      <x v="912"/>
      <x v="2"/>
      <x v="74"/>
      <x v="40"/>
      <x v="1"/>
      <x v="7"/>
      <x v="1023"/>
      <x v="580"/>
    </i>
    <i>
      <x v="913"/>
      <x v="2"/>
      <x v="74"/>
      <x v="40"/>
      <x v="1"/>
      <x v="4"/>
      <x v="1024"/>
      <x v="581"/>
    </i>
    <i>
      <x v="914"/>
      <x v="2"/>
      <x v="74"/>
      <x v="40"/>
      <x v="1"/>
      <x v="9"/>
      <x v="1025"/>
      <x v="582"/>
    </i>
    <i>
      <x v="915"/>
      <x v="2"/>
      <x v="74"/>
      <x v="40"/>
      <x v="1"/>
      <x v="16"/>
      <x v="1026"/>
      <x v="583"/>
    </i>
    <i>
      <x v="916"/>
      <x v="2"/>
      <x v="74"/>
      <x v="40"/>
      <x v="1"/>
      <x v="8"/>
      <x v="1027"/>
      <x v="584"/>
    </i>
    <i>
      <x v="917"/>
      <x v="2"/>
      <x v="74"/>
      <x v="40"/>
      <x v="1"/>
      <x v="2"/>
      <x v="1028"/>
      <x v="585"/>
    </i>
    <i>
      <x v="918"/>
      <x v="2"/>
      <x v="74"/>
      <x v="40"/>
      <x v="1"/>
      <x v="11"/>
      <x v="1029"/>
      <x v="586"/>
    </i>
    <i>
      <x v="919"/>
      <x v="2"/>
      <x v="75"/>
      <x v="40"/>
      <x/>
      <x/>
      <x v="1030"/>
      <x v="587"/>
    </i>
    <i>
      <x v="920"/>
      <x v="2"/>
      <x v="75"/>
      <x v="40"/>
      <x v="1"/>
      <x v="13"/>
      <x v="1031"/>
      <x v="588"/>
    </i>
    <i>
      <x v="921"/>
      <x v="2"/>
      <x v="75"/>
      <x v="40"/>
      <x v="1"/>
      <x v="1"/>
      <x v="1032"/>
      <x v="589"/>
    </i>
    <i>
      <x v="922"/>
      <x v="2"/>
      <x v="75"/>
      <x v="40"/>
      <x v="1"/>
      <x v="3"/>
      <x v="1033"/>
      <x v="590"/>
    </i>
    <i>
      <x v="923"/>
      <x v="2"/>
      <x v="75"/>
      <x v="40"/>
      <x v="1"/>
      <x v="5"/>
      <x v="1034"/>
      <x v="591"/>
    </i>
    <i>
      <x v="924"/>
      <x v="2"/>
      <x v="75"/>
      <x v="40"/>
      <x v="1"/>
      <x v="14"/>
      <x v="1035"/>
      <x v="592"/>
    </i>
    <i>
      <x v="925"/>
      <x v="2"/>
      <x v="75"/>
      <x v="40"/>
      <x v="1"/>
      <x v="12"/>
      <x v="1036"/>
      <x v="593"/>
    </i>
    <i>
      <x v="926"/>
      <x v="2"/>
      <x v="75"/>
      <x v="40"/>
      <x v="1"/>
      <x v="10"/>
      <x v="1037"/>
      <x v="594"/>
    </i>
    <i>
      <x v="927"/>
      <x v="2"/>
      <x v="75"/>
      <x v="40"/>
      <x v="1"/>
      <x v="15"/>
      <x v="1038"/>
      <x v="595"/>
    </i>
    <i>
      <x v="928"/>
      <x v="2"/>
      <x v="75"/>
      <x v="40"/>
      <x v="1"/>
      <x v="6"/>
      <x v="1039"/>
      <x v="596"/>
    </i>
    <i>
      <x v="929"/>
      <x v="2"/>
      <x v="75"/>
      <x v="40"/>
      <x v="1"/>
      <x v="7"/>
      <x v="1040"/>
      <x v="597"/>
    </i>
    <i>
      <x v="930"/>
      <x v="2"/>
      <x v="75"/>
      <x v="40"/>
      <x v="1"/>
      <x v="4"/>
      <x v="1041"/>
      <x v="598"/>
    </i>
    <i>
      <x v="931"/>
      <x v="2"/>
      <x v="75"/>
      <x v="40"/>
      <x v="1"/>
      <x v="9"/>
      <x v="1042"/>
      <x v="599"/>
    </i>
    <i>
      <x v="932"/>
      <x v="2"/>
      <x v="75"/>
      <x v="40"/>
      <x v="1"/>
      <x v="16"/>
      <x v="1043"/>
      <x v="600"/>
    </i>
    <i>
      <x v="933"/>
      <x v="2"/>
      <x v="75"/>
      <x v="40"/>
      <x v="1"/>
      <x v="8"/>
      <x v="1044"/>
      <x v="601"/>
    </i>
    <i>
      <x v="934"/>
      <x v="2"/>
      <x v="75"/>
      <x v="40"/>
      <x v="1"/>
      <x v="2"/>
      <x v="1045"/>
      <x v="602"/>
    </i>
    <i>
      <x v="935"/>
      <x v="2"/>
      <x v="75"/>
      <x v="40"/>
      <x v="1"/>
      <x v="11"/>
      <x v="1046"/>
      <x v="603"/>
    </i>
    <i>
      <x v="936"/>
      <x v="8"/>
      <x v="35"/>
      <x v="64"/>
      <x/>
      <x/>
      <x v="1047"/>
      <x v="604"/>
    </i>
    <i>
      <x v="937"/>
      <x v="8"/>
      <x v="35"/>
      <x v="64"/>
      <x v="1"/>
      <x v="13"/>
      <x v="1048"/>
      <x v="605"/>
    </i>
    <i>
      <x v="938"/>
      <x v="8"/>
      <x v="35"/>
      <x v="64"/>
      <x v="1"/>
      <x v="1"/>
      <x v="1049"/>
      <x v="606"/>
    </i>
    <i>
      <x v="939"/>
      <x v="8"/>
      <x v="35"/>
      <x v="64"/>
      <x v="1"/>
      <x v="3"/>
      <x v="1050"/>
      <x v="607"/>
    </i>
    <i>
      <x v="940"/>
      <x v="8"/>
      <x v="35"/>
      <x v="64"/>
      <x v="1"/>
      <x v="5"/>
      <x v="1051"/>
      <x v="608"/>
    </i>
    <i>
      <x v="941"/>
      <x v="8"/>
      <x v="35"/>
      <x v="64"/>
      <x v="1"/>
      <x v="14"/>
      <x v="1052"/>
      <x v="609"/>
    </i>
    <i>
      <x v="942"/>
      <x v="8"/>
      <x v="35"/>
      <x v="64"/>
      <x v="1"/>
      <x v="12"/>
      <x v="1053"/>
      <x v="610"/>
    </i>
    <i>
      <x v="943"/>
      <x v="8"/>
      <x v="35"/>
      <x v="64"/>
      <x v="1"/>
      <x v="10"/>
      <x v="1054"/>
      <x v="611"/>
    </i>
    <i>
      <x v="944"/>
      <x v="8"/>
      <x v="35"/>
      <x v="64"/>
      <x v="1"/>
      <x v="15"/>
      <x v="1055"/>
      <x v="612"/>
    </i>
    <i>
      <x v="945"/>
      <x v="8"/>
      <x v="35"/>
      <x v="64"/>
      <x v="1"/>
      <x v="6"/>
      <x v="1056"/>
      <x v="613"/>
    </i>
    <i>
      <x v="946"/>
      <x v="8"/>
      <x v="35"/>
      <x v="64"/>
      <x v="1"/>
      <x v="7"/>
      <x v="1057"/>
      <x v="614"/>
    </i>
    <i>
      <x v="947"/>
      <x v="8"/>
      <x v="35"/>
      <x v="64"/>
      <x v="1"/>
      <x v="4"/>
      <x v="1058"/>
      <x v="615"/>
    </i>
    <i>
      <x v="948"/>
      <x v="8"/>
      <x v="35"/>
      <x v="64"/>
      <x v="1"/>
      <x v="9"/>
      <x v="1059"/>
      <x v="616"/>
    </i>
    <i>
      <x v="949"/>
      <x v="8"/>
      <x v="35"/>
      <x v="64"/>
      <x v="1"/>
      <x v="16"/>
      <x v="1060"/>
      <x v="617"/>
    </i>
    <i>
      <x v="950"/>
      <x v="8"/>
      <x v="35"/>
      <x v="64"/>
      <x v="1"/>
      <x v="8"/>
      <x v="1061"/>
      <x v="618"/>
    </i>
    <i>
      <x v="951"/>
      <x v="8"/>
      <x v="35"/>
      <x v="64"/>
      <x v="1"/>
      <x v="2"/>
      <x v="1062"/>
      <x v="619"/>
    </i>
    <i>
      <x v="952"/>
      <x v="8"/>
      <x v="35"/>
      <x v="64"/>
      <x v="1"/>
      <x v="11"/>
      <x v="1063"/>
      <x v="620"/>
    </i>
    <i>
      <x v="953"/>
      <x v="8"/>
      <x v="35"/>
      <x v="64"/>
      <x/>
      <x/>
      <x v="1064"/>
      <x v="621"/>
    </i>
    <i>
      <x v="954"/>
      <x v="8"/>
      <x v="35"/>
      <x v="64"/>
      <x v="1"/>
      <x v="13"/>
      <x v="1065"/>
      <x v="622"/>
    </i>
    <i>
      <x v="955"/>
      <x v="8"/>
      <x v="35"/>
      <x v="64"/>
      <x v="1"/>
      <x v="1"/>
      <x v="1066"/>
      <x v="623"/>
    </i>
    <i>
      <x v="956"/>
      <x v="8"/>
      <x v="35"/>
      <x v="64"/>
      <x v="1"/>
      <x v="3"/>
      <x v="1067"/>
      <x v="624"/>
    </i>
    <i>
      <x v="957"/>
      <x v="8"/>
      <x v="35"/>
      <x v="64"/>
      <x v="1"/>
      <x v="5"/>
      <x v="1068"/>
      <x v="625"/>
    </i>
    <i>
      <x v="958"/>
      <x v="8"/>
      <x v="35"/>
      <x v="64"/>
      <x v="1"/>
      <x v="14"/>
      <x v="1069"/>
      <x v="626"/>
    </i>
    <i>
      <x v="959"/>
      <x v="8"/>
      <x v="35"/>
      <x v="64"/>
      <x v="1"/>
      <x v="12"/>
      <x v="1070"/>
      <x v="627"/>
    </i>
    <i>
      <x v="960"/>
      <x v="8"/>
      <x v="35"/>
      <x v="64"/>
      <x v="1"/>
      <x v="10"/>
      <x v="1071"/>
      <x v="628"/>
    </i>
    <i>
      <x v="961"/>
      <x v="8"/>
      <x v="35"/>
      <x v="64"/>
      <x v="1"/>
      <x v="15"/>
      <x v="1072"/>
      <x v="629"/>
    </i>
    <i>
      <x v="962"/>
      <x v="8"/>
      <x v="35"/>
      <x v="64"/>
      <x v="1"/>
      <x v="6"/>
      <x v="1073"/>
      <x v="630"/>
    </i>
    <i>
      <x v="963"/>
      <x v="8"/>
      <x v="35"/>
      <x v="64"/>
      <x v="1"/>
      <x v="7"/>
      <x v="1074"/>
      <x v="631"/>
    </i>
    <i>
      <x v="964"/>
      <x v="8"/>
      <x v="35"/>
      <x v="64"/>
      <x v="1"/>
      <x v="4"/>
      <x v="1075"/>
      <x v="632"/>
    </i>
    <i>
      <x v="965"/>
      <x v="8"/>
      <x v="35"/>
      <x v="64"/>
      <x v="1"/>
      <x v="9"/>
      <x v="1076"/>
      <x v="633"/>
    </i>
    <i>
      <x v="966"/>
      <x v="8"/>
      <x v="35"/>
      <x v="64"/>
      <x v="1"/>
      <x v="16"/>
      <x v="1077"/>
      <x v="634"/>
    </i>
    <i>
      <x v="967"/>
      <x v="8"/>
      <x v="35"/>
      <x v="64"/>
      <x v="1"/>
      <x v="8"/>
      <x v="1078"/>
      <x v="635"/>
    </i>
    <i>
      <x v="968"/>
      <x v="8"/>
      <x v="35"/>
      <x v="64"/>
      <x v="1"/>
      <x v="2"/>
      <x v="1079"/>
      <x v="636"/>
    </i>
    <i>
      <x v="969"/>
      <x v="8"/>
      <x v="35"/>
      <x v="64"/>
      <x v="1"/>
      <x v="11"/>
      <x v="1080"/>
      <x v="637"/>
    </i>
    <i>
      <x v="970"/>
      <x v="8"/>
      <x v="35"/>
      <x v="64"/>
      <x/>
      <x/>
      <x v="1081"/>
      <x v="638"/>
    </i>
    <i>
      <x v="971"/>
      <x v="8"/>
      <x v="35"/>
      <x v="64"/>
      <x v="1"/>
      <x v="13"/>
      <x v="1082"/>
      <x v="639"/>
    </i>
    <i>
      <x v="972"/>
      <x v="8"/>
      <x v="35"/>
      <x v="64"/>
      <x v="1"/>
      <x v="1"/>
      <x v="1083"/>
      <x v="640"/>
    </i>
    <i>
      <x v="973"/>
      <x v="8"/>
      <x v="35"/>
      <x v="64"/>
      <x v="1"/>
      <x v="3"/>
      <x v="1084"/>
      <x v="641"/>
    </i>
    <i>
      <x v="974"/>
      <x v="8"/>
      <x v="35"/>
      <x v="64"/>
      <x v="1"/>
      <x v="5"/>
      <x v="1085"/>
      <x v="642"/>
    </i>
    <i>
      <x v="975"/>
      <x v="8"/>
      <x v="35"/>
      <x v="64"/>
      <x v="1"/>
      <x v="14"/>
      <x v="1086"/>
      <x v="643"/>
    </i>
    <i>
      <x v="976"/>
      <x v="8"/>
      <x v="35"/>
      <x v="64"/>
      <x v="1"/>
      <x v="12"/>
      <x v="1087"/>
      <x v="644"/>
    </i>
    <i>
      <x v="977"/>
      <x v="8"/>
      <x v="35"/>
      <x v="64"/>
      <x v="1"/>
      <x v="10"/>
      <x v="1088"/>
      <x v="645"/>
    </i>
    <i>
      <x v="978"/>
      <x v="8"/>
      <x v="35"/>
      <x v="64"/>
      <x v="1"/>
      <x v="15"/>
      <x v="1089"/>
      <x v="646"/>
    </i>
    <i>
      <x v="979"/>
      <x v="8"/>
      <x v="35"/>
      <x v="64"/>
      <x v="1"/>
      <x v="6"/>
      <x v="1090"/>
      <x v="647"/>
    </i>
    <i>
      <x v="980"/>
      <x v="8"/>
      <x v="35"/>
      <x v="64"/>
      <x v="1"/>
      <x v="7"/>
      <x v="1091"/>
      <x v="648"/>
    </i>
    <i>
      <x v="981"/>
      <x v="8"/>
      <x v="35"/>
      <x v="64"/>
      <x v="1"/>
      <x v="4"/>
      <x v="1092"/>
      <x v="649"/>
    </i>
    <i>
      <x v="982"/>
      <x v="8"/>
      <x v="35"/>
      <x v="64"/>
      <x v="1"/>
      <x v="9"/>
      <x v="1093"/>
      <x v="650"/>
    </i>
    <i>
      <x v="983"/>
      <x v="8"/>
      <x v="35"/>
      <x v="64"/>
      <x v="1"/>
      <x v="16"/>
      <x v="1094"/>
      <x v="651"/>
    </i>
    <i>
      <x v="984"/>
      <x v="8"/>
      <x v="35"/>
      <x v="64"/>
      <x v="1"/>
      <x v="8"/>
      <x v="1095"/>
      <x v="652"/>
    </i>
    <i>
      <x v="985"/>
      <x v="8"/>
      <x v="35"/>
      <x v="64"/>
      <x v="1"/>
      <x v="2"/>
      <x v="1096"/>
      <x v="653"/>
    </i>
    <i>
      <x v="986"/>
      <x v="8"/>
      <x v="35"/>
      <x v="64"/>
      <x v="1"/>
      <x v="11"/>
      <x v="1097"/>
      <x v="654"/>
    </i>
    <i>
      <x v="987"/>
      <x v="1"/>
      <x v="76"/>
      <x v="62"/>
      <x/>
      <x/>
      <x v="1098"/>
      <x v="655"/>
    </i>
    <i>
      <x v="988"/>
      <x v="1"/>
      <x v="76"/>
      <x v="62"/>
      <x v="1"/>
      <x v="13"/>
      <x v="1099"/>
      <x v="656"/>
    </i>
    <i>
      <x v="989"/>
      <x v="1"/>
      <x v="76"/>
      <x v="62"/>
      <x v="1"/>
      <x v="1"/>
      <x v="1100"/>
      <x v="657"/>
    </i>
    <i>
      <x v="990"/>
      <x v="1"/>
      <x v="76"/>
      <x v="62"/>
      <x v="1"/>
      <x v="3"/>
      <x v="1101"/>
      <x v="658"/>
    </i>
    <i>
      <x v="991"/>
      <x v="1"/>
      <x v="76"/>
      <x v="62"/>
      <x v="1"/>
      <x v="5"/>
      <x v="1102"/>
      <x v="659"/>
    </i>
    <i>
      <x v="992"/>
      <x v="1"/>
      <x v="76"/>
      <x v="62"/>
      <x v="1"/>
      <x v="14"/>
      <x v="1103"/>
      <x v="660"/>
    </i>
    <i>
      <x v="993"/>
      <x v="1"/>
      <x v="76"/>
      <x v="62"/>
      <x v="1"/>
      <x v="12"/>
      <x v="1104"/>
      <x v="661"/>
    </i>
    <i>
      <x v="994"/>
      <x v="1"/>
      <x v="76"/>
      <x v="62"/>
      <x v="1"/>
      <x v="10"/>
      <x v="1105"/>
      <x v="662"/>
    </i>
    <i>
      <x v="995"/>
      <x v="1"/>
      <x v="76"/>
      <x v="62"/>
      <x v="1"/>
      <x v="15"/>
      <x v="1106"/>
      <x v="663"/>
    </i>
    <i>
      <x v="996"/>
      <x v="1"/>
      <x v="76"/>
      <x v="62"/>
      <x v="1"/>
      <x v="6"/>
      <x v="1107"/>
      <x v="664"/>
    </i>
    <i>
      <x v="997"/>
      <x v="1"/>
      <x v="76"/>
      <x v="62"/>
      <x v="1"/>
      <x v="7"/>
      <x v="1108"/>
      <x v="665"/>
    </i>
    <i>
      <x v="998"/>
      <x v="1"/>
      <x v="76"/>
      <x v="62"/>
      <x v="1"/>
      <x v="4"/>
      <x v="1109"/>
      <x v="666"/>
    </i>
    <i>
      <x v="999"/>
      <x v="1"/>
      <x v="76"/>
      <x v="62"/>
      <x v="1"/>
      <x v="9"/>
      <x v="1110"/>
      <x v="667"/>
    </i>
    <i>
      <x v="1000"/>
      <x v="1"/>
      <x v="76"/>
      <x v="62"/>
      <x v="1"/>
      <x v="16"/>
      <x v="1111"/>
      <x v="668"/>
    </i>
    <i>
      <x v="1001"/>
      <x v="1"/>
      <x v="76"/>
      <x v="62"/>
      <x v="1"/>
      <x v="8"/>
      <x v="1112"/>
      <x v="669"/>
    </i>
    <i>
      <x v="1002"/>
      <x v="1"/>
      <x v="76"/>
      <x v="62"/>
      <x v="1"/>
      <x v="2"/>
      <x v="1113"/>
      <x v="670"/>
    </i>
    <i>
      <x v="1003"/>
      <x v="1"/>
      <x v="76"/>
      <x v="62"/>
      <x v="1"/>
      <x v="11"/>
      <x v="1114"/>
      <x v="671"/>
    </i>
    <i>
      <x v="1004"/>
      <x v="1"/>
      <x v="77"/>
      <x v="62"/>
      <x/>
      <x/>
      <x v="1115"/>
      <x v="672"/>
    </i>
    <i>
      <x v="1005"/>
      <x v="1"/>
      <x v="77"/>
      <x v="62"/>
      <x v="1"/>
      <x v="13"/>
      <x v="1116"/>
      <x v="673"/>
    </i>
    <i>
      <x v="1006"/>
      <x v="1"/>
      <x v="77"/>
      <x v="62"/>
      <x v="1"/>
      <x v="1"/>
      <x v="1117"/>
      <x v="674"/>
    </i>
    <i>
      <x v="1007"/>
      <x v="1"/>
      <x v="77"/>
      <x v="62"/>
      <x v="1"/>
      <x v="3"/>
      <x v="1118"/>
      <x v="675"/>
    </i>
    <i>
      <x v="1008"/>
      <x v="1"/>
      <x v="77"/>
      <x v="62"/>
      <x v="1"/>
      <x v="5"/>
      <x v="1119"/>
      <x v="676"/>
    </i>
    <i>
      <x v="1009"/>
      <x v="1"/>
      <x v="77"/>
      <x v="62"/>
      <x v="1"/>
      <x v="14"/>
      <x v="1120"/>
      <x v="677"/>
    </i>
    <i>
      <x v="1010"/>
      <x v="1"/>
      <x v="77"/>
      <x v="62"/>
      <x v="1"/>
      <x v="12"/>
      <x v="1121"/>
      <x v="678"/>
    </i>
    <i>
      <x v="1011"/>
      <x v="1"/>
      <x v="77"/>
      <x v="62"/>
      <x v="1"/>
      <x v="10"/>
      <x v="1122"/>
      <x v="679"/>
    </i>
    <i>
      <x v="1012"/>
      <x v="1"/>
      <x v="77"/>
      <x v="62"/>
      <x v="1"/>
      <x v="15"/>
      <x v="1123"/>
      <x v="680"/>
    </i>
    <i>
      <x v="1013"/>
      <x v="1"/>
      <x v="77"/>
      <x v="62"/>
      <x v="1"/>
      <x v="6"/>
      <x v="1124"/>
      <x v="681"/>
    </i>
    <i>
      <x v="1014"/>
      <x v="1"/>
      <x v="77"/>
      <x v="62"/>
      <x v="1"/>
      <x v="7"/>
      <x v="1125"/>
      <x v="682"/>
    </i>
    <i>
      <x v="1015"/>
      <x v="1"/>
      <x v="77"/>
      <x v="62"/>
      <x v="1"/>
      <x v="4"/>
      <x v="1126"/>
      <x v="683"/>
    </i>
    <i>
      <x v="1016"/>
      <x v="1"/>
      <x v="77"/>
      <x v="62"/>
      <x v="1"/>
      <x v="9"/>
      <x v="1127"/>
      <x v="684"/>
    </i>
    <i>
      <x v="1017"/>
      <x v="1"/>
      <x v="77"/>
      <x v="62"/>
      <x v="1"/>
      <x v="16"/>
      <x v="1128"/>
      <x v="685"/>
    </i>
    <i>
      <x v="1018"/>
      <x v="1"/>
      <x v="77"/>
      <x v="62"/>
      <x v="1"/>
      <x v="8"/>
      <x v="1129"/>
      <x v="686"/>
    </i>
    <i>
      <x v="1019"/>
      <x v="1"/>
      <x v="77"/>
      <x v="62"/>
      <x v="1"/>
      <x v="2"/>
      <x v="1130"/>
      <x v="687"/>
    </i>
    <i>
      <x v="1020"/>
      <x v="1"/>
      <x v="77"/>
      <x v="62"/>
      <x v="1"/>
      <x v="11"/>
      <x v="1131"/>
      <x v="688"/>
    </i>
    <i>
      <x v="1021"/>
      <x v="1"/>
      <x v="76"/>
      <x v="62"/>
      <x/>
      <x/>
      <x v="1132"/>
      <x v="638"/>
    </i>
    <i>
      <x v="1022"/>
      <x v="1"/>
      <x v="76"/>
      <x v="62"/>
      <x v="1"/>
      <x v="13"/>
      <x v="1133"/>
      <x v="639"/>
    </i>
    <i>
      <x v="1023"/>
      <x v="1"/>
      <x v="76"/>
      <x v="62"/>
      <x v="1"/>
      <x v="1"/>
      <x v="1134"/>
      <x v="640"/>
    </i>
    <i>
      <x v="1024"/>
      <x v="1"/>
      <x v="76"/>
      <x v="62"/>
      <x v="1"/>
      <x v="3"/>
      <x v="1135"/>
      <x v="641"/>
    </i>
    <i>
      <x v="1025"/>
      <x v="1"/>
      <x v="76"/>
      <x v="62"/>
      <x v="1"/>
      <x v="5"/>
      <x v="1136"/>
      <x v="642"/>
    </i>
    <i>
      <x v="1026"/>
      <x v="1"/>
      <x v="76"/>
      <x v="62"/>
      <x v="1"/>
      <x v="14"/>
      <x v="1137"/>
      <x v="643"/>
    </i>
    <i>
      <x v="1027"/>
      <x v="1"/>
      <x v="76"/>
      <x v="62"/>
      <x v="1"/>
      <x v="12"/>
      <x v="1138"/>
      <x v="644"/>
    </i>
    <i>
      <x v="1028"/>
      <x v="1"/>
      <x v="76"/>
      <x v="62"/>
      <x v="1"/>
      <x v="10"/>
      <x v="1139"/>
      <x v="645"/>
    </i>
    <i>
      <x v="1029"/>
      <x v="1"/>
      <x v="76"/>
      <x v="62"/>
      <x v="1"/>
      <x v="15"/>
      <x v="1140"/>
      <x v="646"/>
    </i>
    <i>
      <x v="1030"/>
      <x v="1"/>
      <x v="76"/>
      <x v="62"/>
      <x v="1"/>
      <x v="6"/>
      <x v="1141"/>
      <x v="647"/>
    </i>
    <i>
      <x v="1031"/>
      <x v="1"/>
      <x v="76"/>
      <x v="62"/>
      <x v="1"/>
      <x v="7"/>
      <x v="1142"/>
      <x v="648"/>
    </i>
    <i>
      <x v="1032"/>
      <x v="1"/>
      <x v="76"/>
      <x v="62"/>
      <x v="1"/>
      <x v="4"/>
      <x v="1143"/>
      <x v="649"/>
    </i>
    <i>
      <x v="1033"/>
      <x v="1"/>
      <x v="76"/>
      <x v="62"/>
      <x v="1"/>
      <x v="9"/>
      <x v="1144"/>
      <x v="650"/>
    </i>
    <i>
      <x v="1034"/>
      <x v="1"/>
      <x v="76"/>
      <x v="62"/>
      <x v="1"/>
      <x v="16"/>
      <x v="1145"/>
      <x v="651"/>
    </i>
    <i>
      <x v="1035"/>
      <x v="1"/>
      <x v="76"/>
      <x v="62"/>
      <x v="1"/>
      <x v="8"/>
      <x v="1146"/>
      <x v="652"/>
    </i>
    <i>
      <x v="1036"/>
      <x v="1"/>
      <x v="76"/>
      <x v="62"/>
      <x v="1"/>
      <x v="2"/>
      <x v="1147"/>
      <x v="653"/>
    </i>
    <i>
      <x v="1037"/>
      <x v="1"/>
      <x v="76"/>
      <x v="62"/>
      <x v="1"/>
      <x v="11"/>
      <x v="1148"/>
      <x v="654"/>
    </i>
    <i>
      <x v="1038"/>
      <x v="1"/>
      <x v="78"/>
      <x v="62"/>
      <x/>
      <x/>
      <x v="1149"/>
      <x v="689"/>
    </i>
    <i>
      <x v="1039"/>
      <x v="1"/>
      <x v="78"/>
      <x v="62"/>
      <x v="1"/>
      <x v="13"/>
      <x v="1150"/>
      <x v="690"/>
    </i>
    <i>
      <x v="1040"/>
      <x v="1"/>
      <x v="78"/>
      <x v="62"/>
      <x v="1"/>
      <x v="1"/>
      <x v="1151"/>
      <x v="691"/>
    </i>
    <i>
      <x v="1041"/>
      <x v="1"/>
      <x v="78"/>
      <x v="62"/>
      <x v="1"/>
      <x v="3"/>
      <x v="1152"/>
      <x v="692"/>
    </i>
    <i>
      <x v="1042"/>
      <x v="1"/>
      <x v="78"/>
      <x v="62"/>
      <x v="1"/>
      <x v="5"/>
      <x v="1153"/>
      <x v="693"/>
    </i>
    <i>
      <x v="1043"/>
      <x v="1"/>
      <x v="78"/>
      <x v="62"/>
      <x v="1"/>
      <x v="14"/>
      <x v="1154"/>
      <x v="694"/>
    </i>
    <i>
      <x v="1044"/>
      <x v="1"/>
      <x v="78"/>
      <x v="62"/>
      <x v="1"/>
      <x v="12"/>
      <x v="1155"/>
      <x v="695"/>
    </i>
    <i>
      <x v="1045"/>
      <x v="1"/>
      <x v="78"/>
      <x v="62"/>
      <x v="1"/>
      <x v="10"/>
      <x v="1156"/>
      <x v="696"/>
    </i>
    <i>
      <x v="1046"/>
      <x v="1"/>
      <x v="78"/>
      <x v="62"/>
      <x v="1"/>
      <x v="15"/>
      <x v="1157"/>
      <x v="697"/>
    </i>
    <i>
      <x v="1047"/>
      <x v="1"/>
      <x v="78"/>
      <x v="62"/>
      <x v="1"/>
      <x v="6"/>
      <x v="1158"/>
      <x v="698"/>
    </i>
    <i>
      <x v="1048"/>
      <x v="1"/>
      <x v="78"/>
      <x v="62"/>
      <x v="1"/>
      <x v="7"/>
      <x v="1159"/>
      <x v="699"/>
    </i>
    <i>
      <x v="1049"/>
      <x v="1"/>
      <x v="78"/>
      <x v="62"/>
      <x v="1"/>
      <x v="4"/>
      <x v="1160"/>
      <x v="700"/>
    </i>
    <i>
      <x v="1050"/>
      <x v="1"/>
      <x v="78"/>
      <x v="62"/>
      <x v="1"/>
      <x v="9"/>
      <x v="1161"/>
      <x v="701"/>
    </i>
    <i>
      <x v="1051"/>
      <x v="1"/>
      <x v="78"/>
      <x v="62"/>
      <x v="1"/>
      <x v="16"/>
      <x v="1162"/>
      <x v="702"/>
    </i>
    <i>
      <x v="1052"/>
      <x v="1"/>
      <x v="78"/>
      <x v="62"/>
      <x v="1"/>
      <x v="8"/>
      <x v="1163"/>
      <x v="703"/>
    </i>
    <i>
      <x v="1053"/>
      <x v="1"/>
      <x v="78"/>
      <x v="62"/>
      <x v="1"/>
      <x v="2"/>
      <x v="1164"/>
      <x v="704"/>
    </i>
    <i>
      <x v="1054"/>
      <x v="1"/>
      <x v="78"/>
      <x v="62"/>
      <x v="1"/>
      <x v="11"/>
      <x v="1165"/>
      <x v="705"/>
    </i>
    <i>
      <x v="1055"/>
      <x v="1"/>
      <x v="79"/>
      <x v="62"/>
      <x/>
      <x/>
      <x v="1166"/>
      <x v="1338"/>
    </i>
    <i>
      <x v="1056"/>
      <x v="1"/>
      <x v="79"/>
      <x v="62"/>
      <x v="1"/>
      <x v="13"/>
      <x v="1167"/>
      <x v="1339"/>
    </i>
    <i>
      <x v="1057"/>
      <x v="1"/>
      <x v="79"/>
      <x v="62"/>
      <x v="1"/>
      <x v="1"/>
      <x v="1168"/>
      <x v="1340"/>
    </i>
    <i>
      <x v="1058"/>
      <x v="1"/>
      <x v="79"/>
      <x v="62"/>
      <x v="1"/>
      <x v="3"/>
      <x v="1169"/>
      <x v="1341"/>
    </i>
    <i>
      <x v="1059"/>
      <x v="1"/>
      <x v="79"/>
      <x v="62"/>
      <x v="1"/>
      <x v="5"/>
      <x v="1170"/>
      <x v="1342"/>
    </i>
    <i>
      <x v="1060"/>
      <x v="1"/>
      <x v="79"/>
      <x v="62"/>
      <x v="1"/>
      <x v="14"/>
      <x v="1171"/>
      <x v="1343"/>
    </i>
    <i>
      <x v="1061"/>
      <x v="1"/>
      <x v="79"/>
      <x v="62"/>
      <x v="1"/>
      <x v="12"/>
      <x v="1172"/>
      <x v="1344"/>
    </i>
    <i>
      <x v="1062"/>
      <x v="1"/>
      <x v="79"/>
      <x v="62"/>
      <x v="1"/>
      <x v="10"/>
      <x v="1173"/>
      <x v="1345"/>
    </i>
    <i>
      <x v="1063"/>
      <x v="1"/>
      <x v="79"/>
      <x v="62"/>
      <x v="1"/>
      <x v="15"/>
      <x v="1174"/>
      <x v="1346"/>
    </i>
    <i>
      <x v="1064"/>
      <x v="1"/>
      <x v="79"/>
      <x v="62"/>
      <x v="1"/>
      <x v="6"/>
      <x v="1175"/>
      <x v="1347"/>
    </i>
    <i>
      <x v="1065"/>
      <x v="1"/>
      <x v="79"/>
      <x v="62"/>
      <x v="1"/>
      <x v="7"/>
      <x v="1176"/>
      <x v="1348"/>
    </i>
    <i>
      <x v="1066"/>
      <x v="1"/>
      <x v="79"/>
      <x v="62"/>
      <x v="1"/>
      <x v="4"/>
      <x v="1177"/>
      <x v="1349"/>
    </i>
    <i>
      <x v="1067"/>
      <x v="1"/>
      <x v="79"/>
      <x v="62"/>
      <x v="1"/>
      <x v="9"/>
      <x v="1178"/>
      <x v="1350"/>
    </i>
    <i>
      <x v="1068"/>
      <x v="1"/>
      <x v="79"/>
      <x v="62"/>
      <x v="1"/>
      <x v="16"/>
      <x v="1179"/>
      <x v="1351"/>
    </i>
    <i>
      <x v="1069"/>
      <x v="1"/>
      <x v="79"/>
      <x v="62"/>
      <x v="1"/>
      <x v="8"/>
      <x v="1180"/>
      <x v="1352"/>
    </i>
    <i>
      <x v="1070"/>
      <x v="1"/>
      <x v="79"/>
      <x v="62"/>
      <x v="1"/>
      <x v="2"/>
      <x v="1181"/>
      <x v="1353"/>
    </i>
    <i>
      <x v="1071"/>
      <x v="1"/>
      <x v="79"/>
      <x v="62"/>
      <x v="1"/>
      <x v="11"/>
      <x v="1182"/>
      <x v="1354"/>
    </i>
    <i>
      <x v="1072"/>
      <x v="6"/>
      <x v="34"/>
      <x v="63"/>
      <x/>
      <x/>
      <x v="1183"/>
      <x v="706"/>
    </i>
    <i>
      <x v="1073"/>
      <x v="6"/>
      <x v="34"/>
      <x v="63"/>
      <x v="1"/>
      <x v="13"/>
      <x v="1184"/>
      <x v="707"/>
    </i>
    <i>
      <x v="1074"/>
      <x v="6"/>
      <x v="34"/>
      <x v="63"/>
      <x v="1"/>
      <x v="1"/>
      <x v="1185"/>
      <x v="708"/>
    </i>
    <i>
      <x v="1075"/>
      <x v="6"/>
      <x v="34"/>
      <x v="63"/>
      <x v="1"/>
      <x v="3"/>
      <x v="1186"/>
      <x v="709"/>
    </i>
    <i>
      <x v="1076"/>
      <x v="6"/>
      <x v="34"/>
      <x v="63"/>
      <x v="1"/>
      <x v="5"/>
      <x v="1187"/>
      <x v="710"/>
    </i>
    <i>
      <x v="1077"/>
      <x v="6"/>
      <x v="34"/>
      <x v="63"/>
      <x v="1"/>
      <x v="14"/>
      <x v="1188"/>
      <x v="711"/>
    </i>
    <i>
      <x v="1078"/>
      <x v="6"/>
      <x v="34"/>
      <x v="63"/>
      <x v="1"/>
      <x v="12"/>
      <x v="1189"/>
      <x v="712"/>
    </i>
    <i>
      <x v="1079"/>
      <x v="6"/>
      <x v="34"/>
      <x v="63"/>
      <x v="1"/>
      <x v="10"/>
      <x v="1190"/>
      <x v="713"/>
    </i>
    <i>
      <x v="1080"/>
      <x v="6"/>
      <x v="34"/>
      <x v="63"/>
      <x v="1"/>
      <x v="15"/>
      <x v="1191"/>
      <x v="714"/>
    </i>
    <i>
      <x v="1081"/>
      <x v="6"/>
      <x v="34"/>
      <x v="63"/>
      <x v="1"/>
      <x v="6"/>
      <x v="1192"/>
      <x v="715"/>
    </i>
    <i>
      <x v="1082"/>
      <x v="6"/>
      <x v="34"/>
      <x v="63"/>
      <x v="1"/>
      <x v="7"/>
      <x v="1193"/>
      <x v="716"/>
    </i>
    <i>
      <x v="1083"/>
      <x v="6"/>
      <x v="34"/>
      <x v="63"/>
      <x v="1"/>
      <x v="4"/>
      <x v="1194"/>
      <x v="717"/>
    </i>
    <i>
      <x v="1084"/>
      <x v="6"/>
      <x v="34"/>
      <x v="63"/>
      <x v="1"/>
      <x v="9"/>
      <x v="1195"/>
      <x v="718"/>
    </i>
    <i>
      <x v="1085"/>
      <x v="6"/>
      <x v="34"/>
      <x v="63"/>
      <x v="1"/>
      <x v="16"/>
      <x v="1196"/>
      <x v="719"/>
    </i>
    <i>
      <x v="1086"/>
      <x v="6"/>
      <x v="34"/>
      <x v="63"/>
      <x v="1"/>
      <x v="8"/>
      <x v="1197"/>
      <x v="720"/>
    </i>
    <i>
      <x v="1087"/>
      <x v="6"/>
      <x v="34"/>
      <x v="63"/>
      <x v="1"/>
      <x v="2"/>
      <x v="1198"/>
      <x v="721"/>
    </i>
    <i>
      <x v="1088"/>
      <x v="6"/>
      <x v="34"/>
      <x v="63"/>
      <x v="1"/>
      <x v="11"/>
      <x v="1199"/>
      <x v="722"/>
    </i>
    <i>
      <x v="1089"/>
      <x v="6"/>
      <x v="34"/>
      <x v="63"/>
      <x/>
      <x/>
      <x v="1200"/>
      <x v="723"/>
    </i>
    <i>
      <x v="1090"/>
      <x v="6"/>
      <x v="34"/>
      <x v="63"/>
      <x v="1"/>
      <x v="13"/>
      <x v="1201"/>
      <x v="724"/>
    </i>
    <i>
      <x v="1091"/>
      <x v="6"/>
      <x v="34"/>
      <x v="63"/>
      <x v="1"/>
      <x v="1"/>
      <x v="1202"/>
      <x v="725"/>
    </i>
    <i>
      <x v="1092"/>
      <x v="6"/>
      <x v="34"/>
      <x v="63"/>
      <x v="1"/>
      <x v="3"/>
      <x v="1203"/>
      <x v="726"/>
    </i>
    <i>
      <x v="1093"/>
      <x v="6"/>
      <x v="34"/>
      <x v="63"/>
      <x v="1"/>
      <x v="5"/>
      <x v="1204"/>
      <x v="727"/>
    </i>
    <i>
      <x v="1094"/>
      <x v="6"/>
      <x v="34"/>
      <x v="63"/>
      <x v="1"/>
      <x v="14"/>
      <x v="1205"/>
      <x v="728"/>
    </i>
    <i>
      <x v="1095"/>
      <x v="6"/>
      <x v="34"/>
      <x v="63"/>
      <x v="1"/>
      <x v="12"/>
      <x v="1206"/>
      <x v="729"/>
    </i>
    <i>
      <x v="1096"/>
      <x v="6"/>
      <x v="34"/>
      <x v="63"/>
      <x v="1"/>
      <x v="10"/>
      <x v="1207"/>
      <x v="730"/>
    </i>
    <i>
      <x v="1097"/>
      <x v="6"/>
      <x v="34"/>
      <x v="63"/>
      <x v="1"/>
      <x v="15"/>
      <x v="1208"/>
      <x v="731"/>
    </i>
    <i>
      <x v="1098"/>
      <x v="6"/>
      <x v="34"/>
      <x v="63"/>
      <x v="1"/>
      <x v="6"/>
      <x v="1209"/>
      <x v="732"/>
    </i>
    <i>
      <x v="1099"/>
      <x v="6"/>
      <x v="34"/>
      <x v="63"/>
      <x v="1"/>
      <x v="7"/>
      <x v="1210"/>
      <x v="733"/>
    </i>
    <i>
      <x v="1100"/>
      <x v="6"/>
      <x v="34"/>
      <x v="63"/>
      <x v="1"/>
      <x v="4"/>
      <x v="1211"/>
      <x v="734"/>
    </i>
    <i>
      <x v="1101"/>
      <x v="6"/>
      <x v="34"/>
      <x v="63"/>
      <x v="1"/>
      <x v="9"/>
      <x v="1212"/>
      <x v="735"/>
    </i>
    <i>
      <x v="1102"/>
      <x v="6"/>
      <x v="34"/>
      <x v="63"/>
      <x v="1"/>
      <x v="16"/>
      <x v="1213"/>
      <x v="736"/>
    </i>
    <i>
      <x v="1103"/>
      <x v="6"/>
      <x v="34"/>
      <x v="63"/>
      <x v="1"/>
      <x v="8"/>
      <x v="1214"/>
      <x v="737"/>
    </i>
    <i>
      <x v="1104"/>
      <x v="6"/>
      <x v="34"/>
      <x v="63"/>
      <x v="1"/>
      <x v="2"/>
      <x v="1215"/>
      <x v="738"/>
    </i>
    <i>
      <x v="1105"/>
      <x v="6"/>
      <x v="34"/>
      <x v="63"/>
      <x v="1"/>
      <x v="11"/>
      <x v="1216"/>
      <x v="739"/>
    </i>
    <i>
      <x v="1106"/>
      <x v="5"/>
      <x v="115"/>
      <x v="72"/>
      <x/>
      <x/>
      <x v="1235"/>
      <x v="741"/>
    </i>
    <i>
      <x v="1107"/>
      <x v="8"/>
      <x v="35"/>
      <x v="64"/>
      <x v="1"/>
      <x v="13"/>
      <x v="1218"/>
      <x v="724"/>
    </i>
    <i>
      <x v="1108"/>
      <x v="8"/>
      <x v="35"/>
      <x v="64"/>
      <x v="1"/>
      <x v="1"/>
      <x v="1219"/>
      <x v="725"/>
    </i>
    <i>
      <x v="1109"/>
      <x v="8"/>
      <x v="35"/>
      <x v="64"/>
      <x v="1"/>
      <x v="3"/>
      <x v="1220"/>
      <x v="726"/>
    </i>
    <i>
      <x v="1110"/>
      <x v="8"/>
      <x v="35"/>
      <x v="64"/>
      <x v="1"/>
      <x v="5"/>
      <x v="1221"/>
      <x v="727"/>
    </i>
    <i>
      <x v="1111"/>
      <x v="8"/>
      <x v="35"/>
      <x v="64"/>
      <x v="1"/>
      <x v="14"/>
      <x v="1222"/>
      <x v="728"/>
    </i>
    <i>
      <x v="1112"/>
      <x v="8"/>
      <x v="35"/>
      <x v="64"/>
      <x v="1"/>
      <x v="12"/>
      <x v="1223"/>
      <x v="729"/>
    </i>
    <i>
      <x v="1113"/>
      <x v="8"/>
      <x v="35"/>
      <x v="64"/>
      <x v="1"/>
      <x v="10"/>
      <x v="1224"/>
      <x v="730"/>
    </i>
    <i>
      <x v="1114"/>
      <x v="8"/>
      <x v="35"/>
      <x v="64"/>
      <x v="1"/>
      <x v="15"/>
      <x v="1225"/>
      <x v="731"/>
    </i>
    <i>
      <x v="1115"/>
      <x v="8"/>
      <x v="35"/>
      <x v="64"/>
      <x v="1"/>
      <x v="6"/>
      <x v="1226"/>
      <x v="732"/>
    </i>
    <i>
      <x v="1116"/>
      <x v="8"/>
      <x v="35"/>
      <x v="64"/>
      <x v="1"/>
      <x v="7"/>
      <x v="1227"/>
      <x v="733"/>
    </i>
    <i>
      <x v="1117"/>
      <x v="8"/>
      <x v="35"/>
      <x v="64"/>
      <x v="1"/>
      <x v="4"/>
      <x v="1228"/>
      <x v="734"/>
    </i>
    <i>
      <x v="1118"/>
      <x v="8"/>
      <x v="35"/>
      <x v="64"/>
      <x v="1"/>
      <x v="9"/>
      <x v="1229"/>
      <x v="735"/>
    </i>
    <i>
      <x v="1119"/>
      <x v="8"/>
      <x v="35"/>
      <x v="64"/>
      <x v="1"/>
      <x v="16"/>
      <x v="1230"/>
      <x v="736"/>
    </i>
    <i>
      <x v="1120"/>
      <x v="8"/>
      <x v="35"/>
      <x v="64"/>
      <x v="1"/>
      <x v="8"/>
      <x v="1231"/>
      <x v="737"/>
    </i>
    <i>
      <x v="1121"/>
      <x v="8"/>
      <x v="35"/>
      <x v="64"/>
      <x v="1"/>
      <x v="2"/>
      <x v="1232"/>
      <x v="738"/>
    </i>
    <i>
      <x v="1122"/>
      <x v="8"/>
      <x v="35"/>
      <x v="64"/>
      <x v="1"/>
      <x v="11"/>
      <x v="1233"/>
      <x v="739"/>
    </i>
    <i>
      <x v="1123"/>
      <x v="5"/>
      <x v="115"/>
      <x v="72"/>
      <x v="1"/>
      <x v="13"/>
      <x v="1236"/>
      <x v="742"/>
    </i>
    <i>
      <x v="1124"/>
      <x v="5"/>
      <x v="115"/>
      <x v="72"/>
      <x v="1"/>
      <x v="1"/>
      <x v="1237"/>
      <x v="743"/>
    </i>
    <i>
      <x v="1125"/>
      <x v="5"/>
      <x v="115"/>
      <x v="72"/>
      <x v="1"/>
      <x v="3"/>
      <x v="1238"/>
      <x v="744"/>
    </i>
    <i>
      <x v="1126"/>
      <x v="5"/>
      <x v="115"/>
      <x v="72"/>
      <x v="1"/>
      <x v="5"/>
      <x v="1239"/>
      <x v="745"/>
    </i>
    <i>
      <x v="1127"/>
      <x v="5"/>
      <x v="115"/>
      <x v="72"/>
      <x v="1"/>
      <x v="14"/>
      <x v="1240"/>
      <x v="746"/>
    </i>
    <i>
      <x v="1128"/>
      <x v="5"/>
      <x v="115"/>
      <x v="72"/>
      <x v="1"/>
      <x v="12"/>
      <x v="1241"/>
      <x v="747"/>
    </i>
    <i>
      <x v="1129"/>
      <x v="5"/>
      <x v="115"/>
      <x v="72"/>
      <x v="1"/>
      <x v="10"/>
      <x v="1242"/>
      <x v="748"/>
    </i>
    <i>
      <x v="1130"/>
      <x v="5"/>
      <x v="115"/>
      <x v="72"/>
      <x v="1"/>
      <x v="15"/>
      <x v="1243"/>
      <x v="749"/>
    </i>
    <i>
      <x v="1131"/>
      <x v="5"/>
      <x v="115"/>
      <x v="72"/>
      <x v="1"/>
      <x v="6"/>
      <x v="1244"/>
      <x v="750"/>
    </i>
    <i>
      <x v="1132"/>
      <x v="5"/>
      <x v="115"/>
      <x v="72"/>
      <x v="1"/>
      <x v="7"/>
      <x v="1245"/>
      <x v="751"/>
    </i>
    <i>
      <x v="1133"/>
      <x v="5"/>
      <x v="115"/>
      <x v="72"/>
      <x v="1"/>
      <x v="4"/>
      <x v="1246"/>
      <x v="752"/>
    </i>
    <i>
      <x v="1134"/>
      <x v="5"/>
      <x v="115"/>
      <x v="72"/>
      <x v="1"/>
      <x v="9"/>
      <x v="1247"/>
      <x v="753"/>
    </i>
    <i>
      <x v="1135"/>
      <x v="5"/>
      <x v="115"/>
      <x v="72"/>
      <x v="1"/>
      <x v="16"/>
      <x v="1248"/>
      <x v="754"/>
    </i>
    <i>
      <x v="1136"/>
      <x v="5"/>
      <x v="115"/>
      <x v="72"/>
      <x v="1"/>
      <x v="8"/>
      <x v="1249"/>
      <x v="755"/>
    </i>
    <i>
      <x v="1137"/>
      <x v="5"/>
      <x v="115"/>
      <x v="72"/>
      <x v="1"/>
      <x v="2"/>
      <x v="1250"/>
      <x v="756"/>
    </i>
    <i>
      <x v="1138"/>
      <x v="5"/>
      <x v="115"/>
      <x v="72"/>
      <x v="1"/>
      <x v="11"/>
      <x v="1251"/>
      <x v="757"/>
    </i>
    <i>
      <x v="1139"/>
      <x v="8"/>
      <x v="102"/>
      <x v="68"/>
      <x/>
      <x/>
      <x v="1579"/>
      <x v="758"/>
    </i>
    <i>
      <x v="1140"/>
      <x v="8"/>
      <x v="102"/>
      <x v="68"/>
      <x v="1"/>
      <x v="13"/>
      <x v="1254"/>
      <x v="760"/>
    </i>
    <i>
      <x v="1141"/>
      <x v="8"/>
      <x v="102"/>
      <x v="68"/>
      <x v="1"/>
      <x v="1"/>
      <x v="1255"/>
      <x v="761"/>
    </i>
    <i>
      <x v="1142"/>
      <x v="8"/>
      <x v="102"/>
      <x v="68"/>
      <x v="1"/>
      <x v="3"/>
      <x v="1256"/>
      <x v="762"/>
    </i>
    <i>
      <x v="1143"/>
      <x v="8"/>
      <x v="102"/>
      <x v="68"/>
      <x v="1"/>
      <x v="5"/>
      <x v="1257"/>
      <x v="763"/>
    </i>
    <i>
      <x v="1144"/>
      <x v="8"/>
      <x v="102"/>
      <x v="68"/>
      <x v="1"/>
      <x v="14"/>
      <x v="1258"/>
      <x v="764"/>
    </i>
    <i>
      <x v="1145"/>
      <x v="8"/>
      <x v="102"/>
      <x v="68"/>
      <x v="1"/>
      <x v="12"/>
      <x v="1259"/>
      <x v="765"/>
    </i>
    <i>
      <x v="1146"/>
      <x v="8"/>
      <x v="102"/>
      <x v="68"/>
      <x v="1"/>
      <x v="10"/>
      <x v="1260"/>
      <x v="766"/>
    </i>
    <i>
      <x v="1147"/>
      <x v="8"/>
      <x v="102"/>
      <x v="68"/>
      <x v="1"/>
      <x v="15"/>
      <x v="1261"/>
      <x v="767"/>
    </i>
    <i>
      <x v="1148"/>
      <x v="8"/>
      <x v="102"/>
      <x v="68"/>
      <x v="1"/>
      <x v="6"/>
      <x v="1262"/>
      <x v="768"/>
    </i>
    <i>
      <x v="1149"/>
      <x v="8"/>
      <x v="102"/>
      <x v="68"/>
      <x v="1"/>
      <x v="7"/>
      <x v="1263"/>
      <x v="769"/>
    </i>
    <i>
      <x v="1150"/>
      <x v="8"/>
      <x v="102"/>
      <x v="68"/>
      <x v="1"/>
      <x v="4"/>
      <x v="1264"/>
      <x v="770"/>
    </i>
    <i>
      <x v="1151"/>
      <x v="8"/>
      <x v="102"/>
      <x v="68"/>
      <x v="1"/>
      <x v="9"/>
      <x v="1265"/>
      <x v="771"/>
    </i>
    <i>
      <x v="1152"/>
      <x v="8"/>
      <x v="102"/>
      <x v="68"/>
      <x v="1"/>
      <x v="16"/>
      <x v="1266"/>
      <x v="772"/>
    </i>
    <i>
      <x v="1153"/>
      <x v="8"/>
      <x v="102"/>
      <x v="68"/>
      <x v="1"/>
      <x v="8"/>
      <x v="1267"/>
      <x v="773"/>
    </i>
    <i>
      <x v="1154"/>
      <x v="8"/>
      <x v="102"/>
      <x v="68"/>
      <x v="1"/>
      <x v="2"/>
      <x v="1268"/>
      <x v="774"/>
    </i>
    <i>
      <x v="1155"/>
      <x v="8"/>
      <x v="102"/>
      <x v="68"/>
      <x v="1"/>
      <x v="11"/>
      <x v="1580"/>
      <x v="1081"/>
    </i>
    <i>
      <x v="1156"/>
      <x v="8"/>
      <x v="102"/>
      <x v="68"/>
      <x/>
      <x/>
      <x v="1581"/>
      <x v="775"/>
    </i>
    <i>
      <x v="1157"/>
      <x v="8"/>
      <x v="102"/>
      <x v="68"/>
      <x v="1"/>
      <x v="13"/>
      <x v="1271"/>
      <x v="777"/>
    </i>
    <i>
      <x v="1158"/>
      <x v="8"/>
      <x v="102"/>
      <x v="68"/>
      <x v="1"/>
      <x v="1"/>
      <x v="1272"/>
      <x v="778"/>
    </i>
    <i>
      <x v="1159"/>
      <x v="8"/>
      <x v="102"/>
      <x v="68"/>
      <x v="1"/>
      <x v="3"/>
      <x v="1273"/>
      <x v="779"/>
    </i>
    <i>
      <x v="1160"/>
      <x v="8"/>
      <x v="102"/>
      <x v="68"/>
      <x v="1"/>
      <x v="5"/>
      <x v="1274"/>
      <x v="780"/>
    </i>
    <i>
      <x v="1161"/>
      <x v="8"/>
      <x v="102"/>
      <x v="68"/>
      <x v="1"/>
      <x v="14"/>
      <x v="1275"/>
      <x v="781"/>
    </i>
    <i>
      <x v="1162"/>
      <x v="8"/>
      <x v="102"/>
      <x v="68"/>
      <x v="1"/>
      <x v="12"/>
      <x v="1276"/>
      <x v="782"/>
    </i>
    <i>
      <x v="1163"/>
      <x v="8"/>
      <x v="102"/>
      <x v="68"/>
      <x v="1"/>
      <x v="10"/>
      <x v="1277"/>
      <x v="783"/>
    </i>
    <i>
      <x v="1164"/>
      <x v="8"/>
      <x v="102"/>
      <x v="68"/>
      <x v="1"/>
      <x v="15"/>
      <x v="1278"/>
      <x v="784"/>
    </i>
    <i>
      <x v="1165"/>
      <x v="8"/>
      <x v="102"/>
      <x v="68"/>
      <x v="1"/>
      <x v="6"/>
      <x v="1279"/>
      <x v="785"/>
    </i>
    <i>
      <x v="1166"/>
      <x v="8"/>
      <x v="102"/>
      <x v="68"/>
      <x v="1"/>
      <x v="7"/>
      <x v="1280"/>
      <x v="786"/>
    </i>
    <i>
      <x v="1167"/>
      <x v="8"/>
      <x v="102"/>
      <x v="68"/>
      <x v="1"/>
      <x v="4"/>
      <x v="1281"/>
      <x v="787"/>
    </i>
    <i>
      <x v="1168"/>
      <x v="8"/>
      <x v="102"/>
      <x v="68"/>
      <x v="1"/>
      <x v="9"/>
      <x v="1282"/>
      <x v="788"/>
    </i>
    <i>
      <x v="1169"/>
      <x v="8"/>
      <x v="102"/>
      <x v="68"/>
      <x v="1"/>
      <x v="16"/>
      <x v="1283"/>
      <x v="789"/>
    </i>
    <i>
      <x v="1170"/>
      <x v="8"/>
      <x v="102"/>
      <x v="68"/>
      <x v="1"/>
      <x v="8"/>
      <x v="1284"/>
      <x v="790"/>
    </i>
    <i>
      <x v="1171"/>
      <x v="8"/>
      <x v="102"/>
      <x v="68"/>
      <x v="1"/>
      <x v="2"/>
      <x v="1285"/>
      <x v="791"/>
    </i>
    <i>
      <x v="1172"/>
      <x v="8"/>
      <x v="102"/>
      <x v="68"/>
      <x v="1"/>
      <x v="11"/>
      <x v="1582"/>
      <x v="1082"/>
    </i>
    <i>
      <x v="1173"/>
      <x v="8"/>
      <x v="102"/>
      <x v="68"/>
      <x/>
      <x/>
      <x v="1583"/>
      <x v="792"/>
    </i>
    <i>
      <x v="1174"/>
      <x v="8"/>
      <x v="102"/>
      <x v="68"/>
      <x v="1"/>
      <x v="13"/>
      <x v="1584"/>
      <x v="794"/>
    </i>
    <i>
      <x v="1175"/>
      <x v="8"/>
      <x v="102"/>
      <x v="68"/>
      <x v="1"/>
      <x v="1"/>
      <x v="1585"/>
      <x v="795"/>
    </i>
    <i>
      <x v="1176"/>
      <x v="8"/>
      <x v="102"/>
      <x v="68"/>
      <x v="1"/>
      <x v="3"/>
      <x v="1586"/>
      <x v="796"/>
    </i>
    <i>
      <x v="1177"/>
      <x v="8"/>
      <x v="102"/>
      <x v="68"/>
      <x v="1"/>
      <x v="5"/>
      <x v="1587"/>
      <x v="797"/>
    </i>
    <i>
      <x v="1178"/>
      <x v="8"/>
      <x v="102"/>
      <x v="68"/>
      <x v="1"/>
      <x v="14"/>
      <x v="1588"/>
      <x v="798"/>
    </i>
    <i>
      <x v="1179"/>
      <x v="8"/>
      <x v="102"/>
      <x v="68"/>
      <x v="1"/>
      <x v="12"/>
      <x v="1589"/>
      <x v="799"/>
    </i>
    <i>
      <x v="1180"/>
      <x v="8"/>
      <x v="102"/>
      <x v="68"/>
      <x v="1"/>
      <x v="10"/>
      <x v="1590"/>
      <x v="800"/>
    </i>
    <i>
      <x v="1181"/>
      <x v="8"/>
      <x v="102"/>
      <x v="68"/>
      <x v="1"/>
      <x v="15"/>
      <x v="1591"/>
      <x v="801"/>
    </i>
    <i>
      <x v="1182"/>
      <x v="8"/>
      <x v="102"/>
      <x v="68"/>
      <x v="1"/>
      <x v="6"/>
      <x v="1592"/>
      <x v="802"/>
    </i>
    <i>
      <x v="1183"/>
      <x v="8"/>
      <x v="102"/>
      <x v="68"/>
      <x v="1"/>
      <x v="7"/>
      <x v="1593"/>
      <x v="803"/>
    </i>
    <i>
      <x v="1184"/>
      <x v="8"/>
      <x v="102"/>
      <x v="68"/>
      <x v="1"/>
      <x v="4"/>
      <x v="1594"/>
      <x v="804"/>
    </i>
    <i>
      <x v="1185"/>
      <x v="8"/>
      <x v="102"/>
      <x v="68"/>
      <x v="1"/>
      <x v="9"/>
      <x v="1595"/>
      <x v="805"/>
    </i>
    <i>
      <x v="1186"/>
      <x v="8"/>
      <x v="102"/>
      <x v="68"/>
      <x v="1"/>
      <x v="16"/>
      <x v="1596"/>
      <x v="806"/>
    </i>
    <i>
      <x v="1187"/>
      <x v="8"/>
      <x v="102"/>
      <x v="68"/>
      <x v="1"/>
      <x v="8"/>
      <x v="1597"/>
      <x v="807"/>
    </i>
    <i>
      <x v="1188"/>
      <x v="8"/>
      <x v="102"/>
      <x v="68"/>
      <x v="1"/>
      <x v="2"/>
      <x v="1598"/>
      <x v="808"/>
    </i>
    <i>
      <x v="1189"/>
      <x v="8"/>
      <x v="102"/>
      <x v="68"/>
      <x v="1"/>
      <x v="11"/>
      <x v="1599"/>
      <x v="1083"/>
    </i>
    <i>
      <x v="1190"/>
      <x v="6"/>
      <x v="93"/>
      <x v="47"/>
      <x/>
      <x/>
      <x v="1600"/>
      <x v="809"/>
    </i>
    <i>
      <x v="1191"/>
      <x v="6"/>
      <x v="93"/>
      <x v="47"/>
      <x v="1"/>
      <x v="13"/>
      <x v="1601"/>
      <x v="811"/>
    </i>
    <i>
      <x v="1192"/>
      <x v="6"/>
      <x v="93"/>
      <x v="47"/>
      <x v="1"/>
      <x v="1"/>
      <x v="1602"/>
      <x v="812"/>
    </i>
    <i>
      <x v="1193"/>
      <x v="6"/>
      <x v="93"/>
      <x v="47"/>
      <x v="1"/>
      <x v="3"/>
      <x v="1603"/>
      <x v="813"/>
    </i>
    <i>
      <x v="1194"/>
      <x v="6"/>
      <x v="93"/>
      <x v="47"/>
      <x v="1"/>
      <x v="5"/>
      <x v="1604"/>
      <x v="814"/>
    </i>
    <i>
      <x v="1195"/>
      <x v="6"/>
      <x v="93"/>
      <x v="47"/>
      <x v="1"/>
      <x v="14"/>
      <x v="1605"/>
      <x v="815"/>
    </i>
    <i>
      <x v="1196"/>
      <x v="6"/>
      <x v="93"/>
      <x v="47"/>
      <x v="1"/>
      <x v="12"/>
      <x v="1606"/>
      <x v="816"/>
    </i>
    <i>
      <x v="1197"/>
      <x v="6"/>
      <x v="93"/>
      <x v="47"/>
      <x v="1"/>
      <x v="10"/>
      <x v="1607"/>
      <x v="817"/>
    </i>
    <i>
      <x v="1198"/>
      <x v="6"/>
      <x v="93"/>
      <x v="47"/>
      <x v="1"/>
      <x v="15"/>
      <x v="1608"/>
      <x v="818"/>
    </i>
    <i>
      <x v="1199"/>
      <x v="6"/>
      <x v="93"/>
      <x v="47"/>
      <x v="1"/>
      <x v="6"/>
      <x v="1609"/>
      <x v="819"/>
    </i>
    <i>
      <x v="1200"/>
      <x v="6"/>
      <x v="93"/>
      <x v="47"/>
      <x v="1"/>
      <x v="7"/>
      <x v="1610"/>
      <x v="820"/>
    </i>
    <i>
      <x v="1201"/>
      <x v="6"/>
      <x v="93"/>
      <x v="47"/>
      <x v="1"/>
      <x v="4"/>
      <x v="1611"/>
      <x v="821"/>
    </i>
    <i>
      <x v="1202"/>
      <x v="6"/>
      <x v="93"/>
      <x v="47"/>
      <x v="1"/>
      <x v="9"/>
      <x v="1612"/>
      <x v="822"/>
    </i>
    <i>
      <x v="1203"/>
      <x v="6"/>
      <x v="93"/>
      <x v="47"/>
      <x v="1"/>
      <x v="16"/>
      <x v="1613"/>
      <x v="823"/>
    </i>
    <i>
      <x v="1204"/>
      <x v="6"/>
      <x v="93"/>
      <x v="47"/>
      <x v="1"/>
      <x v="8"/>
      <x v="1614"/>
      <x v="824"/>
    </i>
    <i>
      <x v="1205"/>
      <x v="6"/>
      <x v="93"/>
      <x v="47"/>
      <x v="1"/>
      <x v="2"/>
      <x v="1615"/>
      <x v="825"/>
    </i>
    <i>
      <x v="1206"/>
      <x v="6"/>
      <x v="93"/>
      <x v="47"/>
      <x v="1"/>
      <x v="11"/>
      <x v="1616"/>
      <x v="1084"/>
    </i>
    <i>
      <x v="1207"/>
      <x v="8"/>
      <x v="102"/>
      <x v="68"/>
      <x/>
      <x/>
      <x v="1617"/>
      <x v="826"/>
    </i>
    <i>
      <x v="1208"/>
      <x v="8"/>
      <x v="102"/>
      <x v="68"/>
      <x v="1"/>
      <x v="13"/>
      <x v="1618"/>
      <x v="828"/>
    </i>
    <i>
      <x v="1209"/>
      <x v="8"/>
      <x v="102"/>
      <x v="68"/>
      <x v="1"/>
      <x v="1"/>
      <x v="1619"/>
      <x v="829"/>
    </i>
    <i>
      <x v="1210"/>
      <x v="8"/>
      <x v="102"/>
      <x v="68"/>
      <x v="1"/>
      <x v="3"/>
      <x v="1620"/>
      <x v="830"/>
    </i>
    <i>
      <x v="1211"/>
      <x v="8"/>
      <x v="102"/>
      <x v="68"/>
      <x v="1"/>
      <x v="5"/>
      <x v="1621"/>
      <x v="831"/>
    </i>
    <i>
      <x v="1212"/>
      <x v="8"/>
      <x v="102"/>
      <x v="68"/>
      <x v="1"/>
      <x v="14"/>
      <x v="1622"/>
      <x v="832"/>
    </i>
    <i>
      <x v="1213"/>
      <x v="8"/>
      <x v="102"/>
      <x v="68"/>
      <x v="1"/>
      <x v="12"/>
      <x v="1623"/>
      <x v="833"/>
    </i>
    <i>
      <x v="1214"/>
      <x v="8"/>
      <x v="102"/>
      <x v="68"/>
      <x v="1"/>
      <x v="10"/>
      <x v="1624"/>
      <x v="834"/>
    </i>
    <i>
      <x v="1215"/>
      <x v="8"/>
      <x v="102"/>
      <x v="68"/>
      <x v="1"/>
      <x v="15"/>
      <x v="1625"/>
      <x v="835"/>
    </i>
    <i>
      <x v="1216"/>
      <x v="8"/>
      <x v="102"/>
      <x v="68"/>
      <x v="1"/>
      <x v="6"/>
      <x v="1626"/>
      <x v="836"/>
    </i>
    <i>
      <x v="1217"/>
      <x v="8"/>
      <x v="102"/>
      <x v="68"/>
      <x v="1"/>
      <x v="7"/>
      <x v="1627"/>
      <x v="837"/>
    </i>
    <i>
      <x v="1218"/>
      <x v="8"/>
      <x v="102"/>
      <x v="68"/>
      <x v="1"/>
      <x v="4"/>
      <x v="1628"/>
      <x v="838"/>
    </i>
    <i>
      <x v="1219"/>
      <x v="8"/>
      <x v="102"/>
      <x v="68"/>
      <x v="1"/>
      <x v="9"/>
      <x v="1629"/>
      <x v="839"/>
    </i>
    <i>
      <x v="1220"/>
      <x v="8"/>
      <x v="102"/>
      <x v="68"/>
      <x v="1"/>
      <x v="16"/>
      <x v="1630"/>
      <x v="840"/>
    </i>
    <i>
      <x v="1221"/>
      <x v="8"/>
      <x v="102"/>
      <x v="68"/>
      <x v="1"/>
      <x v="8"/>
      <x v="1631"/>
      <x v="841"/>
    </i>
    <i>
      <x v="1222"/>
      <x v="8"/>
      <x v="102"/>
      <x v="68"/>
      <x v="1"/>
      <x v="2"/>
      <x v="1632"/>
      <x v="842"/>
    </i>
    <i>
      <x v="1223"/>
      <x v="8"/>
      <x v="102"/>
      <x v="68"/>
      <x v="1"/>
      <x v="11"/>
      <x v="1633"/>
      <x v="1085"/>
    </i>
    <i>
      <x v="1224"/>
      <x v="13"/>
      <x v="103"/>
      <x v="75"/>
      <x/>
      <x/>
      <x v="1634"/>
      <x v="843"/>
    </i>
    <i>
      <x v="1225"/>
      <x v="13"/>
      <x v="103"/>
      <x v="75"/>
      <x v="1"/>
      <x v="13"/>
      <x v="1635"/>
      <x v="845"/>
    </i>
    <i>
      <x v="1226"/>
      <x v="13"/>
      <x v="103"/>
      <x v="75"/>
      <x v="1"/>
      <x v="1"/>
      <x v="1636"/>
      <x v="846"/>
    </i>
    <i>
      <x v="1227"/>
      <x v="13"/>
      <x v="103"/>
      <x v="75"/>
      <x v="1"/>
      <x v="3"/>
      <x v="1637"/>
      <x v="847"/>
    </i>
    <i>
      <x v="1228"/>
      <x v="13"/>
      <x v="103"/>
      <x v="75"/>
      <x v="1"/>
      <x v="5"/>
      <x v="1638"/>
      <x v="848"/>
    </i>
    <i>
      <x v="1229"/>
      <x v="13"/>
      <x v="103"/>
      <x v="75"/>
      <x v="1"/>
      <x v="14"/>
      <x v="1639"/>
      <x v="849"/>
    </i>
    <i>
      <x v="1230"/>
      <x v="13"/>
      <x v="103"/>
      <x v="75"/>
      <x v="1"/>
      <x v="12"/>
      <x v="1640"/>
      <x v="850"/>
    </i>
    <i>
      <x v="1231"/>
      <x v="13"/>
      <x v="103"/>
      <x v="75"/>
      <x v="1"/>
      <x v="10"/>
      <x v="1641"/>
      <x v="851"/>
    </i>
    <i>
      <x v="1232"/>
      <x v="13"/>
      <x v="103"/>
      <x v="75"/>
      <x v="1"/>
      <x v="15"/>
      <x v="1642"/>
      <x v="852"/>
    </i>
    <i>
      <x v="1233"/>
      <x v="13"/>
      <x v="103"/>
      <x v="75"/>
      <x v="1"/>
      <x v="6"/>
      <x v="1643"/>
      <x v="853"/>
    </i>
    <i>
      <x v="1234"/>
      <x v="13"/>
      <x v="103"/>
      <x v="75"/>
      <x v="1"/>
      <x v="7"/>
      <x v="1644"/>
      <x v="854"/>
    </i>
    <i>
      <x v="1235"/>
      <x v="13"/>
      <x v="103"/>
      <x v="75"/>
      <x v="1"/>
      <x v="4"/>
      <x v="1645"/>
      <x v="855"/>
    </i>
    <i>
      <x v="1236"/>
      <x v="13"/>
      <x v="103"/>
      <x v="75"/>
      <x v="1"/>
      <x v="9"/>
      <x v="1646"/>
      <x v="856"/>
    </i>
    <i>
      <x v="1237"/>
      <x v="13"/>
      <x v="103"/>
      <x v="75"/>
      <x v="1"/>
      <x v="16"/>
      <x v="1647"/>
      <x v="857"/>
    </i>
    <i>
      <x v="1238"/>
      <x v="13"/>
      <x v="103"/>
      <x v="75"/>
      <x v="1"/>
      <x v="8"/>
      <x v="1648"/>
      <x v="858"/>
    </i>
    <i>
      <x v="1239"/>
      <x v="13"/>
      <x v="103"/>
      <x v="75"/>
      <x v="1"/>
      <x v="2"/>
      <x v="1649"/>
      <x v="859"/>
    </i>
    <i>
      <x v="1240"/>
      <x v="13"/>
      <x v="103"/>
      <x v="75"/>
      <x v="1"/>
      <x v="11"/>
      <x v="1650"/>
      <x v="1086"/>
    </i>
    <i>
      <x v="1241"/>
      <x v="13"/>
      <x v="43"/>
      <x v="75"/>
      <x/>
      <x/>
      <x v="1651"/>
      <x v="860"/>
    </i>
    <i>
      <x v="1242"/>
      <x v="13"/>
      <x v="43"/>
      <x v="75"/>
      <x v="1"/>
      <x v="13"/>
      <x v="1652"/>
      <x v="862"/>
    </i>
    <i>
      <x v="1243"/>
      <x v="13"/>
      <x v="43"/>
      <x v="75"/>
      <x v="1"/>
      <x v="1"/>
      <x v="1653"/>
      <x v="863"/>
    </i>
    <i>
      <x v="1244"/>
      <x v="13"/>
      <x v="43"/>
      <x v="75"/>
      <x v="1"/>
      <x v="3"/>
      <x v="1654"/>
      <x v="864"/>
    </i>
    <i>
      <x v="1245"/>
      <x v="13"/>
      <x v="43"/>
      <x v="75"/>
      <x v="1"/>
      <x v="5"/>
      <x v="1655"/>
      <x v="865"/>
    </i>
    <i>
      <x v="1246"/>
      <x v="13"/>
      <x v="43"/>
      <x v="75"/>
      <x v="1"/>
      <x v="14"/>
      <x v="1656"/>
      <x v="866"/>
    </i>
    <i>
      <x v="1247"/>
      <x v="13"/>
      <x v="43"/>
      <x v="75"/>
      <x v="1"/>
      <x v="12"/>
      <x v="1657"/>
      <x v="867"/>
    </i>
    <i>
      <x v="1248"/>
      <x v="13"/>
      <x v="43"/>
      <x v="75"/>
      <x v="1"/>
      <x v="10"/>
      <x v="1658"/>
      <x v="868"/>
    </i>
    <i>
      <x v="1249"/>
      <x v="13"/>
      <x v="43"/>
      <x v="75"/>
      <x v="1"/>
      <x v="15"/>
      <x v="1659"/>
      <x v="869"/>
    </i>
    <i>
      <x v="1250"/>
      <x v="13"/>
      <x v="43"/>
      <x v="75"/>
      <x v="1"/>
      <x v="6"/>
      <x v="1660"/>
      <x v="870"/>
    </i>
    <i>
      <x v="1251"/>
      <x v="13"/>
      <x v="43"/>
      <x v="75"/>
      <x v="1"/>
      <x v="7"/>
      <x v="1661"/>
      <x v="871"/>
    </i>
    <i>
      <x v="1252"/>
      <x v="13"/>
      <x v="43"/>
      <x v="75"/>
      <x v="1"/>
      <x v="4"/>
      <x v="1662"/>
      <x v="872"/>
    </i>
    <i>
      <x v="1253"/>
      <x v="13"/>
      <x v="43"/>
      <x v="75"/>
      <x v="1"/>
      <x v="9"/>
      <x v="1663"/>
      <x v="873"/>
    </i>
    <i>
      <x v="1254"/>
      <x v="13"/>
      <x v="43"/>
      <x v="75"/>
      <x v="1"/>
      <x v="16"/>
      <x v="1664"/>
      <x v="874"/>
    </i>
    <i>
      <x v="1255"/>
      <x v="13"/>
      <x v="43"/>
      <x v="75"/>
      <x v="1"/>
      <x v="8"/>
      <x v="1665"/>
      <x v="875"/>
    </i>
    <i>
      <x v="1256"/>
      <x v="13"/>
      <x v="43"/>
      <x v="75"/>
      <x v="1"/>
      <x v="2"/>
      <x v="1666"/>
      <x v="876"/>
    </i>
    <i>
      <x v="1257"/>
      <x v="13"/>
      <x v="43"/>
      <x v="75"/>
      <x v="1"/>
      <x v="11"/>
      <x v="1667"/>
      <x v="1087"/>
    </i>
    <i>
      <x v="1258"/>
      <x v="13"/>
      <x v="104"/>
      <x v="75"/>
      <x/>
      <x/>
      <x v="1668"/>
      <x v="877"/>
    </i>
    <i>
      <x v="1259"/>
      <x v="13"/>
      <x v="104"/>
      <x v="75"/>
      <x v="1"/>
      <x v="13"/>
      <x v="1669"/>
      <x v="879"/>
    </i>
    <i>
      <x v="1260"/>
      <x v="13"/>
      <x v="104"/>
      <x v="75"/>
      <x v="1"/>
      <x v="1"/>
      <x v="1670"/>
      <x v="880"/>
    </i>
    <i>
      <x v="1261"/>
      <x v="13"/>
      <x v="104"/>
      <x v="75"/>
      <x v="1"/>
      <x v="3"/>
      <x v="1671"/>
      <x v="881"/>
    </i>
    <i>
      <x v="1262"/>
      <x v="13"/>
      <x v="104"/>
      <x v="75"/>
      <x v="1"/>
      <x v="5"/>
      <x v="1672"/>
      <x v="882"/>
    </i>
    <i>
      <x v="1263"/>
      <x v="13"/>
      <x v="104"/>
      <x v="75"/>
      <x v="1"/>
      <x v="14"/>
      <x v="1673"/>
      <x v="883"/>
    </i>
    <i>
      <x v="1264"/>
      <x v="13"/>
      <x v="104"/>
      <x v="75"/>
      <x v="1"/>
      <x v="12"/>
      <x v="1674"/>
      <x v="884"/>
    </i>
    <i>
      <x v="1265"/>
      <x v="13"/>
      <x v="104"/>
      <x v="75"/>
      <x v="1"/>
      <x v="10"/>
      <x v="1675"/>
      <x v="885"/>
    </i>
    <i>
      <x v="1266"/>
      <x v="13"/>
      <x v="104"/>
      <x v="75"/>
      <x v="1"/>
      <x v="15"/>
      <x v="1676"/>
      <x v="886"/>
    </i>
    <i>
      <x v="1267"/>
      <x v="13"/>
      <x v="104"/>
      <x v="75"/>
      <x v="1"/>
      <x v="6"/>
      <x v="1677"/>
      <x v="887"/>
    </i>
    <i>
      <x v="1268"/>
      <x v="13"/>
      <x v="104"/>
      <x v="75"/>
      <x v="1"/>
      <x v="7"/>
      <x v="1678"/>
      <x v="888"/>
    </i>
    <i>
      <x v="1269"/>
      <x v="13"/>
      <x v="104"/>
      <x v="75"/>
      <x v="1"/>
      <x v="4"/>
      <x v="1679"/>
      <x v="889"/>
    </i>
    <i>
      <x v="1270"/>
      <x v="13"/>
      <x v="104"/>
      <x v="75"/>
      <x v="1"/>
      <x v="9"/>
      <x v="1680"/>
      <x v="890"/>
    </i>
    <i>
      <x v="1271"/>
      <x v="13"/>
      <x v="104"/>
      <x v="75"/>
      <x v="1"/>
      <x v="16"/>
      <x v="1681"/>
      <x v="891"/>
    </i>
    <i>
      <x v="1272"/>
      <x v="13"/>
      <x v="104"/>
      <x v="75"/>
      <x v="1"/>
      <x v="8"/>
      <x v="1682"/>
      <x v="892"/>
    </i>
    <i>
      <x v="1273"/>
      <x v="13"/>
      <x v="104"/>
      <x v="75"/>
      <x v="1"/>
      <x v="2"/>
      <x v="1683"/>
      <x v="893"/>
    </i>
    <i>
      <x v="1274"/>
      <x v="13"/>
      <x v="104"/>
      <x v="75"/>
      <x v="1"/>
      <x v="11"/>
      <x v="1684"/>
      <x v="1088"/>
    </i>
    <i>
      <x v="1275"/>
      <x v="13"/>
      <x v="43"/>
      <x v="75"/>
      <x/>
      <x/>
      <x v="1685"/>
      <x v="894"/>
    </i>
    <i>
      <x v="1276"/>
      <x v="13"/>
      <x v="43"/>
      <x v="75"/>
      <x v="1"/>
      <x v="13"/>
      <x v="1686"/>
      <x v="896"/>
    </i>
    <i>
      <x v="1277"/>
      <x v="13"/>
      <x v="43"/>
      <x v="75"/>
      <x v="1"/>
      <x v="1"/>
      <x v="1687"/>
      <x v="897"/>
    </i>
    <i>
      <x v="1278"/>
      <x v="13"/>
      <x v="43"/>
      <x v="75"/>
      <x v="1"/>
      <x v="3"/>
      <x v="1688"/>
      <x v="898"/>
    </i>
    <i>
      <x v="1279"/>
      <x v="13"/>
      <x v="43"/>
      <x v="75"/>
      <x v="1"/>
      <x v="5"/>
      <x v="1689"/>
      <x v="899"/>
    </i>
    <i>
      <x v="1280"/>
      <x v="13"/>
      <x v="43"/>
      <x v="75"/>
      <x v="1"/>
      <x v="14"/>
      <x v="1690"/>
      <x v="900"/>
    </i>
    <i>
      <x v="1281"/>
      <x v="13"/>
      <x v="43"/>
      <x v="75"/>
      <x v="1"/>
      <x v="12"/>
      <x v="1691"/>
      <x v="901"/>
    </i>
    <i>
      <x v="1282"/>
      <x v="13"/>
      <x v="43"/>
      <x v="75"/>
      <x v="1"/>
      <x v="10"/>
      <x v="1692"/>
      <x v="902"/>
    </i>
    <i>
      <x v="1283"/>
      <x v="13"/>
      <x v="43"/>
      <x v="75"/>
      <x v="1"/>
      <x v="15"/>
      <x v="1693"/>
      <x v="903"/>
    </i>
    <i>
      <x v="1284"/>
      <x v="13"/>
      <x v="43"/>
      <x v="75"/>
      <x v="1"/>
      <x v="6"/>
      <x v="1694"/>
      <x v="904"/>
    </i>
    <i>
      <x v="1285"/>
      <x v="13"/>
      <x v="43"/>
      <x v="75"/>
      <x v="1"/>
      <x v="7"/>
      <x v="1695"/>
      <x v="905"/>
    </i>
    <i>
      <x v="1286"/>
      <x v="13"/>
      <x v="43"/>
      <x v="75"/>
      <x v="1"/>
      <x v="4"/>
      <x v="1696"/>
      <x v="906"/>
    </i>
    <i>
      <x v="1287"/>
      <x v="13"/>
      <x v="43"/>
      <x v="75"/>
      <x v="1"/>
      <x v="9"/>
      <x v="1697"/>
      <x v="907"/>
    </i>
    <i>
      <x v="1288"/>
      <x v="13"/>
      <x v="43"/>
      <x v="75"/>
      <x v="1"/>
      <x v="16"/>
      <x v="1698"/>
      <x v="908"/>
    </i>
    <i>
      <x v="1289"/>
      <x v="13"/>
      <x v="43"/>
      <x v="75"/>
      <x v="1"/>
      <x v="8"/>
      <x v="1699"/>
      <x v="909"/>
    </i>
    <i>
      <x v="1290"/>
      <x v="13"/>
      <x v="43"/>
      <x v="75"/>
      <x v="1"/>
      <x v="2"/>
      <x v="1700"/>
      <x v="910"/>
    </i>
    <i>
      <x v="1291"/>
      <x v="13"/>
      <x v="43"/>
      <x v="75"/>
      <x v="1"/>
      <x v="11"/>
      <x v="1701"/>
      <x v="1089"/>
    </i>
    <i>
      <x v="1292"/>
      <x v="13"/>
      <x v="104"/>
      <x v="75"/>
      <x/>
      <x/>
      <x v="1702"/>
      <x v="911"/>
    </i>
    <i>
      <x v="1293"/>
      <x v="13"/>
      <x v="104"/>
      <x v="75"/>
      <x v="1"/>
      <x v="13"/>
      <x v="1703"/>
      <x v="913"/>
    </i>
    <i>
      <x v="1294"/>
      <x v="13"/>
      <x v="104"/>
      <x v="75"/>
      <x v="1"/>
      <x v="1"/>
      <x v="1704"/>
      <x v="914"/>
    </i>
    <i>
      <x v="1295"/>
      <x v="13"/>
      <x v="104"/>
      <x v="75"/>
      <x v="1"/>
      <x v="3"/>
      <x v="1705"/>
      <x v="915"/>
    </i>
    <i>
      <x v="1296"/>
      <x v="13"/>
      <x v="104"/>
      <x v="75"/>
      <x v="1"/>
      <x v="5"/>
      <x v="1706"/>
      <x v="916"/>
    </i>
    <i>
      <x v="1297"/>
      <x v="13"/>
      <x v="104"/>
      <x v="75"/>
      <x v="1"/>
      <x v="14"/>
      <x v="1707"/>
      <x v="917"/>
    </i>
    <i>
      <x v="1298"/>
      <x v="13"/>
      <x v="104"/>
      <x v="75"/>
      <x v="1"/>
      <x v="12"/>
      <x v="1708"/>
      <x v="918"/>
    </i>
    <i>
      <x v="1299"/>
      <x v="13"/>
      <x v="104"/>
      <x v="75"/>
      <x v="1"/>
      <x v="10"/>
      <x v="1709"/>
      <x v="919"/>
    </i>
    <i>
      <x v="1300"/>
      <x v="13"/>
      <x v="104"/>
      <x v="75"/>
      <x v="1"/>
      <x v="15"/>
      <x v="1710"/>
      <x v="920"/>
    </i>
    <i>
      <x v="1301"/>
      <x v="13"/>
      <x v="104"/>
      <x v="75"/>
      <x v="1"/>
      <x v="6"/>
      <x v="1711"/>
      <x v="921"/>
    </i>
    <i>
      <x v="1302"/>
      <x v="13"/>
      <x v="104"/>
      <x v="75"/>
      <x v="1"/>
      <x v="7"/>
      <x v="1712"/>
      <x v="922"/>
    </i>
    <i>
      <x v="1303"/>
      <x v="13"/>
      <x v="104"/>
      <x v="75"/>
      <x v="1"/>
      <x v="4"/>
      <x v="1713"/>
      <x v="923"/>
    </i>
    <i>
      <x v="1304"/>
      <x v="13"/>
      <x v="104"/>
      <x v="75"/>
      <x v="1"/>
      <x v="9"/>
      <x v="1714"/>
      <x v="924"/>
    </i>
    <i>
      <x v="1305"/>
      <x v="13"/>
      <x v="104"/>
      <x v="75"/>
      <x v="1"/>
      <x v="16"/>
      <x v="1715"/>
      <x v="925"/>
    </i>
    <i>
      <x v="1306"/>
      <x v="13"/>
      <x v="104"/>
      <x v="75"/>
      <x v="1"/>
      <x v="8"/>
      <x v="1716"/>
      <x v="926"/>
    </i>
    <i>
      <x v="1307"/>
      <x v="13"/>
      <x v="104"/>
      <x v="75"/>
      <x v="1"/>
      <x v="2"/>
      <x v="1717"/>
      <x v="927"/>
    </i>
    <i>
      <x v="1308"/>
      <x v="13"/>
      <x v="104"/>
      <x v="75"/>
      <x v="1"/>
      <x v="11"/>
      <x v="1718"/>
      <x v="1090"/>
    </i>
    <i>
      <x v="1309"/>
      <x v="4"/>
      <x v="94"/>
      <x v="52"/>
      <x/>
      <x/>
      <x v="1719"/>
      <x v="928"/>
    </i>
    <i>
      <x v="1310"/>
      <x v="4"/>
      <x v="94"/>
      <x v="52"/>
      <x v="1"/>
      <x v="13"/>
      <x v="1424"/>
      <x v="930"/>
    </i>
    <i>
      <x v="1311"/>
      <x v="4"/>
      <x v="94"/>
      <x v="52"/>
      <x v="1"/>
      <x v="1"/>
      <x v="1425"/>
      <x v="931"/>
    </i>
    <i>
      <x v="1312"/>
      <x v="4"/>
      <x v="94"/>
      <x v="52"/>
      <x v="1"/>
      <x v="3"/>
      <x v="1426"/>
      <x v="932"/>
    </i>
    <i>
      <x v="1313"/>
      <x v="4"/>
      <x v="94"/>
      <x v="52"/>
      <x v="1"/>
      <x v="5"/>
      <x v="1427"/>
      <x v="933"/>
    </i>
    <i>
      <x v="1314"/>
      <x v="4"/>
      <x v="94"/>
      <x v="52"/>
      <x v="1"/>
      <x v="14"/>
      <x v="1428"/>
      <x v="934"/>
    </i>
    <i>
      <x v="1315"/>
      <x v="4"/>
      <x v="94"/>
      <x v="52"/>
      <x v="1"/>
      <x v="12"/>
      <x v="1429"/>
      <x v="935"/>
    </i>
    <i>
      <x v="1316"/>
      <x v="4"/>
      <x v="94"/>
      <x v="52"/>
      <x v="1"/>
      <x v="10"/>
      <x v="1430"/>
      <x v="936"/>
    </i>
    <i>
      <x v="1317"/>
      <x v="4"/>
      <x v="94"/>
      <x v="52"/>
      <x v="1"/>
      <x v="15"/>
      <x v="1431"/>
      <x v="937"/>
    </i>
    <i>
      <x v="1318"/>
      <x v="4"/>
      <x v="94"/>
      <x v="52"/>
      <x v="1"/>
      <x v="6"/>
      <x v="1432"/>
      <x v="938"/>
    </i>
    <i>
      <x v="1319"/>
      <x v="4"/>
      <x v="94"/>
      <x v="52"/>
      <x v="1"/>
      <x v="7"/>
      <x v="1433"/>
      <x v="939"/>
    </i>
    <i>
      <x v="1320"/>
      <x v="4"/>
      <x v="94"/>
      <x v="52"/>
      <x v="1"/>
      <x v="4"/>
      <x v="1434"/>
      <x v="940"/>
    </i>
    <i>
      <x v="1321"/>
      <x v="4"/>
      <x v="94"/>
      <x v="52"/>
      <x v="1"/>
      <x v="9"/>
      <x v="1435"/>
      <x v="941"/>
    </i>
    <i>
      <x v="1322"/>
      <x v="4"/>
      <x v="94"/>
      <x v="52"/>
      <x v="1"/>
      <x v="16"/>
      <x v="1436"/>
      <x v="942"/>
    </i>
    <i>
      <x v="1323"/>
      <x v="4"/>
      <x v="94"/>
      <x v="52"/>
      <x v="1"/>
      <x v="8"/>
      <x v="1720"/>
      <x v="1091"/>
    </i>
    <i>
      <x v="1324"/>
      <x v="4"/>
      <x v="94"/>
      <x v="52"/>
      <x v="1"/>
      <x v="2"/>
      <x v="1721"/>
      <x v="1092"/>
    </i>
    <i>
      <x v="1325"/>
      <x v="4"/>
      <x v="94"/>
      <x v="52"/>
      <x v="1"/>
      <x v="11"/>
      <x v="1722"/>
      <x v="1093"/>
    </i>
    <i>
      <x v="1326"/>
      <x v="4"/>
      <x v="116"/>
      <x v="52"/>
      <x/>
      <x/>
      <x v="1723"/>
      <x v="943"/>
    </i>
    <i>
      <x v="1327"/>
      <x v="4"/>
      <x v="117"/>
      <x v="52"/>
      <x/>
      <x/>
      <x v="1724"/>
      <x v="944"/>
    </i>
    <i>
      <x v="1328"/>
      <x v="4"/>
      <x v="107"/>
      <x v="52"/>
      <x/>
      <x/>
      <x v="1724"/>
      <x v="945"/>
    </i>
    <i>
      <x v="1329"/>
      <x v="4"/>
      <x v="107"/>
      <x v="52"/>
      <x v="1"/>
      <x v="13"/>
      <x v="1441"/>
      <x v="947"/>
    </i>
    <i>
      <x v="1330"/>
      <x v="4"/>
      <x v="107"/>
      <x v="52"/>
      <x v="1"/>
      <x v="1"/>
      <x v="1442"/>
      <x v="948"/>
    </i>
    <i>
      <x v="1331"/>
      <x v="4"/>
      <x v="107"/>
      <x v="52"/>
      <x v="1"/>
      <x v="3"/>
      <x v="1443"/>
      <x v="949"/>
    </i>
    <i>
      <x v="1332"/>
      <x v="4"/>
      <x v="107"/>
      <x v="52"/>
      <x v="1"/>
      <x v="5"/>
      <x v="1444"/>
      <x v="950"/>
    </i>
    <i>
      <x v="1333"/>
      <x v="4"/>
      <x v="107"/>
      <x v="52"/>
      <x v="1"/>
      <x v="14"/>
      <x v="1445"/>
      <x v="951"/>
    </i>
    <i>
      <x v="1334"/>
      <x v="4"/>
      <x v="107"/>
      <x v="52"/>
      <x v="1"/>
      <x v="12"/>
      <x v="1446"/>
      <x v="952"/>
    </i>
    <i>
      <x v="1335"/>
      <x v="4"/>
      <x v="107"/>
      <x v="52"/>
      <x v="1"/>
      <x v="10"/>
      <x v="1447"/>
      <x v="953"/>
    </i>
    <i>
      <x v="1336"/>
      <x v="4"/>
      <x v="107"/>
      <x v="52"/>
      <x v="1"/>
      <x v="15"/>
      <x v="1448"/>
      <x v="954"/>
    </i>
    <i>
      <x v="1337"/>
      <x v="4"/>
      <x v="107"/>
      <x v="52"/>
      <x v="1"/>
      <x v="6"/>
      <x v="1449"/>
      <x v="955"/>
    </i>
    <i>
      <x v="1338"/>
      <x v="4"/>
      <x v="107"/>
      <x v="52"/>
      <x v="1"/>
      <x v="7"/>
      <x v="1450"/>
      <x v="956"/>
    </i>
    <i>
      <x v="1339"/>
      <x v="4"/>
      <x v="107"/>
      <x v="52"/>
      <x v="1"/>
      <x v="4"/>
      <x v="1451"/>
      <x v="957"/>
    </i>
    <i>
      <x v="1340"/>
      <x v="4"/>
      <x v="107"/>
      <x v="52"/>
      <x v="1"/>
      <x v="9"/>
      <x v="1452"/>
      <x v="958"/>
    </i>
    <i>
      <x v="1341"/>
      <x v="4"/>
      <x v="107"/>
      <x v="52"/>
      <x v="1"/>
      <x v="16"/>
      <x v="1725"/>
      <x v="1094"/>
    </i>
    <i>
      <x v="1342"/>
      <x v="4"/>
      <x v="107"/>
      <x v="52"/>
      <x v="1"/>
      <x v="8"/>
      <x v="1726"/>
      <x v="1095"/>
    </i>
    <i>
      <x v="1343"/>
      <x v="4"/>
      <x v="107"/>
      <x v="52"/>
      <x v="1"/>
      <x v="2"/>
      <x v="1727"/>
      <x v="1096"/>
    </i>
    <i>
      <x v="1344"/>
      <x v="4"/>
      <x v="107"/>
      <x v="52"/>
      <x v="1"/>
      <x v="11"/>
      <x v="1728"/>
      <x v="1097"/>
    </i>
    <i>
      <x v="1345"/>
      <x v="4"/>
      <x v="94"/>
      <x v="52"/>
      <x/>
      <x/>
      <x v="1729"/>
      <x v="959"/>
    </i>
    <i>
      <x v="1346"/>
      <x v="8"/>
      <x v="108"/>
      <x v="68"/>
      <x/>
      <x/>
      <x v="1730"/>
      <x v="960"/>
    </i>
    <i>
      <x v="1347"/>
      <x v="8"/>
      <x v="108"/>
      <x v="68"/>
      <x/>
      <x/>
      <x v="1731"/>
      <x v="961"/>
    </i>
    <i>
      <x v="1348"/>
      <x v="8"/>
      <x v="108"/>
      <x v="68"/>
      <x/>
      <x/>
      <x v="1732"/>
      <x v="962"/>
    </i>
    <i>
      <x v="1349"/>
      <x v="8"/>
      <x v="108"/>
      <x v="68"/>
      <x v="1"/>
      <x v="13"/>
      <x v="1733"/>
      <x v="964"/>
    </i>
    <i>
      <x v="1350"/>
      <x v="8"/>
      <x v="108"/>
      <x v="68"/>
      <x v="1"/>
      <x v="1"/>
      <x v="1734"/>
      <x v="965"/>
    </i>
    <i>
      <x v="1351"/>
      <x v="8"/>
      <x v="108"/>
      <x v="68"/>
      <x v="1"/>
      <x v="3"/>
      <x v="1735"/>
      <x v="966"/>
    </i>
    <i>
      <x v="1352"/>
      <x v="8"/>
      <x v="108"/>
      <x v="68"/>
      <x v="1"/>
      <x v="5"/>
      <x v="1736"/>
      <x v="967"/>
    </i>
    <i>
      <x v="1353"/>
      <x v="8"/>
      <x v="108"/>
      <x v="68"/>
      <x v="1"/>
      <x v="14"/>
      <x v="1737"/>
      <x v="968"/>
    </i>
    <i>
      <x v="1354"/>
      <x v="8"/>
      <x v="108"/>
      <x v="68"/>
      <x v="1"/>
      <x v="12"/>
      <x v="1738"/>
      <x v="969"/>
    </i>
    <i>
      <x v="1355"/>
      <x v="8"/>
      <x v="108"/>
      <x v="68"/>
      <x v="1"/>
      <x v="10"/>
      <x v="1739"/>
      <x v="970"/>
    </i>
    <i>
      <x v="1356"/>
      <x v="8"/>
      <x v="108"/>
      <x v="68"/>
      <x v="1"/>
      <x v="15"/>
      <x v="1740"/>
      <x v="971"/>
    </i>
    <i>
      <x v="1357"/>
      <x v="8"/>
      <x v="108"/>
      <x v="68"/>
      <x v="1"/>
      <x v="6"/>
      <x v="1741"/>
      <x v="972"/>
    </i>
    <i>
      <x v="1358"/>
      <x v="8"/>
      <x v="108"/>
      <x v="68"/>
      <x v="1"/>
      <x v="7"/>
      <x v="1742"/>
      <x v="973"/>
    </i>
    <i>
      <x v="1359"/>
      <x v="8"/>
      <x v="108"/>
      <x v="68"/>
      <x v="1"/>
      <x v="4"/>
      <x v="1743"/>
      <x v="974"/>
    </i>
    <i>
      <x v="1360"/>
      <x v="8"/>
      <x v="108"/>
      <x v="68"/>
      <x v="1"/>
      <x v="9"/>
      <x v="1744"/>
      <x v="1098"/>
    </i>
    <i>
      <x v="1361"/>
      <x v="8"/>
      <x v="108"/>
      <x v="68"/>
      <x v="1"/>
      <x v="16"/>
      <x v="1745"/>
      <x v="1099"/>
    </i>
    <i>
      <x v="1362"/>
      <x v="8"/>
      <x v="108"/>
      <x v="68"/>
      <x v="1"/>
      <x v="8"/>
      <x v="1746"/>
      <x v="1100"/>
    </i>
    <i>
      <x v="1363"/>
      <x v="8"/>
      <x v="108"/>
      <x v="68"/>
      <x v="1"/>
      <x v="2"/>
      <x v="1747"/>
      <x v="1101"/>
    </i>
    <i>
      <x v="1364"/>
      <x v="8"/>
      <x v="108"/>
      <x v="68"/>
      <x v="1"/>
      <x v="11"/>
      <x v="1748"/>
      <x v="1102"/>
    </i>
    <i>
      <x v="1365"/>
      <x v="8"/>
      <x v="108"/>
      <x v="68"/>
      <x/>
      <x/>
      <x v="1749"/>
      <x v="975"/>
    </i>
    <i>
      <x v="1366"/>
      <x v="2"/>
      <x v="83"/>
      <x v="71"/>
      <x/>
      <x/>
      <x v="1750"/>
      <x v="976"/>
    </i>
    <i>
      <x v="1367"/>
      <x v="2"/>
      <x v="83"/>
      <x v="71"/>
      <x/>
      <x/>
      <x v="1751"/>
      <x v="977"/>
    </i>
    <i>
      <x v="1368"/>
      <x v="2"/>
      <x v="95"/>
      <x v="71"/>
      <x/>
      <x/>
      <x v="1752"/>
      <x v="978"/>
    </i>
    <i>
      <x v="1369"/>
      <x v="2"/>
      <x v="95"/>
      <x v="71"/>
      <x/>
      <x/>
      <x v="1475"/>
      <x v="979"/>
    </i>
    <i>
      <x v="1370"/>
      <x v="2"/>
      <x v="95"/>
      <x v="71"/>
      <x v="1"/>
      <x v="13"/>
      <x v="1476"/>
      <x v="980"/>
    </i>
    <i>
      <x v="1371"/>
      <x v="2"/>
      <x v="95"/>
      <x v="71"/>
      <x v="1"/>
      <x v="1"/>
      <x v="1477"/>
      <x v="981"/>
    </i>
    <i>
      <x v="1372"/>
      <x v="2"/>
      <x v="95"/>
      <x v="71"/>
      <x v="1"/>
      <x v="3"/>
      <x v="1478"/>
      <x v="982"/>
    </i>
    <i>
      <x v="1373"/>
      <x v="2"/>
      <x v="95"/>
      <x v="71"/>
      <x v="1"/>
      <x v="5"/>
      <x v="1479"/>
      <x v="983"/>
    </i>
    <i>
      <x v="1374"/>
      <x v="2"/>
      <x v="95"/>
      <x v="71"/>
      <x v="1"/>
      <x v="14"/>
      <x v="1480"/>
      <x v="984"/>
    </i>
    <i>
      <x v="1375"/>
      <x v="2"/>
      <x v="95"/>
      <x v="71"/>
      <x v="1"/>
      <x v="12"/>
      <x v="1481"/>
      <x v="985"/>
    </i>
    <i>
      <x v="1376"/>
      <x v="2"/>
      <x v="95"/>
      <x v="71"/>
      <x v="1"/>
      <x v="10"/>
      <x v="1482"/>
      <x v="986"/>
    </i>
    <i>
      <x v="1377"/>
      <x v="2"/>
      <x v="95"/>
      <x v="71"/>
      <x v="1"/>
      <x v="15"/>
      <x v="1483"/>
      <x v="987"/>
    </i>
    <i>
      <x v="1378"/>
      <x v="2"/>
      <x v="95"/>
      <x v="71"/>
      <x v="1"/>
      <x v="6"/>
      <x v="1484"/>
      <x v="988"/>
    </i>
    <i>
      <x v="1379"/>
      <x v="2"/>
      <x v="95"/>
      <x v="71"/>
      <x v="1"/>
      <x v="7"/>
      <x v="1485"/>
      <x v="989"/>
    </i>
    <i>
      <x v="1380"/>
      <x v="2"/>
      <x v="95"/>
      <x v="71"/>
      <x v="1"/>
      <x v="4"/>
      <x v="1486"/>
      <x v="990"/>
    </i>
    <i>
      <x v="1381"/>
      <x v="2"/>
      <x v="95"/>
      <x v="71"/>
      <x v="1"/>
      <x v="9"/>
      <x v="1487"/>
      <x v="991"/>
    </i>
    <i>
      <x v="1382"/>
      <x v="2"/>
      <x v="95"/>
      <x v="71"/>
      <x v="1"/>
      <x v="16"/>
      <x v="1488"/>
      <x v="992"/>
    </i>
    <i>
      <x v="1383"/>
      <x v="2"/>
      <x v="95"/>
      <x v="71"/>
      <x v="1"/>
      <x v="8"/>
      <x v="1489"/>
      <x v="993"/>
    </i>
    <i>
      <x v="1384"/>
      <x v="2"/>
      <x v="95"/>
      <x v="71"/>
      <x v="1"/>
      <x v="2"/>
      <x v="1490"/>
      <x v="994"/>
    </i>
    <i>
      <x v="1385"/>
      <x v="2"/>
      <x v="83"/>
      <x v="71"/>
      <x/>
      <x/>
      <x v="1491"/>
      <x v="995"/>
    </i>
    <i>
      <x v="1386"/>
      <x v="2"/>
      <x v="83"/>
      <x v="71"/>
      <x v="1"/>
      <x v="13"/>
      <x v="1493"/>
      <x v="997"/>
    </i>
    <i>
      <x v="1387"/>
      <x v="2"/>
      <x v="83"/>
      <x v="71"/>
      <x v="1"/>
      <x v="1"/>
      <x v="1494"/>
      <x v="998"/>
    </i>
    <i>
      <x v="1388"/>
      <x v="2"/>
      <x v="83"/>
      <x v="71"/>
      <x v="1"/>
      <x v="3"/>
      <x v="1495"/>
      <x v="999"/>
    </i>
    <i>
      <x v="1389"/>
      <x v="2"/>
      <x v="83"/>
      <x v="71"/>
      <x v="1"/>
      <x v="5"/>
      <x v="1496"/>
      <x v="1000"/>
    </i>
    <i>
      <x v="1390"/>
      <x v="2"/>
      <x v="83"/>
      <x v="71"/>
      <x v="1"/>
      <x v="14"/>
      <x v="1497"/>
      <x v="1001"/>
    </i>
    <i>
      <x v="1391"/>
      <x v="2"/>
      <x v="83"/>
      <x v="71"/>
      <x v="1"/>
      <x v="12"/>
      <x v="1498"/>
      <x v="1002"/>
    </i>
    <i>
      <x v="1392"/>
      <x v="2"/>
      <x v="83"/>
      <x v="71"/>
      <x v="1"/>
      <x v="10"/>
      <x v="1499"/>
      <x v="1003"/>
    </i>
    <i>
      <x v="1393"/>
      <x v="2"/>
      <x v="83"/>
      <x v="71"/>
      <x v="1"/>
      <x v="15"/>
      <x v="1500"/>
      <x v="1004"/>
    </i>
    <i>
      <x v="1394"/>
      <x v="2"/>
      <x v="83"/>
      <x v="71"/>
      <x v="1"/>
      <x v="6"/>
      <x v="1501"/>
      <x v="1005"/>
    </i>
    <i>
      <x v="1395"/>
      <x v="2"/>
      <x v="83"/>
      <x v="71"/>
      <x v="1"/>
      <x v="7"/>
      <x v="1502"/>
      <x v="1006"/>
    </i>
    <i>
      <x v="1396"/>
      <x v="2"/>
      <x v="83"/>
      <x v="71"/>
      <x v="1"/>
      <x v="4"/>
      <x v="1503"/>
      <x v="1007"/>
    </i>
    <i>
      <x v="1397"/>
      <x v="2"/>
      <x v="83"/>
      <x v="71"/>
      <x v="1"/>
      <x v="9"/>
      <x v="1504"/>
      <x v="1008"/>
    </i>
    <i>
      <x v="1398"/>
      <x v="2"/>
      <x v="83"/>
      <x v="71"/>
      <x v="1"/>
      <x v="16"/>
      <x v="1505"/>
      <x v="1009"/>
    </i>
    <i>
      <x v="1399"/>
      <x v="2"/>
      <x v="83"/>
      <x v="71"/>
      <x v="1"/>
      <x v="8"/>
      <x v="1506"/>
      <x v="1010"/>
    </i>
    <i>
      <x v="1400"/>
      <x v="2"/>
      <x v="83"/>
      <x v="71"/>
      <x v="1"/>
      <x v="2"/>
      <x v="1753"/>
      <x v="1103"/>
    </i>
    <i>
      <x v="1401"/>
      <x v="2"/>
      <x v="83"/>
      <x v="71"/>
      <x/>
      <x/>
      <x v="1754"/>
      <x v="1011"/>
    </i>
    <i>
      <x v="1402"/>
      <x v="2"/>
      <x v="109"/>
      <x v="71"/>
      <x/>
      <x/>
      <x v="1755"/>
      <x v="1012"/>
    </i>
    <i>
      <x v="1403"/>
      <x v="2"/>
      <x v="109"/>
      <x v="71"/>
      <x v="1"/>
      <x v="13"/>
      <x v="1756"/>
      <x v="1013"/>
    </i>
    <i>
      <x v="1404"/>
      <x v="2"/>
      <x v="109"/>
      <x v="71"/>
      <x v="1"/>
      <x v="1"/>
      <x v="1757"/>
      <x v="1014"/>
    </i>
    <i>
      <x v="1405"/>
      <x v="2"/>
      <x v="109"/>
      <x v="71"/>
      <x v="1"/>
      <x v="3"/>
      <x v="1758"/>
      <x v="1015"/>
    </i>
    <i>
      <x v="1406"/>
      <x v="2"/>
      <x v="109"/>
      <x v="71"/>
      <x v="1"/>
      <x v="5"/>
      <x v="1759"/>
      <x v="1016"/>
    </i>
    <i>
      <x v="1407"/>
      <x v="2"/>
      <x v="109"/>
      <x v="71"/>
      <x v="1"/>
      <x v="14"/>
      <x v="1760"/>
      <x v="1017"/>
    </i>
    <i>
      <x v="1408"/>
      <x v="2"/>
      <x v="109"/>
      <x v="71"/>
      <x v="1"/>
      <x v="12"/>
      <x v="1761"/>
      <x v="1018"/>
    </i>
    <i>
      <x v="1409"/>
      <x v="2"/>
      <x v="109"/>
      <x v="71"/>
      <x v="1"/>
      <x v="10"/>
      <x v="1762"/>
      <x v="1019"/>
    </i>
    <i>
      <x v="1410"/>
      <x v="2"/>
      <x v="109"/>
      <x v="71"/>
      <x v="1"/>
      <x v="15"/>
      <x v="1763"/>
      <x v="1020"/>
    </i>
    <i>
      <x v="1411"/>
      <x v="2"/>
      <x v="109"/>
      <x v="71"/>
      <x v="1"/>
      <x v="6"/>
      <x v="1764"/>
      <x v="1021"/>
    </i>
    <i>
      <x v="1412"/>
      <x v="2"/>
      <x v="109"/>
      <x v="71"/>
      <x v="1"/>
      <x v="7"/>
      <x v="1765"/>
      <x v="1022"/>
    </i>
    <i>
      <x v="1413"/>
      <x v="2"/>
      <x v="109"/>
      <x v="71"/>
      <x v="1"/>
      <x v="4"/>
      <x v="1766"/>
      <x v="1023"/>
    </i>
    <i>
      <x v="1414"/>
      <x v="2"/>
      <x v="109"/>
      <x v="71"/>
      <x v="1"/>
      <x v="9"/>
      <x v="1767"/>
      <x v="1024"/>
    </i>
    <i>
      <x v="1415"/>
      <x v="2"/>
      <x v="109"/>
      <x v="71"/>
      <x v="1"/>
      <x v="16"/>
      <x v="1768"/>
      <x v="1025"/>
    </i>
    <i>
      <x v="1416"/>
      <x v="2"/>
      <x v="109"/>
      <x v="71"/>
      <x v="1"/>
      <x v="8"/>
      <x v="1769"/>
      <x v="1026"/>
    </i>
    <i>
      <x v="1417"/>
      <x v="2"/>
      <x v="109"/>
      <x v="71"/>
      <x v="1"/>
      <x v="2"/>
      <x v="1770"/>
      <x v="1027"/>
    </i>
    <i>
      <x v="1418"/>
      <x v="5"/>
      <x v="110"/>
      <x v="72"/>
      <x/>
      <x/>
      <x v="1771"/>
      <x v="1028"/>
    </i>
    <i>
      <x v="1419"/>
      <x v="5"/>
      <x v="110"/>
      <x v="72"/>
      <x v="1"/>
      <x v="13"/>
      <x v="1526"/>
      <x v="1030"/>
    </i>
    <i>
      <x v="1420"/>
      <x v="5"/>
      <x v="110"/>
      <x v="72"/>
      <x v="1"/>
      <x v="1"/>
      <x v="1527"/>
      <x v="1031"/>
    </i>
    <i>
      <x v="1421"/>
      <x v="5"/>
      <x v="110"/>
      <x v="72"/>
      <x v="1"/>
      <x v="3"/>
      <x v="1528"/>
      <x v="1032"/>
    </i>
    <i>
      <x v="1422"/>
      <x v="5"/>
      <x v="110"/>
      <x v="72"/>
      <x v="1"/>
      <x v="5"/>
      <x v="1529"/>
      <x v="1033"/>
    </i>
    <i>
      <x v="1423"/>
      <x v="5"/>
      <x v="110"/>
      <x v="72"/>
      <x v="1"/>
      <x v="14"/>
      <x v="1530"/>
      <x v="1034"/>
    </i>
    <i>
      <x v="1424"/>
      <x v="5"/>
      <x v="110"/>
      <x v="72"/>
      <x v="1"/>
      <x v="12"/>
      <x v="1531"/>
      <x v="1035"/>
    </i>
    <i>
      <x v="1425"/>
      <x v="5"/>
      <x v="110"/>
      <x v="72"/>
      <x v="1"/>
      <x v="10"/>
      <x v="1532"/>
      <x v="1036"/>
    </i>
    <i>
      <x v="1426"/>
      <x v="5"/>
      <x v="110"/>
      <x v="72"/>
      <x v="1"/>
      <x v="15"/>
      <x v="1533"/>
      <x v="1037"/>
    </i>
    <i>
      <x v="1427"/>
      <x v="5"/>
      <x v="110"/>
      <x v="72"/>
      <x v="1"/>
      <x v="6"/>
      <x v="1534"/>
      <x v="1038"/>
    </i>
    <i>
      <x v="1428"/>
      <x v="5"/>
      <x v="110"/>
      <x v="72"/>
      <x v="1"/>
      <x v="7"/>
      <x v="1535"/>
      <x v="1039"/>
    </i>
    <i>
      <x v="1429"/>
      <x v="5"/>
      <x v="110"/>
      <x v="72"/>
      <x v="1"/>
      <x v="4"/>
      <x v="1536"/>
      <x v="1040"/>
    </i>
    <i>
      <x v="1430"/>
      <x v="5"/>
      <x v="110"/>
      <x v="72"/>
      <x v="1"/>
      <x v="9"/>
      <x v="1537"/>
      <x v="1041"/>
    </i>
    <i>
      <x v="1431"/>
      <x v="5"/>
      <x v="110"/>
      <x v="72"/>
      <x v="1"/>
      <x v="16"/>
      <x v="1538"/>
      <x v="1042"/>
    </i>
    <i>
      <x v="1432"/>
      <x v="5"/>
      <x v="110"/>
      <x v="72"/>
      <x v="1"/>
      <x v="8"/>
      <x v="1539"/>
      <x v="1043"/>
    </i>
    <i>
      <x v="1433"/>
      <x v="5"/>
      <x v="110"/>
      <x v="72"/>
      <x v="1"/>
      <x v="2"/>
      <x v="1540"/>
      <x v="1044"/>
    </i>
    <i>
      <x v="1434"/>
      <x v="5"/>
      <x v="110"/>
      <x v="72"/>
      <x v="1"/>
      <x v="11"/>
      <x v="1772"/>
      <x v="1104"/>
    </i>
    <i>
      <x v="1435"/>
      <x v="5"/>
      <x v="111"/>
      <x v="72"/>
      <x/>
      <x/>
      <x v="1773"/>
      <x v="1045"/>
    </i>
    <i>
      <x v="1436"/>
      <x v="5"/>
      <x v="111"/>
      <x v="72"/>
      <x v="1"/>
      <x v="13"/>
      <x v="1774"/>
      <x v="1047"/>
    </i>
    <i>
      <x v="1437"/>
      <x v="5"/>
      <x v="111"/>
      <x v="72"/>
      <x v="1"/>
      <x v="1"/>
      <x v="1775"/>
      <x v="1048"/>
    </i>
    <i>
      <x v="1438"/>
      <x v="5"/>
      <x v="111"/>
      <x v="72"/>
      <x v="1"/>
      <x v="3"/>
      <x v="1776"/>
      <x v="1049"/>
    </i>
    <i>
      <x v="1439"/>
      <x v="5"/>
      <x v="111"/>
      <x v="72"/>
      <x v="1"/>
      <x v="5"/>
      <x v="1777"/>
      <x v="1050"/>
    </i>
    <i>
      <x v="1440"/>
      <x v="5"/>
      <x v="111"/>
      <x v="72"/>
      <x v="1"/>
      <x v="14"/>
      <x v="1778"/>
      <x v="1051"/>
    </i>
    <i>
      <x v="1441"/>
      <x v="5"/>
      <x v="111"/>
      <x v="72"/>
      <x v="1"/>
      <x v="12"/>
      <x v="1779"/>
      <x v="1052"/>
    </i>
    <i>
      <x v="1442"/>
      <x v="5"/>
      <x v="111"/>
      <x v="72"/>
      <x v="1"/>
      <x v="10"/>
      <x v="1780"/>
      <x v="1053"/>
    </i>
    <i>
      <x v="1443"/>
      <x v="5"/>
      <x v="111"/>
      <x v="72"/>
      <x v="1"/>
      <x v="15"/>
      <x v="1781"/>
      <x v="1054"/>
    </i>
    <i>
      <x v="1444"/>
      <x v="5"/>
      <x v="111"/>
      <x v="72"/>
      <x v="1"/>
      <x v="6"/>
      <x v="1782"/>
      <x v="1055"/>
    </i>
    <i>
      <x v="1445"/>
      <x v="5"/>
      <x v="111"/>
      <x v="72"/>
      <x v="1"/>
      <x v="7"/>
      <x v="1783"/>
      <x v="1056"/>
    </i>
    <i>
      <x v="1446"/>
      <x v="5"/>
      <x v="111"/>
      <x v="72"/>
      <x v="1"/>
      <x v="4"/>
      <x v="1784"/>
      <x v="1057"/>
    </i>
    <i>
      <x v="1447"/>
      <x v="5"/>
      <x v="111"/>
      <x v="72"/>
      <x v="1"/>
      <x v="9"/>
      <x v="1785"/>
      <x v="1058"/>
    </i>
    <i>
      <x v="1448"/>
      <x v="5"/>
      <x v="111"/>
      <x v="72"/>
      <x v="1"/>
      <x v="16"/>
      <x v="1786"/>
      <x v="1059"/>
    </i>
    <i>
      <x v="1449"/>
      <x v="5"/>
      <x v="111"/>
      <x v="72"/>
      <x v="1"/>
      <x v="8"/>
      <x v="1787"/>
      <x v="1060"/>
    </i>
    <i>
      <x v="1450"/>
      <x v="5"/>
      <x v="111"/>
      <x v="72"/>
      <x v="1"/>
      <x v="2"/>
      <x v="1788"/>
      <x v="1061"/>
    </i>
    <i>
      <x v="1451"/>
      <x v="5"/>
      <x v="111"/>
      <x v="72"/>
      <x v="1"/>
      <x v="11"/>
      <x v="1789"/>
      <x v="1105"/>
    </i>
    <i>
      <x v="1452"/>
      <x v="5"/>
      <x v="118"/>
      <x v="72"/>
      <x/>
      <x/>
      <x v="1790"/>
      <x v="1062"/>
    </i>
    <i>
      <x v="1453"/>
      <x v="5"/>
      <x v="118"/>
      <x v="72"/>
      <x v="1"/>
      <x v="13"/>
      <x v="1791"/>
      <x v="1064"/>
    </i>
    <i>
      <x v="1454"/>
      <x v="5"/>
      <x v="118"/>
      <x v="72"/>
      <x v="1"/>
      <x v="1"/>
      <x v="1792"/>
      <x v="1065"/>
    </i>
    <i>
      <x v="1456"/>
      <x v="8"/>
      <x v="35"/>
      <x v="64"/>
      <x/>
      <x/>
      <x v="1217"/>
      <x v="740"/>
    </i>
    <i>
      <x v="1457"/>
      <x v="5"/>
      <x v="118"/>
      <x v="72"/>
      <x v="1"/>
      <x v="3"/>
      <x v="1793"/>
      <x v="1066"/>
    </i>
    <i>
      <x v="1458"/>
      <x v="5"/>
      <x v="118"/>
      <x v="72"/>
      <x v="1"/>
      <x v="5"/>
      <x v="1794"/>
      <x v="1067"/>
    </i>
    <i>
      <x v="1459"/>
      <x v="5"/>
      <x v="118"/>
      <x v="72"/>
      <x v="1"/>
      <x v="14"/>
      <x v="1795"/>
      <x v="1068"/>
    </i>
    <i>
      <x v="1460"/>
      <x v="5"/>
      <x v="118"/>
      <x v="72"/>
      <x v="1"/>
      <x v="12"/>
      <x v="1796"/>
      <x v="1069"/>
    </i>
    <i>
      <x v="1461"/>
      <x v="5"/>
      <x v="118"/>
      <x v="72"/>
      <x v="1"/>
      <x v="10"/>
      <x v="1797"/>
      <x v="1070"/>
    </i>
    <i>
      <x v="1462"/>
      <x v="5"/>
      <x v="118"/>
      <x v="72"/>
      <x v="1"/>
      <x v="15"/>
      <x v="1798"/>
      <x v="1071"/>
    </i>
    <i>
      <x v="1463"/>
      <x v="5"/>
      <x v="118"/>
      <x v="72"/>
      <x v="1"/>
      <x v="6"/>
      <x v="1799"/>
      <x v="1072"/>
    </i>
    <i>
      <x v="1464"/>
      <x v="5"/>
      <x v="118"/>
      <x v="72"/>
      <x v="1"/>
      <x v="7"/>
      <x v="1800"/>
      <x v="1073"/>
    </i>
    <i>
      <x v="1465"/>
      <x v="5"/>
      <x v="118"/>
      <x v="72"/>
      <x v="1"/>
      <x v="4"/>
      <x v="1801"/>
      <x v="1074"/>
    </i>
    <i>
      <x v="1466"/>
      <x v="5"/>
      <x v="118"/>
      <x v="72"/>
      <x v="1"/>
      <x v="9"/>
      <x v="1802"/>
      <x v="1075"/>
    </i>
    <i>
      <x v="1467"/>
      <x v="5"/>
      <x v="118"/>
      <x v="72"/>
      <x v="1"/>
      <x v="16"/>
      <x v="1803"/>
      <x v="1076"/>
    </i>
    <i>
      <x v="1468"/>
      <x v="5"/>
      <x v="118"/>
      <x v="72"/>
      <x v="1"/>
      <x v="8"/>
      <x v="1804"/>
      <x v="1106"/>
    </i>
    <i>
      <x v="1469"/>
      <x v="5"/>
      <x v="118"/>
      <x v="72"/>
      <x v="1"/>
      <x v="2"/>
      <x v="1805"/>
      <x v="1107"/>
    </i>
    <i>
      <x v="1470"/>
      <x v="5"/>
      <x v="118"/>
      <x v="72"/>
      <x v="1"/>
      <x v="11"/>
      <x v="1806"/>
      <x v="1108"/>
    </i>
    <i>
      <x v="1471"/>
      <x v="8"/>
      <x v="119"/>
      <x v="76"/>
      <x/>
      <x/>
      <x v="1807"/>
      <x v="1077"/>
    </i>
    <i>
      <x v="1472"/>
      <x v="8"/>
      <x v="119"/>
      <x v="76"/>
      <x/>
      <x/>
      <x v="1808"/>
      <x v="1078"/>
    </i>
    <i>
      <x v="1473"/>
      <x v="8"/>
      <x v="119"/>
      <x v="76"/>
      <x/>
      <x/>
      <x v="1809"/>
      <x v="1079"/>
    </i>
    <i>
      <x v="1474"/>
      <x v="8"/>
      <x v="119"/>
      <x v="76"/>
      <x v="1"/>
      <x v="13"/>
      <x v="1810"/>
      <x v="1109"/>
    </i>
    <i>
      <x v="1475"/>
      <x v="8"/>
      <x v="119"/>
      <x v="76"/>
      <x v="1"/>
      <x v="1"/>
      <x v="1811"/>
      <x v="1110"/>
    </i>
    <i>
      <x v="1476"/>
      <x v="8"/>
      <x v="119"/>
      <x v="76"/>
      <x v="1"/>
      <x v="3"/>
      <x v="1812"/>
      <x v="1111"/>
    </i>
    <i>
      <x v="1477"/>
      <x v="8"/>
      <x v="119"/>
      <x v="76"/>
      <x v="1"/>
      <x v="5"/>
      <x v="1813"/>
      <x v="1112"/>
    </i>
    <i>
      <x v="1478"/>
      <x v="8"/>
      <x v="119"/>
      <x v="76"/>
      <x v="1"/>
      <x v="14"/>
      <x v="1814"/>
      <x v="1113"/>
    </i>
    <i>
      <x v="1479"/>
      <x v="8"/>
      <x v="119"/>
      <x v="76"/>
      <x v="1"/>
      <x v="12"/>
      <x v="1815"/>
      <x v="1114"/>
    </i>
    <i>
      <x v="1480"/>
      <x v="8"/>
      <x v="119"/>
      <x v="76"/>
      <x v="1"/>
      <x v="10"/>
      <x v="1816"/>
      <x v="1115"/>
    </i>
    <i>
      <x v="1481"/>
      <x v="8"/>
      <x v="119"/>
      <x v="76"/>
      <x v="1"/>
      <x v="15"/>
      <x v="1817"/>
      <x v="1116"/>
    </i>
    <i>
      <x v="1482"/>
      <x v="8"/>
      <x v="119"/>
      <x v="76"/>
      <x v="1"/>
      <x v="6"/>
      <x v="1818"/>
      <x v="1117"/>
    </i>
    <i>
      <x v="1483"/>
      <x v="8"/>
      <x v="119"/>
      <x v="76"/>
      <x v="1"/>
      <x v="7"/>
      <x v="1819"/>
      <x v="1118"/>
    </i>
    <i>
      <x v="1484"/>
      <x v="8"/>
      <x v="119"/>
      <x v="76"/>
      <x v="1"/>
      <x v="4"/>
      <x v="1820"/>
      <x v="1119"/>
    </i>
    <i>
      <x v="1485"/>
      <x v="8"/>
      <x v="119"/>
      <x v="76"/>
      <x v="1"/>
      <x v="9"/>
      <x v="1821"/>
      <x v="1120"/>
    </i>
    <i>
      <x v="1486"/>
      <x v="8"/>
      <x v="119"/>
      <x v="76"/>
      <x v="1"/>
      <x v="16"/>
      <x v="1822"/>
      <x v="1121"/>
    </i>
    <i>
      <x v="1487"/>
      <x v="8"/>
      <x v="119"/>
      <x v="76"/>
      <x v="1"/>
      <x v="8"/>
      <x v="1823"/>
      <x v="1122"/>
    </i>
    <i>
      <x v="1488"/>
      <x v="8"/>
      <x v="119"/>
      <x v="76"/>
      <x v="1"/>
      <x v="2"/>
      <x v="1824"/>
      <x v="1123"/>
    </i>
    <i>
      <x v="1489"/>
      <x v="8"/>
      <x v="119"/>
      <x v="76"/>
      <x v="1"/>
      <x v="11"/>
      <x v="1825"/>
      <x v="1124"/>
    </i>
    <i>
      <x v="1490"/>
      <x v="15"/>
      <x v="120"/>
      <x v="77"/>
      <x/>
      <x/>
      <x v="2022"/>
      <x v="1125"/>
    </i>
    <i>
      <x v="1491"/>
      <x v="15"/>
      <x v="120"/>
      <x v="77"/>
      <x/>
      <x/>
      <x v="1827"/>
      <x v="1126"/>
    </i>
    <i>
      <x v="1492"/>
      <x v="15"/>
      <x v="120"/>
      <x v="77"/>
      <x v="1"/>
      <x v="13"/>
      <x v="1828"/>
      <x v="1127"/>
    </i>
    <i>
      <x v="1493"/>
      <x v="15"/>
      <x v="120"/>
      <x v="77"/>
      <x v="1"/>
      <x v="1"/>
      <x v="1829"/>
      <x v="1128"/>
    </i>
    <i>
      <x v="1494"/>
      <x v="15"/>
      <x v="120"/>
      <x v="77"/>
      <x v="1"/>
      <x v="3"/>
      <x v="1830"/>
      <x v="1129"/>
    </i>
    <i>
      <x v="1495"/>
      <x v="15"/>
      <x v="120"/>
      <x v="77"/>
      <x v="1"/>
      <x v="5"/>
      <x v="1831"/>
      <x v="1130"/>
    </i>
    <i>
      <x v="1496"/>
      <x v="15"/>
      <x v="120"/>
      <x v="77"/>
      <x v="1"/>
      <x v="14"/>
      <x v="1832"/>
      <x v="1131"/>
    </i>
    <i>
      <x v="1497"/>
      <x v="15"/>
      <x v="120"/>
      <x v="77"/>
      <x v="1"/>
      <x v="12"/>
      <x v="1833"/>
      <x v="1132"/>
    </i>
    <i>
      <x v="1498"/>
      <x v="15"/>
      <x v="120"/>
      <x v="77"/>
      <x v="1"/>
      <x v="10"/>
      <x v="1834"/>
      <x v="1133"/>
    </i>
    <i>
      <x v="1499"/>
      <x v="15"/>
      <x v="120"/>
      <x v="77"/>
      <x v="1"/>
      <x v="15"/>
      <x v="1835"/>
      <x v="1134"/>
    </i>
    <i>
      <x v="1500"/>
      <x v="15"/>
      <x v="120"/>
      <x v="77"/>
      <x v="1"/>
      <x v="6"/>
      <x v="1836"/>
      <x v="1135"/>
    </i>
    <i>
      <x v="1501"/>
      <x v="15"/>
      <x v="120"/>
      <x v="77"/>
      <x v="1"/>
      <x v="7"/>
      <x v="1837"/>
      <x v="1136"/>
    </i>
    <i>
      <x v="1502"/>
      <x v="15"/>
      <x v="120"/>
      <x v="77"/>
      <x v="1"/>
      <x v="4"/>
      <x v="1838"/>
      <x v="1137"/>
    </i>
    <i>
      <x v="1503"/>
      <x v="15"/>
      <x v="120"/>
      <x v="77"/>
      <x v="1"/>
      <x v="9"/>
      <x v="1839"/>
      <x v="1138"/>
    </i>
    <i>
      <x v="1504"/>
      <x v="15"/>
      <x v="120"/>
      <x v="77"/>
      <x v="1"/>
      <x v="16"/>
      <x v="2023"/>
      <x v="1139"/>
    </i>
    <i>
      <x v="1505"/>
      <x v="15"/>
      <x v="120"/>
      <x v="77"/>
      <x v="1"/>
      <x v="8"/>
      <x v="1841"/>
      <x v="1140"/>
    </i>
    <i>
      <x v="1506"/>
      <x v="15"/>
      <x v="120"/>
      <x v="77"/>
      <x v="1"/>
      <x v="2"/>
      <x v="1842"/>
      <x v="1141"/>
    </i>
    <i>
      <x v="1507"/>
      <x v="15"/>
      <x v="120"/>
      <x v="77"/>
      <x v="1"/>
      <x v="11"/>
      <x v="1843"/>
      <x v="1142"/>
    </i>
    <i>
      <x v="1508"/>
      <x v="15"/>
      <x v="121"/>
      <x v="78"/>
      <x/>
      <x/>
      <x v="2024"/>
      <x v="1143"/>
    </i>
    <i>
      <x v="1509"/>
      <x v="15"/>
      <x v="121"/>
      <x v="78"/>
      <x v="1"/>
      <x v="13"/>
      <x v="2025"/>
      <x v="1144"/>
    </i>
    <i>
      <x v="1510"/>
      <x v="15"/>
      <x v="121"/>
      <x v="78"/>
      <x v="1"/>
      <x v="1"/>
      <x v="2026"/>
      <x v="1145"/>
    </i>
    <i>
      <x v="1511"/>
      <x v="15"/>
      <x v="121"/>
      <x v="78"/>
      <x v="1"/>
      <x v="3"/>
      <x v="2027"/>
      <x v="1146"/>
    </i>
    <i>
      <x v="1512"/>
      <x v="15"/>
      <x v="121"/>
      <x v="78"/>
      <x v="1"/>
      <x v="5"/>
      <x v="2028"/>
      <x v="1147"/>
    </i>
    <i>
      <x v="1513"/>
      <x v="15"/>
      <x v="121"/>
      <x v="78"/>
      <x v="1"/>
      <x v="14"/>
      <x v="2029"/>
      <x v="1148"/>
    </i>
    <i>
      <x v="1514"/>
      <x v="15"/>
      <x v="121"/>
      <x v="78"/>
      <x v="1"/>
      <x v="12"/>
      <x v="2030"/>
      <x v="1149"/>
    </i>
    <i>
      <x v="1515"/>
      <x v="15"/>
      <x v="121"/>
      <x v="78"/>
      <x v="1"/>
      <x v="10"/>
      <x v="2031"/>
      <x v="1150"/>
    </i>
    <i>
      <x v="1516"/>
      <x v="15"/>
      <x v="121"/>
      <x v="78"/>
      <x v="1"/>
      <x v="15"/>
      <x v="2032"/>
      <x v="1151"/>
    </i>
    <i>
      <x v="1517"/>
      <x v="15"/>
      <x v="121"/>
      <x v="78"/>
      <x v="1"/>
      <x v="6"/>
      <x v="2033"/>
      <x v="1152"/>
    </i>
    <i>
      <x v="1518"/>
      <x v="15"/>
      <x v="121"/>
      <x v="78"/>
      <x v="1"/>
      <x v="7"/>
      <x v="2034"/>
      <x v="1153"/>
    </i>
    <i>
      <x v="1519"/>
      <x v="15"/>
      <x v="121"/>
      <x v="78"/>
      <x v="1"/>
      <x v="4"/>
      <x v="2035"/>
      <x v="1154"/>
    </i>
    <i>
      <x v="1520"/>
      <x v="15"/>
      <x v="121"/>
      <x v="78"/>
      <x v="1"/>
      <x v="9"/>
      <x v="2036"/>
      <x v="1155"/>
    </i>
    <i>
      <x v="1521"/>
      <x v="15"/>
      <x v="121"/>
      <x v="78"/>
      <x v="1"/>
      <x v="16"/>
      <x v="2037"/>
      <x v="1156"/>
    </i>
    <i>
      <x v="1522"/>
      <x v="15"/>
      <x v="121"/>
      <x v="78"/>
      <x v="1"/>
      <x v="8"/>
      <x v="2038"/>
      <x v="1157"/>
    </i>
    <i>
      <x v="1523"/>
      <x v="15"/>
      <x v="121"/>
      <x v="78"/>
      <x v="1"/>
      <x v="2"/>
      <x v="2039"/>
      <x v="1158"/>
    </i>
    <i>
      <x v="1524"/>
      <x v="15"/>
      <x v="121"/>
      <x v="78"/>
      <x v="1"/>
      <x v="11"/>
      <x v="2040"/>
      <x v="1159"/>
    </i>
    <i>
      <x v="1525"/>
      <x v="15"/>
      <x v="121"/>
      <x v="78"/>
      <x/>
      <x/>
      <x v="1861"/>
      <x v="1160"/>
    </i>
    <i>
      <x v="1526"/>
      <x v="15"/>
      <x v="121"/>
      <x v="78"/>
      <x v="1"/>
      <x v="13"/>
      <x v="1862"/>
      <x v="1161"/>
    </i>
    <i>
      <x v="1527"/>
      <x v="15"/>
      <x v="121"/>
      <x v="78"/>
      <x v="1"/>
      <x v="1"/>
      <x v="1863"/>
      <x v="1162"/>
    </i>
    <i>
      <x v="1528"/>
      <x v="15"/>
      <x v="121"/>
      <x v="78"/>
      <x v="1"/>
      <x v="3"/>
      <x v="1864"/>
      <x v="1163"/>
    </i>
    <i>
      <x v="1529"/>
      <x v="15"/>
      <x v="121"/>
      <x v="78"/>
      <x v="1"/>
      <x v="5"/>
      <x v="1865"/>
      <x v="1164"/>
    </i>
    <i>
      <x v="1530"/>
      <x v="15"/>
      <x v="121"/>
      <x v="78"/>
      <x v="1"/>
      <x v="14"/>
      <x v="1866"/>
      <x v="1165"/>
    </i>
    <i>
      <x v="1531"/>
      <x v="15"/>
      <x v="121"/>
      <x v="78"/>
      <x v="1"/>
      <x v="12"/>
      <x v="1867"/>
      <x v="1166"/>
    </i>
    <i>
      <x v="1532"/>
      <x v="15"/>
      <x v="121"/>
      <x v="78"/>
      <x v="1"/>
      <x v="10"/>
      <x v="1868"/>
      <x v="1167"/>
    </i>
    <i>
      <x v="1533"/>
      <x v="15"/>
      <x v="121"/>
      <x v="78"/>
      <x v="1"/>
      <x v="15"/>
      <x v="1869"/>
      <x v="1168"/>
    </i>
    <i>
      <x v="1534"/>
      <x v="15"/>
      <x v="121"/>
      <x v="78"/>
      <x v="1"/>
      <x v="6"/>
      <x v="1870"/>
      <x v="1169"/>
    </i>
    <i>
      <x v="1535"/>
      <x v="15"/>
      <x v="121"/>
      <x v="78"/>
      <x v="1"/>
      <x v="7"/>
      <x v="1871"/>
      <x v="1170"/>
    </i>
    <i>
      <x v="1536"/>
      <x v="15"/>
      <x v="121"/>
      <x v="78"/>
      <x v="1"/>
      <x v="4"/>
      <x v="1872"/>
      <x v="1171"/>
    </i>
    <i>
      <x v="1537"/>
      <x v="15"/>
      <x v="121"/>
      <x v="78"/>
      <x v="1"/>
      <x v="9"/>
      <x v="1873"/>
      <x v="1172"/>
    </i>
    <i>
      <x v="1538"/>
      <x v="15"/>
      <x v="121"/>
      <x v="78"/>
      <x v="1"/>
      <x v="16"/>
      <x v="1874"/>
      <x v="1173"/>
    </i>
    <i>
      <x v="1539"/>
      <x v="15"/>
      <x v="121"/>
      <x v="78"/>
      <x v="1"/>
      <x v="8"/>
      <x v="1875"/>
      <x v="1174"/>
    </i>
    <i>
      <x v="1540"/>
      <x v="15"/>
      <x v="121"/>
      <x v="78"/>
      <x v="1"/>
      <x v="2"/>
      <x v="1876"/>
      <x v="1175"/>
    </i>
    <i>
      <x v="1541"/>
      <x v="15"/>
      <x v="121"/>
      <x v="78"/>
      <x v="1"/>
      <x v="11"/>
      <x v="1877"/>
      <x v="1176"/>
    </i>
    <i>
      <x v="1542"/>
      <x v="9"/>
      <x v="122"/>
      <x v="66"/>
      <x/>
      <x/>
      <x v="1878"/>
      <x v="1177"/>
    </i>
    <i>
      <x v="1543"/>
      <x v="9"/>
      <x v="122"/>
      <x v="66"/>
      <x v="1"/>
      <x v="13"/>
      <x v="1879"/>
      <x v="1178"/>
    </i>
    <i>
      <x v="1544"/>
      <x v="9"/>
      <x v="122"/>
      <x v="66"/>
      <x v="1"/>
      <x v="1"/>
      <x v="1880"/>
      <x v="1179"/>
    </i>
    <i>
      <x v="1545"/>
      <x v="9"/>
      <x v="122"/>
      <x v="66"/>
      <x v="1"/>
      <x v="3"/>
      <x v="1881"/>
      <x v="1180"/>
    </i>
    <i>
      <x v="1546"/>
      <x v="9"/>
      <x v="122"/>
      <x v="66"/>
      <x v="1"/>
      <x v="5"/>
      <x v="1882"/>
      <x v="1181"/>
    </i>
    <i>
      <x v="1547"/>
      <x v="9"/>
      <x v="122"/>
      <x v="66"/>
      <x v="1"/>
      <x v="14"/>
      <x v="1883"/>
      <x v="1182"/>
    </i>
    <i>
      <x v="1548"/>
      <x v="9"/>
      <x v="122"/>
      <x v="66"/>
      <x v="1"/>
      <x v="12"/>
      <x v="1884"/>
      <x v="1183"/>
    </i>
    <i>
      <x v="1549"/>
      <x v="9"/>
      <x v="122"/>
      <x v="66"/>
      <x v="1"/>
      <x v="10"/>
      <x v="1885"/>
      <x v="1184"/>
    </i>
    <i>
      <x v="1550"/>
      <x v="9"/>
      <x v="122"/>
      <x v="66"/>
      <x v="1"/>
      <x v="15"/>
      <x v="1886"/>
      <x v="1185"/>
    </i>
    <i>
      <x v="1551"/>
      <x v="9"/>
      <x v="122"/>
      <x v="66"/>
      <x v="1"/>
      <x v="6"/>
      <x v="1887"/>
      <x v="1186"/>
    </i>
    <i>
      <x v="1552"/>
      <x v="9"/>
      <x v="122"/>
      <x v="66"/>
      <x v="1"/>
      <x v="7"/>
      <x v="1888"/>
      <x v="1187"/>
    </i>
    <i>
      <x v="1553"/>
      <x v="9"/>
      <x v="122"/>
      <x v="66"/>
      <x v="1"/>
      <x v="4"/>
      <x v="1889"/>
      <x v="1188"/>
    </i>
    <i>
      <x v="1554"/>
      <x v="9"/>
      <x v="122"/>
      <x v="66"/>
      <x v="1"/>
      <x v="9"/>
      <x v="1890"/>
      <x v="1189"/>
    </i>
    <i>
      <x v="1555"/>
      <x v="9"/>
      <x v="122"/>
      <x v="66"/>
      <x v="1"/>
      <x v="16"/>
      <x v="1891"/>
      <x v="1190"/>
    </i>
    <i>
      <x v="1556"/>
      <x v="9"/>
      <x v="122"/>
      <x v="66"/>
      <x v="1"/>
      <x v="8"/>
      <x v="1892"/>
      <x v="1191"/>
    </i>
    <i>
      <x v="1557"/>
      <x v="9"/>
      <x v="122"/>
      <x v="66"/>
      <x v="1"/>
      <x v="2"/>
      <x v="1893"/>
      <x v="1192"/>
    </i>
    <i>
      <x v="1558"/>
      <x v="9"/>
      <x v="122"/>
      <x v="66"/>
      <x v="1"/>
      <x v="11"/>
      <x v="1894"/>
      <x v="1193"/>
    </i>
    <i>
      <x v="1559"/>
      <x v="9"/>
      <x v="122"/>
      <x v="66"/>
      <x/>
      <x/>
      <x v="1895"/>
      <x v="1194"/>
    </i>
    <i>
      <x v="1560"/>
      <x v="9"/>
      <x v="122"/>
      <x v="66"/>
      <x v="1"/>
      <x v="13"/>
      <x v="1896"/>
      <x v="1195"/>
    </i>
    <i>
      <x v="1561"/>
      <x v="9"/>
      <x v="122"/>
      <x v="66"/>
      <x v="1"/>
      <x v="1"/>
      <x v="1896"/>
      <x v="1196"/>
    </i>
    <i>
      <x v="1562"/>
      <x v="9"/>
      <x v="122"/>
      <x v="66"/>
      <x v="1"/>
      <x v="3"/>
      <x v="1896"/>
      <x v="1197"/>
    </i>
    <i>
      <x v="1563"/>
      <x v="9"/>
      <x v="122"/>
      <x v="66"/>
      <x v="1"/>
      <x v="5"/>
      <x v="1896"/>
      <x v="1198"/>
    </i>
    <i>
      <x v="1564"/>
      <x v="9"/>
      <x v="122"/>
      <x v="66"/>
      <x v="1"/>
      <x v="14"/>
      <x v="1896"/>
      <x v="1199"/>
    </i>
    <i>
      <x v="1565"/>
      <x v="9"/>
      <x v="122"/>
      <x v="66"/>
      <x v="1"/>
      <x v="12"/>
      <x v="1896"/>
      <x v="1200"/>
    </i>
    <i>
      <x v="1566"/>
      <x v="9"/>
      <x v="122"/>
      <x v="66"/>
      <x v="1"/>
      <x v="10"/>
      <x v="1896"/>
      <x v="1201"/>
    </i>
    <i>
      <x v="1567"/>
      <x v="9"/>
      <x v="122"/>
      <x v="66"/>
      <x v="1"/>
      <x v="15"/>
      <x v="1896"/>
      <x v="1202"/>
    </i>
    <i>
      <x v="1568"/>
      <x v="9"/>
      <x v="122"/>
      <x v="66"/>
      <x v="1"/>
      <x v="6"/>
      <x v="1896"/>
      <x v="1203"/>
    </i>
    <i>
      <x v="1569"/>
      <x v="9"/>
      <x v="122"/>
      <x v="66"/>
      <x v="1"/>
      <x v="7"/>
      <x v="1896"/>
      <x v="1204"/>
    </i>
    <i>
      <x v="1570"/>
      <x v="9"/>
      <x v="122"/>
      <x v="66"/>
      <x v="1"/>
      <x v="4"/>
      <x v="1896"/>
      <x v="1205"/>
    </i>
    <i>
      <x v="1571"/>
      <x v="9"/>
      <x v="122"/>
      <x v="66"/>
      <x v="1"/>
      <x v="9"/>
      <x v="1896"/>
      <x v="1206"/>
    </i>
    <i>
      <x v="1572"/>
      <x v="9"/>
      <x v="122"/>
      <x v="66"/>
      <x v="1"/>
      <x v="16"/>
      <x v="1896"/>
      <x v="1207"/>
    </i>
    <i>
      <x v="1573"/>
      <x v="9"/>
      <x v="122"/>
      <x v="66"/>
      <x v="1"/>
      <x v="8"/>
      <x v="1896"/>
      <x v="1208"/>
    </i>
    <i>
      <x v="1574"/>
      <x v="9"/>
      <x v="122"/>
      <x v="66"/>
      <x v="1"/>
      <x v="2"/>
      <x v="1896"/>
      <x v="1209"/>
    </i>
    <i>
      <x v="1575"/>
      <x v="9"/>
      <x v="122"/>
      <x v="66"/>
      <x v="1"/>
      <x v="11"/>
      <x v="1896"/>
      <x v="1210"/>
    </i>
    <i>
      <x v="1576"/>
      <x v="9"/>
      <x v="122"/>
      <x v="66"/>
      <x/>
      <x/>
      <x v="1897"/>
      <x v="1211"/>
    </i>
    <i>
      <x v="1577"/>
      <x v="9"/>
      <x v="122"/>
      <x v="66"/>
      <x/>
      <x/>
      <x v="1898"/>
      <x v="1212"/>
    </i>
    <i>
      <x v="1578"/>
      <x v="9"/>
      <x v="122"/>
      <x v="66"/>
      <x v="1"/>
      <x v="13"/>
      <x v="1899"/>
      <x v="1213"/>
    </i>
    <i>
      <x v="1579"/>
      <x v="9"/>
      <x v="122"/>
      <x v="66"/>
      <x v="1"/>
      <x v="1"/>
      <x v="1900"/>
      <x v="1214"/>
    </i>
    <i>
      <x v="1580"/>
      <x v="9"/>
      <x v="122"/>
      <x v="66"/>
      <x v="1"/>
      <x v="3"/>
      <x v="1901"/>
      <x v="1215"/>
    </i>
    <i>
      <x v="1581"/>
      <x v="9"/>
      <x v="122"/>
      <x v="66"/>
      <x v="1"/>
      <x v="5"/>
      <x v="1902"/>
      <x v="1216"/>
    </i>
    <i>
      <x v="1582"/>
      <x v="9"/>
      <x v="122"/>
      <x v="66"/>
      <x v="1"/>
      <x v="14"/>
      <x v="1903"/>
      <x v="1217"/>
    </i>
    <i>
      <x v="1583"/>
      <x v="9"/>
      <x v="122"/>
      <x v="66"/>
      <x v="1"/>
      <x v="12"/>
      <x v="1904"/>
      <x v="1218"/>
    </i>
    <i>
      <x v="1584"/>
      <x v="9"/>
      <x v="122"/>
      <x v="66"/>
      <x v="1"/>
      <x v="10"/>
      <x v="1905"/>
      <x v="1219"/>
    </i>
    <i>
      <x v="1585"/>
      <x v="9"/>
      <x v="122"/>
      <x v="66"/>
      <x v="1"/>
      <x v="15"/>
      <x v="1906"/>
      <x v="1220"/>
    </i>
    <i>
      <x v="1586"/>
      <x v="9"/>
      <x v="122"/>
      <x v="66"/>
      <x v="1"/>
      <x v="6"/>
      <x v="1907"/>
      <x v="1221"/>
    </i>
    <i>
      <x v="1587"/>
      <x v="9"/>
      <x v="122"/>
      <x v="66"/>
      <x v="1"/>
      <x v="7"/>
      <x v="1908"/>
      <x v="1222"/>
    </i>
    <i>
      <x v="1588"/>
      <x v="9"/>
      <x v="122"/>
      <x v="66"/>
      <x v="1"/>
      <x v="4"/>
      <x v="1909"/>
      <x v="1223"/>
    </i>
    <i>
      <x v="1589"/>
      <x v="9"/>
      <x v="122"/>
      <x v="66"/>
      <x v="1"/>
      <x v="9"/>
      <x v="1910"/>
      <x v="1224"/>
    </i>
    <i>
      <x v="1590"/>
      <x v="9"/>
      <x v="122"/>
      <x v="66"/>
      <x v="1"/>
      <x v="16"/>
      <x v="1911"/>
      <x v="1225"/>
    </i>
    <i>
      <x v="1591"/>
      <x v="9"/>
      <x v="122"/>
      <x v="66"/>
      <x v="1"/>
      <x v="8"/>
      <x v="1912"/>
      <x v="1226"/>
    </i>
    <i>
      <x v="1592"/>
      <x v="9"/>
      <x v="122"/>
      <x v="66"/>
      <x v="1"/>
      <x v="2"/>
      <x v="1913"/>
      <x v="1227"/>
    </i>
    <i>
      <x v="1593"/>
      <x v="9"/>
      <x v="122"/>
      <x v="66"/>
      <x v="1"/>
      <x v="11"/>
      <x v="1914"/>
      <x v="1228"/>
    </i>
    <i>
      <x v="1594"/>
      <x v="9"/>
      <x v="122"/>
      <x v="66"/>
      <x/>
      <x/>
      <x v="1915"/>
      <x v="1229"/>
    </i>
    <i>
      <x v="1595"/>
      <x v="9"/>
      <x v="122"/>
      <x v="66"/>
      <x v="1"/>
      <x v="13"/>
      <x v="1916"/>
      <x v="1230"/>
    </i>
    <i>
      <x v="1596"/>
      <x v="9"/>
      <x v="122"/>
      <x v="66"/>
      <x v="1"/>
      <x v="1"/>
      <x v="1917"/>
      <x v="1231"/>
    </i>
    <i>
      <x v="1597"/>
      <x v="9"/>
      <x v="122"/>
      <x v="66"/>
      <x v="1"/>
      <x v="3"/>
      <x v="1918"/>
      <x v="1232"/>
    </i>
    <i>
      <x v="1598"/>
      <x v="9"/>
      <x v="122"/>
      <x v="66"/>
      <x v="1"/>
      <x v="5"/>
      <x v="1919"/>
      <x v="1233"/>
    </i>
    <i>
      <x v="1599"/>
      <x v="9"/>
      <x v="122"/>
      <x v="66"/>
      <x v="1"/>
      <x v="14"/>
      <x v="1920"/>
      <x v="1234"/>
    </i>
    <i>
      <x v="1600"/>
      <x v="9"/>
      <x v="122"/>
      <x v="66"/>
      <x v="1"/>
      <x v="12"/>
      <x v="1921"/>
      <x v="1235"/>
    </i>
    <i>
      <x v="1601"/>
      <x v="9"/>
      <x v="122"/>
      <x v="66"/>
      <x v="1"/>
      <x v="10"/>
      <x v="1922"/>
      <x v="1236"/>
    </i>
    <i>
      <x v="1602"/>
      <x v="9"/>
      <x v="122"/>
      <x v="66"/>
      <x v="1"/>
      <x v="15"/>
      <x v="1923"/>
      <x v="1237"/>
    </i>
    <i>
      <x v="1603"/>
      <x v="9"/>
      <x v="122"/>
      <x v="66"/>
      <x v="1"/>
      <x v="6"/>
      <x v="1924"/>
      <x v="1238"/>
    </i>
    <i>
      <x v="1604"/>
      <x v="9"/>
      <x v="122"/>
      <x v="66"/>
      <x v="1"/>
      <x v="7"/>
      <x v="1925"/>
      <x v="1239"/>
    </i>
    <i>
      <x v="1605"/>
      <x v="9"/>
      <x v="122"/>
      <x v="66"/>
      <x v="1"/>
      <x v="4"/>
      <x v="1926"/>
      <x v="1240"/>
    </i>
    <i>
      <x v="1606"/>
      <x v="9"/>
      <x v="122"/>
      <x v="66"/>
      <x v="1"/>
      <x v="9"/>
      <x v="1927"/>
      <x v="1241"/>
    </i>
    <i>
      <x v="1607"/>
      <x v="9"/>
      <x v="122"/>
      <x v="66"/>
      <x v="1"/>
      <x v="16"/>
      <x v="1928"/>
      <x v="1242"/>
    </i>
    <i>
      <x v="1608"/>
      <x v="9"/>
      <x v="122"/>
      <x v="66"/>
      <x v="1"/>
      <x v="8"/>
      <x v="1929"/>
      <x v="1243"/>
    </i>
    <i>
      <x v="1609"/>
      <x v="9"/>
      <x v="122"/>
      <x v="66"/>
      <x v="1"/>
      <x v="2"/>
      <x v="1930"/>
      <x v="1244"/>
    </i>
    <i>
      <x v="1610"/>
      <x v="9"/>
      <x v="122"/>
      <x v="66"/>
      <x v="1"/>
      <x v="11"/>
      <x v="1931"/>
      <x v="1245"/>
    </i>
    <i>
      <x v="1611"/>
      <x v="10"/>
      <x v="123"/>
      <x v="58"/>
      <x/>
      <x/>
      <x v="1932"/>
      <x v="1246"/>
    </i>
    <i>
      <x v="1612"/>
      <x v="10"/>
      <x v="124"/>
      <x v="58"/>
      <x/>
      <x/>
      <x v="1933"/>
      <x v="1247"/>
    </i>
    <i>
      <x v="1613"/>
      <x v="10"/>
      <x v="125"/>
      <x v="58"/>
      <x/>
      <x/>
      <x v="1934"/>
      <x v="1248"/>
    </i>
    <i>
      <x v="1614"/>
      <x v="2"/>
      <x v="126"/>
      <x v="80"/>
      <x/>
      <x/>
      <x v="1935"/>
      <x v="1249"/>
    </i>
    <i>
      <x v="1615"/>
      <x v="2"/>
      <x v="126"/>
      <x v="80"/>
      <x v="1"/>
      <x v="13"/>
      <x v="1936"/>
      <x v="1250"/>
    </i>
    <i>
      <x v="1616"/>
      <x v="2"/>
      <x v="126"/>
      <x v="80"/>
      <x v="1"/>
      <x v="1"/>
      <x v="1937"/>
      <x v="1251"/>
    </i>
    <i>
      <x v="1617"/>
      <x v="2"/>
      <x v="126"/>
      <x v="80"/>
      <x v="1"/>
      <x v="3"/>
      <x v="1938"/>
      <x v="1252"/>
    </i>
    <i>
      <x v="1618"/>
      <x v="2"/>
      <x v="126"/>
      <x v="80"/>
      <x v="1"/>
      <x v="5"/>
      <x v="1939"/>
      <x v="1253"/>
    </i>
    <i>
      <x v="1619"/>
      <x v="2"/>
      <x v="126"/>
      <x v="80"/>
      <x/>
      <x/>
      <x v="1940"/>
      <x v="1254"/>
    </i>
    <i>
      <x v="1620"/>
      <x v="2"/>
      <x v="126"/>
      <x v="80"/>
      <x v="1"/>
      <x v="13"/>
      <x v="1941"/>
      <x v="1255"/>
    </i>
    <i>
      <x v="1621"/>
      <x v="2"/>
      <x v="126"/>
      <x v="80"/>
      <x v="1"/>
      <x v="1"/>
      <x v="1942"/>
      <x v="1256"/>
    </i>
    <i>
      <x v="1622"/>
      <x v="2"/>
      <x v="126"/>
      <x v="80"/>
      <x v="1"/>
      <x v="3"/>
      <x v="1943"/>
      <x v="1257"/>
    </i>
    <i>
      <x v="1623"/>
      <x v="2"/>
      <x v="126"/>
      <x v="80"/>
      <x v="1"/>
      <x v="5"/>
      <x v="1940"/>
      <x v="1258"/>
    </i>
    <i>
      <x v="1624"/>
      <x v="2"/>
      <x v="126"/>
      <x v="80"/>
      <x v="1"/>
      <x v="14"/>
      <x v="1944"/>
      <x v="1259"/>
    </i>
    <i>
      <x v="1625"/>
      <x v="2"/>
      <x v="126"/>
      <x v="80"/>
      <x/>
      <x/>
      <x v="1945"/>
      <x v="1260"/>
    </i>
    <i>
      <x v="1626"/>
      <x v="2"/>
      <x v="126"/>
      <x v="80"/>
      <x/>
      <x/>
      <x v="1946"/>
      <x v="1261"/>
    </i>
    <i>
      <x v="1627"/>
      <x v="16"/>
      <x v="127"/>
      <x v="81"/>
      <x/>
      <x/>
      <x v="1947"/>
      <x v="1262"/>
    </i>
    <i>
      <x v="1628"/>
      <x v="16"/>
      <x v="127"/>
      <x v="81"/>
      <x v="1"/>
      <x v="13"/>
      <x v="1948"/>
      <x v="1263"/>
    </i>
    <i>
      <x v="1629"/>
      <x v="16"/>
      <x v="127"/>
      <x v="81"/>
      <x v="1"/>
      <x v="1"/>
      <x v="1949"/>
      <x v="1264"/>
    </i>
    <i>
      <x v="1630"/>
      <x v="16"/>
      <x v="127"/>
      <x v="81"/>
      <x v="1"/>
      <x v="3"/>
      <x v="1950"/>
      <x v="1265"/>
    </i>
    <i>
      <x v="1631"/>
      <x v="16"/>
      <x v="127"/>
      <x v="81"/>
      <x v="1"/>
      <x v="5"/>
      <x v="1951"/>
      <x v="1266"/>
    </i>
    <i>
      <x v="1632"/>
      <x v="16"/>
      <x v="127"/>
      <x v="81"/>
      <x v="1"/>
      <x v="14"/>
      <x v="1952"/>
      <x v="1267"/>
    </i>
    <i>
      <x v="1633"/>
      <x v="16"/>
      <x v="127"/>
      <x v="81"/>
      <x v="1"/>
      <x v="12"/>
      <x v="1953"/>
      <x v="1268"/>
    </i>
    <i>
      <x v="1634"/>
      <x v="16"/>
      <x v="127"/>
      <x v="81"/>
      <x v="1"/>
      <x v="10"/>
      <x v="1954"/>
      <x v="1269"/>
    </i>
    <i>
      <x v="1635"/>
      <x v="16"/>
      <x v="127"/>
      <x v="81"/>
      <x v="1"/>
      <x v="15"/>
      <x v="1955"/>
      <x v="1270"/>
    </i>
    <i>
      <x v="1636"/>
      <x v="16"/>
      <x v="127"/>
      <x v="81"/>
      <x v="1"/>
      <x v="6"/>
      <x v="1956"/>
      <x v="1271"/>
    </i>
    <i>
      <x v="1637"/>
      <x v="16"/>
      <x v="127"/>
      <x v="81"/>
      <x v="1"/>
      <x v="7"/>
      <x v="1957"/>
      <x v="1272"/>
    </i>
    <i>
      <x v="1638"/>
      <x v="16"/>
      <x v="127"/>
      <x v="81"/>
      <x v="1"/>
      <x v="4"/>
      <x v="1958"/>
      <x v="1273"/>
    </i>
    <i>
      <x v="1639"/>
      <x v="16"/>
      <x v="127"/>
      <x v="81"/>
      <x v="1"/>
      <x v="9"/>
      <x v="1959"/>
      <x v="1274"/>
    </i>
    <i>
      <x v="1640"/>
      <x v="16"/>
      <x v="127"/>
      <x v="81"/>
      <x v="1"/>
      <x v="16"/>
      <x v="1960"/>
      <x v="1275"/>
    </i>
    <i>
      <x v="1641"/>
      <x v="16"/>
      <x v="127"/>
      <x v="81"/>
      <x v="1"/>
      <x v="8"/>
      <x v="1961"/>
      <x v="1276"/>
    </i>
    <i>
      <x v="1642"/>
      <x v="16"/>
      <x v="127"/>
      <x v="81"/>
      <x v="1"/>
      <x v="2"/>
      <x v="1962"/>
      <x v="1277"/>
    </i>
    <i>
      <x v="1643"/>
      <x v="16"/>
      <x v="127"/>
      <x v="81"/>
      <x v="1"/>
      <x v="11"/>
      <x v="1963"/>
      <x v="1278"/>
    </i>
    <i>
      <x v="1644"/>
      <x v="16"/>
      <x v="128"/>
      <x v="81"/>
      <x/>
      <x/>
      <x v="1964"/>
      <x v="1279"/>
    </i>
    <i>
      <x v="1645"/>
      <x v="16"/>
      <x v="128"/>
      <x v="81"/>
      <x v="1"/>
      <x v="13"/>
      <x v="1965"/>
      <x v="1280"/>
    </i>
    <i>
      <x v="1646"/>
      <x v="16"/>
      <x v="128"/>
      <x v="81"/>
      <x v="1"/>
      <x v="1"/>
      <x v="1966"/>
      <x v="1281"/>
    </i>
    <i>
      <x v="1647"/>
      <x v="16"/>
      <x v="128"/>
      <x v="81"/>
      <x v="1"/>
      <x v="3"/>
      <x v="1967"/>
      <x v="1282"/>
    </i>
    <i>
      <x v="1648"/>
      <x v="16"/>
      <x v="128"/>
      <x v="81"/>
      <x v="1"/>
      <x v="5"/>
      <x v="1968"/>
      <x v="1283"/>
    </i>
    <i>
      <x v="1649"/>
      <x v="16"/>
      <x v="128"/>
      <x v="81"/>
      <x v="1"/>
      <x v="14"/>
      <x v="1969"/>
      <x v="1284"/>
    </i>
    <i>
      <x v="1650"/>
      <x v="16"/>
      <x v="128"/>
      <x v="81"/>
      <x v="1"/>
      <x v="12"/>
      <x v="1970"/>
      <x v="1285"/>
    </i>
    <i>
      <x v="1651"/>
      <x v="16"/>
      <x v="128"/>
      <x v="81"/>
      <x v="1"/>
      <x v="10"/>
      <x v="1971"/>
      <x v="1286"/>
    </i>
    <i>
      <x v="1652"/>
      <x v="16"/>
      <x v="128"/>
      <x v="81"/>
      <x v="1"/>
      <x v="15"/>
      <x v="1972"/>
      <x v="1287"/>
    </i>
    <i>
      <x v="1653"/>
      <x v="16"/>
      <x v="128"/>
      <x v="81"/>
      <x v="1"/>
      <x v="6"/>
      <x v="1973"/>
      <x v="1288"/>
    </i>
    <i>
      <x v="1654"/>
      <x v="16"/>
      <x v="128"/>
      <x v="81"/>
      <x v="1"/>
      <x v="7"/>
      <x v="1974"/>
      <x v="1289"/>
    </i>
    <i>
      <x v="1655"/>
      <x v="16"/>
      <x v="128"/>
      <x v="81"/>
      <x v="1"/>
      <x v="4"/>
      <x v="1975"/>
      <x v="1290"/>
    </i>
    <i>
      <x v="1656"/>
      <x v="16"/>
      <x v="128"/>
      <x v="81"/>
      <x v="1"/>
      <x v="9"/>
      <x v="1976"/>
      <x v="1291"/>
    </i>
    <i>
      <x v="1657"/>
      <x v="16"/>
      <x v="128"/>
      <x v="81"/>
      <x v="1"/>
      <x v="16"/>
      <x v="1977"/>
      <x v="1292"/>
    </i>
    <i>
      <x v="1658"/>
      <x v="16"/>
      <x v="128"/>
      <x v="81"/>
      <x v="1"/>
      <x v="8"/>
      <x v="1978"/>
      <x v="1293"/>
    </i>
    <i>
      <x v="1659"/>
      <x v="16"/>
      <x v="128"/>
      <x v="81"/>
      <x v="1"/>
      <x v="2"/>
      <x v="1979"/>
      <x v="1294"/>
    </i>
    <i>
      <x v="1660"/>
      <x v="16"/>
      <x v="128"/>
      <x v="81"/>
      <x v="1"/>
      <x v="11"/>
      <x v="1980"/>
      <x v="1295"/>
    </i>
    <i>
      <x v="1661"/>
      <x/>
      <x v="129"/>
      <x v="94"/>
      <x/>
      <x/>
      <x v="1981"/>
      <x v="1296"/>
    </i>
    <i>
      <x v="1662"/>
      <x/>
      <x v="130"/>
      <x v="94"/>
      <x/>
      <x/>
      <x v="1982"/>
      <x v="1297"/>
    </i>
    <i>
      <x v="1663"/>
      <x/>
      <x v="131"/>
      <x v="94"/>
      <x/>
      <x/>
      <x v="1983"/>
      <x v="1298"/>
    </i>
    <i>
      <x v="1664"/>
      <x v="5"/>
      <x v="110"/>
      <x v="72"/>
      <x/>
      <x/>
      <x v="1984"/>
      <x v="1299"/>
    </i>
    <i>
      <x v="1665"/>
      <x v="5"/>
      <x v="110"/>
      <x v="72"/>
      <x v="1"/>
      <x v="13"/>
      <x v="1985"/>
      <x v="1300"/>
    </i>
    <i>
      <x v="1666"/>
      <x v="5"/>
      <x v="110"/>
      <x v="72"/>
      <x v="1"/>
      <x v="1"/>
      <x v="1986"/>
      <x v="1301"/>
    </i>
    <i>
      <x v="1667"/>
      <x v="5"/>
      <x v="110"/>
      <x v="72"/>
      <x v="1"/>
      <x v="3"/>
      <x v="1987"/>
      <x v="1302"/>
    </i>
    <i>
      <x v="1668"/>
      <x v="5"/>
      <x v="110"/>
      <x v="72"/>
      <x v="1"/>
      <x v="5"/>
      <x v="1988"/>
      <x v="1303"/>
    </i>
    <i>
      <x v="1669"/>
      <x v="5"/>
      <x v="110"/>
      <x v="72"/>
      <x v="1"/>
      <x v="14"/>
      <x v="1989"/>
      <x v="1304"/>
    </i>
    <i>
      <x v="1670"/>
      <x v="5"/>
      <x v="110"/>
      <x v="72"/>
      <x v="1"/>
      <x v="12"/>
      <x v="1990"/>
      <x v="1305"/>
    </i>
    <i>
      <x v="1671"/>
      <x v="5"/>
      <x v="110"/>
      <x v="72"/>
      <x v="1"/>
      <x v="10"/>
      <x v="1991"/>
      <x v="1306"/>
    </i>
    <i>
      <x v="1672"/>
      <x v="5"/>
      <x v="110"/>
      <x v="72"/>
      <x v="1"/>
      <x v="15"/>
      <x v="1992"/>
      <x v="1307"/>
    </i>
    <i>
      <x v="1673"/>
      <x v="5"/>
      <x v="110"/>
      <x v="72"/>
      <x v="1"/>
      <x v="6"/>
      <x v="1993"/>
      <x v="1308"/>
    </i>
    <i>
      <x v="1674"/>
      <x v="5"/>
      <x v="110"/>
      <x v="72"/>
      <x v="1"/>
      <x v="7"/>
      <x v="1994"/>
      <x v="1309"/>
    </i>
    <i>
      <x v="1675"/>
      <x v="5"/>
      <x v="110"/>
      <x v="72"/>
      <x v="1"/>
      <x v="4"/>
      <x v="1995"/>
      <x v="1310"/>
    </i>
    <i>
      <x v="1676"/>
      <x v="5"/>
      <x v="110"/>
      <x v="72"/>
      <x v="1"/>
      <x v="9"/>
      <x v="1996"/>
      <x v="1311"/>
    </i>
    <i>
      <x v="1677"/>
      <x v="5"/>
      <x v="110"/>
      <x v="72"/>
      <x v="1"/>
      <x v="16"/>
      <x v="1997"/>
      <x v="1312"/>
    </i>
    <i>
      <x v="1678"/>
      <x v="5"/>
      <x v="110"/>
      <x v="72"/>
      <x v="1"/>
      <x v="8"/>
      <x v="1998"/>
      <x v="1313"/>
    </i>
    <i>
      <x v="1679"/>
      <x v="5"/>
      <x v="110"/>
      <x v="72"/>
      <x v="1"/>
      <x v="2"/>
      <x v="1999"/>
      <x v="1314"/>
    </i>
    <i>
      <x v="1680"/>
      <x v="5"/>
      <x v="110"/>
      <x v="72"/>
      <x v="1"/>
      <x v="11"/>
      <x v="2000"/>
      <x v="1315"/>
    </i>
    <i>
      <x v="1681"/>
      <x v="5"/>
      <x v="111"/>
      <x v="72"/>
      <x/>
      <x/>
      <x v="2001"/>
      <x v="1316"/>
    </i>
    <i>
      <x v="1682"/>
      <x v="5"/>
      <x v="111"/>
      <x v="72"/>
      <x v="1"/>
      <x v="13"/>
      <x v="2002"/>
      <x v="1317"/>
    </i>
    <i>
      <x v="1683"/>
      <x v="5"/>
      <x v="111"/>
      <x v="72"/>
      <x v="1"/>
      <x v="1"/>
      <x v="2003"/>
      <x v="1318"/>
    </i>
    <i>
      <x v="1684"/>
      <x v="5"/>
      <x v="111"/>
      <x v="72"/>
      <x v="1"/>
      <x v="3"/>
      <x v="2004"/>
      <x v="1319"/>
    </i>
    <i>
      <x v="1685"/>
      <x v="5"/>
      <x v="111"/>
      <x v="72"/>
      <x v="1"/>
      <x v="5"/>
      <x v="2005"/>
      <x v="1320"/>
    </i>
    <i>
      <x v="1686"/>
      <x v="5"/>
      <x v="111"/>
      <x v="72"/>
      <x v="1"/>
      <x v="14"/>
      <x v="2006"/>
      <x v="1321"/>
    </i>
    <i>
      <x v="1687"/>
      <x v="5"/>
      <x v="111"/>
      <x v="72"/>
      <x v="1"/>
      <x v="12"/>
      <x v="2007"/>
      <x v="1322"/>
    </i>
    <i>
      <x v="1688"/>
      <x v="5"/>
      <x v="111"/>
      <x v="72"/>
      <x v="1"/>
      <x v="10"/>
      <x v="2008"/>
      <x v="1323"/>
    </i>
    <i>
      <x v="1689"/>
      <x v="5"/>
      <x v="111"/>
      <x v="72"/>
      <x v="1"/>
      <x v="15"/>
      <x v="2009"/>
      <x v="1324"/>
    </i>
    <i>
      <x v="1690"/>
      <x v="5"/>
      <x v="111"/>
      <x v="72"/>
      <x v="1"/>
      <x v="6"/>
      <x v="2010"/>
      <x v="1325"/>
    </i>
    <i>
      <x v="1691"/>
      <x v="5"/>
      <x v="111"/>
      <x v="72"/>
      <x v="1"/>
      <x v="7"/>
      <x v="2011"/>
      <x v="1326"/>
    </i>
    <i>
      <x v="1692"/>
      <x v="5"/>
      <x v="111"/>
      <x v="72"/>
      <x v="1"/>
      <x v="4"/>
      <x v="2012"/>
      <x v="1327"/>
    </i>
    <i>
      <x v="1693"/>
      <x v="5"/>
      <x v="111"/>
      <x v="72"/>
      <x v="1"/>
      <x v="9"/>
      <x v="2013"/>
      <x v="1328"/>
    </i>
    <i>
      <x v="1694"/>
      <x v="5"/>
      <x v="111"/>
      <x v="72"/>
      <x v="1"/>
      <x v="16"/>
      <x v="2014"/>
      <x v="1329"/>
    </i>
    <i>
      <x v="1695"/>
      <x v="5"/>
      <x v="111"/>
      <x v="72"/>
      <x v="1"/>
      <x v="8"/>
      <x v="2015"/>
      <x v="1330"/>
    </i>
    <i>
      <x v="1696"/>
      <x v="5"/>
      <x v="111"/>
      <x v="72"/>
      <x v="1"/>
      <x v="2"/>
      <x v="2016"/>
      <x v="1331"/>
    </i>
    <i>
      <x v="1697"/>
      <x v="5"/>
      <x v="111"/>
      <x v="72"/>
      <x v="1"/>
      <x v="11"/>
      <x v="1844"/>
      <x v="1332"/>
    </i>
    <i>
      <x v="1698"/>
      <x v="2"/>
      <x v="95"/>
      <x v="71"/>
      <x/>
      <x/>
      <x v="2017"/>
      <x v="1333"/>
    </i>
    <i>
      <x v="1699"/>
      <x v="2"/>
      <x v="132"/>
      <x v="71"/>
      <x/>
      <x/>
      <x v="2018"/>
      <x v="1334"/>
    </i>
    <i>
      <x v="1700"/>
      <x v="2"/>
      <x v="83"/>
      <x v="71"/>
      <x/>
      <x/>
      <x v="2019"/>
      <x v="1335"/>
    </i>
    <i>
      <x v="1701"/>
      <x v="2"/>
      <x v="95"/>
      <x v="71"/>
      <x/>
      <x/>
      <x v="2020"/>
      <x v="1336"/>
    </i>
    <i>
      <x v="1702"/>
      <x v="2"/>
      <x v="83"/>
      <x v="71"/>
      <x/>
      <x/>
      <x v="2021"/>
      <x v="1337"/>
    </i>
    <i>
      <x v="1703"/>
      <x v="14"/>
      <x v="114"/>
      <x v="74"/>
      <x v="2"/>
      <x v="17"/>
      <x v="1234"/>
      <x v="567"/>
    </i>
    <i>
      <x v="1704"/>
      <x v="14"/>
      <x v="114"/>
      <x v="74"/>
      <x v="2"/>
      <x v="17"/>
      <x v="1234"/>
      <x v="567"/>
    </i>
    <i>
      <x v="1705"/>
      <x v="14"/>
      <x v="114"/>
      <x v="74"/>
      <x v="2"/>
      <x v="17"/>
      <x v="1234"/>
      <x v="567"/>
    </i>
    <i>
      <x v="1706"/>
      <x v="14"/>
      <x v="114"/>
      <x v="74"/>
      <x v="2"/>
      <x v="17"/>
      <x v="1234"/>
      <x v="567"/>
    </i>
    <i>
      <x v="1707"/>
      <x v="14"/>
      <x v="114"/>
      <x v="74"/>
      <x v="2"/>
      <x v="17"/>
      <x v="1234"/>
      <x v="567"/>
    </i>
    <i>
      <x v="1708"/>
      <x v="14"/>
      <x v="114"/>
      <x v="74"/>
      <x v="2"/>
      <x v="17"/>
      <x v="1234"/>
      <x v="567"/>
    </i>
    <i>
      <x v="1709"/>
      <x v="14"/>
      <x v="114"/>
      <x v="74"/>
      <x v="2"/>
      <x v="17"/>
      <x v="1234"/>
      <x v="567"/>
    </i>
    <i>
      <x v="1710"/>
      <x v="14"/>
      <x v="114"/>
      <x v="74"/>
      <x v="2"/>
      <x v="17"/>
      <x v="1234"/>
      <x v="567"/>
    </i>
    <i>
      <x v="1711"/>
      <x v="14"/>
      <x v="114"/>
      <x v="74"/>
      <x v="2"/>
      <x v="17"/>
      <x v="1234"/>
      <x v="567"/>
    </i>
    <i>
      <x v="1712"/>
      <x v="14"/>
      <x v="114"/>
      <x v="74"/>
      <x v="2"/>
      <x v="17"/>
      <x v="1234"/>
      <x v="567"/>
    </i>
    <i>
      <x v="1713"/>
      <x v="14"/>
      <x v="114"/>
      <x v="74"/>
      <x v="2"/>
      <x v="17"/>
      <x v="1234"/>
      <x v="567"/>
    </i>
    <i>
      <x v="1714"/>
      <x v="14"/>
      <x v="114"/>
      <x v="74"/>
      <x v="2"/>
      <x v="17"/>
      <x v="1234"/>
      <x v="567"/>
    </i>
    <i>
      <x v="1715"/>
      <x v="14"/>
      <x v="114"/>
      <x v="74"/>
      <x v="2"/>
      <x v="17"/>
      <x v="1234"/>
      <x v="567"/>
    </i>
    <i>
      <x v="1716"/>
      <x v="14"/>
      <x v="114"/>
      <x v="74"/>
      <x v="2"/>
      <x v="17"/>
      <x v="1234"/>
      <x v="567"/>
    </i>
    <i>
      <x v="1717"/>
      <x v="14"/>
      <x v="114"/>
      <x v="74"/>
      <x v="2"/>
      <x v="17"/>
      <x v="1234"/>
      <x v="567"/>
    </i>
    <i>
      <x v="1718"/>
      <x v="14"/>
      <x v="114"/>
      <x v="74"/>
      <x v="2"/>
      <x v="17"/>
      <x v="1234"/>
      <x v="567"/>
    </i>
    <i>
      <x v="1719"/>
      <x v="14"/>
      <x v="114"/>
      <x v="74"/>
      <x v="2"/>
      <x v="17"/>
      <x v="1234"/>
      <x v="567"/>
    </i>
    <i>
      <x v="1720"/>
      <x v="14"/>
      <x v="114"/>
      <x v="74"/>
      <x v="2"/>
      <x v="17"/>
      <x v="1234"/>
      <x v="567"/>
    </i>
    <i>
      <x v="1721"/>
      <x v="14"/>
      <x v="114"/>
      <x v="74"/>
      <x v="2"/>
      <x v="17"/>
      <x v="1234"/>
      <x v="567"/>
    </i>
    <i>
      <x v="1722"/>
      <x v="14"/>
      <x v="114"/>
      <x v="74"/>
      <x v="2"/>
      <x v="17"/>
      <x v="1234"/>
      <x v="567"/>
    </i>
    <i>
      <x v="1723"/>
      <x v="14"/>
      <x v="114"/>
      <x v="74"/>
      <x v="2"/>
      <x v="17"/>
      <x v="1234"/>
      <x v="567"/>
    </i>
    <i>
      <x v="1724"/>
      <x v="14"/>
      <x v="114"/>
      <x v="74"/>
      <x v="2"/>
      <x v="17"/>
      <x v="1234"/>
      <x v="567"/>
    </i>
    <i>
      <x v="1725"/>
      <x v="14"/>
      <x v="114"/>
      <x v="74"/>
      <x v="2"/>
      <x v="17"/>
      <x v="1234"/>
      <x v="567"/>
    </i>
    <i>
      <x v="1726"/>
      <x v="14"/>
      <x v="114"/>
      <x v="74"/>
      <x v="2"/>
      <x v="17"/>
      <x v="1234"/>
      <x v="567"/>
    </i>
    <i>
      <x v="1727"/>
      <x v="14"/>
      <x v="114"/>
      <x v="74"/>
      <x v="2"/>
      <x v="17"/>
      <x v="1234"/>
      <x v="567"/>
    </i>
    <i>
      <x v="1728"/>
      <x v="14"/>
      <x v="114"/>
      <x v="74"/>
      <x v="2"/>
      <x v="17"/>
      <x v="1234"/>
      <x v="567"/>
    </i>
    <i>
      <x v="1729"/>
      <x v="14"/>
      <x v="114"/>
      <x v="74"/>
      <x v="2"/>
      <x v="17"/>
      <x v="1234"/>
      <x v="567"/>
    </i>
    <i>
      <x v="1730"/>
      <x v="14"/>
      <x v="114"/>
      <x v="74"/>
      <x v="2"/>
      <x v="17"/>
      <x v="1234"/>
      <x v="567"/>
    </i>
    <i>
      <x v="1731"/>
      <x v="14"/>
      <x v="114"/>
      <x v="74"/>
      <x v="2"/>
      <x v="17"/>
      <x v="1234"/>
      <x v="567"/>
    </i>
    <i>
      <x v="1732"/>
      <x v="14"/>
      <x v="114"/>
      <x v="74"/>
      <x v="2"/>
      <x v="17"/>
      <x v="1234"/>
      <x v="567"/>
    </i>
    <i>
      <x v="1733"/>
      <x v="14"/>
      <x v="114"/>
      <x v="74"/>
      <x v="2"/>
      <x v="17"/>
      <x v="1234"/>
      <x v="567"/>
    </i>
    <i>
      <x v="1734"/>
      <x v="14"/>
      <x v="114"/>
      <x v="74"/>
      <x v="2"/>
      <x v="17"/>
      <x v="1234"/>
      <x v="567"/>
    </i>
    <i>
      <x v="1735"/>
      <x v="14"/>
      <x v="114"/>
      <x v="74"/>
      <x v="2"/>
      <x v="17"/>
      <x v="1234"/>
      <x v="567"/>
    </i>
    <i>
      <x v="1736"/>
      <x v="14"/>
      <x v="114"/>
      <x v="74"/>
      <x v="2"/>
      <x v="17"/>
      <x v="1234"/>
      <x v="567"/>
    </i>
    <i>
      <x v="1737"/>
      <x v="14"/>
      <x v="114"/>
      <x v="74"/>
      <x v="2"/>
      <x v="17"/>
      <x v="1234"/>
      <x v="567"/>
    </i>
    <i>
      <x v="1738"/>
      <x v="14"/>
      <x v="114"/>
      <x v="74"/>
      <x v="2"/>
      <x v="17"/>
      <x v="1234"/>
      <x v="567"/>
    </i>
    <i>
      <x v="1739"/>
      <x v="14"/>
      <x v="114"/>
      <x v="74"/>
      <x v="2"/>
      <x v="17"/>
      <x v="1234"/>
      <x v="567"/>
    </i>
    <i>
      <x v="1740"/>
      <x v="14"/>
      <x v="114"/>
      <x v="74"/>
      <x v="2"/>
      <x v="17"/>
      <x v="1234"/>
      <x v="567"/>
    </i>
    <i>
      <x v="1741"/>
      <x v="14"/>
      <x v="114"/>
      <x v="74"/>
      <x v="2"/>
      <x v="17"/>
      <x v="1234"/>
      <x v="567"/>
    </i>
    <i>
      <x v="1742"/>
      <x v="14"/>
      <x v="114"/>
      <x v="74"/>
      <x v="2"/>
      <x v="17"/>
      <x v="1234"/>
      <x v="567"/>
    </i>
    <i>
      <x v="1743"/>
      <x v="14"/>
      <x v="114"/>
      <x v="74"/>
      <x v="2"/>
      <x v="17"/>
      <x v="1234"/>
      <x v="567"/>
    </i>
    <i>
      <x v="1744"/>
      <x v="14"/>
      <x v="114"/>
      <x v="74"/>
      <x v="2"/>
      <x v="17"/>
      <x v="1234"/>
      <x v="567"/>
    </i>
    <i>
      <x v="1745"/>
      <x v="14"/>
      <x v="114"/>
      <x v="74"/>
      <x v="2"/>
      <x v="17"/>
      <x v="1234"/>
      <x v="567"/>
    </i>
    <i>
      <x v="1746"/>
      <x v="14"/>
      <x v="114"/>
      <x v="74"/>
      <x v="2"/>
      <x v="17"/>
      <x v="1234"/>
      <x v="567"/>
    </i>
    <i>
      <x v="1747"/>
      <x v="14"/>
      <x v="114"/>
      <x v="74"/>
      <x v="2"/>
      <x v="17"/>
      <x v="1234"/>
      <x v="567"/>
    </i>
    <i>
      <x v="1748"/>
      <x v="14"/>
      <x v="114"/>
      <x v="74"/>
      <x v="2"/>
      <x v="17"/>
      <x v="1234"/>
      <x v="567"/>
    </i>
    <i>
      <x v="1749"/>
      <x v="14"/>
      <x v="114"/>
      <x v="74"/>
      <x v="2"/>
      <x v="17"/>
      <x v="1234"/>
      <x v="567"/>
    </i>
    <i>
      <x v="1750"/>
      <x v="14"/>
      <x v="114"/>
      <x v="74"/>
      <x v="2"/>
      <x v="17"/>
      <x v="1234"/>
      <x v="567"/>
    </i>
    <i>
      <x v="1751"/>
      <x v="14"/>
      <x v="114"/>
      <x v="74"/>
      <x v="2"/>
      <x v="17"/>
      <x v="1234"/>
      <x v="567"/>
    </i>
    <i>
      <x v="1752"/>
      <x v="14"/>
      <x v="114"/>
      <x v="74"/>
      <x v="2"/>
      <x v="17"/>
      <x v="1234"/>
      <x v="567"/>
    </i>
    <i>
      <x v="1753"/>
      <x v="14"/>
      <x v="114"/>
      <x v="74"/>
      <x v="2"/>
      <x v="17"/>
      <x v="1234"/>
      <x v="567"/>
    </i>
    <i>
      <x v="1754"/>
      <x v="14"/>
      <x v="114"/>
      <x v="74"/>
      <x v="2"/>
      <x v="17"/>
      <x v="1234"/>
      <x v="567"/>
    </i>
    <i>
      <x v="1755"/>
      <x v="14"/>
      <x v="114"/>
      <x v="74"/>
      <x v="2"/>
      <x v="17"/>
      <x v="1234"/>
      <x v="567"/>
    </i>
    <i>
      <x v="1756"/>
      <x v="14"/>
      <x v="114"/>
      <x v="74"/>
      <x v="2"/>
      <x v="17"/>
      <x v="1234"/>
      <x v="567"/>
    </i>
    <i>
      <x v="1757"/>
      <x v="14"/>
      <x v="114"/>
      <x v="74"/>
      <x v="2"/>
      <x v="17"/>
      <x v="1234"/>
      <x v="567"/>
    </i>
    <i>
      <x v="1758"/>
      <x v="14"/>
      <x v="114"/>
      <x v="74"/>
      <x v="2"/>
      <x v="17"/>
      <x v="1234"/>
      <x v="567"/>
    </i>
    <i>
      <x v="1759"/>
      <x v="14"/>
      <x v="114"/>
      <x v="74"/>
      <x v="2"/>
      <x v="17"/>
      <x v="1234"/>
      <x v="567"/>
    </i>
    <i>
      <x v="1760"/>
      <x v="14"/>
      <x v="114"/>
      <x v="74"/>
      <x v="2"/>
      <x v="17"/>
      <x v="1234"/>
      <x v="567"/>
    </i>
    <i>
      <x v="1761"/>
      <x v="14"/>
      <x v="114"/>
      <x v="74"/>
      <x v="2"/>
      <x v="17"/>
      <x v="1234"/>
      <x v="567"/>
    </i>
    <i>
      <x v="1762"/>
      <x v="14"/>
      <x v="114"/>
      <x v="74"/>
      <x v="2"/>
      <x v="17"/>
      <x v="1234"/>
      <x v="567"/>
    </i>
    <i>
      <x v="1763"/>
      <x v="14"/>
      <x v="114"/>
      <x v="74"/>
      <x v="2"/>
      <x v="17"/>
      <x v="1234"/>
      <x v="567"/>
    </i>
    <i>
      <x v="1764"/>
      <x v="14"/>
      <x v="114"/>
      <x v="74"/>
      <x v="2"/>
      <x v="17"/>
      <x v="1234"/>
      <x v="567"/>
    </i>
    <i>
      <x v="1765"/>
      <x v="14"/>
      <x v="114"/>
      <x v="74"/>
      <x v="2"/>
      <x v="17"/>
      <x v="1234"/>
      <x v="567"/>
    </i>
    <i>
      <x v="1766"/>
      <x v="14"/>
      <x v="114"/>
      <x v="74"/>
      <x v="2"/>
      <x v="17"/>
      <x v="1234"/>
      <x v="567"/>
    </i>
    <i>
      <x v="7665"/>
      <x v="2"/>
      <x v="135"/>
      <x v="83"/>
      <x/>
      <x/>
      <x v="2041"/>
      <x v="1355"/>
    </i>
    <i>
      <x v="7666"/>
      <x v="2"/>
      <x v="135"/>
      <x v="83"/>
      <x v="1"/>
      <x v="14"/>
      <x v="2042"/>
      <x v="1356"/>
    </i>
    <i>
      <x v="7667"/>
      <x v="2"/>
      <x v="135"/>
      <x v="83"/>
      <x v="1"/>
      <x v="12"/>
      <x v="2043"/>
      <x v="1357"/>
    </i>
    <i>
      <x v="7668"/>
      <x v="2"/>
      <x v="135"/>
      <x v="83"/>
      <x v="1"/>
      <x v="15"/>
      <x v="2044"/>
      <x v="1358"/>
    </i>
    <i>
      <x v="7669"/>
      <x v="2"/>
      <x v="135"/>
      <x v="83"/>
      <x v="1"/>
      <x v="6"/>
      <x v="2045"/>
      <x v="1359"/>
    </i>
    <i>
      <x v="7670"/>
      <x v="2"/>
      <x v="135"/>
      <x v="83"/>
      <x v="1"/>
      <x v="8"/>
      <x v="2046"/>
      <x v="1360"/>
    </i>
    <i>
      <x v="7671"/>
      <x v="2"/>
      <x v="136"/>
      <x v="84"/>
      <x/>
      <x/>
      <x v="2047"/>
      <x v="1361"/>
    </i>
    <i>
      <x v="7672"/>
      <x v="2"/>
      <x v="136"/>
      <x v="84"/>
      <x v="1"/>
      <x v="13"/>
      <x v="2048"/>
      <x v="1362"/>
    </i>
    <i>
      <x v="7673"/>
      <x v="2"/>
      <x v="136"/>
      <x v="84"/>
      <x v="1"/>
      <x v="1"/>
      <x v="2049"/>
      <x v="1363"/>
    </i>
    <i>
      <x v="7674"/>
      <x v="2"/>
      <x v="136"/>
      <x v="84"/>
      <x v="1"/>
      <x v="3"/>
      <x v="2050"/>
      <x v="1364"/>
    </i>
    <i>
      <x v="7675"/>
      <x v="2"/>
      <x v="136"/>
      <x v="84"/>
      <x v="1"/>
      <x v="5"/>
      <x v="2051"/>
      <x v="1365"/>
    </i>
    <i>
      <x v="7676"/>
      <x v="2"/>
      <x v="136"/>
      <x v="84"/>
      <x v="1"/>
      <x v="14"/>
      <x v="2052"/>
      <x v="1366"/>
    </i>
    <i>
      <x v="7677"/>
      <x v="2"/>
      <x v="136"/>
      <x v="84"/>
      <x v="1"/>
      <x v="12"/>
      <x v="2053"/>
      <x v="1367"/>
    </i>
    <i>
      <x v="7678"/>
      <x v="2"/>
      <x v="136"/>
      <x v="84"/>
      <x v="1"/>
      <x v="10"/>
      <x v="2054"/>
      <x v="1368"/>
    </i>
    <i>
      <x v="7679"/>
      <x v="2"/>
      <x v="136"/>
      <x v="84"/>
      <x v="1"/>
      <x v="15"/>
      <x v="2055"/>
      <x v="1369"/>
    </i>
    <i>
      <x v="7680"/>
      <x v="2"/>
      <x v="136"/>
      <x v="84"/>
      <x v="1"/>
      <x v="6"/>
      <x v="2056"/>
      <x v="1370"/>
    </i>
    <i>
      <x v="7681"/>
      <x v="2"/>
      <x v="136"/>
      <x v="84"/>
      <x v="1"/>
      <x v="7"/>
      <x v="2057"/>
      <x v="1371"/>
    </i>
    <i>
      <x v="7682"/>
      <x v="2"/>
      <x v="136"/>
      <x v="84"/>
      <x v="1"/>
      <x v="4"/>
      <x v="2058"/>
      <x v="1372"/>
    </i>
    <i>
      <x v="7683"/>
      <x v="2"/>
      <x v="136"/>
      <x v="84"/>
      <x v="1"/>
      <x v="9"/>
      <x v="2059"/>
      <x v="1373"/>
    </i>
    <i>
      <x v="7684"/>
      <x v="2"/>
      <x v="136"/>
      <x v="84"/>
      <x v="1"/>
      <x v="16"/>
      <x v="2060"/>
      <x v="1374"/>
    </i>
    <i>
      <x v="7685"/>
      <x v="2"/>
      <x v="136"/>
      <x v="84"/>
      <x v="1"/>
      <x v="8"/>
      <x v="2061"/>
      <x v="1375"/>
    </i>
    <i>
      <x v="7686"/>
      <x v="2"/>
      <x v="136"/>
      <x v="84"/>
      <x v="1"/>
      <x v="2"/>
      <x v="2062"/>
      <x v="1376"/>
    </i>
    <i>
      <x v="7687"/>
      <x v="2"/>
      <x v="136"/>
      <x v="84"/>
      <x v="1"/>
      <x v="11"/>
      <x v="2063"/>
      <x v="1377"/>
    </i>
    <i>
      <x v="7688"/>
      <x v="2"/>
      <x v="135"/>
      <x v="83"/>
      <x/>
      <x/>
      <x v="2064"/>
      <x v="1378"/>
    </i>
    <i>
      <x v="7689"/>
      <x v="2"/>
      <x v="135"/>
      <x v="83"/>
      <x v="1"/>
      <x v="14"/>
      <x v="2065"/>
      <x v="1379"/>
    </i>
    <i>
      <x v="7690"/>
      <x v="2"/>
      <x v="135"/>
      <x v="83"/>
      <x v="1"/>
      <x v="12"/>
      <x v="2066"/>
      <x v="1380"/>
    </i>
    <i>
      <x v="7691"/>
      <x v="2"/>
      <x v="135"/>
      <x v="83"/>
      <x v="1"/>
      <x v="15"/>
      <x v="2067"/>
      <x v="1381"/>
    </i>
    <i>
      <x v="7692"/>
      <x v="2"/>
      <x v="135"/>
      <x v="83"/>
      <x v="1"/>
      <x v="8"/>
      <x v="2068"/>
      <x v="1382"/>
    </i>
    <i>
      <x v="7693"/>
      <x v="2"/>
      <x v="135"/>
      <x v="83"/>
      <x/>
      <x/>
      <x v="2069"/>
      <x v="1383"/>
    </i>
    <i>
      <x v="7694"/>
      <x v="2"/>
      <x v="135"/>
      <x v="83"/>
      <x/>
      <x/>
      <x v="2070"/>
      <x v="1384"/>
    </i>
    <i>
      <x v="7695"/>
      <x v="2"/>
      <x v="135"/>
      <x v="83"/>
      <x v="1"/>
      <x v="14"/>
      <x v="2071"/>
      <x v="1385"/>
    </i>
    <i>
      <x v="7696"/>
      <x v="2"/>
      <x v="135"/>
      <x v="83"/>
      <x v="1"/>
      <x v="12"/>
      <x v="2072"/>
      <x v="1386"/>
    </i>
    <i>
      <x v="7697"/>
      <x v="2"/>
      <x v="135"/>
      <x v="83"/>
      <x v="1"/>
      <x v="15"/>
      <x v="2073"/>
      <x v="1387"/>
    </i>
    <i>
      <x v="7698"/>
      <x v="13"/>
      <x v="137"/>
      <x v="85"/>
      <x/>
      <x/>
      <x v="2074"/>
      <x v="1388"/>
    </i>
    <i>
      <x v="7699"/>
      <x v="13"/>
      <x v="137"/>
      <x v="85"/>
      <x v="1"/>
      <x v="14"/>
      <x v="2075"/>
      <x v="1389"/>
    </i>
    <i>
      <x v="7700"/>
      <x v="13"/>
      <x v="137"/>
      <x v="85"/>
      <x v="1"/>
      <x v="15"/>
      <x v="2076"/>
      <x v="1390"/>
    </i>
    <i>
      <x v="7701"/>
      <x v="13"/>
      <x v="137"/>
      <x v="85"/>
      <x v="1"/>
      <x v="16"/>
      <x v="2077"/>
      <x v="1391"/>
    </i>
    <i>
      <x v="7702"/>
      <x v="13"/>
      <x v="137"/>
      <x v="85"/>
      <x v="1"/>
      <x v="11"/>
      <x v="2078"/>
      <x v="1392"/>
    </i>
    <i>
      <x v="7703"/>
      <x v="13"/>
      <x v="152"/>
      <x v="56"/>
      <x/>
      <x/>
      <x v="2079"/>
      <x v="1393"/>
    </i>
    <i>
      <x v="7704"/>
      <x v="13"/>
      <x v="152"/>
      <x v="56"/>
      <x v="1"/>
      <x v="13"/>
      <x v="2080"/>
      <x v="1394"/>
    </i>
    <i>
      <x v="7705"/>
      <x v="13"/>
      <x v="152"/>
      <x v="56"/>
      <x v="1"/>
      <x v="1"/>
      <x v="2081"/>
      <x v="1395"/>
    </i>
    <i>
      <x v="7706"/>
      <x v="13"/>
      <x v="152"/>
      <x v="56"/>
      <x v="1"/>
      <x v="3"/>
      <x v="2082"/>
      <x v="1396"/>
    </i>
    <i>
      <x v="7707"/>
      <x v="13"/>
      <x v="152"/>
      <x v="56"/>
      <x v="1"/>
      <x v="5"/>
      <x v="2083"/>
      <x v="1397"/>
    </i>
    <i>
      <x v="7708"/>
      <x v="13"/>
      <x v="152"/>
      <x v="56"/>
      <x v="1"/>
      <x v="14"/>
      <x v="2084"/>
      <x v="1398"/>
    </i>
    <i>
      <x v="7709"/>
      <x v="13"/>
      <x v="152"/>
      <x v="56"/>
      <x v="1"/>
      <x v="12"/>
      <x v="2085"/>
      <x v="1399"/>
    </i>
    <i>
      <x v="7710"/>
      <x v="13"/>
      <x v="152"/>
      <x v="56"/>
      <x v="1"/>
      <x v="10"/>
      <x v="2086"/>
      <x v="1400"/>
    </i>
    <i>
      <x v="7711"/>
      <x v="13"/>
      <x v="152"/>
      <x v="56"/>
      <x v="1"/>
      <x v="15"/>
      <x v="2087"/>
      <x v="1401"/>
    </i>
    <i>
      <x v="7712"/>
      <x v="13"/>
      <x v="152"/>
      <x v="56"/>
      <x v="1"/>
      <x v="6"/>
      <x v="2088"/>
      <x v="1402"/>
    </i>
    <i>
      <x v="7713"/>
      <x v="13"/>
      <x v="152"/>
      <x v="56"/>
      <x v="1"/>
      <x v="7"/>
      <x v="2089"/>
      <x v="1403"/>
    </i>
    <i>
      <x v="7714"/>
      <x v="13"/>
      <x v="152"/>
      <x v="56"/>
      <x v="1"/>
      <x v="4"/>
      <x v="2090"/>
      <x v="1404"/>
    </i>
    <i>
      <x v="7715"/>
      <x v="13"/>
      <x v="152"/>
      <x v="56"/>
      <x v="1"/>
      <x v="9"/>
      <x v="2091"/>
      <x v="1405"/>
    </i>
    <i>
      <x v="7716"/>
      <x v="13"/>
      <x v="152"/>
      <x v="56"/>
      <x v="1"/>
      <x v="16"/>
      <x v="2092"/>
      <x v="1406"/>
    </i>
    <i>
      <x v="7717"/>
      <x v="13"/>
      <x v="152"/>
      <x v="56"/>
      <x v="1"/>
      <x v="8"/>
      <x v="2093"/>
      <x v="1407"/>
    </i>
    <i>
      <x v="7718"/>
      <x v="13"/>
      <x v="152"/>
      <x v="56"/>
      <x v="1"/>
      <x v="2"/>
      <x v="2094"/>
      <x v="1408"/>
    </i>
    <i>
      <x v="7719"/>
      <x v="13"/>
      <x v="152"/>
      <x v="56"/>
      <x v="1"/>
      <x v="11"/>
      <x v="2095"/>
      <x v="1409"/>
    </i>
    <i>
      <x v="7720"/>
      <x v="13"/>
      <x v="139"/>
      <x v="87"/>
      <x/>
      <x/>
      <x v="2096"/>
      <x v="1410"/>
    </i>
    <i>
      <x v="7721"/>
      <x v="13"/>
      <x v="139"/>
      <x v="87"/>
      <x v="1"/>
      <x v="13"/>
      <x v="2097"/>
      <x v="1411"/>
    </i>
    <i>
      <x v="7722"/>
      <x v="13"/>
      <x v="139"/>
      <x v="87"/>
      <x v="1"/>
      <x v="14"/>
      <x v="2098"/>
      <x v="1412"/>
    </i>
    <i>
      <x v="7723"/>
      <x v="13"/>
      <x v="139"/>
      <x v="87"/>
      <x v="1"/>
      <x v="15"/>
      <x v="2099"/>
      <x v="1413"/>
    </i>
    <i>
      <x v="7724"/>
      <x v="11"/>
      <x v="140"/>
      <x v="65"/>
      <x/>
      <x/>
      <x v="2100"/>
      <x v="1414"/>
    </i>
    <i>
      <x v="7725"/>
      <x v="11"/>
      <x v="140"/>
      <x v="65"/>
      <x v="1"/>
      <x v="13"/>
      <x v="2101"/>
      <x v="1415"/>
    </i>
    <i>
      <x v="7726"/>
      <x v="11"/>
      <x v="140"/>
      <x v="65"/>
      <x v="1"/>
      <x v="1"/>
      <x v="2102"/>
      <x v="1416"/>
    </i>
    <i>
      <x v="7727"/>
      <x v="11"/>
      <x v="140"/>
      <x v="65"/>
      <x v="1"/>
      <x v="3"/>
      <x v="2103"/>
      <x v="1417"/>
    </i>
    <i>
      <x v="7728"/>
      <x v="11"/>
      <x v="140"/>
      <x v="65"/>
      <x v="1"/>
      <x v="5"/>
      <x v="2104"/>
      <x v="1418"/>
    </i>
    <i>
      <x v="7729"/>
      <x v="11"/>
      <x v="140"/>
      <x v="65"/>
      <x v="1"/>
      <x v="14"/>
      <x v="2105"/>
      <x v="1419"/>
    </i>
    <i>
      <x v="7730"/>
      <x v="11"/>
      <x v="140"/>
      <x v="65"/>
      <x v="1"/>
      <x v="12"/>
      <x v="2106"/>
      <x v="1420"/>
    </i>
    <i>
      <x v="7731"/>
      <x v="11"/>
      <x v="140"/>
      <x v="65"/>
      <x v="1"/>
      <x v="10"/>
      <x v="2107"/>
      <x v="1421"/>
    </i>
    <i>
      <x v="7732"/>
      <x v="11"/>
      <x v="140"/>
      <x v="65"/>
      <x v="1"/>
      <x v="15"/>
      <x v="2108"/>
      <x v="1422"/>
    </i>
    <i>
      <x v="7733"/>
      <x v="11"/>
      <x v="140"/>
      <x v="65"/>
      <x v="1"/>
      <x v="6"/>
      <x v="2109"/>
      <x v="1423"/>
    </i>
    <i>
      <x v="7734"/>
      <x v="11"/>
      <x v="140"/>
      <x v="65"/>
      <x v="1"/>
      <x v="7"/>
      <x v="2110"/>
      <x v="1424"/>
    </i>
    <i>
      <x v="7735"/>
      <x v="11"/>
      <x v="140"/>
      <x v="65"/>
      <x v="1"/>
      <x v="4"/>
      <x v="2111"/>
      <x v="1425"/>
    </i>
    <i>
      <x v="7736"/>
      <x v="11"/>
      <x v="140"/>
      <x v="65"/>
      <x v="1"/>
      <x v="9"/>
      <x v="2112"/>
      <x v="1426"/>
    </i>
    <i>
      <x v="7737"/>
      <x v="11"/>
      <x v="140"/>
      <x v="65"/>
      <x v="1"/>
      <x v="16"/>
      <x v="2113"/>
      <x v="1427"/>
    </i>
    <i>
      <x v="7738"/>
      <x v="11"/>
      <x v="140"/>
      <x v="65"/>
      <x v="1"/>
      <x v="8"/>
      <x v="2114"/>
      <x v="1428"/>
    </i>
    <i>
      <x v="7739"/>
      <x v="11"/>
      <x v="140"/>
      <x v="65"/>
      <x v="1"/>
      <x v="2"/>
      <x v="2115"/>
      <x v="1429"/>
    </i>
    <i>
      <x v="7740"/>
      <x v="11"/>
      <x v="140"/>
      <x v="65"/>
      <x v="1"/>
      <x v="11"/>
      <x v="2116"/>
      <x v="1430"/>
    </i>
    <i>
      <x v="7741"/>
      <x v="11"/>
      <x v="141"/>
      <x v="65"/>
      <x/>
      <x/>
      <x v="2117"/>
      <x v="1431"/>
    </i>
    <i>
      <x v="7742"/>
      <x v="11"/>
      <x v="141"/>
      <x v="65"/>
      <x v="1"/>
      <x v="13"/>
      <x v="2118"/>
      <x v="1432"/>
    </i>
    <i>
      <x v="7743"/>
      <x v="11"/>
      <x v="141"/>
      <x v="65"/>
      <x v="1"/>
      <x v="1"/>
      <x v="2119"/>
      <x v="1433"/>
    </i>
    <i>
      <x v="7744"/>
      <x v="11"/>
      <x v="141"/>
      <x v="65"/>
      <x v="1"/>
      <x v="3"/>
      <x v="2120"/>
      <x v="1434"/>
    </i>
    <i>
      <x v="7745"/>
      <x v="11"/>
      <x v="141"/>
      <x v="65"/>
      <x v="1"/>
      <x v="5"/>
      <x v="2121"/>
      <x v="1435"/>
    </i>
    <i>
      <x v="7746"/>
      <x v="11"/>
      <x v="141"/>
      <x v="65"/>
      <x v="1"/>
      <x v="14"/>
      <x v="2122"/>
      <x v="1436"/>
    </i>
    <i>
      <x v="7747"/>
      <x v="11"/>
      <x v="141"/>
      <x v="65"/>
      <x v="1"/>
      <x v="12"/>
      <x v="2123"/>
      <x v="1437"/>
    </i>
    <i>
      <x v="7748"/>
      <x v="11"/>
      <x v="141"/>
      <x v="65"/>
      <x v="1"/>
      <x v="10"/>
      <x v="2124"/>
      <x v="1438"/>
    </i>
    <i>
      <x v="7749"/>
      <x v="11"/>
      <x v="141"/>
      <x v="65"/>
      <x v="1"/>
      <x v="15"/>
      <x v="2125"/>
      <x v="1439"/>
    </i>
    <i>
      <x v="7750"/>
      <x v="11"/>
      <x v="141"/>
      <x v="65"/>
      <x v="1"/>
      <x v="6"/>
      <x v="2126"/>
      <x v="1440"/>
    </i>
    <i>
      <x v="7751"/>
      <x v="11"/>
      <x v="141"/>
      <x v="65"/>
      <x v="1"/>
      <x v="7"/>
      <x v="2127"/>
      <x v="1441"/>
    </i>
    <i>
      <x v="7752"/>
      <x v="11"/>
      <x v="141"/>
      <x v="65"/>
      <x v="1"/>
      <x v="4"/>
      <x v="2128"/>
      <x v="1442"/>
    </i>
    <i>
      <x v="7753"/>
      <x v="11"/>
      <x v="141"/>
      <x v="65"/>
      <x v="1"/>
      <x v="9"/>
      <x v="2129"/>
      <x v="1443"/>
    </i>
    <i>
      <x v="7754"/>
      <x v="11"/>
      <x v="141"/>
      <x v="65"/>
      <x v="1"/>
      <x v="16"/>
      <x v="2130"/>
      <x v="1444"/>
    </i>
    <i>
      <x v="7755"/>
      <x v="11"/>
      <x v="141"/>
      <x v="65"/>
      <x v="1"/>
      <x v="8"/>
      <x v="2131"/>
      <x v="1445"/>
    </i>
    <i>
      <x v="7756"/>
      <x v="11"/>
      <x v="141"/>
      <x v="65"/>
      <x v="1"/>
      <x v="2"/>
      <x v="2132"/>
      <x v="1446"/>
    </i>
    <i>
      <x v="7757"/>
      <x v="11"/>
      <x v="141"/>
      <x v="65"/>
      <x v="1"/>
      <x v="11"/>
      <x v="2133"/>
      <x v="1447"/>
    </i>
    <i>
      <x v="7758"/>
      <x v="11"/>
      <x v="142"/>
      <x v="65"/>
      <x/>
      <x/>
      <x v="2134"/>
      <x v="1448"/>
    </i>
    <i>
      <x v="7759"/>
      <x v="11"/>
      <x v="142"/>
      <x v="65"/>
      <x v="1"/>
      <x v="13"/>
      <x v="2135"/>
      <x v="1449"/>
    </i>
    <i>
      <x v="7760"/>
      <x v="11"/>
      <x v="142"/>
      <x v="65"/>
      <x v="1"/>
      <x v="1"/>
      <x v="2136"/>
      <x v="1450"/>
    </i>
    <i>
      <x v="7761"/>
      <x v="11"/>
      <x v="142"/>
      <x v="65"/>
      <x v="1"/>
      <x v="3"/>
      <x v="2137"/>
      <x v="1451"/>
    </i>
    <i>
      <x v="7762"/>
      <x v="11"/>
      <x v="142"/>
      <x v="65"/>
      <x v="1"/>
      <x v="5"/>
      <x v="2138"/>
      <x v="1452"/>
    </i>
    <i>
      <x v="7763"/>
      <x v="11"/>
      <x v="142"/>
      <x v="65"/>
      <x v="1"/>
      <x v="14"/>
      <x v="2139"/>
      <x v="1453"/>
    </i>
    <i>
      <x v="7764"/>
      <x v="11"/>
      <x v="142"/>
      <x v="65"/>
      <x v="1"/>
      <x v="12"/>
      <x v="2140"/>
      <x v="1454"/>
    </i>
    <i>
      <x v="7765"/>
      <x v="11"/>
      <x v="142"/>
      <x v="65"/>
      <x v="1"/>
      <x v="10"/>
      <x v="2141"/>
      <x v="1455"/>
    </i>
    <i>
      <x v="7766"/>
      <x v="11"/>
      <x v="142"/>
      <x v="65"/>
      <x v="1"/>
      <x v="15"/>
      <x v="2142"/>
      <x v="1456"/>
    </i>
    <i>
      <x v="7767"/>
      <x v="11"/>
      <x v="142"/>
      <x v="65"/>
      <x v="1"/>
      <x v="6"/>
      <x v="2143"/>
      <x v="1457"/>
    </i>
    <i>
      <x v="7768"/>
      <x v="11"/>
      <x v="142"/>
      <x v="65"/>
      <x v="1"/>
      <x v="7"/>
      <x v="2144"/>
      <x v="1458"/>
    </i>
    <i>
      <x v="7769"/>
      <x v="11"/>
      <x v="142"/>
      <x v="65"/>
      <x v="1"/>
      <x v="4"/>
      <x v="2145"/>
      <x v="1459"/>
    </i>
    <i>
      <x v="7770"/>
      <x v="11"/>
      <x v="142"/>
      <x v="65"/>
      <x v="1"/>
      <x v="9"/>
      <x v="2146"/>
      <x v="1460"/>
    </i>
    <i>
      <x v="7771"/>
      <x v="11"/>
      <x v="142"/>
      <x v="65"/>
      <x v="1"/>
      <x v="16"/>
      <x v="2147"/>
      <x v="1461"/>
    </i>
    <i>
      <x v="7772"/>
      <x v="11"/>
      <x v="142"/>
      <x v="65"/>
      <x v="1"/>
      <x v="8"/>
      <x v="2148"/>
      <x v="1462"/>
    </i>
    <i>
      <x v="7773"/>
      <x v="11"/>
      <x v="142"/>
      <x v="65"/>
      <x v="1"/>
      <x v="2"/>
      <x v="2149"/>
      <x v="1463"/>
    </i>
    <i>
      <x v="7774"/>
      <x v="11"/>
      <x v="142"/>
      <x v="65"/>
      <x v="1"/>
      <x v="11"/>
      <x v="2150"/>
      <x v="1464"/>
    </i>
    <i>
      <x v="7775"/>
      <x v="9"/>
      <x v="153"/>
      <x v="50"/>
      <x/>
      <x/>
      <x v="2151"/>
      <x v="1465"/>
    </i>
    <i>
      <x v="7776"/>
      <x v="9"/>
      <x v="153"/>
      <x v="50"/>
      <x v="1"/>
      <x v="13"/>
      <x v="2152"/>
      <x v="1466"/>
    </i>
    <i>
      <x v="7777"/>
      <x v="9"/>
      <x v="153"/>
      <x v="50"/>
      <x v="1"/>
      <x v="1"/>
      <x v="2153"/>
      <x v="1467"/>
    </i>
    <i>
      <x v="7778"/>
      <x v="9"/>
      <x v="153"/>
      <x v="50"/>
      <x v="1"/>
      <x v="3"/>
      <x v="2154"/>
      <x v="1468"/>
    </i>
    <i>
      <x v="7779"/>
      <x v="9"/>
      <x v="153"/>
      <x v="50"/>
      <x v="1"/>
      <x v="5"/>
      <x v="2155"/>
      <x v="1469"/>
    </i>
    <i>
      <x v="7780"/>
      <x v="9"/>
      <x v="153"/>
      <x v="50"/>
      <x v="1"/>
      <x v="14"/>
      <x v="2156"/>
      <x v="1470"/>
    </i>
    <i>
      <x v="7781"/>
      <x v="9"/>
      <x v="153"/>
      <x v="50"/>
      <x v="1"/>
      <x v="12"/>
      <x v="2157"/>
      <x v="1471"/>
    </i>
    <i>
      <x v="7782"/>
      <x v="9"/>
      <x v="153"/>
      <x v="50"/>
      <x v="1"/>
      <x v="10"/>
      <x v="2158"/>
      <x v="1472"/>
    </i>
    <i>
      <x v="7783"/>
      <x v="9"/>
      <x v="153"/>
      <x v="50"/>
      <x v="1"/>
      <x v="15"/>
      <x v="2159"/>
      <x v="1473"/>
    </i>
    <i>
      <x v="7784"/>
      <x v="9"/>
      <x v="153"/>
      <x v="50"/>
      <x v="1"/>
      <x v="6"/>
      <x v="2160"/>
      <x v="1474"/>
    </i>
    <i>
      <x v="7785"/>
      <x v="9"/>
      <x v="153"/>
      <x v="50"/>
      <x v="1"/>
      <x v="7"/>
      <x v="2161"/>
      <x v="1475"/>
    </i>
    <i>
      <x v="7786"/>
      <x v="9"/>
      <x v="153"/>
      <x v="50"/>
      <x v="1"/>
      <x v="4"/>
      <x v="2162"/>
      <x v="1476"/>
    </i>
    <i>
      <x v="7787"/>
      <x v="9"/>
      <x v="153"/>
      <x v="50"/>
      <x v="1"/>
      <x v="9"/>
      <x v="2163"/>
      <x v="1477"/>
    </i>
    <i>
      <x v="7788"/>
      <x v="9"/>
      <x v="153"/>
      <x v="50"/>
      <x v="1"/>
      <x v="16"/>
      <x v="2164"/>
      <x v="1478"/>
    </i>
    <i>
      <x v="7789"/>
      <x v="9"/>
      <x v="153"/>
      <x v="50"/>
      <x v="1"/>
      <x v="8"/>
      <x v="2165"/>
      <x v="1479"/>
    </i>
    <i>
      <x v="7790"/>
      <x v="9"/>
      <x v="153"/>
      <x v="50"/>
      <x v="1"/>
      <x v="2"/>
      <x v="2166"/>
      <x v="1480"/>
    </i>
    <i>
      <x v="7791"/>
      <x v="9"/>
      <x v="153"/>
      <x v="50"/>
      <x v="1"/>
      <x v="11"/>
      <x v="2167"/>
      <x v="1481"/>
    </i>
    <i>
      <x v="7792"/>
      <x v="9"/>
      <x v="154"/>
      <x v="50"/>
      <x/>
      <x/>
      <x v="2168"/>
      <x v="1482"/>
    </i>
    <i>
      <x v="7793"/>
      <x v="9"/>
      <x v="154"/>
      <x v="50"/>
      <x v="1"/>
      <x v="13"/>
      <x v="2169"/>
      <x v="1483"/>
    </i>
    <i>
      <x v="7794"/>
      <x v="9"/>
      <x v="154"/>
      <x v="50"/>
      <x v="1"/>
      <x v="1"/>
      <x v="2170"/>
      <x v="1484"/>
    </i>
    <i>
      <x v="7795"/>
      <x v="9"/>
      <x v="154"/>
      <x v="50"/>
      <x v="1"/>
      <x v="3"/>
      <x v="2171"/>
      <x v="1485"/>
    </i>
    <i>
      <x v="7796"/>
      <x v="9"/>
      <x v="154"/>
      <x v="50"/>
      <x v="1"/>
      <x v="5"/>
      <x v="2172"/>
      <x v="1486"/>
    </i>
    <i>
      <x v="7797"/>
      <x v="9"/>
      <x v="154"/>
      <x v="50"/>
      <x v="1"/>
      <x v="14"/>
      <x v="2173"/>
      <x v="1487"/>
    </i>
    <i>
      <x v="7798"/>
      <x v="9"/>
      <x v="154"/>
      <x v="50"/>
      <x v="1"/>
      <x v="12"/>
      <x v="2174"/>
      <x v="1488"/>
    </i>
    <i>
      <x v="7799"/>
      <x v="9"/>
      <x v="154"/>
      <x v="50"/>
      <x v="1"/>
      <x v="10"/>
      <x v="2175"/>
      <x v="1489"/>
    </i>
    <i>
      <x v="7800"/>
      <x v="9"/>
      <x v="154"/>
      <x v="50"/>
      <x v="1"/>
      <x v="15"/>
      <x v="2176"/>
      <x v="1490"/>
    </i>
    <i>
      <x v="7801"/>
      <x v="9"/>
      <x v="154"/>
      <x v="50"/>
      <x v="1"/>
      <x v="6"/>
      <x v="2177"/>
      <x v="1491"/>
    </i>
    <i>
      <x v="7802"/>
      <x v="9"/>
      <x v="154"/>
      <x v="50"/>
      <x v="1"/>
      <x v="7"/>
      <x v="2178"/>
      <x v="1492"/>
    </i>
    <i>
      <x v="7803"/>
      <x v="9"/>
      <x v="154"/>
      <x v="50"/>
      <x v="1"/>
      <x v="4"/>
      <x v="2179"/>
      <x v="1493"/>
    </i>
    <i>
      <x v="7804"/>
      <x v="9"/>
      <x v="154"/>
      <x v="50"/>
      <x v="1"/>
      <x v="9"/>
      <x v="2180"/>
      <x v="1494"/>
    </i>
    <i>
      <x v="7805"/>
      <x v="9"/>
      <x v="154"/>
      <x v="50"/>
      <x v="1"/>
      <x v="16"/>
      <x v="2181"/>
      <x v="1495"/>
    </i>
    <i>
      <x v="7806"/>
      <x v="9"/>
      <x v="154"/>
      <x v="50"/>
      <x v="1"/>
      <x v="8"/>
      <x v="2182"/>
      <x v="1496"/>
    </i>
    <i>
      <x v="7807"/>
      <x v="9"/>
      <x v="154"/>
      <x v="50"/>
      <x v="1"/>
      <x v="2"/>
      <x v="2183"/>
      <x v="1497"/>
    </i>
    <i>
      <x v="7808"/>
      <x v="9"/>
      <x v="154"/>
      <x v="50"/>
      <x v="1"/>
      <x v="11"/>
      <x v="2184"/>
      <x v="1498"/>
    </i>
    <i>
      <x v="7809"/>
      <x v="9"/>
      <x v="155"/>
      <x v="50"/>
      <x/>
      <x/>
      <x v="2185"/>
      <x v="1499"/>
    </i>
    <i>
      <x v="7810"/>
      <x v="9"/>
      <x v="155"/>
      <x v="50"/>
      <x v="1"/>
      <x v="13"/>
      <x v="2186"/>
      <x v="1500"/>
    </i>
    <i>
      <x v="7811"/>
      <x v="9"/>
      <x v="155"/>
      <x v="50"/>
      <x v="1"/>
      <x v="1"/>
      <x v="2187"/>
      <x v="1501"/>
    </i>
    <i>
      <x v="7812"/>
      <x v="9"/>
      <x v="155"/>
      <x v="50"/>
      <x v="1"/>
      <x v="3"/>
      <x v="2188"/>
      <x v="1502"/>
    </i>
    <i>
      <x v="7813"/>
      <x v="9"/>
      <x v="155"/>
      <x v="50"/>
      <x v="1"/>
      <x v="5"/>
      <x v="2189"/>
      <x v="1503"/>
    </i>
    <i>
      <x v="7814"/>
      <x v="9"/>
      <x v="155"/>
      <x v="50"/>
      <x v="1"/>
      <x v="14"/>
      <x v="2190"/>
      <x v="1504"/>
    </i>
    <i>
      <x v="7815"/>
      <x v="9"/>
      <x v="155"/>
      <x v="50"/>
      <x v="1"/>
      <x v="12"/>
      <x v="2191"/>
      <x v="1505"/>
    </i>
    <i>
      <x v="7816"/>
      <x v="9"/>
      <x v="155"/>
      <x v="50"/>
      <x v="1"/>
      <x v="10"/>
      <x v="2192"/>
      <x v="1506"/>
    </i>
    <i>
      <x v="7817"/>
      <x v="9"/>
      <x v="155"/>
      <x v="50"/>
      <x v="1"/>
      <x v="15"/>
      <x v="2193"/>
      <x v="1507"/>
    </i>
    <i>
      <x v="7818"/>
      <x v="9"/>
      <x v="155"/>
      <x v="50"/>
      <x v="1"/>
      <x v="6"/>
      <x v="2194"/>
      <x v="1508"/>
    </i>
    <i>
      <x v="7819"/>
      <x v="9"/>
      <x v="155"/>
      <x v="50"/>
      <x v="1"/>
      <x v="7"/>
      <x v="2195"/>
      <x v="1509"/>
    </i>
    <i>
      <x v="7820"/>
      <x v="9"/>
      <x v="155"/>
      <x v="50"/>
      <x v="1"/>
      <x v="4"/>
      <x v="2196"/>
      <x v="1510"/>
    </i>
    <i>
      <x v="7821"/>
      <x v="9"/>
      <x v="155"/>
      <x v="50"/>
      <x v="1"/>
      <x v="9"/>
      <x v="2197"/>
      <x v="1511"/>
    </i>
    <i>
      <x v="7822"/>
      <x v="9"/>
      <x v="155"/>
      <x v="50"/>
      <x v="1"/>
      <x v="16"/>
      <x v="2198"/>
      <x v="1512"/>
    </i>
    <i>
      <x v="7823"/>
      <x v="9"/>
      <x v="155"/>
      <x v="50"/>
      <x v="1"/>
      <x v="8"/>
      <x v="2199"/>
      <x v="1513"/>
    </i>
    <i>
      <x v="7824"/>
      <x v="9"/>
      <x v="155"/>
      <x v="50"/>
      <x v="1"/>
      <x v="2"/>
      <x v="2200"/>
      <x v="1514"/>
    </i>
    <i>
      <x v="7825"/>
      <x v="9"/>
      <x v="155"/>
      <x v="50"/>
      <x v="1"/>
      <x v="11"/>
      <x v="2201"/>
      <x v="1515"/>
    </i>
    <i>
      <x v="7826"/>
      <x v="10"/>
      <x v="146"/>
      <x v="91"/>
      <x/>
      <x/>
      <x v="2202"/>
      <x v="1516"/>
    </i>
    <i>
      <x v="7827"/>
      <x v="10"/>
      <x v="146"/>
      <x v="91"/>
      <x v="1"/>
      <x v="13"/>
      <x v="2203"/>
      <x v="1517"/>
    </i>
    <i>
      <x v="7828"/>
      <x v="10"/>
      <x v="146"/>
      <x v="91"/>
      <x v="1"/>
      <x v="1"/>
      <x v="2204"/>
      <x v="1518"/>
    </i>
    <i>
      <x v="7829"/>
      <x v="10"/>
      <x v="146"/>
      <x v="91"/>
      <x v="1"/>
      <x v="3"/>
      <x v="2205"/>
      <x v="1519"/>
    </i>
    <i>
      <x v="7830"/>
      <x v="10"/>
      <x v="146"/>
      <x v="91"/>
      <x v="1"/>
      <x v="5"/>
      <x v="2206"/>
      <x v="1520"/>
    </i>
    <i>
      <x v="7831"/>
      <x v="10"/>
      <x v="146"/>
      <x v="91"/>
      <x v="1"/>
      <x v="14"/>
      <x v="2207"/>
      <x v="1521"/>
    </i>
    <i>
      <x v="7832"/>
      <x v="10"/>
      <x v="146"/>
      <x v="91"/>
      <x v="1"/>
      <x v="12"/>
      <x v="2208"/>
      <x v="1522"/>
    </i>
    <i>
      <x v="7833"/>
      <x v="10"/>
      <x v="146"/>
      <x v="91"/>
      <x v="1"/>
      <x v="10"/>
      <x v="2209"/>
      <x v="1523"/>
    </i>
    <i>
      <x v="7834"/>
      <x v="10"/>
      <x v="146"/>
      <x v="91"/>
      <x v="1"/>
      <x v="15"/>
      <x v="2210"/>
      <x v="1524"/>
    </i>
    <i>
      <x v="7835"/>
      <x v="10"/>
      <x v="146"/>
      <x v="91"/>
      <x v="1"/>
      <x v="6"/>
      <x v="2211"/>
      <x v="1525"/>
    </i>
    <i>
      <x v="7836"/>
      <x v="10"/>
      <x v="146"/>
      <x v="91"/>
      <x v="1"/>
      <x v="7"/>
      <x v="2212"/>
      <x v="1526"/>
    </i>
    <i>
      <x v="7837"/>
      <x v="10"/>
      <x v="146"/>
      <x v="91"/>
      <x v="1"/>
      <x v="4"/>
      <x v="2213"/>
      <x v="1527"/>
    </i>
    <i>
      <x v="7838"/>
      <x v="10"/>
      <x v="146"/>
      <x v="91"/>
      <x v="1"/>
      <x v="9"/>
      <x v="2214"/>
      <x v="1528"/>
    </i>
    <i>
      <x v="7839"/>
      <x v="10"/>
      <x v="146"/>
      <x v="91"/>
      <x v="1"/>
      <x v="16"/>
      <x v="2215"/>
      <x v="1529"/>
    </i>
    <i>
      <x v="7840"/>
      <x v="10"/>
      <x v="146"/>
      <x v="91"/>
      <x v="1"/>
      <x v="8"/>
      <x v="2216"/>
      <x v="1530"/>
    </i>
    <i>
      <x v="7841"/>
      <x v="10"/>
      <x v="146"/>
      <x v="91"/>
      <x v="1"/>
      <x v="2"/>
      <x v="2217"/>
      <x v="1531"/>
    </i>
    <i>
      <x v="7842"/>
      <x v="10"/>
      <x v="146"/>
      <x v="91"/>
      <x v="1"/>
      <x v="11"/>
      <x v="2218"/>
      <x v="1532"/>
    </i>
    <i>
      <x v="7843"/>
      <x v="10"/>
      <x v="146"/>
      <x v="91"/>
      <x/>
      <x/>
      <x v="2219"/>
      <x v="1533"/>
    </i>
    <i>
      <x v="7844"/>
      <x v="10"/>
      <x v="146"/>
      <x v="91"/>
      <x v="1"/>
      <x v="13"/>
      <x v="2220"/>
      <x v="1534"/>
    </i>
    <i>
      <x v="7845"/>
      <x v="10"/>
      <x v="146"/>
      <x v="91"/>
      <x v="1"/>
      <x v="1"/>
      <x v="2221"/>
      <x v="1535"/>
    </i>
    <i>
      <x v="7846"/>
      <x v="10"/>
      <x v="146"/>
      <x v="91"/>
      <x v="1"/>
      <x v="3"/>
      <x v="2222"/>
      <x v="1536"/>
    </i>
    <i>
      <x v="7847"/>
      <x v="10"/>
      <x v="146"/>
      <x v="91"/>
      <x v="1"/>
      <x v="5"/>
      <x v="2223"/>
      <x v="1537"/>
    </i>
    <i>
      <x v="7848"/>
      <x v="10"/>
      <x v="146"/>
      <x v="91"/>
      <x v="1"/>
      <x v="14"/>
      <x v="2224"/>
      <x v="1538"/>
    </i>
    <i>
      <x v="7849"/>
      <x v="10"/>
      <x v="146"/>
      <x v="91"/>
      <x v="1"/>
      <x v="12"/>
      <x v="2225"/>
      <x v="1539"/>
    </i>
    <i>
      <x v="7850"/>
      <x v="10"/>
      <x v="146"/>
      <x v="91"/>
      <x v="1"/>
      <x v="10"/>
      <x v="2226"/>
      <x v="1540"/>
    </i>
    <i>
      <x v="7851"/>
      <x v="10"/>
      <x v="146"/>
      <x v="91"/>
      <x v="1"/>
      <x v="15"/>
      <x v="2227"/>
      <x v="1541"/>
    </i>
    <i>
      <x v="7852"/>
      <x v="10"/>
      <x v="146"/>
      <x v="91"/>
      <x v="1"/>
      <x v="6"/>
      <x v="2228"/>
      <x v="1542"/>
    </i>
    <i>
      <x v="7853"/>
      <x v="10"/>
      <x v="146"/>
      <x v="91"/>
      <x v="1"/>
      <x v="7"/>
      <x v="2229"/>
      <x v="1543"/>
    </i>
    <i>
      <x v="7854"/>
      <x v="10"/>
      <x v="146"/>
      <x v="91"/>
      <x v="1"/>
      <x v="4"/>
      <x v="2230"/>
      <x v="1544"/>
    </i>
    <i>
      <x v="7855"/>
      <x v="10"/>
      <x v="146"/>
      <x v="91"/>
      <x v="1"/>
      <x v="9"/>
      <x v="2231"/>
      <x v="1545"/>
    </i>
    <i>
      <x v="7856"/>
      <x v="10"/>
      <x v="146"/>
      <x v="91"/>
      <x v="1"/>
      <x v="16"/>
      <x v="2232"/>
      <x v="1546"/>
    </i>
    <i>
      <x v="7857"/>
      <x v="10"/>
      <x v="146"/>
      <x v="91"/>
      <x v="1"/>
      <x v="8"/>
      <x v="2233"/>
      <x v="1547"/>
    </i>
    <i>
      <x v="7858"/>
      <x v="10"/>
      <x v="146"/>
      <x v="91"/>
      <x v="1"/>
      <x v="2"/>
      <x v="2234"/>
      <x v="1548"/>
    </i>
    <i>
      <x v="7859"/>
      <x v="10"/>
      <x v="146"/>
      <x v="91"/>
      <x v="1"/>
      <x v="11"/>
      <x v="2235"/>
      <x v="1549"/>
    </i>
    <i>
      <x v="7860"/>
      <x v="10"/>
      <x v="147"/>
      <x v="91"/>
      <x/>
      <x/>
      <x v="2236"/>
      <x v="1550"/>
    </i>
    <i>
      <x v="7861"/>
      <x v="10"/>
      <x v="147"/>
      <x v="91"/>
      <x v="1"/>
      <x v="13"/>
      <x v="2237"/>
      <x v="1551"/>
    </i>
    <i>
      <x v="7862"/>
      <x v="10"/>
      <x v="147"/>
      <x v="91"/>
      <x v="1"/>
      <x v="1"/>
      <x v="2238"/>
      <x v="1552"/>
    </i>
    <i>
      <x v="7863"/>
      <x v="10"/>
      <x v="147"/>
      <x v="91"/>
      <x v="1"/>
      <x v="3"/>
      <x v="2239"/>
      <x v="1553"/>
    </i>
    <i>
      <x v="7864"/>
      <x v="10"/>
      <x v="147"/>
      <x v="91"/>
      <x v="1"/>
      <x v="5"/>
      <x v="2240"/>
      <x v="1554"/>
    </i>
    <i>
      <x v="7865"/>
      <x v="10"/>
      <x v="147"/>
      <x v="91"/>
      <x v="1"/>
      <x v="14"/>
      <x v="2241"/>
      <x v="1555"/>
    </i>
    <i>
      <x v="7866"/>
      <x v="10"/>
      <x v="147"/>
      <x v="91"/>
      <x v="1"/>
      <x v="12"/>
      <x v="2242"/>
      <x v="1556"/>
    </i>
    <i>
      <x v="7867"/>
      <x v="10"/>
      <x v="147"/>
      <x v="91"/>
      <x v="1"/>
      <x v="10"/>
      <x v="2243"/>
      <x v="1557"/>
    </i>
    <i>
      <x v="7868"/>
      <x v="10"/>
      <x v="147"/>
      <x v="91"/>
      <x v="1"/>
      <x v="15"/>
      <x v="2244"/>
      <x v="1558"/>
    </i>
    <i>
      <x v="7869"/>
      <x v="10"/>
      <x v="147"/>
      <x v="91"/>
      <x v="1"/>
      <x v="6"/>
      <x v="2245"/>
      <x v="1559"/>
    </i>
    <i>
      <x v="7870"/>
      <x v="10"/>
      <x v="147"/>
      <x v="91"/>
      <x v="1"/>
      <x v="7"/>
      <x v="2246"/>
      <x v="1560"/>
    </i>
    <i>
      <x v="7871"/>
      <x v="10"/>
      <x v="147"/>
      <x v="91"/>
      <x v="1"/>
      <x v="4"/>
      <x v="2247"/>
      <x v="1561"/>
    </i>
    <i>
      <x v="7872"/>
      <x v="10"/>
      <x v="147"/>
      <x v="91"/>
      <x v="1"/>
      <x v="9"/>
      <x v="2248"/>
      <x v="1562"/>
    </i>
    <i>
      <x v="7873"/>
      <x v="10"/>
      <x v="147"/>
      <x v="91"/>
      <x v="1"/>
      <x v="16"/>
      <x v="2249"/>
      <x v="1563"/>
    </i>
    <i>
      <x v="7874"/>
      <x v="10"/>
      <x v="147"/>
      <x v="91"/>
      <x v="1"/>
      <x v="8"/>
      <x v="2250"/>
      <x v="1564"/>
    </i>
    <i>
      <x v="7875"/>
      <x v="10"/>
      <x v="147"/>
      <x v="91"/>
      <x v="1"/>
      <x v="2"/>
      <x v="2251"/>
      <x v="1565"/>
    </i>
    <i>
      <x v="7876"/>
      <x v="10"/>
      <x v="147"/>
      <x v="91"/>
      <x v="1"/>
      <x v="11"/>
      <x v="2252"/>
      <x v="1566"/>
    </i>
    <i>
      <x v="7877"/>
      <x v="9"/>
      <x v="148"/>
      <x v="92"/>
      <x/>
      <x/>
      <x v="2253"/>
      <x v="1567"/>
    </i>
    <i>
      <x v="7878"/>
      <x v="9"/>
      <x v="148"/>
      <x v="92"/>
      <x/>
      <x/>
      <x v="2254"/>
      <x v="1568"/>
    </i>
    <i>
      <x v="7879"/>
      <x v="9"/>
      <x v="148"/>
      <x v="92"/>
      <x/>
      <x/>
      <x v="2255"/>
      <x v="1569"/>
    </i>
    <i>
      <x v="7880"/>
      <x v="5"/>
      <x v="149"/>
      <x v="72"/>
      <x/>
      <x/>
      <x v="2256"/>
      <x v="1570"/>
    </i>
    <i>
      <x v="7881"/>
      <x v="5"/>
      <x v="149"/>
      <x v="72"/>
      <x v="1"/>
      <x v="13"/>
      <x v="2257"/>
      <x v="1571"/>
    </i>
    <i>
      <x v="7882"/>
      <x v="5"/>
      <x v="149"/>
      <x v="72"/>
      <x v="1"/>
      <x v="1"/>
      <x v="2258"/>
      <x v="1572"/>
    </i>
    <i>
      <x v="7883"/>
      <x v="5"/>
      <x v="149"/>
      <x v="72"/>
      <x v="1"/>
      <x v="3"/>
      <x v="2259"/>
      <x v="1573"/>
    </i>
    <i>
      <x v="7884"/>
      <x v="5"/>
      <x v="149"/>
      <x v="72"/>
      <x v="1"/>
      <x v="5"/>
      <x v="2260"/>
      <x v="1574"/>
    </i>
    <i>
      <x v="7885"/>
      <x v="5"/>
      <x v="149"/>
      <x v="72"/>
      <x v="1"/>
      <x v="14"/>
      <x v="2261"/>
      <x v="1575"/>
    </i>
    <i>
      <x v="7886"/>
      <x v="5"/>
      <x v="149"/>
      <x v="72"/>
      <x v="1"/>
      <x v="12"/>
      <x v="2262"/>
      <x v="1576"/>
    </i>
    <i>
      <x v="7887"/>
      <x v="5"/>
      <x v="149"/>
      <x v="72"/>
      <x v="1"/>
      <x v="10"/>
      <x v="2263"/>
      <x v="1577"/>
    </i>
    <i>
      <x v="7888"/>
      <x v="5"/>
      <x v="149"/>
      <x v="72"/>
      <x v="1"/>
      <x v="15"/>
      <x v="2264"/>
      <x v="1578"/>
    </i>
    <i>
      <x v="7889"/>
      <x v="5"/>
      <x v="149"/>
      <x v="72"/>
      <x v="1"/>
      <x v="6"/>
      <x v="2265"/>
      <x v="1579"/>
    </i>
    <i>
      <x v="7890"/>
      <x v="5"/>
      <x v="149"/>
      <x v="72"/>
      <x v="1"/>
      <x v="7"/>
      <x v="2266"/>
      <x v="1580"/>
    </i>
    <i>
      <x v="7891"/>
      <x v="5"/>
      <x v="149"/>
      <x v="72"/>
      <x v="1"/>
      <x v="4"/>
      <x v="2267"/>
      <x v="1581"/>
    </i>
    <i>
      <x v="7892"/>
      <x v="5"/>
      <x v="149"/>
      <x v="72"/>
      <x v="1"/>
      <x v="9"/>
      <x v="2268"/>
      <x v="1582"/>
    </i>
    <i>
      <x v="7893"/>
      <x v="5"/>
      <x v="149"/>
      <x v="72"/>
      <x v="1"/>
      <x v="16"/>
      <x v="2269"/>
      <x v="1583"/>
    </i>
    <i>
      <x v="7894"/>
      <x v="5"/>
      <x v="149"/>
      <x v="72"/>
      <x v="1"/>
      <x v="8"/>
      <x v="2270"/>
      <x v="1584"/>
    </i>
    <i>
      <x v="7895"/>
      <x v="5"/>
      <x v="149"/>
      <x v="72"/>
      <x v="1"/>
      <x v="2"/>
      <x v="2271"/>
      <x v="1585"/>
    </i>
    <i>
      <x v="7896"/>
      <x v="5"/>
      <x v="149"/>
      <x v="72"/>
      <x v="1"/>
      <x v="11"/>
      <x v="2272"/>
      <x v="1586"/>
    </i>
    <i>
      <x v="7897"/>
      <x v="5"/>
      <x v="150"/>
      <x v="72"/>
      <x/>
      <x/>
      <x v="2273"/>
      <x v="1587"/>
    </i>
    <i>
      <x v="7898"/>
      <x v="5"/>
      <x v="150"/>
      <x v="72"/>
      <x v="1"/>
      <x v="13"/>
      <x v="2274"/>
      <x v="1588"/>
    </i>
    <i>
      <x v="7899"/>
      <x v="5"/>
      <x v="150"/>
      <x v="72"/>
      <x v="1"/>
      <x v="1"/>
      <x v="2275"/>
      <x v="1589"/>
    </i>
    <i>
      <x v="7900"/>
      <x v="5"/>
      <x v="150"/>
      <x v="72"/>
      <x v="1"/>
      <x v="3"/>
      <x v="2276"/>
      <x v="1590"/>
    </i>
    <i>
      <x v="7901"/>
      <x v="5"/>
      <x v="150"/>
      <x v="72"/>
      <x v="1"/>
      <x v="5"/>
      <x v="2277"/>
      <x v="1591"/>
    </i>
    <i>
      <x v="7902"/>
      <x v="5"/>
      <x v="150"/>
      <x v="72"/>
      <x v="1"/>
      <x v="14"/>
      <x v="2278"/>
      <x v="1592"/>
    </i>
    <i>
      <x v="7903"/>
      <x v="5"/>
      <x v="150"/>
      <x v="72"/>
      <x v="1"/>
      <x v="12"/>
      <x v="2279"/>
      <x v="1593"/>
    </i>
    <i>
      <x v="7904"/>
      <x v="5"/>
      <x v="150"/>
      <x v="72"/>
      <x v="1"/>
      <x v="10"/>
      <x v="2280"/>
      <x v="1594"/>
    </i>
    <i>
      <x v="7905"/>
      <x v="5"/>
      <x v="150"/>
      <x v="72"/>
      <x v="1"/>
      <x v="15"/>
      <x v="2281"/>
      <x v="1595"/>
    </i>
    <i>
      <x v="7906"/>
      <x v="5"/>
      <x v="150"/>
      <x v="72"/>
      <x v="1"/>
      <x v="6"/>
      <x v="2282"/>
      <x v="1596"/>
    </i>
    <i>
      <x v="7907"/>
      <x v="5"/>
      <x v="150"/>
      <x v="72"/>
      <x v="1"/>
      <x v="7"/>
      <x v="2283"/>
      <x v="1597"/>
    </i>
    <i>
      <x v="7908"/>
      <x v="5"/>
      <x v="150"/>
      <x v="72"/>
      <x v="1"/>
      <x v="4"/>
      <x v="2284"/>
      <x v="1598"/>
    </i>
    <i>
      <x v="7909"/>
      <x v="5"/>
      <x v="150"/>
      <x v="72"/>
      <x v="1"/>
      <x v="9"/>
      <x v="2285"/>
      <x v="1599"/>
    </i>
    <i>
      <x v="7910"/>
      <x v="5"/>
      <x v="150"/>
      <x v="72"/>
      <x v="1"/>
      <x v="16"/>
      <x v="2286"/>
      <x v="1600"/>
    </i>
    <i>
      <x v="7911"/>
      <x v="5"/>
      <x v="150"/>
      <x v="72"/>
      <x v="1"/>
      <x v="8"/>
      <x v="2287"/>
      <x v="1601"/>
    </i>
    <i>
      <x v="7912"/>
      <x v="5"/>
      <x v="150"/>
      <x v="72"/>
      <x v="1"/>
      <x v="2"/>
      <x v="2288"/>
      <x v="1602"/>
    </i>
    <i>
      <x v="7913"/>
      <x v="5"/>
      <x v="150"/>
      <x v="72"/>
      <x v="1"/>
      <x v="11"/>
      <x v="2289"/>
      <x v="1603"/>
    </i>
    <i>
      <x v="7914"/>
      <x v="8"/>
      <x v="66"/>
      <x v="64"/>
      <x/>
      <x/>
      <x v="2290"/>
      <x v="1604"/>
    </i>
    <i>
      <x v="7915"/>
      <x v="8"/>
      <x v="66"/>
      <x v="64"/>
      <x/>
      <x/>
      <x v="2291"/>
      <x v="1605"/>
    </i>
    <i>
      <x v="7916"/>
      <x v="8"/>
      <x v="66"/>
      <x v="64"/>
      <x v="1"/>
      <x v="13"/>
      <x v="2292"/>
      <x v="1606"/>
    </i>
    <i>
      <x v="7917"/>
      <x v="8"/>
      <x v="66"/>
      <x v="64"/>
      <x v="1"/>
      <x v="1"/>
      <x v="2293"/>
      <x v="1607"/>
    </i>
    <i>
      <x v="7918"/>
      <x v="8"/>
      <x v="66"/>
      <x v="64"/>
      <x v="1"/>
      <x v="3"/>
      <x v="2294"/>
      <x v="1608"/>
    </i>
    <i>
      <x v="7919"/>
      <x v="8"/>
      <x v="66"/>
      <x v="64"/>
      <x v="1"/>
      <x v="5"/>
      <x v="2295"/>
      <x v="1609"/>
    </i>
    <i>
      <x v="7920"/>
      <x v="8"/>
      <x v="66"/>
      <x v="64"/>
      <x v="1"/>
      <x v="14"/>
      <x v="2296"/>
      <x v="1610"/>
    </i>
    <i>
      <x v="7921"/>
      <x v="8"/>
      <x v="66"/>
      <x v="64"/>
      <x v="1"/>
      <x v="12"/>
      <x v="2297"/>
      <x v="1611"/>
    </i>
    <i>
      <x v="7922"/>
      <x v="8"/>
      <x v="66"/>
      <x v="64"/>
      <x v="1"/>
      <x v="10"/>
      <x v="2298"/>
      <x v="1612"/>
    </i>
    <i>
      <x v="7923"/>
      <x v="8"/>
      <x v="66"/>
      <x v="64"/>
      <x v="1"/>
      <x v="15"/>
      <x v="2299"/>
      <x v="1613"/>
    </i>
    <i>
      <x v="7924"/>
      <x v="8"/>
      <x v="66"/>
      <x v="64"/>
      <x v="1"/>
      <x v="6"/>
      <x v="2300"/>
      <x v="1614"/>
    </i>
    <i>
      <x v="7925"/>
      <x v="8"/>
      <x v="66"/>
      <x v="64"/>
      <x v="1"/>
      <x v="7"/>
      <x v="2301"/>
      <x v="1615"/>
    </i>
    <i>
      <x v="7926"/>
      <x v="8"/>
      <x v="66"/>
      <x v="64"/>
      <x v="1"/>
      <x v="4"/>
      <x v="2302"/>
      <x v="1616"/>
    </i>
    <i>
      <x v="7927"/>
      <x v="8"/>
      <x v="66"/>
      <x v="64"/>
      <x v="1"/>
      <x v="9"/>
      <x v="2303"/>
      <x v="1617"/>
    </i>
    <i>
      <x v="7928"/>
      <x v="8"/>
      <x v="66"/>
      <x v="64"/>
      <x v="1"/>
      <x v="16"/>
      <x v="2304"/>
      <x v="1618"/>
    </i>
    <i>
      <x v="7929"/>
      <x v="8"/>
      <x v="66"/>
      <x v="64"/>
      <x v="1"/>
      <x v="8"/>
      <x v="2305"/>
      <x v="1619"/>
    </i>
    <i>
      <x v="7930"/>
      <x v="8"/>
      <x v="66"/>
      <x v="64"/>
      <x v="1"/>
      <x v="2"/>
      <x v="2306"/>
      <x v="1620"/>
    </i>
    <i>
      <x v="7931"/>
      <x v="8"/>
      <x v="66"/>
      <x v="64"/>
      <x v="1"/>
      <x v="11"/>
      <x v="2307"/>
      <x v="1621"/>
    </i>
    <i>
      <x v="7932"/>
      <x v="8"/>
      <x v="66"/>
      <x v="64"/>
      <x/>
      <x/>
      <x v="2308"/>
      <x v="1622"/>
    </i>
    <i>
      <x v="7933"/>
      <x v="8"/>
      <x v="66"/>
      <x v="64"/>
      <x v="1"/>
      <x v="13"/>
      <x v="2309"/>
      <x v="1623"/>
    </i>
    <i>
      <x v="7934"/>
      <x v="8"/>
      <x v="66"/>
      <x v="64"/>
      <x v="1"/>
      <x v="1"/>
      <x v="2310"/>
      <x v="1624"/>
    </i>
    <i>
      <x v="7935"/>
      <x v="8"/>
      <x v="66"/>
      <x v="64"/>
      <x v="1"/>
      <x v="3"/>
      <x v="2311"/>
      <x v="1625"/>
    </i>
    <i>
      <x v="7936"/>
      <x v="8"/>
      <x v="66"/>
      <x v="64"/>
      <x v="1"/>
      <x v="5"/>
      <x v="2312"/>
      <x v="1626"/>
    </i>
    <i>
      <x v="7937"/>
      <x v="8"/>
      <x v="66"/>
      <x v="64"/>
      <x v="1"/>
      <x v="14"/>
      <x v="2313"/>
      <x v="1627"/>
    </i>
    <i>
      <x v="7938"/>
      <x v="8"/>
      <x v="66"/>
      <x v="64"/>
      <x v="1"/>
      <x v="12"/>
      <x v="2314"/>
      <x v="1628"/>
    </i>
    <i>
      <x v="7939"/>
      <x v="8"/>
      <x v="66"/>
      <x v="64"/>
      <x v="1"/>
      <x v="10"/>
      <x v="2315"/>
      <x v="1629"/>
    </i>
    <i>
      <x v="7940"/>
      <x v="8"/>
      <x v="66"/>
      <x v="64"/>
      <x v="1"/>
      <x v="15"/>
      <x v="2316"/>
      <x v="1630"/>
    </i>
    <i>
      <x v="7941"/>
      <x v="8"/>
      <x v="66"/>
      <x v="64"/>
      <x v="1"/>
      <x v="6"/>
      <x v="2317"/>
      <x v="1631"/>
    </i>
    <i>
      <x v="7942"/>
      <x v="8"/>
      <x v="66"/>
      <x v="64"/>
      <x v="1"/>
      <x v="7"/>
      <x v="2318"/>
      <x v="1632"/>
    </i>
    <i>
      <x v="7943"/>
      <x v="8"/>
      <x v="66"/>
      <x v="64"/>
      <x v="1"/>
      <x v="4"/>
      <x v="2319"/>
      <x v="1633"/>
    </i>
    <i>
      <x v="7944"/>
      <x v="8"/>
      <x v="66"/>
      <x v="64"/>
      <x v="1"/>
      <x v="9"/>
      <x v="2320"/>
      <x v="1634"/>
    </i>
    <i>
      <x v="7945"/>
      <x v="8"/>
      <x v="66"/>
      <x v="64"/>
      <x v="1"/>
      <x v="16"/>
      <x v="2321"/>
      <x v="1635"/>
    </i>
    <i>
      <x v="7946"/>
      <x v="8"/>
      <x v="66"/>
      <x v="64"/>
      <x v="1"/>
      <x v="8"/>
      <x v="2322"/>
      <x v="1636"/>
    </i>
    <i>
      <x v="7947"/>
      <x v="8"/>
      <x v="66"/>
      <x v="64"/>
      <x v="1"/>
      <x v="2"/>
      <x v="2323"/>
      <x v="1637"/>
    </i>
    <i>
      <x v="7948"/>
      <x v="8"/>
      <x v="66"/>
      <x v="64"/>
      <x v="1"/>
      <x v="11"/>
      <x v="2324"/>
      <x v="1638"/>
    </i>
    <i>
      <x v="7949"/>
      <x v="8"/>
      <x v="66"/>
      <x v="64"/>
      <x/>
      <x/>
      <x v="2325"/>
      <x v="1639"/>
    </i>
    <i>
      <x v="7950"/>
      <x v="8"/>
      <x v="66"/>
      <x v="64"/>
      <x v="1"/>
      <x v="13"/>
      <x v="2326"/>
      <x v="1640"/>
    </i>
    <i>
      <x v="7951"/>
      <x v="8"/>
      <x v="66"/>
      <x v="64"/>
      <x v="1"/>
      <x v="1"/>
      <x v="2327"/>
      <x v="1641"/>
    </i>
    <i>
      <x v="7952"/>
      <x v="8"/>
      <x v="66"/>
      <x v="64"/>
      <x v="1"/>
      <x v="3"/>
      <x v="2328"/>
      <x v="1642"/>
    </i>
    <i>
      <x v="7953"/>
      <x v="8"/>
      <x v="66"/>
      <x v="64"/>
      <x v="1"/>
      <x v="5"/>
      <x v="2329"/>
      <x v="1643"/>
    </i>
    <i>
      <x v="7954"/>
      <x v="8"/>
      <x v="66"/>
      <x v="64"/>
      <x v="1"/>
      <x v="14"/>
      <x v="2330"/>
      <x v="1644"/>
    </i>
    <i>
      <x v="7955"/>
      <x v="8"/>
      <x v="66"/>
      <x v="64"/>
      <x v="1"/>
      <x v="12"/>
      <x v="2331"/>
      <x v="1645"/>
    </i>
    <i>
      <x v="7956"/>
      <x v="8"/>
      <x v="66"/>
      <x v="64"/>
      <x v="1"/>
      <x v="10"/>
      <x v="2332"/>
      <x v="1646"/>
    </i>
    <i>
      <x v="7957"/>
      <x v="8"/>
      <x v="66"/>
      <x v="64"/>
      <x v="1"/>
      <x v="15"/>
      <x v="2333"/>
      <x v="1647"/>
    </i>
    <i>
      <x v="7958"/>
      <x v="8"/>
      <x v="66"/>
      <x v="64"/>
      <x v="1"/>
      <x v="6"/>
      <x v="2334"/>
      <x v="1648"/>
    </i>
    <i>
      <x v="7959"/>
      <x v="8"/>
      <x v="66"/>
      <x v="64"/>
      <x v="1"/>
      <x v="7"/>
      <x v="2335"/>
      <x v="1649"/>
    </i>
    <i>
      <x v="7960"/>
      <x v="8"/>
      <x v="66"/>
      <x v="64"/>
      <x v="1"/>
      <x v="4"/>
      <x v="2336"/>
      <x v="1650"/>
    </i>
    <i>
      <x v="7961"/>
      <x v="8"/>
      <x v="66"/>
      <x v="64"/>
      <x v="1"/>
      <x v="9"/>
      <x v="2337"/>
      <x v="1651"/>
    </i>
    <i>
      <x v="7962"/>
      <x v="8"/>
      <x v="66"/>
      <x v="64"/>
      <x v="1"/>
      <x v="16"/>
      <x v="2338"/>
      <x v="1652"/>
    </i>
    <i>
      <x v="7963"/>
      <x v="8"/>
      <x v="66"/>
      <x v="64"/>
      <x v="1"/>
      <x v="8"/>
      <x v="2339"/>
      <x v="1653"/>
    </i>
    <i>
      <x v="7964"/>
      <x v="8"/>
      <x v="66"/>
      <x v="64"/>
      <x v="1"/>
      <x v="2"/>
      <x v="2340"/>
      <x v="1654"/>
    </i>
    <i>
      <x v="7965"/>
      <x v="8"/>
      <x v="66"/>
      <x v="64"/>
      <x v="1"/>
      <x v="11"/>
      <x v="2341"/>
      <x v="1655"/>
    </i>
    <i>
      <x v="7966"/>
      <x v="8"/>
      <x v="66"/>
      <x v="64"/>
      <x/>
      <x/>
      <x v="2342"/>
      <x v="1656"/>
    </i>
    <i>
      <x v="7967"/>
      <x v="8"/>
      <x v="66"/>
      <x v="64"/>
      <x v="1"/>
      <x v="13"/>
      <x v="2343"/>
      <x v="1657"/>
    </i>
    <i>
      <x v="7968"/>
      <x v="8"/>
      <x v="66"/>
      <x v="64"/>
      <x v="1"/>
      <x v="1"/>
      <x v="2344"/>
      <x v="1658"/>
    </i>
    <i>
      <x v="7969"/>
      <x v="8"/>
      <x v="66"/>
      <x v="64"/>
      <x v="1"/>
      <x v="3"/>
      <x v="2345"/>
      <x v="1659"/>
    </i>
    <i>
      <x v="7970"/>
      <x v="8"/>
      <x v="66"/>
      <x v="64"/>
      <x v="1"/>
      <x v="5"/>
      <x v="2346"/>
      <x v="1660"/>
    </i>
    <i>
      <x v="7971"/>
      <x v="8"/>
      <x v="66"/>
      <x v="64"/>
      <x v="1"/>
      <x v="14"/>
      <x v="2347"/>
      <x v="1661"/>
    </i>
    <i>
      <x v="7972"/>
      <x v="8"/>
      <x v="66"/>
      <x v="64"/>
      <x v="1"/>
      <x v="12"/>
      <x v="2348"/>
      <x v="1662"/>
    </i>
    <i>
      <x v="7973"/>
      <x v="8"/>
      <x v="66"/>
      <x v="64"/>
      <x v="1"/>
      <x v="10"/>
      <x v="2349"/>
      <x v="1663"/>
    </i>
    <i>
      <x v="7974"/>
      <x v="8"/>
      <x v="66"/>
      <x v="64"/>
      <x v="1"/>
      <x v="15"/>
      <x v="2350"/>
      <x v="1664"/>
    </i>
    <i>
      <x v="7975"/>
      <x v="8"/>
      <x v="66"/>
      <x v="64"/>
      <x v="1"/>
      <x v="6"/>
      <x v="2351"/>
      <x v="1665"/>
    </i>
    <i>
      <x v="7976"/>
      <x v="8"/>
      <x v="66"/>
      <x v="64"/>
      <x v="1"/>
      <x v="7"/>
      <x v="2352"/>
      <x v="1666"/>
    </i>
    <i>
      <x v="7977"/>
      <x v="8"/>
      <x v="66"/>
      <x v="64"/>
      <x v="1"/>
      <x v="4"/>
      <x v="2353"/>
      <x v="1667"/>
    </i>
    <i>
      <x v="7978"/>
      <x v="8"/>
      <x v="66"/>
      <x v="64"/>
      <x v="1"/>
      <x v="9"/>
      <x v="2354"/>
      <x v="1668"/>
    </i>
    <i>
      <x v="7979"/>
      <x v="8"/>
      <x v="66"/>
      <x v="64"/>
      <x v="1"/>
      <x v="16"/>
      <x v="2355"/>
      <x v="1669"/>
    </i>
    <i>
      <x v="7980"/>
      <x v="8"/>
      <x v="66"/>
      <x v="64"/>
      <x v="1"/>
      <x v="8"/>
      <x v="2356"/>
      <x v="1670"/>
    </i>
    <i>
      <x v="7981"/>
      <x v="8"/>
      <x v="66"/>
      <x v="64"/>
      <x v="1"/>
      <x v="2"/>
      <x v="2357"/>
      <x v="1671"/>
    </i>
    <i>
      <x v="7982"/>
      <x v="8"/>
      <x v="66"/>
      <x v="64"/>
      <x v="1"/>
      <x v="11"/>
      <x v="2358"/>
      <x v="1672"/>
    </i>
    <i>
      <x v="7983"/>
      <x v="8"/>
      <x v="66"/>
      <x v="64"/>
      <x/>
      <x/>
      <x v="2359"/>
      <x v="1673"/>
    </i>
    <i>
      <x v="7984"/>
      <x v="8"/>
      <x v="66"/>
      <x v="64"/>
      <x v="1"/>
      <x v="13"/>
      <x v="2360"/>
      <x v="1674"/>
    </i>
    <i>
      <x v="7985"/>
      <x v="8"/>
      <x v="66"/>
      <x v="64"/>
      <x v="1"/>
      <x v="1"/>
      <x v="2361"/>
      <x v="1675"/>
    </i>
    <i>
      <x v="7986"/>
      <x v="8"/>
      <x v="66"/>
      <x v="64"/>
      <x v="1"/>
      <x v="3"/>
      <x v="2362"/>
      <x v="1676"/>
    </i>
    <i>
      <x v="7987"/>
      <x v="8"/>
      <x v="66"/>
      <x v="64"/>
      <x v="1"/>
      <x v="5"/>
      <x v="2363"/>
      <x v="1677"/>
    </i>
    <i>
      <x v="7988"/>
      <x v="8"/>
      <x v="66"/>
      <x v="64"/>
      <x v="1"/>
      <x v="14"/>
      <x v="2364"/>
      <x v="1678"/>
    </i>
    <i>
      <x v="7989"/>
      <x v="8"/>
      <x v="66"/>
      <x v="64"/>
      <x v="1"/>
      <x v="12"/>
      <x v="2365"/>
      <x v="1679"/>
    </i>
    <i>
      <x v="7990"/>
      <x v="8"/>
      <x v="66"/>
      <x v="64"/>
      <x v="1"/>
      <x v="10"/>
      <x v="2366"/>
      <x v="1680"/>
    </i>
    <i>
      <x v="7991"/>
      <x v="8"/>
      <x v="66"/>
      <x v="64"/>
      <x v="1"/>
      <x v="15"/>
      <x v="2367"/>
      <x v="1681"/>
    </i>
    <i>
      <x v="7992"/>
      <x v="8"/>
      <x v="66"/>
      <x v="64"/>
      <x v="1"/>
      <x v="6"/>
      <x v="2368"/>
      <x v="1682"/>
    </i>
    <i>
      <x v="7993"/>
      <x v="8"/>
      <x v="66"/>
      <x v="64"/>
      <x v="1"/>
      <x v="7"/>
      <x v="2369"/>
      <x v="1683"/>
    </i>
    <i>
      <x v="7994"/>
      <x v="8"/>
      <x v="66"/>
      <x v="64"/>
      <x v="1"/>
      <x v="4"/>
      <x v="2370"/>
      <x v="1684"/>
    </i>
    <i>
      <x v="7995"/>
      <x v="8"/>
      <x v="66"/>
      <x v="64"/>
      <x v="1"/>
      <x v="9"/>
      <x v="2371"/>
      <x v="1685"/>
    </i>
    <i>
      <x v="7996"/>
      <x v="8"/>
      <x v="66"/>
      <x v="64"/>
      <x v="1"/>
      <x v="16"/>
      <x v="2372"/>
      <x v="1686"/>
    </i>
    <i>
      <x v="7997"/>
      <x v="8"/>
      <x v="66"/>
      <x v="64"/>
      <x v="1"/>
      <x v="8"/>
      <x v="2373"/>
      <x v="1687"/>
    </i>
    <i>
      <x v="7998"/>
      <x v="8"/>
      <x v="66"/>
      <x v="64"/>
      <x v="1"/>
      <x v="2"/>
      <x v="2374"/>
      <x v="1688"/>
    </i>
    <i>
      <x v="7999"/>
      <x v="8"/>
      <x v="66"/>
      <x v="64"/>
      <x v="1"/>
      <x v="11"/>
      <x v="2375"/>
      <x v="168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809155-381C-4432-9B5A-1D7F5E378C6D}" name="TablaDinámica7" cacheId="14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M3:M178"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6">
        <item m="1" x="185"/>
        <item m="1" x="184"/>
        <item m="1" x="183"/>
        <item m="1" x="175"/>
        <item m="1" x="176"/>
        <item m="1" x="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m="1" x="178"/>
        <item x="43"/>
        <item x="44"/>
        <item x="45"/>
        <item x="46"/>
        <item x="47"/>
        <item x="48"/>
        <item x="49"/>
        <item x="50"/>
        <item x="51"/>
        <item x="52"/>
        <item x="53"/>
        <item x="54"/>
        <item x="55"/>
        <item x="56"/>
        <item x="57"/>
        <item x="58"/>
        <item x="59"/>
        <item x="60"/>
        <item x="61"/>
        <item x="62"/>
        <item x="63"/>
        <item m="1" x="180"/>
        <item m="1" x="177"/>
        <item x="67"/>
        <item x="68"/>
        <item x="69"/>
        <item x="70"/>
        <item x="71"/>
        <item x="72"/>
        <item x="73"/>
        <item x="74"/>
        <item x="75"/>
        <item x="76"/>
        <item x="77"/>
        <item x="78"/>
        <item x="79"/>
        <item x="80"/>
        <item x="81"/>
        <item x="82"/>
        <item x="83"/>
        <item x="84"/>
        <item x="85"/>
        <item x="86"/>
        <item x="87"/>
        <item x="88"/>
        <item x="89"/>
        <item x="90"/>
        <item x="91"/>
        <item x="92"/>
        <item x="93"/>
        <item x="94"/>
        <item x="64"/>
        <item x="65"/>
        <item x="66"/>
        <item x="42"/>
        <item x="95"/>
        <item x="96"/>
        <item x="97"/>
        <item x="98"/>
        <item x="99"/>
        <item x="100"/>
        <item x="101"/>
        <item x="102"/>
        <item x="103"/>
        <item m="1" x="182"/>
        <item x="105"/>
        <item x="106"/>
        <item x="107"/>
        <item x="108"/>
        <item x="109"/>
        <item x="110"/>
        <item x="111"/>
        <item x="112"/>
        <item x="113"/>
        <item x="114"/>
        <item x="115"/>
        <item x="116"/>
        <item x="117"/>
        <item x="118"/>
        <item x="119"/>
        <item x="120"/>
        <item x="121"/>
        <item x="122"/>
        <item m="1" x="181"/>
        <item x="104"/>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175">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9"/>
    </i>
    <i>
      <x v="50"/>
    </i>
    <i>
      <x v="51"/>
    </i>
    <i>
      <x v="52"/>
    </i>
    <i>
      <x v="53"/>
    </i>
    <i>
      <x v="54"/>
    </i>
    <i>
      <x v="55"/>
    </i>
    <i>
      <x v="56"/>
    </i>
    <i>
      <x v="57"/>
    </i>
    <i>
      <x v="58"/>
    </i>
    <i>
      <x v="59"/>
    </i>
    <i>
      <x v="60"/>
    </i>
    <i>
      <x v="61"/>
    </i>
    <i>
      <x v="62"/>
    </i>
    <i>
      <x v="63"/>
    </i>
    <i>
      <x v="64"/>
    </i>
    <i>
      <x v="65"/>
    </i>
    <i>
      <x v="66"/>
    </i>
    <i>
      <x v="67"/>
    </i>
    <i>
      <x v="68"/>
    </i>
    <i>
      <x v="69"/>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4"/>
    </i>
    <i>
      <x v="115"/>
    </i>
    <i>
      <x v="116"/>
    </i>
    <i>
      <x v="117"/>
    </i>
    <i>
      <x v="118"/>
    </i>
    <i>
      <x v="119"/>
    </i>
    <i>
      <x v="120"/>
    </i>
    <i>
      <x v="121"/>
    </i>
    <i>
      <x v="122"/>
    </i>
    <i>
      <x v="123"/>
    </i>
    <i>
      <x v="124"/>
    </i>
    <i>
      <x v="125"/>
    </i>
    <i>
      <x v="126"/>
    </i>
    <i>
      <x v="127"/>
    </i>
    <i>
      <x v="128"/>
    </i>
    <i>
      <x v="129"/>
    </i>
    <i>
      <x v="130"/>
    </i>
    <i>
      <x v="131"/>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A83917-5E13-474F-96F2-8E7D27320B6A}" name="TablaDinámica6" cacheId="14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I3:I24"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3"/>
        <item m="1" x="24"/>
        <item m="1" x="26"/>
        <item m="1" x="27"/>
        <item x="0"/>
        <item m="1" x="25"/>
        <item m="1" x="22"/>
        <item x="1"/>
        <item m="1" x="21"/>
        <item x="2"/>
        <item x="4"/>
        <item x="5"/>
        <item x="6"/>
        <item x="7"/>
        <item x="8"/>
        <item x="10"/>
        <item x="11"/>
        <item m="1" x="23"/>
        <item x="13"/>
        <item x="14"/>
        <item x="15"/>
        <item x="16"/>
        <item x="17"/>
        <item x="18"/>
        <item x="12"/>
        <item x="9"/>
        <item x="19"/>
        <item x="2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21">
    <i>
      <x/>
    </i>
    <i>
      <x v="4"/>
    </i>
    <i>
      <x v="7"/>
    </i>
    <i>
      <x v="9"/>
    </i>
    <i>
      <x v="10"/>
    </i>
    <i>
      <x v="11"/>
    </i>
    <i>
      <x v="12"/>
    </i>
    <i>
      <x v="13"/>
    </i>
    <i>
      <x v="14"/>
    </i>
    <i>
      <x v="15"/>
    </i>
    <i>
      <x v="16"/>
    </i>
    <i>
      <x v="18"/>
    </i>
    <i>
      <x v="19"/>
    </i>
    <i>
      <x v="20"/>
    </i>
    <i>
      <x v="21"/>
    </i>
    <i>
      <x v="22"/>
    </i>
    <i>
      <x v="23"/>
    </i>
    <i>
      <x v="24"/>
    </i>
    <i>
      <x v="25"/>
    </i>
    <i>
      <x v="26"/>
    </i>
    <i>
      <x v="2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70BAEC-3674-494C-96AA-D9E473F73853}" name="TablaDinámica4" cacheId="14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R3:R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3"/>
        <item x="0"/>
        <item m="1" x="4"/>
        <item x="1"/>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2">
    <i>
      <x v="1"/>
    </i>
    <i>
      <x v="3"/>
    </i>
  </rowItems>
  <colItems count="1">
    <i/>
  </colItems>
  <formats count="2">
    <format dxfId="4">
      <pivotArea field="7" type="button" dataOnly="0" labelOnly="1" outline="0" axis="axisRow" fieldPosition="0"/>
    </format>
    <format dxfId="3">
      <pivotArea field="7"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73AC8F-C5B9-4397-881E-C87F4D5D72DB}" name="TablaDinámica3" cacheId="14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E3:E43"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4">
        <item m="1" x="59"/>
        <item m="1" x="55"/>
        <item m="1" x="68"/>
        <item m="1" x="85"/>
        <item m="1" x="65"/>
        <item m="1" x="60"/>
        <item m="1" x="67"/>
        <item m="1" x="61"/>
        <item m="1" x="50"/>
        <item m="1" x="48"/>
        <item x="4"/>
        <item m="1" x="42"/>
        <item m="1" x="86"/>
        <item m="1" x="88"/>
        <item m="1" x="49"/>
        <item m="1" x="83"/>
        <item m="1" x="75"/>
        <item m="1" x="46"/>
        <item m="1" x="52"/>
        <item m="1" x="81"/>
        <item m="1" x="93"/>
        <item m="1" x="57"/>
        <item m="1" x="92"/>
        <item m="1" x="72"/>
        <item m="1" x="87"/>
        <item m="1" x="71"/>
        <item m="1" x="64"/>
        <item m="1" x="70"/>
        <item m="1" x="51"/>
        <item m="1" x="78"/>
        <item m="1" x="56"/>
        <item m="1" x="69"/>
        <item x="15"/>
        <item m="1" x="43"/>
        <item m="1" x="62"/>
        <item m="1" x="80"/>
        <item m="1" x="77"/>
        <item m="1" x="63"/>
        <item m="1" x="44"/>
        <item m="1" x="66"/>
        <item m="1" x="79"/>
        <item m="1" x="53"/>
        <item m="1" x="74"/>
        <item m="1" x="91"/>
        <item x="11"/>
        <item m="1" x="84"/>
        <item m="1" x="89"/>
        <item m="1" x="54"/>
        <item x="24"/>
        <item x="0"/>
        <item m="1" x="58"/>
        <item x="2"/>
        <item m="1" x="76"/>
        <item x="5"/>
        <item x="9"/>
        <item x="10"/>
        <item x="12"/>
        <item x="16"/>
        <item m="1" x="47"/>
        <item x="19"/>
        <item x="22"/>
        <item x="21"/>
        <item x="31"/>
        <item m="1" x="73"/>
        <item x="6"/>
        <item x="7"/>
        <item x="8"/>
        <item x="13"/>
        <item x="14"/>
        <item x="23"/>
        <item x="18"/>
        <item m="1" x="90"/>
        <item x="26"/>
        <item m="1" x="82"/>
        <item m="1" x="45"/>
        <item x="27"/>
        <item x="25"/>
        <item m="1" x="41"/>
        <item m="1" x="40"/>
        <item x="20"/>
        <item x="28"/>
        <item x="1"/>
        <item x="3"/>
        <item x="17"/>
        <item x="29"/>
        <item x="30"/>
        <item x="32"/>
        <item x="33"/>
        <item x="34"/>
        <item x="35"/>
        <item x="36"/>
        <item x="37"/>
        <item x="38"/>
        <item x="3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40">
    <i>
      <x v="10"/>
    </i>
    <i>
      <x v="32"/>
    </i>
    <i>
      <x v="44"/>
    </i>
    <i>
      <x v="48"/>
    </i>
    <i>
      <x v="49"/>
    </i>
    <i>
      <x v="51"/>
    </i>
    <i>
      <x v="53"/>
    </i>
    <i>
      <x v="54"/>
    </i>
    <i>
      <x v="55"/>
    </i>
    <i>
      <x v="56"/>
    </i>
    <i>
      <x v="57"/>
    </i>
    <i>
      <x v="59"/>
    </i>
    <i>
      <x v="60"/>
    </i>
    <i>
      <x v="61"/>
    </i>
    <i>
      <x v="62"/>
    </i>
    <i>
      <x v="64"/>
    </i>
    <i>
      <x v="65"/>
    </i>
    <i>
      <x v="66"/>
    </i>
    <i>
      <x v="67"/>
    </i>
    <i>
      <x v="68"/>
    </i>
    <i>
      <x v="69"/>
    </i>
    <i>
      <x v="70"/>
    </i>
    <i>
      <x v="72"/>
    </i>
    <i>
      <x v="75"/>
    </i>
    <i>
      <x v="76"/>
    </i>
    <i>
      <x v="79"/>
    </i>
    <i>
      <x v="80"/>
    </i>
    <i>
      <x v="81"/>
    </i>
    <i>
      <x v="82"/>
    </i>
    <i>
      <x v="83"/>
    </i>
    <i>
      <x v="84"/>
    </i>
    <i>
      <x v="85"/>
    </i>
    <i>
      <x v="86"/>
    </i>
    <i>
      <x v="87"/>
    </i>
    <i>
      <x v="88"/>
    </i>
    <i>
      <x v="89"/>
    </i>
    <i>
      <x v="90"/>
    </i>
    <i>
      <x v="91"/>
    </i>
    <i>
      <x v="92"/>
    </i>
    <i>
      <x v="9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DDEFDB-163D-4CC1-8861-7C6E3CE442CC}" name="TablaDinámica2" cacheId="14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A10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2">
        <item x="41"/>
        <item m="1" x="124"/>
        <item m="1" x="147"/>
        <item x="5"/>
        <item m="1" x="105"/>
        <item m="1" x="148"/>
        <item m="1" x="128"/>
        <item m="1" x="117"/>
        <item m="1" x="114"/>
        <item m="1" x="132"/>
        <item x="0"/>
        <item x="3"/>
        <item m="1" x="140"/>
        <item m="1" x="149"/>
        <item x="9"/>
        <item m="1" x="120"/>
        <item m="1" x="141"/>
        <item m="1" x="136"/>
        <item x="12"/>
        <item m="1" x="129"/>
        <item m="1" x="113"/>
        <item m="1" x="135"/>
        <item m="1" x="121"/>
        <item m="1" x="133"/>
        <item m="1" x="109"/>
        <item x="18"/>
        <item x="51"/>
        <item m="1" x="110"/>
        <item m="1" x="125"/>
        <item m="1" x="107"/>
        <item m="1" x="143"/>
        <item m="1" x="131"/>
        <item m="1" x="119"/>
        <item m="1" x="150"/>
        <item x="24"/>
        <item x="25"/>
        <item x="26"/>
        <item x="27"/>
        <item m="1" x="126"/>
        <item x="28"/>
        <item x="29"/>
        <item x="30"/>
        <item x="31"/>
        <item x="32"/>
        <item x="33"/>
        <item x="34"/>
        <item x="35"/>
        <item m="1" x="142"/>
        <item m="1" x="146"/>
        <item m="1" x="103"/>
        <item m="1" x="104"/>
        <item m="1" x="122"/>
        <item m="1" x="115"/>
        <item m="1" x="139"/>
        <item m="1" x="145"/>
        <item x="40"/>
        <item m="1" x="127"/>
        <item m="1" x="106"/>
        <item m="1" x="116"/>
        <item m="1" x="108"/>
        <item m="1" x="123"/>
        <item m="1" x="118"/>
        <item m="1" x="134"/>
        <item x="43"/>
        <item x="44"/>
        <item x="45"/>
        <item x="46"/>
        <item x="47"/>
        <item x="48"/>
        <item x="49"/>
        <item x="50"/>
        <item m="1" x="130"/>
        <item x="52"/>
        <item x="53"/>
        <item x="54"/>
        <item x="55"/>
        <item x="56"/>
        <item x="57"/>
        <item x="58"/>
        <item x="59"/>
        <item x="2"/>
        <item x="4"/>
        <item x="6"/>
        <item x="7"/>
        <item x="8"/>
        <item x="11"/>
        <item m="1" x="151"/>
        <item x="14"/>
        <item x="15"/>
        <item x="16"/>
        <item x="17"/>
        <item x="19"/>
        <item x="20"/>
        <item x="21"/>
        <item x="22"/>
        <item x="23"/>
        <item x="36"/>
        <item x="38"/>
        <item x="39"/>
        <item x="10"/>
        <item m="1" x="137"/>
        <item x="61"/>
        <item x="62"/>
        <item x="63"/>
        <item m="1" x="112"/>
        <item m="1" x="111"/>
        <item x="66"/>
        <item x="67"/>
        <item x="68"/>
        <item x="69"/>
        <item x="70"/>
        <item m="1" x="138"/>
        <item m="1" x="144"/>
        <item m="1" x="102"/>
        <item x="60"/>
        <item x="64"/>
        <item x="65"/>
        <item x="71"/>
        <item x="72"/>
        <item x="1"/>
        <item x="13"/>
        <item x="37"/>
        <item x="42"/>
        <item x="73"/>
        <item x="74"/>
        <item x="75"/>
        <item x="76"/>
        <item x="77"/>
        <item x="78"/>
        <item x="79"/>
        <item x="80"/>
        <item x="81"/>
        <item x="82"/>
        <item x="83"/>
        <item x="84"/>
        <item x="85"/>
        <item x="86"/>
        <item x="87"/>
        <item x="88"/>
        <item x="89"/>
        <item x="90"/>
        <item x="91"/>
        <item x="92"/>
        <item x="93"/>
        <item x="94"/>
        <item x="95"/>
        <item x="96"/>
        <item x="97"/>
        <item x="98"/>
        <item x="99"/>
        <item x="100"/>
        <item x="10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102">
    <i>
      <x/>
    </i>
    <i>
      <x v="3"/>
    </i>
    <i>
      <x v="10"/>
    </i>
    <i>
      <x v="11"/>
    </i>
    <i>
      <x v="14"/>
    </i>
    <i>
      <x v="18"/>
    </i>
    <i>
      <x v="25"/>
    </i>
    <i>
      <x v="26"/>
    </i>
    <i>
      <x v="34"/>
    </i>
    <i>
      <x v="35"/>
    </i>
    <i>
      <x v="36"/>
    </i>
    <i>
      <x v="37"/>
    </i>
    <i>
      <x v="39"/>
    </i>
    <i>
      <x v="40"/>
    </i>
    <i>
      <x v="41"/>
    </i>
    <i>
      <x v="42"/>
    </i>
    <i>
      <x v="43"/>
    </i>
    <i>
      <x v="44"/>
    </i>
    <i>
      <x v="45"/>
    </i>
    <i>
      <x v="46"/>
    </i>
    <i>
      <x v="55"/>
    </i>
    <i>
      <x v="63"/>
    </i>
    <i>
      <x v="64"/>
    </i>
    <i>
      <x v="65"/>
    </i>
    <i>
      <x v="66"/>
    </i>
    <i>
      <x v="67"/>
    </i>
    <i>
      <x v="68"/>
    </i>
    <i>
      <x v="69"/>
    </i>
    <i>
      <x v="70"/>
    </i>
    <i>
      <x v="72"/>
    </i>
    <i>
      <x v="73"/>
    </i>
    <i>
      <x v="74"/>
    </i>
    <i>
      <x v="75"/>
    </i>
    <i>
      <x v="76"/>
    </i>
    <i>
      <x v="77"/>
    </i>
    <i>
      <x v="78"/>
    </i>
    <i>
      <x v="79"/>
    </i>
    <i>
      <x v="80"/>
    </i>
    <i>
      <x v="81"/>
    </i>
    <i>
      <x v="82"/>
    </i>
    <i>
      <x v="83"/>
    </i>
    <i>
      <x v="84"/>
    </i>
    <i>
      <x v="85"/>
    </i>
    <i>
      <x v="87"/>
    </i>
    <i>
      <x v="88"/>
    </i>
    <i>
      <x v="89"/>
    </i>
    <i>
      <x v="90"/>
    </i>
    <i>
      <x v="91"/>
    </i>
    <i>
      <x v="92"/>
    </i>
    <i>
      <x v="93"/>
    </i>
    <i>
      <x v="94"/>
    </i>
    <i>
      <x v="95"/>
    </i>
    <i>
      <x v="96"/>
    </i>
    <i>
      <x v="97"/>
    </i>
    <i>
      <x v="98"/>
    </i>
    <i>
      <x v="99"/>
    </i>
    <i>
      <x v="101"/>
    </i>
    <i>
      <x v="102"/>
    </i>
    <i>
      <x v="103"/>
    </i>
    <i>
      <x v="106"/>
    </i>
    <i>
      <x v="107"/>
    </i>
    <i>
      <x v="108"/>
    </i>
    <i>
      <x v="109"/>
    </i>
    <i>
      <x v="110"/>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395618-C9A9-4B05-82B3-6BB840224A10}" name="TablaDinámica8" cacheId="14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V3:W20"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3"/>
        <item x="0"/>
        <item m="1" x="4"/>
        <item x="1"/>
        <item m="1" x="2"/>
      </items>
      <extLst>
        <ext xmlns:x14="http://schemas.microsoft.com/office/spreadsheetml/2009/9/main" uri="{2946ED86-A175-432a-8AC1-64E0C546D7DE}">
          <x14:pivotField fillDownLabels="1"/>
        </ext>
      </extLst>
    </pivotField>
    <pivotField axis="axisRow" compact="0" outline="0" showAll="0" defaultSubtotal="0">
      <items count="363">
        <item m="1" x="236"/>
        <item m="1" x="87"/>
        <item m="1" x="208"/>
        <item m="1" x="157"/>
        <item m="1" x="303"/>
        <item m="1" x="114"/>
        <item m="1" x="360"/>
        <item m="1" x="229"/>
        <item m="1" x="336"/>
        <item m="1" x="193"/>
        <item m="1" x="313"/>
        <item m="1" x="298"/>
        <item m="1" x="147"/>
        <item m="1" x="346"/>
        <item m="1" x="309"/>
        <item m="1" x="70"/>
        <item m="1" x="348"/>
        <item m="1" x="96"/>
        <item m="1" x="126"/>
        <item m="1" x="223"/>
        <item m="1" x="284"/>
        <item m="1" x="184"/>
        <item m="1" x="72"/>
        <item m="1" x="85"/>
        <item m="1" x="142"/>
        <item m="1" x="221"/>
        <item m="1" x="161"/>
        <item m="1" x="240"/>
        <item m="1" x="90"/>
        <item m="1" x="282"/>
        <item m="1" x="237"/>
        <item m="1" x="319"/>
        <item m="1" x="113"/>
        <item m="1" x="357"/>
        <item m="1" x="325"/>
        <item m="1" x="235"/>
        <item m="1" x="162"/>
        <item m="1" x="67"/>
        <item m="1" x="263"/>
        <item m="1" x="251"/>
        <item m="1" x="335"/>
        <item x="0"/>
        <item m="1" x="78"/>
        <item m="1" x="173"/>
        <item m="1" x="174"/>
        <item m="1" x="342"/>
        <item m="1" x="243"/>
        <item m="1" x="318"/>
        <item m="1" x="163"/>
        <item m="1" x="128"/>
        <item m="1" x="45"/>
        <item m="1" x="213"/>
        <item m="1" x="275"/>
        <item m="1" x="25"/>
        <item m="1" x="156"/>
        <item m="1" x="89"/>
        <item m="1" x="321"/>
        <item m="1" x="139"/>
        <item m="1" x="110"/>
        <item m="1" x="21"/>
        <item m="1" x="204"/>
        <item m="1" x="63"/>
        <item m="1" x="154"/>
        <item m="1" x="27"/>
        <item m="1" x="322"/>
        <item m="1" x="105"/>
        <item m="1" x="191"/>
        <item m="1" x="32"/>
        <item m="1" x="230"/>
        <item m="1" x="145"/>
        <item m="1" x="134"/>
        <item m="1" x="188"/>
        <item m="1" x="140"/>
        <item m="1" x="225"/>
        <item m="1" x="103"/>
        <item m="1" x="333"/>
        <item m="1" x="206"/>
        <item m="1" x="310"/>
        <item m="1" x="326"/>
        <item m="1" x="56"/>
        <item m="1" x="253"/>
        <item m="1" x="211"/>
        <item m="1" x="195"/>
        <item m="1" x="216"/>
        <item m="1" x="65"/>
        <item m="1" x="135"/>
        <item m="1" x="153"/>
        <item m="1" x="30"/>
        <item m="1" x="183"/>
        <item m="1" x="111"/>
        <item m="1" x="329"/>
        <item m="1" x="233"/>
        <item m="1" x="123"/>
        <item m="1" x="203"/>
        <item m="1" x="185"/>
        <item m="1" x="283"/>
        <item m="1" x="22"/>
        <item m="1" x="316"/>
        <item m="1" x="260"/>
        <item m="1" x="155"/>
        <item m="1" x="256"/>
        <item m="1" x="217"/>
        <item m="1" x="150"/>
        <item m="1" x="53"/>
        <item m="1" x="210"/>
        <item m="1" x="57"/>
        <item m="1" x="81"/>
        <item m="1" x="61"/>
        <item m="1" x="58"/>
        <item m="1" x="34"/>
        <item m="1" x="300"/>
        <item m="1" x="93"/>
        <item m="1" x="190"/>
        <item m="1" x="218"/>
        <item m="1" x="137"/>
        <item m="1" x="37"/>
        <item m="1" x="286"/>
        <item m="1" x="273"/>
        <item m="1" x="350"/>
        <item m="1" x="120"/>
        <item m="1" x="254"/>
        <item m="1" x="339"/>
        <item m="1" x="340"/>
        <item m="1" x="144"/>
        <item m="1" x="106"/>
        <item m="1" x="172"/>
        <item m="1" x="269"/>
        <item m="1" x="290"/>
        <item m="1" x="299"/>
        <item m="1" x="100"/>
        <item m="1" x="308"/>
        <item m="1" x="266"/>
        <item m="1" x="86"/>
        <item m="1" x="358"/>
        <item m="1" x="245"/>
        <item m="1" x="292"/>
        <item m="1" x="295"/>
        <item m="1" x="133"/>
        <item m="1" x="199"/>
        <item m="1" x="109"/>
        <item m="1" x="31"/>
        <item m="1" x="314"/>
        <item m="1" x="356"/>
        <item m="1" x="42"/>
        <item m="1" x="164"/>
        <item m="1" x="55"/>
        <item m="1" x="347"/>
        <item m="1" x="289"/>
        <item m="1" x="331"/>
        <item m="1" x="36"/>
        <item m="1" x="324"/>
        <item m="1" x="222"/>
        <item m="1" x="205"/>
        <item m="1" x="201"/>
        <item m="1" x="343"/>
        <item m="1" x="312"/>
        <item m="1" x="207"/>
        <item m="1" x="40"/>
        <item m="1" x="73"/>
        <item m="1" x="189"/>
        <item m="1" x="95"/>
        <item m="1" x="23"/>
        <item m="1" x="51"/>
        <item m="1" x="33"/>
        <item m="1" x="279"/>
        <item m="1" x="344"/>
        <item m="1" x="176"/>
        <item m="1" x="202"/>
        <item m="1" x="239"/>
        <item m="1" x="242"/>
        <item m="1" x="272"/>
        <item m="1" x="320"/>
        <item m="1" x="177"/>
        <item m="1" x="215"/>
        <item m="1" x="44"/>
        <item m="1" x="62"/>
        <item m="1" x="182"/>
        <item m="1" x="132"/>
        <item m="1" x="167"/>
        <item m="1" x="20"/>
        <item m="1" x="18"/>
        <item m="1" x="64"/>
        <item m="1" x="281"/>
        <item m="1" x="71"/>
        <item m="1" x="165"/>
        <item m="1" x="187"/>
        <item m="1" x="125"/>
        <item m="1" x="274"/>
        <item m="1" x="277"/>
        <item m="1" x="337"/>
        <item m="1" x="148"/>
        <item m="1" x="249"/>
        <item m="1" x="107"/>
        <item m="1" x="306"/>
        <item m="1" x="186"/>
        <item m="1" x="197"/>
        <item m="1" x="152"/>
        <item m="1" x="151"/>
        <item m="1" x="94"/>
        <item m="1" x="29"/>
        <item m="1" x="330"/>
        <item m="1" x="43"/>
        <item m="1" x="68"/>
        <item m="1" x="121"/>
        <item m="1" x="315"/>
        <item m="1" x="250"/>
        <item m="1" x="158"/>
        <item m="1" x="49"/>
        <item m="1" x="141"/>
        <item m="1" x="102"/>
        <item m="1" x="278"/>
        <item m="1" x="19"/>
        <item m="1" x="255"/>
        <item m="1" x="84"/>
        <item m="1" x="92"/>
        <item m="1" x="131"/>
        <item m="1" x="192"/>
        <item m="1" x="138"/>
        <item m="1" x="261"/>
        <item m="1" x="257"/>
        <item m="1" x="41"/>
        <item m="1" x="196"/>
        <item m="1" x="175"/>
        <item m="1" x="171"/>
        <item m="1" x="119"/>
        <item m="1" x="267"/>
        <item m="1" x="241"/>
        <item m="1" x="159"/>
        <item m="1" x="338"/>
        <item m="1" x="149"/>
        <item m="1" x="47"/>
        <item m="1" x="180"/>
        <item m="1" x="194"/>
        <item m="1" x="287"/>
        <item m="1" x="168"/>
        <item m="1" x="247"/>
        <item m="1" x="127"/>
        <item m="1" x="104"/>
        <item m="1" x="352"/>
        <item m="1" x="351"/>
        <item m="1" x="248"/>
        <item m="1" x="82"/>
        <item m="1" x="101"/>
        <item m="1" x="99"/>
        <item m="1" x="115"/>
        <item m="1" x="311"/>
        <item m="1" x="227"/>
        <item m="1" x="232"/>
        <item m="1" x="59"/>
        <item m="1" x="238"/>
        <item m="1" x="345"/>
        <item m="1" x="288"/>
        <item m="1" x="234"/>
        <item m="1" x="302"/>
        <item m="1" x="341"/>
        <item m="1" x="74"/>
        <item m="1" x="231"/>
        <item m="1" x="76"/>
        <item m="1" x="355"/>
        <item m="1" x="291"/>
        <item m="1" x="28"/>
        <item m="1" x="50"/>
        <item m="1" x="35"/>
        <item m="1" x="219"/>
        <item x="2"/>
        <item x="15"/>
        <item x="3"/>
        <item x="11"/>
        <item x="4"/>
        <item x="9"/>
        <item x="10"/>
        <item x="14"/>
        <item x="12"/>
        <item x="7"/>
        <item x="16"/>
        <item x="6"/>
        <item x="1"/>
        <item x="5"/>
        <item x="8"/>
        <item x="13"/>
        <item m="1" x="349"/>
        <item m="1" x="294"/>
        <item m="1" x="66"/>
        <item m="1" x="80"/>
        <item m="1" x="54"/>
        <item m="1" x="296"/>
        <item m="1" x="178"/>
        <item m="1" x="129"/>
        <item m="1" x="276"/>
        <item m="1" x="24"/>
        <item m="1" x="38"/>
        <item m="1" x="362"/>
        <item m="1" x="265"/>
        <item m="1" x="268"/>
        <item m="1" x="317"/>
        <item m="1" x="301"/>
        <item m="1" x="122"/>
        <item m="1" x="98"/>
        <item m="1" x="118"/>
        <item m="1" x="224"/>
        <item m="1" x="334"/>
        <item m="1" x="258"/>
        <item m="1" x="143"/>
        <item m="1" x="146"/>
        <item m="1" x="259"/>
        <item m="1" x="271"/>
        <item m="1" x="332"/>
        <item m="1" x="39"/>
        <item m="1" x="244"/>
        <item m="1" x="83"/>
        <item m="1" x="270"/>
        <item m="1" x="353"/>
        <item m="1" x="293"/>
        <item m="1" x="69"/>
        <item m="1" x="181"/>
        <item m="1" x="252"/>
        <item m="1" x="226"/>
        <item m="1" x="160"/>
        <item m="1" x="179"/>
        <item m="1" x="108"/>
        <item m="1" x="48"/>
        <item m="1" x="46"/>
        <item m="1" x="60"/>
        <item m="1" x="130"/>
        <item m="1" x="52"/>
        <item m="1" x="136"/>
        <item m="1" x="77"/>
        <item m="1" x="169"/>
        <item m="1" x="304"/>
        <item m="1" x="246"/>
        <item m="1" x="280"/>
        <item m="1" x="117"/>
        <item m="1" x="91"/>
        <item m="1" x="26"/>
        <item m="1" x="124"/>
        <item m="1" x="307"/>
        <item m="1" x="328"/>
        <item m="1" x="228"/>
        <item m="1" x="285"/>
        <item m="1" x="116"/>
        <item m="1" x="198"/>
        <item m="1" x="354"/>
        <item m="1" x="112"/>
        <item m="1" x="170"/>
        <item m="1" x="212"/>
        <item m="1" x="361"/>
        <item m="1" x="220"/>
        <item m="1" x="327"/>
        <item m="1" x="359"/>
        <item m="1" x="166"/>
        <item m="1" x="75"/>
        <item m="1" x="214"/>
        <item m="1" x="200"/>
        <item m="1" x="305"/>
        <item m="1" x="297"/>
        <item m="1" x="97"/>
        <item m="1" x="79"/>
        <item m="1" x="323"/>
        <item m="1" x="209"/>
        <item m="1" x="262"/>
        <item m="1" x="88"/>
        <item m="1" x="264"/>
        <item m="1"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8"/>
    <field x="7"/>
  </rowFields>
  <rowItems count="17">
    <i>
      <x v="41"/>
      <x v="1"/>
    </i>
    <i>
      <x v="264"/>
      <x v="3"/>
    </i>
    <i>
      <x v="265"/>
      <x v="3"/>
    </i>
    <i>
      <x v="266"/>
      <x v="3"/>
    </i>
    <i>
      <x v="267"/>
      <x v="3"/>
    </i>
    <i>
      <x v="268"/>
      <x v="3"/>
    </i>
    <i>
      <x v="269"/>
      <x v="3"/>
    </i>
    <i>
      <x v="270"/>
      <x v="3"/>
    </i>
    <i>
      <x v="271"/>
      <x v="3"/>
    </i>
    <i>
      <x v="272"/>
      <x v="3"/>
    </i>
    <i>
      <x v="273"/>
      <x v="3"/>
    </i>
    <i>
      <x v="274"/>
      <x v="3"/>
    </i>
    <i>
      <x v="275"/>
      <x v="3"/>
    </i>
    <i>
      <x v="276"/>
      <x v="3"/>
    </i>
    <i>
      <x v="277"/>
      <x v="3"/>
    </i>
    <i>
      <x v="278"/>
      <x v="3"/>
    </i>
    <i>
      <x v="279"/>
      <x v="3"/>
    </i>
  </rowItems>
  <colItems count="1">
    <i/>
  </colItems>
  <formats count="1">
    <format dxfId="5">
      <pivotArea field="7"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03F3C8-DE76-42AA-BDDD-06E650266948}" name="TablaDinámica2" cacheId="14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G1937" firstHeaderRow="1" firstDataRow="1" firstDataCol="7"/>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2">
        <item x="41"/>
        <item m="1" x="124"/>
        <item m="1" x="147"/>
        <item x="5"/>
        <item m="1" x="105"/>
        <item m="1" x="148"/>
        <item m="1" x="128"/>
        <item m="1" x="117"/>
        <item m="1" x="114"/>
        <item m="1" x="132"/>
        <item x="0"/>
        <item x="3"/>
        <item m="1" x="140"/>
        <item m="1" x="149"/>
        <item x="9"/>
        <item m="1" x="120"/>
        <item m="1" x="141"/>
        <item m="1" x="136"/>
        <item x="12"/>
        <item m="1" x="129"/>
        <item m="1" x="113"/>
        <item m="1" x="135"/>
        <item m="1" x="121"/>
        <item m="1" x="133"/>
        <item m="1" x="109"/>
        <item x="18"/>
        <item x="51"/>
        <item m="1" x="110"/>
        <item m="1" x="125"/>
        <item m="1" x="107"/>
        <item m="1" x="143"/>
        <item m="1" x="131"/>
        <item m="1" x="119"/>
        <item m="1" x="150"/>
        <item x="24"/>
        <item x="25"/>
        <item x="26"/>
        <item x="27"/>
        <item m="1" x="126"/>
        <item x="28"/>
        <item x="29"/>
        <item x="30"/>
        <item x="31"/>
        <item x="32"/>
        <item x="33"/>
        <item x="34"/>
        <item x="35"/>
        <item m="1" x="142"/>
        <item m="1" x="146"/>
        <item m="1" x="103"/>
        <item m="1" x="104"/>
        <item m="1" x="122"/>
        <item m="1" x="115"/>
        <item m="1" x="139"/>
        <item m="1" x="145"/>
        <item x="40"/>
        <item m="1" x="127"/>
        <item m="1" x="106"/>
        <item m="1" x="116"/>
        <item m="1" x="108"/>
        <item m="1" x="123"/>
        <item m="1" x="118"/>
        <item m="1" x="134"/>
        <item x="43"/>
        <item x="44"/>
        <item x="45"/>
        <item x="46"/>
        <item x="47"/>
        <item x="48"/>
        <item x="49"/>
        <item x="50"/>
        <item m="1" x="130"/>
        <item x="52"/>
        <item x="53"/>
        <item x="54"/>
        <item x="55"/>
        <item x="56"/>
        <item x="57"/>
        <item x="58"/>
        <item x="59"/>
        <item x="2"/>
        <item x="4"/>
        <item x="6"/>
        <item x="7"/>
        <item x="8"/>
        <item x="11"/>
        <item m="1" x="151"/>
        <item x="14"/>
        <item x="15"/>
        <item x="16"/>
        <item x="17"/>
        <item x="19"/>
        <item x="20"/>
        <item x="21"/>
        <item x="22"/>
        <item x="23"/>
        <item x="36"/>
        <item x="38"/>
        <item x="39"/>
        <item x="10"/>
        <item m="1" x="137"/>
        <item x="61"/>
        <item x="62"/>
        <item x="63"/>
        <item m="1" x="112"/>
        <item m="1" x="111"/>
        <item x="66"/>
        <item x="67"/>
        <item x="68"/>
        <item x="69"/>
        <item x="70"/>
        <item m="1" x="138"/>
        <item m="1" x="144"/>
        <item m="1" x="102"/>
        <item x="60"/>
        <item x="64"/>
        <item x="65"/>
        <item x="71"/>
        <item x="72"/>
        <item x="1"/>
        <item x="13"/>
        <item x="37"/>
        <item x="42"/>
        <item x="73"/>
        <item x="74"/>
        <item x="75"/>
        <item x="76"/>
        <item x="77"/>
        <item x="78"/>
        <item x="79"/>
        <item x="80"/>
        <item x="81"/>
        <item x="82"/>
        <item x="83"/>
        <item x="84"/>
        <item x="85"/>
        <item x="86"/>
        <item x="87"/>
        <item x="88"/>
        <item x="89"/>
        <item x="90"/>
        <item x="91"/>
        <item x="92"/>
        <item x="93"/>
        <item x="94"/>
        <item x="95"/>
        <item x="96"/>
        <item x="97"/>
        <item x="98"/>
        <item x="99"/>
        <item x="100"/>
        <item x="101"/>
      </items>
      <extLst>
        <ext xmlns:x14="http://schemas.microsoft.com/office/spreadsheetml/2009/9/main" uri="{2946ED86-A175-432a-8AC1-64E0C546D7DE}">
          <x14:pivotField fillDownLabels="1"/>
        </ext>
      </extLst>
    </pivotField>
    <pivotField axis="axisRow" compact="0" outline="0" showAll="0" defaultSubtotal="0">
      <items count="94">
        <item m="1" x="59"/>
        <item m="1" x="55"/>
        <item m="1" x="68"/>
        <item m="1" x="85"/>
        <item m="1" x="65"/>
        <item m="1" x="60"/>
        <item m="1" x="67"/>
        <item m="1" x="61"/>
        <item m="1" x="50"/>
        <item m="1" x="48"/>
        <item x="4"/>
        <item m="1" x="42"/>
        <item m="1" x="86"/>
        <item m="1" x="88"/>
        <item m="1" x="49"/>
        <item m="1" x="83"/>
        <item m="1" x="75"/>
        <item m="1" x="46"/>
        <item m="1" x="52"/>
        <item m="1" x="81"/>
        <item m="1" x="93"/>
        <item m="1" x="57"/>
        <item m="1" x="92"/>
        <item m="1" x="72"/>
        <item m="1" x="87"/>
        <item m="1" x="71"/>
        <item m="1" x="64"/>
        <item m="1" x="70"/>
        <item m="1" x="51"/>
        <item m="1" x="78"/>
        <item m="1" x="56"/>
        <item m="1" x="69"/>
        <item x="15"/>
        <item m="1" x="43"/>
        <item m="1" x="62"/>
        <item m="1" x="80"/>
        <item m="1" x="77"/>
        <item m="1" x="63"/>
        <item m="1" x="44"/>
        <item m="1" x="66"/>
        <item m="1" x="79"/>
        <item m="1" x="53"/>
        <item m="1" x="74"/>
        <item m="1" x="91"/>
        <item x="11"/>
        <item m="1" x="84"/>
        <item m="1" x="89"/>
        <item m="1" x="54"/>
        <item x="24"/>
        <item x="0"/>
        <item m="1" x="58"/>
        <item x="2"/>
        <item m="1" x="76"/>
        <item x="5"/>
        <item x="9"/>
        <item x="10"/>
        <item x="12"/>
        <item x="16"/>
        <item m="1" x="47"/>
        <item x="19"/>
        <item x="22"/>
        <item x="21"/>
        <item x="31"/>
        <item m="1" x="73"/>
        <item x="6"/>
        <item x="7"/>
        <item x="8"/>
        <item x="13"/>
        <item x="14"/>
        <item x="23"/>
        <item x="18"/>
        <item m="1" x="90"/>
        <item x="26"/>
        <item m="1" x="82"/>
        <item m="1" x="45"/>
        <item x="27"/>
        <item x="25"/>
        <item m="1" x="41"/>
        <item m="1" x="40"/>
        <item x="20"/>
        <item x="28"/>
        <item x="1"/>
        <item x="3"/>
        <item x="17"/>
        <item x="29"/>
        <item x="30"/>
        <item x="32"/>
        <item x="33"/>
        <item x="34"/>
        <item x="35"/>
        <item x="36"/>
        <item x="37"/>
        <item x="38"/>
        <item x="39"/>
      </items>
      <extLst>
        <ext xmlns:x14="http://schemas.microsoft.com/office/spreadsheetml/2009/9/main" uri="{2946ED86-A175-432a-8AC1-64E0C546D7DE}">
          <x14:pivotField fillDownLabels="1"/>
        </ext>
      </extLst>
    </pivotField>
    <pivotField axis="axisRow" compact="0" outline="0" showAll="0" defaultSubtotal="0">
      <items count="5">
        <item m="1" x="3"/>
        <item x="0"/>
        <item m="1" x="4"/>
        <item x="1"/>
        <item m="1" x="2"/>
      </items>
      <extLst>
        <ext xmlns:x14="http://schemas.microsoft.com/office/spreadsheetml/2009/9/main" uri="{2946ED86-A175-432a-8AC1-64E0C546D7DE}">
          <x14:pivotField fillDownLabels="1"/>
        </ext>
      </extLst>
    </pivotField>
    <pivotField axis="axisRow" compact="0" outline="0" showAll="0" defaultSubtotal="0">
      <items count="363">
        <item m="1" x="236"/>
        <item m="1" x="87"/>
        <item m="1" x="208"/>
        <item m="1" x="157"/>
        <item m="1" x="303"/>
        <item m="1" x="114"/>
        <item m="1" x="360"/>
        <item m="1" x="229"/>
        <item m="1" x="336"/>
        <item m="1" x="193"/>
        <item m="1" x="313"/>
        <item m="1" x="298"/>
        <item m="1" x="147"/>
        <item m="1" x="346"/>
        <item m="1" x="309"/>
        <item m="1" x="70"/>
        <item m="1" x="348"/>
        <item m="1" x="96"/>
        <item m="1" x="126"/>
        <item m="1" x="223"/>
        <item m="1" x="284"/>
        <item m="1" x="184"/>
        <item m="1" x="72"/>
        <item m="1" x="85"/>
        <item m="1" x="142"/>
        <item m="1" x="221"/>
        <item m="1" x="161"/>
        <item m="1" x="240"/>
        <item m="1" x="90"/>
        <item m="1" x="282"/>
        <item m="1" x="237"/>
        <item m="1" x="319"/>
        <item m="1" x="113"/>
        <item m="1" x="357"/>
        <item m="1" x="325"/>
        <item m="1" x="235"/>
        <item m="1" x="162"/>
        <item m="1" x="67"/>
        <item m="1" x="263"/>
        <item m="1" x="251"/>
        <item m="1" x="335"/>
        <item x="0"/>
        <item m="1" x="78"/>
        <item m="1" x="173"/>
        <item m="1" x="174"/>
        <item m="1" x="342"/>
        <item m="1" x="243"/>
        <item m="1" x="318"/>
        <item m="1" x="163"/>
        <item m="1" x="128"/>
        <item m="1" x="45"/>
        <item m="1" x="213"/>
        <item m="1" x="275"/>
        <item m="1" x="25"/>
        <item m="1" x="156"/>
        <item m="1" x="89"/>
        <item m="1" x="321"/>
        <item m="1" x="139"/>
        <item m="1" x="110"/>
        <item m="1" x="21"/>
        <item m="1" x="204"/>
        <item m="1" x="63"/>
        <item m="1" x="154"/>
        <item m="1" x="27"/>
        <item m="1" x="322"/>
        <item m="1" x="105"/>
        <item m="1" x="191"/>
        <item m="1" x="32"/>
        <item m="1" x="230"/>
        <item m="1" x="145"/>
        <item m="1" x="134"/>
        <item m="1" x="188"/>
        <item m="1" x="140"/>
        <item m="1" x="225"/>
        <item m="1" x="103"/>
        <item m="1" x="333"/>
        <item m="1" x="206"/>
        <item m="1" x="310"/>
        <item m="1" x="326"/>
        <item m="1" x="56"/>
        <item m="1" x="253"/>
        <item m="1" x="211"/>
        <item m="1" x="195"/>
        <item m="1" x="216"/>
        <item m="1" x="65"/>
        <item m="1" x="135"/>
        <item m="1" x="153"/>
        <item m="1" x="30"/>
        <item m="1" x="183"/>
        <item m="1" x="111"/>
        <item m="1" x="329"/>
        <item m="1" x="233"/>
        <item m="1" x="123"/>
        <item m="1" x="203"/>
        <item m="1" x="185"/>
        <item m="1" x="283"/>
        <item m="1" x="22"/>
        <item m="1" x="316"/>
        <item m="1" x="260"/>
        <item m="1" x="155"/>
        <item m="1" x="256"/>
        <item m="1" x="217"/>
        <item m="1" x="150"/>
        <item m="1" x="53"/>
        <item m="1" x="210"/>
        <item m="1" x="57"/>
        <item m="1" x="81"/>
        <item m="1" x="61"/>
        <item m="1" x="58"/>
        <item m="1" x="34"/>
        <item m="1" x="300"/>
        <item m="1" x="93"/>
        <item m="1" x="190"/>
        <item m="1" x="218"/>
        <item m="1" x="137"/>
        <item m="1" x="37"/>
        <item m="1" x="286"/>
        <item m="1" x="273"/>
        <item m="1" x="350"/>
        <item m="1" x="120"/>
        <item m="1" x="254"/>
        <item m="1" x="339"/>
        <item m="1" x="340"/>
        <item m="1" x="144"/>
        <item m="1" x="106"/>
        <item m="1" x="172"/>
        <item m="1" x="269"/>
        <item m="1" x="290"/>
        <item m="1" x="299"/>
        <item m="1" x="100"/>
        <item m="1" x="308"/>
        <item m="1" x="266"/>
        <item m="1" x="86"/>
        <item m="1" x="358"/>
        <item m="1" x="245"/>
        <item m="1" x="292"/>
        <item m="1" x="295"/>
        <item m="1" x="133"/>
        <item m="1" x="199"/>
        <item m="1" x="109"/>
        <item m="1" x="31"/>
        <item m="1" x="314"/>
        <item m="1" x="356"/>
        <item m="1" x="42"/>
        <item m="1" x="164"/>
        <item m="1" x="55"/>
        <item m="1" x="347"/>
        <item m="1" x="289"/>
        <item m="1" x="331"/>
        <item m="1" x="36"/>
        <item m="1" x="324"/>
        <item m="1" x="222"/>
        <item m="1" x="205"/>
        <item m="1" x="201"/>
        <item m="1" x="343"/>
        <item m="1" x="312"/>
        <item m="1" x="207"/>
        <item m="1" x="40"/>
        <item m="1" x="73"/>
        <item m="1" x="189"/>
        <item m="1" x="95"/>
        <item m="1" x="23"/>
        <item m="1" x="51"/>
        <item m="1" x="33"/>
        <item m="1" x="279"/>
        <item m="1" x="344"/>
        <item m="1" x="176"/>
        <item m="1" x="202"/>
        <item m="1" x="239"/>
        <item m="1" x="242"/>
        <item m="1" x="272"/>
        <item m="1" x="320"/>
        <item m="1" x="177"/>
        <item m="1" x="215"/>
        <item m="1" x="44"/>
        <item m="1" x="62"/>
        <item m="1" x="182"/>
        <item m="1" x="132"/>
        <item m="1" x="167"/>
        <item m="1" x="20"/>
        <item m="1" x="18"/>
        <item m="1" x="64"/>
        <item m="1" x="281"/>
        <item m="1" x="71"/>
        <item m="1" x="165"/>
        <item m="1" x="187"/>
        <item m="1" x="125"/>
        <item m="1" x="274"/>
        <item m="1" x="277"/>
        <item m="1" x="337"/>
        <item m="1" x="148"/>
        <item m="1" x="249"/>
        <item m="1" x="107"/>
        <item m="1" x="306"/>
        <item m="1" x="186"/>
        <item m="1" x="197"/>
        <item m="1" x="152"/>
        <item m="1" x="151"/>
        <item m="1" x="94"/>
        <item m="1" x="29"/>
        <item m="1" x="330"/>
        <item m="1" x="43"/>
        <item m="1" x="68"/>
        <item m="1" x="121"/>
        <item m="1" x="315"/>
        <item m="1" x="250"/>
        <item m="1" x="158"/>
        <item m="1" x="49"/>
        <item m="1" x="141"/>
        <item m="1" x="102"/>
        <item m="1" x="278"/>
        <item m="1" x="19"/>
        <item m="1" x="255"/>
        <item m="1" x="84"/>
        <item m="1" x="92"/>
        <item m="1" x="131"/>
        <item m="1" x="192"/>
        <item m="1" x="138"/>
        <item m="1" x="261"/>
        <item m="1" x="257"/>
        <item m="1" x="41"/>
        <item m="1" x="196"/>
        <item m="1" x="175"/>
        <item m="1" x="171"/>
        <item m="1" x="119"/>
        <item m="1" x="267"/>
        <item m="1" x="241"/>
        <item m="1" x="159"/>
        <item m="1" x="338"/>
        <item m="1" x="149"/>
        <item m="1" x="47"/>
        <item m="1" x="180"/>
        <item m="1" x="194"/>
        <item m="1" x="287"/>
        <item m="1" x="168"/>
        <item m="1" x="247"/>
        <item m="1" x="127"/>
        <item m="1" x="104"/>
        <item m="1" x="352"/>
        <item m="1" x="351"/>
        <item m="1" x="248"/>
        <item m="1" x="82"/>
        <item m="1" x="101"/>
        <item m="1" x="99"/>
        <item m="1" x="115"/>
        <item m="1" x="311"/>
        <item m="1" x="227"/>
        <item m="1" x="232"/>
        <item m="1" x="59"/>
        <item m="1" x="238"/>
        <item m="1" x="345"/>
        <item m="1" x="288"/>
        <item m="1" x="234"/>
        <item m="1" x="302"/>
        <item m="1" x="341"/>
        <item m="1" x="74"/>
        <item m="1" x="231"/>
        <item m="1" x="76"/>
        <item m="1" x="355"/>
        <item m="1" x="291"/>
        <item m="1" x="28"/>
        <item m="1" x="50"/>
        <item m="1" x="35"/>
        <item m="1" x="219"/>
        <item x="2"/>
        <item x="15"/>
        <item x="3"/>
        <item x="11"/>
        <item x="4"/>
        <item x="9"/>
        <item x="10"/>
        <item x="14"/>
        <item x="12"/>
        <item x="7"/>
        <item x="16"/>
        <item x="6"/>
        <item x="1"/>
        <item x="5"/>
        <item x="8"/>
        <item x="13"/>
        <item m="1" x="349"/>
        <item m="1" x="294"/>
        <item m="1" x="66"/>
        <item m="1" x="80"/>
        <item m="1" x="54"/>
        <item m="1" x="296"/>
        <item m="1" x="178"/>
        <item m="1" x="129"/>
        <item m="1" x="276"/>
        <item m="1" x="24"/>
        <item m="1" x="38"/>
        <item m="1" x="362"/>
        <item m="1" x="265"/>
        <item m="1" x="268"/>
        <item m="1" x="317"/>
        <item m="1" x="301"/>
        <item m="1" x="122"/>
        <item m="1" x="98"/>
        <item m="1" x="118"/>
        <item m="1" x="224"/>
        <item m="1" x="334"/>
        <item m="1" x="258"/>
        <item m="1" x="143"/>
        <item m="1" x="146"/>
        <item m="1" x="259"/>
        <item m="1" x="271"/>
        <item m="1" x="332"/>
        <item m="1" x="39"/>
        <item m="1" x="244"/>
        <item m="1" x="83"/>
        <item m="1" x="270"/>
        <item m="1" x="353"/>
        <item m="1" x="293"/>
        <item m="1" x="69"/>
        <item m="1" x="181"/>
        <item m="1" x="252"/>
        <item m="1" x="226"/>
        <item m="1" x="160"/>
        <item m="1" x="179"/>
        <item m="1" x="108"/>
        <item m="1" x="48"/>
        <item m="1" x="46"/>
        <item m="1" x="60"/>
        <item m="1" x="130"/>
        <item m="1" x="52"/>
        <item m="1" x="136"/>
        <item m="1" x="77"/>
        <item m="1" x="169"/>
        <item m="1" x="304"/>
        <item m="1" x="246"/>
        <item m="1" x="280"/>
        <item m="1" x="117"/>
        <item m="1" x="91"/>
        <item m="1" x="26"/>
        <item m="1" x="124"/>
        <item m="1" x="307"/>
        <item m="1" x="328"/>
        <item m="1" x="228"/>
        <item m="1" x="285"/>
        <item m="1" x="116"/>
        <item m="1" x="198"/>
        <item m="1" x="354"/>
        <item m="1" x="112"/>
        <item m="1" x="170"/>
        <item m="1" x="212"/>
        <item m="1" x="361"/>
        <item m="1" x="220"/>
        <item m="1" x="327"/>
        <item m="1" x="359"/>
        <item m="1" x="166"/>
        <item m="1" x="75"/>
        <item m="1" x="214"/>
        <item m="1" x="200"/>
        <item m="1" x="305"/>
        <item m="1" x="297"/>
        <item m="1" x="97"/>
        <item m="1" x="79"/>
        <item m="1" x="323"/>
        <item m="1" x="209"/>
        <item m="1" x="262"/>
        <item m="1" x="88"/>
        <item m="1" x="264"/>
        <item m="1" x="17"/>
      </items>
      <extLst>
        <ext xmlns:x14="http://schemas.microsoft.com/office/spreadsheetml/2009/9/main" uri="{2946ED86-A175-432a-8AC1-64E0C546D7DE}">
          <x14:pivotField fillDownLabels="1"/>
        </ext>
      </extLst>
    </pivotField>
    <pivotField axis="axisRow" compact="0" outline="0" showAll="0" defaultSubtotal="0">
      <items count="28">
        <item x="3"/>
        <item m="1" x="24"/>
        <item m="1" x="26"/>
        <item m="1" x="27"/>
        <item x="0"/>
        <item m="1" x="25"/>
        <item m="1" x="22"/>
        <item x="1"/>
        <item m="1" x="21"/>
        <item x="2"/>
        <item x="4"/>
        <item x="5"/>
        <item x="6"/>
        <item x="7"/>
        <item x="8"/>
        <item x="10"/>
        <item x="11"/>
        <item m="1" x="23"/>
        <item x="13"/>
        <item x="14"/>
        <item x="15"/>
        <item x="16"/>
        <item x="17"/>
        <item x="18"/>
        <item x="12"/>
        <item x="9"/>
        <item x="19"/>
        <item x="20"/>
      </items>
      <extLst>
        <ext xmlns:x14="http://schemas.microsoft.com/office/spreadsheetml/2009/9/main" uri="{2946ED86-A175-432a-8AC1-64E0C546D7DE}">
          <x14:pivotField fillDownLabels="1"/>
        </ext>
      </extLst>
    </pivotField>
    <pivotField axis="axisRow" compact="0" outline="0" showAll="0" defaultSubtotal="0">
      <items count="186">
        <item m="1" x="185"/>
        <item m="1" x="184"/>
        <item m="1" x="183"/>
        <item m="1" x="175"/>
        <item m="1" x="176"/>
        <item m="1" x="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m="1" x="178"/>
        <item x="43"/>
        <item x="44"/>
        <item x="45"/>
        <item x="46"/>
        <item x="47"/>
        <item x="48"/>
        <item x="49"/>
        <item x="50"/>
        <item x="51"/>
        <item x="52"/>
        <item x="53"/>
        <item x="54"/>
        <item x="55"/>
        <item x="56"/>
        <item x="57"/>
        <item x="58"/>
        <item x="59"/>
        <item x="60"/>
        <item x="61"/>
        <item x="62"/>
        <item x="63"/>
        <item m="1" x="180"/>
        <item m="1" x="177"/>
        <item x="67"/>
        <item x="68"/>
        <item x="69"/>
        <item x="70"/>
        <item x="71"/>
        <item x="72"/>
        <item x="73"/>
        <item x="74"/>
        <item x="75"/>
        <item x="76"/>
        <item x="77"/>
        <item x="78"/>
        <item x="79"/>
        <item x="80"/>
        <item x="81"/>
        <item x="82"/>
        <item x="83"/>
        <item x="84"/>
        <item x="85"/>
        <item x="86"/>
        <item x="87"/>
        <item x="88"/>
        <item x="89"/>
        <item x="90"/>
        <item x="91"/>
        <item x="92"/>
        <item x="93"/>
        <item x="94"/>
        <item x="64"/>
        <item x="65"/>
        <item x="66"/>
        <item x="42"/>
        <item x="95"/>
        <item x="96"/>
        <item x="97"/>
        <item x="98"/>
        <item x="99"/>
        <item x="100"/>
        <item x="101"/>
        <item x="102"/>
        <item x="103"/>
        <item m="1" x="182"/>
        <item x="105"/>
        <item x="106"/>
        <item x="107"/>
        <item x="108"/>
        <item x="109"/>
        <item x="110"/>
        <item x="111"/>
        <item x="112"/>
        <item x="113"/>
        <item x="114"/>
        <item x="115"/>
        <item x="116"/>
        <item x="117"/>
        <item x="118"/>
        <item x="119"/>
        <item x="120"/>
        <item x="121"/>
        <item x="122"/>
        <item m="1" x="181"/>
        <item x="104"/>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3">
        <item m="1" x="47"/>
        <item m="1" x="46"/>
        <item m="1" x="44"/>
        <item m="1" x="42"/>
        <item m="1" x="41"/>
        <item m="1" x="39"/>
        <item m="1" x="38"/>
        <item m="1" x="37"/>
        <item m="1" x="36"/>
        <item m="1" x="35"/>
        <item m="1" x="51"/>
        <item m="1" x="50"/>
        <item m="1" x="49"/>
        <item m="1" x="52"/>
        <item m="1" x="48"/>
        <item m="1" x="45"/>
        <item m="1" x="43"/>
        <item m="1" x="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7">
    <field x="5"/>
    <field x="6"/>
    <field x="7"/>
    <field x="9"/>
    <field x="8"/>
    <field x="10"/>
    <field x="19"/>
  </rowFields>
  <rowItems count="1934">
    <i>
      <x/>
      <x v="81"/>
      <x v="1"/>
      <x/>
      <x v="41"/>
      <x v="100"/>
      <x v="35"/>
    </i>
    <i r="3">
      <x v="4"/>
      <x v="41"/>
      <x v="101"/>
      <x v="18"/>
    </i>
    <i r="5">
      <x v="102"/>
      <x v="18"/>
    </i>
    <i r="2">
      <x v="3"/>
      <x/>
      <x v="264"/>
      <x v="100"/>
      <x v="37"/>
    </i>
    <i r="4">
      <x v="265"/>
      <x v="100"/>
      <x v="50"/>
    </i>
    <i r="4">
      <x v="266"/>
      <x v="100"/>
      <x v="38"/>
    </i>
    <i r="4">
      <x v="267"/>
      <x v="100"/>
      <x v="46"/>
    </i>
    <i r="4">
      <x v="268"/>
      <x v="100"/>
      <x v="39"/>
    </i>
    <i r="4">
      <x v="269"/>
      <x v="100"/>
      <x v="44"/>
    </i>
    <i r="4">
      <x v="270"/>
      <x v="100"/>
      <x v="45"/>
    </i>
    <i r="4">
      <x v="271"/>
      <x v="100"/>
      <x v="49"/>
    </i>
    <i r="4">
      <x v="272"/>
      <x v="100"/>
      <x v="47"/>
    </i>
    <i r="4">
      <x v="273"/>
      <x v="100"/>
      <x v="42"/>
    </i>
    <i r="4">
      <x v="274"/>
      <x v="100"/>
      <x v="51"/>
    </i>
    <i r="4">
      <x v="275"/>
      <x v="100"/>
      <x v="41"/>
    </i>
    <i r="4">
      <x v="276"/>
      <x v="100"/>
      <x v="36"/>
    </i>
    <i r="4">
      <x v="277"/>
      <x v="100"/>
      <x v="40"/>
    </i>
    <i r="4">
      <x v="278"/>
      <x v="100"/>
      <x v="43"/>
    </i>
    <i r="4">
      <x v="279"/>
      <x v="100"/>
      <x v="48"/>
    </i>
    <i r="3">
      <x v="7"/>
      <x v="264"/>
      <x v="101"/>
      <x v="20"/>
    </i>
    <i r="5">
      <x v="102"/>
      <x v="20"/>
    </i>
    <i r="4">
      <x v="265"/>
      <x v="101"/>
      <x v="33"/>
    </i>
    <i r="5">
      <x v="102"/>
      <x v="33"/>
    </i>
    <i r="4">
      <x v="266"/>
      <x v="101"/>
      <x v="21"/>
    </i>
    <i r="5">
      <x v="102"/>
      <x v="21"/>
    </i>
    <i r="4">
      <x v="267"/>
      <x v="101"/>
      <x v="29"/>
    </i>
    <i r="5">
      <x v="102"/>
      <x v="29"/>
    </i>
    <i r="4">
      <x v="268"/>
      <x v="101"/>
      <x v="22"/>
    </i>
    <i r="5">
      <x v="102"/>
      <x v="22"/>
    </i>
    <i r="4">
      <x v="269"/>
      <x v="101"/>
      <x v="27"/>
    </i>
    <i r="5">
      <x v="102"/>
      <x v="27"/>
    </i>
    <i r="4">
      <x v="270"/>
      <x v="101"/>
      <x v="28"/>
    </i>
    <i r="5">
      <x v="102"/>
      <x v="28"/>
    </i>
    <i r="4">
      <x v="271"/>
      <x v="101"/>
      <x v="32"/>
    </i>
    <i r="5">
      <x v="102"/>
      <x v="32"/>
    </i>
    <i r="4">
      <x v="272"/>
      <x v="101"/>
      <x v="30"/>
    </i>
    <i r="5">
      <x v="102"/>
      <x v="30"/>
    </i>
    <i r="4">
      <x v="273"/>
      <x v="101"/>
      <x v="25"/>
    </i>
    <i r="5">
      <x v="102"/>
      <x v="25"/>
    </i>
    <i r="4">
      <x v="274"/>
      <x v="101"/>
      <x v="34"/>
    </i>
    <i r="5">
      <x v="102"/>
      <x v="34"/>
    </i>
    <i r="4">
      <x v="275"/>
      <x v="101"/>
      <x v="24"/>
    </i>
    <i r="5">
      <x v="102"/>
      <x v="24"/>
    </i>
    <i r="4">
      <x v="276"/>
      <x v="101"/>
      <x v="19"/>
    </i>
    <i r="5">
      <x v="102"/>
      <x v="19"/>
    </i>
    <i r="4">
      <x v="277"/>
      <x v="101"/>
      <x v="23"/>
    </i>
    <i r="5">
      <x v="102"/>
      <x v="23"/>
    </i>
    <i r="4">
      <x v="278"/>
      <x v="101"/>
      <x v="26"/>
    </i>
    <i r="5">
      <x v="102"/>
      <x v="26"/>
    </i>
    <i r="4">
      <x v="279"/>
      <x v="101"/>
      <x v="31"/>
    </i>
    <i r="5">
      <x v="102"/>
      <x v="31"/>
    </i>
    <i>
      <x v="3"/>
      <x v="82"/>
      <x v="1"/>
      <x v="4"/>
      <x v="41"/>
      <x v="10"/>
      <x v="35"/>
    </i>
    <i r="2">
      <x v="3"/>
      <x v="7"/>
      <x v="264"/>
      <x v="10"/>
      <x v="37"/>
    </i>
    <i r="4">
      <x v="265"/>
      <x v="10"/>
      <x v="50"/>
    </i>
    <i r="4">
      <x v="266"/>
      <x v="10"/>
      <x v="38"/>
    </i>
    <i r="4">
      <x v="267"/>
      <x v="10"/>
      <x v="46"/>
    </i>
    <i r="4">
      <x v="268"/>
      <x v="10"/>
      <x v="39"/>
    </i>
    <i r="4">
      <x v="269"/>
      <x v="10"/>
      <x v="44"/>
    </i>
    <i r="4">
      <x v="270"/>
      <x v="10"/>
      <x v="45"/>
    </i>
    <i r="4">
      <x v="271"/>
      <x v="10"/>
      <x v="49"/>
    </i>
    <i r="4">
      <x v="272"/>
      <x v="10"/>
      <x v="47"/>
    </i>
    <i r="4">
      <x v="273"/>
      <x v="10"/>
      <x v="42"/>
    </i>
    <i r="4">
      <x v="274"/>
      <x v="10"/>
      <x v="51"/>
    </i>
    <i r="4">
      <x v="275"/>
      <x v="10"/>
      <x v="41"/>
    </i>
    <i r="4">
      <x v="276"/>
      <x v="10"/>
      <x v="36"/>
    </i>
    <i r="4">
      <x v="277"/>
      <x v="10"/>
      <x v="40"/>
    </i>
    <i r="4">
      <x v="278"/>
      <x v="10"/>
      <x v="43"/>
    </i>
    <i r="4">
      <x v="279"/>
      <x v="10"/>
      <x v="48"/>
    </i>
    <i>
      <x v="10"/>
      <x v="49"/>
      <x v="1"/>
      <x v="4"/>
      <x v="41"/>
      <x v="6"/>
      <x v="18"/>
    </i>
    <i r="2">
      <x v="3"/>
      <x v="7"/>
      <x v="264"/>
      <x v="6"/>
      <x v="20"/>
    </i>
    <i r="4">
      <x v="265"/>
      <x v="6"/>
      <x v="33"/>
    </i>
    <i r="4">
      <x v="266"/>
      <x v="6"/>
      <x v="21"/>
    </i>
    <i r="4">
      <x v="267"/>
      <x v="6"/>
      <x v="29"/>
    </i>
    <i r="4">
      <x v="268"/>
      <x v="6"/>
      <x v="22"/>
    </i>
    <i r="4">
      <x v="269"/>
      <x v="6"/>
      <x v="27"/>
    </i>
    <i r="4">
      <x v="270"/>
      <x v="6"/>
      <x v="28"/>
    </i>
    <i r="4">
      <x v="271"/>
      <x v="6"/>
      <x v="32"/>
    </i>
    <i r="4">
      <x v="272"/>
      <x v="6"/>
      <x v="30"/>
    </i>
    <i r="4">
      <x v="273"/>
      <x v="6"/>
      <x v="25"/>
    </i>
    <i r="4">
      <x v="274"/>
      <x v="6"/>
      <x v="34"/>
    </i>
    <i r="4">
      <x v="275"/>
      <x v="6"/>
      <x v="24"/>
    </i>
    <i r="4">
      <x v="276"/>
      <x v="6"/>
      <x v="19"/>
    </i>
    <i r="4">
      <x v="277"/>
      <x v="6"/>
      <x v="23"/>
    </i>
    <i r="4">
      <x v="278"/>
      <x v="6"/>
      <x v="26"/>
    </i>
    <i r="4">
      <x v="279"/>
      <x v="6"/>
      <x v="31"/>
    </i>
    <i>
      <x v="11"/>
      <x v="49"/>
      <x v="1"/>
      <x/>
      <x v="41"/>
      <x v="9"/>
      <x v="52"/>
    </i>
    <i>
      <x v="14"/>
      <x v="64"/>
      <x v="1"/>
      <x v="7"/>
      <x v="41"/>
      <x v="15"/>
      <x v="52"/>
    </i>
    <i r="3">
      <x v="10"/>
      <x v="41"/>
      <x v="15"/>
      <x v="52"/>
    </i>
    <i>
      <x v="18"/>
      <x v="66"/>
      <x v="1"/>
      <x v="4"/>
      <x v="41"/>
      <x v="20"/>
      <x v="35"/>
    </i>
    <i r="2">
      <x v="3"/>
      <x/>
      <x v="264"/>
      <x v="20"/>
      <x v="37"/>
    </i>
    <i r="4">
      <x v="265"/>
      <x v="20"/>
      <x v="50"/>
    </i>
    <i r="4">
      <x v="266"/>
      <x v="20"/>
      <x v="38"/>
    </i>
    <i r="4">
      <x v="267"/>
      <x v="20"/>
      <x v="46"/>
    </i>
    <i r="4">
      <x v="268"/>
      <x v="20"/>
      <x v="39"/>
    </i>
    <i r="4">
      <x v="269"/>
      <x v="20"/>
      <x v="44"/>
    </i>
    <i r="4">
      <x v="270"/>
      <x v="20"/>
      <x v="45"/>
    </i>
    <i r="4">
      <x v="271"/>
      <x v="20"/>
      <x v="49"/>
    </i>
    <i r="4">
      <x v="272"/>
      <x v="20"/>
      <x v="47"/>
    </i>
    <i r="4">
      <x v="273"/>
      <x v="20"/>
      <x v="42"/>
    </i>
    <i r="4">
      <x v="274"/>
      <x v="20"/>
      <x v="51"/>
    </i>
    <i r="4">
      <x v="275"/>
      <x v="20"/>
      <x v="41"/>
    </i>
    <i r="4">
      <x v="276"/>
      <x v="20"/>
      <x v="36"/>
    </i>
    <i r="4">
      <x v="277"/>
      <x v="20"/>
      <x v="40"/>
    </i>
    <i r="4">
      <x v="278"/>
      <x v="20"/>
      <x v="43"/>
    </i>
    <i r="4">
      <x v="279"/>
      <x v="20"/>
      <x v="48"/>
    </i>
    <i>
      <x v="25"/>
      <x v="66"/>
      <x v="1"/>
      <x/>
      <x v="41"/>
      <x v="20"/>
      <x v="35"/>
    </i>
    <i r="2">
      <x v="3"/>
      <x/>
      <x v="264"/>
      <x v="20"/>
      <x v="37"/>
    </i>
    <i r="4">
      <x v="265"/>
      <x v="20"/>
      <x v="50"/>
    </i>
    <i r="4">
      <x v="266"/>
      <x v="20"/>
      <x v="38"/>
    </i>
    <i r="4">
      <x v="267"/>
      <x v="20"/>
      <x v="46"/>
    </i>
    <i r="4">
      <x v="268"/>
      <x v="20"/>
      <x v="39"/>
    </i>
    <i r="4">
      <x v="269"/>
      <x v="20"/>
      <x v="44"/>
    </i>
    <i r="4">
      <x v="270"/>
      <x v="20"/>
      <x v="45"/>
    </i>
    <i r="4">
      <x v="271"/>
      <x v="20"/>
      <x v="49"/>
    </i>
    <i r="4">
      <x v="272"/>
      <x v="20"/>
      <x v="47"/>
    </i>
    <i r="4">
      <x v="273"/>
      <x v="20"/>
      <x v="42"/>
    </i>
    <i r="4">
      <x v="274"/>
      <x v="20"/>
      <x v="51"/>
    </i>
    <i r="4">
      <x v="275"/>
      <x v="20"/>
      <x v="41"/>
    </i>
    <i r="4">
      <x v="276"/>
      <x v="20"/>
      <x v="36"/>
    </i>
    <i r="4">
      <x v="277"/>
      <x v="20"/>
      <x v="40"/>
    </i>
    <i r="4">
      <x v="278"/>
      <x v="20"/>
      <x v="43"/>
    </i>
    <i r="4">
      <x v="279"/>
      <x v="20"/>
      <x v="48"/>
    </i>
    <i>
      <x v="26"/>
      <x v="44"/>
      <x v="1"/>
      <x v="7"/>
      <x v="41"/>
      <x v="82"/>
      <x v="52"/>
    </i>
    <i>
      <x v="34"/>
      <x v="67"/>
      <x v="1"/>
      <x v="4"/>
      <x v="41"/>
      <x v="97"/>
      <x v="18"/>
    </i>
    <i r="3">
      <x v="7"/>
      <x v="41"/>
      <x v="40"/>
      <x v="52"/>
    </i>
    <i r="5">
      <x v="98"/>
      <x v="18"/>
    </i>
    <i r="3">
      <x v="24"/>
      <x v="41"/>
      <x v="83"/>
      <x v="18"/>
    </i>
    <i r="2">
      <x v="3"/>
      <x v="7"/>
      <x v="264"/>
      <x v="97"/>
      <x v="20"/>
    </i>
    <i r="5">
      <x v="98"/>
      <x v="20"/>
    </i>
    <i r="4">
      <x v="265"/>
      <x v="97"/>
      <x v="33"/>
    </i>
    <i r="5">
      <x v="98"/>
      <x v="33"/>
    </i>
    <i r="4">
      <x v="266"/>
      <x v="97"/>
      <x v="21"/>
    </i>
    <i r="5">
      <x v="98"/>
      <x v="21"/>
    </i>
    <i r="4">
      <x v="267"/>
      <x v="97"/>
      <x v="29"/>
    </i>
    <i r="5">
      <x v="98"/>
      <x v="29"/>
    </i>
    <i r="4">
      <x v="268"/>
      <x v="97"/>
      <x v="22"/>
    </i>
    <i r="5">
      <x v="98"/>
      <x v="22"/>
    </i>
    <i r="4">
      <x v="269"/>
      <x v="97"/>
      <x v="27"/>
    </i>
    <i r="5">
      <x v="98"/>
      <x v="27"/>
    </i>
    <i r="4">
      <x v="270"/>
      <x v="97"/>
      <x v="28"/>
    </i>
    <i r="5">
      <x v="98"/>
      <x v="28"/>
    </i>
    <i r="4">
      <x v="271"/>
      <x v="97"/>
      <x v="32"/>
    </i>
    <i r="5">
      <x v="98"/>
      <x v="32"/>
    </i>
    <i r="4">
      <x v="272"/>
      <x v="97"/>
      <x v="30"/>
    </i>
    <i r="5">
      <x v="98"/>
      <x v="30"/>
    </i>
    <i r="4">
      <x v="273"/>
      <x v="97"/>
      <x v="25"/>
    </i>
    <i r="5">
      <x v="98"/>
      <x v="25"/>
    </i>
    <i r="4">
      <x v="274"/>
      <x v="97"/>
      <x v="34"/>
    </i>
    <i r="5">
      <x v="98"/>
      <x v="34"/>
    </i>
    <i r="4">
      <x v="275"/>
      <x v="97"/>
      <x v="24"/>
    </i>
    <i r="5">
      <x v="98"/>
      <x v="24"/>
    </i>
    <i r="4">
      <x v="276"/>
      <x v="97"/>
      <x v="19"/>
    </i>
    <i r="5">
      <x v="98"/>
      <x v="19"/>
    </i>
    <i r="4">
      <x v="277"/>
      <x v="97"/>
      <x v="23"/>
    </i>
    <i r="5">
      <x v="98"/>
      <x v="23"/>
    </i>
    <i r="4">
      <x v="278"/>
      <x v="97"/>
      <x v="26"/>
    </i>
    <i r="5">
      <x v="98"/>
      <x v="26"/>
    </i>
    <i r="4">
      <x v="279"/>
      <x v="97"/>
      <x v="31"/>
    </i>
    <i r="5">
      <x v="98"/>
      <x v="31"/>
    </i>
    <i r="3">
      <x v="18"/>
      <x v="264"/>
      <x v="83"/>
      <x v="20"/>
    </i>
    <i r="4">
      <x v="265"/>
      <x v="83"/>
      <x v="33"/>
    </i>
    <i r="4">
      <x v="266"/>
      <x v="83"/>
      <x v="21"/>
    </i>
    <i r="4">
      <x v="267"/>
      <x v="83"/>
      <x v="29"/>
    </i>
    <i r="4">
      <x v="268"/>
      <x v="83"/>
      <x v="22"/>
    </i>
    <i r="4">
      <x v="269"/>
      <x v="83"/>
      <x v="27"/>
    </i>
    <i r="4">
      <x v="270"/>
      <x v="83"/>
      <x v="28"/>
    </i>
    <i r="4">
      <x v="271"/>
      <x v="83"/>
      <x v="32"/>
    </i>
    <i r="4">
      <x v="272"/>
      <x v="83"/>
      <x v="30"/>
    </i>
    <i r="4">
      <x v="273"/>
      <x v="83"/>
      <x v="25"/>
    </i>
    <i r="4">
      <x v="274"/>
      <x v="83"/>
      <x v="34"/>
    </i>
    <i r="4">
      <x v="275"/>
      <x v="83"/>
      <x v="24"/>
    </i>
    <i r="4">
      <x v="276"/>
      <x v="83"/>
      <x v="19"/>
    </i>
    <i r="4">
      <x v="277"/>
      <x v="83"/>
      <x v="23"/>
    </i>
    <i r="4">
      <x v="278"/>
      <x v="83"/>
      <x v="26"/>
    </i>
    <i r="4">
      <x v="279"/>
      <x v="83"/>
      <x v="31"/>
    </i>
    <i>
      <x v="35"/>
      <x v="68"/>
      <x v="1"/>
      <x v="4"/>
      <x v="41"/>
      <x v="41"/>
      <x v="18"/>
    </i>
    <i r="5">
      <x v="93"/>
      <x v="18"/>
    </i>
    <i r="5">
      <x v="94"/>
      <x v="18"/>
    </i>
    <i r="3">
      <x v="7"/>
      <x v="41"/>
      <x v="99"/>
      <x v="52"/>
    </i>
    <i r="3">
      <x v="9"/>
      <x v="41"/>
      <x v="92"/>
      <x v="35"/>
    </i>
    <i r="2">
      <x v="3"/>
      <x/>
      <x v="264"/>
      <x v="92"/>
      <x v="37"/>
    </i>
    <i r="4">
      <x v="265"/>
      <x v="92"/>
      <x v="50"/>
    </i>
    <i r="4">
      <x v="266"/>
      <x v="92"/>
      <x v="38"/>
    </i>
    <i r="4">
      <x v="267"/>
      <x v="92"/>
      <x v="46"/>
    </i>
    <i r="4">
      <x v="268"/>
      <x v="92"/>
      <x v="39"/>
    </i>
    <i r="4">
      <x v="269"/>
      <x v="92"/>
      <x v="44"/>
    </i>
    <i r="4">
      <x v="270"/>
      <x v="92"/>
      <x v="45"/>
    </i>
    <i r="4">
      <x v="271"/>
      <x v="92"/>
      <x v="49"/>
    </i>
    <i r="4">
      <x v="272"/>
      <x v="92"/>
      <x v="47"/>
    </i>
    <i r="4">
      <x v="273"/>
      <x v="92"/>
      <x v="42"/>
    </i>
    <i r="4">
      <x v="274"/>
      <x v="92"/>
      <x v="51"/>
    </i>
    <i r="4">
      <x v="275"/>
      <x v="92"/>
      <x v="41"/>
    </i>
    <i r="4">
      <x v="276"/>
      <x v="92"/>
      <x v="36"/>
    </i>
    <i r="4">
      <x v="277"/>
      <x v="92"/>
      <x v="40"/>
    </i>
    <i r="4">
      <x v="278"/>
      <x v="92"/>
      <x v="43"/>
    </i>
    <i r="4">
      <x v="279"/>
      <x v="92"/>
      <x v="48"/>
    </i>
    <i r="3">
      <x v="7"/>
      <x v="264"/>
      <x v="42"/>
      <x v="20"/>
    </i>
    <i r="5">
      <x v="93"/>
      <x v="20"/>
    </i>
    <i r="5">
      <x v="94"/>
      <x v="20"/>
    </i>
    <i r="5">
      <x v="98"/>
      <x v="20"/>
    </i>
    <i r="4">
      <x v="265"/>
      <x v="42"/>
      <x v="33"/>
    </i>
    <i r="5">
      <x v="93"/>
      <x v="33"/>
    </i>
    <i r="5">
      <x v="94"/>
      <x v="33"/>
    </i>
    <i r="5">
      <x v="98"/>
      <x v="33"/>
    </i>
    <i r="4">
      <x v="266"/>
      <x v="42"/>
      <x v="21"/>
    </i>
    <i r="5">
      <x v="93"/>
      <x v="21"/>
    </i>
    <i r="5">
      <x v="94"/>
      <x v="21"/>
    </i>
    <i r="5">
      <x v="98"/>
      <x v="21"/>
    </i>
    <i r="4">
      <x v="267"/>
      <x v="42"/>
      <x v="29"/>
    </i>
    <i r="5">
      <x v="93"/>
      <x v="29"/>
    </i>
    <i r="5">
      <x v="94"/>
      <x v="29"/>
    </i>
    <i r="5">
      <x v="98"/>
      <x v="29"/>
    </i>
    <i r="4">
      <x v="268"/>
      <x v="42"/>
      <x v="22"/>
    </i>
    <i r="5">
      <x v="93"/>
      <x v="22"/>
    </i>
    <i r="5">
      <x v="94"/>
      <x v="22"/>
    </i>
    <i r="5">
      <x v="98"/>
      <x v="22"/>
    </i>
    <i r="4">
      <x v="269"/>
      <x v="42"/>
      <x v="27"/>
    </i>
    <i r="5">
      <x v="93"/>
      <x v="27"/>
    </i>
    <i r="5">
      <x v="94"/>
      <x v="27"/>
    </i>
    <i r="5">
      <x v="98"/>
      <x v="27"/>
    </i>
    <i r="4">
      <x v="270"/>
      <x v="42"/>
      <x v="28"/>
    </i>
    <i r="5">
      <x v="93"/>
      <x v="28"/>
    </i>
    <i r="5">
      <x v="94"/>
      <x v="28"/>
    </i>
    <i r="5">
      <x v="98"/>
      <x v="28"/>
    </i>
    <i r="4">
      <x v="271"/>
      <x v="42"/>
      <x v="32"/>
    </i>
    <i r="5">
      <x v="93"/>
      <x v="32"/>
    </i>
    <i r="5">
      <x v="94"/>
      <x v="32"/>
    </i>
    <i r="5">
      <x v="98"/>
      <x v="32"/>
    </i>
    <i r="4">
      <x v="272"/>
      <x v="42"/>
      <x v="30"/>
    </i>
    <i r="5">
      <x v="93"/>
      <x v="30"/>
    </i>
    <i r="5">
      <x v="94"/>
      <x v="30"/>
    </i>
    <i r="5">
      <x v="98"/>
      <x v="30"/>
    </i>
    <i r="4">
      <x v="273"/>
      <x v="42"/>
      <x v="25"/>
    </i>
    <i r="5">
      <x v="93"/>
      <x v="25"/>
    </i>
    <i r="5">
      <x v="94"/>
      <x v="25"/>
    </i>
    <i r="5">
      <x v="98"/>
      <x v="25"/>
    </i>
    <i r="4">
      <x v="274"/>
      <x v="42"/>
      <x v="34"/>
    </i>
    <i r="5">
      <x v="93"/>
      <x v="34"/>
    </i>
    <i r="5">
      <x v="94"/>
      <x v="34"/>
    </i>
    <i r="5">
      <x v="98"/>
      <x v="34"/>
    </i>
    <i r="4">
      <x v="275"/>
      <x v="42"/>
      <x v="24"/>
    </i>
    <i r="5">
      <x v="93"/>
      <x v="24"/>
    </i>
    <i r="5">
      <x v="94"/>
      <x v="24"/>
    </i>
    <i r="5">
      <x v="98"/>
      <x v="24"/>
    </i>
    <i r="4">
      <x v="276"/>
      <x v="42"/>
      <x v="19"/>
    </i>
    <i r="5">
      <x v="93"/>
      <x v="19"/>
    </i>
    <i r="5">
      <x v="94"/>
      <x v="19"/>
    </i>
    <i r="5">
      <x v="98"/>
      <x v="19"/>
    </i>
    <i r="4">
      <x v="277"/>
      <x v="42"/>
      <x v="23"/>
    </i>
    <i r="5">
      <x v="93"/>
      <x v="23"/>
    </i>
    <i r="5">
      <x v="94"/>
      <x v="23"/>
    </i>
    <i r="5">
      <x v="98"/>
      <x v="23"/>
    </i>
    <i r="4">
      <x v="278"/>
      <x v="42"/>
      <x v="26"/>
    </i>
    <i r="5">
      <x v="93"/>
      <x v="26"/>
    </i>
    <i r="5">
      <x v="94"/>
      <x v="26"/>
    </i>
    <i r="5">
      <x v="98"/>
      <x v="26"/>
    </i>
    <i r="4">
      <x v="279"/>
      <x v="42"/>
      <x v="31"/>
    </i>
    <i r="5">
      <x v="93"/>
      <x v="31"/>
    </i>
    <i r="5">
      <x v="94"/>
      <x v="31"/>
    </i>
    <i r="5">
      <x v="98"/>
      <x v="31"/>
    </i>
    <i>
      <x v="36"/>
      <x v="32"/>
      <x v="1"/>
      <x v="7"/>
      <x v="41"/>
      <x v="43"/>
      <x v="18"/>
    </i>
    <i r="5">
      <x v="44"/>
      <x v="52"/>
    </i>
    <i r="5">
      <x v="45"/>
      <x v="52"/>
    </i>
    <i r="2">
      <x v="3"/>
      <x v="7"/>
      <x v="264"/>
      <x v="43"/>
      <x v="20"/>
    </i>
    <i r="4">
      <x v="265"/>
      <x v="43"/>
      <x v="33"/>
    </i>
    <i r="4">
      <x v="266"/>
      <x v="43"/>
      <x v="21"/>
    </i>
    <i r="4">
      <x v="267"/>
      <x v="43"/>
      <x v="29"/>
    </i>
    <i r="4">
      <x v="268"/>
      <x v="43"/>
      <x v="22"/>
    </i>
    <i r="4">
      <x v="269"/>
      <x v="43"/>
      <x v="27"/>
    </i>
    <i r="4">
      <x v="270"/>
      <x v="43"/>
      <x v="28"/>
    </i>
    <i r="4">
      <x v="271"/>
      <x v="43"/>
      <x v="32"/>
    </i>
    <i r="4">
      <x v="272"/>
      <x v="43"/>
      <x v="30"/>
    </i>
    <i r="4">
      <x v="273"/>
      <x v="43"/>
      <x v="25"/>
    </i>
    <i r="4">
      <x v="274"/>
      <x v="43"/>
      <x v="34"/>
    </i>
    <i r="4">
      <x v="275"/>
      <x v="43"/>
      <x v="24"/>
    </i>
    <i r="4">
      <x v="276"/>
      <x v="43"/>
      <x v="19"/>
    </i>
    <i r="4">
      <x v="277"/>
      <x v="43"/>
      <x v="23"/>
    </i>
    <i r="4">
      <x v="278"/>
      <x v="43"/>
      <x v="26"/>
    </i>
    <i r="4">
      <x v="279"/>
      <x v="43"/>
      <x v="31"/>
    </i>
    <i>
      <x v="37"/>
      <x v="57"/>
      <x v="1"/>
      <x v="13"/>
      <x v="41"/>
      <x v="46"/>
      <x v="18"/>
    </i>
    <i r="2">
      <x v="3"/>
      <x v="13"/>
      <x v="264"/>
      <x v="46"/>
      <x v="20"/>
    </i>
    <i r="4">
      <x v="265"/>
      <x v="46"/>
      <x v="33"/>
    </i>
    <i r="4">
      <x v="266"/>
      <x v="46"/>
      <x v="21"/>
    </i>
    <i r="4">
      <x v="267"/>
      <x v="46"/>
      <x v="29"/>
    </i>
    <i r="4">
      <x v="268"/>
      <x v="46"/>
      <x v="22"/>
    </i>
    <i r="4">
      <x v="269"/>
      <x v="46"/>
      <x v="27"/>
    </i>
    <i r="4">
      <x v="270"/>
      <x v="46"/>
      <x v="28"/>
    </i>
    <i r="4">
      <x v="271"/>
      <x v="46"/>
      <x v="32"/>
    </i>
    <i r="4">
      <x v="272"/>
      <x v="46"/>
      <x v="30"/>
    </i>
    <i r="4">
      <x v="273"/>
      <x v="46"/>
      <x v="25"/>
    </i>
    <i r="4">
      <x v="274"/>
      <x v="46"/>
      <x v="34"/>
    </i>
    <i r="4">
      <x v="275"/>
      <x v="46"/>
      <x v="24"/>
    </i>
    <i r="4">
      <x v="276"/>
      <x v="46"/>
      <x v="19"/>
    </i>
    <i r="4">
      <x v="277"/>
      <x v="46"/>
      <x v="23"/>
    </i>
    <i r="4">
      <x v="278"/>
      <x v="46"/>
      <x v="26"/>
    </i>
    <i r="4">
      <x v="279"/>
      <x v="46"/>
      <x v="31"/>
    </i>
    <i>
      <x v="39"/>
      <x v="83"/>
      <x v="1"/>
      <x v="4"/>
      <x v="41"/>
      <x v="103"/>
      <x v="35"/>
    </i>
    <i r="2">
      <x v="3"/>
      <x v="7"/>
      <x v="264"/>
      <x v="103"/>
      <x v="37"/>
    </i>
    <i r="4">
      <x v="265"/>
      <x v="103"/>
      <x v="50"/>
    </i>
    <i r="4">
      <x v="266"/>
      <x v="103"/>
      <x v="38"/>
    </i>
    <i r="4">
      <x v="267"/>
      <x v="103"/>
      <x v="46"/>
    </i>
    <i r="4">
      <x v="268"/>
      <x v="103"/>
      <x v="39"/>
    </i>
    <i r="4">
      <x v="269"/>
      <x v="103"/>
      <x v="44"/>
    </i>
    <i r="4">
      <x v="270"/>
      <x v="103"/>
      <x v="45"/>
    </i>
    <i r="4">
      <x v="271"/>
      <x v="103"/>
      <x v="49"/>
    </i>
    <i r="4">
      <x v="272"/>
      <x v="103"/>
      <x v="47"/>
    </i>
    <i r="4">
      <x v="273"/>
      <x v="103"/>
      <x v="42"/>
    </i>
    <i r="4">
      <x v="274"/>
      <x v="103"/>
      <x v="51"/>
    </i>
    <i r="4">
      <x v="275"/>
      <x v="103"/>
      <x v="41"/>
    </i>
    <i r="4">
      <x v="276"/>
      <x v="103"/>
      <x v="36"/>
    </i>
    <i r="4">
      <x v="277"/>
      <x v="103"/>
      <x v="40"/>
    </i>
    <i r="4">
      <x v="278"/>
      <x v="103"/>
      <x v="43"/>
    </i>
    <i r="4">
      <x v="279"/>
      <x v="103"/>
      <x v="48"/>
    </i>
    <i>
      <x v="40"/>
      <x v="70"/>
      <x v="1"/>
      <x v="4"/>
      <x v="41"/>
      <x v="49"/>
      <x v="52"/>
    </i>
    <i>
      <x v="41"/>
      <x v="59"/>
      <x v="1"/>
      <x/>
      <x v="41"/>
      <x v="50"/>
      <x v="35"/>
    </i>
    <i r="2">
      <x v="3"/>
      <x/>
      <x v="264"/>
      <x v="50"/>
      <x v="37"/>
    </i>
    <i r="4">
      <x v="265"/>
      <x v="50"/>
      <x v="50"/>
    </i>
    <i r="4">
      <x v="266"/>
      <x v="50"/>
      <x v="38"/>
    </i>
    <i r="4">
      <x v="267"/>
      <x v="50"/>
      <x v="46"/>
    </i>
    <i r="4">
      <x v="268"/>
      <x v="50"/>
      <x v="39"/>
    </i>
    <i r="4">
      <x v="269"/>
      <x v="50"/>
      <x v="44"/>
    </i>
    <i r="4">
      <x v="270"/>
      <x v="50"/>
      <x v="45"/>
    </i>
    <i r="4">
      <x v="271"/>
      <x v="50"/>
      <x v="49"/>
    </i>
    <i r="4">
      <x v="272"/>
      <x v="50"/>
      <x v="47"/>
    </i>
    <i r="4">
      <x v="273"/>
      <x v="50"/>
      <x v="42"/>
    </i>
    <i r="4">
      <x v="274"/>
      <x v="50"/>
      <x v="51"/>
    </i>
    <i r="4">
      <x v="275"/>
      <x v="50"/>
      <x v="41"/>
    </i>
    <i r="4">
      <x v="276"/>
      <x v="50"/>
      <x v="36"/>
    </i>
    <i r="4">
      <x v="277"/>
      <x v="50"/>
      <x v="40"/>
    </i>
    <i r="4">
      <x v="278"/>
      <x v="50"/>
      <x v="43"/>
    </i>
    <i r="4">
      <x v="279"/>
      <x v="50"/>
      <x v="48"/>
    </i>
    <i>
      <x v="42"/>
      <x v="59"/>
      <x v="1"/>
      <x/>
      <x v="41"/>
      <x v="51"/>
      <x v="35"/>
    </i>
    <i r="2">
      <x v="3"/>
      <x/>
      <x v="264"/>
      <x v="51"/>
      <x v="37"/>
    </i>
    <i r="4">
      <x v="265"/>
      <x v="51"/>
      <x v="50"/>
    </i>
    <i r="4">
      <x v="266"/>
      <x v="51"/>
      <x v="38"/>
    </i>
    <i r="4">
      <x v="267"/>
      <x v="51"/>
      <x v="46"/>
    </i>
    <i r="4">
      <x v="268"/>
      <x v="51"/>
      <x v="39"/>
    </i>
    <i r="4">
      <x v="269"/>
      <x v="51"/>
      <x v="44"/>
    </i>
    <i r="4">
      <x v="270"/>
      <x v="51"/>
      <x v="45"/>
    </i>
    <i r="4">
      <x v="271"/>
      <x v="51"/>
      <x v="49"/>
    </i>
    <i r="4">
      <x v="272"/>
      <x v="51"/>
      <x v="47"/>
    </i>
    <i r="4">
      <x v="273"/>
      <x v="51"/>
      <x v="42"/>
    </i>
    <i r="4">
      <x v="274"/>
      <x v="51"/>
      <x v="51"/>
    </i>
    <i r="4">
      <x v="275"/>
      <x v="51"/>
      <x v="41"/>
    </i>
    <i r="4">
      <x v="276"/>
      <x v="51"/>
      <x v="36"/>
    </i>
    <i r="4">
      <x v="277"/>
      <x v="51"/>
      <x v="40"/>
    </i>
    <i r="4">
      <x v="278"/>
      <x v="51"/>
      <x v="43"/>
    </i>
    <i r="4">
      <x v="279"/>
      <x v="51"/>
      <x v="48"/>
    </i>
    <i>
      <x v="43"/>
      <x v="79"/>
      <x v="1"/>
      <x v="4"/>
      <x v="41"/>
      <x v="52"/>
      <x v="18"/>
    </i>
    <i r="5">
      <x v="110"/>
      <x v="18"/>
    </i>
    <i r="3">
      <x v="20"/>
      <x v="41"/>
      <x v="112"/>
      <x v="35"/>
    </i>
    <i r="2">
      <x v="3"/>
      <x v="7"/>
      <x v="264"/>
      <x v="52"/>
      <x v="20"/>
    </i>
    <i r="5">
      <x v="110"/>
      <x v="20"/>
    </i>
    <i r="4">
      <x v="265"/>
      <x v="52"/>
      <x v="33"/>
    </i>
    <i r="5">
      <x v="110"/>
      <x v="33"/>
    </i>
    <i r="4">
      <x v="266"/>
      <x v="52"/>
      <x v="21"/>
    </i>
    <i r="5">
      <x v="110"/>
      <x v="21"/>
    </i>
    <i r="4">
      <x v="267"/>
      <x v="52"/>
      <x v="29"/>
    </i>
    <i r="5">
      <x v="110"/>
      <x v="29"/>
    </i>
    <i r="4">
      <x v="268"/>
      <x v="52"/>
      <x v="22"/>
    </i>
    <i r="5">
      <x v="110"/>
      <x v="22"/>
    </i>
    <i r="4">
      <x v="269"/>
      <x v="52"/>
      <x v="27"/>
    </i>
    <i r="5">
      <x v="110"/>
      <x v="27"/>
    </i>
    <i r="4">
      <x v="270"/>
      <x v="52"/>
      <x v="28"/>
    </i>
    <i r="5">
      <x v="110"/>
      <x v="28"/>
    </i>
    <i r="4">
      <x v="271"/>
      <x v="52"/>
      <x v="32"/>
    </i>
    <i r="5">
      <x v="110"/>
      <x v="32"/>
    </i>
    <i r="4">
      <x v="272"/>
      <x v="52"/>
      <x v="30"/>
    </i>
    <i r="5">
      <x v="110"/>
      <x v="30"/>
    </i>
    <i r="4">
      <x v="273"/>
      <x v="52"/>
      <x v="25"/>
    </i>
    <i r="5">
      <x v="110"/>
      <x v="25"/>
    </i>
    <i r="4">
      <x v="274"/>
      <x v="52"/>
      <x v="34"/>
    </i>
    <i r="5">
      <x v="110"/>
      <x v="34"/>
    </i>
    <i r="4">
      <x v="275"/>
      <x v="52"/>
      <x v="24"/>
    </i>
    <i r="5">
      <x v="110"/>
      <x v="24"/>
    </i>
    <i r="4">
      <x v="276"/>
      <x v="52"/>
      <x v="19"/>
    </i>
    <i r="5">
      <x v="110"/>
      <x v="19"/>
    </i>
    <i r="4">
      <x v="277"/>
      <x v="52"/>
      <x v="23"/>
    </i>
    <i r="5">
      <x v="110"/>
      <x v="23"/>
    </i>
    <i r="4">
      <x v="278"/>
      <x v="52"/>
      <x v="26"/>
    </i>
    <i r="5">
      <x v="110"/>
      <x v="26"/>
    </i>
    <i r="4">
      <x v="279"/>
      <x v="52"/>
      <x v="31"/>
    </i>
    <i r="5">
      <x v="110"/>
      <x v="31"/>
    </i>
    <i r="3">
      <x v="21"/>
      <x v="264"/>
      <x v="112"/>
      <x v="37"/>
    </i>
    <i r="4">
      <x v="265"/>
      <x v="112"/>
      <x v="50"/>
    </i>
    <i r="4">
      <x v="266"/>
      <x v="112"/>
      <x v="38"/>
    </i>
    <i r="4">
      <x v="267"/>
      <x v="112"/>
      <x v="46"/>
    </i>
    <i r="4">
      <x v="268"/>
      <x v="112"/>
      <x v="39"/>
    </i>
    <i r="4">
      <x v="269"/>
      <x v="112"/>
      <x v="44"/>
    </i>
    <i r="4">
      <x v="270"/>
      <x v="112"/>
      <x v="45"/>
    </i>
    <i r="4">
      <x v="271"/>
      <x v="112"/>
      <x v="49"/>
    </i>
    <i r="4">
      <x v="272"/>
      <x v="112"/>
      <x v="47"/>
    </i>
    <i r="4">
      <x v="273"/>
      <x v="112"/>
      <x v="42"/>
    </i>
    <i r="4">
      <x v="274"/>
      <x v="112"/>
      <x v="51"/>
    </i>
    <i r="4">
      <x v="275"/>
      <x v="112"/>
      <x v="41"/>
    </i>
    <i r="4">
      <x v="276"/>
      <x v="112"/>
      <x v="36"/>
    </i>
    <i r="4">
      <x v="277"/>
      <x v="112"/>
      <x v="40"/>
    </i>
    <i r="4">
      <x v="278"/>
      <x v="112"/>
      <x v="43"/>
    </i>
    <i r="4">
      <x v="279"/>
      <x v="112"/>
      <x v="48"/>
    </i>
    <i>
      <x v="44"/>
      <x v="61"/>
      <x v="1"/>
      <x v="7"/>
      <x v="41"/>
      <x v="53"/>
      <x v="52"/>
    </i>
    <i r="5">
      <x v="54"/>
      <x v="52"/>
    </i>
    <i r="5">
      <x v="55"/>
      <x v="52"/>
    </i>
    <i r="5">
      <x v="56"/>
      <x v="52"/>
    </i>
    <i>
      <x v="45"/>
      <x v="44"/>
      <x v="1"/>
      <x v="14"/>
      <x v="41"/>
      <x v="57"/>
      <x v="52"/>
    </i>
    <i>
      <x v="46"/>
      <x v="44"/>
      <x v="1"/>
      <x v="4"/>
      <x v="41"/>
      <x v="58"/>
      <x v="18"/>
    </i>
    <i r="2">
      <x v="3"/>
      <x v="7"/>
      <x v="264"/>
      <x v="58"/>
      <x v="20"/>
    </i>
    <i r="4">
      <x v="265"/>
      <x v="58"/>
      <x v="33"/>
    </i>
    <i r="4">
      <x v="266"/>
      <x v="58"/>
      <x v="21"/>
    </i>
    <i r="4">
      <x v="267"/>
      <x v="58"/>
      <x v="29"/>
    </i>
    <i r="4">
      <x v="268"/>
      <x v="58"/>
      <x v="22"/>
    </i>
    <i r="4">
      <x v="269"/>
      <x v="58"/>
      <x v="27"/>
    </i>
    <i r="4">
      <x v="270"/>
      <x v="58"/>
      <x v="28"/>
    </i>
    <i r="4">
      <x v="271"/>
      <x v="58"/>
      <x v="32"/>
    </i>
    <i r="4">
      <x v="272"/>
      <x v="58"/>
      <x v="30"/>
    </i>
    <i r="4">
      <x v="273"/>
      <x v="58"/>
      <x v="25"/>
    </i>
    <i r="4">
      <x v="274"/>
      <x v="58"/>
      <x v="34"/>
    </i>
    <i r="4">
      <x v="275"/>
      <x v="58"/>
      <x v="24"/>
    </i>
    <i r="4">
      <x v="276"/>
      <x v="58"/>
      <x v="19"/>
    </i>
    <i r="4">
      <x v="277"/>
      <x v="58"/>
      <x v="23"/>
    </i>
    <i r="4">
      <x v="278"/>
      <x v="58"/>
      <x v="26"/>
    </i>
    <i r="4">
      <x v="279"/>
      <x v="58"/>
      <x v="31"/>
    </i>
    <i>
      <x v="55"/>
      <x v="64"/>
      <x v="1"/>
      <x v="15"/>
      <x v="41"/>
      <x v="67"/>
      <x v="52"/>
    </i>
    <i>
      <x v="63"/>
      <x v="44"/>
      <x v="1"/>
      <x v="4"/>
      <x v="41"/>
      <x v="73"/>
      <x v="18"/>
    </i>
    <i r="5">
      <x v="81"/>
      <x v="18"/>
    </i>
    <i r="2">
      <x v="3"/>
      <x v="7"/>
      <x v="264"/>
      <x v="73"/>
      <x v="20"/>
    </i>
    <i r="5">
      <x v="81"/>
      <x v="20"/>
    </i>
    <i r="4">
      <x v="265"/>
      <x v="73"/>
      <x v="33"/>
    </i>
    <i r="5">
      <x v="81"/>
      <x v="33"/>
    </i>
    <i r="4">
      <x v="266"/>
      <x v="73"/>
      <x v="21"/>
    </i>
    <i r="5">
      <x v="81"/>
      <x v="21"/>
    </i>
    <i r="4">
      <x v="267"/>
      <x v="73"/>
      <x v="29"/>
    </i>
    <i r="5">
      <x v="81"/>
      <x v="29"/>
    </i>
    <i r="4">
      <x v="268"/>
      <x v="73"/>
      <x v="22"/>
    </i>
    <i r="5">
      <x v="81"/>
      <x v="22"/>
    </i>
    <i r="4">
      <x v="269"/>
      <x v="73"/>
      <x v="27"/>
    </i>
    <i r="5">
      <x v="81"/>
      <x v="27"/>
    </i>
    <i r="4">
      <x v="270"/>
      <x v="73"/>
      <x v="28"/>
    </i>
    <i r="5">
      <x v="81"/>
      <x v="28"/>
    </i>
    <i r="4">
      <x v="271"/>
      <x v="73"/>
      <x v="32"/>
    </i>
    <i r="5">
      <x v="81"/>
      <x v="32"/>
    </i>
    <i r="4">
      <x v="272"/>
      <x v="73"/>
      <x v="30"/>
    </i>
    <i r="5">
      <x v="81"/>
      <x v="30"/>
    </i>
    <i r="4">
      <x v="273"/>
      <x v="73"/>
      <x v="25"/>
    </i>
    <i r="5">
      <x v="81"/>
      <x v="25"/>
    </i>
    <i r="4">
      <x v="274"/>
      <x v="73"/>
      <x v="34"/>
    </i>
    <i r="5">
      <x v="81"/>
      <x v="34"/>
    </i>
    <i r="4">
      <x v="275"/>
      <x v="73"/>
      <x v="24"/>
    </i>
    <i r="5">
      <x v="81"/>
      <x v="24"/>
    </i>
    <i r="4">
      <x v="276"/>
      <x v="73"/>
      <x v="19"/>
    </i>
    <i r="5">
      <x v="81"/>
      <x v="19"/>
    </i>
    <i r="4">
      <x v="277"/>
      <x v="73"/>
      <x v="23"/>
    </i>
    <i r="5">
      <x v="81"/>
      <x v="23"/>
    </i>
    <i r="4">
      <x v="278"/>
      <x v="73"/>
      <x v="26"/>
    </i>
    <i r="5">
      <x v="81"/>
      <x v="26"/>
    </i>
    <i r="4">
      <x v="279"/>
      <x v="73"/>
      <x v="31"/>
    </i>
    <i r="5">
      <x v="81"/>
      <x v="31"/>
    </i>
    <i>
      <x v="64"/>
      <x v="44"/>
      <x v="1"/>
      <x v="4"/>
      <x v="41"/>
      <x v="74"/>
      <x v="18"/>
    </i>
    <i r="2">
      <x v="3"/>
      <x v="7"/>
      <x v="264"/>
      <x v="74"/>
      <x v="20"/>
    </i>
    <i r="4">
      <x v="265"/>
      <x v="74"/>
      <x v="33"/>
    </i>
    <i r="4">
      <x v="266"/>
      <x v="74"/>
      <x v="21"/>
    </i>
    <i r="4">
      <x v="267"/>
      <x v="74"/>
      <x v="29"/>
    </i>
    <i r="4">
      <x v="268"/>
      <x v="74"/>
      <x v="22"/>
    </i>
    <i r="4">
      <x v="269"/>
      <x v="74"/>
      <x v="27"/>
    </i>
    <i r="4">
      <x v="270"/>
      <x v="74"/>
      <x v="28"/>
    </i>
    <i r="4">
      <x v="271"/>
      <x v="74"/>
      <x v="32"/>
    </i>
    <i r="4">
      <x v="272"/>
      <x v="74"/>
      <x v="30"/>
    </i>
    <i r="4">
      <x v="273"/>
      <x v="74"/>
      <x v="25"/>
    </i>
    <i r="4">
      <x v="274"/>
      <x v="74"/>
      <x v="34"/>
    </i>
    <i r="4">
      <x v="275"/>
      <x v="74"/>
      <x v="24"/>
    </i>
    <i r="4">
      <x v="276"/>
      <x v="74"/>
      <x v="19"/>
    </i>
    <i r="4">
      <x v="277"/>
      <x v="74"/>
      <x v="23"/>
    </i>
    <i r="4">
      <x v="278"/>
      <x v="74"/>
      <x v="26"/>
    </i>
    <i r="4">
      <x v="279"/>
      <x v="74"/>
      <x v="31"/>
    </i>
    <i>
      <x v="65"/>
      <x v="44"/>
      <x v="1"/>
      <x v="4"/>
      <x v="41"/>
      <x v="75"/>
      <x v="18"/>
    </i>
    <i r="2">
      <x v="3"/>
      <x v="7"/>
      <x v="264"/>
      <x v="75"/>
      <x v="20"/>
    </i>
    <i r="4">
      <x v="265"/>
      <x v="75"/>
      <x v="33"/>
    </i>
    <i r="4">
      <x v="266"/>
      <x v="75"/>
      <x v="21"/>
    </i>
    <i r="4">
      <x v="267"/>
      <x v="75"/>
      <x v="29"/>
    </i>
    <i r="4">
      <x v="268"/>
      <x v="75"/>
      <x v="22"/>
    </i>
    <i r="4">
      <x v="269"/>
      <x v="75"/>
      <x v="27"/>
    </i>
    <i r="4">
      <x v="270"/>
      <x v="75"/>
      <x v="28"/>
    </i>
    <i r="4">
      <x v="271"/>
      <x v="75"/>
      <x v="32"/>
    </i>
    <i r="4">
      <x v="272"/>
      <x v="75"/>
      <x v="30"/>
    </i>
    <i r="4">
      <x v="273"/>
      <x v="75"/>
      <x v="25"/>
    </i>
    <i r="4">
      <x v="274"/>
      <x v="75"/>
      <x v="34"/>
    </i>
    <i r="4">
      <x v="275"/>
      <x v="75"/>
      <x v="24"/>
    </i>
    <i r="4">
      <x v="276"/>
      <x v="75"/>
      <x v="19"/>
    </i>
    <i r="4">
      <x v="277"/>
      <x v="75"/>
      <x v="23"/>
    </i>
    <i r="4">
      <x v="278"/>
      <x v="75"/>
      <x v="26"/>
    </i>
    <i r="4">
      <x v="279"/>
      <x v="75"/>
      <x v="31"/>
    </i>
    <i>
      <x v="66"/>
      <x v="68"/>
      <x v="1"/>
      <x v="4"/>
      <x v="41"/>
      <x v="185"/>
      <x v="18"/>
    </i>
    <i r="3">
      <x v="7"/>
      <x v="41"/>
      <x v="185"/>
      <x v="18"/>
    </i>
    <i r="6">
      <x v="52"/>
    </i>
    <i r="3">
      <x v="16"/>
      <x v="41"/>
      <x v="76"/>
      <x v="52"/>
    </i>
    <i r="3">
      <x v="19"/>
      <x v="41"/>
      <x v="185"/>
      <x v="18"/>
    </i>
    <i r="3">
      <x v="24"/>
      <x v="41"/>
      <x v="185"/>
      <x v="35"/>
    </i>
    <i r="2">
      <x v="3"/>
      <x v="7"/>
      <x v="264"/>
      <x v="185"/>
      <x v="20"/>
    </i>
    <i r="4">
      <x v="265"/>
      <x v="185"/>
      <x v="33"/>
    </i>
    <i r="4">
      <x v="266"/>
      <x v="185"/>
      <x v="21"/>
    </i>
    <i r="4">
      <x v="267"/>
      <x v="185"/>
      <x v="29"/>
    </i>
    <i r="4">
      <x v="268"/>
      <x v="185"/>
      <x v="22"/>
    </i>
    <i r="4">
      <x v="269"/>
      <x v="185"/>
      <x v="27"/>
    </i>
    <i r="4">
      <x v="270"/>
      <x v="185"/>
      <x v="28"/>
    </i>
    <i r="4">
      <x v="271"/>
      <x v="185"/>
      <x v="32"/>
    </i>
    <i r="4">
      <x v="272"/>
      <x v="185"/>
      <x v="30"/>
    </i>
    <i r="4">
      <x v="273"/>
      <x v="185"/>
      <x v="25"/>
    </i>
    <i r="4">
      <x v="274"/>
      <x v="185"/>
      <x v="34"/>
    </i>
    <i r="4">
      <x v="275"/>
      <x v="185"/>
      <x v="24"/>
    </i>
    <i r="4">
      <x v="276"/>
      <x v="185"/>
      <x v="19"/>
    </i>
    <i r="4">
      <x v="277"/>
      <x v="185"/>
      <x v="23"/>
    </i>
    <i r="4">
      <x v="278"/>
      <x v="185"/>
      <x v="26"/>
    </i>
    <i r="4">
      <x v="279"/>
      <x v="185"/>
      <x v="31"/>
    </i>
    <i r="3">
      <x v="16"/>
      <x v="264"/>
      <x v="185"/>
      <x v="20"/>
    </i>
    <i r="4">
      <x v="265"/>
      <x v="185"/>
      <x v="33"/>
    </i>
    <i r="4">
      <x v="266"/>
      <x v="185"/>
      <x v="21"/>
    </i>
    <i r="4">
      <x v="267"/>
      <x v="185"/>
      <x v="29"/>
    </i>
    <i r="4">
      <x v="268"/>
      <x v="185"/>
      <x v="22"/>
    </i>
    <i r="4">
      <x v="269"/>
      <x v="185"/>
      <x v="27"/>
    </i>
    <i r="4">
      <x v="270"/>
      <x v="185"/>
      <x v="28"/>
    </i>
    <i r="4">
      <x v="271"/>
      <x v="185"/>
      <x v="32"/>
    </i>
    <i r="4">
      <x v="272"/>
      <x v="185"/>
      <x v="30"/>
    </i>
    <i r="4">
      <x v="273"/>
      <x v="185"/>
      <x v="25"/>
    </i>
    <i r="4">
      <x v="274"/>
      <x v="185"/>
      <x v="34"/>
    </i>
    <i r="4">
      <x v="275"/>
      <x v="185"/>
      <x v="24"/>
    </i>
    <i r="4">
      <x v="276"/>
      <x v="185"/>
      <x v="19"/>
    </i>
    <i r="4">
      <x v="277"/>
      <x v="185"/>
      <x v="23"/>
    </i>
    <i r="4">
      <x v="278"/>
      <x v="185"/>
      <x v="26"/>
    </i>
    <i r="4">
      <x v="279"/>
      <x v="185"/>
      <x v="31"/>
    </i>
    <i r="3">
      <x v="18"/>
      <x v="264"/>
      <x v="185"/>
      <x v="37"/>
    </i>
    <i r="4">
      <x v="265"/>
      <x v="185"/>
      <x v="50"/>
    </i>
    <i r="4">
      <x v="266"/>
      <x v="185"/>
      <x v="38"/>
    </i>
    <i r="4">
      <x v="267"/>
      <x v="185"/>
      <x v="46"/>
    </i>
    <i r="4">
      <x v="268"/>
      <x v="185"/>
      <x v="39"/>
    </i>
    <i r="4">
      <x v="269"/>
      <x v="185"/>
      <x v="44"/>
    </i>
    <i r="4">
      <x v="270"/>
      <x v="185"/>
      <x v="45"/>
    </i>
    <i r="4">
      <x v="271"/>
      <x v="185"/>
      <x v="49"/>
    </i>
    <i r="4">
      <x v="272"/>
      <x v="185"/>
      <x v="47"/>
    </i>
    <i r="4">
      <x v="273"/>
      <x v="185"/>
      <x v="42"/>
    </i>
    <i r="4">
      <x v="274"/>
      <x v="185"/>
      <x v="51"/>
    </i>
    <i r="4">
      <x v="275"/>
      <x v="185"/>
      <x v="41"/>
    </i>
    <i r="4">
      <x v="276"/>
      <x v="185"/>
      <x v="36"/>
    </i>
    <i r="4">
      <x v="277"/>
      <x v="185"/>
      <x v="40"/>
    </i>
    <i r="4">
      <x v="278"/>
      <x v="185"/>
      <x v="43"/>
    </i>
    <i r="4">
      <x v="279"/>
      <x v="185"/>
      <x v="48"/>
    </i>
    <i>
      <x v="67"/>
      <x v="61"/>
      <x v="1"/>
      <x v="7"/>
      <x v="41"/>
      <x v="77"/>
      <x v="52"/>
    </i>
    <i>
      <x v="68"/>
      <x v="61"/>
      <x v="1"/>
      <x v="7"/>
      <x v="41"/>
      <x v="78"/>
      <x v="52"/>
    </i>
    <i r="5">
      <x v="84"/>
      <x v="52"/>
    </i>
    <i>
      <x v="69"/>
      <x v="61"/>
      <x v="1"/>
      <x v="7"/>
      <x v="41"/>
      <x v="79"/>
      <x v="52"/>
    </i>
    <i>
      <x v="70"/>
      <x v="61"/>
      <x v="1"/>
      <x v="7"/>
      <x v="41"/>
      <x v="80"/>
      <x v="52"/>
    </i>
    <i>
      <x v="72"/>
      <x v="48"/>
      <x v="1"/>
      <x v="9"/>
      <x v="41"/>
      <x v="88"/>
      <x v="35"/>
    </i>
    <i r="2">
      <x v="3"/>
      <x/>
      <x v="264"/>
      <x v="88"/>
      <x v="37"/>
    </i>
    <i r="4">
      <x v="265"/>
      <x v="88"/>
      <x v="50"/>
    </i>
    <i r="4">
      <x v="266"/>
      <x v="88"/>
      <x v="38"/>
    </i>
    <i r="4">
      <x v="267"/>
      <x v="88"/>
      <x v="46"/>
    </i>
    <i r="4">
      <x v="268"/>
      <x v="88"/>
      <x v="39"/>
    </i>
    <i r="4">
      <x v="269"/>
      <x v="88"/>
      <x v="44"/>
    </i>
    <i r="4">
      <x v="270"/>
      <x v="88"/>
      <x v="45"/>
    </i>
    <i r="4">
      <x v="271"/>
      <x v="88"/>
      <x v="49"/>
    </i>
    <i r="4">
      <x v="272"/>
      <x v="88"/>
      <x v="47"/>
    </i>
    <i r="4">
      <x v="273"/>
      <x v="88"/>
      <x v="42"/>
    </i>
    <i r="4">
      <x v="274"/>
      <x v="88"/>
      <x v="51"/>
    </i>
    <i r="4">
      <x v="275"/>
      <x v="88"/>
      <x v="41"/>
    </i>
    <i r="4">
      <x v="276"/>
      <x v="88"/>
      <x v="36"/>
    </i>
    <i r="4">
      <x v="277"/>
      <x v="88"/>
      <x v="40"/>
    </i>
    <i r="4">
      <x v="278"/>
      <x v="88"/>
      <x v="43"/>
    </i>
    <i r="4">
      <x v="279"/>
      <x v="88"/>
      <x v="48"/>
    </i>
    <i>
      <x v="73"/>
      <x v="48"/>
      <x v="1"/>
      <x v="9"/>
      <x v="41"/>
      <x v="89"/>
      <x v="35"/>
    </i>
    <i r="2">
      <x v="3"/>
      <x/>
      <x v="264"/>
      <x v="89"/>
      <x v="37"/>
    </i>
    <i r="4">
      <x v="265"/>
      <x v="89"/>
      <x v="50"/>
    </i>
    <i r="4">
      <x v="266"/>
      <x v="89"/>
      <x v="38"/>
    </i>
    <i r="4">
      <x v="267"/>
      <x v="89"/>
      <x v="46"/>
    </i>
    <i r="4">
      <x v="268"/>
      <x v="89"/>
      <x v="39"/>
    </i>
    <i r="4">
      <x v="269"/>
      <x v="89"/>
      <x v="44"/>
    </i>
    <i r="4">
      <x v="270"/>
      <x v="89"/>
      <x v="45"/>
    </i>
    <i r="4">
      <x v="271"/>
      <x v="89"/>
      <x v="49"/>
    </i>
    <i r="4">
      <x v="272"/>
      <x v="89"/>
      <x v="47"/>
    </i>
    <i r="4">
      <x v="273"/>
      <x v="89"/>
      <x v="42"/>
    </i>
    <i r="4">
      <x v="274"/>
      <x v="89"/>
      <x v="51"/>
    </i>
    <i r="4">
      <x v="275"/>
      <x v="89"/>
      <x v="41"/>
    </i>
    <i r="4">
      <x v="276"/>
      <x v="89"/>
      <x v="36"/>
    </i>
    <i r="4">
      <x v="277"/>
      <x v="89"/>
      <x v="40"/>
    </i>
    <i r="4">
      <x v="278"/>
      <x v="89"/>
      <x v="43"/>
    </i>
    <i r="4">
      <x v="279"/>
      <x v="89"/>
      <x v="48"/>
    </i>
    <i>
      <x v="74"/>
      <x v="44"/>
      <x v="1"/>
      <x v="9"/>
      <x v="41"/>
      <x v="90"/>
      <x v="35"/>
    </i>
    <i r="2">
      <x v="3"/>
      <x/>
      <x v="264"/>
      <x v="89"/>
      <x v="37"/>
    </i>
    <i r="4">
      <x v="265"/>
      <x v="89"/>
      <x v="50"/>
    </i>
    <i r="4">
      <x v="266"/>
      <x v="89"/>
      <x v="38"/>
    </i>
    <i r="4">
      <x v="267"/>
      <x v="89"/>
      <x v="46"/>
    </i>
    <i r="4">
      <x v="268"/>
      <x v="89"/>
      <x v="39"/>
    </i>
    <i r="4">
      <x v="269"/>
      <x v="89"/>
      <x v="44"/>
    </i>
    <i r="4">
      <x v="270"/>
      <x v="89"/>
      <x v="45"/>
    </i>
    <i r="4">
      <x v="271"/>
      <x v="89"/>
      <x v="49"/>
    </i>
    <i r="4">
      <x v="272"/>
      <x v="89"/>
      <x v="47"/>
    </i>
    <i r="4">
      <x v="273"/>
      <x v="89"/>
      <x v="42"/>
    </i>
    <i r="4">
      <x v="274"/>
      <x v="89"/>
      <x v="51"/>
    </i>
    <i r="4">
      <x v="275"/>
      <x v="89"/>
      <x v="41"/>
    </i>
    <i r="4">
      <x v="276"/>
      <x v="89"/>
      <x v="36"/>
    </i>
    <i r="4">
      <x v="277"/>
      <x v="89"/>
      <x v="40"/>
    </i>
    <i r="4">
      <x v="278"/>
      <x v="89"/>
      <x v="43"/>
    </i>
    <i r="4">
      <x v="279"/>
      <x v="89"/>
      <x v="48"/>
    </i>
    <i>
      <x v="75"/>
      <x v="44"/>
      <x v="1"/>
      <x v="9"/>
      <x v="41"/>
      <x v="91"/>
      <x v="35"/>
    </i>
    <i r="2">
      <x v="3"/>
      <x/>
      <x v="264"/>
      <x v="91"/>
      <x v="37"/>
    </i>
    <i r="4">
      <x v="265"/>
      <x v="91"/>
      <x v="50"/>
    </i>
    <i r="4">
      <x v="266"/>
      <x v="91"/>
      <x v="38"/>
    </i>
    <i r="4">
      <x v="267"/>
      <x v="91"/>
      <x v="46"/>
    </i>
    <i r="4">
      <x v="268"/>
      <x v="91"/>
      <x v="39"/>
    </i>
    <i r="4">
      <x v="269"/>
      <x v="91"/>
      <x v="44"/>
    </i>
    <i r="4">
      <x v="270"/>
      <x v="91"/>
      <x v="45"/>
    </i>
    <i r="4">
      <x v="271"/>
      <x v="91"/>
      <x v="49"/>
    </i>
    <i r="4">
      <x v="272"/>
      <x v="91"/>
      <x v="47"/>
    </i>
    <i r="4">
      <x v="273"/>
      <x v="91"/>
      <x v="42"/>
    </i>
    <i r="4">
      <x v="274"/>
      <x v="91"/>
      <x v="51"/>
    </i>
    <i r="4">
      <x v="275"/>
      <x v="91"/>
      <x v="41"/>
    </i>
    <i r="4">
      <x v="276"/>
      <x v="91"/>
      <x v="36"/>
    </i>
    <i r="4">
      <x v="277"/>
      <x v="91"/>
      <x v="40"/>
    </i>
    <i r="4">
      <x v="278"/>
      <x v="91"/>
      <x v="43"/>
    </i>
    <i r="4">
      <x v="279"/>
      <x v="91"/>
      <x v="48"/>
    </i>
    <i>
      <x v="76"/>
      <x v="66"/>
      <x v="1"/>
      <x/>
      <x v="41"/>
      <x v="20"/>
      <x v="35"/>
    </i>
    <i r="3">
      <x v="4"/>
      <x v="41"/>
      <x v="20"/>
      <x v="35"/>
    </i>
    <i r="2">
      <x v="3"/>
      <x/>
      <x v="264"/>
      <x v="20"/>
      <x v="37"/>
    </i>
    <i r="4">
      <x v="265"/>
      <x v="20"/>
      <x v="50"/>
    </i>
    <i r="4">
      <x v="266"/>
      <x v="20"/>
      <x v="38"/>
    </i>
    <i r="4">
      <x v="267"/>
      <x v="20"/>
      <x v="46"/>
    </i>
    <i r="4">
      <x v="268"/>
      <x v="20"/>
      <x v="39"/>
    </i>
    <i r="4">
      <x v="269"/>
      <x v="20"/>
      <x v="44"/>
    </i>
    <i r="4">
      <x v="270"/>
      <x v="20"/>
      <x v="45"/>
    </i>
    <i r="4">
      <x v="271"/>
      <x v="20"/>
      <x v="49"/>
    </i>
    <i r="4">
      <x v="272"/>
      <x v="20"/>
      <x v="47"/>
    </i>
    <i r="4">
      <x v="273"/>
      <x v="20"/>
      <x v="42"/>
    </i>
    <i r="4">
      <x v="274"/>
      <x v="20"/>
      <x v="51"/>
    </i>
    <i r="4">
      <x v="275"/>
      <x v="20"/>
      <x v="41"/>
    </i>
    <i r="4">
      <x v="276"/>
      <x v="20"/>
      <x v="36"/>
    </i>
    <i r="4">
      <x v="277"/>
      <x v="20"/>
      <x v="40"/>
    </i>
    <i r="4">
      <x v="278"/>
      <x v="20"/>
      <x v="43"/>
    </i>
    <i r="4">
      <x v="279"/>
      <x v="20"/>
      <x v="48"/>
    </i>
    <i r="3">
      <x v="7"/>
      <x v="264"/>
      <x v="20"/>
      <x v="37"/>
    </i>
    <i r="4">
      <x v="265"/>
      <x v="20"/>
      <x v="50"/>
    </i>
    <i r="4">
      <x v="266"/>
      <x v="20"/>
      <x v="38"/>
    </i>
    <i r="4">
      <x v="267"/>
      <x v="20"/>
      <x v="46"/>
    </i>
    <i r="4">
      <x v="268"/>
      <x v="20"/>
      <x v="39"/>
    </i>
    <i r="4">
      <x v="269"/>
      <x v="20"/>
      <x v="44"/>
    </i>
    <i r="4">
      <x v="270"/>
      <x v="20"/>
      <x v="45"/>
    </i>
    <i r="4">
      <x v="271"/>
      <x v="20"/>
      <x v="49"/>
    </i>
    <i r="4">
      <x v="272"/>
      <x v="20"/>
      <x v="47"/>
    </i>
    <i r="4">
      <x v="273"/>
      <x v="20"/>
      <x v="42"/>
    </i>
    <i r="4">
      <x v="274"/>
      <x v="20"/>
      <x v="51"/>
    </i>
    <i r="4">
      <x v="275"/>
      <x v="20"/>
      <x v="41"/>
    </i>
    <i r="4">
      <x v="276"/>
      <x v="20"/>
      <x v="36"/>
    </i>
    <i r="4">
      <x v="277"/>
      <x v="20"/>
      <x v="40"/>
    </i>
    <i r="4">
      <x v="278"/>
      <x v="20"/>
      <x v="43"/>
    </i>
    <i r="4">
      <x v="279"/>
      <x v="20"/>
      <x v="48"/>
    </i>
    <i>
      <x v="77"/>
      <x v="66"/>
      <x v="1"/>
      <x/>
      <x v="41"/>
      <x v="95"/>
      <x v="35"/>
    </i>
    <i r="2">
      <x v="3"/>
      <x/>
      <x v="264"/>
      <x v="95"/>
      <x v="37"/>
    </i>
    <i r="4">
      <x v="265"/>
      <x v="95"/>
      <x v="50"/>
    </i>
    <i r="4">
      <x v="266"/>
      <x v="95"/>
      <x v="38"/>
    </i>
    <i r="4">
      <x v="267"/>
      <x v="95"/>
      <x v="46"/>
    </i>
    <i r="4">
      <x v="268"/>
      <x v="95"/>
      <x v="39"/>
    </i>
    <i r="4">
      <x v="269"/>
      <x v="95"/>
      <x v="44"/>
    </i>
    <i r="4">
      <x v="270"/>
      <x v="95"/>
      <x v="45"/>
    </i>
    <i r="4">
      <x v="271"/>
      <x v="95"/>
      <x v="49"/>
    </i>
    <i r="4">
      <x v="272"/>
      <x v="95"/>
      <x v="47"/>
    </i>
    <i r="4">
      <x v="273"/>
      <x v="95"/>
      <x v="42"/>
    </i>
    <i r="4">
      <x v="274"/>
      <x v="95"/>
      <x v="51"/>
    </i>
    <i r="4">
      <x v="275"/>
      <x v="95"/>
      <x v="41"/>
    </i>
    <i r="4">
      <x v="276"/>
      <x v="95"/>
      <x v="36"/>
    </i>
    <i r="4">
      <x v="277"/>
      <x v="95"/>
      <x v="40"/>
    </i>
    <i r="4">
      <x v="278"/>
      <x v="95"/>
      <x v="43"/>
    </i>
    <i r="4">
      <x v="279"/>
      <x v="95"/>
      <x v="48"/>
    </i>
    <i>
      <x v="78"/>
      <x v="66"/>
      <x v="1"/>
      <x/>
      <x v="41"/>
      <x v="20"/>
      <x v="35"/>
    </i>
    <i r="2">
      <x v="3"/>
      <x/>
      <x v="264"/>
      <x v="20"/>
      <x v="37"/>
    </i>
    <i r="4">
      <x v="265"/>
      <x v="20"/>
      <x v="50"/>
    </i>
    <i r="4">
      <x v="266"/>
      <x v="20"/>
      <x v="38"/>
    </i>
    <i r="4">
      <x v="267"/>
      <x v="20"/>
      <x v="46"/>
    </i>
    <i r="4">
      <x v="268"/>
      <x v="20"/>
      <x v="39"/>
    </i>
    <i r="4">
      <x v="269"/>
      <x v="20"/>
      <x v="44"/>
    </i>
    <i r="4">
      <x v="270"/>
      <x v="20"/>
      <x v="45"/>
    </i>
    <i r="4">
      <x v="271"/>
      <x v="20"/>
      <x v="49"/>
    </i>
    <i r="4">
      <x v="272"/>
      <x v="20"/>
      <x v="47"/>
    </i>
    <i r="4">
      <x v="273"/>
      <x v="20"/>
      <x v="42"/>
    </i>
    <i r="4">
      <x v="274"/>
      <x v="20"/>
      <x v="51"/>
    </i>
    <i r="4">
      <x v="275"/>
      <x v="20"/>
      <x v="41"/>
    </i>
    <i r="4">
      <x v="276"/>
      <x v="20"/>
      <x v="36"/>
    </i>
    <i r="4">
      <x v="277"/>
      <x v="20"/>
      <x v="40"/>
    </i>
    <i r="4">
      <x v="278"/>
      <x v="20"/>
      <x v="43"/>
    </i>
    <i r="4">
      <x v="279"/>
      <x v="20"/>
      <x v="48"/>
    </i>
    <i>
      <x v="79"/>
      <x v="66"/>
      <x v="1"/>
      <x v="9"/>
      <x v="41"/>
      <x v="96"/>
      <x v="35"/>
    </i>
    <i r="2">
      <x v="3"/>
      <x/>
      <x v="264"/>
      <x v="96"/>
      <x v="37"/>
    </i>
    <i r="4">
      <x v="265"/>
      <x v="96"/>
      <x v="50"/>
    </i>
    <i r="4">
      <x v="266"/>
      <x v="96"/>
      <x v="38"/>
    </i>
    <i r="4">
      <x v="267"/>
      <x v="96"/>
      <x v="46"/>
    </i>
    <i r="4">
      <x v="268"/>
      <x v="96"/>
      <x v="39"/>
    </i>
    <i r="4">
      <x v="269"/>
      <x v="96"/>
      <x v="44"/>
    </i>
    <i r="4">
      <x v="270"/>
      <x v="96"/>
      <x v="45"/>
    </i>
    <i r="4">
      <x v="271"/>
      <x v="96"/>
      <x v="49"/>
    </i>
    <i r="4">
      <x v="272"/>
      <x v="96"/>
      <x v="47"/>
    </i>
    <i r="4">
      <x v="273"/>
      <x v="96"/>
      <x v="42"/>
    </i>
    <i r="4">
      <x v="274"/>
      <x v="96"/>
      <x v="51"/>
    </i>
    <i r="4">
      <x v="275"/>
      <x v="96"/>
      <x v="41"/>
    </i>
    <i r="4">
      <x v="276"/>
      <x v="96"/>
      <x v="36"/>
    </i>
    <i r="4">
      <x v="277"/>
      <x v="96"/>
      <x v="40"/>
    </i>
    <i r="4">
      <x v="278"/>
      <x v="96"/>
      <x v="43"/>
    </i>
    <i r="4">
      <x v="279"/>
      <x v="96"/>
      <x v="48"/>
    </i>
    <i>
      <x v="80"/>
      <x v="51"/>
      <x v="1"/>
      <x v="9"/>
      <x v="41"/>
      <x v="8"/>
      <x v="35"/>
    </i>
    <i r="2">
      <x v="3"/>
      <x v="9"/>
      <x v="264"/>
      <x v="8"/>
      <x v="37"/>
    </i>
    <i r="4">
      <x v="265"/>
      <x v="8"/>
      <x v="50"/>
    </i>
    <i r="4">
      <x v="266"/>
      <x v="8"/>
      <x v="38"/>
    </i>
    <i r="4">
      <x v="267"/>
      <x v="8"/>
      <x v="46"/>
    </i>
    <i r="4">
      <x v="268"/>
      <x v="8"/>
      <x v="39"/>
    </i>
    <i r="4">
      <x v="269"/>
      <x v="8"/>
      <x v="44"/>
    </i>
    <i r="4">
      <x v="270"/>
      <x v="8"/>
      <x v="45"/>
    </i>
    <i r="4">
      <x v="271"/>
      <x v="8"/>
      <x v="49"/>
    </i>
    <i r="4">
      <x v="272"/>
      <x v="8"/>
      <x v="47"/>
    </i>
    <i r="4">
      <x v="273"/>
      <x v="8"/>
      <x v="42"/>
    </i>
    <i r="4">
      <x v="274"/>
      <x v="8"/>
      <x v="51"/>
    </i>
    <i r="4">
      <x v="275"/>
      <x v="8"/>
      <x v="41"/>
    </i>
    <i r="4">
      <x v="276"/>
      <x v="8"/>
      <x v="36"/>
    </i>
    <i r="4">
      <x v="277"/>
      <x v="8"/>
      <x v="40"/>
    </i>
    <i r="4">
      <x v="278"/>
      <x v="8"/>
      <x v="43"/>
    </i>
    <i r="4">
      <x v="279"/>
      <x v="8"/>
      <x v="48"/>
    </i>
    <i>
      <x v="81"/>
      <x v="49"/>
      <x v="1"/>
      <x v="4"/>
      <x v="41"/>
      <x v="6"/>
      <x v="35"/>
    </i>
    <i r="2">
      <x v="3"/>
      <x v="4"/>
      <x v="264"/>
      <x v="6"/>
      <x v="37"/>
    </i>
    <i r="4">
      <x v="265"/>
      <x v="6"/>
      <x v="50"/>
    </i>
    <i r="4">
      <x v="266"/>
      <x v="6"/>
      <x v="38"/>
    </i>
    <i r="4">
      <x v="267"/>
      <x v="6"/>
      <x v="46"/>
    </i>
    <i r="4">
      <x v="268"/>
      <x v="6"/>
      <x v="39"/>
    </i>
    <i r="4">
      <x v="269"/>
      <x v="6"/>
      <x v="44"/>
    </i>
    <i r="4">
      <x v="270"/>
      <x v="6"/>
      <x v="45"/>
    </i>
    <i r="4">
      <x v="271"/>
      <x v="6"/>
      <x v="49"/>
    </i>
    <i r="4">
      <x v="272"/>
      <x v="6"/>
      <x v="47"/>
    </i>
    <i r="4">
      <x v="273"/>
      <x v="6"/>
      <x v="42"/>
    </i>
    <i r="4">
      <x v="274"/>
      <x v="6"/>
      <x v="51"/>
    </i>
    <i r="4">
      <x v="275"/>
      <x v="6"/>
      <x v="41"/>
    </i>
    <i r="4">
      <x v="276"/>
      <x v="6"/>
      <x v="36"/>
    </i>
    <i r="4">
      <x v="277"/>
      <x v="6"/>
      <x v="40"/>
    </i>
    <i r="4">
      <x v="278"/>
      <x v="6"/>
      <x v="43"/>
    </i>
    <i r="4">
      <x v="279"/>
      <x v="6"/>
      <x v="48"/>
    </i>
    <i>
      <x v="82"/>
      <x v="10"/>
      <x v="1"/>
      <x/>
      <x v="41"/>
      <x v="11"/>
      <x v="35"/>
    </i>
    <i r="3">
      <x v="9"/>
      <x v="41"/>
      <x v="68"/>
      <x v="35"/>
    </i>
    <i r="2">
      <x v="3"/>
      <x/>
      <x v="264"/>
      <x v="11"/>
      <x v="37"/>
    </i>
    <i r="5">
      <x v="68"/>
      <x v="37"/>
    </i>
    <i r="4">
      <x v="265"/>
      <x v="11"/>
      <x v="50"/>
    </i>
    <i r="5">
      <x v="68"/>
      <x v="50"/>
    </i>
    <i r="4">
      <x v="266"/>
      <x v="11"/>
      <x v="38"/>
    </i>
    <i r="5">
      <x v="68"/>
      <x v="38"/>
    </i>
    <i r="4">
      <x v="267"/>
      <x v="11"/>
      <x v="46"/>
    </i>
    <i r="5">
      <x v="68"/>
      <x v="46"/>
    </i>
    <i r="4">
      <x v="268"/>
      <x v="11"/>
      <x v="39"/>
    </i>
    <i r="5">
      <x v="68"/>
      <x v="39"/>
    </i>
    <i r="4">
      <x v="269"/>
      <x v="11"/>
      <x v="44"/>
    </i>
    <i r="5">
      <x v="68"/>
      <x v="44"/>
    </i>
    <i r="4">
      <x v="270"/>
      <x v="11"/>
      <x v="45"/>
    </i>
    <i r="5">
      <x v="68"/>
      <x v="45"/>
    </i>
    <i r="4">
      <x v="271"/>
      <x v="11"/>
      <x v="49"/>
    </i>
    <i r="5">
      <x v="68"/>
      <x v="49"/>
    </i>
    <i r="4">
      <x v="272"/>
      <x v="11"/>
      <x v="47"/>
    </i>
    <i r="5">
      <x v="68"/>
      <x v="47"/>
    </i>
    <i r="4">
      <x v="273"/>
      <x v="11"/>
      <x v="42"/>
    </i>
    <i r="5">
      <x v="68"/>
      <x v="42"/>
    </i>
    <i r="4">
      <x v="274"/>
      <x v="11"/>
      <x v="51"/>
    </i>
    <i r="5">
      <x v="68"/>
      <x v="51"/>
    </i>
    <i r="4">
      <x v="275"/>
      <x v="11"/>
      <x v="41"/>
    </i>
    <i r="5">
      <x v="68"/>
      <x v="41"/>
    </i>
    <i r="4">
      <x v="276"/>
      <x v="11"/>
      <x v="36"/>
    </i>
    <i r="5">
      <x v="68"/>
      <x v="36"/>
    </i>
    <i r="4">
      <x v="277"/>
      <x v="11"/>
      <x v="40"/>
    </i>
    <i r="5">
      <x v="68"/>
      <x v="40"/>
    </i>
    <i r="4">
      <x v="278"/>
      <x v="11"/>
      <x v="43"/>
    </i>
    <i r="5">
      <x v="68"/>
      <x v="43"/>
    </i>
    <i r="4">
      <x v="279"/>
      <x v="11"/>
      <x v="48"/>
    </i>
    <i r="5">
      <x v="68"/>
      <x v="48"/>
    </i>
    <i>
      <x v="83"/>
      <x v="53"/>
      <x v="1"/>
      <x/>
      <x v="41"/>
      <x v="26"/>
      <x v="35"/>
    </i>
    <i r="3">
      <x v="4"/>
      <x v="41"/>
      <x v="12"/>
      <x v="52"/>
    </i>
    <i r="5">
      <x v="35"/>
      <x v="18"/>
    </i>
    <i r="3">
      <x v="7"/>
      <x v="41"/>
      <x v="13"/>
      <x v="52"/>
    </i>
    <i r="5">
      <x v="36"/>
      <x v="52"/>
    </i>
    <i r="2">
      <x v="3"/>
      <x/>
      <x v="264"/>
      <x v="26"/>
      <x v="37"/>
    </i>
    <i r="4">
      <x v="265"/>
      <x v="26"/>
      <x v="50"/>
    </i>
    <i r="4">
      <x v="266"/>
      <x v="26"/>
      <x v="38"/>
    </i>
    <i r="4">
      <x v="267"/>
      <x v="26"/>
      <x v="46"/>
    </i>
    <i r="4">
      <x v="268"/>
      <x v="26"/>
      <x v="39"/>
    </i>
    <i r="4">
      <x v="269"/>
      <x v="26"/>
      <x v="44"/>
    </i>
    <i r="4">
      <x v="270"/>
      <x v="26"/>
      <x v="45"/>
    </i>
    <i r="4">
      <x v="271"/>
      <x v="26"/>
      <x v="49"/>
    </i>
    <i r="4">
      <x v="272"/>
      <x v="26"/>
      <x v="47"/>
    </i>
    <i r="4">
      <x v="273"/>
      <x v="26"/>
      <x v="42"/>
    </i>
    <i r="4">
      <x v="274"/>
      <x v="26"/>
      <x v="51"/>
    </i>
    <i r="4">
      <x v="275"/>
      <x v="26"/>
      <x v="41"/>
    </i>
    <i r="4">
      <x v="276"/>
      <x v="26"/>
      <x v="36"/>
    </i>
    <i r="4">
      <x v="277"/>
      <x v="26"/>
      <x v="40"/>
    </i>
    <i r="4">
      <x v="278"/>
      <x v="26"/>
      <x v="43"/>
    </i>
    <i r="4">
      <x v="279"/>
      <x v="26"/>
      <x v="48"/>
    </i>
    <i r="3">
      <x v="7"/>
      <x v="264"/>
      <x v="35"/>
      <x v="20"/>
    </i>
    <i r="4">
      <x v="265"/>
      <x v="35"/>
      <x v="33"/>
    </i>
    <i r="4">
      <x v="266"/>
      <x v="35"/>
      <x v="21"/>
    </i>
    <i r="4">
      <x v="267"/>
      <x v="35"/>
      <x v="29"/>
    </i>
    <i r="4">
      <x v="268"/>
      <x v="35"/>
      <x v="22"/>
    </i>
    <i r="4">
      <x v="269"/>
      <x v="35"/>
      <x v="27"/>
    </i>
    <i r="4">
      <x v="270"/>
      <x v="35"/>
      <x v="28"/>
    </i>
    <i r="4">
      <x v="271"/>
      <x v="35"/>
      <x v="32"/>
    </i>
    <i r="4">
      <x v="272"/>
      <x v="35"/>
      <x v="30"/>
    </i>
    <i r="4">
      <x v="273"/>
      <x v="35"/>
      <x v="25"/>
    </i>
    <i r="4">
      <x v="274"/>
      <x v="35"/>
      <x v="34"/>
    </i>
    <i r="4">
      <x v="275"/>
      <x v="35"/>
      <x v="24"/>
    </i>
    <i r="4">
      <x v="276"/>
      <x v="35"/>
      <x v="19"/>
    </i>
    <i r="4">
      <x v="277"/>
      <x v="35"/>
      <x v="23"/>
    </i>
    <i r="4">
      <x v="278"/>
      <x v="35"/>
      <x v="26"/>
    </i>
    <i r="4">
      <x v="279"/>
      <x v="35"/>
      <x v="31"/>
    </i>
    <i r="1">
      <x v="75"/>
      <x v="1"/>
      <x v="4"/>
      <x v="41"/>
      <x v="125"/>
      <x v="18"/>
    </i>
    <i r="5">
      <x v="126"/>
      <x v="18"/>
    </i>
    <i r="3">
      <x v="22"/>
      <x v="41"/>
      <x v="121"/>
      <x v="52"/>
    </i>
    <i r="5">
      <x v="163"/>
      <x v="52"/>
    </i>
    <i r="3">
      <x v="23"/>
      <x v="41"/>
      <x v="122"/>
      <x v="52"/>
    </i>
    <i r="3">
      <x v="27"/>
      <x v="41"/>
      <x v="161"/>
      <x v="52"/>
    </i>
    <i r="2">
      <x v="3"/>
      <x v="7"/>
      <x v="264"/>
      <x v="125"/>
      <x v="20"/>
    </i>
    <i r="4">
      <x v="265"/>
      <x v="125"/>
      <x v="33"/>
    </i>
    <i r="4">
      <x v="266"/>
      <x v="125"/>
      <x v="21"/>
    </i>
    <i r="4">
      <x v="267"/>
      <x v="125"/>
      <x v="29"/>
    </i>
    <i r="4">
      <x v="268"/>
      <x v="125"/>
      <x v="22"/>
    </i>
    <i r="4">
      <x v="269"/>
      <x v="125"/>
      <x v="27"/>
    </i>
    <i r="4">
      <x v="270"/>
      <x v="125"/>
      <x v="28"/>
    </i>
    <i r="4">
      <x v="271"/>
      <x v="125"/>
      <x v="32"/>
    </i>
    <i r="4">
      <x v="272"/>
      <x v="125"/>
      <x v="30"/>
    </i>
    <i r="4">
      <x v="273"/>
      <x v="125"/>
      <x v="25"/>
    </i>
    <i r="4">
      <x v="275"/>
      <x v="125"/>
      <x v="24"/>
    </i>
    <i r="4">
      <x v="276"/>
      <x v="125"/>
      <x v="19"/>
    </i>
    <i r="4">
      <x v="277"/>
      <x v="125"/>
      <x v="23"/>
    </i>
    <i r="4">
      <x v="278"/>
      <x v="125"/>
      <x v="26"/>
    </i>
    <i r="4">
      <x v="279"/>
      <x v="125"/>
      <x v="31"/>
    </i>
    <i>
      <x v="84"/>
      <x v="51"/>
      <x v="1"/>
      <x v="4"/>
      <x v="41"/>
      <x v="14"/>
      <x v="18"/>
    </i>
    <i r="2">
      <x v="3"/>
      <x v="7"/>
      <x v="264"/>
      <x v="14"/>
      <x v="20"/>
    </i>
    <i r="4">
      <x v="265"/>
      <x v="14"/>
      <x v="33"/>
    </i>
    <i r="4">
      <x v="266"/>
      <x v="14"/>
      <x v="21"/>
    </i>
    <i r="4">
      <x v="267"/>
      <x v="14"/>
      <x v="29"/>
    </i>
    <i r="4">
      <x v="268"/>
      <x v="14"/>
      <x v="22"/>
    </i>
    <i r="4">
      <x v="269"/>
      <x v="14"/>
      <x v="27"/>
    </i>
    <i r="4">
      <x v="270"/>
      <x v="14"/>
      <x v="28"/>
    </i>
    <i r="4">
      <x v="271"/>
      <x v="14"/>
      <x v="32"/>
    </i>
    <i r="4">
      <x v="272"/>
      <x v="14"/>
      <x v="30"/>
    </i>
    <i r="4">
      <x v="273"/>
      <x v="14"/>
      <x v="25"/>
    </i>
    <i r="4">
      <x v="274"/>
      <x v="14"/>
      <x v="34"/>
    </i>
    <i r="4">
      <x v="275"/>
      <x v="14"/>
      <x v="24"/>
    </i>
    <i r="4">
      <x v="276"/>
      <x v="14"/>
      <x v="19"/>
    </i>
    <i r="4">
      <x v="277"/>
      <x v="14"/>
      <x v="23"/>
    </i>
    <i r="4">
      <x v="278"/>
      <x v="14"/>
      <x v="26"/>
    </i>
    <i r="4">
      <x v="279"/>
      <x v="14"/>
      <x v="31"/>
    </i>
    <i>
      <x v="85"/>
      <x v="53"/>
      <x v="1"/>
      <x v="11"/>
      <x v="41"/>
      <x v="17"/>
      <x v="18"/>
    </i>
    <i r="3">
      <x v="12"/>
      <x v="41"/>
      <x v="19"/>
      <x v="18"/>
    </i>
    <i r="2">
      <x v="3"/>
      <x v="11"/>
      <x v="265"/>
      <x v="18"/>
      <x v="33"/>
    </i>
    <i r="4">
      <x v="268"/>
      <x v="18"/>
      <x v="22"/>
    </i>
    <i r="4">
      <x v="269"/>
      <x v="18"/>
      <x v="27"/>
    </i>
    <i r="4">
      <x v="270"/>
      <x v="18"/>
      <x v="28"/>
    </i>
    <i r="4">
      <x v="273"/>
      <x v="18"/>
      <x v="25"/>
    </i>
    <i r="4">
      <x v="274"/>
      <x v="18"/>
      <x v="34"/>
    </i>
    <i r="4">
      <x v="277"/>
      <x v="18"/>
      <x v="23"/>
    </i>
    <i r="4">
      <x v="278"/>
      <x v="18"/>
      <x v="26"/>
    </i>
    <i r="4">
      <x v="279"/>
      <x v="18"/>
      <x v="31"/>
    </i>
    <i r="3">
      <x v="12"/>
      <x v="265"/>
      <x v="19"/>
      <x v="33"/>
    </i>
    <i r="4">
      <x v="268"/>
      <x v="19"/>
      <x v="22"/>
    </i>
    <i r="4">
      <x v="269"/>
      <x v="19"/>
      <x v="27"/>
    </i>
    <i r="4">
      <x v="270"/>
      <x v="19"/>
      <x v="28"/>
    </i>
    <i r="4">
      <x v="273"/>
      <x v="19"/>
      <x v="25"/>
    </i>
    <i r="4">
      <x v="274"/>
      <x v="19"/>
      <x v="34"/>
    </i>
    <i r="4">
      <x v="277"/>
      <x v="19"/>
      <x v="23"/>
    </i>
    <i r="4">
      <x v="278"/>
      <x v="19"/>
      <x v="26"/>
    </i>
    <i r="4">
      <x v="279"/>
      <x v="19"/>
      <x v="31"/>
    </i>
    <i>
      <x v="87"/>
      <x v="51"/>
      <x v="1"/>
      <x v="4"/>
      <x v="41"/>
      <x v="23"/>
      <x v="18"/>
    </i>
    <i r="5">
      <x v="24"/>
      <x v="35"/>
    </i>
    <i r="3">
      <x v="7"/>
      <x v="41"/>
      <x v="22"/>
      <x v="52"/>
    </i>
    <i r="2">
      <x v="3"/>
      <x v="7"/>
      <x v="264"/>
      <x v="23"/>
      <x v="20"/>
    </i>
    <i r="5">
      <x v="24"/>
      <x v="37"/>
    </i>
    <i r="4">
      <x v="265"/>
      <x v="23"/>
      <x v="33"/>
    </i>
    <i r="5">
      <x v="24"/>
      <x v="50"/>
    </i>
    <i r="4">
      <x v="266"/>
      <x v="23"/>
      <x v="21"/>
    </i>
    <i r="5">
      <x v="24"/>
      <x v="38"/>
    </i>
    <i r="4">
      <x v="267"/>
      <x v="23"/>
      <x v="29"/>
    </i>
    <i r="5">
      <x v="24"/>
      <x v="46"/>
    </i>
    <i r="4">
      <x v="268"/>
      <x v="23"/>
      <x v="22"/>
    </i>
    <i r="5">
      <x v="24"/>
      <x v="39"/>
    </i>
    <i r="4">
      <x v="269"/>
      <x v="23"/>
      <x v="27"/>
    </i>
    <i r="5">
      <x v="24"/>
      <x v="44"/>
    </i>
    <i r="4">
      <x v="270"/>
      <x v="23"/>
      <x v="28"/>
    </i>
    <i r="5">
      <x v="24"/>
      <x v="45"/>
    </i>
    <i r="4">
      <x v="271"/>
      <x v="23"/>
      <x v="32"/>
    </i>
    <i r="5">
      <x v="24"/>
      <x v="49"/>
    </i>
    <i r="4">
      <x v="272"/>
      <x v="23"/>
      <x v="30"/>
    </i>
    <i r="5">
      <x v="24"/>
      <x v="47"/>
    </i>
    <i r="4">
      <x v="273"/>
      <x v="23"/>
      <x v="25"/>
    </i>
    <i r="5">
      <x v="24"/>
      <x v="42"/>
    </i>
    <i r="4">
      <x v="274"/>
      <x v="23"/>
      <x v="34"/>
    </i>
    <i r="5">
      <x v="24"/>
      <x v="51"/>
    </i>
    <i r="4">
      <x v="275"/>
      <x v="23"/>
      <x v="24"/>
    </i>
    <i r="5">
      <x v="24"/>
      <x v="41"/>
    </i>
    <i r="4">
      <x v="276"/>
      <x v="23"/>
      <x v="19"/>
    </i>
    <i r="5">
      <x v="24"/>
      <x v="36"/>
    </i>
    <i r="4">
      <x v="277"/>
      <x v="23"/>
      <x v="23"/>
    </i>
    <i r="5">
      <x v="24"/>
      <x v="40"/>
    </i>
    <i r="4">
      <x v="278"/>
      <x v="23"/>
      <x v="26"/>
    </i>
    <i r="5">
      <x v="24"/>
      <x v="43"/>
    </i>
    <i r="4">
      <x v="279"/>
      <x v="23"/>
      <x v="31"/>
    </i>
    <i r="5">
      <x v="24"/>
      <x v="48"/>
    </i>
    <i>
      <x v="88"/>
      <x v="53"/>
      <x v="1"/>
      <x v="4"/>
      <x v="41"/>
      <x v="38"/>
      <x v="18"/>
    </i>
    <i r="3">
      <x v="7"/>
      <x v="41"/>
      <x v="25"/>
      <x v="52"/>
    </i>
    <i r="2">
      <x v="3"/>
      <x v="7"/>
      <x v="264"/>
      <x v="38"/>
      <x v="20"/>
    </i>
    <i r="4">
      <x v="265"/>
      <x v="38"/>
      <x v="33"/>
    </i>
    <i r="4">
      <x v="266"/>
      <x v="38"/>
      <x v="21"/>
    </i>
    <i r="4">
      <x v="267"/>
      <x v="38"/>
      <x v="29"/>
    </i>
    <i r="4">
      <x v="268"/>
      <x v="38"/>
      <x v="22"/>
    </i>
    <i r="4">
      <x v="269"/>
      <x v="38"/>
      <x v="27"/>
    </i>
    <i r="4">
      <x v="270"/>
      <x v="38"/>
      <x v="28"/>
    </i>
    <i r="4">
      <x v="271"/>
      <x v="38"/>
      <x v="32"/>
    </i>
    <i r="4">
      <x v="272"/>
      <x v="38"/>
      <x v="30"/>
    </i>
    <i r="4">
      <x v="273"/>
      <x v="38"/>
      <x v="25"/>
    </i>
    <i r="4">
      <x v="274"/>
      <x v="38"/>
      <x v="34"/>
    </i>
    <i r="4">
      <x v="275"/>
      <x v="38"/>
      <x v="24"/>
    </i>
    <i r="4">
      <x v="276"/>
      <x v="38"/>
      <x v="19"/>
    </i>
    <i r="4">
      <x v="277"/>
      <x v="38"/>
      <x v="23"/>
    </i>
    <i r="4">
      <x v="278"/>
      <x v="38"/>
      <x v="26"/>
    </i>
    <i r="4">
      <x v="279"/>
      <x v="38"/>
      <x v="31"/>
    </i>
    <i>
      <x v="89"/>
      <x v="53"/>
      <x v="1"/>
      <x v="7"/>
      <x v="41"/>
      <x v="27"/>
      <x v="18"/>
    </i>
    <i r="2">
      <x v="3"/>
      <x v="7"/>
      <x v="265"/>
      <x v="27"/>
      <x v="33"/>
    </i>
    <i r="4">
      <x v="266"/>
      <x v="27"/>
      <x v="21"/>
    </i>
    <i r="4">
      <x v="268"/>
      <x v="27"/>
      <x v="22"/>
    </i>
    <i r="4">
      <x v="269"/>
      <x v="27"/>
      <x v="27"/>
    </i>
    <i r="4">
      <x v="273"/>
      <x v="27"/>
      <x v="25"/>
    </i>
    <i r="4">
      <x v="274"/>
      <x v="27"/>
      <x v="34"/>
    </i>
    <i r="4">
      <x v="275"/>
      <x v="27"/>
      <x v="24"/>
    </i>
    <i r="4">
      <x v="277"/>
      <x v="27"/>
      <x v="23"/>
    </i>
    <i r="4">
      <x v="278"/>
      <x v="27"/>
      <x v="26"/>
    </i>
    <i r="4">
      <x v="279"/>
      <x v="27"/>
      <x v="31"/>
    </i>
    <i>
      <x v="90"/>
      <x v="55"/>
      <x v="1"/>
      <x v="4"/>
      <x v="41"/>
      <x v="28"/>
      <x v="52"/>
    </i>
    <i r="5">
      <x v="47"/>
      <x v="52"/>
    </i>
    <i>
      <x v="91"/>
      <x v="44"/>
      <x v="1"/>
      <x v="4"/>
      <x v="41"/>
      <x v="29"/>
      <x v="18"/>
    </i>
    <i r="2">
      <x v="3"/>
      <x v="7"/>
      <x v="264"/>
      <x v="29"/>
      <x v="20"/>
    </i>
    <i r="4">
      <x v="265"/>
      <x v="29"/>
      <x v="33"/>
    </i>
    <i r="4">
      <x v="266"/>
      <x v="29"/>
      <x v="21"/>
    </i>
    <i r="4">
      <x v="267"/>
      <x v="29"/>
      <x v="29"/>
    </i>
    <i r="4">
      <x v="268"/>
      <x v="29"/>
      <x v="22"/>
    </i>
    <i r="4">
      <x v="269"/>
      <x v="29"/>
      <x v="27"/>
    </i>
    <i r="4">
      <x v="270"/>
      <x v="29"/>
      <x v="28"/>
    </i>
    <i r="4">
      <x v="271"/>
      <x v="29"/>
      <x v="32"/>
    </i>
    <i r="4">
      <x v="272"/>
      <x v="29"/>
      <x v="30"/>
    </i>
    <i r="4">
      <x v="273"/>
      <x v="29"/>
      <x v="25"/>
    </i>
    <i r="4">
      <x v="274"/>
      <x v="29"/>
      <x v="34"/>
    </i>
    <i r="4">
      <x v="275"/>
      <x v="29"/>
      <x v="24"/>
    </i>
    <i r="4">
      <x v="276"/>
      <x v="29"/>
      <x v="19"/>
    </i>
    <i r="4">
      <x v="277"/>
      <x v="29"/>
      <x v="23"/>
    </i>
    <i r="4">
      <x v="278"/>
      <x v="29"/>
      <x v="26"/>
    </i>
    <i r="4">
      <x v="279"/>
      <x v="29"/>
      <x v="31"/>
    </i>
    <i>
      <x v="92"/>
      <x v="51"/>
      <x v="1"/>
      <x v="7"/>
      <x v="41"/>
      <x v="30"/>
      <x v="52"/>
    </i>
    <i r="5">
      <x v="31"/>
      <x v="52"/>
    </i>
    <i r="5">
      <x v="32"/>
      <x v="52"/>
    </i>
    <i r="5">
      <x v="33"/>
      <x v="52"/>
    </i>
    <i>
      <x v="93"/>
      <x v="51"/>
      <x v="1"/>
      <x v="4"/>
      <x v="41"/>
      <x v="34"/>
      <x v="18"/>
    </i>
    <i r="5">
      <x v="107"/>
      <x v="18"/>
    </i>
    <i r="2">
      <x v="3"/>
      <x v="7"/>
      <x v="264"/>
      <x v="34"/>
      <x v="20"/>
    </i>
    <i r="5">
      <x v="108"/>
      <x v="20"/>
    </i>
    <i r="4">
      <x v="265"/>
      <x v="34"/>
      <x v="33"/>
    </i>
    <i r="5">
      <x v="108"/>
      <x v="33"/>
    </i>
    <i r="4">
      <x v="266"/>
      <x v="34"/>
      <x v="21"/>
    </i>
    <i r="5">
      <x v="108"/>
      <x v="21"/>
    </i>
    <i r="4">
      <x v="267"/>
      <x v="34"/>
      <x v="29"/>
    </i>
    <i r="5">
      <x v="108"/>
      <x v="29"/>
    </i>
    <i r="4">
      <x v="268"/>
      <x v="34"/>
      <x v="22"/>
    </i>
    <i r="5">
      <x v="108"/>
      <x v="22"/>
    </i>
    <i r="4">
      <x v="269"/>
      <x v="34"/>
      <x v="27"/>
    </i>
    <i r="5">
      <x v="108"/>
      <x v="27"/>
    </i>
    <i r="4">
      <x v="270"/>
      <x v="34"/>
      <x v="28"/>
    </i>
    <i r="5">
      <x v="108"/>
      <x v="28"/>
    </i>
    <i r="4">
      <x v="271"/>
      <x v="34"/>
      <x v="32"/>
    </i>
    <i r="5">
      <x v="108"/>
      <x v="32"/>
    </i>
    <i r="4">
      <x v="272"/>
      <x v="34"/>
      <x v="30"/>
    </i>
    <i r="5">
      <x v="108"/>
      <x v="30"/>
    </i>
    <i r="4">
      <x v="273"/>
      <x v="34"/>
      <x v="25"/>
    </i>
    <i r="5">
      <x v="108"/>
      <x v="25"/>
    </i>
    <i r="4">
      <x v="274"/>
      <x v="34"/>
      <x v="34"/>
    </i>
    <i r="5">
      <x v="108"/>
      <x v="34"/>
    </i>
    <i r="4">
      <x v="275"/>
      <x v="34"/>
      <x v="24"/>
    </i>
    <i r="5">
      <x v="108"/>
      <x v="24"/>
    </i>
    <i r="4">
      <x v="276"/>
      <x v="34"/>
      <x v="19"/>
    </i>
    <i r="5">
      <x v="108"/>
      <x v="19"/>
    </i>
    <i r="4">
      <x v="277"/>
      <x v="34"/>
      <x v="23"/>
    </i>
    <i r="5">
      <x v="108"/>
      <x v="23"/>
    </i>
    <i r="4">
      <x v="278"/>
      <x v="34"/>
      <x v="26"/>
    </i>
    <i r="5">
      <x v="108"/>
      <x v="26"/>
    </i>
    <i r="4">
      <x v="279"/>
      <x v="34"/>
      <x v="31"/>
    </i>
    <i r="5">
      <x v="108"/>
      <x v="31"/>
    </i>
    <i>
      <x v="94"/>
      <x v="56"/>
      <x v="1"/>
      <x v="4"/>
      <x v="41"/>
      <x v="37"/>
      <x v="18"/>
    </i>
    <i r="3">
      <x v="7"/>
      <x v="41"/>
      <x v="37"/>
      <x v="52"/>
    </i>
    <i r="5">
      <x v="114"/>
      <x v="18"/>
    </i>
    <i r="2">
      <x v="3"/>
      <x v="7"/>
      <x v="264"/>
      <x v="37"/>
      <x v="20"/>
    </i>
    <i r="5">
      <x v="114"/>
      <x v="20"/>
    </i>
    <i r="4">
      <x v="265"/>
      <x v="37"/>
      <x v="33"/>
    </i>
    <i r="5">
      <x v="114"/>
      <x v="33"/>
    </i>
    <i r="4">
      <x v="266"/>
      <x v="37"/>
      <x v="21"/>
    </i>
    <i r="5">
      <x v="114"/>
      <x v="21"/>
    </i>
    <i r="4">
      <x v="267"/>
      <x v="37"/>
      <x v="29"/>
    </i>
    <i r="5">
      <x v="114"/>
      <x v="29"/>
    </i>
    <i r="4">
      <x v="268"/>
      <x v="37"/>
      <x v="22"/>
    </i>
    <i r="5">
      <x v="114"/>
      <x v="22"/>
    </i>
    <i r="4">
      <x v="269"/>
      <x v="37"/>
      <x v="27"/>
    </i>
    <i r="5">
      <x v="114"/>
      <x v="27"/>
    </i>
    <i r="4">
      <x v="270"/>
      <x v="37"/>
      <x v="28"/>
    </i>
    <i r="5">
      <x v="114"/>
      <x v="28"/>
    </i>
    <i r="4">
      <x v="271"/>
      <x v="37"/>
      <x v="32"/>
    </i>
    <i r="5">
      <x v="114"/>
      <x v="32"/>
    </i>
    <i r="4">
      <x v="272"/>
      <x v="37"/>
      <x v="30"/>
    </i>
    <i r="5">
      <x v="114"/>
      <x v="30"/>
    </i>
    <i r="4">
      <x v="273"/>
      <x v="37"/>
      <x v="25"/>
    </i>
    <i r="5">
      <x v="114"/>
      <x v="25"/>
    </i>
    <i r="4">
      <x v="274"/>
      <x v="37"/>
      <x v="34"/>
    </i>
    <i r="5">
      <x v="114"/>
      <x v="34"/>
    </i>
    <i r="4">
      <x v="275"/>
      <x v="37"/>
      <x v="24"/>
    </i>
    <i r="5">
      <x v="114"/>
      <x v="24"/>
    </i>
    <i r="4">
      <x v="276"/>
      <x v="37"/>
      <x v="19"/>
    </i>
    <i r="5">
      <x v="114"/>
      <x v="19"/>
    </i>
    <i r="4">
      <x v="277"/>
      <x v="37"/>
      <x v="23"/>
    </i>
    <i r="5">
      <x v="114"/>
      <x v="23"/>
    </i>
    <i r="4">
      <x v="278"/>
      <x v="37"/>
      <x v="26"/>
    </i>
    <i r="5">
      <x v="114"/>
      <x v="26"/>
    </i>
    <i r="4">
      <x v="279"/>
      <x v="37"/>
      <x v="31"/>
    </i>
    <i r="5">
      <x v="114"/>
      <x v="31"/>
    </i>
    <i>
      <x v="95"/>
      <x v="53"/>
      <x v="1"/>
      <x v="7"/>
      <x v="41"/>
      <x v="39"/>
      <x v="52"/>
    </i>
    <i r="1">
      <x v="75"/>
      <x v="1"/>
      <x v="4"/>
      <x v="41"/>
      <x v="124"/>
      <x v="18"/>
    </i>
    <i r="3">
      <x v="7"/>
      <x v="41"/>
      <x v="123"/>
      <x v="52"/>
    </i>
    <i r="5">
      <x v="162"/>
      <x v="52"/>
    </i>
    <i r="3">
      <x v="25"/>
      <x v="41"/>
      <x v="159"/>
      <x v="52"/>
    </i>
    <i r="2">
      <x v="3"/>
      <x v="7"/>
      <x v="264"/>
      <x v="124"/>
      <x v="20"/>
    </i>
    <i r="4">
      <x v="265"/>
      <x v="124"/>
      <x v="33"/>
    </i>
    <i r="4">
      <x v="266"/>
      <x v="124"/>
      <x v="21"/>
    </i>
    <i r="4">
      <x v="267"/>
      <x v="124"/>
      <x v="29"/>
    </i>
    <i r="4">
      <x v="268"/>
      <x v="124"/>
      <x v="22"/>
    </i>
    <i r="4">
      <x v="269"/>
      <x v="124"/>
      <x v="27"/>
    </i>
    <i r="4">
      <x v="270"/>
      <x v="124"/>
      <x v="28"/>
    </i>
    <i r="4">
      <x v="271"/>
      <x v="124"/>
      <x v="32"/>
    </i>
    <i r="4">
      <x v="272"/>
      <x v="124"/>
      <x v="30"/>
    </i>
    <i r="4">
      <x v="273"/>
      <x v="124"/>
      <x v="25"/>
    </i>
    <i r="4">
      <x v="275"/>
      <x v="124"/>
      <x v="24"/>
    </i>
    <i r="4">
      <x v="276"/>
      <x v="124"/>
      <x v="19"/>
    </i>
    <i r="4">
      <x v="277"/>
      <x v="124"/>
      <x v="23"/>
    </i>
    <i r="4">
      <x v="278"/>
      <x v="124"/>
      <x v="26"/>
    </i>
    <i r="4">
      <x v="279"/>
      <x v="124"/>
      <x v="31"/>
    </i>
    <i>
      <x v="96"/>
      <x v="81"/>
      <x v="1"/>
      <x v="4"/>
      <x v="41"/>
      <x v="61"/>
      <x v="35"/>
    </i>
    <i r="3">
      <x v="9"/>
      <x v="41"/>
      <x v="59"/>
      <x v="35"/>
    </i>
    <i r="5">
      <x v="60"/>
      <x v="35"/>
    </i>
    <i r="5">
      <x v="69"/>
      <x v="35"/>
    </i>
    <i r="2">
      <x v="3"/>
      <x/>
      <x v="264"/>
      <x v="59"/>
      <x v="37"/>
    </i>
    <i r="5">
      <x v="60"/>
      <x v="37"/>
    </i>
    <i r="5">
      <x v="69"/>
      <x v="37"/>
    </i>
    <i r="4">
      <x v="265"/>
      <x v="59"/>
      <x v="50"/>
    </i>
    <i r="5">
      <x v="60"/>
      <x v="50"/>
    </i>
    <i r="5">
      <x v="69"/>
      <x v="50"/>
    </i>
    <i r="4">
      <x v="266"/>
      <x v="59"/>
      <x v="38"/>
    </i>
    <i r="5">
      <x v="60"/>
      <x v="38"/>
    </i>
    <i r="5">
      <x v="69"/>
      <x v="38"/>
    </i>
    <i r="4">
      <x v="267"/>
      <x v="59"/>
      <x v="46"/>
    </i>
    <i r="5">
      <x v="60"/>
      <x v="46"/>
    </i>
    <i r="5">
      <x v="69"/>
      <x v="46"/>
    </i>
    <i r="4">
      <x v="268"/>
      <x v="59"/>
      <x v="39"/>
    </i>
    <i r="5">
      <x v="60"/>
      <x v="39"/>
    </i>
    <i r="5">
      <x v="69"/>
      <x v="39"/>
    </i>
    <i r="4">
      <x v="269"/>
      <x v="59"/>
      <x v="44"/>
    </i>
    <i r="5">
      <x v="60"/>
      <x v="44"/>
    </i>
    <i r="5">
      <x v="69"/>
      <x v="44"/>
    </i>
    <i r="4">
      <x v="270"/>
      <x v="59"/>
      <x v="45"/>
    </i>
    <i r="5">
      <x v="60"/>
      <x v="45"/>
    </i>
    <i r="5">
      <x v="69"/>
      <x v="45"/>
    </i>
    <i r="4">
      <x v="271"/>
      <x v="59"/>
      <x v="49"/>
    </i>
    <i r="5">
      <x v="60"/>
      <x v="49"/>
    </i>
    <i r="5">
      <x v="69"/>
      <x v="49"/>
    </i>
    <i r="4">
      <x v="272"/>
      <x v="59"/>
      <x v="47"/>
    </i>
    <i r="5">
      <x v="60"/>
      <x v="47"/>
    </i>
    <i r="5">
      <x v="69"/>
      <x v="47"/>
    </i>
    <i r="4">
      <x v="273"/>
      <x v="59"/>
      <x v="42"/>
    </i>
    <i r="5">
      <x v="60"/>
      <x v="42"/>
    </i>
    <i r="5">
      <x v="69"/>
      <x v="42"/>
    </i>
    <i r="4">
      <x v="274"/>
      <x v="59"/>
      <x v="51"/>
    </i>
    <i r="5">
      <x v="60"/>
      <x v="51"/>
    </i>
    <i r="5">
      <x v="69"/>
      <x v="51"/>
    </i>
    <i r="4">
      <x v="275"/>
      <x v="59"/>
      <x v="41"/>
    </i>
    <i r="5">
      <x v="60"/>
      <x v="41"/>
    </i>
    <i r="5">
      <x v="69"/>
      <x v="41"/>
    </i>
    <i r="4">
      <x v="276"/>
      <x v="59"/>
      <x v="36"/>
    </i>
    <i r="5">
      <x v="60"/>
      <x v="36"/>
    </i>
    <i r="5">
      <x v="69"/>
      <x v="36"/>
    </i>
    <i r="4">
      <x v="277"/>
      <x v="59"/>
      <x v="40"/>
    </i>
    <i r="5">
      <x v="60"/>
      <x v="40"/>
    </i>
    <i r="5">
      <x v="69"/>
      <x v="40"/>
    </i>
    <i r="4">
      <x v="278"/>
      <x v="59"/>
      <x v="43"/>
    </i>
    <i r="5">
      <x v="60"/>
      <x v="43"/>
    </i>
    <i r="5">
      <x v="69"/>
      <x v="43"/>
    </i>
    <i r="4">
      <x v="279"/>
      <x v="59"/>
      <x v="48"/>
    </i>
    <i r="5">
      <x v="60"/>
      <x v="48"/>
    </i>
    <i r="5">
      <x v="69"/>
      <x v="48"/>
    </i>
    <i r="3">
      <x v="7"/>
      <x v="264"/>
      <x v="61"/>
      <x v="37"/>
    </i>
    <i r="4">
      <x v="265"/>
      <x v="61"/>
      <x v="50"/>
    </i>
    <i r="4">
      <x v="266"/>
      <x v="61"/>
      <x v="38"/>
    </i>
    <i r="4">
      <x v="267"/>
      <x v="61"/>
      <x v="46"/>
    </i>
    <i r="4">
      <x v="268"/>
      <x v="61"/>
      <x v="39"/>
    </i>
    <i r="4">
      <x v="269"/>
      <x v="61"/>
      <x v="44"/>
    </i>
    <i r="4">
      <x v="270"/>
      <x v="61"/>
      <x v="45"/>
    </i>
    <i r="4">
      <x v="271"/>
      <x v="61"/>
      <x v="49"/>
    </i>
    <i r="4">
      <x v="272"/>
      <x v="61"/>
      <x v="47"/>
    </i>
    <i r="4">
      <x v="273"/>
      <x v="61"/>
      <x v="42"/>
    </i>
    <i r="4">
      <x v="274"/>
      <x v="61"/>
      <x v="51"/>
    </i>
    <i r="4">
      <x v="275"/>
      <x v="61"/>
      <x v="41"/>
    </i>
    <i r="4">
      <x v="276"/>
      <x v="61"/>
      <x v="36"/>
    </i>
    <i r="4">
      <x v="277"/>
      <x v="61"/>
      <x v="40"/>
    </i>
    <i r="4">
      <x v="278"/>
      <x v="61"/>
      <x v="43"/>
    </i>
    <i r="4">
      <x v="279"/>
      <x v="61"/>
      <x v="48"/>
    </i>
    <i>
      <x v="97"/>
      <x v="51"/>
      <x v="1"/>
      <x v="4"/>
      <x v="41"/>
      <x v="63"/>
      <x v="18"/>
    </i>
    <i r="5">
      <x v="64"/>
      <x v="18"/>
    </i>
    <i r="3">
      <x v="7"/>
      <x v="41"/>
      <x v="65"/>
      <x v="52"/>
    </i>
    <i r="3">
      <x v="25"/>
      <x v="41"/>
      <x v="65"/>
      <x v="52"/>
    </i>
    <i r="2">
      <x v="3"/>
      <x v="4"/>
      <x v="264"/>
      <x v="63"/>
      <x v="20"/>
    </i>
    <i r="4">
      <x v="265"/>
      <x v="63"/>
      <x v="33"/>
    </i>
    <i r="4">
      <x v="266"/>
      <x v="63"/>
      <x v="21"/>
    </i>
    <i r="4">
      <x v="267"/>
      <x v="63"/>
      <x v="29"/>
    </i>
    <i r="4">
      <x v="268"/>
      <x v="63"/>
      <x v="22"/>
    </i>
    <i r="4">
      <x v="269"/>
      <x v="63"/>
      <x v="27"/>
    </i>
    <i r="4">
      <x v="270"/>
      <x v="63"/>
      <x v="28"/>
    </i>
    <i r="4">
      <x v="271"/>
      <x v="63"/>
      <x v="32"/>
    </i>
    <i r="4">
      <x v="272"/>
      <x v="63"/>
      <x v="30"/>
    </i>
    <i r="4">
      <x v="273"/>
      <x v="63"/>
      <x v="25"/>
    </i>
    <i r="4">
      <x v="274"/>
      <x v="63"/>
      <x v="34"/>
    </i>
    <i r="4">
      <x v="275"/>
      <x v="63"/>
      <x v="24"/>
    </i>
    <i r="4">
      <x v="276"/>
      <x v="63"/>
      <x v="19"/>
    </i>
    <i r="4">
      <x v="277"/>
      <x v="63"/>
      <x v="23"/>
    </i>
    <i r="4">
      <x v="278"/>
      <x v="63"/>
      <x v="26"/>
    </i>
    <i r="4">
      <x v="279"/>
      <x v="63"/>
      <x v="31"/>
    </i>
    <i r="3">
      <x v="7"/>
      <x v="264"/>
      <x v="64"/>
      <x v="20"/>
    </i>
    <i r="4">
      <x v="265"/>
      <x v="64"/>
      <x v="33"/>
    </i>
    <i r="4">
      <x v="266"/>
      <x v="64"/>
      <x v="21"/>
    </i>
    <i r="4">
      <x v="267"/>
      <x v="64"/>
      <x v="29"/>
    </i>
    <i r="4">
      <x v="268"/>
      <x v="64"/>
      <x v="22"/>
    </i>
    <i r="4">
      <x v="269"/>
      <x v="64"/>
      <x v="27"/>
    </i>
    <i r="4">
      <x v="270"/>
      <x v="64"/>
      <x v="28"/>
    </i>
    <i r="4">
      <x v="271"/>
      <x v="64"/>
      <x v="32"/>
    </i>
    <i r="4">
      <x v="272"/>
      <x v="64"/>
      <x v="30"/>
    </i>
    <i r="4">
      <x v="273"/>
      <x v="64"/>
      <x v="25"/>
    </i>
    <i r="4">
      <x v="274"/>
      <x v="64"/>
      <x v="34"/>
    </i>
    <i r="4">
      <x v="275"/>
      <x v="64"/>
      <x v="24"/>
    </i>
    <i r="4">
      <x v="276"/>
      <x v="64"/>
      <x v="19"/>
    </i>
    <i r="4">
      <x v="277"/>
      <x v="64"/>
      <x v="23"/>
    </i>
    <i r="4">
      <x v="278"/>
      <x v="64"/>
      <x v="26"/>
    </i>
    <i r="4">
      <x v="279"/>
      <x v="64"/>
      <x v="31"/>
    </i>
    <i>
      <x v="98"/>
      <x v="60"/>
      <x v="1"/>
      <x v="7"/>
      <x v="41"/>
      <x v="66"/>
      <x v="52"/>
    </i>
    <i>
      <x v="99"/>
      <x v="65"/>
      <x v="1"/>
      <x v="7"/>
      <x v="41"/>
      <x v="16"/>
      <x v="52"/>
    </i>
    <i r="5">
      <x v="85"/>
      <x v="35"/>
    </i>
    <i r="5">
      <x v="87"/>
      <x v="18"/>
    </i>
    <i r="2">
      <x v="3"/>
      <x v="7"/>
      <x v="264"/>
      <x v="86"/>
      <x v="37"/>
    </i>
    <i r="5">
      <x v="87"/>
      <x v="20"/>
    </i>
    <i r="4">
      <x v="265"/>
      <x v="86"/>
      <x v="50"/>
    </i>
    <i r="5">
      <x v="87"/>
      <x v="33"/>
    </i>
    <i r="4">
      <x v="266"/>
      <x v="86"/>
      <x v="38"/>
    </i>
    <i r="5">
      <x v="87"/>
      <x v="21"/>
    </i>
    <i r="4">
      <x v="267"/>
      <x v="86"/>
      <x v="46"/>
    </i>
    <i r="5">
      <x v="87"/>
      <x v="29"/>
    </i>
    <i r="4">
      <x v="268"/>
      <x v="86"/>
      <x v="39"/>
    </i>
    <i r="5">
      <x v="87"/>
      <x v="22"/>
    </i>
    <i r="4">
      <x v="269"/>
      <x v="86"/>
      <x v="44"/>
    </i>
    <i r="5">
      <x v="87"/>
      <x v="27"/>
    </i>
    <i r="4">
      <x v="270"/>
      <x v="86"/>
      <x v="45"/>
    </i>
    <i r="5">
      <x v="87"/>
      <x v="28"/>
    </i>
    <i r="4">
      <x v="271"/>
      <x v="86"/>
      <x v="49"/>
    </i>
    <i r="5">
      <x v="87"/>
      <x v="32"/>
    </i>
    <i r="4">
      <x v="272"/>
      <x v="86"/>
      <x v="47"/>
    </i>
    <i r="5">
      <x v="87"/>
      <x v="30"/>
    </i>
    <i r="4">
      <x v="273"/>
      <x v="86"/>
      <x v="42"/>
    </i>
    <i r="5">
      <x v="87"/>
      <x v="25"/>
    </i>
    <i r="4">
      <x v="274"/>
      <x v="86"/>
      <x v="51"/>
    </i>
    <i r="5">
      <x v="87"/>
      <x v="34"/>
    </i>
    <i r="4">
      <x v="275"/>
      <x v="86"/>
      <x v="41"/>
    </i>
    <i r="5">
      <x v="87"/>
      <x v="24"/>
    </i>
    <i r="4">
      <x v="276"/>
      <x v="86"/>
      <x v="36"/>
    </i>
    <i r="5">
      <x v="87"/>
      <x v="19"/>
    </i>
    <i r="4">
      <x v="277"/>
      <x v="86"/>
      <x v="40"/>
    </i>
    <i r="5">
      <x v="87"/>
      <x v="23"/>
    </i>
    <i r="4">
      <x v="278"/>
      <x v="86"/>
      <x v="43"/>
    </i>
    <i r="5">
      <x v="87"/>
      <x v="26"/>
    </i>
    <i r="4">
      <x v="279"/>
      <x v="86"/>
      <x v="48"/>
    </i>
    <i r="5">
      <x v="87"/>
      <x v="31"/>
    </i>
    <i>
      <x v="101"/>
      <x v="72"/>
      <x v="1"/>
      <x v="4"/>
      <x v="41"/>
      <x v="105"/>
      <x v="18"/>
    </i>
    <i r="5">
      <x v="106"/>
      <x v="18"/>
    </i>
    <i r="3">
      <x v="19"/>
      <x v="41"/>
      <x v="106"/>
      <x v="35"/>
    </i>
    <i r="2">
      <x v="3"/>
      <x v="7"/>
      <x v="264"/>
      <x v="105"/>
      <x v="20"/>
    </i>
    <i r="5">
      <x v="106"/>
      <x v="20"/>
    </i>
    <i r="4">
      <x v="265"/>
      <x v="105"/>
      <x v="33"/>
    </i>
    <i r="5">
      <x v="106"/>
      <x v="33"/>
    </i>
    <i r="4">
      <x v="266"/>
      <x v="105"/>
      <x v="21"/>
    </i>
    <i r="5">
      <x v="106"/>
      <x v="21"/>
    </i>
    <i r="4">
      <x v="267"/>
      <x v="105"/>
      <x v="29"/>
    </i>
    <i r="5">
      <x v="106"/>
      <x v="29"/>
    </i>
    <i r="4">
      <x v="268"/>
      <x v="105"/>
      <x v="22"/>
    </i>
    <i r="5">
      <x v="106"/>
      <x v="22"/>
    </i>
    <i r="4">
      <x v="269"/>
      <x v="105"/>
      <x v="27"/>
    </i>
    <i r="5">
      <x v="106"/>
      <x v="27"/>
    </i>
    <i r="4">
      <x v="270"/>
      <x v="105"/>
      <x v="28"/>
    </i>
    <i r="5">
      <x v="106"/>
      <x v="28"/>
    </i>
    <i r="4">
      <x v="271"/>
      <x v="105"/>
      <x v="32"/>
    </i>
    <i r="5">
      <x v="106"/>
      <x v="32"/>
    </i>
    <i r="4">
      <x v="272"/>
      <x v="105"/>
      <x v="30"/>
    </i>
    <i r="5">
      <x v="106"/>
      <x v="30"/>
    </i>
    <i r="4">
      <x v="273"/>
      <x v="105"/>
      <x v="25"/>
    </i>
    <i r="5">
      <x v="106"/>
      <x v="25"/>
    </i>
    <i r="4">
      <x v="274"/>
      <x v="105"/>
      <x v="34"/>
    </i>
    <i r="5">
      <x v="106"/>
      <x v="34"/>
    </i>
    <i r="4">
      <x v="275"/>
      <x v="105"/>
      <x v="24"/>
    </i>
    <i r="5">
      <x v="106"/>
      <x v="24"/>
    </i>
    <i r="4">
      <x v="276"/>
      <x v="105"/>
      <x v="19"/>
    </i>
    <i r="5">
      <x v="106"/>
      <x v="19"/>
    </i>
    <i r="4">
      <x v="277"/>
      <x v="105"/>
      <x v="23"/>
    </i>
    <i r="5">
      <x v="106"/>
      <x v="23"/>
    </i>
    <i r="4">
      <x v="278"/>
      <x v="105"/>
      <x v="26"/>
    </i>
    <i r="5">
      <x v="106"/>
      <x v="26"/>
    </i>
    <i r="4">
      <x v="279"/>
      <x v="105"/>
      <x v="31"/>
    </i>
    <i r="5">
      <x v="106"/>
      <x v="31"/>
    </i>
    <i r="3">
      <x v="16"/>
      <x v="264"/>
      <x v="106"/>
      <x v="37"/>
    </i>
    <i r="4">
      <x v="265"/>
      <x v="106"/>
      <x v="50"/>
    </i>
    <i r="4">
      <x v="266"/>
      <x v="106"/>
      <x v="38"/>
    </i>
    <i r="4">
      <x v="267"/>
      <x v="106"/>
      <x v="46"/>
    </i>
    <i r="4">
      <x v="268"/>
      <x v="106"/>
      <x v="39"/>
    </i>
    <i r="4">
      <x v="269"/>
      <x v="106"/>
      <x v="44"/>
    </i>
    <i r="4">
      <x v="270"/>
      <x v="106"/>
      <x v="45"/>
    </i>
    <i r="4">
      <x v="271"/>
      <x v="106"/>
      <x v="49"/>
    </i>
    <i r="4">
      <x v="272"/>
      <x v="106"/>
      <x v="47"/>
    </i>
    <i r="4">
      <x v="273"/>
      <x v="106"/>
      <x v="42"/>
    </i>
    <i r="4">
      <x v="274"/>
      <x v="106"/>
      <x v="51"/>
    </i>
    <i r="4">
      <x v="275"/>
      <x v="106"/>
      <x v="41"/>
    </i>
    <i r="4">
      <x v="276"/>
      <x v="106"/>
      <x v="36"/>
    </i>
    <i r="4">
      <x v="277"/>
      <x v="106"/>
      <x v="40"/>
    </i>
    <i r="4">
      <x v="278"/>
      <x v="106"/>
      <x v="43"/>
    </i>
    <i r="4">
      <x v="279"/>
      <x v="106"/>
      <x v="48"/>
    </i>
    <i>
      <x v="102"/>
      <x v="79"/>
      <x v="1"/>
      <x v="4"/>
      <x v="41"/>
      <x v="109"/>
      <x v="18"/>
    </i>
    <i r="2">
      <x v="3"/>
      <x v="7"/>
      <x v="264"/>
      <x v="109"/>
      <x v="20"/>
    </i>
    <i r="4">
      <x v="265"/>
      <x v="109"/>
      <x v="33"/>
    </i>
    <i r="4">
      <x v="266"/>
      <x v="109"/>
      <x v="21"/>
    </i>
    <i r="4">
      <x v="267"/>
      <x v="109"/>
      <x v="29"/>
    </i>
    <i r="4">
      <x v="268"/>
      <x v="109"/>
      <x v="22"/>
    </i>
    <i r="4">
      <x v="269"/>
      <x v="109"/>
      <x v="27"/>
    </i>
    <i r="4">
      <x v="270"/>
      <x v="109"/>
      <x v="28"/>
    </i>
    <i r="4">
      <x v="271"/>
      <x v="109"/>
      <x v="32"/>
    </i>
    <i r="4">
      <x v="272"/>
      <x v="109"/>
      <x v="30"/>
    </i>
    <i r="4">
      <x v="273"/>
      <x v="109"/>
      <x v="25"/>
    </i>
    <i r="4">
      <x v="274"/>
      <x v="109"/>
      <x v="34"/>
    </i>
    <i r="4">
      <x v="275"/>
      <x v="109"/>
      <x v="24"/>
    </i>
    <i r="4">
      <x v="276"/>
      <x v="109"/>
      <x v="19"/>
    </i>
    <i r="4">
      <x v="277"/>
      <x v="109"/>
      <x v="23"/>
    </i>
    <i r="4">
      <x v="278"/>
      <x v="109"/>
      <x v="26"/>
    </i>
    <i r="4">
      <x v="279"/>
      <x v="109"/>
      <x v="31"/>
    </i>
    <i>
      <x v="103"/>
      <x v="79"/>
      <x v="1"/>
      <x v="9"/>
      <x v="41"/>
      <x v="133"/>
      <x v="35"/>
    </i>
    <i r="3">
      <x v="20"/>
      <x v="41"/>
      <x v="111"/>
      <x v="35"/>
    </i>
    <i r="2">
      <x v="3"/>
      <x v="4"/>
      <x v="264"/>
      <x v="111"/>
      <x v="37"/>
    </i>
    <i r="5">
      <x v="133"/>
      <x v="37"/>
    </i>
    <i r="4">
      <x v="265"/>
      <x v="111"/>
      <x v="50"/>
    </i>
    <i r="5">
      <x v="133"/>
      <x v="50"/>
    </i>
    <i r="4">
      <x v="266"/>
      <x v="111"/>
      <x v="38"/>
    </i>
    <i r="5">
      <x v="133"/>
      <x v="38"/>
    </i>
    <i r="4">
      <x v="267"/>
      <x v="111"/>
      <x v="46"/>
    </i>
    <i r="5">
      <x v="133"/>
      <x v="46"/>
    </i>
    <i r="4">
      <x v="268"/>
      <x v="111"/>
      <x v="39"/>
    </i>
    <i r="5">
      <x v="133"/>
      <x v="39"/>
    </i>
    <i r="4">
      <x v="269"/>
      <x v="111"/>
      <x v="44"/>
    </i>
    <i r="5">
      <x v="133"/>
      <x v="44"/>
    </i>
    <i r="4">
      <x v="270"/>
      <x v="111"/>
      <x v="45"/>
    </i>
    <i r="5">
      <x v="133"/>
      <x v="45"/>
    </i>
    <i r="4">
      <x v="271"/>
      <x v="111"/>
      <x v="49"/>
    </i>
    <i r="5">
      <x v="133"/>
      <x v="49"/>
    </i>
    <i r="4">
      <x v="272"/>
      <x v="111"/>
      <x v="47"/>
    </i>
    <i r="5">
      <x v="133"/>
      <x v="47"/>
    </i>
    <i r="4">
      <x v="273"/>
      <x v="111"/>
      <x v="42"/>
    </i>
    <i r="5">
      <x v="133"/>
      <x v="42"/>
    </i>
    <i r="4">
      <x v="274"/>
      <x v="111"/>
      <x v="51"/>
    </i>
    <i r="5">
      <x v="133"/>
      <x v="51"/>
    </i>
    <i r="4">
      <x v="275"/>
      <x v="111"/>
      <x v="41"/>
    </i>
    <i r="5">
      <x v="133"/>
      <x v="41"/>
    </i>
    <i r="4">
      <x v="276"/>
      <x v="111"/>
      <x v="36"/>
    </i>
    <i r="5">
      <x v="133"/>
      <x v="36"/>
    </i>
    <i r="4">
      <x v="277"/>
      <x v="111"/>
      <x v="40"/>
    </i>
    <i r="5">
      <x v="133"/>
      <x v="40"/>
    </i>
    <i r="4">
      <x v="278"/>
      <x v="111"/>
      <x v="43"/>
    </i>
    <i r="5">
      <x v="133"/>
      <x v="43"/>
    </i>
    <i r="4">
      <x v="279"/>
      <x v="111"/>
      <x v="48"/>
    </i>
    <i r="5">
      <x v="133"/>
      <x v="48"/>
    </i>
    <i>
      <x v="106"/>
      <x v="56"/>
      <x v="1"/>
      <x v="9"/>
      <x v="41"/>
      <x v="116"/>
      <x v="35"/>
    </i>
    <i r="2">
      <x v="3"/>
      <x/>
      <x v="264"/>
      <x v="116"/>
      <x v="37"/>
    </i>
    <i r="4">
      <x v="265"/>
      <x v="116"/>
      <x v="50"/>
    </i>
    <i r="4">
      <x v="266"/>
      <x v="116"/>
      <x v="38"/>
    </i>
    <i r="4">
      <x v="267"/>
      <x v="116"/>
      <x v="46"/>
    </i>
    <i r="4">
      <x v="268"/>
      <x v="116"/>
      <x v="39"/>
    </i>
    <i r="4">
      <x v="269"/>
      <x v="116"/>
      <x v="44"/>
    </i>
    <i r="4">
      <x v="270"/>
      <x v="116"/>
      <x v="45"/>
    </i>
    <i r="4">
      <x v="271"/>
      <x v="116"/>
      <x v="49"/>
    </i>
    <i r="4">
      <x v="272"/>
      <x v="116"/>
      <x v="47"/>
    </i>
    <i r="4">
      <x v="273"/>
      <x v="116"/>
      <x v="42"/>
    </i>
    <i r="4">
      <x v="274"/>
      <x v="116"/>
      <x v="51"/>
    </i>
    <i r="4">
      <x v="275"/>
      <x v="116"/>
      <x v="41"/>
    </i>
    <i r="4">
      <x v="276"/>
      <x v="116"/>
      <x v="36"/>
    </i>
    <i r="4">
      <x v="277"/>
      <x v="116"/>
      <x v="40"/>
    </i>
    <i r="4">
      <x v="278"/>
      <x v="116"/>
      <x v="43"/>
    </i>
    <i r="4">
      <x v="279"/>
      <x v="116"/>
      <x v="48"/>
    </i>
    <i>
      <x v="107"/>
      <x v="72"/>
      <x v="1"/>
      <x v="4"/>
      <x v="41"/>
      <x v="118"/>
      <x v="52"/>
    </i>
    <i r="5">
      <x v="120"/>
      <x v="52"/>
    </i>
    <i r="3">
      <x v="7"/>
      <x v="41"/>
      <x v="117"/>
      <x v="52"/>
    </i>
    <i r="3">
      <x v="9"/>
      <x v="41"/>
      <x v="119"/>
      <x v="35"/>
    </i>
    <i r="2">
      <x v="3"/>
      <x v="4"/>
      <x v="264"/>
      <x v="119"/>
      <x v="37"/>
    </i>
    <i r="4">
      <x v="265"/>
      <x v="119"/>
      <x v="50"/>
    </i>
    <i r="4">
      <x v="266"/>
      <x v="119"/>
      <x v="38"/>
    </i>
    <i r="4">
      <x v="267"/>
      <x v="119"/>
      <x v="46"/>
    </i>
    <i r="4">
      <x v="268"/>
      <x v="119"/>
      <x v="39"/>
    </i>
    <i r="4">
      <x v="269"/>
      <x v="119"/>
      <x v="44"/>
    </i>
    <i r="4">
      <x v="270"/>
      <x v="119"/>
      <x v="45"/>
    </i>
    <i r="4">
      <x v="271"/>
      <x v="119"/>
      <x v="49"/>
    </i>
    <i r="4">
      <x v="272"/>
      <x v="119"/>
      <x v="47"/>
    </i>
    <i r="4">
      <x v="273"/>
      <x v="119"/>
      <x v="42"/>
    </i>
    <i r="4">
      <x v="274"/>
      <x v="119"/>
      <x v="51"/>
    </i>
    <i r="4">
      <x v="275"/>
      <x v="119"/>
      <x v="41"/>
    </i>
    <i r="4">
      <x v="276"/>
      <x v="119"/>
      <x v="36"/>
    </i>
    <i r="4">
      <x v="277"/>
      <x v="119"/>
      <x v="40"/>
    </i>
    <i r="4">
      <x v="278"/>
      <x v="119"/>
      <x v="43"/>
    </i>
    <i r="4">
      <x v="279"/>
      <x v="119"/>
      <x v="48"/>
    </i>
    <i>
      <x v="108"/>
      <x v="75"/>
      <x v="1"/>
      <x v="4"/>
      <x v="41"/>
      <x v="127"/>
      <x v="18"/>
    </i>
    <i r="2">
      <x v="3"/>
      <x v="7"/>
      <x v="264"/>
      <x v="127"/>
      <x v="20"/>
    </i>
    <i r="4">
      <x v="265"/>
      <x v="127"/>
      <x v="33"/>
    </i>
    <i r="4">
      <x v="266"/>
      <x v="127"/>
      <x v="21"/>
    </i>
    <i r="4">
      <x v="267"/>
      <x v="127"/>
      <x v="29"/>
    </i>
    <i r="4">
      <x v="268"/>
      <x v="127"/>
      <x v="22"/>
    </i>
    <i r="4">
      <x v="269"/>
      <x v="127"/>
      <x v="27"/>
    </i>
    <i r="4">
      <x v="270"/>
      <x v="127"/>
      <x v="28"/>
    </i>
    <i r="4">
      <x v="271"/>
      <x v="127"/>
      <x v="32"/>
    </i>
    <i r="4">
      <x v="272"/>
      <x v="127"/>
      <x v="30"/>
    </i>
    <i r="4">
      <x v="273"/>
      <x v="127"/>
      <x v="25"/>
    </i>
    <i r="4">
      <x v="275"/>
      <x v="127"/>
      <x v="24"/>
    </i>
    <i r="4">
      <x v="276"/>
      <x v="127"/>
      <x v="19"/>
    </i>
    <i r="4">
      <x v="277"/>
      <x v="127"/>
      <x v="23"/>
    </i>
    <i r="4">
      <x v="278"/>
      <x v="127"/>
      <x v="26"/>
    </i>
    <i r="4">
      <x v="279"/>
      <x v="127"/>
      <x v="31"/>
    </i>
    <i>
      <x v="109"/>
      <x v="76"/>
      <x v="1"/>
      <x v="9"/>
      <x v="41"/>
      <x v="128"/>
      <x v="35"/>
    </i>
    <i r="5">
      <x v="157"/>
      <x v="35"/>
    </i>
    <i r="2">
      <x v="3"/>
      <x/>
      <x v="264"/>
      <x v="128"/>
      <x v="37"/>
    </i>
    <i r="5">
      <x v="157"/>
      <x v="37"/>
    </i>
    <i r="4">
      <x v="265"/>
      <x v="128"/>
      <x v="50"/>
    </i>
    <i r="5">
      <x v="157"/>
      <x v="50"/>
    </i>
    <i r="4">
      <x v="266"/>
      <x v="128"/>
      <x v="38"/>
    </i>
    <i r="5">
      <x v="157"/>
      <x v="38"/>
    </i>
    <i r="4">
      <x v="267"/>
      <x v="128"/>
      <x v="46"/>
    </i>
    <i r="5">
      <x v="157"/>
      <x v="46"/>
    </i>
    <i r="4">
      <x v="268"/>
      <x v="128"/>
      <x v="39"/>
    </i>
    <i r="5">
      <x v="157"/>
      <x v="39"/>
    </i>
    <i r="4">
      <x v="269"/>
      <x v="128"/>
      <x v="44"/>
    </i>
    <i r="5">
      <x v="157"/>
      <x v="44"/>
    </i>
    <i r="4">
      <x v="270"/>
      <x v="128"/>
      <x v="45"/>
    </i>
    <i r="5">
      <x v="157"/>
      <x v="45"/>
    </i>
    <i r="4">
      <x v="271"/>
      <x v="128"/>
      <x v="49"/>
    </i>
    <i r="5">
      <x v="157"/>
      <x v="49"/>
    </i>
    <i r="4">
      <x v="272"/>
      <x v="128"/>
      <x v="47"/>
    </i>
    <i r="5">
      <x v="157"/>
      <x v="47"/>
    </i>
    <i r="4">
      <x v="273"/>
      <x v="128"/>
      <x v="42"/>
    </i>
    <i r="5">
      <x v="157"/>
      <x v="42"/>
    </i>
    <i r="4">
      <x v="274"/>
      <x v="128"/>
      <x v="51"/>
    </i>
    <i r="5">
      <x v="157"/>
      <x v="51"/>
    </i>
    <i r="4">
      <x v="275"/>
      <x v="128"/>
      <x v="41"/>
    </i>
    <i r="5">
      <x v="157"/>
      <x v="41"/>
    </i>
    <i r="4">
      <x v="276"/>
      <x v="128"/>
      <x v="36"/>
    </i>
    <i r="5">
      <x v="157"/>
      <x v="36"/>
    </i>
    <i r="4">
      <x v="277"/>
      <x v="128"/>
      <x v="40"/>
    </i>
    <i r="5">
      <x v="157"/>
      <x v="40"/>
    </i>
    <i r="4">
      <x v="278"/>
      <x v="128"/>
      <x v="43"/>
    </i>
    <i r="5">
      <x v="157"/>
      <x v="43"/>
    </i>
    <i r="4">
      <x v="279"/>
      <x v="128"/>
      <x v="48"/>
    </i>
    <i r="5">
      <x v="157"/>
      <x v="48"/>
    </i>
    <i>
      <x v="110"/>
      <x v="76"/>
      <x v="1"/>
      <x v="9"/>
      <x v="41"/>
      <x v="129"/>
      <x v="35"/>
    </i>
    <i r="5">
      <x v="158"/>
      <x v="35"/>
    </i>
    <i r="2">
      <x v="3"/>
      <x/>
      <x v="264"/>
      <x v="129"/>
      <x v="37"/>
    </i>
    <i r="5">
      <x v="158"/>
      <x v="37"/>
    </i>
    <i r="4">
      <x v="265"/>
      <x v="129"/>
      <x v="50"/>
    </i>
    <i r="5">
      <x v="158"/>
      <x v="50"/>
    </i>
    <i r="4">
      <x v="266"/>
      <x v="129"/>
      <x v="38"/>
    </i>
    <i r="5">
      <x v="158"/>
      <x v="38"/>
    </i>
    <i r="4">
      <x v="267"/>
      <x v="129"/>
      <x v="46"/>
    </i>
    <i r="5">
      <x v="158"/>
      <x v="46"/>
    </i>
    <i r="4">
      <x v="268"/>
      <x v="129"/>
      <x v="39"/>
    </i>
    <i r="5">
      <x v="158"/>
      <x v="39"/>
    </i>
    <i r="4">
      <x v="269"/>
      <x v="129"/>
      <x v="44"/>
    </i>
    <i r="5">
      <x v="158"/>
      <x v="44"/>
    </i>
    <i r="4">
      <x v="270"/>
      <x v="129"/>
      <x v="45"/>
    </i>
    <i r="5">
      <x v="158"/>
      <x v="45"/>
    </i>
    <i r="4">
      <x v="271"/>
      <x v="129"/>
      <x v="49"/>
    </i>
    <i r="5">
      <x v="158"/>
      <x v="49"/>
    </i>
    <i r="4">
      <x v="272"/>
      <x v="129"/>
      <x v="47"/>
    </i>
    <i r="5">
      <x v="158"/>
      <x v="47"/>
    </i>
    <i r="4">
      <x v="273"/>
      <x v="129"/>
      <x v="42"/>
    </i>
    <i r="5">
      <x v="158"/>
      <x v="42"/>
    </i>
    <i r="4">
      <x v="274"/>
      <x v="129"/>
      <x v="51"/>
    </i>
    <i r="5">
      <x v="158"/>
      <x v="51"/>
    </i>
    <i r="4">
      <x v="275"/>
      <x v="129"/>
      <x v="41"/>
    </i>
    <i r="5">
      <x v="158"/>
      <x v="41"/>
    </i>
    <i r="4">
      <x v="276"/>
      <x v="129"/>
      <x v="36"/>
    </i>
    <i r="5">
      <x v="158"/>
      <x v="36"/>
    </i>
    <i r="4">
      <x v="277"/>
      <x v="129"/>
      <x v="40"/>
    </i>
    <i r="5">
      <x v="158"/>
      <x v="40"/>
    </i>
    <i r="4">
      <x v="278"/>
      <x v="129"/>
      <x v="43"/>
    </i>
    <i r="5">
      <x v="158"/>
      <x v="43"/>
    </i>
    <i r="4">
      <x v="279"/>
      <x v="129"/>
      <x v="48"/>
    </i>
    <i r="5">
      <x v="158"/>
      <x v="48"/>
    </i>
    <i>
      <x v="114"/>
      <x v="76"/>
      <x v="1"/>
      <x v="7"/>
      <x v="41"/>
      <x v="104"/>
      <x v="52"/>
    </i>
    <i r="2">
      <x v="3"/>
      <x v="7"/>
      <x v="264"/>
      <x v="104"/>
      <x v="37"/>
    </i>
    <i r="4">
      <x v="265"/>
      <x v="104"/>
      <x v="50"/>
    </i>
    <i r="4">
      <x v="266"/>
      <x v="104"/>
      <x v="38"/>
    </i>
    <i r="4">
      <x v="267"/>
      <x v="104"/>
      <x v="46"/>
    </i>
    <i r="4">
      <x v="268"/>
      <x v="104"/>
      <x v="39"/>
    </i>
    <i r="4">
      <x v="269"/>
      <x v="104"/>
      <x v="44"/>
    </i>
    <i r="4">
      <x v="270"/>
      <x v="104"/>
      <x v="45"/>
    </i>
    <i r="4">
      <x v="271"/>
      <x v="104"/>
      <x v="49"/>
    </i>
    <i r="4">
      <x v="272"/>
      <x v="104"/>
      <x v="47"/>
    </i>
    <i r="4">
      <x v="273"/>
      <x v="104"/>
      <x v="42"/>
    </i>
    <i r="4">
      <x v="274"/>
      <x v="104"/>
      <x v="51"/>
    </i>
    <i r="4">
      <x v="275"/>
      <x v="104"/>
      <x v="41"/>
    </i>
    <i r="4">
      <x v="276"/>
      <x v="104"/>
      <x v="36"/>
    </i>
    <i r="4">
      <x v="277"/>
      <x v="104"/>
      <x v="40"/>
    </i>
    <i r="4">
      <x v="278"/>
      <x v="104"/>
      <x v="43"/>
    </i>
    <i r="4">
      <x v="279"/>
      <x v="104"/>
      <x v="48"/>
    </i>
    <i>
      <x v="115"/>
      <x v="56"/>
      <x v="1"/>
      <x v="7"/>
      <x v="41"/>
      <x v="115"/>
      <x v="52"/>
    </i>
    <i>
      <x v="116"/>
      <x v="56"/>
      <x v="1"/>
      <x v="7"/>
      <x v="41"/>
      <x v="116"/>
      <x v="52"/>
    </i>
    <i>
      <x v="117"/>
      <x v="76"/>
      <x v="1"/>
      <x v="4"/>
      <x v="41"/>
      <x v="130"/>
      <x v="35"/>
    </i>
    <i r="2">
      <x v="3"/>
      <x v="7"/>
      <x v="264"/>
      <x v="130"/>
      <x v="37"/>
    </i>
    <i r="4">
      <x v="265"/>
      <x v="130"/>
      <x v="50"/>
    </i>
    <i r="4">
      <x v="266"/>
      <x v="130"/>
      <x v="38"/>
    </i>
    <i r="4">
      <x v="267"/>
      <x v="130"/>
      <x v="46"/>
    </i>
    <i r="4">
      <x v="268"/>
      <x v="130"/>
      <x v="39"/>
    </i>
    <i r="4">
      <x v="269"/>
      <x v="130"/>
      <x v="44"/>
    </i>
    <i r="4">
      <x v="270"/>
      <x v="130"/>
      <x v="45"/>
    </i>
    <i r="4">
      <x v="271"/>
      <x v="130"/>
      <x v="49"/>
    </i>
    <i r="4">
      <x v="272"/>
      <x v="130"/>
      <x v="47"/>
    </i>
    <i r="4">
      <x v="273"/>
      <x v="130"/>
      <x v="42"/>
    </i>
    <i r="4">
      <x v="274"/>
      <x v="130"/>
      <x v="51"/>
    </i>
    <i r="4">
      <x v="275"/>
      <x v="130"/>
      <x v="41"/>
    </i>
    <i r="4">
      <x v="276"/>
      <x v="130"/>
      <x v="36"/>
    </i>
    <i r="4">
      <x v="277"/>
      <x v="130"/>
      <x v="40"/>
    </i>
    <i r="4">
      <x v="278"/>
      <x v="130"/>
      <x v="43"/>
    </i>
    <i r="4">
      <x v="279"/>
      <x v="130"/>
      <x v="48"/>
    </i>
    <i>
      <x v="118"/>
      <x v="80"/>
      <x v="1"/>
      <x v="4"/>
      <x v="41"/>
      <x v="134"/>
      <x v="35"/>
    </i>
    <i r="3">
      <x v="7"/>
      <x v="41"/>
      <x v="131"/>
      <x v="52"/>
    </i>
    <i r="5">
      <x v="134"/>
      <x v="18"/>
    </i>
    <i r="2">
      <x v="3"/>
      <x v="7"/>
      <x v="264"/>
      <x v="134"/>
      <x v="37"/>
    </i>
    <i r="4">
      <x v="265"/>
      <x v="134"/>
      <x v="50"/>
    </i>
    <i r="4">
      <x v="266"/>
      <x v="134"/>
      <x v="38"/>
    </i>
    <i r="4">
      <x v="267"/>
      <x v="134"/>
      <x v="46"/>
    </i>
    <i r="4">
      <x v="268"/>
      <x v="134"/>
      <x v="39"/>
    </i>
    <i r="4">
      <x v="269"/>
      <x v="134"/>
      <x v="44"/>
    </i>
    <i r="4">
      <x v="270"/>
      <x v="134"/>
      <x v="45"/>
    </i>
    <i r="4">
      <x v="271"/>
      <x v="134"/>
      <x v="49"/>
    </i>
    <i r="4">
      <x v="272"/>
      <x v="134"/>
      <x v="47"/>
    </i>
    <i r="4">
      <x v="273"/>
      <x v="134"/>
      <x v="42"/>
    </i>
    <i r="4">
      <x v="274"/>
      <x v="134"/>
      <x v="51"/>
    </i>
    <i r="4">
      <x v="275"/>
      <x v="134"/>
      <x v="41"/>
    </i>
    <i r="4">
      <x v="276"/>
      <x v="134"/>
      <x v="36"/>
    </i>
    <i r="4">
      <x v="277"/>
      <x v="134"/>
      <x v="40"/>
    </i>
    <i r="4">
      <x v="278"/>
      <x v="134"/>
      <x v="43"/>
    </i>
    <i r="4">
      <x v="279"/>
      <x v="134"/>
      <x v="48"/>
    </i>
    <i>
      <x v="119"/>
      <x v="81"/>
      <x v="1"/>
      <x v="9"/>
      <x v="41"/>
      <x v="7"/>
      <x v="35"/>
    </i>
    <i r="2">
      <x v="3"/>
      <x/>
      <x v="264"/>
      <x v="7"/>
      <x v="37"/>
    </i>
    <i r="4">
      <x v="265"/>
      <x v="7"/>
      <x v="50"/>
    </i>
    <i r="4">
      <x v="266"/>
      <x v="7"/>
      <x v="38"/>
    </i>
    <i r="4">
      <x v="267"/>
      <x v="7"/>
      <x v="46"/>
    </i>
    <i r="4">
      <x v="268"/>
      <x v="7"/>
      <x v="39"/>
    </i>
    <i r="4">
      <x v="269"/>
      <x v="7"/>
      <x v="44"/>
    </i>
    <i r="4">
      <x v="270"/>
      <x v="7"/>
      <x v="45"/>
    </i>
    <i r="4">
      <x v="271"/>
      <x v="7"/>
      <x v="49"/>
    </i>
    <i r="4">
      <x v="272"/>
      <x v="7"/>
      <x v="47"/>
    </i>
    <i r="4">
      <x v="273"/>
      <x v="7"/>
      <x v="42"/>
    </i>
    <i r="4">
      <x v="274"/>
      <x v="7"/>
      <x v="51"/>
    </i>
    <i r="4">
      <x v="275"/>
      <x v="7"/>
      <x v="41"/>
    </i>
    <i r="4">
      <x v="276"/>
      <x v="7"/>
      <x v="36"/>
    </i>
    <i r="4">
      <x v="277"/>
      <x v="7"/>
      <x v="40"/>
    </i>
    <i r="4">
      <x v="278"/>
      <x v="7"/>
      <x v="43"/>
    </i>
    <i r="4">
      <x v="279"/>
      <x v="7"/>
      <x v="48"/>
    </i>
    <i>
      <x v="120"/>
      <x v="54"/>
      <x v="1"/>
      <x v="4"/>
      <x v="41"/>
      <x v="21"/>
      <x v="35"/>
    </i>
    <i r="2">
      <x v="3"/>
      <x/>
      <x v="264"/>
      <x v="21"/>
      <x v="37"/>
    </i>
    <i r="4">
      <x v="265"/>
      <x v="21"/>
      <x v="50"/>
    </i>
    <i r="4">
      <x v="266"/>
      <x v="21"/>
      <x v="38"/>
    </i>
    <i r="4">
      <x v="267"/>
      <x v="21"/>
      <x v="46"/>
    </i>
    <i r="4">
      <x v="268"/>
      <x v="21"/>
      <x v="39"/>
    </i>
    <i r="4">
      <x v="269"/>
      <x v="21"/>
      <x v="44"/>
    </i>
    <i r="4">
      <x v="270"/>
      <x v="21"/>
      <x v="45"/>
    </i>
    <i r="4">
      <x v="271"/>
      <x v="21"/>
      <x v="49"/>
    </i>
    <i r="4">
      <x v="272"/>
      <x v="21"/>
      <x v="47"/>
    </i>
    <i r="4">
      <x v="273"/>
      <x v="21"/>
      <x v="42"/>
    </i>
    <i r="4">
      <x v="274"/>
      <x v="21"/>
      <x v="51"/>
    </i>
    <i r="4">
      <x v="275"/>
      <x v="21"/>
      <x v="41"/>
    </i>
    <i r="4">
      <x v="276"/>
      <x v="21"/>
      <x v="36"/>
    </i>
    <i r="4">
      <x v="277"/>
      <x v="21"/>
      <x v="40"/>
    </i>
    <i r="4">
      <x v="278"/>
      <x v="21"/>
      <x v="43"/>
    </i>
    <i r="4">
      <x v="279"/>
      <x v="21"/>
      <x v="48"/>
    </i>
    <i>
      <x v="121"/>
      <x v="81"/>
      <x v="1"/>
      <x v="4"/>
      <x v="41"/>
      <x v="62"/>
      <x v="18"/>
    </i>
    <i r="2">
      <x v="3"/>
      <x v="7"/>
      <x v="264"/>
      <x v="62"/>
      <x v="20"/>
    </i>
    <i r="4">
      <x v="265"/>
      <x v="62"/>
      <x v="33"/>
    </i>
    <i r="4">
      <x v="266"/>
      <x v="62"/>
      <x v="21"/>
    </i>
    <i r="4">
      <x v="267"/>
      <x v="62"/>
      <x v="29"/>
    </i>
    <i r="4">
      <x v="268"/>
      <x v="62"/>
      <x v="22"/>
    </i>
    <i r="4">
      <x v="269"/>
      <x v="62"/>
      <x v="27"/>
    </i>
    <i r="4">
      <x v="270"/>
      <x v="62"/>
      <x v="28"/>
    </i>
    <i r="4">
      <x v="271"/>
      <x v="62"/>
      <x v="32"/>
    </i>
    <i r="4">
      <x v="272"/>
      <x v="62"/>
      <x v="30"/>
    </i>
    <i r="4">
      <x v="273"/>
      <x v="62"/>
      <x v="25"/>
    </i>
    <i r="4">
      <x v="274"/>
      <x v="62"/>
      <x v="34"/>
    </i>
    <i r="4">
      <x v="275"/>
      <x v="62"/>
      <x v="24"/>
    </i>
    <i r="4">
      <x v="276"/>
      <x v="62"/>
      <x v="19"/>
    </i>
    <i r="4">
      <x v="277"/>
      <x v="62"/>
      <x v="23"/>
    </i>
    <i r="4">
      <x v="278"/>
      <x v="62"/>
      <x v="26"/>
    </i>
    <i r="4">
      <x v="279"/>
      <x v="62"/>
      <x v="31"/>
    </i>
    <i>
      <x v="122"/>
      <x v="69"/>
      <x v="1"/>
      <x v="7"/>
      <x v="41"/>
      <x v="72"/>
      <x v="52"/>
    </i>
    <i>
      <x v="123"/>
      <x v="84"/>
      <x v="1"/>
      <x v="4"/>
      <x v="41"/>
      <x v="135"/>
      <x v="18"/>
    </i>
    <i r="3">
      <x v="21"/>
      <x v="41"/>
      <x v="135"/>
      <x v="35"/>
    </i>
    <i r="2">
      <x v="3"/>
      <x v="7"/>
      <x v="264"/>
      <x v="135"/>
      <x v="37"/>
    </i>
    <i r="4">
      <x v="265"/>
      <x v="135"/>
      <x v="50"/>
    </i>
    <i r="4">
      <x v="266"/>
      <x v="135"/>
      <x v="38"/>
    </i>
    <i r="4">
      <x v="267"/>
      <x v="135"/>
      <x v="46"/>
    </i>
    <i r="4">
      <x v="268"/>
      <x v="135"/>
      <x v="39"/>
    </i>
    <i r="4">
      <x v="269"/>
      <x v="135"/>
      <x v="44"/>
    </i>
    <i r="4">
      <x v="270"/>
      <x v="135"/>
      <x v="45"/>
    </i>
    <i r="4">
      <x v="271"/>
      <x v="135"/>
      <x v="49"/>
    </i>
    <i r="4">
      <x v="272"/>
      <x v="135"/>
      <x v="47"/>
    </i>
    <i r="4">
      <x v="273"/>
      <x v="135"/>
      <x v="42"/>
    </i>
    <i r="4">
      <x v="274"/>
      <x v="135"/>
      <x v="51"/>
    </i>
    <i r="4">
      <x v="275"/>
      <x v="135"/>
      <x v="41"/>
    </i>
    <i r="4">
      <x v="276"/>
      <x v="135"/>
      <x v="36"/>
    </i>
    <i r="4">
      <x v="277"/>
      <x v="135"/>
      <x v="40"/>
    </i>
    <i r="4">
      <x v="278"/>
      <x v="135"/>
      <x v="43"/>
    </i>
    <i r="4">
      <x v="279"/>
      <x v="135"/>
      <x v="48"/>
    </i>
    <i>
      <x v="124"/>
      <x v="85"/>
      <x v="1"/>
      <x v="4"/>
      <x v="41"/>
      <x v="136"/>
      <x v="18"/>
    </i>
    <i r="3">
      <x v="9"/>
      <x v="41"/>
      <x v="136"/>
      <x v="35"/>
    </i>
    <i r="2">
      <x v="3"/>
      <x/>
      <x v="264"/>
      <x v="137"/>
      <x v="37"/>
    </i>
    <i r="4">
      <x v="265"/>
      <x v="137"/>
      <x v="50"/>
    </i>
    <i r="4">
      <x v="266"/>
      <x v="137"/>
      <x v="38"/>
    </i>
    <i r="4">
      <x v="267"/>
      <x v="137"/>
      <x v="46"/>
    </i>
    <i r="4">
      <x v="268"/>
      <x v="137"/>
      <x v="39"/>
    </i>
    <i r="4">
      <x v="269"/>
      <x v="137"/>
      <x v="44"/>
    </i>
    <i r="4">
      <x v="270"/>
      <x v="137"/>
      <x v="45"/>
    </i>
    <i r="4">
      <x v="271"/>
      <x v="137"/>
      <x v="49"/>
    </i>
    <i r="4">
      <x v="272"/>
      <x v="137"/>
      <x v="47"/>
    </i>
    <i r="4">
      <x v="273"/>
      <x v="137"/>
      <x v="42"/>
    </i>
    <i r="4">
      <x v="274"/>
      <x v="137"/>
      <x v="51"/>
    </i>
    <i r="4">
      <x v="275"/>
      <x v="137"/>
      <x v="41"/>
    </i>
    <i r="4">
      <x v="276"/>
      <x v="137"/>
      <x v="36"/>
    </i>
    <i r="4">
      <x v="277"/>
      <x v="137"/>
      <x v="40"/>
    </i>
    <i r="4">
      <x v="278"/>
      <x v="137"/>
      <x v="43"/>
    </i>
    <i r="4">
      <x v="279"/>
      <x v="137"/>
      <x v="48"/>
    </i>
    <i r="3">
      <x v="7"/>
      <x v="264"/>
      <x v="137"/>
      <x v="37"/>
    </i>
    <i r="4">
      <x v="265"/>
      <x v="137"/>
      <x v="50"/>
    </i>
    <i r="4">
      <x v="266"/>
      <x v="137"/>
      <x v="38"/>
    </i>
    <i r="4">
      <x v="267"/>
      <x v="137"/>
      <x v="46"/>
    </i>
    <i r="4">
      <x v="268"/>
      <x v="137"/>
      <x v="39"/>
    </i>
    <i r="4">
      <x v="269"/>
      <x v="137"/>
      <x v="44"/>
    </i>
    <i r="4">
      <x v="270"/>
      <x v="137"/>
      <x v="45"/>
    </i>
    <i r="4">
      <x v="271"/>
      <x v="137"/>
      <x v="49"/>
    </i>
    <i r="4">
      <x v="272"/>
      <x v="137"/>
      <x v="47"/>
    </i>
    <i r="4">
      <x v="273"/>
      <x v="137"/>
      <x v="42"/>
    </i>
    <i r="4">
      <x v="274"/>
      <x v="137"/>
      <x v="51"/>
    </i>
    <i r="4">
      <x v="275"/>
      <x v="137"/>
      <x v="41"/>
    </i>
    <i r="4">
      <x v="276"/>
      <x v="137"/>
      <x v="36"/>
    </i>
    <i r="4">
      <x v="277"/>
      <x v="137"/>
      <x v="40"/>
    </i>
    <i r="4">
      <x v="278"/>
      <x v="137"/>
      <x v="43"/>
    </i>
    <i r="4">
      <x v="279"/>
      <x v="137"/>
      <x v="48"/>
    </i>
    <i>
      <x v="125"/>
      <x v="70"/>
      <x v="1"/>
      <x v="7"/>
      <x v="41"/>
      <x v="142"/>
      <x v="52"/>
    </i>
    <i r="5">
      <x v="143"/>
      <x v="18"/>
    </i>
    <i r="5">
      <x v="144"/>
      <x v="18"/>
    </i>
    <i r="3">
      <x v="9"/>
      <x v="41"/>
      <x v="138"/>
      <x v="35"/>
    </i>
    <i r="5">
      <x v="140"/>
      <x v="35"/>
    </i>
    <i r="2">
      <x v="3"/>
      <x/>
      <x v="264"/>
      <x v="139"/>
      <x v="37"/>
    </i>
    <i r="4">
      <x v="265"/>
      <x v="139"/>
      <x v="50"/>
    </i>
    <i r="4">
      <x v="266"/>
      <x v="139"/>
      <x v="38"/>
    </i>
    <i r="4">
      <x v="267"/>
      <x v="139"/>
      <x v="46"/>
    </i>
    <i r="4">
      <x v="268"/>
      <x v="139"/>
      <x v="39"/>
    </i>
    <i r="4">
      <x v="269"/>
      <x v="139"/>
      <x v="44"/>
    </i>
    <i r="4">
      <x v="270"/>
      <x v="139"/>
      <x v="45"/>
    </i>
    <i r="4">
      <x v="271"/>
      <x v="139"/>
      <x v="49"/>
    </i>
    <i r="4">
      <x v="272"/>
      <x v="139"/>
      <x v="47"/>
    </i>
    <i r="4">
      <x v="273"/>
      <x v="139"/>
      <x v="42"/>
    </i>
    <i r="4">
      <x v="274"/>
      <x v="139"/>
      <x v="51"/>
    </i>
    <i r="4">
      <x v="275"/>
      <x v="139"/>
      <x v="41"/>
    </i>
    <i r="4">
      <x v="276"/>
      <x v="139"/>
      <x v="36"/>
    </i>
    <i r="4">
      <x v="277"/>
      <x v="139"/>
      <x v="40"/>
    </i>
    <i r="4">
      <x v="278"/>
      <x v="139"/>
      <x v="43"/>
    </i>
    <i r="4">
      <x v="279"/>
      <x v="139"/>
      <x v="48"/>
    </i>
    <i r="3">
      <x v="7"/>
      <x v="264"/>
      <x v="141"/>
      <x v="20"/>
    </i>
    <i r="5">
      <x v="142"/>
      <x v="20"/>
    </i>
    <i r="5">
      <x v="144"/>
      <x v="20"/>
    </i>
    <i r="4">
      <x v="265"/>
      <x v="141"/>
      <x v="33"/>
    </i>
    <i r="5">
      <x v="142"/>
      <x v="33"/>
    </i>
    <i r="5">
      <x v="144"/>
      <x v="33"/>
    </i>
    <i r="4">
      <x v="266"/>
      <x v="141"/>
      <x v="21"/>
    </i>
    <i r="5">
      <x v="142"/>
      <x v="21"/>
    </i>
    <i r="5">
      <x v="144"/>
      <x v="21"/>
    </i>
    <i r="4">
      <x v="267"/>
      <x v="141"/>
      <x v="29"/>
    </i>
    <i r="5">
      <x v="142"/>
      <x v="29"/>
    </i>
    <i r="5">
      <x v="144"/>
      <x v="29"/>
    </i>
    <i r="4">
      <x v="268"/>
      <x v="141"/>
      <x v="22"/>
    </i>
    <i r="5">
      <x v="142"/>
      <x v="22"/>
    </i>
    <i r="5">
      <x v="144"/>
      <x v="22"/>
    </i>
    <i r="4">
      <x v="269"/>
      <x v="141"/>
      <x v="27"/>
    </i>
    <i r="5">
      <x v="142"/>
      <x v="27"/>
    </i>
    <i r="5">
      <x v="144"/>
      <x v="27"/>
    </i>
    <i r="4">
      <x v="270"/>
      <x v="141"/>
      <x v="28"/>
    </i>
    <i r="5">
      <x v="142"/>
      <x v="28"/>
    </i>
    <i r="5">
      <x v="144"/>
      <x v="28"/>
    </i>
    <i r="4">
      <x v="271"/>
      <x v="141"/>
      <x v="32"/>
    </i>
    <i r="5">
      <x v="142"/>
      <x v="32"/>
    </i>
    <i r="5">
      <x v="144"/>
      <x v="32"/>
    </i>
    <i r="4">
      <x v="272"/>
      <x v="141"/>
      <x v="30"/>
    </i>
    <i r="5">
      <x v="142"/>
      <x v="30"/>
    </i>
    <i r="5">
      <x v="144"/>
      <x v="30"/>
    </i>
    <i r="4">
      <x v="273"/>
      <x v="141"/>
      <x v="25"/>
    </i>
    <i r="5">
      <x v="142"/>
      <x v="25"/>
    </i>
    <i r="5">
      <x v="144"/>
      <x v="25"/>
    </i>
    <i r="4">
      <x v="274"/>
      <x v="141"/>
      <x v="34"/>
    </i>
    <i r="5">
      <x v="142"/>
      <x v="34"/>
    </i>
    <i r="5">
      <x v="144"/>
      <x v="34"/>
    </i>
    <i r="4">
      <x v="275"/>
      <x v="141"/>
      <x v="24"/>
    </i>
    <i r="5">
      <x v="142"/>
      <x v="24"/>
    </i>
    <i r="5">
      <x v="144"/>
      <x v="24"/>
    </i>
    <i r="4">
      <x v="276"/>
      <x v="141"/>
      <x v="19"/>
    </i>
    <i r="5">
      <x v="142"/>
      <x v="19"/>
    </i>
    <i r="5">
      <x v="144"/>
      <x v="19"/>
    </i>
    <i r="4">
      <x v="277"/>
      <x v="141"/>
      <x v="23"/>
    </i>
    <i r="5">
      <x v="142"/>
      <x v="23"/>
    </i>
    <i r="5">
      <x v="144"/>
      <x v="23"/>
    </i>
    <i r="4">
      <x v="278"/>
      <x v="141"/>
      <x v="26"/>
    </i>
    <i r="5">
      <x v="142"/>
      <x v="26"/>
    </i>
    <i r="5">
      <x v="144"/>
      <x v="26"/>
    </i>
    <i r="4">
      <x v="279"/>
      <x v="141"/>
      <x v="31"/>
    </i>
    <i r="5">
      <x v="142"/>
      <x v="31"/>
    </i>
    <i r="5">
      <x v="144"/>
      <x v="31"/>
    </i>
    <i>
      <x v="126"/>
      <x v="62"/>
      <x v="1"/>
      <x v="25"/>
      <x v="41"/>
      <x v="145"/>
      <x v="52"/>
    </i>
    <i>
      <x v="127"/>
      <x v="62"/>
      <x v="1"/>
      <x v="25"/>
      <x v="41"/>
      <x v="146"/>
      <x v="52"/>
    </i>
    <i>
      <x v="128"/>
      <x v="62"/>
      <x v="1"/>
      <x v="25"/>
      <x v="41"/>
      <x v="147"/>
      <x v="52"/>
    </i>
    <i>
      <x v="129"/>
      <x v="86"/>
      <x v="1"/>
      <x v="26"/>
      <x v="41"/>
      <x v="148"/>
      <x v="18"/>
    </i>
    <i r="5">
      <x v="149"/>
      <x v="18"/>
    </i>
    <i r="5">
      <x v="150"/>
      <x v="52"/>
    </i>
    <i r="5">
      <x v="151"/>
      <x v="52"/>
    </i>
    <i r="2">
      <x v="3"/>
      <x v="25"/>
      <x v="264"/>
      <x v="148"/>
      <x v="20"/>
    </i>
    <i r="4">
      <x v="266"/>
      <x v="148"/>
      <x v="21"/>
    </i>
    <i r="4">
      <x v="268"/>
      <x v="148"/>
      <x v="22"/>
    </i>
    <i r="4">
      <x v="276"/>
      <x v="148"/>
      <x v="19"/>
    </i>
    <i r="3">
      <x v="26"/>
      <x v="264"/>
      <x v="149"/>
      <x v="20"/>
    </i>
    <i r="4">
      <x v="266"/>
      <x v="149"/>
      <x v="21"/>
    </i>
    <i r="4">
      <x v="268"/>
      <x v="149"/>
      <x v="22"/>
    </i>
    <i r="4">
      <x v="276"/>
      <x v="149"/>
      <x v="19"/>
    </i>
    <i r="4">
      <x v="277"/>
      <x v="149"/>
      <x v="23"/>
    </i>
    <i>
      <x v="130"/>
      <x v="87"/>
      <x v="1"/>
      <x v="26"/>
      <x v="41"/>
      <x v="152"/>
      <x v="18"/>
    </i>
    <i r="2">
      <x v="3"/>
      <x v="25"/>
      <x v="264"/>
      <x v="152"/>
      <x v="20"/>
    </i>
    <i r="4">
      <x v="265"/>
      <x v="152"/>
      <x v="33"/>
    </i>
    <i r="4">
      <x v="266"/>
      <x v="152"/>
      <x v="21"/>
    </i>
    <i r="4">
      <x v="267"/>
      <x v="152"/>
      <x v="29"/>
    </i>
    <i r="4">
      <x v="268"/>
      <x v="152"/>
      <x v="22"/>
    </i>
    <i r="4">
      <x v="269"/>
      <x v="152"/>
      <x v="27"/>
    </i>
    <i r="4">
      <x v="270"/>
      <x v="152"/>
      <x v="28"/>
    </i>
    <i r="4">
      <x v="271"/>
      <x v="152"/>
      <x v="32"/>
    </i>
    <i r="4">
      <x v="272"/>
      <x v="152"/>
      <x v="30"/>
    </i>
    <i r="4">
      <x v="273"/>
      <x v="152"/>
      <x v="25"/>
    </i>
    <i r="4">
      <x v="274"/>
      <x v="152"/>
      <x v="34"/>
    </i>
    <i r="4">
      <x v="275"/>
      <x v="152"/>
      <x v="24"/>
    </i>
    <i r="4">
      <x v="276"/>
      <x v="152"/>
      <x v="19"/>
    </i>
    <i r="4">
      <x v="277"/>
      <x v="152"/>
      <x v="23"/>
    </i>
    <i r="4">
      <x v="278"/>
      <x v="152"/>
      <x v="26"/>
    </i>
    <i r="4">
      <x v="279"/>
      <x v="152"/>
      <x v="31"/>
    </i>
    <i>
      <x v="131"/>
      <x v="87"/>
      <x v="1"/>
      <x v="26"/>
      <x v="41"/>
      <x v="153"/>
      <x v="18"/>
    </i>
    <i r="2">
      <x v="3"/>
      <x v="25"/>
      <x v="264"/>
      <x v="153"/>
      <x v="20"/>
    </i>
    <i r="4">
      <x v="265"/>
      <x v="153"/>
      <x v="33"/>
    </i>
    <i r="4">
      <x v="266"/>
      <x v="153"/>
      <x v="21"/>
    </i>
    <i r="4">
      <x v="267"/>
      <x v="153"/>
      <x v="29"/>
    </i>
    <i r="4">
      <x v="268"/>
      <x v="153"/>
      <x v="22"/>
    </i>
    <i r="4">
      <x v="269"/>
      <x v="153"/>
      <x v="27"/>
    </i>
    <i r="4">
      <x v="270"/>
      <x v="153"/>
      <x v="28"/>
    </i>
    <i r="4">
      <x v="271"/>
      <x v="153"/>
      <x v="32"/>
    </i>
    <i r="4">
      <x v="272"/>
      <x v="153"/>
      <x v="30"/>
    </i>
    <i r="4">
      <x v="273"/>
      <x v="153"/>
      <x v="25"/>
    </i>
    <i r="4">
      <x v="274"/>
      <x v="153"/>
      <x v="34"/>
    </i>
    <i r="4">
      <x v="275"/>
      <x v="153"/>
      <x v="24"/>
    </i>
    <i r="4">
      <x v="276"/>
      <x v="153"/>
      <x v="19"/>
    </i>
    <i r="4">
      <x v="277"/>
      <x v="153"/>
      <x v="23"/>
    </i>
    <i r="4">
      <x v="278"/>
      <x v="153"/>
      <x v="26"/>
    </i>
    <i r="4">
      <x v="279"/>
      <x v="153"/>
      <x v="31"/>
    </i>
    <i>
      <x v="132"/>
      <x v="83"/>
      <x v="1"/>
      <x v="26"/>
      <x v="41"/>
      <x v="154"/>
      <x v="18"/>
    </i>
    <i>
      <x v="133"/>
      <x v="83"/>
      <x v="1"/>
      <x v="25"/>
      <x v="41"/>
      <x v="155"/>
      <x v="52"/>
    </i>
    <i>
      <x v="134"/>
      <x v="83"/>
      <x v="1"/>
      <x v="25"/>
      <x v="41"/>
      <x v="156"/>
      <x v="52"/>
    </i>
    <i>
      <x v="135"/>
      <x v="75"/>
      <x v="1"/>
      <x v="25"/>
      <x v="41"/>
      <x v="160"/>
      <x v="52"/>
    </i>
    <i>
      <x v="136"/>
      <x v="88"/>
      <x v="1"/>
      <x v="25"/>
      <x v="41"/>
      <x v="167"/>
      <x v="52"/>
    </i>
    <i r="3">
      <x v="26"/>
      <x v="41"/>
      <x v="164"/>
      <x v="18"/>
    </i>
    <i r="5">
      <x v="166"/>
      <x v="18"/>
    </i>
    <i r="5">
      <x v="168"/>
      <x v="18"/>
    </i>
    <i r="2">
      <x v="3"/>
      <x v="25"/>
      <x v="269"/>
      <x v="164"/>
      <x v="27"/>
    </i>
    <i r="4">
      <x v="271"/>
      <x v="164"/>
      <x v="32"/>
    </i>
    <i r="5">
      <x v="166"/>
      <x v="32"/>
    </i>
    <i r="4">
      <x v="275"/>
      <x v="164"/>
      <x v="24"/>
    </i>
    <i r="5">
      <x v="166"/>
      <x v="24"/>
    </i>
    <i r="5">
      <x v="168"/>
      <x v="24"/>
    </i>
    <i r="4">
      <x v="277"/>
      <x v="164"/>
      <x v="23"/>
    </i>
    <i r="5">
      <x v="166"/>
      <x v="23"/>
    </i>
    <i r="5">
      <x v="168"/>
      <x v="23"/>
    </i>
    <i r="4">
      <x v="278"/>
      <x v="164"/>
      <x v="26"/>
    </i>
    <i r="5">
      <x v="166"/>
      <x v="26"/>
    </i>
    <i r="5">
      <x v="168"/>
      <x v="26"/>
    </i>
    <i>
      <x v="137"/>
      <x v="89"/>
      <x v="1"/>
      <x v="26"/>
      <x v="41"/>
      <x v="165"/>
      <x v="18"/>
    </i>
    <i r="2">
      <x v="3"/>
      <x v="25"/>
      <x v="264"/>
      <x v="165"/>
      <x v="20"/>
    </i>
    <i r="4">
      <x v="265"/>
      <x v="165"/>
      <x v="33"/>
    </i>
    <i r="4">
      <x v="266"/>
      <x v="165"/>
      <x v="21"/>
    </i>
    <i r="4">
      <x v="267"/>
      <x v="165"/>
      <x v="29"/>
    </i>
    <i r="4">
      <x v="268"/>
      <x v="165"/>
      <x v="22"/>
    </i>
    <i r="4">
      <x v="269"/>
      <x v="165"/>
      <x v="27"/>
    </i>
    <i r="4">
      <x v="270"/>
      <x v="165"/>
      <x v="28"/>
    </i>
    <i r="4">
      <x v="271"/>
      <x v="165"/>
      <x v="32"/>
    </i>
    <i r="4">
      <x v="272"/>
      <x v="165"/>
      <x v="30"/>
    </i>
    <i r="4">
      <x v="273"/>
      <x v="165"/>
      <x v="25"/>
    </i>
    <i r="4">
      <x v="274"/>
      <x v="165"/>
      <x v="34"/>
    </i>
    <i r="4">
      <x v="275"/>
      <x v="165"/>
      <x v="24"/>
    </i>
    <i r="4">
      <x v="276"/>
      <x v="165"/>
      <x v="19"/>
    </i>
    <i r="4">
      <x v="277"/>
      <x v="165"/>
      <x v="23"/>
    </i>
    <i r="4">
      <x v="278"/>
      <x v="165"/>
      <x v="26"/>
    </i>
    <i r="4">
      <x v="279"/>
      <x v="165"/>
      <x v="31"/>
    </i>
    <i>
      <x v="138"/>
      <x v="90"/>
      <x v="1"/>
      <x v="26"/>
      <x v="41"/>
      <x v="169"/>
      <x v="18"/>
    </i>
    <i r="2">
      <x v="3"/>
      <x v="25"/>
      <x v="274"/>
      <x v="169"/>
      <x v="34"/>
    </i>
    <i r="4">
      <x v="277"/>
      <x v="169"/>
      <x v="23"/>
    </i>
    <i r="4">
      <x v="278"/>
      <x v="169"/>
      <x v="26"/>
    </i>
    <i r="4">
      <x v="279"/>
      <x v="169"/>
      <x v="31"/>
    </i>
    <i>
      <x v="139"/>
      <x v="60"/>
      <x v="1"/>
      <x v="26"/>
      <x v="41"/>
      <x v="170"/>
      <x v="18"/>
    </i>
    <i r="2">
      <x v="3"/>
      <x v="25"/>
      <x v="264"/>
      <x v="170"/>
      <x v="20"/>
    </i>
    <i r="4">
      <x v="265"/>
      <x v="170"/>
      <x v="33"/>
    </i>
    <i r="4">
      <x v="266"/>
      <x v="170"/>
      <x v="21"/>
    </i>
    <i r="4">
      <x v="267"/>
      <x v="170"/>
      <x v="29"/>
    </i>
    <i r="4">
      <x v="268"/>
      <x v="170"/>
      <x v="22"/>
    </i>
    <i r="4">
      <x v="269"/>
      <x v="170"/>
      <x v="27"/>
    </i>
    <i r="4">
      <x v="270"/>
      <x v="170"/>
      <x v="28"/>
    </i>
    <i r="4">
      <x v="271"/>
      <x v="170"/>
      <x v="32"/>
    </i>
    <i r="4">
      <x v="272"/>
      <x v="170"/>
      <x v="30"/>
    </i>
    <i r="4">
      <x v="273"/>
      <x v="170"/>
      <x v="25"/>
    </i>
    <i r="4">
      <x v="274"/>
      <x v="170"/>
      <x v="34"/>
    </i>
    <i r="4">
      <x v="275"/>
      <x v="170"/>
      <x v="24"/>
    </i>
    <i r="4">
      <x v="276"/>
      <x v="170"/>
      <x v="19"/>
    </i>
    <i r="4">
      <x v="277"/>
      <x v="170"/>
      <x v="23"/>
    </i>
    <i r="4">
      <x v="278"/>
      <x v="170"/>
      <x v="26"/>
    </i>
    <i r="4">
      <x v="279"/>
      <x v="170"/>
      <x v="31"/>
    </i>
    <i>
      <x v="140"/>
      <x v="91"/>
      <x v="1"/>
      <x v="26"/>
      <x v="41"/>
      <x v="171"/>
      <x v="18"/>
    </i>
    <i r="2">
      <x v="3"/>
      <x v="25"/>
      <x v="276"/>
      <x v="171"/>
      <x v="19"/>
    </i>
    <i r="4">
      <x v="277"/>
      <x v="171"/>
      <x v="23"/>
    </i>
    <i r="4">
      <x v="278"/>
      <x v="171"/>
      <x v="26"/>
    </i>
    <i>
      <x v="141"/>
      <x v="69"/>
      <x v="1"/>
      <x v="25"/>
      <x v="41"/>
      <x v="172"/>
      <x v="18"/>
    </i>
    <i r="2">
      <x v="3"/>
      <x v="25"/>
      <x v="264"/>
      <x v="172"/>
      <x v="20"/>
    </i>
    <i r="4">
      <x v="265"/>
      <x v="172"/>
      <x v="33"/>
    </i>
    <i r="4">
      <x v="266"/>
      <x v="172"/>
      <x v="21"/>
    </i>
    <i r="4">
      <x v="267"/>
      <x v="172"/>
      <x v="29"/>
    </i>
    <i r="4">
      <x v="268"/>
      <x v="172"/>
      <x v="22"/>
    </i>
    <i r="4">
      <x v="269"/>
      <x v="172"/>
      <x v="27"/>
    </i>
    <i r="4">
      <x v="270"/>
      <x v="172"/>
      <x v="28"/>
    </i>
    <i r="4">
      <x v="271"/>
      <x v="172"/>
      <x v="32"/>
    </i>
    <i r="4">
      <x v="272"/>
      <x v="172"/>
      <x v="30"/>
    </i>
    <i r="4">
      <x v="273"/>
      <x v="172"/>
      <x v="25"/>
    </i>
    <i r="4">
      <x v="274"/>
      <x v="172"/>
      <x v="34"/>
    </i>
    <i r="4">
      <x v="275"/>
      <x v="172"/>
      <x v="24"/>
    </i>
    <i r="4">
      <x v="277"/>
      <x v="172"/>
      <x v="23"/>
    </i>
    <i r="4">
      <x v="278"/>
      <x v="172"/>
      <x v="26"/>
    </i>
    <i r="4">
      <x v="279"/>
      <x v="172"/>
      <x v="31"/>
    </i>
    <i r="3">
      <x v="26"/>
      <x v="276"/>
      <x v="172"/>
      <x v="19"/>
    </i>
    <i>
      <x v="142"/>
      <x v="69"/>
      <x v="1"/>
      <x v="26"/>
      <x v="41"/>
      <x v="173"/>
      <x v="18"/>
    </i>
    <i r="2">
      <x v="3"/>
      <x v="25"/>
      <x v="264"/>
      <x v="173"/>
      <x v="20"/>
    </i>
    <i r="4">
      <x v="265"/>
      <x v="173"/>
      <x v="33"/>
    </i>
    <i r="4">
      <x v="266"/>
      <x v="173"/>
      <x v="21"/>
    </i>
    <i r="4">
      <x v="267"/>
      <x v="173"/>
      <x v="29"/>
    </i>
    <i r="4">
      <x v="268"/>
      <x v="173"/>
      <x v="22"/>
    </i>
    <i r="4">
      <x v="269"/>
      <x v="173"/>
      <x v="27"/>
    </i>
    <i r="4">
      <x v="270"/>
      <x v="173"/>
      <x v="28"/>
    </i>
    <i r="4">
      <x v="271"/>
      <x v="173"/>
      <x v="32"/>
    </i>
    <i r="4">
      <x v="272"/>
      <x v="173"/>
      <x v="30"/>
    </i>
    <i r="4">
      <x v="273"/>
      <x v="173"/>
      <x v="25"/>
    </i>
    <i r="4">
      <x v="274"/>
      <x v="173"/>
      <x v="34"/>
    </i>
    <i r="4">
      <x v="275"/>
      <x v="173"/>
      <x v="24"/>
    </i>
    <i r="4">
      <x v="276"/>
      <x v="173"/>
      <x v="19"/>
    </i>
    <i r="4">
      <x v="277"/>
      <x v="173"/>
      <x v="23"/>
    </i>
    <i r="4">
      <x v="278"/>
      <x v="173"/>
      <x v="26"/>
    </i>
    <i r="4">
      <x v="279"/>
      <x v="173"/>
      <x v="31"/>
    </i>
    <i>
      <x v="143"/>
      <x v="69"/>
      <x v="1"/>
      <x v="26"/>
      <x v="41"/>
      <x v="174"/>
      <x v="18"/>
    </i>
    <i r="2">
      <x v="3"/>
      <x v="25"/>
      <x v="264"/>
      <x v="174"/>
      <x v="20"/>
    </i>
    <i r="4">
      <x v="265"/>
      <x v="174"/>
      <x v="33"/>
    </i>
    <i r="4">
      <x v="266"/>
      <x v="174"/>
      <x v="21"/>
    </i>
    <i r="4">
      <x v="267"/>
      <x v="174"/>
      <x v="29"/>
    </i>
    <i r="4">
      <x v="268"/>
      <x v="174"/>
      <x v="22"/>
    </i>
    <i r="4">
      <x v="269"/>
      <x v="174"/>
      <x v="27"/>
    </i>
    <i r="4">
      <x v="270"/>
      <x v="174"/>
      <x v="28"/>
    </i>
    <i r="4">
      <x v="271"/>
      <x v="174"/>
      <x v="32"/>
    </i>
    <i r="4">
      <x v="272"/>
      <x v="174"/>
      <x v="30"/>
    </i>
    <i r="4">
      <x v="273"/>
      <x v="174"/>
      <x v="25"/>
    </i>
    <i r="4">
      <x v="274"/>
      <x v="174"/>
      <x v="34"/>
    </i>
    <i r="4">
      <x v="275"/>
      <x v="174"/>
      <x v="24"/>
    </i>
    <i r="4">
      <x v="276"/>
      <x v="174"/>
      <x v="19"/>
    </i>
    <i r="4">
      <x v="277"/>
      <x v="174"/>
      <x v="23"/>
    </i>
    <i r="4">
      <x v="278"/>
      <x v="174"/>
      <x v="26"/>
    </i>
    <i r="4">
      <x v="279"/>
      <x v="174"/>
      <x v="31"/>
    </i>
    <i>
      <x v="144"/>
      <x v="54"/>
      <x v="1"/>
      <x v="4"/>
      <x v="41"/>
      <x v="175"/>
      <x v="35"/>
    </i>
    <i r="2">
      <x v="3"/>
      <x v="7"/>
      <x v="264"/>
      <x v="175"/>
      <x v="37"/>
    </i>
    <i r="4">
      <x v="265"/>
      <x v="175"/>
      <x v="50"/>
    </i>
    <i r="4">
      <x v="266"/>
      <x v="175"/>
      <x v="38"/>
    </i>
    <i r="4">
      <x v="267"/>
      <x v="175"/>
      <x v="46"/>
    </i>
    <i r="4">
      <x v="268"/>
      <x v="175"/>
      <x v="39"/>
    </i>
    <i r="4">
      <x v="269"/>
      <x v="175"/>
      <x v="44"/>
    </i>
    <i r="4">
      <x v="270"/>
      <x v="175"/>
      <x v="45"/>
    </i>
    <i r="4">
      <x v="271"/>
      <x v="175"/>
      <x v="49"/>
    </i>
    <i r="4">
      <x v="272"/>
      <x v="175"/>
      <x v="47"/>
    </i>
    <i r="4">
      <x v="273"/>
      <x v="175"/>
      <x v="42"/>
    </i>
    <i r="4">
      <x v="274"/>
      <x v="175"/>
      <x v="51"/>
    </i>
    <i r="4">
      <x v="275"/>
      <x v="175"/>
      <x v="41"/>
    </i>
    <i r="4">
      <x v="276"/>
      <x v="175"/>
      <x v="36"/>
    </i>
    <i r="4">
      <x v="277"/>
      <x v="175"/>
      <x v="40"/>
    </i>
    <i r="4">
      <x v="278"/>
      <x v="175"/>
      <x v="43"/>
    </i>
    <i r="4">
      <x v="279"/>
      <x v="175"/>
      <x v="48"/>
    </i>
    <i>
      <x v="145"/>
      <x v="54"/>
      <x v="1"/>
      <x v="4"/>
      <x v="41"/>
      <x v="176"/>
      <x v="35"/>
    </i>
    <i r="2">
      <x v="3"/>
      <x v="7"/>
      <x v="264"/>
      <x v="176"/>
      <x v="37"/>
    </i>
    <i r="4">
      <x v="265"/>
      <x v="176"/>
      <x v="50"/>
    </i>
    <i r="4">
      <x v="266"/>
      <x v="176"/>
      <x v="38"/>
    </i>
    <i r="4">
      <x v="267"/>
      <x v="176"/>
      <x v="46"/>
    </i>
    <i r="4">
      <x v="268"/>
      <x v="176"/>
      <x v="39"/>
    </i>
    <i r="4">
      <x v="269"/>
      <x v="176"/>
      <x v="44"/>
    </i>
    <i r="4">
      <x v="270"/>
      <x v="176"/>
      <x v="45"/>
    </i>
    <i r="4">
      <x v="271"/>
      <x v="176"/>
      <x v="49"/>
    </i>
    <i r="4">
      <x v="272"/>
      <x v="176"/>
      <x v="47"/>
    </i>
    <i r="4">
      <x v="273"/>
      <x v="176"/>
      <x v="42"/>
    </i>
    <i r="4">
      <x v="274"/>
      <x v="176"/>
      <x v="51"/>
    </i>
    <i r="4">
      <x v="275"/>
      <x v="176"/>
      <x v="41"/>
    </i>
    <i r="4">
      <x v="276"/>
      <x v="176"/>
      <x v="36"/>
    </i>
    <i r="4">
      <x v="277"/>
      <x v="176"/>
      <x v="40"/>
    </i>
    <i r="4">
      <x v="278"/>
      <x v="176"/>
      <x v="43"/>
    </i>
    <i r="4">
      <x v="279"/>
      <x v="176"/>
      <x v="48"/>
    </i>
    <i>
      <x v="146"/>
      <x v="54"/>
      <x v="1"/>
      <x v="4"/>
      <x v="41"/>
      <x v="177"/>
      <x v="18"/>
    </i>
    <i r="2">
      <x v="3"/>
      <x v="7"/>
      <x v="264"/>
      <x v="177"/>
      <x v="20"/>
    </i>
    <i r="4">
      <x v="265"/>
      <x v="177"/>
      <x v="33"/>
    </i>
    <i r="4">
      <x v="266"/>
      <x v="177"/>
      <x v="21"/>
    </i>
    <i r="4">
      <x v="267"/>
      <x v="177"/>
      <x v="29"/>
    </i>
    <i r="4">
      <x v="268"/>
      <x v="177"/>
      <x v="22"/>
    </i>
    <i r="4">
      <x v="269"/>
      <x v="177"/>
      <x v="27"/>
    </i>
    <i r="4">
      <x v="270"/>
      <x v="177"/>
      <x v="28"/>
    </i>
    <i r="4">
      <x v="271"/>
      <x v="177"/>
      <x v="32"/>
    </i>
    <i r="4">
      <x v="272"/>
      <x v="177"/>
      <x v="30"/>
    </i>
    <i r="4">
      <x v="273"/>
      <x v="177"/>
      <x v="25"/>
    </i>
    <i r="4">
      <x v="274"/>
      <x v="177"/>
      <x v="34"/>
    </i>
    <i r="4">
      <x v="275"/>
      <x v="177"/>
      <x v="24"/>
    </i>
    <i r="4">
      <x v="276"/>
      <x v="177"/>
      <x v="19"/>
    </i>
    <i r="4">
      <x v="277"/>
      <x v="177"/>
      <x v="23"/>
    </i>
    <i r="4">
      <x v="278"/>
      <x v="177"/>
      <x v="26"/>
    </i>
    <i r="4">
      <x v="279"/>
      <x v="177"/>
      <x v="31"/>
    </i>
    <i>
      <x v="147"/>
      <x v="92"/>
      <x v="1"/>
      <x v="4"/>
      <x v="41"/>
      <x v="178"/>
      <x v="35"/>
    </i>
    <i r="5">
      <x v="179"/>
      <x v="18"/>
    </i>
    <i r="2">
      <x v="3"/>
      <x v="7"/>
      <x v="264"/>
      <x v="178"/>
      <x v="37"/>
    </i>
    <i r="5">
      <x v="179"/>
      <x v="20"/>
    </i>
    <i r="4">
      <x v="265"/>
      <x v="178"/>
      <x v="50"/>
    </i>
    <i r="5">
      <x v="179"/>
      <x v="33"/>
    </i>
    <i r="4">
      <x v="266"/>
      <x v="178"/>
      <x v="38"/>
    </i>
    <i r="5">
      <x v="179"/>
      <x v="21"/>
    </i>
    <i r="4">
      <x v="267"/>
      <x v="178"/>
      <x v="46"/>
    </i>
    <i r="5">
      <x v="179"/>
      <x v="29"/>
    </i>
    <i r="4">
      <x v="268"/>
      <x v="178"/>
      <x v="39"/>
    </i>
    <i r="5">
      <x v="179"/>
      <x v="22"/>
    </i>
    <i r="4">
      <x v="269"/>
      <x v="178"/>
      <x v="44"/>
    </i>
    <i r="5">
      <x v="179"/>
      <x v="27"/>
    </i>
    <i r="4">
      <x v="270"/>
      <x v="178"/>
      <x v="45"/>
    </i>
    <i r="5">
      <x v="179"/>
      <x v="28"/>
    </i>
    <i r="4">
      <x v="271"/>
      <x v="178"/>
      <x v="49"/>
    </i>
    <i r="5">
      <x v="179"/>
      <x v="32"/>
    </i>
    <i r="4">
      <x v="272"/>
      <x v="178"/>
      <x v="47"/>
    </i>
    <i r="5">
      <x v="179"/>
      <x v="30"/>
    </i>
    <i r="4">
      <x v="273"/>
      <x v="178"/>
      <x v="42"/>
    </i>
    <i r="5">
      <x v="179"/>
      <x v="25"/>
    </i>
    <i r="4">
      <x v="274"/>
      <x v="178"/>
      <x v="51"/>
    </i>
    <i r="5">
      <x v="179"/>
      <x v="34"/>
    </i>
    <i r="4">
      <x v="275"/>
      <x v="178"/>
      <x v="41"/>
    </i>
    <i r="5">
      <x v="179"/>
      <x v="24"/>
    </i>
    <i r="4">
      <x v="276"/>
      <x v="178"/>
      <x v="36"/>
    </i>
    <i r="5">
      <x v="179"/>
      <x v="19"/>
    </i>
    <i r="4">
      <x v="277"/>
      <x v="178"/>
      <x v="40"/>
    </i>
    <i r="5">
      <x v="179"/>
      <x v="23"/>
    </i>
    <i r="4">
      <x v="278"/>
      <x v="178"/>
      <x v="43"/>
    </i>
    <i r="5">
      <x v="179"/>
      <x v="26"/>
    </i>
    <i r="4">
      <x v="279"/>
      <x v="178"/>
      <x v="48"/>
    </i>
    <i r="5">
      <x v="179"/>
      <x v="31"/>
    </i>
    <i>
      <x v="148"/>
      <x v="92"/>
      <x v="1"/>
      <x v="4"/>
      <x v="41"/>
      <x v="180"/>
      <x v="35"/>
    </i>
    <i r="2">
      <x v="3"/>
      <x v="7"/>
      <x v="264"/>
      <x v="180"/>
      <x v="37"/>
    </i>
    <i r="4">
      <x v="265"/>
      <x v="180"/>
      <x v="50"/>
    </i>
    <i r="4">
      <x v="266"/>
      <x v="180"/>
      <x v="38"/>
    </i>
    <i r="4">
      <x v="267"/>
      <x v="180"/>
      <x v="46"/>
    </i>
    <i r="4">
      <x v="268"/>
      <x v="180"/>
      <x v="39"/>
    </i>
    <i r="4">
      <x v="269"/>
      <x v="180"/>
      <x v="44"/>
    </i>
    <i r="4">
      <x v="270"/>
      <x v="180"/>
      <x v="45"/>
    </i>
    <i r="4">
      <x v="271"/>
      <x v="180"/>
      <x v="49"/>
    </i>
    <i r="4">
      <x v="272"/>
      <x v="180"/>
      <x v="47"/>
    </i>
    <i r="4">
      <x v="273"/>
      <x v="180"/>
      <x v="42"/>
    </i>
    <i r="4">
      <x v="274"/>
      <x v="180"/>
      <x v="51"/>
    </i>
    <i r="4">
      <x v="275"/>
      <x v="180"/>
      <x v="41"/>
    </i>
    <i r="4">
      <x v="276"/>
      <x v="180"/>
      <x v="36"/>
    </i>
    <i r="4">
      <x v="277"/>
      <x v="180"/>
      <x v="40"/>
    </i>
    <i r="4">
      <x v="278"/>
      <x v="180"/>
      <x v="43"/>
    </i>
    <i r="4">
      <x v="279"/>
      <x v="180"/>
      <x v="48"/>
    </i>
    <i>
      <x v="149"/>
      <x v="93"/>
      <x v="1"/>
      <x v="7"/>
      <x v="41"/>
      <x v="181"/>
      <x v="52"/>
    </i>
    <i r="5">
      <x v="182"/>
      <x v="52"/>
    </i>
    <i>
      <x v="150"/>
      <x v="76"/>
      <x v="1"/>
      <x v="4"/>
      <x v="41"/>
      <x v="183"/>
      <x v="35"/>
    </i>
    <i r="2">
      <x v="3"/>
      <x v="7"/>
      <x v="264"/>
      <x v="183"/>
      <x v="37"/>
    </i>
    <i r="4">
      <x v="265"/>
      <x v="183"/>
      <x v="50"/>
    </i>
    <i r="4">
      <x v="266"/>
      <x v="183"/>
      <x v="38"/>
    </i>
    <i r="4">
      <x v="267"/>
      <x v="183"/>
      <x v="46"/>
    </i>
    <i r="4">
      <x v="268"/>
      <x v="183"/>
      <x v="39"/>
    </i>
    <i r="4">
      <x v="269"/>
      <x v="183"/>
      <x v="44"/>
    </i>
    <i r="4">
      <x v="270"/>
      <x v="183"/>
      <x v="45"/>
    </i>
    <i r="4">
      <x v="271"/>
      <x v="183"/>
      <x v="49"/>
    </i>
    <i r="4">
      <x v="272"/>
      <x v="183"/>
      <x v="47"/>
    </i>
    <i r="4">
      <x v="273"/>
      <x v="183"/>
      <x v="42"/>
    </i>
    <i r="4">
      <x v="274"/>
      <x v="183"/>
      <x v="51"/>
    </i>
    <i r="4">
      <x v="275"/>
      <x v="183"/>
      <x v="41"/>
    </i>
    <i r="4">
      <x v="276"/>
      <x v="183"/>
      <x v="36"/>
    </i>
    <i r="4">
      <x v="277"/>
      <x v="183"/>
      <x v="40"/>
    </i>
    <i r="4">
      <x v="278"/>
      <x v="183"/>
      <x v="43"/>
    </i>
    <i r="4">
      <x v="279"/>
      <x v="183"/>
      <x v="48"/>
    </i>
    <i>
      <x v="151"/>
      <x v="76"/>
      <x v="1"/>
      <x v="4"/>
      <x v="41"/>
      <x v="184"/>
      <x v="35"/>
    </i>
    <i r="2">
      <x v="3"/>
      <x v="7"/>
      <x v="264"/>
      <x v="184"/>
      <x v="37"/>
    </i>
    <i r="4">
      <x v="265"/>
      <x v="184"/>
      <x v="50"/>
    </i>
    <i r="4">
      <x v="266"/>
      <x v="184"/>
      <x v="38"/>
    </i>
    <i r="4">
      <x v="267"/>
      <x v="184"/>
      <x v="46"/>
    </i>
    <i r="4">
      <x v="268"/>
      <x v="184"/>
      <x v="39"/>
    </i>
    <i r="4">
      <x v="269"/>
      <x v="184"/>
      <x v="44"/>
    </i>
    <i r="4">
      <x v="270"/>
      <x v="184"/>
      <x v="45"/>
    </i>
    <i r="4">
      <x v="271"/>
      <x v="184"/>
      <x v="49"/>
    </i>
    <i r="4">
      <x v="272"/>
      <x v="184"/>
      <x v="47"/>
    </i>
    <i r="4">
      <x v="273"/>
      <x v="184"/>
      <x v="42"/>
    </i>
    <i r="4">
      <x v="274"/>
      <x v="184"/>
      <x v="51"/>
    </i>
    <i r="4">
      <x v="275"/>
      <x v="184"/>
      <x v="41"/>
    </i>
    <i r="4">
      <x v="276"/>
      <x v="184"/>
      <x v="36"/>
    </i>
    <i r="4">
      <x v="277"/>
      <x v="184"/>
      <x v="40"/>
    </i>
    <i r="4">
      <x v="278"/>
      <x v="184"/>
      <x v="43"/>
    </i>
    <i r="4">
      <x v="279"/>
      <x v="184"/>
      <x v="4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C6230A0F-918C-4547-A74B-CF379BA64D3B}" sourceName="sector">
  <pivotTables>
    <pivotTable tabId="10" name="TablaDinámica7"/>
  </pivotTables>
  <data>
    <tabular pivotCacheId="577902720">
      <items count="17">
        <i x="5" s="1"/>
        <i x="7" s="1"/>
        <i x="10" s="1"/>
        <i x="1" s="1"/>
        <i x="11" s="1"/>
        <i x="3" s="1"/>
        <i x="12" s="1"/>
        <i x="2" s="1"/>
        <i x="6" s="1"/>
        <i x="4" s="1"/>
        <i x="8" s="1"/>
        <i x="0" s="1"/>
        <i x="14" s="1"/>
        <i x="13" s="1"/>
        <i x="15" s="1"/>
        <i x="9" s="1"/>
        <i x="1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iltro_Integrado" xr10:uid="{F4F13A1A-9086-411A-BB6E-0584B8BC9B99}" sourceName="Filtro Integrado">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uestra" xr10:uid="{6D4738C2-6399-4133-976A-25258C43D7D1}" sourceName="Muestra">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poralidad" xr10:uid="{A2188DD6-C83F-4D3F-9886-1C8E4B56665D}" sourceName="temporalidad">
  <extLst>
    <x:ext xmlns:x15="http://schemas.microsoft.com/office/spreadsheetml/2010/11/main" uri="{2F2917AC-EB37-4324-AD4E-5DD8C200BD13}">
      <x15:tableSlicerCache tableId="1" column="12"/>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42CD1738-9910-4A28-B7E3-E718F5036730}" sourceName="sector">
  <extLst>
    <x:ext xmlns:x15="http://schemas.microsoft.com/office/spreadsheetml/2010/11/main" uri="{2F2917AC-EB37-4324-AD4E-5DD8C200BD13}">
      <x15:tableSlicerCache tableId="1" column="4"/>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isualizacion" xr10:uid="{DAA3D3C4-693D-4277-8BF2-0D53A817B68F}" sourceName="visualizacion">
  <extLst>
    <x:ext xmlns:x15="http://schemas.microsoft.com/office/spreadsheetml/2010/11/main" uri="{2F2917AC-EB37-4324-AD4E-5DD8C200BD13}">
      <x15:tableSlicerCache tableId="1" column="1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1" xr10:uid="{E5D197E2-7AC7-43BE-B16C-61367C45FE13}" sourceName="tema">
  <pivotTables>
    <pivotTable tabId="10" name="TablaDinámica7"/>
  </pivotTables>
  <data>
    <tabular pivotCacheId="577902720">
      <items count="157">
        <i x="47" s="1"/>
        <i x="8" s="1"/>
        <i x="18" s="1"/>
        <i x="84" s="1"/>
        <i x="71" s="1"/>
        <i x="21" s="1"/>
        <i x="68" s="1"/>
        <i x="52" s="1"/>
        <i x="65" s="1"/>
        <i x="22" s="1"/>
        <i x="90" s="1"/>
        <i x="66" s="1"/>
        <i x="73" s="1"/>
        <i x="53" s="1"/>
        <i x="30" s="1"/>
        <i x="13" s="1"/>
        <i x="78" s="1"/>
        <i x="40" s="1"/>
        <i x="95" s="1"/>
        <i x="96" s="1"/>
        <i x="94" s="1"/>
        <i x="49" s="1"/>
        <i x="48" s="1"/>
        <i x="33" s="1"/>
        <i x="50" s="1"/>
        <i x="45" s="1"/>
        <i x="54" s="1"/>
        <i x="56" s="1"/>
        <i x="20" s="1"/>
        <i x="61" s="1"/>
        <i x="58" s="1"/>
        <i x="6" s="1"/>
        <i x="7" s="1"/>
        <i x="67" s="1"/>
        <i x="38" s="1"/>
        <i x="57" s="1"/>
        <i x="77" s="1"/>
        <i x="81" s="1"/>
        <i x="23" s="1"/>
        <i x="85" s="1"/>
        <i x="10" s="1"/>
        <i x="5" s="1"/>
        <i x="41" s="1"/>
        <i x="37" s="1"/>
        <i x="26" s="1"/>
        <i x="4" s="1"/>
        <i x="3" s="1"/>
        <i x="0" s="1"/>
        <i x="99" s="1"/>
        <i x="17" s="1"/>
        <i x="63" s="1"/>
        <i x="62" s="1"/>
        <i x="27" s="1"/>
        <i x="31" s="1"/>
        <i x="39" s="1"/>
        <i x="89" s="1"/>
        <i x="69" s="1"/>
        <i x="32" s="1"/>
        <i x="80" s="1"/>
        <i x="83" s="1"/>
        <i x="82" s="1"/>
        <i x="28" s="1"/>
        <i x="16" s="1"/>
        <i x="70" s="1"/>
        <i x="75" s="1"/>
        <i x="29" s="1"/>
        <i x="98" s="1"/>
        <i x="97" s="1"/>
        <i x="88" s="1"/>
        <i x="11" s="1"/>
        <i x="60" s="1"/>
        <i x="100" s="1"/>
        <i x="15" s="1"/>
        <i x="86" s="1"/>
        <i x="79" s="1"/>
        <i x="24" s="1"/>
        <i x="46" s="1"/>
        <i x="25" s="1"/>
        <i x="101" s="1"/>
        <i x="64" s="1"/>
        <i x="1" s="1"/>
        <i x="44" s="1"/>
        <i x="9" s="1"/>
        <i x="72" s="1"/>
        <i x="36" s="1"/>
        <i x="42" s="1"/>
        <i x="91" s="1"/>
        <i x="93" s="1"/>
        <i x="87" s="1"/>
        <i x="76" s="1"/>
        <i x="74" s="1"/>
        <i x="12" s="1"/>
        <i x="55" s="1"/>
        <i x="34" s="1"/>
        <i x="35" s="1"/>
        <i x="43" s="1"/>
        <i x="59" s="1"/>
        <i x="19" s="1"/>
        <i x="51" s="1"/>
        <i x="2" s="1"/>
        <i x="14" s="1"/>
        <i x="92" s="1"/>
        <i x="102" s="1"/>
        <i x="117" s="1" nd="1"/>
        <i x="138" s="1" nd="1"/>
        <i x="104" s="1" nd="1"/>
        <i x="153" s="1" nd="1"/>
        <i x="118" s="1" nd="1"/>
        <i x="108" s="1" nd="1"/>
        <i x="126" s="1" nd="1"/>
        <i x="132" s="1" nd="1"/>
        <i x="114" s="1" nd="1"/>
        <i x="141" s="1" nd="1"/>
        <i x="139" s="1" nd="1"/>
        <i x="125" s="1" nd="1"/>
        <i x="144" s="1" nd="1"/>
        <i x="154" s="1" nd="1"/>
        <i x="111" s="1" nd="1"/>
        <i x="142" s="1" nd="1"/>
        <i x="135" s="1" nd="1"/>
        <i x="137" s="1" nd="1"/>
        <i x="130" s="1" nd="1"/>
        <i x="116" s="1" nd="1"/>
        <i x="133" s="1" nd="1"/>
        <i x="146" s="1" nd="1"/>
        <i x="115" s="1" nd="1"/>
        <i x="143" s="1" nd="1"/>
        <i x="109" s="1" nd="1"/>
        <i x="119" s="1" nd="1"/>
        <i x="149" s="1" nd="1"/>
        <i x="103" s="1" nd="1"/>
        <i x="136" s="1" nd="1"/>
        <i x="120" s="1" nd="1"/>
        <i x="107" s="1" nd="1"/>
        <i x="106" s="1" nd="1"/>
        <i x="140" s="1" nd="1"/>
        <i x="131" s="1" nd="1"/>
        <i x="145" s="1" nd="1"/>
        <i x="110" s="1" nd="1"/>
        <i x="150" s="1" nd="1"/>
        <i x="155" s="1" nd="1"/>
        <i x="129" s="1" nd="1"/>
        <i x="123" s="1" nd="1"/>
        <i x="156" s="1" nd="1"/>
        <i x="148" s="1" nd="1"/>
        <i x="121" s="1" nd="1"/>
        <i x="122" s="1" nd="1"/>
        <i x="147" s="1" nd="1"/>
        <i x="113" s="1" nd="1"/>
        <i x="124" s="1" nd="1"/>
        <i x="134" s="1" nd="1"/>
        <i x="151" s="1" nd="1"/>
        <i x="105" s="1" nd="1"/>
        <i x="152" s="1" nd="1"/>
        <i x="112" s="1" nd="1"/>
        <i x="127" s="1" nd="1"/>
        <i x="12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1" xr10:uid="{490F0355-88C7-47FB-8B4E-23EA849CA4B2}" sourceName="contenido">
  <pivotTables>
    <pivotTable tabId="10" name="TablaDinámica7"/>
  </pivotTables>
  <data>
    <tabular pivotCacheId="577902720">
      <items count="95">
        <i x="5" s="1"/>
        <i x="37" s="1"/>
        <i x="35" s="1"/>
        <i x="27" s="1"/>
        <i x="4" s="1"/>
        <i x="8" s="1"/>
        <i x="9" s="1"/>
        <i x="19" s="1"/>
        <i x="24" s="1"/>
        <i x="11" s="1"/>
        <i x="12" s="1"/>
        <i x="26" s="1"/>
        <i x="28" s="1"/>
        <i x="6" s="1"/>
        <i x="7" s="1"/>
        <i x="3" s="1"/>
        <i x="25" s="1"/>
        <i x="16" s="1"/>
        <i x="0" s="1"/>
        <i x="29" s="1"/>
        <i x="21" s="1"/>
        <i x="34" s="1"/>
        <i x="1" s="1"/>
        <i x="32" s="1"/>
        <i x="13" s="1"/>
        <i x="17" s="1"/>
        <i x="38" s="1"/>
        <i x="36" s="1"/>
        <i x="14" s="1"/>
        <i x="39" s="1"/>
        <i x="18" s="1"/>
        <i x="30" s="1"/>
        <i x="10" s="1"/>
        <i x="31" s="1"/>
        <i x="20" s="1"/>
        <i x="22" s="1"/>
        <i x="33" s="1"/>
        <i x="2" s="1"/>
        <i x="23" s="1"/>
        <i x="15" s="1"/>
        <i x="40" s="1"/>
        <i x="82" s="1" nd="1"/>
        <i x="91" s="1" nd="1"/>
        <i x="88" s="1" nd="1"/>
        <i x="68" s="1" nd="1"/>
        <i x="55" s="1" nd="1"/>
        <i x="58" s="1" nd="1"/>
        <i x="86" s="1" nd="1"/>
        <i x="76" s="1" nd="1"/>
        <i x="51" s="1" nd="1"/>
        <i x="73" s="1" nd="1"/>
        <i x="61" s="1" nd="1"/>
        <i x="71" s="1" nd="1"/>
        <i x="70" s="1" nd="1"/>
        <i x="67" s="1" nd="1"/>
        <i x="53" s="1" nd="1"/>
        <i x="41" s="1" nd="1"/>
        <i x="50" s="1" nd="1"/>
        <i x="60" s="1" nd="1"/>
        <i x="85" s="1" nd="1"/>
        <i x="45" s="1" nd="1"/>
        <i x="52" s="1" nd="1"/>
        <i x="48" s="1" nd="1"/>
        <i x="59" s="1" nd="1"/>
        <i x="80" s="1" nd="1"/>
        <i x="57" s="1" nd="1"/>
        <i x="75" s="1" nd="1"/>
        <i x="87" s="1" nd="1"/>
        <i x="43" s="1" nd="1"/>
        <i x="62" s="1" nd="1"/>
        <i x="63" s="1" nd="1"/>
        <i x="44" s="1" nd="1"/>
        <i x="65" s="1" nd="1"/>
        <i x="42" s="1" nd="1"/>
        <i x="93" s="1" nd="1"/>
        <i x="81" s="1" nd="1"/>
        <i x="56" s="1" nd="1"/>
        <i x="90" s="1" nd="1"/>
        <i x="89" s="1" nd="1"/>
        <i x="47" s="1" nd="1"/>
        <i x="66" s="1" nd="1"/>
        <i x="92" s="1" nd="1"/>
        <i x="72" s="1" nd="1"/>
        <i x="79" s="1" nd="1"/>
        <i x="64" s="1" nd="1"/>
        <i x="83" s="1" nd="1"/>
        <i x="46" s="1" nd="1"/>
        <i x="49" s="1" nd="1"/>
        <i x="94" s="1" nd="1"/>
        <i x="78" s="1" nd="1"/>
        <i x="69" s="1" nd="1"/>
        <i x="84" s="1" nd="1"/>
        <i x="74" s="1" nd="1"/>
        <i x="54" s="1" nd="1"/>
        <i x="7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1" xr10:uid="{DFFF3EEA-53C3-49A1-B0D4-9A676E7AE077}" sourceName="escala">
  <pivotTables>
    <pivotTable tabId="10" name="TablaDinámica7"/>
  </pivotTables>
  <data>
    <tabular pivotCacheId="577902720">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rritorio1" xr10:uid="{5E91E34B-B860-4D56-80FE-B79C99058CEF}" sourceName="territorio">
  <pivotTables>
    <pivotTable tabId="10" name="TablaDinámica7"/>
  </pivotTables>
  <data>
    <tabular pivotCacheId="577902720">
      <items count="18">
        <i x="0" s="1"/>
        <i x="2" s="1"/>
        <i x="15" s="1"/>
        <i x="3" s="1"/>
        <i x="11" s="1"/>
        <i x="4" s="1"/>
        <i x="9" s="1"/>
        <i x="10" s="1"/>
        <i x="14" s="1"/>
        <i x="12" s="1"/>
        <i x="7" s="1"/>
        <i x="16" s="1"/>
        <i x="6" s="1"/>
        <i x="1" s="1"/>
        <i x="5" s="1"/>
        <i x="8" s="1"/>
        <i x="13"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C1317F89-E6C4-4B2C-A0F0-76612842406E}" sourceName="tema">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142742DA-E046-4880-9200-6317F33EA905}" sourceName="contenido">
  <extLst>
    <x:ext xmlns:x15="http://schemas.microsoft.com/office/spreadsheetml/2010/11/main" uri="{2F2917AC-EB37-4324-AD4E-5DD8C200BD13}">
      <x15:tableSlicerCache tableId="1" column="7"/>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 xr10:uid="{E246E760-8647-4B4A-A285-C7DC64582B5D}" sourceName="escala">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rritorio" xr10:uid="{E6AB4ECB-40B9-475D-967A-FC59730B985F}" sourceName="territorio">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C1CFA7A2-0ED5-4544-B48B-FB84913746E9}" cache="SegmentaciónDeDatos_sector1" caption="sector" startItem="6" columnCount="2" style="SlicerStyleDark4" rowHeight="241300"/>
  <slicer name="tema 1" xr10:uid="{DFAEA40F-DD73-4440-B52A-41ECEDAB8489}" cache="SegmentaciónDeDatos_tema1" caption="tema" columnCount="3" style="SlicerStyleDark6" rowHeight="241300"/>
  <slicer name="contenido 1" xr10:uid="{CED21F93-0D36-4BD4-8717-8AD116EADB2A}" cache="SegmentaciónDeDatos_contenido1" caption="contenido" columnCount="2" style="SlicerStyleDark3" rowHeight="241300"/>
  <slicer name="escala 1" xr10:uid="{C4C5CBDC-3822-42D0-B92C-81DB6AC004D6}" cache="SegmentaciónDeDatos_escala1" caption="escala" style="SlicerStyleDark5" rowHeight="241300"/>
  <slicer name="territorio 1" xr10:uid="{A4B59AC4-BCFB-4AE8-B55A-FED0D4B0C7C9}" cache="SegmentaciónDeDatos_territorio1" caption="territorio"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a" xr10:uid="{99CFEB31-C7BB-4FF4-8185-D1EBFFBA3956}" cache="SegmentaciónDeDatos_tema" caption="tema" style="SlicerStyleDark4" rowHeight="234950"/>
  <slicer name="contenido" xr10:uid="{DBC81D61-C3B3-4BF8-B2CB-836AC9042B95}" cache="SegmentaciónDeDatos_contenido" caption="contenido" columnCount="2" style="SlicerStyleDark2" rowHeight="234950"/>
  <slicer name="escala" xr10:uid="{09B6986D-B155-4FA1-80EC-78DE7C69CAC2}" cache="SegmentaciónDeDatos_escala" caption="escala" style="SlicerStyleDark2" rowHeight="234950"/>
  <slicer name="territorio" xr10:uid="{F9140827-EC92-409C-AAE4-F8FFCFB266E1}" cache="SegmentaciónDeDatos_territorio" caption="territorio" columnCount="2" style="SlicerStyleDark2" rowHeight="234950"/>
  <slicer name="Filtro Integrado" xr10:uid="{81A1F6C1-BBAA-4C81-8C38-CBC6D827DDDE}" cache="SegmentaciónDeDatos_Filtro_Integrado" caption="Filtro Integrado" columnCount="2" style="SlicerStyleDark5" rowHeight="234950"/>
  <slicer name="Muestra" xr10:uid="{DD928895-A466-415C-A0B2-3F7A20478584}" cache="SegmentaciónDeDatos_Muestra" caption="Muestra" style="SlicerStyleDark6" rowHeight="234950"/>
  <slicer name="temporalidad" xr10:uid="{008C4BAC-DF79-47E2-93F4-95905B8711F5}" cache="SegmentaciónDeDatos_temporalidad" caption="temporalidad" style="SlicerStyleDark2" rowHeight="234950"/>
  <slicer name="sector" xr10:uid="{DDC5333A-0421-4952-9D91-195229B4AF71}" cache="SegmentaciónDeDatos_sector" caption="sector" style="SlicerStyleDark1" rowHeight="241300"/>
  <slicer name="visualizacion" xr10:uid="{671132B6-E01A-4EB2-A5B1-0515F48FE7F2}" cache="SegmentaciónDeDatos_visualizacion" caption="visualizaci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C5EF3-2C70-4D90-B5E1-D528231814D8}" name="Agencia" displayName="Agencia" ref="A11:AA2048" totalsRowShown="0" headerRowDxfId="33">
  <autoFilter ref="A11:AA2048" xr:uid="{97B5C476-3F9F-4197-BB18-4AEB96A9D3D7}"/>
  <tableColumns count="27">
    <tableColumn id="1" xr3:uid="{3D431003-FED6-4551-A9A5-C20BDD800BF5}" name="id" dataDxfId="32"/>
    <tableColumn id="2" xr3:uid="{69EBE614-7415-4758-84D1-70A8BB5AD412}" name="idcoleccion" dataDxfId="31"/>
    <tableColumn id="3" xr3:uid="{00067312-1731-4475-9E54-D88AF9927A57}" name="coleccion" dataDxfId="30"/>
    <tableColumn id="4" xr3:uid="{2D5FA4E0-31EC-4F24-BE99-607D3D813655}" name="sector" dataDxfId="29"/>
    <tableColumn id="5" xr3:uid="{DAA5ABD7-005E-4726-9D0E-964ABFE6C124}" name="Filtro URL" dataDxfId="28"/>
    <tableColumn id="6" xr3:uid="{3EE64D21-CEE3-4F56-9BDB-E86405583F0C}" name="tema" dataDxfId="27"/>
    <tableColumn id="7" xr3:uid="{B18CD19C-51DC-46C2-871C-6BE101FACFEB}" name="contenido" dataDxfId="26"/>
    <tableColumn id="8" xr3:uid="{23D5C1AF-BDE4-4009-AB41-531D544CB052}" name="escala" dataDxfId="25"/>
    <tableColumn id="9" xr3:uid="{DA849DF4-1E4F-43E4-98F9-07CF968F8068}" name="territorio" dataDxfId="24"/>
    <tableColumn id="10" xr3:uid="{4CCEC976-24A6-484D-A3BB-EBEF50210414}" name="Filtro Integrado" dataDxfId="23"/>
    <tableColumn id="11" xr3:uid="{633CF37C-9475-458F-93BD-3E6C829259FE}" name="Muestra" dataDxfId="22"/>
    <tableColumn id="12" xr3:uid="{C9AD2F62-6D59-441D-86A3-D657475A5048}" name="temporalidad" dataDxfId="21"/>
    <tableColumn id="13" xr3:uid="{9C90CF92-D46C-45CC-A515-665BEFD59FD0}" name="unidad_medida" dataDxfId="20"/>
    <tableColumn id="14" xr3:uid="{A535AC73-D5CA-471D-961D-840916F57BFB}" name="fuente" dataDxfId="19"/>
    <tableColumn id="15" xr3:uid="{CE821007-F8A2-469B-90CB-A97B34EA0E0D}" name="titulo" dataDxfId="18">
      <calculatedColumnFormula>+"Resumen Indicadores de Desarrollo Personal y Social por Establecimiento para la "&amp;I12</calculatedColumnFormula>
    </tableColumn>
    <tableColumn id="16" xr3:uid="{ACF065FA-53DF-42A2-AB76-F382DF0507E9}" name="descripcion_larga" dataDxfId="17"/>
    <tableColumn id="17" xr3:uid="{B3241B34-1F28-488E-962D-702279B7FC29}" name="visualizacion" dataDxfId="16">
      <calculatedColumnFormula>+Q11</calculatedColumnFormula>
    </tableColumn>
    <tableColumn id="18" xr3:uid="{36E18FB8-B090-4513-8878-F34530369C6B}" name="tag" dataDxfId="15"/>
    <tableColumn id="19" xr3:uid="{34EAE68C-0B4D-4751-9FD6-9A20417E489D}" name="url" dataDxfId="14" dataCellStyle="Hipervínculo"/>
    <tableColumn id="20" xr3:uid="{B53287BC-B50E-4BCC-BB6C-DE60B70DC3AF}" name="Suscripcion" dataDxfId="13"/>
    <tableColumn id="21" xr3:uid="{6658E20A-9C4E-46D0-829C-CD31924B1376}" name="Color" dataDxfId="12">
      <calculatedColumnFormula>+U11</calculatedColumnFormula>
    </tableColumn>
    <tableColumn id="22" xr3:uid="{21DBE239-F721-4DEC-9312-D9E30988F7A8}" name="id_grafico" dataDxfId="11">
      <calculatedColumnFormula>+Agencia[[#This Row],[idcoleccion]]&amp;"-"&amp;Agencia[[#This Row],[id]]</calculatedColumnFormula>
    </tableColumn>
    <tableColumn id="23" xr3:uid="{51BFA0BA-A1A2-4D6D-9A13-0B82C3B88C4E}" name="idterritorio" dataDxfId="10">
      <calculatedColumnFormula>+VLOOKUP(Agencia[[#This Row],[Filtro URL]],Estructura!$X$4:$Y$500,2,0)</calculatedColumnFormula>
    </tableColumn>
    <tableColumn id="24" xr3:uid="{223E2DD3-A78B-40CF-935F-BB4012C57299}" name="id_tema" dataDxfId="9">
      <calculatedColumnFormula>+VLOOKUP(Agencia[[#This Row],[tema]],Estructura!$A$4:$C$500,3,0)</calculatedColumnFormula>
    </tableColumn>
    <tableColumn id="25" xr3:uid="{75573ACC-C413-46F3-8534-404C576ECE29}" name="id_contenido" dataDxfId="8">
      <calculatedColumnFormula>+VLOOKUP(Agencia[[#This Row],[contenido]],Estructura!$E$4:$G$500,3,0)</calculatedColumnFormula>
    </tableColumn>
    <tableColumn id="26" xr3:uid="{B4A1188A-2AFB-4C47-96CE-A097012C4C72}" name="idfiltro" dataDxfId="7">
      <calculatedColumnFormula>+VLOOKUP(Agencia[[#This Row],[Filtro Integrado]],Estructura!$I$4:$K$500,3,0)</calculatedColumnFormula>
    </tableColumn>
    <tableColumn id="27" xr3:uid="{B70F5663-983D-46E9-A27F-F0856A7F11DA}" name="id_muestra" dataDxfId="6">
      <calculatedColumnFormula>+VLOOKUP(Agencia[[#This Row],[Muestra]],Estructura!$M$4:$O$500,3,0)</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analytics.zoho.com/open-view/2395394000008496666" TargetMode="External"/><Relationship Id="rId299" Type="http://schemas.openxmlformats.org/officeDocument/2006/relationships/hyperlink" Target="https://analytics.zoho.com/open-view/2395394000008478071?ZOHO_CRITERIA=%22Localiza%20CL%22.%22Codreg%22%20%3D%202" TargetMode="External"/><Relationship Id="rId21" Type="http://schemas.openxmlformats.org/officeDocument/2006/relationships/hyperlink" Target="https://app.powerbi.com/view?r=eyJrIjoiNzYyYzA1MTQtYjU4ZC00YmIyLTgxMTMtODQ1MzE1OTdkZTU5IiwidCI6IjhmYmFhNWJmLTJlY2MtNGRjOC1iNTZiLThmOTJlMzA3ZjA3NiIsImMiOjR9" TargetMode="External"/><Relationship Id="rId63" Type="http://schemas.openxmlformats.org/officeDocument/2006/relationships/hyperlink" Target="https://analytics.zoho.com/open-view/2395394000007774595" TargetMode="External"/><Relationship Id="rId159" Type="http://schemas.openxmlformats.org/officeDocument/2006/relationships/hyperlink" Target="https://analytics.zoho.com/open-view/2395394000008503085?ZOHO_CRITERIA=%22Pueblos%20Ind%C3%ADgenas%20Edad%22.%22id_Region%22%20%3D%205" TargetMode="External"/><Relationship Id="rId324" Type="http://schemas.openxmlformats.org/officeDocument/2006/relationships/hyperlink" Target="https://analytics.zoho.com/open-view/2395394000008478183?ZOHO_CRITERIA=%22Localiza%20CL%22.%22Codreg%22%20%3D%209" TargetMode="External"/><Relationship Id="rId170" Type="http://schemas.openxmlformats.org/officeDocument/2006/relationships/hyperlink" Target="https://analytics.zoho.com/open-view/2395394000008503085?ZOHO_CRITERIA=%22Pueblos%20Ind%C3%ADgenas%20Edad%22.%22id_Region%22%20%3D%2016" TargetMode="External"/><Relationship Id="rId226" Type="http://schemas.openxmlformats.org/officeDocument/2006/relationships/hyperlink" Target="https://analytics.zoho.com/open-view/2395394000008199603" TargetMode="External"/><Relationship Id="rId268" Type="http://schemas.openxmlformats.org/officeDocument/2006/relationships/hyperlink" Target="https://analytics.zoho.com/open-view/2395394000008388979" TargetMode="External"/><Relationship Id="rId32" Type="http://schemas.openxmlformats.org/officeDocument/2006/relationships/hyperlink" Target="https://app.powerbi.com/view?r=eyJrIjoiNWIxNzRiOTctMWUyMi00YjkzLWJmMDUtN2UzODhlZWFlZjA1IiwidCI6IjhmYmFhNWJmLTJlY2MtNGRjOC1iNTZiLThmOTJlMzA3ZjA3NiIsImMiOjR9" TargetMode="External"/><Relationship Id="rId74" Type="http://schemas.openxmlformats.org/officeDocument/2006/relationships/hyperlink" Target="https://analytics.zoho.com/open-view/2395394000008034444" TargetMode="External"/><Relationship Id="rId128" Type="http://schemas.openxmlformats.org/officeDocument/2006/relationships/hyperlink" Target="https://analytics.zoho.com/open-view/2395394000008435500?ZOHO_CRITERIA=%22Conexi%C3%B3n_Internet_fija%22.%22Codreg%22%3D9" TargetMode="External"/><Relationship Id="rId335" Type="http://schemas.openxmlformats.org/officeDocument/2006/relationships/hyperlink" Target="https://analytics.zoho.com/open-view/2395394000008193416" TargetMode="External"/><Relationship Id="rId5" Type="http://schemas.openxmlformats.org/officeDocument/2006/relationships/hyperlink" Target="https://app.powerbi.com/view?r=eyJrIjoiMTBhYjVkMTQtNDA3MC00ZmI5LTljZDMtM2Q3MTgyNGM3ZWYxIiwidCI6IjhmYmFhNWJmLTJlY2MtNGRjOC1iNTZiLThmOTJlMzA3ZjA3NiIsImMiOjR9" TargetMode="External"/><Relationship Id="rId181" Type="http://schemas.openxmlformats.org/officeDocument/2006/relationships/hyperlink" Target="https://analytics.zoho.com/open-view/2395394000008503207?ZOHO_CRITERIA=%22Pueblos%20Ind%C3%ADgenas%20Edad%22.%22id_Region%22%20%3D%209" TargetMode="External"/><Relationship Id="rId237" Type="http://schemas.openxmlformats.org/officeDocument/2006/relationships/hyperlink" Target="https://analytics.zoho.com/open-view/2395394000008296020?ZOHO_CRITERIA=%22Consolidado_Estadisticas_Regionales_New%22.%22C%C3%B3digo%20regi%C3%B3n%22%3D4" TargetMode="External"/><Relationship Id="rId279" Type="http://schemas.openxmlformats.org/officeDocument/2006/relationships/hyperlink" Target="https://analytics.zoho.com/open-view/2395394000008434853?ZOHO_CRITERIA=%22Televisi%C3%B3n_Pago%22.%22CodRegi%C3%B3n%22%3D9" TargetMode="External"/><Relationship Id="rId43" Type="http://schemas.openxmlformats.org/officeDocument/2006/relationships/hyperlink" Target="https://app.powerbi.com/view?r=eyJrIjoiZWFlZTlkOTMtZjVmMS00ZTNjLWIwYjctMWQ3YTI0ZDIwMjlmIiwidCI6IjhmYmFhNWJmLTJlY2MtNGRjOC1iNTZiLThmOTJlMzA3ZjA3NiIsImMiOjR9" TargetMode="External"/><Relationship Id="rId139" Type="http://schemas.openxmlformats.org/officeDocument/2006/relationships/hyperlink" Target="https://analytics.zoho.com/open-view/2395394000008511008?ZOHO_CRITERIA=%22Televisi%C3%B3n_Pago%22.%22CodRegi%C3%B3n%22%3D2" TargetMode="External"/><Relationship Id="rId290" Type="http://schemas.openxmlformats.org/officeDocument/2006/relationships/hyperlink" Target="https://analytics.zoho.com/open-view/2395394000008094339?ZOHO_CRITERIA=%22Consolidado_Estadisticas_Regionales_New%22.%22C%C3%B3digo%20regi%C3%B3n%22%20%3D%204" TargetMode="External"/><Relationship Id="rId304" Type="http://schemas.openxmlformats.org/officeDocument/2006/relationships/hyperlink" Target="https://analytics.zoho.com/open-view/2395394000008478071?ZOHO_CRITERIA=%22Localiza%20CL%22.%22Codreg%22%20%3D%207" TargetMode="External"/><Relationship Id="rId346" Type="http://schemas.openxmlformats.org/officeDocument/2006/relationships/hyperlink" Target="https://analytics.zoho.com/open-view/2395394000008516065?ZOHO_CRITERIA=%222.1%22.%22C%C3%B3digo%20Regi%C3%B3n%22%20%3D%2013" TargetMode="External"/><Relationship Id="rId85" Type="http://schemas.openxmlformats.org/officeDocument/2006/relationships/hyperlink" Target="https://app.powerbi.com/view?r=eyJrIjoiZjg1YTE4MDktYzFmNi00YjcyLWFlMWMtM2I5ZjhlOGZiNjM1IiwidCI6IjhmYmFhNWJmLTJlY2MtNGRjOC1iNTZiLThmOTJlMzA3ZjA3NiIsImMiOjR9" TargetMode="External"/><Relationship Id="rId150" Type="http://schemas.openxmlformats.org/officeDocument/2006/relationships/hyperlink" Target="https://analytics.zoho.com/open-view/2395394000008511008?ZOHO_CRITERIA=%22Televisi%C3%B3n_Pago%22.%22CodRegi%C3%B3n%22%3D13" TargetMode="External"/><Relationship Id="rId192" Type="http://schemas.openxmlformats.org/officeDocument/2006/relationships/hyperlink" Target="https://analytics.zoho.com/open-view/2395394000008503341?ZOHO_CRITERIA=%22Pueblos%20Ind%C3%ADgenas%20Edad%22.%22id_Region%22%20%3D%202" TargetMode="External"/><Relationship Id="rId206" Type="http://schemas.openxmlformats.org/officeDocument/2006/relationships/hyperlink" Target="https://analytics.zoho.com/open-view/2395394000008503341?ZOHO_CRITERIA=%22Pueblos%20Ind%C3%ADgenas%20Edad%22.%22id_Region%22%20%3D%2016" TargetMode="External"/><Relationship Id="rId248" Type="http://schemas.openxmlformats.org/officeDocument/2006/relationships/hyperlink" Target="https://analytics.zoho.com/open-view/2395394000008296020?ZOHO_CRITERIA=%22Consolidado_Estadisticas_Regionales_New%22.%22C%C3%B3digo%20regi%C3%B3n%22%3D15" TargetMode="External"/><Relationship Id="rId12" Type="http://schemas.openxmlformats.org/officeDocument/2006/relationships/hyperlink" Target="https://app.powerbi.com/view?r=eyJrIjoiYzhiZDQ3N2YtMmRkOS00NzAyLThjNjItNzk0NWM1NWE1YjE0IiwidCI6IjhmYmFhNWJmLTJlY2MtNGRjOC1iNTZiLThmOTJlMzA3ZjA3NiIsImMiOjR9" TargetMode="External"/><Relationship Id="rId108" Type="http://schemas.openxmlformats.org/officeDocument/2006/relationships/hyperlink" Target="https://analytics.zoho.com/open-view/2395394000008410521?ZOHO_CRITERIA=%22Pa%C3%ADs_Todo%22.%22id_TipoProducto%22%3D7" TargetMode="External"/><Relationship Id="rId315" Type="http://schemas.openxmlformats.org/officeDocument/2006/relationships/hyperlink" Target="https://analytics.zoho.com/open-view/2395394000008478183?ZOHO_CRITERIA=%22Localiza%20CL%22.%22Codreg%22%20%3D%201" TargetMode="External"/><Relationship Id="rId357" Type="http://schemas.microsoft.com/office/2007/relationships/slicer" Target="../slicers/slicer2.xml"/><Relationship Id="rId54" Type="http://schemas.openxmlformats.org/officeDocument/2006/relationships/hyperlink" Target="https://analytics.zoho.com/open-view/2395394000007777467" TargetMode="External"/><Relationship Id="rId96" Type="http://schemas.openxmlformats.org/officeDocument/2006/relationships/hyperlink" Target="https://analytics.zoho.com/open-view/2395394000008214286" TargetMode="External"/><Relationship Id="rId161" Type="http://schemas.openxmlformats.org/officeDocument/2006/relationships/hyperlink" Target="https://analytics.zoho.com/open-view/2395394000008503085?ZOHO_CRITERIA=%22Pueblos%20Ind%C3%ADgenas%20Edad%22.%22id_Region%22%20%3D%207" TargetMode="External"/><Relationship Id="rId217" Type="http://schemas.openxmlformats.org/officeDocument/2006/relationships/hyperlink" Target="https://analytics.zoho.com/open-view/2395394000008503554?ZOHO_CRITERIA=%22Pueblos%20Ind%C3%ADgenas%20Sexo%22.%22id_Region%22%20%3D%2010" TargetMode="External"/><Relationship Id="rId259" Type="http://schemas.openxmlformats.org/officeDocument/2006/relationships/hyperlink" Target="https://analytics.zoho.com/open-view/2395394000008299691?ZOHO_CRITERIA=%22Consolidado_Estadisticas_Regionales_New%22.%22C%C3%B3digo%20regi%C3%B3n%22%3D10" TargetMode="External"/><Relationship Id="rId23" Type="http://schemas.openxmlformats.org/officeDocument/2006/relationships/hyperlink" Target="https://app.powerbi.com/view?r=eyJrIjoiZmVjZWI5N2YtMjVhMS00Zjc1LWFmN2YtZDM4NDA1ODMzMGNiIiwidCI6IjhmYmFhNWJmLTJlY2MtNGRjOC1iNTZiLThmOTJlMzA3ZjA3NiIsImMiOjR9" TargetMode="External"/><Relationship Id="rId119" Type="http://schemas.openxmlformats.org/officeDocument/2006/relationships/hyperlink" Target="https://analytics.zoho.com/open-view/2395394000008516451?ZOHO_CRITERIA=%222.1%22.%22C%C3%B3digo%20Regi%C3%B3n%22%20%3D%201" TargetMode="External"/><Relationship Id="rId270" Type="http://schemas.openxmlformats.org/officeDocument/2006/relationships/hyperlink" Target="https://analytics.zoho.com/open-view/2395394000008435350" TargetMode="External"/><Relationship Id="rId326" Type="http://schemas.openxmlformats.org/officeDocument/2006/relationships/hyperlink" Target="https://analytics.zoho.com/open-view/2395394000008478183?ZOHO_CRITERIA=%22Localiza%20CL%22.%22Codreg%22%20%3D%2011" TargetMode="External"/><Relationship Id="rId65" Type="http://schemas.openxmlformats.org/officeDocument/2006/relationships/hyperlink" Target="https://public.flourish.studio/visualisation/6688416/" TargetMode="External"/><Relationship Id="rId130" Type="http://schemas.openxmlformats.org/officeDocument/2006/relationships/hyperlink" Target="https://analytics.zoho.com/open-view/2395394000008435500?ZOHO_CRITERIA=%22Conexi%C3%B3n_Internet_fija%22.%22Codreg%22%3D11" TargetMode="External"/><Relationship Id="rId172" Type="http://schemas.openxmlformats.org/officeDocument/2006/relationships/hyperlink" Target="https://analytics.zoho.com/open-view/2395394000008436580" TargetMode="External"/><Relationship Id="rId228" Type="http://schemas.openxmlformats.org/officeDocument/2006/relationships/hyperlink" Target="https://analytics.zoho.com/open-view/2395394000008086091" TargetMode="External"/><Relationship Id="rId281" Type="http://schemas.openxmlformats.org/officeDocument/2006/relationships/hyperlink" Target="https://analytics.zoho.com/open-view/2395394000008434853?ZOHO_CRITERIA=%22Televisi%C3%B3n_Pago%22.%22CodRegi%C3%B3n%22%3D11" TargetMode="External"/><Relationship Id="rId337" Type="http://schemas.openxmlformats.org/officeDocument/2006/relationships/hyperlink" Target="https://analytics.zoho.com/open-view/2395394000008056877" TargetMode="External"/><Relationship Id="rId34" Type="http://schemas.openxmlformats.org/officeDocument/2006/relationships/hyperlink" Target="https://analytics.zoho.com/open-view/2395394000007801200" TargetMode="External"/><Relationship Id="rId76" Type="http://schemas.openxmlformats.org/officeDocument/2006/relationships/hyperlink" Target="https://analytics.zoho.com/open-view/2395394000008461061" TargetMode="External"/><Relationship Id="rId141" Type="http://schemas.openxmlformats.org/officeDocument/2006/relationships/hyperlink" Target="https://analytics.zoho.com/open-view/2395394000008511008?ZOHO_CRITERIA=%22Televisi%C3%B3n_Pago%22.%22CodRegi%C3%B3n%22%3D4" TargetMode="External"/><Relationship Id="rId7" Type="http://schemas.openxmlformats.org/officeDocument/2006/relationships/hyperlink" Target="https://analytics.zoho.com/open-view/2395394000008206985" TargetMode="External"/><Relationship Id="rId183" Type="http://schemas.openxmlformats.org/officeDocument/2006/relationships/hyperlink" Target="https://analytics.zoho.com/open-view/2395394000008503207?ZOHO_CRITERIA=%22Pueblos%20Ind%C3%ADgenas%20Edad%22.%22id_Region%22%20%3D%2011" TargetMode="External"/><Relationship Id="rId239" Type="http://schemas.openxmlformats.org/officeDocument/2006/relationships/hyperlink" Target="https://analytics.zoho.com/open-view/2395394000008296020?ZOHO_CRITERIA=%22Consolidado_Estadisticas_Regionales_New%22.%22C%C3%B3digo%20regi%C3%B3n%22%3D6" TargetMode="External"/><Relationship Id="rId250" Type="http://schemas.openxmlformats.org/officeDocument/2006/relationships/hyperlink" Target="https://analytics.zoho.com/open-view/2395394000008299317" TargetMode="External"/><Relationship Id="rId292" Type="http://schemas.openxmlformats.org/officeDocument/2006/relationships/hyperlink" Target="https://analytics.zoho.com/open-view/2395394000008760041?ZOHO_CRITERIA=%22Consolidado_Estadisticas_Regionales_New%22.%22C%C3%B3digo%20regi%C3%B3n%22%20%3D%202" TargetMode="External"/><Relationship Id="rId306" Type="http://schemas.openxmlformats.org/officeDocument/2006/relationships/hyperlink" Target="https://analytics.zoho.com/open-view/2395394000008478071?ZOHO_CRITERIA=%22Localiza%20CL%22.%22Codreg%22%20%3D%209" TargetMode="External"/><Relationship Id="rId45" Type="http://schemas.openxmlformats.org/officeDocument/2006/relationships/hyperlink" Target="https://analytics.zoho.com/open-view/2395394000007837327" TargetMode="External"/><Relationship Id="rId87" Type="http://schemas.openxmlformats.org/officeDocument/2006/relationships/hyperlink" Target="https://app.powerbi.com/view?r=eyJrIjoiYmM4NDNmZGQtNDEzMS00MzRkLWJiZWUtYjljYWE2MGU5NzgwIiwidCI6IjhmYmFhNWJmLTJlY2MtNGRjOC1iNTZiLThmOTJlMzA3ZjA3NiIsImMiOjR9" TargetMode="External"/><Relationship Id="rId110" Type="http://schemas.openxmlformats.org/officeDocument/2006/relationships/hyperlink" Target="https://analytics.zoho.com/open-view/2395394000008189214" TargetMode="External"/><Relationship Id="rId348" Type="http://schemas.openxmlformats.org/officeDocument/2006/relationships/hyperlink" Target="https://analytics.zoho.com/open-view/2395394000008516593?ZOHO_CRITERIA=%222.1%22.%22C%C3%B3digo%20Regi%C3%B3n%22%20%3D%201" TargetMode="External"/><Relationship Id="rId152" Type="http://schemas.openxmlformats.org/officeDocument/2006/relationships/hyperlink" Target="https://analytics.zoho.com/open-view/2395394000008511008?ZOHO_CRITERIA=%22Televisi%C3%B3n_Pago%22.%22CodRegi%C3%B3n%22%3D15" TargetMode="External"/><Relationship Id="rId194" Type="http://schemas.openxmlformats.org/officeDocument/2006/relationships/hyperlink" Target="https://analytics.zoho.com/open-view/2395394000008503341?ZOHO_CRITERIA=%22Pueblos%20Ind%C3%ADgenas%20Edad%22.%22id_Region%22%20%3D%204" TargetMode="External"/><Relationship Id="rId208" Type="http://schemas.openxmlformats.org/officeDocument/2006/relationships/hyperlink" Target="https://analytics.zoho.com/open-view/2395394000008503554?ZOHO_CRITERIA=%22Pueblos%20Ind%C3%ADgenas%20Sexo%22.%22id_Region%22%20%3D%202" TargetMode="External"/><Relationship Id="rId261" Type="http://schemas.openxmlformats.org/officeDocument/2006/relationships/hyperlink" Target="https://analytics.zoho.com/open-view/2395394000008299691?ZOHO_CRITERIA=%22Consolidado_Estadisticas_Regionales_New%22.%22C%C3%B3digo%20regi%C3%B3n%22%3D12" TargetMode="External"/><Relationship Id="rId14" Type="http://schemas.openxmlformats.org/officeDocument/2006/relationships/hyperlink" Target="https://analytics.zoho.com/open-view/2395394000007777048" TargetMode="External"/><Relationship Id="rId56" Type="http://schemas.openxmlformats.org/officeDocument/2006/relationships/hyperlink" Target="https://app.powerbi.com/view?r=eyJrIjoiZjJhYWRiZjAtNTRkMC00ZmZhLWFmZmUtMjljYjc5MzRiMTZjIiwidCI6IjhmYmFhNWJmLTJlY2MtNGRjOC1iNTZiLThmOTJlMzA3ZjA3NiIsImMiOjR9" TargetMode="External"/><Relationship Id="rId317" Type="http://schemas.openxmlformats.org/officeDocument/2006/relationships/hyperlink" Target="https://analytics.zoho.com/open-view/2395394000008478183?ZOHO_CRITERIA=%22Localiza%20CL%22.%22Codreg%22%20%3D%202" TargetMode="External"/><Relationship Id="rId98" Type="http://schemas.openxmlformats.org/officeDocument/2006/relationships/hyperlink" Target="https://analytics.zoho.com/open-view/2395394000008277863" TargetMode="External"/><Relationship Id="rId121" Type="http://schemas.openxmlformats.org/officeDocument/2006/relationships/hyperlink" Target="https://analytics.zoho.com/open-view/2395394000008516001?ZOHO_CRITERIA=%2227.10%22.%22Id_Regi%C3%B3n%22%20%3D%201" TargetMode="External"/><Relationship Id="rId163" Type="http://schemas.openxmlformats.org/officeDocument/2006/relationships/hyperlink" Target="https://analytics.zoho.com/open-view/2395394000008503085?ZOHO_CRITERIA=%22Pueblos%20Ind%C3%ADgenas%20Edad%22.%22id_Region%22%20%3D%209" TargetMode="External"/><Relationship Id="rId219" Type="http://schemas.openxmlformats.org/officeDocument/2006/relationships/hyperlink" Target="https://analytics.zoho.com/open-view/2395394000008503554?ZOHO_CRITERIA=%22Pueblos%20Ind%C3%ADgenas%20Sexo%22.%22id_Region%22%20%3D%2012" TargetMode="External"/><Relationship Id="rId230" Type="http://schemas.openxmlformats.org/officeDocument/2006/relationships/hyperlink" Target="https://analytics.zoho.com/open-view/2395394000008087059" TargetMode="External"/><Relationship Id="rId25" Type="http://schemas.openxmlformats.org/officeDocument/2006/relationships/hyperlink" Target="https://app.powerbi.com/view?r=eyJrIjoiMzlhNGFhN2QtNjRlZi00YjY1LTlmNzctMmRmZDZkNWUwNmIzIiwidCI6IjhmYmFhNWJmLTJlY2MtNGRjOC1iNTZiLThmOTJlMzA3ZjA3NiIsImMiOjR9" TargetMode="External"/><Relationship Id="rId46" Type="http://schemas.openxmlformats.org/officeDocument/2006/relationships/hyperlink" Target="https://analytics.zoho.com/open-view/2395394000007837090" TargetMode="External"/><Relationship Id="rId67" Type="http://schemas.openxmlformats.org/officeDocument/2006/relationships/hyperlink" Target="https://analytics.zoho.com/open-view/2395394000007946692" TargetMode="External"/><Relationship Id="rId272" Type="http://schemas.openxmlformats.org/officeDocument/2006/relationships/hyperlink" Target="https://analytics.zoho.com/open-view/2395394000008434853?ZOHO_CRITERIA=%22Televisi%C3%B3n_Pago%22.%22CodRegi%C3%B3n%22%3D2" TargetMode="External"/><Relationship Id="rId293" Type="http://schemas.openxmlformats.org/officeDocument/2006/relationships/hyperlink" Target="https://analytics.zoho.com/open-view/2395394000008760041?ZOHO_CRITERIA=%22Consolidado_Estadisticas_Regionales_New%22.%22C%C3%B3digo%20regi%C3%B3n%22%20%3D%203" TargetMode="External"/><Relationship Id="rId307" Type="http://schemas.openxmlformats.org/officeDocument/2006/relationships/hyperlink" Target="https://analytics.zoho.com/open-view/2395394000008478071?ZOHO_CRITERIA=%22Localiza%20CL%22.%22Codreg%22%20%3D%2010" TargetMode="External"/><Relationship Id="rId328" Type="http://schemas.openxmlformats.org/officeDocument/2006/relationships/hyperlink" Target="https://analytics.zoho.com/open-view/2395394000008478183?ZOHO_CRITERIA=%22Localiza%20CL%22.%22Codreg%22%20%3D%2013" TargetMode="External"/><Relationship Id="rId349" Type="http://schemas.openxmlformats.org/officeDocument/2006/relationships/hyperlink" Target="https://analytics.zoho.com/open-view/2395394000008378144" TargetMode="External"/><Relationship Id="rId88" Type="http://schemas.openxmlformats.org/officeDocument/2006/relationships/hyperlink" Target="https://app.powerbi.com/view?r=eyJrIjoiODUwZTBkYWItOTg4OC00NTY4LThmOGYtNmY1Yjg4ZTBiYThlIiwidCI6IjhmYmFhNWJmLTJlY2MtNGRjOC1iNTZiLThmOTJlMzA3ZjA3NiIsImMiOjR9" TargetMode="External"/><Relationship Id="rId111" Type="http://schemas.openxmlformats.org/officeDocument/2006/relationships/hyperlink" Target="https://analytics.zoho.com/open-view/2395394000008554040" TargetMode="External"/><Relationship Id="rId132" Type="http://schemas.openxmlformats.org/officeDocument/2006/relationships/hyperlink" Target="https://analytics.zoho.com/open-view/2395394000008435500?ZOHO_CRITERIA=%22Conexi%C3%B3n_Internet_fija%22.%22Codreg%22%3D13" TargetMode="External"/><Relationship Id="rId153" Type="http://schemas.openxmlformats.org/officeDocument/2006/relationships/hyperlink" Target="https://analytics.zoho.com/open-view/2395394000008511008?ZOHO_CRITERIA=%22Televisi%C3%B3n_Pago%22.%22CodRegi%C3%B3n%22%3D16" TargetMode="External"/><Relationship Id="rId174" Type="http://schemas.openxmlformats.org/officeDocument/2006/relationships/hyperlink" Target="https://analytics.zoho.com/open-view/2395394000008503207?ZOHO_CRITERIA=%22Pueblos%20Ind%C3%ADgenas%20Edad%22.%22id_Region%22%20%3D%202" TargetMode="External"/><Relationship Id="rId195" Type="http://schemas.openxmlformats.org/officeDocument/2006/relationships/hyperlink" Target="https://analytics.zoho.com/open-view/2395394000008503341?ZOHO_CRITERIA=%22Pueblos%20Ind%C3%ADgenas%20Edad%22.%22id_Region%22%20%3D%205" TargetMode="External"/><Relationship Id="rId209" Type="http://schemas.openxmlformats.org/officeDocument/2006/relationships/hyperlink" Target="https://analytics.zoho.com/open-view/2395394000008503554?ZOHO_CRITERIA=%22Pueblos%20Ind%C3%ADgenas%20Sexo%22.%22id_Region%22%20%3D%201" TargetMode="External"/><Relationship Id="rId220" Type="http://schemas.openxmlformats.org/officeDocument/2006/relationships/hyperlink" Target="https://analytics.zoho.com/open-view/2395394000008503554?ZOHO_CRITERIA=%22Pueblos%20Ind%C3%ADgenas%20Sexo%22.%22id_Region%22%20%3D%2013" TargetMode="External"/><Relationship Id="rId241" Type="http://schemas.openxmlformats.org/officeDocument/2006/relationships/hyperlink" Target="https://analytics.zoho.com/open-view/2395394000008296020?ZOHO_CRITERIA=%22Consolidado_Estadisticas_Regionales_New%22.%22C%C3%B3digo%20regi%C3%B3n%22%3D8" TargetMode="External"/><Relationship Id="rId15" Type="http://schemas.openxmlformats.org/officeDocument/2006/relationships/hyperlink" Target="https://analytics.zoho.com/open-view/2395394000007777075" TargetMode="External"/><Relationship Id="rId36" Type="http://schemas.openxmlformats.org/officeDocument/2006/relationships/hyperlink" Target="https://analytics.zoho.com/open-view/2395394000006789672" TargetMode="External"/><Relationship Id="rId57" Type="http://schemas.openxmlformats.org/officeDocument/2006/relationships/hyperlink" Target="https://analytics.zoho.com/open-view/2395394000008439156" TargetMode="External"/><Relationship Id="rId262" Type="http://schemas.openxmlformats.org/officeDocument/2006/relationships/hyperlink" Target="https://analytics.zoho.com/open-view/2395394000008299691?ZOHO_CRITERIA=%22Consolidado_Estadisticas_Regionales_New%22.%22C%C3%B3digo%20regi%C3%B3n%22%3D13" TargetMode="External"/><Relationship Id="rId283" Type="http://schemas.openxmlformats.org/officeDocument/2006/relationships/hyperlink" Target="https://analytics.zoho.com/open-view/2395394000008434853?ZOHO_CRITERIA=%22Televisi%C3%B3n_Pago%22.%22CodRegi%C3%B3n%22%3D13" TargetMode="External"/><Relationship Id="rId318" Type="http://schemas.openxmlformats.org/officeDocument/2006/relationships/hyperlink" Target="https://analytics.zoho.com/open-view/2395394000008478183?ZOHO_CRITERIA=%22Localiza%20CL%22.%22Codreg%22%20%3D%203" TargetMode="External"/><Relationship Id="rId339" Type="http://schemas.openxmlformats.org/officeDocument/2006/relationships/hyperlink" Target="https://analytics.zoho.com/open-view/2395394000008744153" TargetMode="External"/><Relationship Id="rId78" Type="http://schemas.openxmlformats.org/officeDocument/2006/relationships/hyperlink" Target="https://analytics.zoho.com/open-view/2395394000008049343" TargetMode="External"/><Relationship Id="rId99" Type="http://schemas.openxmlformats.org/officeDocument/2006/relationships/hyperlink" Target="https://analytics.zoho.com/open-view/2395394000008255577" TargetMode="External"/><Relationship Id="rId101" Type="http://schemas.openxmlformats.org/officeDocument/2006/relationships/hyperlink" Target="https://analytics.zoho.com/open-view/2395394000008257880" TargetMode="External"/><Relationship Id="rId122" Type="http://schemas.openxmlformats.org/officeDocument/2006/relationships/hyperlink" Target="https://analytics.zoho.com/open-view/2395394000008435500?ZOHO_CRITERIA=%22Conexi%C3%B3n_Internet_fija%22.%22Codreg%22%3D2" TargetMode="External"/><Relationship Id="rId143" Type="http://schemas.openxmlformats.org/officeDocument/2006/relationships/hyperlink" Target="https://analytics.zoho.com/open-view/2395394000008511008?ZOHO_CRITERIA=%22Televisi%C3%B3n_Pago%22.%22CodRegi%C3%B3n%22%3D6" TargetMode="External"/><Relationship Id="rId164" Type="http://schemas.openxmlformats.org/officeDocument/2006/relationships/hyperlink" Target="https://analytics.zoho.com/open-view/2395394000008503085?ZOHO_CRITERIA=%22Pueblos%20Ind%C3%ADgenas%20Edad%22.%22id_Region%22%20%3D%2010" TargetMode="External"/><Relationship Id="rId185" Type="http://schemas.openxmlformats.org/officeDocument/2006/relationships/hyperlink" Target="https://analytics.zoho.com/open-view/2395394000008503207?ZOHO_CRITERIA=%22Pueblos%20Ind%C3%ADgenas%20Edad%22.%22id_Region%22%20%3D%2013" TargetMode="External"/><Relationship Id="rId350" Type="http://schemas.openxmlformats.org/officeDocument/2006/relationships/hyperlink" Target="https://app.powerbi.com/view?r=eyJrIjoiYWFlYWExNTItZDc4YS00MmVlLThjYmQtZDE0Mjg4MDI4ZTZiIiwidCI6IjhmYmFhNWJmLTJlY2MtNGRjOC1iNTZiLThmOTJlMzA3ZjA3NiIsImMiOjR9" TargetMode="External"/><Relationship Id="rId9" Type="http://schemas.openxmlformats.org/officeDocument/2006/relationships/hyperlink" Target="https://analytics.zoho.com/open-view/2395394000008207372" TargetMode="External"/><Relationship Id="rId210" Type="http://schemas.openxmlformats.org/officeDocument/2006/relationships/hyperlink" Target="https://analytics.zoho.com/open-view/2395394000008503554?ZOHO_CRITERIA=%22Pueblos%20Ind%C3%ADgenas%20Sexo%22.%22id_Region%22%20%3D%203" TargetMode="External"/><Relationship Id="rId26" Type="http://schemas.openxmlformats.org/officeDocument/2006/relationships/hyperlink" Target="https://app.powerbi.com/view?r=eyJrIjoiZWNmYzYxNjQtMTQ1OC00MTkwLWFkYTUtYzUwZmM0NWVjN2U2IiwidCI6IjhmYmFhNWJmLTJlY2MtNGRjOC1iNTZiLThmOTJlMzA3ZjA3NiIsImMiOjR9" TargetMode="External"/><Relationship Id="rId231" Type="http://schemas.openxmlformats.org/officeDocument/2006/relationships/hyperlink" Target="https://analytics.zoho.com/open-view/2395394000008087414" TargetMode="External"/><Relationship Id="rId252" Type="http://schemas.openxmlformats.org/officeDocument/2006/relationships/hyperlink" Target="https://analytics.zoho.com/open-view/2395394000008299691?ZOHO_CRITERIA=%22Consolidado_Estadisticas_Regionales_New%22.%22C%C3%B3digo%20regi%C3%B3n%22%3D3" TargetMode="External"/><Relationship Id="rId273" Type="http://schemas.openxmlformats.org/officeDocument/2006/relationships/hyperlink" Target="https://analytics.zoho.com/open-view/2395394000008434853?ZOHO_CRITERIA=%22Televisi%C3%B3n_Pago%22.%22CodRegi%C3%B3n%22%3D3" TargetMode="External"/><Relationship Id="rId294" Type="http://schemas.openxmlformats.org/officeDocument/2006/relationships/hyperlink" Target="https://analytics.zoho.com/open-view/2395394000008760041?ZOHO_CRITERIA=%22Consolidado_Estadisticas_Regionales_New%22.%22C%C3%B3digo%20regi%C3%B3n%22%20%3D%204" TargetMode="External"/><Relationship Id="rId308" Type="http://schemas.openxmlformats.org/officeDocument/2006/relationships/hyperlink" Target="https://analytics.zoho.com/open-view/2395394000008478071?ZOHO_CRITERIA=%22Localiza%20CL%22.%22Codreg%22%20%3D%2011" TargetMode="External"/><Relationship Id="rId329" Type="http://schemas.openxmlformats.org/officeDocument/2006/relationships/hyperlink" Target="https://analytics.zoho.com/open-view/2395394000008478183?ZOHO_CRITERIA=%22Localiza%20CL%22.%22Codreg%22%20%3D%2014" TargetMode="External"/><Relationship Id="rId47" Type="http://schemas.openxmlformats.org/officeDocument/2006/relationships/hyperlink" Target="https://analytics.zoho.com/open-view/2395394000007891846" TargetMode="External"/><Relationship Id="rId68" Type="http://schemas.openxmlformats.org/officeDocument/2006/relationships/hyperlink" Target="https://analytics.zoho.com/open-view/2395394000007908748" TargetMode="External"/><Relationship Id="rId89" Type="http://schemas.openxmlformats.org/officeDocument/2006/relationships/hyperlink" Target="https://app.powerbi.com/view?r=eyJrIjoiNDJiYjBiMTgtMDI3MC00MTYzLWIyNjctOWY3YWI3MzQ5OTZmIiwidCI6IjhmYmFhNWJmLTJlY2MtNGRjOC1iNTZiLThmOTJlMzA3ZjA3NiIsImMiOjR9" TargetMode="External"/><Relationship Id="rId112" Type="http://schemas.openxmlformats.org/officeDocument/2006/relationships/hyperlink" Target="https://analytics.zoho.com/open-view/2395394000008189846" TargetMode="External"/><Relationship Id="rId133" Type="http://schemas.openxmlformats.org/officeDocument/2006/relationships/hyperlink" Target="https://analytics.zoho.com/open-view/2395394000008435500?ZOHO_CRITERIA=%22Conexi%C3%B3n_Internet_fija%22.%22Codreg%22%3D14" TargetMode="External"/><Relationship Id="rId154" Type="http://schemas.openxmlformats.org/officeDocument/2006/relationships/hyperlink" Target="https://analytics.zoho.com/open-view/2395394000008436309" TargetMode="External"/><Relationship Id="rId175" Type="http://schemas.openxmlformats.org/officeDocument/2006/relationships/hyperlink" Target="https://analytics.zoho.com/open-view/2395394000008503207?ZOHO_CRITERIA=%22Pueblos%20Ind%C3%ADgenas%20Edad%22.%22id_Region%22%20%3D%203" TargetMode="External"/><Relationship Id="rId340" Type="http://schemas.openxmlformats.org/officeDocument/2006/relationships/hyperlink" Target="https://analytics.zoho.com/open-view/2395394000008643867" TargetMode="External"/><Relationship Id="rId196" Type="http://schemas.openxmlformats.org/officeDocument/2006/relationships/hyperlink" Target="https://analytics.zoho.com/open-view/2395394000008503341?ZOHO_CRITERIA=%22Pueblos%20Ind%C3%ADgenas%20Edad%22.%22id_Region%22%20%3D%206" TargetMode="External"/><Relationship Id="rId200" Type="http://schemas.openxmlformats.org/officeDocument/2006/relationships/hyperlink" Target="https://analytics.zoho.com/open-view/2395394000008503341?ZOHO_CRITERIA=%22Pueblos%20Ind%C3%ADgenas%20Edad%22.%22id_Region%22%20%3D%2010" TargetMode="External"/><Relationship Id="rId16" Type="http://schemas.openxmlformats.org/officeDocument/2006/relationships/hyperlink" Target="https://analytics.zoho.com/open-view/2395394000007777114" TargetMode="External"/><Relationship Id="rId221" Type="http://schemas.openxmlformats.org/officeDocument/2006/relationships/hyperlink" Target="https://analytics.zoho.com/open-view/2395394000008503554?ZOHO_CRITERIA=%22Pueblos%20Ind%C3%ADgenas%20Sexo%22.%22id_Region%22%20%3D%2014" TargetMode="External"/><Relationship Id="rId242" Type="http://schemas.openxmlformats.org/officeDocument/2006/relationships/hyperlink" Target="https://analytics.zoho.com/open-view/2395394000008296020?ZOHO_CRITERIA=%22Consolidado_Estadisticas_Regionales_New%22.%22C%C3%B3digo%20regi%C3%B3n%22%3D9" TargetMode="External"/><Relationship Id="rId263" Type="http://schemas.openxmlformats.org/officeDocument/2006/relationships/hyperlink" Target="https://analytics.zoho.com/open-view/2395394000008299691?ZOHO_CRITERIA=%22Consolidado_Estadisticas_Regionales_New%22.%22C%C3%B3digo%20regi%C3%B3n%22%3D14" TargetMode="External"/><Relationship Id="rId284" Type="http://schemas.openxmlformats.org/officeDocument/2006/relationships/hyperlink" Target="https://analytics.zoho.com/open-view/2395394000008434853?ZOHO_CRITERIA=%22Televisi%C3%B3n_Pago%22.%22CodRegi%C3%B3n%22%3D14" TargetMode="External"/><Relationship Id="rId319" Type="http://schemas.openxmlformats.org/officeDocument/2006/relationships/hyperlink" Target="https://analytics.zoho.com/open-view/2395394000008478183?ZOHO_CRITERIA=%22Localiza%20CL%22.%22Codreg%22%20%3D%204" TargetMode="External"/><Relationship Id="rId37" Type="http://schemas.openxmlformats.org/officeDocument/2006/relationships/hyperlink" Target="https://analytics.zoho.com/open-view/2395394000008229874" TargetMode="External"/><Relationship Id="rId58" Type="http://schemas.openxmlformats.org/officeDocument/2006/relationships/hyperlink" Target="https://analytics.zoho.com/open-view/2395394000008435674" TargetMode="External"/><Relationship Id="rId79" Type="http://schemas.openxmlformats.org/officeDocument/2006/relationships/hyperlink" Target="https://analytics.zoho.com/open-view/2395394000008049343" TargetMode="External"/><Relationship Id="rId102" Type="http://schemas.openxmlformats.org/officeDocument/2006/relationships/hyperlink" Target="https://analytics.zoho.com/open-view/2395394000008421956" TargetMode="External"/><Relationship Id="rId123" Type="http://schemas.openxmlformats.org/officeDocument/2006/relationships/hyperlink" Target="https://analytics.zoho.com/open-view/2395394000008435500?ZOHO_CRITERIA=%22Conexi%C3%B3n_Internet_fija%22.%22Codreg%22%3D3" TargetMode="External"/><Relationship Id="rId144" Type="http://schemas.openxmlformats.org/officeDocument/2006/relationships/hyperlink" Target="https://analytics.zoho.com/open-view/2395394000008511008?ZOHO_CRITERIA=%22Televisi%C3%B3n_Pago%22.%22CodRegi%C3%B3n%22%3D7" TargetMode="External"/><Relationship Id="rId330" Type="http://schemas.openxmlformats.org/officeDocument/2006/relationships/hyperlink" Target="https://analytics.zoho.com/open-view/2395394000008478183?ZOHO_CRITERIA=%22Localiza%20CL%22.%22Codreg%22%20%3D%2015%7d" TargetMode="External"/><Relationship Id="rId90" Type="http://schemas.openxmlformats.org/officeDocument/2006/relationships/hyperlink" Target="https://app.powerbi.com/view?r=eyJrIjoiYTkxMWQzMWItYjVkZC00MDM1LWI1N2YtODI3ZTcwMjZlMTJhIiwidCI6IjhmYmFhNWJmLTJlY2MtNGRjOC1iNTZiLThmOTJlMzA3ZjA3NiIsImMiOjR9" TargetMode="External"/><Relationship Id="rId165" Type="http://schemas.openxmlformats.org/officeDocument/2006/relationships/hyperlink" Target="https://analytics.zoho.com/open-view/2395394000008503085?ZOHO_CRITERIA=%22Pueblos%20Ind%C3%ADgenas%20Edad%22.%22id_Region%22%20%3D%2011" TargetMode="External"/><Relationship Id="rId186" Type="http://schemas.openxmlformats.org/officeDocument/2006/relationships/hyperlink" Target="https://analytics.zoho.com/open-view/2395394000008503207?ZOHO_CRITERIA=%22Pueblos%20Ind%C3%ADgenas%20Edad%22.%22id_Region%22%20%3D%2014" TargetMode="External"/><Relationship Id="rId351" Type="http://schemas.openxmlformats.org/officeDocument/2006/relationships/hyperlink" Target="https://app.powerbi.com/view?r=eyJrIjoiNzUwZmFjMGEtMTIyYy00YzZiLWFmYzEtZTc5N2IyNGYxZjEyIiwidCI6IjhmYmFhNWJmLTJlY2MtNGRjOC1iNTZiLThmOTJlMzA3ZjA3NiIsImMiOjR9" TargetMode="External"/><Relationship Id="rId211" Type="http://schemas.openxmlformats.org/officeDocument/2006/relationships/hyperlink" Target="https://analytics.zoho.com/open-view/2395394000008503554?ZOHO_CRITERIA=%22Pueblos%20Ind%C3%ADgenas%20Sexo%22.%22id_Region%22%20%3D%204" TargetMode="External"/><Relationship Id="rId232" Type="http://schemas.openxmlformats.org/officeDocument/2006/relationships/hyperlink" Target="https://analytics.zoho.com/open-view/2395394000008295693" TargetMode="External"/><Relationship Id="rId253" Type="http://schemas.openxmlformats.org/officeDocument/2006/relationships/hyperlink" Target="https://analytics.zoho.com/open-view/2395394000008299691?ZOHO_CRITERIA=%22Consolidado_Estadisticas_Regionales_New%22.%22C%C3%B3digo%20regi%C3%B3n%22%3D4" TargetMode="External"/><Relationship Id="rId274" Type="http://schemas.openxmlformats.org/officeDocument/2006/relationships/hyperlink" Target="https://analytics.zoho.com/open-view/2395394000008434853?ZOHO_CRITERIA=%22Televisi%C3%B3n_Pago%22.%22CodRegi%C3%B3n%22%3D4" TargetMode="External"/><Relationship Id="rId295" Type="http://schemas.openxmlformats.org/officeDocument/2006/relationships/hyperlink" Target="https://analytics.zoho.com/open-view/2395394000008760041?ZOHO_CRITERIA=%22Consolidado_Estadisticas_Regionales_New%22.%22C%C3%B3digo%20regi%C3%B3n%22%20%3D%205" TargetMode="External"/><Relationship Id="rId309" Type="http://schemas.openxmlformats.org/officeDocument/2006/relationships/hyperlink" Target="https://analytics.zoho.com/open-view/2395394000008478071?ZOHO_CRITERIA=%22Localiza%20CL%22.%22Codreg%22%20%3D%2012" TargetMode="External"/><Relationship Id="rId27" Type="http://schemas.openxmlformats.org/officeDocument/2006/relationships/hyperlink" Target="https://app.powerbi.com/view?r=eyJrIjoiOWIxNDkwMzUtMGQyNi00ZGEzLWE1OGItYTI1OGM4Njk1NjlhIiwidCI6IjhmYmFhNWJmLTJlY2MtNGRjOC1iNTZiLThmOTJlMzA3ZjA3NiIsImMiOjR9" TargetMode="External"/><Relationship Id="rId48" Type="http://schemas.openxmlformats.org/officeDocument/2006/relationships/hyperlink" Target="https://analytics.zoho.com/open-view/2395394000008038511" TargetMode="External"/><Relationship Id="rId69" Type="http://schemas.openxmlformats.org/officeDocument/2006/relationships/hyperlink" Target="https://analytics.zoho.com/open-view/2395394000007959800" TargetMode="External"/><Relationship Id="rId113" Type="http://schemas.openxmlformats.org/officeDocument/2006/relationships/hyperlink" Target="https://analytics.zoho.com/open-view/2395394000008183410" TargetMode="External"/><Relationship Id="rId134" Type="http://schemas.openxmlformats.org/officeDocument/2006/relationships/hyperlink" Target="https://analytics.zoho.com/open-view/2395394000008435500?ZOHO_CRITERIA=%22Conexi%C3%B3n_Internet_fija%22.%22Codreg%22%3D15" TargetMode="External"/><Relationship Id="rId320" Type="http://schemas.openxmlformats.org/officeDocument/2006/relationships/hyperlink" Target="https://analytics.zoho.com/open-view/2395394000008478183?ZOHO_CRITERIA=%22Localiza%20CL%22.%22Codreg%22%20%3D%205" TargetMode="External"/><Relationship Id="rId80" Type="http://schemas.openxmlformats.org/officeDocument/2006/relationships/hyperlink" Target="https://analytics.zoho.com/open-view/2395394000008046482" TargetMode="External"/><Relationship Id="rId155" Type="http://schemas.openxmlformats.org/officeDocument/2006/relationships/hyperlink" Target="https://analytics.zoho.com/open-view/2395394000008503085?ZOHO_CRITERIA=%22Pueblos%20Ind%C3%ADgenas%20Edad%22.%22id_Region%22%20%3D%201" TargetMode="External"/><Relationship Id="rId176" Type="http://schemas.openxmlformats.org/officeDocument/2006/relationships/hyperlink" Target="https://analytics.zoho.com/open-view/2395394000008503207?ZOHO_CRITERIA=%22Pueblos%20Ind%C3%ADgenas%20Edad%22.%22id_Region%22%20%3D%204" TargetMode="External"/><Relationship Id="rId197" Type="http://schemas.openxmlformats.org/officeDocument/2006/relationships/hyperlink" Target="https://analytics.zoho.com/open-view/2395394000008503341?ZOHO_CRITERIA=%22Pueblos%20Ind%C3%ADgenas%20Edad%22.%22id_Region%22%20%3D%207" TargetMode="External"/><Relationship Id="rId341" Type="http://schemas.openxmlformats.org/officeDocument/2006/relationships/hyperlink" Target="https://analytics.zoho.com/open-view/2395394000008117468" TargetMode="External"/><Relationship Id="rId201" Type="http://schemas.openxmlformats.org/officeDocument/2006/relationships/hyperlink" Target="https://analytics.zoho.com/open-view/2395394000008503341?ZOHO_CRITERIA=%22Pueblos%20Ind%C3%ADgenas%20Edad%22.%22id_Region%22%20%3D%2011" TargetMode="External"/><Relationship Id="rId222" Type="http://schemas.openxmlformats.org/officeDocument/2006/relationships/hyperlink" Target="https://analytics.zoho.com/open-view/2395394000008503554?ZOHO_CRITERIA=%22Pueblos%20Ind%C3%ADgenas%20Sexo%22.%22id_Region%22%20%3D%2015" TargetMode="External"/><Relationship Id="rId243" Type="http://schemas.openxmlformats.org/officeDocument/2006/relationships/hyperlink" Target="https://analytics.zoho.com/open-view/2395394000008296020?ZOHO_CRITERIA=%22Consolidado_Estadisticas_Regionales_New%22.%22C%C3%B3digo%20regi%C3%B3n%22%3D10" TargetMode="External"/><Relationship Id="rId264" Type="http://schemas.openxmlformats.org/officeDocument/2006/relationships/hyperlink" Target="https://analytics.zoho.com/open-view/2395394000008299691?ZOHO_CRITERIA=%22Consolidado_Estadisticas_Regionales_New%22.%22C%C3%B3digo%20regi%C3%B3n%22%3D15" TargetMode="External"/><Relationship Id="rId285" Type="http://schemas.openxmlformats.org/officeDocument/2006/relationships/hyperlink" Target="https://analytics.zoho.com/open-view/2395394000008434853?ZOHO_CRITERIA=%22Televisi%C3%B3n_Pago%22.%22CodRegi%C3%B3n%22%3D15" TargetMode="External"/><Relationship Id="rId17" Type="http://schemas.openxmlformats.org/officeDocument/2006/relationships/hyperlink" Target="https://analytics.zoho.com/open-view/2395394000007777153" TargetMode="External"/><Relationship Id="rId38" Type="http://schemas.openxmlformats.org/officeDocument/2006/relationships/hyperlink" Target="https://analytics.zoho.com/open-view/2395394000008231090" TargetMode="External"/><Relationship Id="rId59" Type="http://schemas.openxmlformats.org/officeDocument/2006/relationships/hyperlink" Target="https://analytics.zoho.com/open-view/2395394000007908947" TargetMode="External"/><Relationship Id="rId103" Type="http://schemas.openxmlformats.org/officeDocument/2006/relationships/hyperlink" Target="https://analytics.zoho.com/open-view/2395394000008280544" TargetMode="External"/><Relationship Id="rId124" Type="http://schemas.openxmlformats.org/officeDocument/2006/relationships/hyperlink" Target="https://analytics.zoho.com/open-view/2395394000008435500?ZOHO_CRITERIA=%22Conexi%C3%B3n_Internet_fija%22.%22Codreg%22%3D5" TargetMode="External"/><Relationship Id="rId310" Type="http://schemas.openxmlformats.org/officeDocument/2006/relationships/hyperlink" Target="https://analytics.zoho.com/open-view/2395394000008478071?ZOHO_CRITERIA=%22Localiza%20CL%22.%22Codreg%22%20%3D%2013" TargetMode="External"/><Relationship Id="rId70" Type="http://schemas.openxmlformats.org/officeDocument/2006/relationships/hyperlink" Target="https://analytics.zoho.com/open-view/2395394000007946934" TargetMode="External"/><Relationship Id="rId91" Type="http://schemas.openxmlformats.org/officeDocument/2006/relationships/hyperlink" Target="https://analytics.zoho.com/open-view/2395394000008099175" TargetMode="External"/><Relationship Id="rId145" Type="http://schemas.openxmlformats.org/officeDocument/2006/relationships/hyperlink" Target="https://analytics.zoho.com/open-view/2395394000008511008?ZOHO_CRITERIA=%22Televisi%C3%B3n_Pago%22.%22CodRegi%C3%B3n%22%3D8" TargetMode="External"/><Relationship Id="rId166" Type="http://schemas.openxmlformats.org/officeDocument/2006/relationships/hyperlink" Target="https://analytics.zoho.com/open-view/2395394000008503085?ZOHO_CRITERIA=%22Pueblos%20Ind%C3%ADgenas%20Edad%22.%22id_Region%22%20%3D%2012" TargetMode="External"/><Relationship Id="rId187" Type="http://schemas.openxmlformats.org/officeDocument/2006/relationships/hyperlink" Target="https://analytics.zoho.com/open-view/2395394000008503207?ZOHO_CRITERIA=%22Pueblos%20Ind%C3%ADgenas%20Edad%22.%22id_Region%22%20%3D%2015" TargetMode="External"/><Relationship Id="rId331" Type="http://schemas.openxmlformats.org/officeDocument/2006/relationships/hyperlink" Target="https://analytics.zoho.com/open-view/2395394000008478183?ZOHO_CRITERIA=%22Localiza%20CL%22.%22Codreg%22%20%3D%2016" TargetMode="External"/><Relationship Id="rId352" Type="http://schemas.openxmlformats.org/officeDocument/2006/relationships/hyperlink" Target="https://app.powerbi.com/view?r=eyJrIjoiNTk3NjE1MDYtZDViMS00M2YzLTkyZDAtNTY5ZDk5OTA3ZTM3IiwidCI6IjhmYmFhNWJmLTJlY2MtNGRjOC1iNTZiLThmOTJlMzA3ZjA3NiIsImMiOjR9" TargetMode="External"/><Relationship Id="rId1" Type="http://schemas.openxmlformats.org/officeDocument/2006/relationships/hyperlink" Target="https://analytics.zoho.com/open-view/2395394000007756457" TargetMode="External"/><Relationship Id="rId212" Type="http://schemas.openxmlformats.org/officeDocument/2006/relationships/hyperlink" Target="https://analytics.zoho.com/open-view/2395394000008503554?ZOHO_CRITERIA=%22Pueblos%20Ind%C3%ADgenas%20Sexo%22.%22id_Region%22%20%3D%205" TargetMode="External"/><Relationship Id="rId233" Type="http://schemas.openxmlformats.org/officeDocument/2006/relationships/hyperlink" Target="https://analytics.zoho.com/open-view/2395394000008296020?ZOHO_CRITERIA=%22Consolidado_Estadisticas_Regionales_New%22.%22C%C3%B3digo%20regi%C3%B3n%22%3D1" TargetMode="External"/><Relationship Id="rId254" Type="http://schemas.openxmlformats.org/officeDocument/2006/relationships/hyperlink" Target="https://analytics.zoho.com/open-view/2395394000008299691?ZOHO_CRITERIA=%22Consolidado_Estadisticas_Regionales_New%22.%22C%C3%B3digo%20regi%C3%B3n%22%3D5" TargetMode="External"/><Relationship Id="rId28" Type="http://schemas.openxmlformats.org/officeDocument/2006/relationships/hyperlink" Target="https://app.powerbi.com/view?r=eyJrIjoiNWYxNzdhNGItMDA0OC00ZjY5LWI0YTUtMDUwYzk1M2JmZGVhIiwidCI6IjhmYmFhNWJmLTJlY2MtNGRjOC1iNTZiLThmOTJlMzA3ZjA3NiIsImMiOjR9" TargetMode="External"/><Relationship Id="rId49" Type="http://schemas.openxmlformats.org/officeDocument/2006/relationships/hyperlink" Target="https://analytics.zoho.com/open-view/2395394000007777591?ZOHO_CRITERIA=%22Trasposicion_4.3%22.%22Id_Producto%22%20%3D%20100108" TargetMode="External"/><Relationship Id="rId114" Type="http://schemas.openxmlformats.org/officeDocument/2006/relationships/hyperlink" Target="https://analytics.zoho.com/open-view/2395394000008069731" TargetMode="External"/><Relationship Id="rId275" Type="http://schemas.openxmlformats.org/officeDocument/2006/relationships/hyperlink" Target="https://analytics.zoho.com/open-view/2395394000008434853?ZOHO_CRITERIA=%22Televisi%C3%B3n_Pago%22.%22CodRegi%C3%B3n%22%3D5" TargetMode="External"/><Relationship Id="rId296" Type="http://schemas.openxmlformats.org/officeDocument/2006/relationships/hyperlink" Target="https://analytics.zoho.com/open-view/2395394000008183442" TargetMode="External"/><Relationship Id="rId300" Type="http://schemas.openxmlformats.org/officeDocument/2006/relationships/hyperlink" Target="https://analytics.zoho.com/open-view/2395394000008478071?ZOHO_CRITERIA=%22Localiza%20CL%22.%22Codreg%22%20%3D%203" TargetMode="External"/><Relationship Id="rId60" Type="http://schemas.openxmlformats.org/officeDocument/2006/relationships/hyperlink" Target="https://analytics.zoho.com/open-view/2395394000007832763" TargetMode="External"/><Relationship Id="rId81" Type="http://schemas.openxmlformats.org/officeDocument/2006/relationships/hyperlink" Target="https://analytics.zoho.com/open-view/2395394000008056809" TargetMode="External"/><Relationship Id="rId135" Type="http://schemas.openxmlformats.org/officeDocument/2006/relationships/hyperlink" Target="https://analytics.zoho.com/open-view/2395394000008435500?ZOHO_CRITERIA=%22Conexi%C3%B3n_Internet_fija%22.%22Codreg%22%3D16" TargetMode="External"/><Relationship Id="rId156" Type="http://schemas.openxmlformats.org/officeDocument/2006/relationships/hyperlink" Target="https://analytics.zoho.com/open-view/2395394000008503085?ZOHO_CRITERIA=%22Pueblos%20Ind%C3%ADgenas%20Edad%22.%22id_Region%22%20%3D%202" TargetMode="External"/><Relationship Id="rId177" Type="http://schemas.openxmlformats.org/officeDocument/2006/relationships/hyperlink" Target="https://analytics.zoho.com/open-view/2395394000008503207?ZOHO_CRITERIA=%22Pueblos%20Ind%C3%ADgenas%20Edad%22.%22id_Region%22%20%3D%205" TargetMode="External"/><Relationship Id="rId198" Type="http://schemas.openxmlformats.org/officeDocument/2006/relationships/hyperlink" Target="https://analytics.zoho.com/open-view/2395394000008503341?ZOHO_CRITERIA=%22Pueblos%20Ind%C3%ADgenas%20Edad%22.%22id_Region%22%20%3D%208" TargetMode="External"/><Relationship Id="rId321" Type="http://schemas.openxmlformats.org/officeDocument/2006/relationships/hyperlink" Target="https://analytics.zoho.com/open-view/2395394000008478183?ZOHO_CRITERIA=%22Localiza%20CL%22.%22Codreg%22%20%3D%206" TargetMode="External"/><Relationship Id="rId342" Type="http://schemas.openxmlformats.org/officeDocument/2006/relationships/hyperlink" Target="https://analytics.zoho.com/open-view/2395394000008771662?ZOHO_CRITERIA=%22Localiza%20CL%22.%22Codreg%22%20%3D%201" TargetMode="External"/><Relationship Id="rId202" Type="http://schemas.openxmlformats.org/officeDocument/2006/relationships/hyperlink" Target="https://analytics.zoho.com/open-view/2395394000008503341?ZOHO_CRITERIA=%22Pueblos%20Ind%C3%ADgenas%20Edad%22.%22id_Region%22%20%3D%2012" TargetMode="External"/><Relationship Id="rId223" Type="http://schemas.openxmlformats.org/officeDocument/2006/relationships/hyperlink" Target="https://analytics.zoho.com/open-view/2395394000008503554?ZOHO_CRITERIA=%22Pueblos%20Ind%C3%ADgenas%20Sexo%22.%22id_Region%22%20%3D%2016" TargetMode="External"/><Relationship Id="rId244" Type="http://schemas.openxmlformats.org/officeDocument/2006/relationships/hyperlink" Target="https://analytics.zoho.com/open-view/2395394000008296020?ZOHO_CRITERIA=%22Consolidado_Estadisticas_Regionales_New%22.%22C%C3%B3digo%20regi%C3%B3n%22%3D11" TargetMode="External"/><Relationship Id="rId18" Type="http://schemas.openxmlformats.org/officeDocument/2006/relationships/hyperlink" Target="https://app.powerbi.com/view?r=eyJrIjoiYzgzMTI1M2UtNmViNS00YTA0LTk2NGYtMTFmYmExYTczNWRhIiwidCI6IjhmYmFhNWJmLTJlY2MtNGRjOC1iNTZiLThmOTJlMzA3ZjA3NiIsImMiOjR9" TargetMode="External"/><Relationship Id="rId39" Type="http://schemas.openxmlformats.org/officeDocument/2006/relationships/hyperlink" Target="https://analytics.zoho.com/open-view/2395394000008231525" TargetMode="External"/><Relationship Id="rId265" Type="http://schemas.openxmlformats.org/officeDocument/2006/relationships/hyperlink" Target="https://analytics.zoho.com/open-view/2395394000008299691?ZOHO_CRITERIA=%22Consolidado_Estadisticas_Regionales_New%22.%22C%C3%B3digo%20regi%C3%B3n%22%3D16" TargetMode="External"/><Relationship Id="rId286" Type="http://schemas.openxmlformats.org/officeDocument/2006/relationships/hyperlink" Target="https://analytics.zoho.com/open-view/2395394000008434853?ZOHO_CRITERIA=%22Televisi%C3%B3n_Pago%22.%22CodRegi%C3%B3n%22%3D16" TargetMode="External"/><Relationship Id="rId50" Type="http://schemas.openxmlformats.org/officeDocument/2006/relationships/hyperlink" Target="https://analytics.zoho.com/open-view/2395394000007777311" TargetMode="External"/><Relationship Id="rId104" Type="http://schemas.openxmlformats.org/officeDocument/2006/relationships/hyperlink" Target="https://analytics.zoho.com/open-view/2395394000008280397" TargetMode="External"/><Relationship Id="rId125" Type="http://schemas.openxmlformats.org/officeDocument/2006/relationships/hyperlink" Target="https://analytics.zoho.com/open-view/2395394000008435500?ZOHO_CRITERIA=%22Conexi%C3%B3n_Internet_fija%22.%22Codreg%22%3D6" TargetMode="External"/><Relationship Id="rId146" Type="http://schemas.openxmlformats.org/officeDocument/2006/relationships/hyperlink" Target="https://analytics.zoho.com/open-view/2395394000008511008?ZOHO_CRITERIA=%22Televisi%C3%B3n_Pago%22.%22CodRegi%C3%B3n%22%3D9" TargetMode="External"/><Relationship Id="rId167" Type="http://schemas.openxmlformats.org/officeDocument/2006/relationships/hyperlink" Target="https://analytics.zoho.com/open-view/2395394000008503085?ZOHO_CRITERIA=%22Pueblos%20Ind%C3%ADgenas%20Edad%22.%22id_Region%22%20%3D%2013" TargetMode="External"/><Relationship Id="rId188" Type="http://schemas.openxmlformats.org/officeDocument/2006/relationships/hyperlink" Target="https://analytics.zoho.com/open-view/2395394000008503207?ZOHO_CRITERIA=%22Pueblos%20Ind%C3%ADgenas%20Edad%22.%22id_Region%22%20%3D%2016" TargetMode="External"/><Relationship Id="rId311" Type="http://schemas.openxmlformats.org/officeDocument/2006/relationships/hyperlink" Target="https://analytics.zoho.com/open-view/2395394000008478071?ZOHO_CRITERIA=%22Localiza%20CL%22.%22Codreg%22%20%3D%2014" TargetMode="External"/><Relationship Id="rId332" Type="http://schemas.openxmlformats.org/officeDocument/2006/relationships/hyperlink" Target="https://analytics.zoho.com/open-view/2395394000008193854" TargetMode="External"/><Relationship Id="rId353" Type="http://schemas.openxmlformats.org/officeDocument/2006/relationships/hyperlink" Target="https://app.powerbi.com/view?r=eyJrIjoiMjc0Mjg5ODMtZmYzMy00OWJhLWJiYWQtZjQ3ZWIzMjQwNzMxIiwidCI6IjhmYmFhNWJmLTJlY2MtNGRjOC1iNTZiLThmOTJlMzA3ZjA3NiIsImMiOjR9" TargetMode="External"/><Relationship Id="rId71" Type="http://schemas.openxmlformats.org/officeDocument/2006/relationships/hyperlink" Target="https://public.flourish.studio/visualisation/6691988/" TargetMode="External"/><Relationship Id="rId92" Type="http://schemas.openxmlformats.org/officeDocument/2006/relationships/hyperlink" Target="https://analytics.zoho.com/open-view/2395394000007991542" TargetMode="External"/><Relationship Id="rId213" Type="http://schemas.openxmlformats.org/officeDocument/2006/relationships/hyperlink" Target="https://analytics.zoho.com/open-view/2395394000008503554?ZOHO_CRITERIA=%22Pueblos%20Ind%C3%ADgenas%20Sexo%22.%22id_Region%22%20%3D%206" TargetMode="External"/><Relationship Id="rId234" Type="http://schemas.openxmlformats.org/officeDocument/2006/relationships/hyperlink" Target="https://analytics.zoho.com/open-view/2395394000008296020?ZOHO_CRITERIA=%22Consolidado_Estadisticas_Regionales_New%22.%22C%C3%B3digo%20regi%C3%B3n%22%3D1" TargetMode="External"/><Relationship Id="rId2" Type="http://schemas.openxmlformats.org/officeDocument/2006/relationships/hyperlink" Target="https://analytics.zoho.com/open-view/2395394000007782028" TargetMode="External"/><Relationship Id="rId29" Type="http://schemas.openxmlformats.org/officeDocument/2006/relationships/hyperlink" Target="https://app.powerbi.com/view?r=eyJrIjoiZDZiYjg2ODAtOGYwZS00MGNlLTkwZWEtZTU3NDMwOTZjZGYxIiwidCI6IjhmYmFhNWJmLTJlY2MtNGRjOC1iNTZiLThmOTJlMzA3ZjA3NiIsImMiOjR9" TargetMode="External"/><Relationship Id="rId255" Type="http://schemas.openxmlformats.org/officeDocument/2006/relationships/hyperlink" Target="https://analytics.zoho.com/open-view/2395394000008299691?ZOHO_CRITERIA=%22Consolidado_Estadisticas_Regionales_New%22.%22C%C3%B3digo%20regi%C3%B3n%22%3D6" TargetMode="External"/><Relationship Id="rId276" Type="http://schemas.openxmlformats.org/officeDocument/2006/relationships/hyperlink" Target="https://analytics.zoho.com/open-view/2395394000008434853?ZOHO_CRITERIA=%22Televisi%C3%B3n_Pago%22.%22CodRegi%C3%B3n%22%3D6" TargetMode="External"/><Relationship Id="rId297" Type="http://schemas.openxmlformats.org/officeDocument/2006/relationships/hyperlink" Target="https://analytics.zoho.com/open-view/2395394000008478071?ZOHO_CRITERIA=%22Localiza%20CL%22.%22Codreg%22%20%3D%201" TargetMode="External"/><Relationship Id="rId40" Type="http://schemas.openxmlformats.org/officeDocument/2006/relationships/hyperlink" Target="https://analytics.zoho.com/open-view/2395394000007806050" TargetMode="External"/><Relationship Id="rId115" Type="http://schemas.openxmlformats.org/officeDocument/2006/relationships/hyperlink" Target="https://analytics.zoho.com/open-view/2395394000007274123" TargetMode="External"/><Relationship Id="rId136" Type="http://schemas.openxmlformats.org/officeDocument/2006/relationships/hyperlink" Target="https://analytics.zoho.com/open-view/2395394000008461424" TargetMode="External"/><Relationship Id="rId157" Type="http://schemas.openxmlformats.org/officeDocument/2006/relationships/hyperlink" Target="https://analytics.zoho.com/open-view/2395394000008503085?ZOHO_CRITERIA=%22Pueblos%20Ind%C3%ADgenas%20Edad%22.%22id_Region%22%20%3D%203" TargetMode="External"/><Relationship Id="rId178" Type="http://schemas.openxmlformats.org/officeDocument/2006/relationships/hyperlink" Target="https://analytics.zoho.com/open-view/2395394000008503207?ZOHO_CRITERIA=%22Pueblos%20Ind%C3%ADgenas%20Edad%22.%22id_Region%22%20%3D%206" TargetMode="External"/><Relationship Id="rId301" Type="http://schemas.openxmlformats.org/officeDocument/2006/relationships/hyperlink" Target="https://analytics.zoho.com/open-view/2395394000008478071?ZOHO_CRITERIA=%22Localiza%20CL%22.%22Codreg%22%20%3D%204" TargetMode="External"/><Relationship Id="rId322" Type="http://schemas.openxmlformats.org/officeDocument/2006/relationships/hyperlink" Target="https://analytics.zoho.com/open-view/2395394000008478183?ZOHO_CRITERIA=%22Localiza%20CL%22.%22Codreg%22%20%3D%207" TargetMode="External"/><Relationship Id="rId343" Type="http://schemas.openxmlformats.org/officeDocument/2006/relationships/hyperlink" Target="https://analytics.zoho.com/open-view/2395394000008745083" TargetMode="External"/><Relationship Id="rId61" Type="http://schemas.openxmlformats.org/officeDocument/2006/relationships/hyperlink" Target="https://analytics.zoho.com/open-view/2395394000007849686" TargetMode="External"/><Relationship Id="rId82" Type="http://schemas.openxmlformats.org/officeDocument/2006/relationships/hyperlink" Target="https://analytics.zoho.com/open-view/2395394000008056334" TargetMode="External"/><Relationship Id="rId199" Type="http://schemas.openxmlformats.org/officeDocument/2006/relationships/hyperlink" Target="https://analytics.zoho.com/open-view/2395394000008503341?ZOHO_CRITERIA=%22Pueblos%20Ind%C3%ADgenas%20Edad%22.%22id_Region%22%20%3D%209" TargetMode="External"/><Relationship Id="rId203" Type="http://schemas.openxmlformats.org/officeDocument/2006/relationships/hyperlink" Target="https://analytics.zoho.com/open-view/2395394000008503341?ZOHO_CRITERIA=%22Pueblos%20Ind%C3%ADgenas%20Edad%22.%22id_Region%22%20%3D%2013" TargetMode="External"/><Relationship Id="rId19" Type="http://schemas.openxmlformats.org/officeDocument/2006/relationships/hyperlink" Target="https://app.powerbi.com/view?r=eyJrIjoiMzk2YjAzMGUtYTE2Zi00ZGU3LTg1ZjAtN2IxNzExMjg3N2E1IiwidCI6IjhmYmFhNWJmLTJlY2MtNGRjOC1iNTZiLThmOTJlMzA3ZjA3NiIsImMiOjR9" TargetMode="External"/><Relationship Id="rId224" Type="http://schemas.openxmlformats.org/officeDocument/2006/relationships/hyperlink" Target="https://analytics.zoho.com/open-view/2395394000008503554?ZOHO_CRITERIA=%22Pueblos%20Ind%C3%ADgenas%20Sexo%22.%22id_Region%22%20%3D%201" TargetMode="External"/><Relationship Id="rId245" Type="http://schemas.openxmlformats.org/officeDocument/2006/relationships/hyperlink" Target="https://analytics.zoho.com/open-view/2395394000008296020?ZOHO_CRITERIA=%22Consolidado_Estadisticas_Regionales_New%22.%22C%C3%B3digo%20regi%C3%B3n%22%3D12" TargetMode="External"/><Relationship Id="rId266" Type="http://schemas.openxmlformats.org/officeDocument/2006/relationships/hyperlink" Target="https://analytics.zoho.com/open-view/2395394000008299691?ZOHO_CRITERIA=%22Consolidado_Estadisticas_Regionales_New%22.%22C%C3%B3digo%20regi%C3%B3n%22%3D1" TargetMode="External"/><Relationship Id="rId287" Type="http://schemas.openxmlformats.org/officeDocument/2006/relationships/hyperlink" Target="https://analytics.zoho.com/open-view/2395394000008094339?ZOHO_CRITERIA=%22Consolidado_Estadisticas_Regionales_New%22.%22C%C3%B3digo%20regi%C3%B3n%22%20%3D%201" TargetMode="External"/><Relationship Id="rId30" Type="http://schemas.openxmlformats.org/officeDocument/2006/relationships/hyperlink" Target="https://app.powerbi.com/view?r=eyJrIjoiODk3Zjc3ZTItZTdlNi00NGRlLTljYzktZTM5OTQ1YzI1MDYxIiwidCI6IjhmYmFhNWJmLTJlY2MtNGRjOC1iNTZiLThmOTJlMzA3ZjA3NiIsImMiOjR9" TargetMode="External"/><Relationship Id="rId105" Type="http://schemas.openxmlformats.org/officeDocument/2006/relationships/hyperlink" Target="https://analytics.zoho.com/open-view/2395394000008280219" TargetMode="External"/><Relationship Id="rId126" Type="http://schemas.openxmlformats.org/officeDocument/2006/relationships/hyperlink" Target="https://analytics.zoho.com/open-view/2395394000008435500?ZOHO_CRITERIA=%22Conexi%C3%B3n_Internet_fija%22.%22Codreg%22%3D7" TargetMode="External"/><Relationship Id="rId147" Type="http://schemas.openxmlformats.org/officeDocument/2006/relationships/hyperlink" Target="https://analytics.zoho.com/open-view/2395394000008511008?ZOHO_CRITERIA=%22Televisi%C3%B3n_Pago%22.%22CodRegi%C3%B3n%22%3D10" TargetMode="External"/><Relationship Id="rId168" Type="http://schemas.openxmlformats.org/officeDocument/2006/relationships/hyperlink" Target="https://analytics.zoho.com/open-view/2395394000008503085?ZOHO_CRITERIA=%22Pueblos%20Ind%C3%ADgenas%20Edad%22.%22id_Region%22%20%3D%2014" TargetMode="External"/><Relationship Id="rId312" Type="http://schemas.openxmlformats.org/officeDocument/2006/relationships/hyperlink" Target="https://analytics.zoho.com/open-view/2395394000008478071?ZOHO_CRITERIA=%22Localiza%20CL%22.%22Codreg%22%20%3D%2015" TargetMode="External"/><Relationship Id="rId333" Type="http://schemas.openxmlformats.org/officeDocument/2006/relationships/hyperlink" Target="https://analytics.zoho.com/open-view/2395394000008205248" TargetMode="External"/><Relationship Id="rId354" Type="http://schemas.openxmlformats.org/officeDocument/2006/relationships/printerSettings" Target="../printerSettings/printerSettings1.bin"/><Relationship Id="rId51" Type="http://schemas.openxmlformats.org/officeDocument/2006/relationships/hyperlink" Target="https://analytics.zoho.com/open-view/2395394000008047165" TargetMode="External"/><Relationship Id="rId72" Type="http://schemas.openxmlformats.org/officeDocument/2006/relationships/hyperlink" Target="https://analytics.zoho.com/open-view/2395394000008038558" TargetMode="External"/><Relationship Id="rId93" Type="http://schemas.openxmlformats.org/officeDocument/2006/relationships/hyperlink" Target="https://analytics.zoho.com/open-view/2395394000008099475" TargetMode="External"/><Relationship Id="rId189" Type="http://schemas.openxmlformats.org/officeDocument/2006/relationships/hyperlink" Target="https://analytics.zoho.com/open-view/2395394000008436794" TargetMode="External"/><Relationship Id="rId3" Type="http://schemas.openxmlformats.org/officeDocument/2006/relationships/hyperlink" Target="https://analytics.zoho.com/open-view/2395394000005950690" TargetMode="External"/><Relationship Id="rId214" Type="http://schemas.openxmlformats.org/officeDocument/2006/relationships/hyperlink" Target="https://analytics.zoho.com/open-view/2395394000008503554?ZOHO_CRITERIA=%22Pueblos%20Ind%C3%ADgenas%20Sexo%22.%22id_Region%22%20%3D%207" TargetMode="External"/><Relationship Id="rId235" Type="http://schemas.openxmlformats.org/officeDocument/2006/relationships/hyperlink" Target="https://analytics.zoho.com/open-view/2395394000008296020?ZOHO_CRITERIA=%22Consolidado_Estadisticas_Regionales_New%22.%22C%C3%B3digo%20regi%C3%B3n%22%3D2" TargetMode="External"/><Relationship Id="rId256" Type="http://schemas.openxmlformats.org/officeDocument/2006/relationships/hyperlink" Target="https://analytics.zoho.com/open-view/2395394000008299691?ZOHO_CRITERIA=%22Consolidado_Estadisticas_Regionales_New%22.%22C%C3%B3digo%20regi%C3%B3n%22%3D7" TargetMode="External"/><Relationship Id="rId277" Type="http://schemas.openxmlformats.org/officeDocument/2006/relationships/hyperlink" Target="https://analytics.zoho.com/open-view/2395394000008434853?ZOHO_CRITERIA=%22Televisi%C3%B3n_Pago%22.%22CodRegi%C3%B3n%22%3D7" TargetMode="External"/><Relationship Id="rId298" Type="http://schemas.openxmlformats.org/officeDocument/2006/relationships/hyperlink" Target="https://analytics.zoho.com/open-view/2395394000008478071?ZOHO_CRITERIA=%22Localiza%20CL%22.%22Codreg%22%20%3D%201" TargetMode="External"/><Relationship Id="rId116" Type="http://schemas.openxmlformats.org/officeDocument/2006/relationships/hyperlink" Target="https://analytics.zoho.com/open-view/2395394000007277131" TargetMode="External"/><Relationship Id="rId137" Type="http://schemas.openxmlformats.org/officeDocument/2006/relationships/hyperlink" Target="https://analytics.zoho.com/open-view/2395394000008435117" TargetMode="External"/><Relationship Id="rId158" Type="http://schemas.openxmlformats.org/officeDocument/2006/relationships/hyperlink" Target="https://analytics.zoho.com/open-view/2395394000008503085?ZOHO_CRITERIA=%22Pueblos%20Ind%C3%ADgenas%20Edad%22.%22id_Region%22%20%3D%204" TargetMode="External"/><Relationship Id="rId302" Type="http://schemas.openxmlformats.org/officeDocument/2006/relationships/hyperlink" Target="https://analytics.zoho.com/open-view/2395394000008478071?ZOHO_CRITERIA=%22Localiza%20CL%22.%22Codreg%22%20%3D%205" TargetMode="External"/><Relationship Id="rId323" Type="http://schemas.openxmlformats.org/officeDocument/2006/relationships/hyperlink" Target="https://analytics.zoho.com/open-view/2395394000008478183?ZOHO_CRITERIA=%22Localiza%20CL%22.%22Codreg%22%20%3D%208" TargetMode="External"/><Relationship Id="rId344" Type="http://schemas.openxmlformats.org/officeDocument/2006/relationships/hyperlink" Target="https://analytics.zoho.com/open-view/2395394000008745260?ZOHO_CRITERIA=%22Consolidado_Estadisticas_Regionales_New%22.%22C%C3%B3digo%20regi%C3%B3n%22%20%3D%203" TargetMode="External"/><Relationship Id="rId20" Type="http://schemas.openxmlformats.org/officeDocument/2006/relationships/hyperlink" Target="https://app.powerbi.com/view?r=eyJrIjoiYTRjMTJkZmEtNzNlMC00ODRlLWIxMzYtNzAzYWVlMGQ2YTU0IiwidCI6IjhmYmFhNWJmLTJlY2MtNGRjOC1iNTZiLThmOTJlMzA3ZjA3NiIsImMiOjR9" TargetMode="External"/><Relationship Id="rId41" Type="http://schemas.openxmlformats.org/officeDocument/2006/relationships/hyperlink" Target="https://analytics.zoho.com/open-view/2395394000007806315" TargetMode="External"/><Relationship Id="rId62" Type="http://schemas.openxmlformats.org/officeDocument/2006/relationships/hyperlink" Target="https://analytics.zoho.com/open-view/2395394000007849604" TargetMode="External"/><Relationship Id="rId83" Type="http://schemas.openxmlformats.org/officeDocument/2006/relationships/hyperlink" Target="https://analytics.zoho.com/open-view/2395394000008645520" TargetMode="External"/><Relationship Id="rId179" Type="http://schemas.openxmlformats.org/officeDocument/2006/relationships/hyperlink" Target="https://analytics.zoho.com/open-view/2395394000008503207?ZOHO_CRITERIA=%22Pueblos%20Ind%C3%ADgenas%20Edad%22.%22id_Region%22%20%3D%207" TargetMode="External"/><Relationship Id="rId190" Type="http://schemas.openxmlformats.org/officeDocument/2006/relationships/hyperlink" Target="https://analytics.zoho.com/open-view/2395394000008436989" TargetMode="External"/><Relationship Id="rId204" Type="http://schemas.openxmlformats.org/officeDocument/2006/relationships/hyperlink" Target="https://analytics.zoho.com/open-view/2395394000008503341?ZOHO_CRITERIA=%22Pueblos%20Ind%C3%ADgenas%20Edad%22.%22id_Region%22%20%3D%2014" TargetMode="External"/><Relationship Id="rId225" Type="http://schemas.openxmlformats.org/officeDocument/2006/relationships/hyperlink" Target="https://analytics.zoho.com/open-view/2395394000008196724" TargetMode="External"/><Relationship Id="rId246" Type="http://schemas.openxmlformats.org/officeDocument/2006/relationships/hyperlink" Target="https://analytics.zoho.com/open-view/2395394000008296020?ZOHO_CRITERIA=%22Consolidado_Estadisticas_Regionales_New%22.%22C%C3%B3digo%20regi%C3%B3n%22%3D13" TargetMode="External"/><Relationship Id="rId267" Type="http://schemas.openxmlformats.org/officeDocument/2006/relationships/hyperlink" Target="https://analytics.zoho.com/open-view/2395394000008335799" TargetMode="External"/><Relationship Id="rId288" Type="http://schemas.openxmlformats.org/officeDocument/2006/relationships/hyperlink" Target="https://analytics.zoho.com/open-view/2395394000008094339?ZOHO_CRITERIA=%22Consolidado_Estadisticas_Regionales_New%22.%22C%C3%B3digo%20regi%C3%B3n%22%20%3D%202" TargetMode="External"/><Relationship Id="rId106" Type="http://schemas.openxmlformats.org/officeDocument/2006/relationships/hyperlink" Target="https://analytics.zoho.com/open-view/2395394000008421106" TargetMode="External"/><Relationship Id="rId127" Type="http://schemas.openxmlformats.org/officeDocument/2006/relationships/hyperlink" Target="https://analytics.zoho.com/open-view/2395394000008435500?ZOHO_CRITERIA=%22Conexi%C3%B3n_Internet_fija%22.%22Codreg%22%3D8" TargetMode="External"/><Relationship Id="rId313" Type="http://schemas.openxmlformats.org/officeDocument/2006/relationships/hyperlink" Target="https://analytics.zoho.com/open-view/2395394000008478071?ZOHO_CRITERIA=%22Localiza%20CL%22.%22Codreg%22%20%3D%2016" TargetMode="External"/><Relationship Id="rId10" Type="http://schemas.openxmlformats.org/officeDocument/2006/relationships/hyperlink" Target="https://analytics.zoho.com/open-view/2395394000007782340" TargetMode="External"/><Relationship Id="rId31" Type="http://schemas.openxmlformats.org/officeDocument/2006/relationships/hyperlink" Target="https://app.powerbi.com/view?r=eyJrIjoiNDQzYmFiMjctODc3Ny00N2ZlLTgyNTctMzBmMmY3NTdhNmQ3IiwidCI6IjhmYmFhNWJmLTJlY2MtNGRjOC1iNTZiLThmOTJlMzA3ZjA3NiIsImMiOjR9" TargetMode="External"/><Relationship Id="rId52" Type="http://schemas.openxmlformats.org/officeDocument/2006/relationships/hyperlink" Target="https://analytics.zoho.com/open-view/2395394000008195941" TargetMode="External"/><Relationship Id="rId73" Type="http://schemas.openxmlformats.org/officeDocument/2006/relationships/hyperlink" Target="https://analytics.zoho.com/open-view/2395394000008438077" TargetMode="External"/><Relationship Id="rId94" Type="http://schemas.openxmlformats.org/officeDocument/2006/relationships/hyperlink" Target="https://analytics.zoho.com/open-view/2395394000008069848" TargetMode="External"/><Relationship Id="rId148" Type="http://schemas.openxmlformats.org/officeDocument/2006/relationships/hyperlink" Target="https://analytics.zoho.com/open-view/2395394000008511008?ZOHO_CRITERIA=%22Televisi%C3%B3n_Pago%22.%22CodRegi%C3%B3n%22%3D11" TargetMode="External"/><Relationship Id="rId169" Type="http://schemas.openxmlformats.org/officeDocument/2006/relationships/hyperlink" Target="https://analytics.zoho.com/open-view/2395394000008503085?ZOHO_CRITERIA=%22Pueblos%20Ind%C3%ADgenas%20Edad%22.%22id_Region%22%20%3D%2015" TargetMode="External"/><Relationship Id="rId334" Type="http://schemas.openxmlformats.org/officeDocument/2006/relationships/hyperlink" Target="https://analytics.zoho.com/open-view/2395394000008193221" TargetMode="External"/><Relationship Id="rId355" Type="http://schemas.openxmlformats.org/officeDocument/2006/relationships/drawing" Target="../drawings/drawing2.xml"/><Relationship Id="rId4" Type="http://schemas.openxmlformats.org/officeDocument/2006/relationships/hyperlink" Target="https://analytics.zoho.com/open-view/2395394000005948862" TargetMode="External"/><Relationship Id="rId180" Type="http://schemas.openxmlformats.org/officeDocument/2006/relationships/hyperlink" Target="https://analytics.zoho.com/open-view/2395394000008503207?ZOHO_CRITERIA=%22Pueblos%20Ind%C3%ADgenas%20Edad%22.%22id_Region%22%20%3D%208" TargetMode="External"/><Relationship Id="rId215" Type="http://schemas.openxmlformats.org/officeDocument/2006/relationships/hyperlink" Target="https://analytics.zoho.com/open-view/2395394000008503554?ZOHO_CRITERIA=%22Pueblos%20Ind%C3%ADgenas%20Sexo%22.%22id_Region%22%20%3D%208" TargetMode="External"/><Relationship Id="rId236" Type="http://schemas.openxmlformats.org/officeDocument/2006/relationships/hyperlink" Target="https://analytics.zoho.com/open-view/2395394000008296020?ZOHO_CRITERIA=%22Consolidado_Estadisticas_Regionales_New%22.%22C%C3%B3digo%20regi%C3%B3n%22%3D3" TargetMode="External"/><Relationship Id="rId257" Type="http://schemas.openxmlformats.org/officeDocument/2006/relationships/hyperlink" Target="https://analytics.zoho.com/open-view/2395394000008299691?ZOHO_CRITERIA=%22Consolidado_Estadisticas_Regionales_New%22.%22C%C3%B3digo%20regi%C3%B3n%22%3D8" TargetMode="External"/><Relationship Id="rId278" Type="http://schemas.openxmlformats.org/officeDocument/2006/relationships/hyperlink" Target="https://analytics.zoho.com/open-view/2395394000008434853?ZOHO_CRITERIA=%22Televisi%C3%B3n_Pago%22.%22CodRegi%C3%B3n%22%3D8" TargetMode="External"/><Relationship Id="rId303" Type="http://schemas.openxmlformats.org/officeDocument/2006/relationships/hyperlink" Target="https://analytics.zoho.com/open-view/2395394000008478071?ZOHO_CRITERIA=%22Localiza%20CL%22.%22Codreg%22%20%3D%206" TargetMode="External"/><Relationship Id="rId42" Type="http://schemas.openxmlformats.org/officeDocument/2006/relationships/hyperlink" Target="https://analytics.zoho.com/open-view/2395394000007806463" TargetMode="External"/><Relationship Id="rId84" Type="http://schemas.openxmlformats.org/officeDocument/2006/relationships/hyperlink" Target="https://analytics.zoho.com/open-view/2395394000008645674" TargetMode="External"/><Relationship Id="rId138" Type="http://schemas.openxmlformats.org/officeDocument/2006/relationships/hyperlink" Target="https://analytics.zoho.com/open-view/2395394000008511008?ZOHO_CRITERIA=%22Televisi%C3%B3n_Pago%22.%22CodRegi%C3%B3n%22%3D1" TargetMode="External"/><Relationship Id="rId345" Type="http://schemas.openxmlformats.org/officeDocument/2006/relationships/hyperlink" Target="https://analytics.zoho.com/open-view/2395394000008230301" TargetMode="External"/><Relationship Id="rId191" Type="http://schemas.openxmlformats.org/officeDocument/2006/relationships/hyperlink" Target="https://analytics.zoho.com/open-view/2395394000008503341?ZOHO_CRITERIA=%22Pueblos%20Ind%C3%ADgenas%20Edad%22.%22id_Region%22%20%3D%201" TargetMode="External"/><Relationship Id="rId205" Type="http://schemas.openxmlformats.org/officeDocument/2006/relationships/hyperlink" Target="https://analytics.zoho.com/open-view/2395394000008503341?ZOHO_CRITERIA=%22Pueblos%20Ind%C3%ADgenas%20Edad%22.%22id_Region%22%20%3D%2015" TargetMode="External"/><Relationship Id="rId247" Type="http://schemas.openxmlformats.org/officeDocument/2006/relationships/hyperlink" Target="https://analytics.zoho.com/open-view/2395394000008296020?ZOHO_CRITERIA=%22Consolidado_Estadisticas_Regionales_New%22.%22C%C3%B3digo%20regi%C3%B3n%22%3D14" TargetMode="External"/><Relationship Id="rId107" Type="http://schemas.openxmlformats.org/officeDocument/2006/relationships/hyperlink" Target="https://analytics.zoho.com/open-view/2395394000008421914" TargetMode="External"/><Relationship Id="rId289" Type="http://schemas.openxmlformats.org/officeDocument/2006/relationships/hyperlink" Target="https://analytics.zoho.com/open-view/2395394000008094339?ZOHO_CRITERIA=%22Consolidado_Estadisticas_Regionales_New%22.%22C%C3%B3digo%20regi%C3%B3n%22%20%3D%203" TargetMode="External"/><Relationship Id="rId11" Type="http://schemas.openxmlformats.org/officeDocument/2006/relationships/hyperlink" Target="https://app.powerbi.com/view?r=eyJrIjoiZWUwODhjMWEtNGI0OC00NjAyLWE0YTAtYzlhYmUxY2M1MTUxIiwidCI6IjhmYmFhNWJmLTJlY2MtNGRjOC1iNTZiLThmOTJlMzA3ZjA3NiIsImMiOjR9&amp;pageName=ReportSectiona65e1fe79648cd445a4d" TargetMode="External"/><Relationship Id="rId53" Type="http://schemas.openxmlformats.org/officeDocument/2006/relationships/hyperlink" Target="https://analytics.zoho.com/open-view/2395394000008181172" TargetMode="External"/><Relationship Id="rId149" Type="http://schemas.openxmlformats.org/officeDocument/2006/relationships/hyperlink" Target="https://analytics.zoho.com/open-view/2395394000008511008?ZOHO_CRITERIA=%22Televisi%C3%B3n_Pago%22.%22CodRegi%C3%B3n%22%3D12" TargetMode="External"/><Relationship Id="rId314" Type="http://schemas.openxmlformats.org/officeDocument/2006/relationships/hyperlink" Target="https://analytics.zoho.com/open-view/2395394000008183474" TargetMode="External"/><Relationship Id="rId356" Type="http://schemas.openxmlformats.org/officeDocument/2006/relationships/table" Target="../tables/table1.xml"/><Relationship Id="rId95" Type="http://schemas.openxmlformats.org/officeDocument/2006/relationships/hyperlink" Target="https://analytics.zoho.com/open-view/2395394000008195644" TargetMode="External"/><Relationship Id="rId160" Type="http://schemas.openxmlformats.org/officeDocument/2006/relationships/hyperlink" Target="https://analytics.zoho.com/open-view/2395394000008503085?ZOHO_CRITERIA=%22Pueblos%20Ind%C3%ADgenas%20Edad%22.%22id_Region%22%20%3D%206" TargetMode="External"/><Relationship Id="rId216" Type="http://schemas.openxmlformats.org/officeDocument/2006/relationships/hyperlink" Target="https://analytics.zoho.com/open-view/2395394000008503554?ZOHO_CRITERIA=%22Pueblos%20Ind%C3%ADgenas%20Sexo%22.%22id_Region%22%20%3D%209" TargetMode="External"/><Relationship Id="rId258" Type="http://schemas.openxmlformats.org/officeDocument/2006/relationships/hyperlink" Target="https://analytics.zoho.com/open-view/2395394000008299691?ZOHO_CRITERIA=%22Consolidado_Estadisticas_Regionales_New%22.%22C%C3%B3digo%20regi%C3%B3n%22%3D9" TargetMode="External"/><Relationship Id="rId22" Type="http://schemas.openxmlformats.org/officeDocument/2006/relationships/hyperlink" Target="https://app.powerbi.com/view?r=eyJrIjoiNzYyYzA1MTQtYjU4ZC00YmIyLTgxMTMtODQ1MzE1OTdkZTU5IiwidCI6IjhmYmFhNWJmLTJlY2MtNGRjOC1iNTZiLThmOTJlMzA3ZjA3NiIsImMiOjR9" TargetMode="External"/><Relationship Id="rId64" Type="http://schemas.openxmlformats.org/officeDocument/2006/relationships/hyperlink" Target="https://analytics.zoho.com/open-view/2395394000006644987" TargetMode="External"/><Relationship Id="rId118" Type="http://schemas.openxmlformats.org/officeDocument/2006/relationships/hyperlink" Target="https://analytics.zoho.com/open-view/2395394000008214196" TargetMode="External"/><Relationship Id="rId325" Type="http://schemas.openxmlformats.org/officeDocument/2006/relationships/hyperlink" Target="https://analytics.zoho.com/open-view/2395394000008478183?ZOHO_CRITERIA=%22Localiza%20CL%22.%22Codreg%22%20%3D%2010" TargetMode="External"/><Relationship Id="rId171" Type="http://schemas.openxmlformats.org/officeDocument/2006/relationships/hyperlink" Target="https://analytics.zoho.com/open-view/2395394000008438417" TargetMode="External"/><Relationship Id="rId227" Type="http://schemas.openxmlformats.org/officeDocument/2006/relationships/hyperlink" Target="https://analytics.zoho.com/open-view/2395394000008199783" TargetMode="External"/><Relationship Id="rId269" Type="http://schemas.openxmlformats.org/officeDocument/2006/relationships/hyperlink" Target="https://analytics.zoho.com/open-view/2395394000008383927" TargetMode="External"/><Relationship Id="rId33" Type="http://schemas.openxmlformats.org/officeDocument/2006/relationships/hyperlink" Target="https://app.powerbi.com/view?r=eyJrIjoiZThkYzY0YTItNWE2NS00MjE5LTgzNTItOWFmNjE2NWE5NTIwIiwidCI6IjhmYmFhNWJmLTJlY2MtNGRjOC1iNTZiLThmOTJlMzA3ZjA3NiIsImMiOjR9" TargetMode="External"/><Relationship Id="rId129" Type="http://schemas.openxmlformats.org/officeDocument/2006/relationships/hyperlink" Target="https://analytics.zoho.com/open-view/2395394000008435500?ZOHO_CRITERIA=%22Conexi%C3%B3n_Internet_fija%22.%22Codreg%22%3D10" TargetMode="External"/><Relationship Id="rId280" Type="http://schemas.openxmlformats.org/officeDocument/2006/relationships/hyperlink" Target="https://analytics.zoho.com/open-view/2395394000008434853?ZOHO_CRITERIA=%22Televisi%C3%B3n_Pago%22.%22CodRegi%C3%B3n%22%3D10" TargetMode="External"/><Relationship Id="rId336" Type="http://schemas.openxmlformats.org/officeDocument/2006/relationships/hyperlink" Target="https://analytics.zoho.com/open-view/2395394000008410521?ZOHO_CRITERIA=%22Pa%C3%ADs_Todo%22.%22id_TipoProducto%22%3D4" TargetMode="External"/><Relationship Id="rId75" Type="http://schemas.openxmlformats.org/officeDocument/2006/relationships/hyperlink" Target="https://infogram.com/incendios-2010-2020-1h1749vvopnyq6z?live" TargetMode="External"/><Relationship Id="rId140" Type="http://schemas.openxmlformats.org/officeDocument/2006/relationships/hyperlink" Target="https://analytics.zoho.com/open-view/2395394000008511008?ZOHO_CRITERIA=%22Televisi%C3%B3n_Pago%22.%22CodRegi%C3%B3n%22%3D3" TargetMode="External"/><Relationship Id="rId182" Type="http://schemas.openxmlformats.org/officeDocument/2006/relationships/hyperlink" Target="https://analytics.zoho.com/open-view/2395394000008503207?ZOHO_CRITERIA=%22Pueblos%20Ind%C3%ADgenas%20Edad%22.%22id_Region%22%20%3D%2010" TargetMode="External"/><Relationship Id="rId6" Type="http://schemas.openxmlformats.org/officeDocument/2006/relationships/hyperlink" Target="https://analytics.zoho.com/open-view/2395394000008210549" TargetMode="External"/><Relationship Id="rId238" Type="http://schemas.openxmlformats.org/officeDocument/2006/relationships/hyperlink" Target="https://analytics.zoho.com/open-view/2395394000008296020?ZOHO_CRITERIA=%22Consolidado_Estadisticas_Regionales_New%22.%22C%C3%B3digo%20regi%C3%B3n%22%3D5" TargetMode="External"/><Relationship Id="rId291" Type="http://schemas.openxmlformats.org/officeDocument/2006/relationships/hyperlink" Target="https://analytics.zoho.com/open-view/2395394000008760041?ZOHO_CRITERIA=%22Consolidado_Estadisticas_Regionales_New%22.%22C%C3%B3digo%20regi%C3%B3n%22%20%3D%201" TargetMode="External"/><Relationship Id="rId305" Type="http://schemas.openxmlformats.org/officeDocument/2006/relationships/hyperlink" Target="https://analytics.zoho.com/open-view/2395394000008478071?ZOHO_CRITERIA=%22Localiza%20CL%22.%22Codreg%22%20%3D%208" TargetMode="External"/><Relationship Id="rId347" Type="http://schemas.openxmlformats.org/officeDocument/2006/relationships/hyperlink" Target="https://analytics.zoho.com/open-view/2395394000008214357" TargetMode="External"/><Relationship Id="rId44" Type="http://schemas.openxmlformats.org/officeDocument/2006/relationships/hyperlink" Target="https://analytics.zoho.com/open-view/2395394000007837543" TargetMode="External"/><Relationship Id="rId86" Type="http://schemas.openxmlformats.org/officeDocument/2006/relationships/hyperlink" Target="https://app.powerbi.com/view?r=eyJrIjoiOWVmOWU0YTYtZWY0NS00ZTZlLWJlMDMtYTMwNWVjOTU5YTNhIiwidCI6IjhmYmFhNWJmLTJlY2MtNGRjOC1iNTZiLThmOTJlMzA3ZjA3NiIsImMiOjR9" TargetMode="External"/><Relationship Id="rId151" Type="http://schemas.openxmlformats.org/officeDocument/2006/relationships/hyperlink" Target="https://analytics.zoho.com/open-view/2395394000008511008?ZOHO_CRITERIA=%22Televisi%C3%B3n_Pago%22.%22CodRegi%C3%B3n%22%3D14" TargetMode="External"/><Relationship Id="rId193" Type="http://schemas.openxmlformats.org/officeDocument/2006/relationships/hyperlink" Target="https://analytics.zoho.com/open-view/2395394000008503341?ZOHO_CRITERIA=%22Pueblos%20Ind%C3%ADgenas%20Edad%22.%22id_Region%22%20%3D%203" TargetMode="External"/><Relationship Id="rId207" Type="http://schemas.openxmlformats.org/officeDocument/2006/relationships/hyperlink" Target="https://analytics.zoho.com/open-view/2395394000008439092" TargetMode="External"/><Relationship Id="rId249" Type="http://schemas.openxmlformats.org/officeDocument/2006/relationships/hyperlink" Target="https://analytics.zoho.com/open-view/2395394000008296020?ZOHO_CRITERIA=%22Consolidado_Estadisticas_Regionales_New%22.%22C%C3%B3digo%20regi%C3%B3n%22%3D16" TargetMode="External"/><Relationship Id="rId13" Type="http://schemas.openxmlformats.org/officeDocument/2006/relationships/hyperlink" Target="https://analytics.zoho.com/open-view/2395394000008056138" TargetMode="External"/><Relationship Id="rId109" Type="http://schemas.openxmlformats.org/officeDocument/2006/relationships/hyperlink" Target="https://analytics.zoho.com/open-view/2395394000008172059" TargetMode="External"/><Relationship Id="rId260" Type="http://schemas.openxmlformats.org/officeDocument/2006/relationships/hyperlink" Target="https://analytics.zoho.com/open-view/2395394000008299691?ZOHO_CRITERIA=%22Consolidado_Estadisticas_Regionales_New%22.%22C%C3%B3digo%20regi%C3%B3n%22%3D11" TargetMode="External"/><Relationship Id="rId316" Type="http://schemas.openxmlformats.org/officeDocument/2006/relationships/hyperlink" Target="https://analytics.zoho.com/open-view/2395394000008478183?ZOHO_CRITERIA=%22Localiza%20CL%22.%22Codreg%22%20%3D%201" TargetMode="External"/><Relationship Id="rId55" Type="http://schemas.openxmlformats.org/officeDocument/2006/relationships/hyperlink" Target="https://analytics.zoho.com/open-view/2395394000008231718" TargetMode="External"/><Relationship Id="rId97" Type="http://schemas.openxmlformats.org/officeDocument/2006/relationships/hyperlink" Target="https://analytics.zoho.com/open-view/2395394000008278466" TargetMode="External"/><Relationship Id="rId120" Type="http://schemas.openxmlformats.org/officeDocument/2006/relationships/hyperlink" Target="https://analytics.zoho.com/open-view/2395394000008516593?ZOHO_CRITERIA=%222.1%22.%22C%C3%B3digo%20Regi%C3%B3n%22%20%3D%2012" TargetMode="External"/><Relationship Id="rId162" Type="http://schemas.openxmlformats.org/officeDocument/2006/relationships/hyperlink" Target="https://analytics.zoho.com/open-view/2395394000008503085?ZOHO_CRITERIA=%22Pueblos%20Ind%C3%ADgenas%20Edad%22.%22id_Region%22%20%3D%208" TargetMode="External"/><Relationship Id="rId218" Type="http://schemas.openxmlformats.org/officeDocument/2006/relationships/hyperlink" Target="https://analytics.zoho.com/open-view/2395394000008503554?ZOHO_CRITERIA=%22Pueblos%20Ind%C3%ADgenas%20Sexo%22.%22id_Region%22%20%3D%2011" TargetMode="External"/><Relationship Id="rId271" Type="http://schemas.openxmlformats.org/officeDocument/2006/relationships/hyperlink" Target="https://analytics.zoho.com/open-view/2395394000008435500?ZOHO_CRITERIA=%22Conexi%C3%B3n_Internet_fija%22.%22Codreg%22%3D1" TargetMode="External"/><Relationship Id="rId24" Type="http://schemas.openxmlformats.org/officeDocument/2006/relationships/hyperlink" Target="https://app.powerbi.com/view?r=eyJrIjoiNDExYTM1N2EtYTNiYi00OGNkLThhMjMtMDVjNGQ5NzNjZTU1IiwidCI6IjhmYmFhNWJmLTJlY2MtNGRjOC1iNTZiLThmOTJlMzA3ZjA3NiIsImMiOjR9" TargetMode="External"/><Relationship Id="rId66" Type="http://schemas.openxmlformats.org/officeDocument/2006/relationships/hyperlink" Target="https://app.powerbi.com/view?r=eyJrIjoiOTYzMmNhMzUtZjhhZi00ZWU2LTgwMGQtZGJmMjk4MGE3YzE3IiwidCI6IjhmYmFhNWJmLTJlY2MtNGRjOC1iNTZiLThmOTJlMzA3ZjA3NiIsImMiOjR9" TargetMode="External"/><Relationship Id="rId131" Type="http://schemas.openxmlformats.org/officeDocument/2006/relationships/hyperlink" Target="https://analytics.zoho.com/open-view/2395394000008435500?ZOHO_CRITERIA=%22Conexi%C3%B3n_Internet_fija%22.%22Codreg%22%3D12" TargetMode="External"/><Relationship Id="rId327" Type="http://schemas.openxmlformats.org/officeDocument/2006/relationships/hyperlink" Target="https://analytics.zoho.com/open-view/2395394000008478183?ZOHO_CRITERIA=%22Localiza%20CL%22.%22Codreg%22%20%3D%2012" TargetMode="External"/><Relationship Id="rId173" Type="http://schemas.openxmlformats.org/officeDocument/2006/relationships/hyperlink" Target="https://analytics.zoho.com/open-view/2395394000008503207?ZOHO_CRITERIA=%22Pueblos%20Ind%C3%ADgenas%20Edad%22.%22id_Region%22%20%3D%201" TargetMode="External"/><Relationship Id="rId229" Type="http://schemas.openxmlformats.org/officeDocument/2006/relationships/hyperlink" Target="https://analytics.zoho.com/open-view/2395394000008086867" TargetMode="External"/><Relationship Id="rId240" Type="http://schemas.openxmlformats.org/officeDocument/2006/relationships/hyperlink" Target="https://analytics.zoho.com/open-view/2395394000008296020?ZOHO_CRITERIA=%22Consolidado_Estadisticas_Regionales_New%22.%22C%C3%B3digo%20regi%C3%B3n%22%3D7" TargetMode="External"/><Relationship Id="rId35" Type="http://schemas.openxmlformats.org/officeDocument/2006/relationships/hyperlink" Target="https://analytics.zoho.com/open-view/2395394000008056226" TargetMode="External"/><Relationship Id="rId77" Type="http://schemas.openxmlformats.org/officeDocument/2006/relationships/hyperlink" Target="https://analytics.zoho.com/open-view/2395394000008049248" TargetMode="External"/><Relationship Id="rId100" Type="http://schemas.openxmlformats.org/officeDocument/2006/relationships/hyperlink" Target="https://analytics.zoho.com/open-view/2395394000008475464" TargetMode="External"/><Relationship Id="rId282" Type="http://schemas.openxmlformats.org/officeDocument/2006/relationships/hyperlink" Target="https://analytics.zoho.com/open-view/2395394000008434853?ZOHO_CRITERIA=%22Televisi%C3%B3n_Pago%22.%22CodRegi%C3%B3n%22%3D12" TargetMode="External"/><Relationship Id="rId338" Type="http://schemas.openxmlformats.org/officeDocument/2006/relationships/hyperlink" Target="https://analytics.zoho.com/open-view/2395394000008083407" TargetMode="External"/><Relationship Id="rId8" Type="http://schemas.openxmlformats.org/officeDocument/2006/relationships/hyperlink" Target="https://analytics.zoho.com/open-view/2395394000007782157" TargetMode="External"/><Relationship Id="rId142" Type="http://schemas.openxmlformats.org/officeDocument/2006/relationships/hyperlink" Target="https://analytics.zoho.com/open-view/2395394000008511008?ZOHO_CRITERIA=%22Televisi%C3%B3n_Pago%22.%22CodRegi%C3%B3n%22%3D5" TargetMode="External"/><Relationship Id="rId184" Type="http://schemas.openxmlformats.org/officeDocument/2006/relationships/hyperlink" Target="https://analytics.zoho.com/open-view/2395394000008503207?ZOHO_CRITERIA=%22Pueblos%20Ind%C3%ADgenas%20Edad%22.%22id_Region%22%20%3D%2012" TargetMode="External"/><Relationship Id="rId251" Type="http://schemas.openxmlformats.org/officeDocument/2006/relationships/hyperlink" Target="https://analytics.zoho.com/open-view/2395394000008299691?ZOHO_CRITERIA=%22Consolidado_Estadisticas_Regionales_New%22.%22C%C3%B3digo%20regi%C3%B3n%22%3D2"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1128-897E-471D-BA93-5C8CC8936DE1}">
  <dimension ref="A3:E229"/>
  <sheetViews>
    <sheetView showGridLines="0" workbookViewId="0">
      <selection activeCell="B110" sqref="B110"/>
    </sheetView>
  </sheetViews>
  <sheetFormatPr baseColWidth="10" defaultRowHeight="14.4" x14ac:dyDescent="0.3"/>
  <cols>
    <col min="1" max="1" width="30.88671875" customWidth="1"/>
    <col min="2" max="2" width="46.44140625" bestFit="1" customWidth="1"/>
    <col min="3" max="3" width="45" bestFit="1" customWidth="1"/>
    <col min="4" max="4" width="10.44140625" bestFit="1" customWidth="1"/>
    <col min="5" max="5" width="18.33203125" bestFit="1" customWidth="1"/>
    <col min="6" max="6" width="18.109375" bestFit="1" customWidth="1"/>
  </cols>
  <sheetData>
    <row r="3" spans="1:5" x14ac:dyDescent="0.3">
      <c r="A3" s="82" t="s">
        <v>1</v>
      </c>
      <c r="B3" s="82" t="s">
        <v>4</v>
      </c>
      <c r="C3" s="82" t="s">
        <v>3</v>
      </c>
      <c r="D3" s="82" t="s">
        <v>5</v>
      </c>
      <c r="E3" t="s">
        <v>593</v>
      </c>
    </row>
    <row r="4" spans="1:5" x14ac:dyDescent="0.3">
      <c r="A4" s="81" t="s">
        <v>401</v>
      </c>
      <c r="B4" s="81" t="s">
        <v>575</v>
      </c>
      <c r="C4" s="81" t="s">
        <v>819</v>
      </c>
      <c r="D4" s="81" t="s">
        <v>20</v>
      </c>
      <c r="E4" s="101">
        <v>2</v>
      </c>
    </row>
    <row r="5" spans="1:5" x14ac:dyDescent="0.3">
      <c r="A5" s="81" t="s">
        <v>401</v>
      </c>
      <c r="B5" s="81" t="s">
        <v>575</v>
      </c>
      <c r="C5" s="81" t="s">
        <v>819</v>
      </c>
      <c r="D5" s="81" t="s">
        <v>16</v>
      </c>
      <c r="E5" s="101">
        <v>32</v>
      </c>
    </row>
    <row r="6" spans="1:5" x14ac:dyDescent="0.3">
      <c r="A6" s="81" t="s">
        <v>401</v>
      </c>
      <c r="B6" s="81" t="s">
        <v>2370</v>
      </c>
      <c r="C6" s="81"/>
      <c r="D6" s="81"/>
      <c r="E6" s="101">
        <v>34</v>
      </c>
    </row>
    <row r="7" spans="1:5" x14ac:dyDescent="0.3">
      <c r="A7" s="81" t="s">
        <v>401</v>
      </c>
      <c r="B7" s="81" t="s">
        <v>1029</v>
      </c>
      <c r="C7" s="81" t="s">
        <v>1028</v>
      </c>
      <c r="D7" s="81" t="s">
        <v>20</v>
      </c>
      <c r="E7" s="101">
        <v>3</v>
      </c>
    </row>
    <row r="8" spans="1:5" x14ac:dyDescent="0.3">
      <c r="A8" s="81" t="s">
        <v>401</v>
      </c>
      <c r="B8" s="81" t="s">
        <v>1029</v>
      </c>
      <c r="C8" s="81" t="s">
        <v>1028</v>
      </c>
      <c r="D8" s="81" t="s">
        <v>16</v>
      </c>
      <c r="E8" s="101">
        <v>16</v>
      </c>
    </row>
    <row r="9" spans="1:5" x14ac:dyDescent="0.3">
      <c r="A9" s="81" t="s">
        <v>401</v>
      </c>
      <c r="B9" s="81" t="s">
        <v>2371</v>
      </c>
      <c r="C9" s="81"/>
      <c r="D9" s="81"/>
      <c r="E9" s="101">
        <v>19</v>
      </c>
    </row>
    <row r="10" spans="1:5" x14ac:dyDescent="0.3">
      <c r="A10" s="81" t="s">
        <v>401</v>
      </c>
      <c r="B10" s="81" t="s">
        <v>1601</v>
      </c>
      <c r="C10" s="81" t="s">
        <v>883</v>
      </c>
      <c r="D10" s="81" t="s">
        <v>20</v>
      </c>
      <c r="E10" s="101">
        <v>1</v>
      </c>
    </row>
    <row r="11" spans="1:5" x14ac:dyDescent="0.3">
      <c r="A11" s="81" t="s">
        <v>401</v>
      </c>
      <c r="B11" s="81" t="s">
        <v>1601</v>
      </c>
      <c r="C11" s="81" t="s">
        <v>1492</v>
      </c>
      <c r="D11" s="81" t="s">
        <v>20</v>
      </c>
      <c r="E11" s="101">
        <v>1</v>
      </c>
    </row>
    <row r="12" spans="1:5" x14ac:dyDescent="0.3">
      <c r="A12" s="81" t="s">
        <v>401</v>
      </c>
      <c r="B12" s="81" t="s">
        <v>1601</v>
      </c>
      <c r="C12" s="81" t="s">
        <v>1495</v>
      </c>
      <c r="D12" s="81" t="s">
        <v>20</v>
      </c>
      <c r="E12" s="101">
        <v>1</v>
      </c>
    </row>
    <row r="13" spans="1:5" x14ac:dyDescent="0.3">
      <c r="A13" s="81" t="s">
        <v>401</v>
      </c>
      <c r="B13" s="81" t="s">
        <v>1601</v>
      </c>
      <c r="C13" s="81" t="s">
        <v>1495</v>
      </c>
      <c r="D13" s="81" t="s">
        <v>16</v>
      </c>
      <c r="E13" s="101">
        <v>16</v>
      </c>
    </row>
    <row r="14" spans="1:5" x14ac:dyDescent="0.3">
      <c r="A14" s="81" t="s">
        <v>401</v>
      </c>
      <c r="B14" s="81" t="s">
        <v>1601</v>
      </c>
      <c r="C14" s="81" t="s">
        <v>1590</v>
      </c>
      <c r="D14" s="81" t="s">
        <v>20</v>
      </c>
      <c r="E14" s="101">
        <v>2</v>
      </c>
    </row>
    <row r="15" spans="1:5" x14ac:dyDescent="0.3">
      <c r="A15" s="81" t="s">
        <v>401</v>
      </c>
      <c r="B15" s="81" t="s">
        <v>1601</v>
      </c>
      <c r="C15" s="81" t="s">
        <v>1590</v>
      </c>
      <c r="D15" s="81" t="s">
        <v>16</v>
      </c>
      <c r="E15" s="101">
        <v>32</v>
      </c>
    </row>
    <row r="16" spans="1:5" x14ac:dyDescent="0.3">
      <c r="A16" s="81" t="s">
        <v>401</v>
      </c>
      <c r="B16" s="81" t="s">
        <v>1601</v>
      </c>
      <c r="C16" s="81" t="s">
        <v>1596</v>
      </c>
      <c r="D16" s="81" t="s">
        <v>20</v>
      </c>
      <c r="E16" s="101">
        <v>1</v>
      </c>
    </row>
    <row r="17" spans="1:5" x14ac:dyDescent="0.3">
      <c r="A17" s="81" t="s">
        <v>401</v>
      </c>
      <c r="B17" s="81" t="s">
        <v>1601</v>
      </c>
      <c r="C17" s="81" t="s">
        <v>1596</v>
      </c>
      <c r="D17" s="81" t="s">
        <v>16</v>
      </c>
      <c r="E17" s="101">
        <v>16</v>
      </c>
    </row>
    <row r="18" spans="1:5" x14ac:dyDescent="0.3">
      <c r="A18" s="81" t="s">
        <v>401</v>
      </c>
      <c r="B18" s="81" t="s">
        <v>1601</v>
      </c>
      <c r="C18" s="81" t="s">
        <v>1602</v>
      </c>
      <c r="D18" s="81" t="s">
        <v>20</v>
      </c>
      <c r="E18" s="101">
        <v>1</v>
      </c>
    </row>
    <row r="19" spans="1:5" x14ac:dyDescent="0.3">
      <c r="A19" s="81" t="s">
        <v>401</v>
      </c>
      <c r="B19" s="81" t="s">
        <v>1601</v>
      </c>
      <c r="C19" s="81" t="s">
        <v>1602</v>
      </c>
      <c r="D19" s="81" t="s">
        <v>16</v>
      </c>
      <c r="E19" s="101">
        <v>16</v>
      </c>
    </row>
    <row r="20" spans="1:5" x14ac:dyDescent="0.3">
      <c r="A20" s="81" t="s">
        <v>401</v>
      </c>
      <c r="B20" s="81" t="s">
        <v>1601</v>
      </c>
      <c r="C20" s="81" t="s">
        <v>1669</v>
      </c>
      <c r="D20" s="81" t="s">
        <v>20</v>
      </c>
      <c r="E20" s="101">
        <v>1</v>
      </c>
    </row>
    <row r="21" spans="1:5" x14ac:dyDescent="0.3">
      <c r="A21" s="81" t="s">
        <v>401</v>
      </c>
      <c r="B21" s="81" t="s">
        <v>1601</v>
      </c>
      <c r="C21" s="81" t="s">
        <v>1669</v>
      </c>
      <c r="D21" s="81" t="s">
        <v>16</v>
      </c>
      <c r="E21" s="101">
        <v>16</v>
      </c>
    </row>
    <row r="22" spans="1:5" x14ac:dyDescent="0.3">
      <c r="A22" s="81" t="s">
        <v>401</v>
      </c>
      <c r="B22" s="81" t="s">
        <v>1601</v>
      </c>
      <c r="C22" s="81" t="s">
        <v>1670</v>
      </c>
      <c r="D22" s="81" t="s">
        <v>20</v>
      </c>
      <c r="E22" s="101">
        <v>1</v>
      </c>
    </row>
    <row r="23" spans="1:5" x14ac:dyDescent="0.3">
      <c r="A23" s="81" t="s">
        <v>401</v>
      </c>
      <c r="B23" s="81" t="s">
        <v>1601</v>
      </c>
      <c r="C23" s="81" t="s">
        <v>1670</v>
      </c>
      <c r="D23" s="81" t="s">
        <v>16</v>
      </c>
      <c r="E23" s="101">
        <v>16</v>
      </c>
    </row>
    <row r="24" spans="1:5" x14ac:dyDescent="0.3">
      <c r="A24" s="81" t="s">
        <v>401</v>
      </c>
      <c r="B24" s="81" t="s">
        <v>1601</v>
      </c>
      <c r="C24" s="81" t="s">
        <v>882</v>
      </c>
      <c r="D24" s="81" t="s">
        <v>20</v>
      </c>
      <c r="E24" s="101">
        <v>1</v>
      </c>
    </row>
    <row r="25" spans="1:5" x14ac:dyDescent="0.3">
      <c r="A25" s="81" t="s">
        <v>401</v>
      </c>
      <c r="B25" s="81" t="s">
        <v>1601</v>
      </c>
      <c r="C25" s="81" t="s">
        <v>882</v>
      </c>
      <c r="D25" s="81" t="s">
        <v>16</v>
      </c>
      <c r="E25" s="101">
        <v>16</v>
      </c>
    </row>
    <row r="26" spans="1:5" x14ac:dyDescent="0.3">
      <c r="A26" s="81" t="s">
        <v>401</v>
      </c>
      <c r="B26" s="81" t="s">
        <v>2372</v>
      </c>
      <c r="C26" s="81"/>
      <c r="D26" s="81"/>
      <c r="E26" s="101">
        <v>138</v>
      </c>
    </row>
    <row r="27" spans="1:5" x14ac:dyDescent="0.3">
      <c r="A27" s="81" t="s">
        <v>401</v>
      </c>
      <c r="B27" s="81" t="s">
        <v>1653</v>
      </c>
      <c r="C27" s="81" t="s">
        <v>1663</v>
      </c>
      <c r="D27" s="81" t="s">
        <v>20</v>
      </c>
      <c r="E27" s="101">
        <v>1</v>
      </c>
    </row>
    <row r="28" spans="1:5" x14ac:dyDescent="0.3">
      <c r="A28" s="81" t="s">
        <v>401</v>
      </c>
      <c r="B28" s="81" t="s">
        <v>1653</v>
      </c>
      <c r="C28" s="81" t="s">
        <v>1663</v>
      </c>
      <c r="D28" s="81" t="s">
        <v>16</v>
      </c>
      <c r="E28" s="101">
        <v>16</v>
      </c>
    </row>
    <row r="29" spans="1:5" x14ac:dyDescent="0.3">
      <c r="A29" s="81" t="s">
        <v>401</v>
      </c>
      <c r="B29" s="81" t="s">
        <v>1653</v>
      </c>
      <c r="C29" s="81" t="s">
        <v>1664</v>
      </c>
      <c r="D29" s="81" t="s">
        <v>20</v>
      </c>
      <c r="E29" s="101">
        <v>1</v>
      </c>
    </row>
    <row r="30" spans="1:5" x14ac:dyDescent="0.3">
      <c r="A30" s="81" t="s">
        <v>401</v>
      </c>
      <c r="B30" s="81" t="s">
        <v>1653</v>
      </c>
      <c r="C30" s="81" t="s">
        <v>1664</v>
      </c>
      <c r="D30" s="81" t="s">
        <v>16</v>
      </c>
      <c r="E30" s="101">
        <v>16</v>
      </c>
    </row>
    <row r="31" spans="1:5" x14ac:dyDescent="0.3">
      <c r="A31" s="81" t="s">
        <v>401</v>
      </c>
      <c r="B31" s="81" t="s">
        <v>2373</v>
      </c>
      <c r="C31" s="81"/>
      <c r="D31" s="81"/>
      <c r="E31" s="101">
        <v>34</v>
      </c>
    </row>
    <row r="32" spans="1:5" x14ac:dyDescent="0.3">
      <c r="A32" s="81" t="s">
        <v>401</v>
      </c>
      <c r="B32" s="81" t="s">
        <v>3761</v>
      </c>
      <c r="C32" s="81" t="s">
        <v>2368</v>
      </c>
      <c r="D32" s="81" t="s">
        <v>20</v>
      </c>
      <c r="E32" s="101">
        <v>1</v>
      </c>
    </row>
    <row r="33" spans="1:5" x14ac:dyDescent="0.3">
      <c r="A33" s="81" t="s">
        <v>401</v>
      </c>
      <c r="B33" s="81" t="s">
        <v>3761</v>
      </c>
      <c r="C33" s="81" t="s">
        <v>2368</v>
      </c>
      <c r="D33" s="81" t="s">
        <v>16</v>
      </c>
      <c r="E33" s="101">
        <v>16</v>
      </c>
    </row>
    <row r="34" spans="1:5" x14ac:dyDescent="0.3">
      <c r="A34" s="81" t="s">
        <v>401</v>
      </c>
      <c r="B34" s="81" t="s">
        <v>3761</v>
      </c>
      <c r="C34" s="81" t="s">
        <v>2369</v>
      </c>
      <c r="D34" s="81" t="s">
        <v>20</v>
      </c>
      <c r="E34" s="101">
        <v>1</v>
      </c>
    </row>
    <row r="35" spans="1:5" x14ac:dyDescent="0.3">
      <c r="A35" s="81" t="s">
        <v>401</v>
      </c>
      <c r="B35" s="81" t="s">
        <v>3761</v>
      </c>
      <c r="C35" s="81" t="s">
        <v>2367</v>
      </c>
      <c r="D35" s="81" t="s">
        <v>20</v>
      </c>
      <c r="E35" s="101">
        <v>1</v>
      </c>
    </row>
    <row r="36" spans="1:5" x14ac:dyDescent="0.3">
      <c r="A36" s="81" t="s">
        <v>401</v>
      </c>
      <c r="B36" s="81" t="s">
        <v>3761</v>
      </c>
      <c r="C36" s="81" t="s">
        <v>2367</v>
      </c>
      <c r="D36" s="81" t="s">
        <v>16</v>
      </c>
      <c r="E36" s="101">
        <v>16</v>
      </c>
    </row>
    <row r="37" spans="1:5" x14ac:dyDescent="0.3">
      <c r="A37" s="81" t="s">
        <v>401</v>
      </c>
      <c r="B37" s="81" t="s">
        <v>3771</v>
      </c>
      <c r="C37" s="81"/>
      <c r="D37" s="81"/>
      <c r="E37" s="101">
        <v>35</v>
      </c>
    </row>
    <row r="38" spans="1:5" x14ac:dyDescent="0.3">
      <c r="A38" s="81" t="s">
        <v>401</v>
      </c>
      <c r="B38" s="81" t="s">
        <v>3762</v>
      </c>
      <c r="C38" s="81" t="s">
        <v>463</v>
      </c>
      <c r="D38" s="81" t="s">
        <v>20</v>
      </c>
      <c r="E38" s="101">
        <v>1</v>
      </c>
    </row>
    <row r="39" spans="1:5" x14ac:dyDescent="0.3">
      <c r="A39" s="81" t="s">
        <v>401</v>
      </c>
      <c r="B39" s="81" t="s">
        <v>3762</v>
      </c>
      <c r="C39" s="81" t="s">
        <v>463</v>
      </c>
      <c r="D39" s="81" t="s">
        <v>16</v>
      </c>
      <c r="E39" s="101">
        <v>16</v>
      </c>
    </row>
    <row r="40" spans="1:5" x14ac:dyDescent="0.3">
      <c r="A40" s="81" t="s">
        <v>401</v>
      </c>
      <c r="B40" s="81" t="s">
        <v>3762</v>
      </c>
      <c r="C40" s="81" t="s">
        <v>586</v>
      </c>
      <c r="D40" s="81" t="s">
        <v>20</v>
      </c>
      <c r="E40" s="101">
        <v>1</v>
      </c>
    </row>
    <row r="41" spans="1:5" x14ac:dyDescent="0.3">
      <c r="A41" s="81" t="s">
        <v>401</v>
      </c>
      <c r="B41" s="81" t="s">
        <v>3762</v>
      </c>
      <c r="C41" s="81" t="s">
        <v>586</v>
      </c>
      <c r="D41" s="81" t="s">
        <v>16</v>
      </c>
      <c r="E41" s="101">
        <v>16</v>
      </c>
    </row>
    <row r="42" spans="1:5" x14ac:dyDescent="0.3">
      <c r="A42" s="81" t="s">
        <v>401</v>
      </c>
      <c r="B42" s="81" t="s">
        <v>3762</v>
      </c>
      <c r="C42" s="81" t="s">
        <v>823</v>
      </c>
      <c r="D42" s="81" t="s">
        <v>20</v>
      </c>
      <c r="E42" s="101">
        <v>3</v>
      </c>
    </row>
    <row r="43" spans="1:5" x14ac:dyDescent="0.3">
      <c r="A43" s="81" t="s">
        <v>401</v>
      </c>
      <c r="B43" s="81" t="s">
        <v>3762</v>
      </c>
      <c r="C43" s="81" t="s">
        <v>823</v>
      </c>
      <c r="D43" s="81" t="s">
        <v>16</v>
      </c>
      <c r="E43" s="101">
        <v>32</v>
      </c>
    </row>
    <row r="44" spans="1:5" x14ac:dyDescent="0.3">
      <c r="A44" s="81" t="s">
        <v>401</v>
      </c>
      <c r="B44" s="81" t="s">
        <v>3762</v>
      </c>
      <c r="C44" s="81" t="s">
        <v>888</v>
      </c>
      <c r="D44" s="81" t="s">
        <v>20</v>
      </c>
      <c r="E44" s="101">
        <v>4</v>
      </c>
    </row>
    <row r="45" spans="1:5" x14ac:dyDescent="0.3">
      <c r="A45" s="81" t="s">
        <v>401</v>
      </c>
      <c r="B45" s="81" t="s">
        <v>3762</v>
      </c>
      <c r="C45" s="81" t="s">
        <v>906</v>
      </c>
      <c r="D45" s="81" t="s">
        <v>20</v>
      </c>
      <c r="E45" s="101">
        <v>2</v>
      </c>
    </row>
    <row r="46" spans="1:5" x14ac:dyDescent="0.3">
      <c r="A46" s="81" t="s">
        <v>401</v>
      </c>
      <c r="B46" s="81" t="s">
        <v>3762</v>
      </c>
      <c r="C46" s="81" t="s">
        <v>906</v>
      </c>
      <c r="D46" s="81" t="s">
        <v>16</v>
      </c>
      <c r="E46" s="101">
        <v>32</v>
      </c>
    </row>
    <row r="47" spans="1:5" x14ac:dyDescent="0.3">
      <c r="A47" s="81" t="s">
        <v>401</v>
      </c>
      <c r="B47" s="81" t="s">
        <v>3762</v>
      </c>
      <c r="C47" s="81" t="s">
        <v>1541</v>
      </c>
      <c r="D47" s="81" t="s">
        <v>20</v>
      </c>
      <c r="E47" s="101">
        <v>4</v>
      </c>
    </row>
    <row r="48" spans="1:5" x14ac:dyDescent="0.3">
      <c r="A48" s="81" t="s">
        <v>401</v>
      </c>
      <c r="B48" s="81" t="s">
        <v>3762</v>
      </c>
      <c r="C48" s="81" t="s">
        <v>1541</v>
      </c>
      <c r="D48" s="81" t="s">
        <v>16</v>
      </c>
      <c r="E48" s="101">
        <v>32</v>
      </c>
    </row>
    <row r="49" spans="1:5" x14ac:dyDescent="0.3">
      <c r="A49" s="81" t="s">
        <v>401</v>
      </c>
      <c r="B49" s="81" t="s">
        <v>3772</v>
      </c>
      <c r="C49" s="81"/>
      <c r="D49" s="81"/>
      <c r="E49" s="101">
        <v>143</v>
      </c>
    </row>
    <row r="50" spans="1:5" x14ac:dyDescent="0.3">
      <c r="A50" s="81" t="s">
        <v>401</v>
      </c>
      <c r="B50" s="81" t="s">
        <v>3763</v>
      </c>
      <c r="C50" s="81" t="s">
        <v>579</v>
      </c>
      <c r="D50" s="81" t="s">
        <v>20</v>
      </c>
      <c r="E50" s="101">
        <v>5</v>
      </c>
    </row>
    <row r="51" spans="1:5" x14ac:dyDescent="0.3">
      <c r="A51" s="81" t="s">
        <v>401</v>
      </c>
      <c r="B51" s="81" t="s">
        <v>3763</v>
      </c>
      <c r="C51" s="81" t="s">
        <v>579</v>
      </c>
      <c r="D51" s="81" t="s">
        <v>16</v>
      </c>
      <c r="E51" s="101">
        <v>32</v>
      </c>
    </row>
    <row r="52" spans="1:5" x14ac:dyDescent="0.3">
      <c r="A52" s="81" t="s">
        <v>401</v>
      </c>
      <c r="B52" s="81" t="s">
        <v>3763</v>
      </c>
      <c r="C52" s="81" t="s">
        <v>616</v>
      </c>
      <c r="D52" s="81" t="s">
        <v>20</v>
      </c>
      <c r="E52" s="101">
        <v>2</v>
      </c>
    </row>
    <row r="53" spans="1:5" x14ac:dyDescent="0.3">
      <c r="A53" s="81" t="s">
        <v>401</v>
      </c>
      <c r="B53" s="81" t="s">
        <v>3763</v>
      </c>
      <c r="C53" s="81" t="s">
        <v>616</v>
      </c>
      <c r="D53" s="81" t="s">
        <v>16</v>
      </c>
      <c r="E53" s="101">
        <v>18</v>
      </c>
    </row>
    <row r="54" spans="1:5" x14ac:dyDescent="0.3">
      <c r="A54" s="81" t="s">
        <v>401</v>
      </c>
      <c r="B54" s="81" t="s">
        <v>3763</v>
      </c>
      <c r="C54" s="81" t="s">
        <v>832</v>
      </c>
      <c r="D54" s="81" t="s">
        <v>20</v>
      </c>
      <c r="E54" s="101">
        <v>2</v>
      </c>
    </row>
    <row r="55" spans="1:5" x14ac:dyDescent="0.3">
      <c r="A55" s="81" t="s">
        <v>401</v>
      </c>
      <c r="B55" s="81" t="s">
        <v>3763</v>
      </c>
      <c r="C55" s="81" t="s">
        <v>832</v>
      </c>
      <c r="D55" s="81" t="s">
        <v>16</v>
      </c>
      <c r="E55" s="101">
        <v>16</v>
      </c>
    </row>
    <row r="56" spans="1:5" x14ac:dyDescent="0.3">
      <c r="A56" s="81" t="s">
        <v>401</v>
      </c>
      <c r="B56" s="81" t="s">
        <v>3763</v>
      </c>
      <c r="C56" s="81" t="s">
        <v>868</v>
      </c>
      <c r="D56" s="81" t="s">
        <v>20</v>
      </c>
      <c r="E56" s="101">
        <v>1</v>
      </c>
    </row>
    <row r="57" spans="1:5" x14ac:dyDescent="0.3">
      <c r="A57" s="81" t="s">
        <v>401</v>
      </c>
      <c r="B57" s="81" t="s">
        <v>3763</v>
      </c>
      <c r="C57" s="81" t="s">
        <v>868</v>
      </c>
      <c r="D57" s="81" t="s">
        <v>16</v>
      </c>
      <c r="E57" s="101">
        <v>10</v>
      </c>
    </row>
    <row r="58" spans="1:5" x14ac:dyDescent="0.3">
      <c r="A58" s="81" t="s">
        <v>401</v>
      </c>
      <c r="B58" s="81" t="s">
        <v>3763</v>
      </c>
      <c r="C58" s="81" t="s">
        <v>1010</v>
      </c>
      <c r="D58" s="81" t="s">
        <v>20</v>
      </c>
      <c r="E58" s="101">
        <v>2</v>
      </c>
    </row>
    <row r="59" spans="1:5" x14ac:dyDescent="0.3">
      <c r="A59" s="81" t="s">
        <v>401</v>
      </c>
      <c r="B59" s="81" t="s">
        <v>3773</v>
      </c>
      <c r="C59" s="81"/>
      <c r="D59" s="81"/>
      <c r="E59" s="101">
        <v>88</v>
      </c>
    </row>
    <row r="60" spans="1:5" x14ac:dyDescent="0.3">
      <c r="A60" s="81" t="s">
        <v>401</v>
      </c>
      <c r="B60" s="81" t="s">
        <v>3764</v>
      </c>
      <c r="C60" s="81" t="s">
        <v>7409</v>
      </c>
      <c r="D60" s="81" t="s">
        <v>20</v>
      </c>
      <c r="E60" s="101">
        <v>1</v>
      </c>
    </row>
    <row r="61" spans="1:5" x14ac:dyDescent="0.3">
      <c r="A61" s="81" t="s">
        <v>401</v>
      </c>
      <c r="B61" s="81" t="s">
        <v>3764</v>
      </c>
      <c r="C61" s="81" t="s">
        <v>7409</v>
      </c>
      <c r="D61" s="81" t="s">
        <v>16</v>
      </c>
      <c r="E61" s="101">
        <v>16</v>
      </c>
    </row>
    <row r="62" spans="1:5" x14ac:dyDescent="0.3">
      <c r="A62" s="81" t="s">
        <v>401</v>
      </c>
      <c r="B62" s="81" t="s">
        <v>3764</v>
      </c>
      <c r="C62" s="81" t="s">
        <v>7404</v>
      </c>
      <c r="D62" s="81" t="s">
        <v>20</v>
      </c>
      <c r="E62" s="101">
        <v>1</v>
      </c>
    </row>
    <row r="63" spans="1:5" x14ac:dyDescent="0.3">
      <c r="A63" s="81" t="s">
        <v>401</v>
      </c>
      <c r="B63" s="81" t="s">
        <v>3764</v>
      </c>
      <c r="C63" s="81" t="s">
        <v>7404</v>
      </c>
      <c r="D63" s="81" t="s">
        <v>16</v>
      </c>
      <c r="E63" s="101">
        <v>16</v>
      </c>
    </row>
    <row r="64" spans="1:5" x14ac:dyDescent="0.3">
      <c r="A64" s="81" t="s">
        <v>401</v>
      </c>
      <c r="B64" s="81" t="s">
        <v>3764</v>
      </c>
      <c r="C64" s="81" t="s">
        <v>7405</v>
      </c>
      <c r="D64" s="81" t="s">
        <v>20</v>
      </c>
      <c r="E64" s="101">
        <v>1</v>
      </c>
    </row>
    <row r="65" spans="1:5" x14ac:dyDescent="0.3">
      <c r="A65" s="81" t="s">
        <v>401</v>
      </c>
      <c r="B65" s="81" t="s">
        <v>3764</v>
      </c>
      <c r="C65" s="81" t="s">
        <v>7405</v>
      </c>
      <c r="D65" s="81" t="s">
        <v>16</v>
      </c>
      <c r="E65" s="101">
        <v>16</v>
      </c>
    </row>
    <row r="66" spans="1:5" x14ac:dyDescent="0.3">
      <c r="A66" s="81" t="s">
        <v>401</v>
      </c>
      <c r="B66" s="81" t="s">
        <v>3764</v>
      </c>
      <c r="C66" s="81" t="s">
        <v>7406</v>
      </c>
      <c r="D66" s="81" t="s">
        <v>20</v>
      </c>
      <c r="E66" s="101">
        <v>1</v>
      </c>
    </row>
    <row r="67" spans="1:5" x14ac:dyDescent="0.3">
      <c r="A67" s="81" t="s">
        <v>401</v>
      </c>
      <c r="B67" s="81" t="s">
        <v>3764</v>
      </c>
      <c r="C67" s="81" t="s">
        <v>7406</v>
      </c>
      <c r="D67" s="81" t="s">
        <v>16</v>
      </c>
      <c r="E67" s="101">
        <v>16</v>
      </c>
    </row>
    <row r="68" spans="1:5" x14ac:dyDescent="0.3">
      <c r="A68" s="81" t="s">
        <v>401</v>
      </c>
      <c r="B68" s="81" t="s">
        <v>3774</v>
      </c>
      <c r="C68" s="81"/>
      <c r="D68" s="81"/>
      <c r="E68" s="101">
        <v>68</v>
      </c>
    </row>
    <row r="69" spans="1:5" x14ac:dyDescent="0.3">
      <c r="A69" s="81" t="s">
        <v>401</v>
      </c>
      <c r="B69" s="81" t="s">
        <v>3765</v>
      </c>
      <c r="C69" s="81" t="s">
        <v>871</v>
      </c>
      <c r="D69" s="81" t="s">
        <v>20</v>
      </c>
      <c r="E69" s="101">
        <v>2</v>
      </c>
    </row>
    <row r="70" spans="1:5" x14ac:dyDescent="0.3">
      <c r="A70" s="81" t="s">
        <v>401</v>
      </c>
      <c r="B70" s="81" t="s">
        <v>3775</v>
      </c>
      <c r="C70" s="81"/>
      <c r="D70" s="81"/>
      <c r="E70" s="101">
        <v>2</v>
      </c>
    </row>
    <row r="71" spans="1:5" x14ac:dyDescent="0.3">
      <c r="A71" s="81" t="s">
        <v>401</v>
      </c>
      <c r="B71" s="81" t="s">
        <v>933</v>
      </c>
      <c r="C71" s="81" t="s">
        <v>1521</v>
      </c>
      <c r="D71" s="81" t="s">
        <v>20</v>
      </c>
      <c r="E71" s="101">
        <v>3</v>
      </c>
    </row>
    <row r="72" spans="1:5" x14ac:dyDescent="0.3">
      <c r="A72" s="81" t="s">
        <v>401</v>
      </c>
      <c r="B72" s="81" t="s">
        <v>933</v>
      </c>
      <c r="C72" s="81" t="s">
        <v>1521</v>
      </c>
      <c r="D72" s="81" t="s">
        <v>16</v>
      </c>
      <c r="E72" s="101">
        <v>32</v>
      </c>
    </row>
    <row r="73" spans="1:5" x14ac:dyDescent="0.3">
      <c r="A73" s="81" t="s">
        <v>401</v>
      </c>
      <c r="B73" s="81" t="s">
        <v>933</v>
      </c>
      <c r="C73" s="81" t="s">
        <v>4040</v>
      </c>
      <c r="D73" s="81" t="s">
        <v>20</v>
      </c>
      <c r="E73" s="101">
        <v>1</v>
      </c>
    </row>
    <row r="74" spans="1:5" x14ac:dyDescent="0.3">
      <c r="A74" s="81" t="s">
        <v>401</v>
      </c>
      <c r="B74" s="81" t="s">
        <v>933</v>
      </c>
      <c r="C74" s="81" t="s">
        <v>4040</v>
      </c>
      <c r="D74" s="81" t="s">
        <v>16</v>
      </c>
      <c r="E74" s="101">
        <v>16</v>
      </c>
    </row>
    <row r="75" spans="1:5" x14ac:dyDescent="0.3">
      <c r="A75" s="81" t="s">
        <v>401</v>
      </c>
      <c r="B75" s="81" t="s">
        <v>933</v>
      </c>
      <c r="C75" s="81" t="s">
        <v>5296</v>
      </c>
      <c r="D75" s="81" t="s">
        <v>20</v>
      </c>
      <c r="E75" s="101">
        <v>1</v>
      </c>
    </row>
    <row r="76" spans="1:5" x14ac:dyDescent="0.3">
      <c r="A76" s="81" t="s">
        <v>401</v>
      </c>
      <c r="B76" s="81" t="s">
        <v>933</v>
      </c>
      <c r="C76" s="81" t="s">
        <v>5295</v>
      </c>
      <c r="D76" s="81" t="s">
        <v>20</v>
      </c>
      <c r="E76" s="101">
        <v>1</v>
      </c>
    </row>
    <row r="77" spans="1:5" x14ac:dyDescent="0.3">
      <c r="A77" s="81" t="s">
        <v>401</v>
      </c>
      <c r="B77" s="81" t="s">
        <v>3776</v>
      </c>
      <c r="C77" s="81"/>
      <c r="D77" s="81"/>
      <c r="E77" s="101">
        <v>54</v>
      </c>
    </row>
    <row r="78" spans="1:5" x14ac:dyDescent="0.3">
      <c r="A78" s="81" t="s">
        <v>401</v>
      </c>
      <c r="B78" s="81" t="s">
        <v>3766</v>
      </c>
      <c r="C78" s="81" t="s">
        <v>1073</v>
      </c>
      <c r="D78" s="81" t="s">
        <v>20</v>
      </c>
      <c r="E78" s="101">
        <v>1</v>
      </c>
    </row>
    <row r="79" spans="1:5" x14ac:dyDescent="0.3">
      <c r="A79" s="81" t="s">
        <v>401</v>
      </c>
      <c r="B79" s="81" t="s">
        <v>3766</v>
      </c>
      <c r="C79" s="81" t="s">
        <v>1073</v>
      </c>
      <c r="D79" s="81" t="s">
        <v>16</v>
      </c>
      <c r="E79" s="101">
        <v>16</v>
      </c>
    </row>
    <row r="80" spans="1:5" x14ac:dyDescent="0.3">
      <c r="A80" s="81" t="s">
        <v>401</v>
      </c>
      <c r="B80" s="81" t="s">
        <v>3777</v>
      </c>
      <c r="C80" s="81"/>
      <c r="D80" s="81"/>
      <c r="E80" s="101">
        <v>17</v>
      </c>
    </row>
    <row r="81" spans="1:5" x14ac:dyDescent="0.3">
      <c r="A81" s="81" t="s">
        <v>401</v>
      </c>
      <c r="B81" s="81" t="s">
        <v>3767</v>
      </c>
      <c r="C81" s="81" t="s">
        <v>1460</v>
      </c>
      <c r="D81" s="81" t="s">
        <v>20</v>
      </c>
      <c r="E81" s="101">
        <v>1</v>
      </c>
    </row>
    <row r="82" spans="1:5" x14ac:dyDescent="0.3">
      <c r="A82" s="81" t="s">
        <v>401</v>
      </c>
      <c r="B82" s="81" t="s">
        <v>3767</v>
      </c>
      <c r="C82" s="81" t="s">
        <v>1460</v>
      </c>
      <c r="D82" s="81" t="s">
        <v>16</v>
      </c>
      <c r="E82" s="101">
        <v>16</v>
      </c>
    </row>
    <row r="83" spans="1:5" x14ac:dyDescent="0.3">
      <c r="A83" s="81" t="s">
        <v>401</v>
      </c>
      <c r="B83" s="81" t="s">
        <v>3767</v>
      </c>
      <c r="C83" s="81" t="s">
        <v>1464</v>
      </c>
      <c r="D83" s="81" t="s">
        <v>20</v>
      </c>
      <c r="E83" s="101">
        <v>1</v>
      </c>
    </row>
    <row r="84" spans="1:5" x14ac:dyDescent="0.3">
      <c r="A84" s="81" t="s">
        <v>401</v>
      </c>
      <c r="B84" s="81" t="s">
        <v>3767</v>
      </c>
      <c r="C84" s="81" t="s">
        <v>1464</v>
      </c>
      <c r="D84" s="81" t="s">
        <v>16</v>
      </c>
      <c r="E84" s="101">
        <v>16</v>
      </c>
    </row>
    <row r="85" spans="1:5" x14ac:dyDescent="0.3">
      <c r="A85" s="81" t="s">
        <v>401</v>
      </c>
      <c r="B85" s="81" t="s">
        <v>3778</v>
      </c>
      <c r="C85" s="81"/>
      <c r="D85" s="81"/>
      <c r="E85" s="101">
        <v>34</v>
      </c>
    </row>
    <row r="86" spans="1:5" x14ac:dyDescent="0.3">
      <c r="A86" s="81" t="s">
        <v>401</v>
      </c>
      <c r="B86" s="81" t="s">
        <v>3770</v>
      </c>
      <c r="C86" s="81" t="s">
        <v>1558</v>
      </c>
      <c r="D86" s="81" t="s">
        <v>20</v>
      </c>
      <c r="E86" s="101">
        <v>1</v>
      </c>
    </row>
    <row r="87" spans="1:5" x14ac:dyDescent="0.3">
      <c r="A87" s="81" t="s">
        <v>401</v>
      </c>
      <c r="B87" s="81" t="s">
        <v>3770</v>
      </c>
      <c r="C87" s="81" t="s">
        <v>7407</v>
      </c>
      <c r="D87" s="81" t="s">
        <v>20</v>
      </c>
      <c r="E87" s="101">
        <v>1</v>
      </c>
    </row>
    <row r="88" spans="1:5" x14ac:dyDescent="0.3">
      <c r="A88" s="81" t="s">
        <v>401</v>
      </c>
      <c r="B88" s="81" t="s">
        <v>3770</v>
      </c>
      <c r="C88" s="81" t="s">
        <v>7407</v>
      </c>
      <c r="D88" s="81" t="s">
        <v>16</v>
      </c>
      <c r="E88" s="101">
        <v>16</v>
      </c>
    </row>
    <row r="89" spans="1:5" x14ac:dyDescent="0.3">
      <c r="A89" s="81" t="s">
        <v>401</v>
      </c>
      <c r="B89" s="81" t="s">
        <v>3779</v>
      </c>
      <c r="C89" s="81"/>
      <c r="D89" s="81"/>
      <c r="E89" s="101">
        <v>18</v>
      </c>
    </row>
    <row r="90" spans="1:5" x14ac:dyDescent="0.3">
      <c r="A90" s="81" t="s">
        <v>401</v>
      </c>
      <c r="B90" s="81" t="s">
        <v>3768</v>
      </c>
      <c r="C90" s="81" t="s">
        <v>1480</v>
      </c>
      <c r="D90" s="81" t="s">
        <v>20</v>
      </c>
      <c r="E90" s="101">
        <v>4</v>
      </c>
    </row>
    <row r="91" spans="1:5" x14ac:dyDescent="0.3">
      <c r="A91" s="81" t="s">
        <v>401</v>
      </c>
      <c r="B91" s="81" t="s">
        <v>3768</v>
      </c>
      <c r="C91" s="81" t="s">
        <v>1614</v>
      </c>
      <c r="D91" s="81" t="s">
        <v>20</v>
      </c>
      <c r="E91" s="101">
        <v>1</v>
      </c>
    </row>
    <row r="92" spans="1:5" x14ac:dyDescent="0.3">
      <c r="A92" s="81" t="s">
        <v>401</v>
      </c>
      <c r="B92" s="81" t="s">
        <v>3768</v>
      </c>
      <c r="C92" s="81" t="s">
        <v>1615</v>
      </c>
      <c r="D92" s="81" t="s">
        <v>20</v>
      </c>
      <c r="E92" s="101">
        <v>2</v>
      </c>
    </row>
    <row r="93" spans="1:5" x14ac:dyDescent="0.3">
      <c r="A93" s="81" t="s">
        <v>401</v>
      </c>
      <c r="B93" s="81" t="s">
        <v>3768</v>
      </c>
      <c r="C93" s="81" t="s">
        <v>1623</v>
      </c>
      <c r="D93" s="81" t="s">
        <v>20</v>
      </c>
      <c r="E93" s="101">
        <v>1</v>
      </c>
    </row>
    <row r="94" spans="1:5" x14ac:dyDescent="0.3">
      <c r="A94" s="81" t="s">
        <v>401</v>
      </c>
      <c r="B94" s="81" t="s">
        <v>3768</v>
      </c>
      <c r="C94" s="81" t="s">
        <v>1624</v>
      </c>
      <c r="D94" s="81" t="s">
        <v>20</v>
      </c>
      <c r="E94" s="101">
        <v>1</v>
      </c>
    </row>
    <row r="95" spans="1:5" x14ac:dyDescent="0.3">
      <c r="A95" s="81" t="s">
        <v>401</v>
      </c>
      <c r="B95" s="81" t="s">
        <v>3780</v>
      </c>
      <c r="C95" s="81"/>
      <c r="D95" s="81"/>
      <c r="E95" s="101">
        <v>9</v>
      </c>
    </row>
    <row r="96" spans="1:5" x14ac:dyDescent="0.3">
      <c r="A96" s="81" t="s">
        <v>401</v>
      </c>
      <c r="B96" s="81" t="s">
        <v>3769</v>
      </c>
      <c r="C96" s="81" t="s">
        <v>5589</v>
      </c>
      <c r="D96" s="81" t="s">
        <v>20</v>
      </c>
      <c r="E96" s="101">
        <v>1</v>
      </c>
    </row>
    <row r="97" spans="1:5" x14ac:dyDescent="0.3">
      <c r="A97" s="81" t="s">
        <v>401</v>
      </c>
      <c r="B97" s="81" t="s">
        <v>3769</v>
      </c>
      <c r="C97" s="81" t="s">
        <v>5599</v>
      </c>
      <c r="D97" s="81" t="s">
        <v>20</v>
      </c>
      <c r="E97" s="101">
        <v>1</v>
      </c>
    </row>
    <row r="98" spans="1:5" x14ac:dyDescent="0.3">
      <c r="A98" s="81" t="s">
        <v>401</v>
      </c>
      <c r="B98" s="81" t="s">
        <v>3769</v>
      </c>
      <c r="C98" s="81" t="s">
        <v>5603</v>
      </c>
      <c r="D98" s="81" t="s">
        <v>20</v>
      </c>
      <c r="E98" s="101">
        <v>1</v>
      </c>
    </row>
    <row r="99" spans="1:5" x14ac:dyDescent="0.3">
      <c r="A99" s="81" t="s">
        <v>401</v>
      </c>
      <c r="B99" s="81" t="s">
        <v>7346</v>
      </c>
      <c r="C99" s="81"/>
      <c r="D99" s="81"/>
      <c r="E99" s="101">
        <v>3</v>
      </c>
    </row>
    <row r="100" spans="1:5" x14ac:dyDescent="0.3">
      <c r="A100" s="81" t="s">
        <v>401</v>
      </c>
      <c r="B100" s="81" t="s">
        <v>3786</v>
      </c>
      <c r="C100" s="81" t="s">
        <v>628</v>
      </c>
      <c r="D100" s="81" t="s">
        <v>20</v>
      </c>
      <c r="E100" s="101">
        <v>2</v>
      </c>
    </row>
    <row r="101" spans="1:5" x14ac:dyDescent="0.3">
      <c r="A101" s="81" t="s">
        <v>401</v>
      </c>
      <c r="B101" s="81" t="s">
        <v>3786</v>
      </c>
      <c r="C101" s="81" t="s">
        <v>1566</v>
      </c>
      <c r="D101" s="81" t="s">
        <v>20</v>
      </c>
      <c r="E101" s="101">
        <v>1</v>
      </c>
    </row>
    <row r="102" spans="1:5" x14ac:dyDescent="0.3">
      <c r="A102" s="81" t="s">
        <v>401</v>
      </c>
      <c r="B102" s="81" t="s">
        <v>3787</v>
      </c>
      <c r="C102" s="81"/>
      <c r="D102" s="81"/>
      <c r="E102" s="101">
        <v>3</v>
      </c>
    </row>
    <row r="103" spans="1:5" x14ac:dyDescent="0.3">
      <c r="A103" s="81" t="s">
        <v>401</v>
      </c>
      <c r="B103" s="81" t="s">
        <v>3785</v>
      </c>
      <c r="C103" s="81" t="s">
        <v>1641</v>
      </c>
      <c r="D103" s="81" t="s">
        <v>20</v>
      </c>
      <c r="E103" s="101">
        <v>5</v>
      </c>
    </row>
    <row r="104" spans="1:5" x14ac:dyDescent="0.3">
      <c r="A104" s="81" t="s">
        <v>401</v>
      </c>
      <c r="B104" s="81" t="s">
        <v>3785</v>
      </c>
      <c r="C104" s="81" t="s">
        <v>1641</v>
      </c>
      <c r="D104" s="81" t="s">
        <v>16</v>
      </c>
      <c r="E104" s="101">
        <v>64</v>
      </c>
    </row>
    <row r="105" spans="1:5" x14ac:dyDescent="0.3">
      <c r="A105" s="81" t="s">
        <v>401</v>
      </c>
      <c r="B105" s="81" t="s">
        <v>3788</v>
      </c>
      <c r="C105" s="81"/>
      <c r="D105" s="81"/>
      <c r="E105" s="101">
        <v>69</v>
      </c>
    </row>
    <row r="106" spans="1:5" x14ac:dyDescent="0.3">
      <c r="A106" s="81" t="s">
        <v>401</v>
      </c>
      <c r="B106" s="81" t="s">
        <v>3781</v>
      </c>
      <c r="C106" s="81" t="s">
        <v>623</v>
      </c>
      <c r="D106" s="81" t="s">
        <v>20</v>
      </c>
      <c r="E106" s="101">
        <v>1</v>
      </c>
    </row>
    <row r="107" spans="1:5" x14ac:dyDescent="0.3">
      <c r="A107" s="81" t="s">
        <v>401</v>
      </c>
      <c r="B107" s="81" t="s">
        <v>3781</v>
      </c>
      <c r="C107" s="81" t="s">
        <v>623</v>
      </c>
      <c r="D107" s="81" t="s">
        <v>16</v>
      </c>
      <c r="E107" s="101">
        <v>16</v>
      </c>
    </row>
    <row r="108" spans="1:5" x14ac:dyDescent="0.3">
      <c r="A108" s="81" t="s">
        <v>401</v>
      </c>
      <c r="B108" s="81" t="s">
        <v>3781</v>
      </c>
      <c r="C108" s="81" t="s">
        <v>877</v>
      </c>
      <c r="D108" s="81" t="s">
        <v>20</v>
      </c>
      <c r="E108" s="101">
        <v>1</v>
      </c>
    </row>
    <row r="109" spans="1:5" x14ac:dyDescent="0.3">
      <c r="A109" s="81" t="s">
        <v>401</v>
      </c>
      <c r="B109" s="81" t="s">
        <v>3781</v>
      </c>
      <c r="C109" s="81" t="s">
        <v>877</v>
      </c>
      <c r="D109" s="81" t="s">
        <v>16</v>
      </c>
      <c r="E109" s="101">
        <v>16</v>
      </c>
    </row>
    <row r="110" spans="1:5" x14ac:dyDescent="0.3">
      <c r="A110" s="81" t="s">
        <v>401</v>
      </c>
      <c r="B110" s="81" t="s">
        <v>3781</v>
      </c>
      <c r="C110" s="81" t="s">
        <v>1684</v>
      </c>
      <c r="D110" s="81" t="s">
        <v>20</v>
      </c>
      <c r="E110" s="101">
        <v>2</v>
      </c>
    </row>
    <row r="111" spans="1:5" x14ac:dyDescent="0.3">
      <c r="A111" s="81" t="s">
        <v>401</v>
      </c>
      <c r="B111" s="81" t="s">
        <v>3781</v>
      </c>
      <c r="C111" s="81" t="s">
        <v>1684</v>
      </c>
      <c r="D111" s="81" t="s">
        <v>16</v>
      </c>
      <c r="E111" s="101">
        <v>32</v>
      </c>
    </row>
    <row r="112" spans="1:5" x14ac:dyDescent="0.3">
      <c r="A112" s="81" t="s">
        <v>401</v>
      </c>
      <c r="B112" s="81" t="s">
        <v>3781</v>
      </c>
      <c r="C112" s="81" t="s">
        <v>1687</v>
      </c>
      <c r="D112" s="81" t="s">
        <v>20</v>
      </c>
      <c r="E112" s="101">
        <v>1</v>
      </c>
    </row>
    <row r="113" spans="1:5" x14ac:dyDescent="0.3">
      <c r="A113" s="81" t="s">
        <v>401</v>
      </c>
      <c r="B113" s="81" t="s">
        <v>3781</v>
      </c>
      <c r="C113" s="81" t="s">
        <v>1687</v>
      </c>
      <c r="D113" s="81" t="s">
        <v>16</v>
      </c>
      <c r="E113" s="101">
        <v>16</v>
      </c>
    </row>
    <row r="114" spans="1:5" x14ac:dyDescent="0.3">
      <c r="A114" s="81" t="s">
        <v>401</v>
      </c>
      <c r="B114" s="81" t="s">
        <v>3781</v>
      </c>
      <c r="C114" s="81" t="s">
        <v>1694</v>
      </c>
      <c r="D114" s="81" t="s">
        <v>20</v>
      </c>
      <c r="E114" s="101">
        <v>1</v>
      </c>
    </row>
    <row r="115" spans="1:5" x14ac:dyDescent="0.3">
      <c r="A115" s="81" t="s">
        <v>401</v>
      </c>
      <c r="B115" s="81" t="s">
        <v>3781</v>
      </c>
      <c r="C115" s="81" t="s">
        <v>1694</v>
      </c>
      <c r="D115" s="81" t="s">
        <v>16</v>
      </c>
      <c r="E115" s="101">
        <v>16</v>
      </c>
    </row>
    <row r="116" spans="1:5" x14ac:dyDescent="0.3">
      <c r="A116" s="81" t="s">
        <v>401</v>
      </c>
      <c r="B116" s="81" t="s">
        <v>3781</v>
      </c>
      <c r="C116" s="81" t="s">
        <v>1695</v>
      </c>
      <c r="D116" s="81" t="s">
        <v>20</v>
      </c>
      <c r="E116" s="101">
        <v>1</v>
      </c>
    </row>
    <row r="117" spans="1:5" x14ac:dyDescent="0.3">
      <c r="A117" s="81" t="s">
        <v>401</v>
      </c>
      <c r="B117" s="81" t="s">
        <v>3781</v>
      </c>
      <c r="C117" s="81" t="s">
        <v>1695</v>
      </c>
      <c r="D117" s="81" t="s">
        <v>16</v>
      </c>
      <c r="E117" s="101">
        <v>16</v>
      </c>
    </row>
    <row r="118" spans="1:5" x14ac:dyDescent="0.3">
      <c r="A118" s="81" t="s">
        <v>401</v>
      </c>
      <c r="B118" s="81" t="s">
        <v>3789</v>
      </c>
      <c r="C118" s="81"/>
      <c r="D118" s="81"/>
      <c r="E118" s="101">
        <v>119</v>
      </c>
    </row>
    <row r="119" spans="1:5" x14ac:dyDescent="0.3">
      <c r="A119" s="81" t="s">
        <v>401</v>
      </c>
      <c r="B119" s="81" t="s">
        <v>3783</v>
      </c>
      <c r="C119" s="81" t="s">
        <v>1018</v>
      </c>
      <c r="D119" s="81" t="s">
        <v>20</v>
      </c>
      <c r="E119" s="101">
        <v>4</v>
      </c>
    </row>
    <row r="120" spans="1:5" x14ac:dyDescent="0.3">
      <c r="A120" s="81" t="s">
        <v>401</v>
      </c>
      <c r="B120" s="81" t="s">
        <v>3783</v>
      </c>
      <c r="C120" s="81" t="s">
        <v>1018</v>
      </c>
      <c r="D120" s="81" t="s">
        <v>16</v>
      </c>
      <c r="E120" s="101">
        <v>48</v>
      </c>
    </row>
    <row r="121" spans="1:5" x14ac:dyDescent="0.3">
      <c r="A121" s="81" t="s">
        <v>401</v>
      </c>
      <c r="B121" s="81" t="s">
        <v>3790</v>
      </c>
      <c r="C121" s="81"/>
      <c r="D121" s="81"/>
      <c r="E121" s="101">
        <v>52</v>
      </c>
    </row>
    <row r="122" spans="1:5" x14ac:dyDescent="0.3">
      <c r="A122" s="81" t="s">
        <v>401</v>
      </c>
      <c r="B122" s="81" t="s">
        <v>3784</v>
      </c>
      <c r="C122" s="81" t="s">
        <v>1021</v>
      </c>
      <c r="D122" s="81" t="s">
        <v>20</v>
      </c>
      <c r="E122" s="101">
        <v>5</v>
      </c>
    </row>
    <row r="123" spans="1:5" x14ac:dyDescent="0.3">
      <c r="A123" s="81" t="s">
        <v>401</v>
      </c>
      <c r="B123" s="81" t="s">
        <v>3784</v>
      </c>
      <c r="C123" s="81" t="s">
        <v>1021</v>
      </c>
      <c r="D123" s="81" t="s">
        <v>16</v>
      </c>
      <c r="E123" s="101">
        <v>80</v>
      </c>
    </row>
    <row r="124" spans="1:5" x14ac:dyDescent="0.3">
      <c r="A124" s="81" t="s">
        <v>401</v>
      </c>
      <c r="B124" s="81" t="s">
        <v>3784</v>
      </c>
      <c r="C124" s="81" t="s">
        <v>1604</v>
      </c>
      <c r="D124" s="81" t="s">
        <v>20</v>
      </c>
      <c r="E124" s="101">
        <v>7</v>
      </c>
    </row>
    <row r="125" spans="1:5" x14ac:dyDescent="0.3">
      <c r="A125" s="81" t="s">
        <v>401</v>
      </c>
      <c r="B125" s="81" t="s">
        <v>3784</v>
      </c>
      <c r="C125" s="81" t="s">
        <v>1604</v>
      </c>
      <c r="D125" s="81" t="s">
        <v>16</v>
      </c>
      <c r="E125" s="101">
        <v>80</v>
      </c>
    </row>
    <row r="126" spans="1:5" x14ac:dyDescent="0.3">
      <c r="A126" s="81" t="s">
        <v>401</v>
      </c>
      <c r="B126" s="81" t="s">
        <v>3791</v>
      </c>
      <c r="C126" s="81"/>
      <c r="D126" s="81"/>
      <c r="E126" s="101">
        <v>172</v>
      </c>
    </row>
    <row r="127" spans="1:5" x14ac:dyDescent="0.3">
      <c r="A127" s="81" t="s">
        <v>401</v>
      </c>
      <c r="B127" s="81" t="s">
        <v>870</v>
      </c>
      <c r="C127" s="81" t="s">
        <v>6493</v>
      </c>
      <c r="D127" s="81" t="s">
        <v>20</v>
      </c>
      <c r="E127" s="101">
        <v>1</v>
      </c>
    </row>
    <row r="128" spans="1:5" x14ac:dyDescent="0.3">
      <c r="A128" s="81" t="s">
        <v>401</v>
      </c>
      <c r="B128" s="81" t="s">
        <v>870</v>
      </c>
      <c r="C128" s="81" t="s">
        <v>6493</v>
      </c>
      <c r="D128" s="81" t="s">
        <v>16</v>
      </c>
      <c r="E128" s="101">
        <v>16</v>
      </c>
    </row>
    <row r="129" spans="1:5" x14ac:dyDescent="0.3">
      <c r="A129" s="81" t="s">
        <v>401</v>
      </c>
      <c r="B129" s="81" t="s">
        <v>870</v>
      </c>
      <c r="C129" s="81" t="s">
        <v>6547</v>
      </c>
      <c r="D129" s="81" t="s">
        <v>20</v>
      </c>
      <c r="E129" s="101">
        <v>1</v>
      </c>
    </row>
    <row r="130" spans="1:5" x14ac:dyDescent="0.3">
      <c r="A130" s="81" t="s">
        <v>401</v>
      </c>
      <c r="B130" s="81" t="s">
        <v>870</v>
      </c>
      <c r="C130" s="81" t="s">
        <v>6547</v>
      </c>
      <c r="D130" s="81" t="s">
        <v>16</v>
      </c>
      <c r="E130" s="101">
        <v>16</v>
      </c>
    </row>
    <row r="131" spans="1:5" x14ac:dyDescent="0.3">
      <c r="A131" s="81" t="s">
        <v>401</v>
      </c>
      <c r="B131" s="81" t="s">
        <v>870</v>
      </c>
      <c r="C131" s="81" t="s">
        <v>6601</v>
      </c>
      <c r="D131" s="81" t="s">
        <v>20</v>
      </c>
      <c r="E131" s="101">
        <v>1</v>
      </c>
    </row>
    <row r="132" spans="1:5" x14ac:dyDescent="0.3">
      <c r="A132" s="81" t="s">
        <v>401</v>
      </c>
      <c r="B132" s="81" t="s">
        <v>870</v>
      </c>
      <c r="C132" s="81" t="s">
        <v>6601</v>
      </c>
      <c r="D132" s="81" t="s">
        <v>16</v>
      </c>
      <c r="E132" s="101">
        <v>16</v>
      </c>
    </row>
    <row r="133" spans="1:5" x14ac:dyDescent="0.3">
      <c r="A133" s="81" t="s">
        <v>401</v>
      </c>
      <c r="B133" s="81" t="s">
        <v>870</v>
      </c>
      <c r="C133" s="81" t="s">
        <v>7426</v>
      </c>
      <c r="D133" s="81" t="s">
        <v>20</v>
      </c>
      <c r="E133" s="101">
        <v>1</v>
      </c>
    </row>
    <row r="134" spans="1:5" x14ac:dyDescent="0.3">
      <c r="A134" s="81" t="s">
        <v>401</v>
      </c>
      <c r="B134" s="81" t="s">
        <v>3792</v>
      </c>
      <c r="C134" s="81"/>
      <c r="D134" s="81"/>
      <c r="E134" s="101">
        <v>52</v>
      </c>
    </row>
    <row r="135" spans="1:5" x14ac:dyDescent="0.3">
      <c r="A135" s="81" t="s">
        <v>401</v>
      </c>
      <c r="B135" s="81" t="s">
        <v>3793</v>
      </c>
      <c r="C135" s="81" t="s">
        <v>1458</v>
      </c>
      <c r="D135" s="81" t="s">
        <v>20</v>
      </c>
      <c r="E135" s="101">
        <v>1</v>
      </c>
    </row>
    <row r="136" spans="1:5" x14ac:dyDescent="0.3">
      <c r="A136" s="81" t="s">
        <v>401</v>
      </c>
      <c r="B136" s="81" t="s">
        <v>3793</v>
      </c>
      <c r="C136" s="81" t="s">
        <v>5420</v>
      </c>
      <c r="D136" s="81" t="s">
        <v>20</v>
      </c>
      <c r="E136" s="101">
        <v>5</v>
      </c>
    </row>
    <row r="137" spans="1:5" x14ac:dyDescent="0.3">
      <c r="A137" s="81" t="s">
        <v>401</v>
      </c>
      <c r="B137" s="81" t="s">
        <v>3793</v>
      </c>
      <c r="C137" s="81" t="s">
        <v>5420</v>
      </c>
      <c r="D137" s="81" t="s">
        <v>16</v>
      </c>
      <c r="E137" s="101">
        <v>64</v>
      </c>
    </row>
    <row r="138" spans="1:5" x14ac:dyDescent="0.3">
      <c r="A138" s="81" t="s">
        <v>401</v>
      </c>
      <c r="B138" s="81" t="s">
        <v>3794</v>
      </c>
      <c r="C138" s="81"/>
      <c r="D138" s="81"/>
      <c r="E138" s="101">
        <v>70</v>
      </c>
    </row>
    <row r="139" spans="1:5" x14ac:dyDescent="0.3">
      <c r="A139" s="81" t="s">
        <v>401</v>
      </c>
      <c r="B139" s="81" t="s">
        <v>3802</v>
      </c>
      <c r="C139" s="81" t="s">
        <v>3802</v>
      </c>
      <c r="D139" s="81" t="s">
        <v>20</v>
      </c>
      <c r="E139" s="101">
        <v>4</v>
      </c>
    </row>
    <row r="140" spans="1:5" x14ac:dyDescent="0.3">
      <c r="A140" s="81" t="s">
        <v>401</v>
      </c>
      <c r="B140" s="81" t="s">
        <v>3802</v>
      </c>
      <c r="C140" s="81" t="s">
        <v>3802</v>
      </c>
      <c r="D140" s="81" t="s">
        <v>16</v>
      </c>
      <c r="E140" s="101">
        <v>64</v>
      </c>
    </row>
    <row r="141" spans="1:5" x14ac:dyDescent="0.3">
      <c r="A141" s="81" t="s">
        <v>401</v>
      </c>
      <c r="B141" s="81" t="s">
        <v>3802</v>
      </c>
      <c r="C141" s="81" t="s">
        <v>4064</v>
      </c>
      <c r="D141" s="81" t="s">
        <v>20</v>
      </c>
      <c r="E141" s="101">
        <v>4</v>
      </c>
    </row>
    <row r="142" spans="1:5" x14ac:dyDescent="0.3">
      <c r="A142" s="81" t="s">
        <v>401</v>
      </c>
      <c r="B142" s="81" t="s">
        <v>3802</v>
      </c>
      <c r="C142" s="81" t="s">
        <v>4064</v>
      </c>
      <c r="D142" s="81" t="s">
        <v>16</v>
      </c>
      <c r="E142" s="101">
        <v>16</v>
      </c>
    </row>
    <row r="143" spans="1:5" x14ac:dyDescent="0.3">
      <c r="A143" s="81" t="s">
        <v>401</v>
      </c>
      <c r="B143" s="81" t="s">
        <v>4274</v>
      </c>
      <c r="C143" s="81"/>
      <c r="D143" s="81"/>
      <c r="E143" s="101">
        <v>88</v>
      </c>
    </row>
    <row r="144" spans="1:5" x14ac:dyDescent="0.3">
      <c r="A144" s="81" t="s">
        <v>401</v>
      </c>
      <c r="B144" s="81" t="s">
        <v>4099</v>
      </c>
      <c r="C144" s="81" t="s">
        <v>579</v>
      </c>
      <c r="D144" s="81" t="s">
        <v>20</v>
      </c>
      <c r="E144" s="101">
        <v>6</v>
      </c>
    </row>
    <row r="145" spans="1:5" x14ac:dyDescent="0.3">
      <c r="A145" s="81" t="s">
        <v>401</v>
      </c>
      <c r="B145" s="81" t="s">
        <v>4099</v>
      </c>
      <c r="C145" s="81" t="s">
        <v>579</v>
      </c>
      <c r="D145" s="81" t="s">
        <v>16</v>
      </c>
      <c r="E145" s="101">
        <v>15</v>
      </c>
    </row>
    <row r="146" spans="1:5" x14ac:dyDescent="0.3">
      <c r="A146" s="81" t="s">
        <v>401</v>
      </c>
      <c r="B146" s="81" t="s">
        <v>4099</v>
      </c>
      <c r="C146" s="81" t="s">
        <v>1010</v>
      </c>
      <c r="D146" s="81" t="s">
        <v>20</v>
      </c>
      <c r="E146" s="101">
        <v>4</v>
      </c>
    </row>
    <row r="147" spans="1:5" x14ac:dyDescent="0.3">
      <c r="A147" s="81" t="s">
        <v>401</v>
      </c>
      <c r="B147" s="81" t="s">
        <v>4099</v>
      </c>
      <c r="C147" s="81" t="s">
        <v>1010</v>
      </c>
      <c r="D147" s="81" t="s">
        <v>16</v>
      </c>
      <c r="E147" s="101">
        <v>15</v>
      </c>
    </row>
    <row r="148" spans="1:5" x14ac:dyDescent="0.3">
      <c r="A148" s="81" t="s">
        <v>401</v>
      </c>
      <c r="B148" s="81" t="s">
        <v>4099</v>
      </c>
      <c r="C148" s="81" t="s">
        <v>4158</v>
      </c>
      <c r="D148" s="81" t="s">
        <v>20</v>
      </c>
      <c r="E148" s="101">
        <v>1</v>
      </c>
    </row>
    <row r="149" spans="1:5" x14ac:dyDescent="0.3">
      <c r="A149" s="81" t="s">
        <v>401</v>
      </c>
      <c r="B149" s="81" t="s">
        <v>4099</v>
      </c>
      <c r="C149" s="81" t="s">
        <v>4158</v>
      </c>
      <c r="D149" s="81" t="s">
        <v>16</v>
      </c>
      <c r="E149" s="101">
        <v>15</v>
      </c>
    </row>
    <row r="150" spans="1:5" x14ac:dyDescent="0.3">
      <c r="A150" s="81" t="s">
        <v>401</v>
      </c>
      <c r="B150" s="81" t="s">
        <v>4099</v>
      </c>
      <c r="C150" s="81" t="s">
        <v>5747</v>
      </c>
      <c r="D150" s="81" t="s">
        <v>20</v>
      </c>
      <c r="E150" s="101">
        <v>1</v>
      </c>
    </row>
    <row r="151" spans="1:5" x14ac:dyDescent="0.3">
      <c r="A151" s="81" t="s">
        <v>401</v>
      </c>
      <c r="B151" s="81" t="s">
        <v>4275</v>
      </c>
      <c r="C151" s="81"/>
      <c r="D151" s="81"/>
      <c r="E151" s="101">
        <v>57</v>
      </c>
    </row>
    <row r="152" spans="1:5" x14ac:dyDescent="0.3">
      <c r="A152" s="81" t="s">
        <v>401</v>
      </c>
      <c r="B152" s="81" t="s">
        <v>3795</v>
      </c>
      <c r="C152" s="81" t="s">
        <v>4179</v>
      </c>
      <c r="D152" s="81" t="s">
        <v>20</v>
      </c>
      <c r="E152" s="101">
        <v>2</v>
      </c>
    </row>
    <row r="153" spans="1:5" x14ac:dyDescent="0.3">
      <c r="A153" s="81" t="s">
        <v>401</v>
      </c>
      <c r="B153" s="81" t="s">
        <v>3795</v>
      </c>
      <c r="C153" s="81" t="s">
        <v>4179</v>
      </c>
      <c r="D153" s="81" t="s">
        <v>16</v>
      </c>
      <c r="E153" s="101">
        <v>32</v>
      </c>
    </row>
    <row r="154" spans="1:5" x14ac:dyDescent="0.3">
      <c r="A154" s="81" t="s">
        <v>401</v>
      </c>
      <c r="B154" s="81" t="s">
        <v>3795</v>
      </c>
      <c r="C154" s="81" t="s">
        <v>4201</v>
      </c>
      <c r="D154" s="81" t="s">
        <v>20</v>
      </c>
      <c r="E154" s="101">
        <v>2</v>
      </c>
    </row>
    <row r="155" spans="1:5" x14ac:dyDescent="0.3">
      <c r="A155" s="81" t="s">
        <v>401</v>
      </c>
      <c r="B155" s="81" t="s">
        <v>3795</v>
      </c>
      <c r="C155" s="81" t="s">
        <v>4201</v>
      </c>
      <c r="D155" s="81" t="s">
        <v>16</v>
      </c>
      <c r="E155" s="101">
        <v>32</v>
      </c>
    </row>
    <row r="156" spans="1:5" x14ac:dyDescent="0.3">
      <c r="A156" s="81" t="s">
        <v>401</v>
      </c>
      <c r="B156" s="81" t="s">
        <v>3795</v>
      </c>
      <c r="C156" s="81" t="s">
        <v>5298</v>
      </c>
      <c r="D156" s="81" t="s">
        <v>20</v>
      </c>
      <c r="E156" s="101">
        <v>1</v>
      </c>
    </row>
    <row r="157" spans="1:5" x14ac:dyDescent="0.3">
      <c r="A157" s="81" t="s">
        <v>401</v>
      </c>
      <c r="B157" s="81" t="s">
        <v>3795</v>
      </c>
      <c r="C157" s="81" t="s">
        <v>5298</v>
      </c>
      <c r="D157" s="81" t="s">
        <v>16</v>
      </c>
      <c r="E157" s="101">
        <v>16</v>
      </c>
    </row>
    <row r="158" spans="1:5" x14ac:dyDescent="0.3">
      <c r="A158" s="81" t="s">
        <v>401</v>
      </c>
      <c r="B158" s="81" t="s">
        <v>3795</v>
      </c>
      <c r="C158" s="81" t="s">
        <v>5297</v>
      </c>
      <c r="D158" s="81" t="s">
        <v>20</v>
      </c>
      <c r="E158" s="101">
        <v>1</v>
      </c>
    </row>
    <row r="159" spans="1:5" x14ac:dyDescent="0.3">
      <c r="A159" s="81" t="s">
        <v>401</v>
      </c>
      <c r="B159" s="81" t="s">
        <v>3795</v>
      </c>
      <c r="C159" s="81" t="s">
        <v>5297</v>
      </c>
      <c r="D159" s="81" t="s">
        <v>16</v>
      </c>
      <c r="E159" s="101">
        <v>16</v>
      </c>
    </row>
    <row r="160" spans="1:5" x14ac:dyDescent="0.3">
      <c r="A160" s="81" t="s">
        <v>401</v>
      </c>
      <c r="B160" s="81" t="s">
        <v>3795</v>
      </c>
      <c r="C160" s="81" t="s">
        <v>6971</v>
      </c>
      <c r="D160" s="81" t="s">
        <v>20</v>
      </c>
      <c r="E160" s="101">
        <v>1</v>
      </c>
    </row>
    <row r="161" spans="1:5" x14ac:dyDescent="0.3">
      <c r="A161" s="81" t="s">
        <v>401</v>
      </c>
      <c r="B161" s="81" t="s">
        <v>3795</v>
      </c>
      <c r="C161" s="81" t="s">
        <v>6971</v>
      </c>
      <c r="D161" s="81" t="s">
        <v>16</v>
      </c>
      <c r="E161" s="101">
        <v>16</v>
      </c>
    </row>
    <row r="162" spans="1:5" x14ac:dyDescent="0.3">
      <c r="A162" s="81" t="s">
        <v>401</v>
      </c>
      <c r="B162" s="81" t="s">
        <v>3795</v>
      </c>
      <c r="C162" s="81" t="s">
        <v>7026</v>
      </c>
      <c r="D162" s="81" t="s">
        <v>20</v>
      </c>
      <c r="E162" s="101">
        <v>1</v>
      </c>
    </row>
    <row r="163" spans="1:5" x14ac:dyDescent="0.3">
      <c r="A163" s="81" t="s">
        <v>401</v>
      </c>
      <c r="B163" s="81" t="s">
        <v>3795</v>
      </c>
      <c r="C163" s="81" t="s">
        <v>7026</v>
      </c>
      <c r="D163" s="81" t="s">
        <v>16</v>
      </c>
      <c r="E163" s="101">
        <v>16</v>
      </c>
    </row>
    <row r="164" spans="1:5" x14ac:dyDescent="0.3">
      <c r="A164" s="81" t="s">
        <v>401</v>
      </c>
      <c r="B164" s="81" t="s">
        <v>4276</v>
      </c>
      <c r="C164" s="81"/>
      <c r="D164" s="81"/>
      <c r="E164" s="101">
        <v>136</v>
      </c>
    </row>
    <row r="165" spans="1:5" x14ac:dyDescent="0.3">
      <c r="A165" s="81" t="s">
        <v>401</v>
      </c>
      <c r="B165" s="81" t="s">
        <v>4685</v>
      </c>
      <c r="C165" s="81" t="s">
        <v>1468</v>
      </c>
      <c r="D165" s="81" t="s">
        <v>20</v>
      </c>
      <c r="E165" s="101">
        <v>3</v>
      </c>
    </row>
    <row r="166" spans="1:5" x14ac:dyDescent="0.3">
      <c r="A166" s="81" t="s">
        <v>401</v>
      </c>
      <c r="B166" s="81" t="s">
        <v>4685</v>
      </c>
      <c r="C166" s="81" t="s">
        <v>1468</v>
      </c>
      <c r="D166" s="81" t="s">
        <v>16</v>
      </c>
      <c r="E166" s="101">
        <v>48</v>
      </c>
    </row>
    <row r="167" spans="1:5" x14ac:dyDescent="0.3">
      <c r="A167" s="81" t="s">
        <v>401</v>
      </c>
      <c r="B167" s="81" t="s">
        <v>4685</v>
      </c>
      <c r="C167" s="81" t="s">
        <v>3906</v>
      </c>
      <c r="D167" s="81" t="s">
        <v>20</v>
      </c>
      <c r="E167" s="101">
        <v>1</v>
      </c>
    </row>
    <row r="168" spans="1:5" x14ac:dyDescent="0.3">
      <c r="A168" s="81" t="s">
        <v>401</v>
      </c>
      <c r="B168" s="81" t="s">
        <v>4685</v>
      </c>
      <c r="C168" s="81" t="s">
        <v>3906</v>
      </c>
      <c r="D168" s="81" t="s">
        <v>16</v>
      </c>
      <c r="E168" s="101">
        <v>16</v>
      </c>
    </row>
    <row r="169" spans="1:5" x14ac:dyDescent="0.3">
      <c r="A169" s="81" t="s">
        <v>401</v>
      </c>
      <c r="B169" s="81" t="s">
        <v>4685</v>
      </c>
      <c r="C169" s="81" t="s">
        <v>3907</v>
      </c>
      <c r="D169" s="81" t="s">
        <v>20</v>
      </c>
      <c r="E169" s="101">
        <v>2</v>
      </c>
    </row>
    <row r="170" spans="1:5" x14ac:dyDescent="0.3">
      <c r="A170" s="81" t="s">
        <v>401</v>
      </c>
      <c r="B170" s="81" t="s">
        <v>4685</v>
      </c>
      <c r="C170" s="81" t="s">
        <v>3907</v>
      </c>
      <c r="D170" s="81" t="s">
        <v>16</v>
      </c>
      <c r="E170" s="101">
        <v>32</v>
      </c>
    </row>
    <row r="171" spans="1:5" x14ac:dyDescent="0.3">
      <c r="A171" s="81" t="s">
        <v>401</v>
      </c>
      <c r="B171" s="81" t="s">
        <v>5299</v>
      </c>
      <c r="C171" s="81"/>
      <c r="D171" s="81"/>
      <c r="E171" s="101">
        <v>102</v>
      </c>
    </row>
    <row r="172" spans="1:5" x14ac:dyDescent="0.3">
      <c r="A172" s="81" t="s">
        <v>401</v>
      </c>
      <c r="B172" s="81" t="s">
        <v>5300</v>
      </c>
      <c r="C172" s="81" t="s">
        <v>4244</v>
      </c>
      <c r="D172" s="81" t="s">
        <v>20</v>
      </c>
      <c r="E172" s="101">
        <v>3</v>
      </c>
    </row>
    <row r="173" spans="1:5" x14ac:dyDescent="0.3">
      <c r="A173" s="81" t="s">
        <v>401</v>
      </c>
      <c r="B173" s="81" t="s">
        <v>5300</v>
      </c>
      <c r="C173" s="81" t="s">
        <v>4244</v>
      </c>
      <c r="D173" s="81" t="s">
        <v>16</v>
      </c>
      <c r="E173" s="101">
        <v>16</v>
      </c>
    </row>
    <row r="174" spans="1:5" x14ac:dyDescent="0.3">
      <c r="A174" s="81" t="s">
        <v>401</v>
      </c>
      <c r="B174" s="81" t="s">
        <v>5933</v>
      </c>
      <c r="C174" s="81"/>
      <c r="D174" s="81"/>
      <c r="E174" s="101">
        <v>19</v>
      </c>
    </row>
    <row r="175" spans="1:5" x14ac:dyDescent="0.3">
      <c r="A175" s="81" t="s">
        <v>401</v>
      </c>
      <c r="B175" s="81" t="s">
        <v>5304</v>
      </c>
      <c r="C175" s="81" t="s">
        <v>5303</v>
      </c>
      <c r="D175" s="81" t="s">
        <v>20</v>
      </c>
      <c r="E175" s="101">
        <v>2</v>
      </c>
    </row>
    <row r="176" spans="1:5" x14ac:dyDescent="0.3">
      <c r="A176" s="81" t="s">
        <v>401</v>
      </c>
      <c r="B176" s="81" t="s">
        <v>5304</v>
      </c>
      <c r="C176" s="81" t="s">
        <v>5303</v>
      </c>
      <c r="D176" s="81" t="s">
        <v>16</v>
      </c>
      <c r="E176" s="101">
        <v>16</v>
      </c>
    </row>
    <row r="177" spans="1:5" x14ac:dyDescent="0.3">
      <c r="A177" s="81" t="s">
        <v>401</v>
      </c>
      <c r="B177" s="81" t="s">
        <v>5934</v>
      </c>
      <c r="C177" s="81"/>
      <c r="D177" s="81"/>
      <c r="E177" s="101">
        <v>18</v>
      </c>
    </row>
    <row r="178" spans="1:5" x14ac:dyDescent="0.3">
      <c r="A178" s="81" t="s">
        <v>401</v>
      </c>
      <c r="B178" s="81" t="s">
        <v>5331</v>
      </c>
      <c r="C178" s="81" t="s">
        <v>5330</v>
      </c>
      <c r="D178" s="81" t="s">
        <v>20</v>
      </c>
      <c r="E178" s="101">
        <v>2</v>
      </c>
    </row>
    <row r="179" spans="1:5" x14ac:dyDescent="0.3">
      <c r="A179" s="81" t="s">
        <v>401</v>
      </c>
      <c r="B179" s="81" t="s">
        <v>5331</v>
      </c>
      <c r="C179" s="81" t="s">
        <v>5330</v>
      </c>
      <c r="D179" s="81" t="s">
        <v>16</v>
      </c>
      <c r="E179" s="101">
        <v>32</v>
      </c>
    </row>
    <row r="180" spans="1:5" x14ac:dyDescent="0.3">
      <c r="A180" s="81" t="s">
        <v>401</v>
      </c>
      <c r="B180" s="81" t="s">
        <v>5935</v>
      </c>
      <c r="C180" s="81"/>
      <c r="D180" s="81"/>
      <c r="E180" s="101">
        <v>34</v>
      </c>
    </row>
    <row r="181" spans="1:5" x14ac:dyDescent="0.3">
      <c r="A181" s="81" t="s">
        <v>401</v>
      </c>
      <c r="B181" s="81" t="s">
        <v>5609</v>
      </c>
      <c r="C181" s="81" t="s">
        <v>5608</v>
      </c>
      <c r="D181" s="81" t="s">
        <v>20</v>
      </c>
      <c r="E181" s="101">
        <v>4</v>
      </c>
    </row>
    <row r="182" spans="1:5" x14ac:dyDescent="0.3">
      <c r="A182" s="81" t="s">
        <v>401</v>
      </c>
      <c r="B182" s="81" t="s">
        <v>5609</v>
      </c>
      <c r="C182" s="81" t="s">
        <v>5608</v>
      </c>
      <c r="D182" s="81" t="s">
        <v>16</v>
      </c>
      <c r="E182" s="101">
        <v>9</v>
      </c>
    </row>
    <row r="183" spans="1:5" x14ac:dyDescent="0.3">
      <c r="A183" s="81" t="s">
        <v>401</v>
      </c>
      <c r="B183" s="81" t="s">
        <v>5936</v>
      </c>
      <c r="C183" s="81"/>
      <c r="D183" s="81"/>
      <c r="E183" s="101">
        <v>13</v>
      </c>
    </row>
    <row r="184" spans="1:5" x14ac:dyDescent="0.3">
      <c r="A184" s="81" t="s">
        <v>401</v>
      </c>
      <c r="B184" s="81" t="s">
        <v>5641</v>
      </c>
      <c r="C184" s="81" t="s">
        <v>5642</v>
      </c>
      <c r="D184" s="81" t="s">
        <v>20</v>
      </c>
      <c r="E184" s="101">
        <v>1</v>
      </c>
    </row>
    <row r="185" spans="1:5" x14ac:dyDescent="0.3">
      <c r="A185" s="81" t="s">
        <v>401</v>
      </c>
      <c r="B185" s="81" t="s">
        <v>5641</v>
      </c>
      <c r="C185" s="81" t="s">
        <v>5642</v>
      </c>
      <c r="D185" s="81" t="s">
        <v>16</v>
      </c>
      <c r="E185" s="101">
        <v>16</v>
      </c>
    </row>
    <row r="186" spans="1:5" x14ac:dyDescent="0.3">
      <c r="A186" s="81" t="s">
        <v>401</v>
      </c>
      <c r="B186" s="81" t="s">
        <v>5641</v>
      </c>
      <c r="C186" s="81" t="s">
        <v>5664</v>
      </c>
      <c r="D186" s="81" t="s">
        <v>20</v>
      </c>
      <c r="E186" s="101">
        <v>1</v>
      </c>
    </row>
    <row r="187" spans="1:5" x14ac:dyDescent="0.3">
      <c r="A187" s="81" t="s">
        <v>401</v>
      </c>
      <c r="B187" s="81" t="s">
        <v>5641</v>
      </c>
      <c r="C187" s="81" t="s">
        <v>5664</v>
      </c>
      <c r="D187" s="81" t="s">
        <v>16</v>
      </c>
      <c r="E187" s="101">
        <v>16</v>
      </c>
    </row>
    <row r="188" spans="1:5" x14ac:dyDescent="0.3">
      <c r="A188" s="81" t="s">
        <v>401</v>
      </c>
      <c r="B188" s="81" t="s">
        <v>5937</v>
      </c>
      <c r="C188" s="81"/>
      <c r="D188" s="81"/>
      <c r="E188" s="101">
        <v>34</v>
      </c>
    </row>
    <row r="189" spans="1:5" x14ac:dyDescent="0.3">
      <c r="A189" s="81" t="s">
        <v>401</v>
      </c>
      <c r="B189" s="81" t="s">
        <v>6250</v>
      </c>
      <c r="C189" s="81" t="s">
        <v>424</v>
      </c>
      <c r="D189" s="81" t="s">
        <v>20</v>
      </c>
      <c r="E189" s="101">
        <v>1</v>
      </c>
    </row>
    <row r="190" spans="1:5" x14ac:dyDescent="0.3">
      <c r="A190" s="81" t="s">
        <v>401</v>
      </c>
      <c r="B190" s="81" t="s">
        <v>6250</v>
      </c>
      <c r="C190" s="81" t="s">
        <v>424</v>
      </c>
      <c r="D190" s="81" t="s">
        <v>16</v>
      </c>
      <c r="E190" s="101">
        <v>16</v>
      </c>
    </row>
    <row r="191" spans="1:5" x14ac:dyDescent="0.3">
      <c r="A191" s="81" t="s">
        <v>401</v>
      </c>
      <c r="B191" s="81" t="s">
        <v>7347</v>
      </c>
      <c r="C191" s="81"/>
      <c r="D191" s="81"/>
      <c r="E191" s="101">
        <v>17</v>
      </c>
    </row>
    <row r="192" spans="1:5" x14ac:dyDescent="0.3">
      <c r="A192" s="81" t="s">
        <v>401</v>
      </c>
      <c r="B192" s="81" t="s">
        <v>6259</v>
      </c>
      <c r="C192" s="81" t="s">
        <v>7345</v>
      </c>
      <c r="D192" s="81" t="s">
        <v>20</v>
      </c>
      <c r="E192" s="101">
        <v>4</v>
      </c>
    </row>
    <row r="193" spans="1:5" x14ac:dyDescent="0.3">
      <c r="A193" s="81" t="s">
        <v>401</v>
      </c>
      <c r="B193" s="81" t="s">
        <v>6259</v>
      </c>
      <c r="C193" s="81" t="s">
        <v>7345</v>
      </c>
      <c r="D193" s="81" t="s">
        <v>16</v>
      </c>
      <c r="E193" s="101">
        <v>12</v>
      </c>
    </row>
    <row r="194" spans="1:5" x14ac:dyDescent="0.3">
      <c r="A194" s="81" t="s">
        <v>401</v>
      </c>
      <c r="B194" s="81" t="s">
        <v>7348</v>
      </c>
      <c r="C194" s="81"/>
      <c r="D194" s="81"/>
      <c r="E194" s="101">
        <v>16</v>
      </c>
    </row>
    <row r="195" spans="1:5" x14ac:dyDescent="0.3">
      <c r="A195" s="81" t="s">
        <v>401</v>
      </c>
      <c r="B195" s="81" t="s">
        <v>6286</v>
      </c>
      <c r="C195" s="81" t="s">
        <v>6285</v>
      </c>
      <c r="D195" s="81" t="s">
        <v>20</v>
      </c>
      <c r="E195" s="101">
        <v>1</v>
      </c>
    </row>
    <row r="196" spans="1:5" x14ac:dyDescent="0.3">
      <c r="A196" s="81" t="s">
        <v>401</v>
      </c>
      <c r="B196" s="81" t="s">
        <v>6286</v>
      </c>
      <c r="C196" s="81" t="s">
        <v>6285</v>
      </c>
      <c r="D196" s="81" t="s">
        <v>16</v>
      </c>
      <c r="E196" s="101">
        <v>16</v>
      </c>
    </row>
    <row r="197" spans="1:5" x14ac:dyDescent="0.3">
      <c r="A197" s="81" t="s">
        <v>401</v>
      </c>
      <c r="B197" s="81" t="s">
        <v>7349</v>
      </c>
      <c r="C197" s="81"/>
      <c r="D197" s="81"/>
      <c r="E197" s="101">
        <v>17</v>
      </c>
    </row>
    <row r="198" spans="1:5" x14ac:dyDescent="0.3">
      <c r="A198" s="81" t="s">
        <v>401</v>
      </c>
      <c r="B198" s="81" t="s">
        <v>6401</v>
      </c>
      <c r="C198" s="81" t="s">
        <v>6400</v>
      </c>
      <c r="D198" s="81" t="s">
        <v>20</v>
      </c>
      <c r="E198" s="101">
        <v>1</v>
      </c>
    </row>
    <row r="199" spans="1:5" x14ac:dyDescent="0.3">
      <c r="A199" s="81" t="s">
        <v>401</v>
      </c>
      <c r="B199" s="81" t="s">
        <v>6401</v>
      </c>
      <c r="C199" s="81" t="s">
        <v>6400</v>
      </c>
      <c r="D199" s="81" t="s">
        <v>16</v>
      </c>
      <c r="E199" s="101">
        <v>4</v>
      </c>
    </row>
    <row r="200" spans="1:5" x14ac:dyDescent="0.3">
      <c r="A200" s="81" t="s">
        <v>401</v>
      </c>
      <c r="B200" s="81" t="s">
        <v>7350</v>
      </c>
      <c r="C200" s="81"/>
      <c r="D200" s="81"/>
      <c r="E200" s="101">
        <v>5</v>
      </c>
    </row>
    <row r="201" spans="1:5" x14ac:dyDescent="0.3">
      <c r="A201" s="81" t="s">
        <v>401</v>
      </c>
      <c r="B201" s="81" t="s">
        <v>6478</v>
      </c>
      <c r="C201" s="81" t="s">
        <v>6477</v>
      </c>
      <c r="D201" s="81" t="s">
        <v>20</v>
      </c>
      <c r="E201" s="101">
        <v>1</v>
      </c>
    </row>
    <row r="202" spans="1:5" x14ac:dyDescent="0.3">
      <c r="A202" s="81" t="s">
        <v>401</v>
      </c>
      <c r="B202" s="81" t="s">
        <v>6478</v>
      </c>
      <c r="C202" s="81" t="s">
        <v>6477</v>
      </c>
      <c r="D202" s="81" t="s">
        <v>16</v>
      </c>
      <c r="E202" s="101">
        <v>3</v>
      </c>
    </row>
    <row r="203" spans="1:5" x14ac:dyDescent="0.3">
      <c r="A203" s="81" t="s">
        <v>401</v>
      </c>
      <c r="B203" s="81" t="s">
        <v>7351</v>
      </c>
      <c r="C203" s="81"/>
      <c r="D203" s="81"/>
      <c r="E203" s="101">
        <v>4</v>
      </c>
    </row>
    <row r="204" spans="1:5" x14ac:dyDescent="0.3">
      <c r="A204" s="81" t="s">
        <v>401</v>
      </c>
      <c r="B204" s="81" t="s">
        <v>6790</v>
      </c>
      <c r="C204" s="81" t="s">
        <v>6789</v>
      </c>
      <c r="D204" s="81" t="s">
        <v>20</v>
      </c>
      <c r="E204" s="101">
        <v>2</v>
      </c>
    </row>
    <row r="205" spans="1:5" x14ac:dyDescent="0.3">
      <c r="A205" s="81" t="s">
        <v>401</v>
      </c>
      <c r="B205" s="81" t="s">
        <v>6790</v>
      </c>
      <c r="C205" s="81" t="s">
        <v>6789</v>
      </c>
      <c r="D205" s="81" t="s">
        <v>16</v>
      </c>
      <c r="E205" s="101">
        <v>32</v>
      </c>
    </row>
    <row r="206" spans="1:5" x14ac:dyDescent="0.3">
      <c r="A206" s="81" t="s">
        <v>401</v>
      </c>
      <c r="B206" s="81" t="s">
        <v>6790</v>
      </c>
      <c r="C206" s="81" t="s">
        <v>6898</v>
      </c>
      <c r="D206" s="81" t="s">
        <v>20</v>
      </c>
      <c r="E206" s="101">
        <v>1</v>
      </c>
    </row>
    <row r="207" spans="1:5" x14ac:dyDescent="0.3">
      <c r="A207" s="81" t="s">
        <v>401</v>
      </c>
      <c r="B207" s="81" t="s">
        <v>6790</v>
      </c>
      <c r="C207" s="81" t="s">
        <v>6898</v>
      </c>
      <c r="D207" s="81" t="s">
        <v>16</v>
      </c>
      <c r="E207" s="101">
        <v>16</v>
      </c>
    </row>
    <row r="208" spans="1:5" x14ac:dyDescent="0.3">
      <c r="A208" s="81" t="s">
        <v>401</v>
      </c>
      <c r="B208" s="81" t="s">
        <v>7352</v>
      </c>
      <c r="C208" s="81"/>
      <c r="D208" s="81"/>
      <c r="E208" s="101">
        <v>51</v>
      </c>
    </row>
    <row r="209" spans="1:5" x14ac:dyDescent="0.3">
      <c r="A209" s="81" t="s">
        <v>401</v>
      </c>
      <c r="B209" s="81" t="s">
        <v>6952</v>
      </c>
      <c r="C209" s="81" t="s">
        <v>6951</v>
      </c>
      <c r="D209" s="81" t="s">
        <v>20</v>
      </c>
      <c r="E209" s="101">
        <v>3</v>
      </c>
    </row>
    <row r="210" spans="1:5" x14ac:dyDescent="0.3">
      <c r="A210" s="81" t="s">
        <v>401</v>
      </c>
      <c r="B210" s="81" t="s">
        <v>7353</v>
      </c>
      <c r="C210" s="81"/>
      <c r="D210" s="81"/>
      <c r="E210" s="101">
        <v>3</v>
      </c>
    </row>
    <row r="211" spans="1:5" x14ac:dyDescent="0.3">
      <c r="A211" s="81" t="s">
        <v>401</v>
      </c>
      <c r="B211" s="81" t="s">
        <v>7427</v>
      </c>
      <c r="C211" s="81" t="s">
        <v>1524</v>
      </c>
      <c r="D211" s="81" t="s">
        <v>20</v>
      </c>
      <c r="E211" s="101">
        <v>5</v>
      </c>
    </row>
    <row r="212" spans="1:5" x14ac:dyDescent="0.3">
      <c r="A212" s="81" t="s">
        <v>401</v>
      </c>
      <c r="B212" s="81" t="s">
        <v>7427</v>
      </c>
      <c r="C212" s="81" t="s">
        <v>1524</v>
      </c>
      <c r="D212" s="81" t="s">
        <v>16</v>
      </c>
      <c r="E212" s="101">
        <v>80</v>
      </c>
    </row>
    <row r="213" spans="1:5" x14ac:dyDescent="0.3">
      <c r="A213" s="81" t="s">
        <v>401</v>
      </c>
      <c r="B213" s="81" t="s">
        <v>7427</v>
      </c>
      <c r="C213" s="81" t="s">
        <v>1538</v>
      </c>
      <c r="D213" s="81" t="s">
        <v>20</v>
      </c>
      <c r="E213" s="101">
        <v>3</v>
      </c>
    </row>
    <row r="214" spans="1:5" x14ac:dyDescent="0.3">
      <c r="A214" s="81" t="s">
        <v>401</v>
      </c>
      <c r="B214" s="81" t="s">
        <v>7427</v>
      </c>
      <c r="C214" s="81" t="s">
        <v>1538</v>
      </c>
      <c r="D214" s="81" t="s">
        <v>16</v>
      </c>
      <c r="E214" s="101">
        <v>48</v>
      </c>
    </row>
    <row r="215" spans="1:5" x14ac:dyDescent="0.3">
      <c r="A215" s="81" t="s">
        <v>401</v>
      </c>
      <c r="B215" s="81" t="s">
        <v>7427</v>
      </c>
      <c r="C215" s="81" t="s">
        <v>6251</v>
      </c>
      <c r="D215" s="81" t="s">
        <v>20</v>
      </c>
      <c r="E215" s="101">
        <v>1</v>
      </c>
    </row>
    <row r="216" spans="1:5" x14ac:dyDescent="0.3">
      <c r="A216" s="81" t="s">
        <v>401</v>
      </c>
      <c r="B216" s="81" t="s">
        <v>7427</v>
      </c>
      <c r="C216" s="81" t="s">
        <v>6251</v>
      </c>
      <c r="D216" s="81" t="s">
        <v>16</v>
      </c>
      <c r="E216" s="101">
        <v>16</v>
      </c>
    </row>
    <row r="217" spans="1:5" x14ac:dyDescent="0.3">
      <c r="A217" s="81" t="s">
        <v>401</v>
      </c>
      <c r="B217" s="81" t="s">
        <v>7427</v>
      </c>
      <c r="C217" s="81" t="s">
        <v>6252</v>
      </c>
      <c r="D217" s="81" t="s">
        <v>20</v>
      </c>
      <c r="E217" s="101">
        <v>1</v>
      </c>
    </row>
    <row r="218" spans="1:5" x14ac:dyDescent="0.3">
      <c r="A218" s="81" t="s">
        <v>401</v>
      </c>
      <c r="B218" s="81" t="s">
        <v>7427</v>
      </c>
      <c r="C218" s="81" t="s">
        <v>6252</v>
      </c>
      <c r="D218" s="81" t="s">
        <v>16</v>
      </c>
      <c r="E218" s="101">
        <v>16</v>
      </c>
    </row>
    <row r="219" spans="1:5" x14ac:dyDescent="0.3">
      <c r="A219" s="81" t="s">
        <v>401</v>
      </c>
      <c r="B219" s="81" t="s">
        <v>7429</v>
      </c>
      <c r="C219" s="81"/>
      <c r="D219" s="81"/>
      <c r="E219" s="101">
        <v>170</v>
      </c>
    </row>
    <row r="220" spans="1:5" x14ac:dyDescent="0.3">
      <c r="A220" s="81" t="s">
        <v>401</v>
      </c>
      <c r="B220" s="81" t="s">
        <v>7428</v>
      </c>
      <c r="C220" s="81" t="s">
        <v>1081</v>
      </c>
      <c r="D220" s="81" t="s">
        <v>20</v>
      </c>
      <c r="E220" s="101">
        <v>1</v>
      </c>
    </row>
    <row r="221" spans="1:5" x14ac:dyDescent="0.3">
      <c r="A221" s="81" t="s">
        <v>401</v>
      </c>
      <c r="B221" s="81" t="s">
        <v>7428</v>
      </c>
      <c r="C221" s="81" t="s">
        <v>1081</v>
      </c>
      <c r="D221" s="81" t="s">
        <v>16</v>
      </c>
      <c r="E221" s="101">
        <v>16</v>
      </c>
    </row>
    <row r="222" spans="1:5" x14ac:dyDescent="0.3">
      <c r="A222" s="81" t="s">
        <v>401</v>
      </c>
      <c r="B222" s="81" t="s">
        <v>7428</v>
      </c>
      <c r="C222" s="81" t="s">
        <v>5686</v>
      </c>
      <c r="D222" s="81" t="s">
        <v>20</v>
      </c>
      <c r="E222" s="101">
        <v>1</v>
      </c>
    </row>
    <row r="223" spans="1:5" x14ac:dyDescent="0.3">
      <c r="A223" s="81" t="s">
        <v>401</v>
      </c>
      <c r="B223" s="81" t="s">
        <v>7428</v>
      </c>
      <c r="C223" s="81" t="s">
        <v>5691</v>
      </c>
      <c r="D223" s="81" t="s">
        <v>20</v>
      </c>
      <c r="E223" s="101">
        <v>1</v>
      </c>
    </row>
    <row r="224" spans="1:5" x14ac:dyDescent="0.3">
      <c r="A224" s="81" t="s">
        <v>401</v>
      </c>
      <c r="B224" s="81" t="s">
        <v>7428</v>
      </c>
      <c r="C224" s="81" t="s">
        <v>5696</v>
      </c>
      <c r="D224" s="81" t="s">
        <v>20</v>
      </c>
      <c r="E224" s="101">
        <v>1</v>
      </c>
    </row>
    <row r="225" spans="1:5" x14ac:dyDescent="0.3">
      <c r="A225" s="81" t="s">
        <v>401</v>
      </c>
      <c r="B225" s="81" t="s">
        <v>7430</v>
      </c>
      <c r="C225" s="81"/>
      <c r="D225" s="81"/>
      <c r="E225" s="101">
        <v>20</v>
      </c>
    </row>
    <row r="226" spans="1:5" x14ac:dyDescent="0.3">
      <c r="A226" s="81" t="s">
        <v>594</v>
      </c>
      <c r="B226" s="81"/>
      <c r="C226" s="81"/>
      <c r="D226" s="81"/>
      <c r="E226" s="101">
        <v>2037</v>
      </c>
    </row>
    <row r="227" spans="1:5" x14ac:dyDescent="0.3">
      <c r="A227" s="81" t="s">
        <v>387</v>
      </c>
      <c r="B227" s="81" t="s">
        <v>387</v>
      </c>
      <c r="C227" s="81" t="s">
        <v>387</v>
      </c>
      <c r="D227" s="81" t="s">
        <v>387</v>
      </c>
      <c r="E227" s="101">
        <v>64</v>
      </c>
    </row>
    <row r="228" spans="1:5" x14ac:dyDescent="0.3">
      <c r="A228" s="81" t="s">
        <v>387</v>
      </c>
      <c r="B228" s="81" t="s">
        <v>4277</v>
      </c>
      <c r="C228" s="81"/>
      <c r="D228" s="81"/>
      <c r="E228" s="101">
        <v>64</v>
      </c>
    </row>
    <row r="229" spans="1:5" x14ac:dyDescent="0.3">
      <c r="A229" s="81" t="s">
        <v>4277</v>
      </c>
      <c r="B229" s="81"/>
      <c r="C229" s="81"/>
      <c r="D229" s="81"/>
      <c r="E229" s="101">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BA917-8AB0-4ECB-A398-0E4B2E83046A}">
  <dimension ref="A10:H2111"/>
  <sheetViews>
    <sheetView zoomScale="70" zoomScaleNormal="70" workbookViewId="0">
      <selection activeCell="E17" sqref="E17"/>
    </sheetView>
  </sheetViews>
  <sheetFormatPr baseColWidth="10" defaultRowHeight="14.4" x14ac:dyDescent="0.3"/>
  <cols>
    <col min="1" max="1" width="7.44140625" customWidth="1"/>
    <col min="3" max="3" width="26.21875" customWidth="1"/>
    <col min="4" max="4" width="22.77734375" customWidth="1"/>
    <col min="5" max="5" width="23.6640625" customWidth="1"/>
    <col min="6" max="6" width="20.77734375" customWidth="1"/>
    <col min="7" max="7" width="49.5546875" customWidth="1"/>
    <col min="8" max="8" width="221" bestFit="1" customWidth="1"/>
  </cols>
  <sheetData>
    <row r="10" spans="1:8" x14ac:dyDescent="0.3">
      <c r="A10" s="82" t="s">
        <v>0</v>
      </c>
      <c r="B10" s="82" t="s">
        <v>2</v>
      </c>
      <c r="C10" s="82" t="s">
        <v>3</v>
      </c>
      <c r="D10" s="82" t="s">
        <v>4</v>
      </c>
      <c r="E10" s="82" t="s">
        <v>5</v>
      </c>
      <c r="F10" s="82" t="s">
        <v>6</v>
      </c>
      <c r="G10" s="82" t="s">
        <v>10</v>
      </c>
      <c r="H10" s="82" t="s">
        <v>21</v>
      </c>
    </row>
    <row r="11" spans="1:8" x14ac:dyDescent="0.3">
      <c r="A11" s="81" t="s">
        <v>393</v>
      </c>
      <c r="B11" s="81" t="s">
        <v>405</v>
      </c>
      <c r="C11" s="81" t="s">
        <v>2368</v>
      </c>
      <c r="D11" s="81" t="s">
        <v>3761</v>
      </c>
      <c r="E11" s="81" t="s">
        <v>20</v>
      </c>
      <c r="F11" s="81" t="s">
        <v>15</v>
      </c>
      <c r="G11" s="81" t="s">
        <v>2018</v>
      </c>
      <c r="H11" s="81" t="s">
        <v>1059</v>
      </c>
    </row>
    <row r="12" spans="1:8" x14ac:dyDescent="0.3">
      <c r="A12" s="81" t="s">
        <v>394</v>
      </c>
      <c r="B12" s="81" t="s">
        <v>405</v>
      </c>
      <c r="C12" s="81" t="s">
        <v>2368</v>
      </c>
      <c r="D12" s="81" t="s">
        <v>3761</v>
      </c>
      <c r="E12" s="81" t="s">
        <v>16</v>
      </c>
      <c r="F12" s="81" t="s">
        <v>368</v>
      </c>
      <c r="G12" s="81" t="s">
        <v>2019</v>
      </c>
      <c r="H12" s="81" t="s">
        <v>2374</v>
      </c>
    </row>
    <row r="13" spans="1:8" x14ac:dyDescent="0.3">
      <c r="A13" s="81" t="s">
        <v>407</v>
      </c>
      <c r="B13" s="81" t="s">
        <v>405</v>
      </c>
      <c r="C13" s="81" t="s">
        <v>2368</v>
      </c>
      <c r="D13" s="81" t="s">
        <v>3761</v>
      </c>
      <c r="E13" s="81" t="s">
        <v>16</v>
      </c>
      <c r="F13" s="81" t="s">
        <v>369</v>
      </c>
      <c r="G13" s="81" t="s">
        <v>2020</v>
      </c>
      <c r="H13" s="81" t="s">
        <v>2375</v>
      </c>
    </row>
    <row r="14" spans="1:8" x14ac:dyDescent="0.3">
      <c r="A14" s="81" t="s">
        <v>408</v>
      </c>
      <c r="B14" s="81" t="s">
        <v>405</v>
      </c>
      <c r="C14" s="81" t="s">
        <v>2368</v>
      </c>
      <c r="D14" s="81" t="s">
        <v>3761</v>
      </c>
      <c r="E14" s="81" t="s">
        <v>16</v>
      </c>
      <c r="F14" s="81" t="s">
        <v>370</v>
      </c>
      <c r="G14" s="81" t="s">
        <v>2021</v>
      </c>
      <c r="H14" s="81" t="s">
        <v>2376</v>
      </c>
    </row>
    <row r="15" spans="1:8" x14ac:dyDescent="0.3">
      <c r="A15" s="81" t="s">
        <v>409</v>
      </c>
      <c r="B15" s="81" t="s">
        <v>405</v>
      </c>
      <c r="C15" s="81" t="s">
        <v>2368</v>
      </c>
      <c r="D15" s="81" t="s">
        <v>3761</v>
      </c>
      <c r="E15" s="81" t="s">
        <v>16</v>
      </c>
      <c r="F15" s="81" t="s">
        <v>371</v>
      </c>
      <c r="G15" s="81" t="s">
        <v>2022</v>
      </c>
      <c r="H15" s="81" t="s">
        <v>2377</v>
      </c>
    </row>
    <row r="16" spans="1:8" x14ac:dyDescent="0.3">
      <c r="A16" s="81" t="s">
        <v>410</v>
      </c>
      <c r="B16" s="81" t="s">
        <v>405</v>
      </c>
      <c r="C16" s="81" t="s">
        <v>2368</v>
      </c>
      <c r="D16" s="81" t="s">
        <v>3761</v>
      </c>
      <c r="E16" s="81" t="s">
        <v>16</v>
      </c>
      <c r="F16" s="81" t="s">
        <v>372</v>
      </c>
      <c r="G16" s="81" t="s">
        <v>2023</v>
      </c>
      <c r="H16" s="81" t="s">
        <v>2378</v>
      </c>
    </row>
    <row r="17" spans="1:8" x14ac:dyDescent="0.3">
      <c r="A17" s="81" t="s">
        <v>411</v>
      </c>
      <c r="B17" s="81" t="s">
        <v>405</v>
      </c>
      <c r="C17" s="81" t="s">
        <v>2368</v>
      </c>
      <c r="D17" s="81" t="s">
        <v>3761</v>
      </c>
      <c r="E17" s="81" t="s">
        <v>16</v>
      </c>
      <c r="F17" s="81" t="s">
        <v>373</v>
      </c>
      <c r="G17" s="81" t="s">
        <v>2024</v>
      </c>
      <c r="H17" s="81" t="s">
        <v>2379</v>
      </c>
    </row>
    <row r="18" spans="1:8" x14ac:dyDescent="0.3">
      <c r="A18" s="81" t="s">
        <v>412</v>
      </c>
      <c r="B18" s="81" t="s">
        <v>405</v>
      </c>
      <c r="C18" s="81" t="s">
        <v>2368</v>
      </c>
      <c r="D18" s="81" t="s">
        <v>3761</v>
      </c>
      <c r="E18" s="81" t="s">
        <v>16</v>
      </c>
      <c r="F18" s="81" t="s">
        <v>374</v>
      </c>
      <c r="G18" s="81" t="s">
        <v>2025</v>
      </c>
      <c r="H18" s="81" t="s">
        <v>2380</v>
      </c>
    </row>
    <row r="19" spans="1:8" x14ac:dyDescent="0.3">
      <c r="A19" s="81" t="s">
        <v>413</v>
      </c>
      <c r="B19" s="81" t="s">
        <v>405</v>
      </c>
      <c r="C19" s="81" t="s">
        <v>2368</v>
      </c>
      <c r="D19" s="81" t="s">
        <v>3761</v>
      </c>
      <c r="E19" s="81" t="s">
        <v>16</v>
      </c>
      <c r="F19" s="81" t="s">
        <v>375</v>
      </c>
      <c r="G19" s="81" t="s">
        <v>2026</v>
      </c>
      <c r="H19" s="81" t="s">
        <v>2381</v>
      </c>
    </row>
    <row r="20" spans="1:8" x14ac:dyDescent="0.3">
      <c r="A20" s="81" t="s">
        <v>414</v>
      </c>
      <c r="B20" s="81" t="s">
        <v>405</v>
      </c>
      <c r="C20" s="81" t="s">
        <v>2368</v>
      </c>
      <c r="D20" s="81" t="s">
        <v>3761</v>
      </c>
      <c r="E20" s="81" t="s">
        <v>16</v>
      </c>
      <c r="F20" s="81" t="s">
        <v>376</v>
      </c>
      <c r="G20" s="81" t="s">
        <v>2027</v>
      </c>
      <c r="H20" s="81" t="s">
        <v>2382</v>
      </c>
    </row>
    <row r="21" spans="1:8" x14ac:dyDescent="0.3">
      <c r="A21" s="81" t="s">
        <v>415</v>
      </c>
      <c r="B21" s="81" t="s">
        <v>405</v>
      </c>
      <c r="C21" s="81" t="s">
        <v>2368</v>
      </c>
      <c r="D21" s="81" t="s">
        <v>3761</v>
      </c>
      <c r="E21" s="81" t="s">
        <v>16</v>
      </c>
      <c r="F21" s="81" t="s">
        <v>377</v>
      </c>
      <c r="G21" s="81" t="s">
        <v>2028</v>
      </c>
      <c r="H21" s="81" t="s">
        <v>2383</v>
      </c>
    </row>
    <row r="22" spans="1:8" x14ac:dyDescent="0.3">
      <c r="A22" s="81" t="s">
        <v>416</v>
      </c>
      <c r="B22" s="81" t="s">
        <v>405</v>
      </c>
      <c r="C22" s="81" t="s">
        <v>2368</v>
      </c>
      <c r="D22" s="81" t="s">
        <v>3761</v>
      </c>
      <c r="E22" s="81" t="s">
        <v>16</v>
      </c>
      <c r="F22" s="81" t="s">
        <v>378</v>
      </c>
      <c r="G22" s="81" t="s">
        <v>2029</v>
      </c>
      <c r="H22" s="81" t="s">
        <v>2384</v>
      </c>
    </row>
    <row r="23" spans="1:8" x14ac:dyDescent="0.3">
      <c r="A23" s="81" t="s">
        <v>417</v>
      </c>
      <c r="B23" s="81" t="s">
        <v>405</v>
      </c>
      <c r="C23" s="81" t="s">
        <v>2368</v>
      </c>
      <c r="D23" s="81" t="s">
        <v>3761</v>
      </c>
      <c r="E23" s="81" t="s">
        <v>16</v>
      </c>
      <c r="F23" s="81" t="s">
        <v>379</v>
      </c>
      <c r="G23" s="81" t="s">
        <v>2030</v>
      </c>
      <c r="H23" s="81" t="s">
        <v>2385</v>
      </c>
    </row>
    <row r="24" spans="1:8" x14ac:dyDescent="0.3">
      <c r="A24" s="81" t="s">
        <v>418</v>
      </c>
      <c r="B24" s="81" t="s">
        <v>405</v>
      </c>
      <c r="C24" s="81" t="s">
        <v>2368</v>
      </c>
      <c r="D24" s="81" t="s">
        <v>3761</v>
      </c>
      <c r="E24" s="81" t="s">
        <v>16</v>
      </c>
      <c r="F24" s="81" t="s">
        <v>380</v>
      </c>
      <c r="G24" s="81" t="s">
        <v>2031</v>
      </c>
      <c r="H24" s="81" t="s">
        <v>2386</v>
      </c>
    </row>
    <row r="25" spans="1:8" x14ac:dyDescent="0.3">
      <c r="A25" s="81" t="s">
        <v>419</v>
      </c>
      <c r="B25" s="81" t="s">
        <v>405</v>
      </c>
      <c r="C25" s="81" t="s">
        <v>2368</v>
      </c>
      <c r="D25" s="81" t="s">
        <v>3761</v>
      </c>
      <c r="E25" s="81" t="s">
        <v>16</v>
      </c>
      <c r="F25" s="81" t="s">
        <v>381</v>
      </c>
      <c r="G25" s="81" t="s">
        <v>2032</v>
      </c>
      <c r="H25" s="81" t="s">
        <v>2387</v>
      </c>
    </row>
    <row r="26" spans="1:8" x14ac:dyDescent="0.3">
      <c r="A26" s="81" t="s">
        <v>420</v>
      </c>
      <c r="B26" s="81" t="s">
        <v>405</v>
      </c>
      <c r="C26" s="81" t="s">
        <v>2368</v>
      </c>
      <c r="D26" s="81" t="s">
        <v>3761</v>
      </c>
      <c r="E26" s="81" t="s">
        <v>16</v>
      </c>
      <c r="F26" s="81" t="s">
        <v>382</v>
      </c>
      <c r="G26" s="81" t="s">
        <v>2033</v>
      </c>
      <c r="H26" s="81" t="s">
        <v>2388</v>
      </c>
    </row>
    <row r="27" spans="1:8" x14ac:dyDescent="0.3">
      <c r="A27" s="81" t="s">
        <v>421</v>
      </c>
      <c r="B27" s="81" t="s">
        <v>405</v>
      </c>
      <c r="C27" s="81" t="s">
        <v>2368</v>
      </c>
      <c r="D27" s="81" t="s">
        <v>3761</v>
      </c>
      <c r="E27" s="81" t="s">
        <v>16</v>
      </c>
      <c r="F27" s="81" t="s">
        <v>383</v>
      </c>
      <c r="G27" s="81" t="s">
        <v>2034</v>
      </c>
      <c r="H27" s="81" t="s">
        <v>2389</v>
      </c>
    </row>
    <row r="28" spans="1:8" x14ac:dyDescent="0.3">
      <c r="A28" s="81" t="s">
        <v>422</v>
      </c>
      <c r="B28" s="81" t="s">
        <v>14</v>
      </c>
      <c r="C28" s="81" t="s">
        <v>6251</v>
      </c>
      <c r="D28" s="81" t="s">
        <v>7427</v>
      </c>
      <c r="E28" s="81" t="s">
        <v>16</v>
      </c>
      <c r="F28" s="81" t="s">
        <v>368</v>
      </c>
      <c r="G28" s="81" t="s">
        <v>2035</v>
      </c>
      <c r="H28" s="81" t="s">
        <v>2390</v>
      </c>
    </row>
    <row r="29" spans="1:8" x14ac:dyDescent="0.3">
      <c r="A29" s="81" t="s">
        <v>428</v>
      </c>
      <c r="B29" s="81" t="s">
        <v>14</v>
      </c>
      <c r="C29" s="81" t="s">
        <v>6251</v>
      </c>
      <c r="D29" s="81" t="s">
        <v>7427</v>
      </c>
      <c r="E29" s="81" t="s">
        <v>16</v>
      </c>
      <c r="F29" s="81" t="s">
        <v>369</v>
      </c>
      <c r="G29" s="81" t="s">
        <v>2036</v>
      </c>
      <c r="H29" s="81" t="s">
        <v>2391</v>
      </c>
    </row>
    <row r="30" spans="1:8" x14ac:dyDescent="0.3">
      <c r="A30" s="81" t="s">
        <v>429</v>
      </c>
      <c r="B30" s="81" t="s">
        <v>14</v>
      </c>
      <c r="C30" s="81" t="s">
        <v>6251</v>
      </c>
      <c r="D30" s="81" t="s">
        <v>7427</v>
      </c>
      <c r="E30" s="81" t="s">
        <v>16</v>
      </c>
      <c r="F30" s="81" t="s">
        <v>370</v>
      </c>
      <c r="G30" s="81" t="s">
        <v>2037</v>
      </c>
      <c r="H30" s="81" t="s">
        <v>2392</v>
      </c>
    </row>
    <row r="31" spans="1:8" x14ac:dyDescent="0.3">
      <c r="A31" s="81" t="s">
        <v>430</v>
      </c>
      <c r="B31" s="81" t="s">
        <v>14</v>
      </c>
      <c r="C31" s="81" t="s">
        <v>6251</v>
      </c>
      <c r="D31" s="81" t="s">
        <v>7427</v>
      </c>
      <c r="E31" s="81" t="s">
        <v>16</v>
      </c>
      <c r="F31" s="81" t="s">
        <v>371</v>
      </c>
      <c r="G31" s="81" t="s">
        <v>2038</v>
      </c>
      <c r="H31" s="81" t="s">
        <v>2393</v>
      </c>
    </row>
    <row r="32" spans="1:8" x14ac:dyDescent="0.3">
      <c r="A32" s="81" t="s">
        <v>433</v>
      </c>
      <c r="B32" s="81" t="s">
        <v>14</v>
      </c>
      <c r="C32" s="81" t="s">
        <v>6251</v>
      </c>
      <c r="D32" s="81" t="s">
        <v>7427</v>
      </c>
      <c r="E32" s="81" t="s">
        <v>16</v>
      </c>
      <c r="F32" s="81" t="s">
        <v>372</v>
      </c>
      <c r="G32" s="81" t="s">
        <v>2039</v>
      </c>
      <c r="H32" s="81" t="s">
        <v>2394</v>
      </c>
    </row>
    <row r="33" spans="1:8" x14ac:dyDescent="0.3">
      <c r="A33" s="81" t="s">
        <v>434</v>
      </c>
      <c r="B33" s="81" t="s">
        <v>14</v>
      </c>
      <c r="C33" s="81" t="s">
        <v>6251</v>
      </c>
      <c r="D33" s="81" t="s">
        <v>7427</v>
      </c>
      <c r="E33" s="81" t="s">
        <v>16</v>
      </c>
      <c r="F33" s="81" t="s">
        <v>373</v>
      </c>
      <c r="G33" s="81" t="s">
        <v>2040</v>
      </c>
      <c r="H33" s="81" t="s">
        <v>2395</v>
      </c>
    </row>
    <row r="34" spans="1:8" x14ac:dyDescent="0.3">
      <c r="A34" s="81" t="s">
        <v>435</v>
      </c>
      <c r="B34" s="81" t="s">
        <v>14</v>
      </c>
      <c r="C34" s="81" t="s">
        <v>6251</v>
      </c>
      <c r="D34" s="81" t="s">
        <v>7427</v>
      </c>
      <c r="E34" s="81" t="s">
        <v>16</v>
      </c>
      <c r="F34" s="81" t="s">
        <v>374</v>
      </c>
      <c r="G34" s="81" t="s">
        <v>2041</v>
      </c>
      <c r="H34" s="81" t="s">
        <v>2396</v>
      </c>
    </row>
    <row r="35" spans="1:8" x14ac:dyDescent="0.3">
      <c r="A35" s="81" t="s">
        <v>436</v>
      </c>
      <c r="B35" s="81" t="s">
        <v>14</v>
      </c>
      <c r="C35" s="81" t="s">
        <v>6251</v>
      </c>
      <c r="D35" s="81" t="s">
        <v>7427</v>
      </c>
      <c r="E35" s="81" t="s">
        <v>16</v>
      </c>
      <c r="F35" s="81" t="s">
        <v>375</v>
      </c>
      <c r="G35" s="81" t="s">
        <v>2042</v>
      </c>
      <c r="H35" s="81" t="s">
        <v>2397</v>
      </c>
    </row>
    <row r="36" spans="1:8" x14ac:dyDescent="0.3">
      <c r="A36" s="81" t="s">
        <v>437</v>
      </c>
      <c r="B36" s="81" t="s">
        <v>14</v>
      </c>
      <c r="C36" s="81" t="s">
        <v>6251</v>
      </c>
      <c r="D36" s="81" t="s">
        <v>7427</v>
      </c>
      <c r="E36" s="81" t="s">
        <v>16</v>
      </c>
      <c r="F36" s="81" t="s">
        <v>376</v>
      </c>
      <c r="G36" s="81" t="s">
        <v>2043</v>
      </c>
      <c r="H36" s="81" t="s">
        <v>2398</v>
      </c>
    </row>
    <row r="37" spans="1:8" x14ac:dyDescent="0.3">
      <c r="A37" s="81" t="s">
        <v>438</v>
      </c>
      <c r="B37" s="81" t="s">
        <v>14</v>
      </c>
      <c r="C37" s="81" t="s">
        <v>6251</v>
      </c>
      <c r="D37" s="81" t="s">
        <v>7427</v>
      </c>
      <c r="E37" s="81" t="s">
        <v>16</v>
      </c>
      <c r="F37" s="81" t="s">
        <v>377</v>
      </c>
      <c r="G37" s="81" t="s">
        <v>2044</v>
      </c>
      <c r="H37" s="81" t="s">
        <v>2399</v>
      </c>
    </row>
    <row r="38" spans="1:8" x14ac:dyDescent="0.3">
      <c r="A38" s="81" t="s">
        <v>439</v>
      </c>
      <c r="B38" s="81" t="s">
        <v>14</v>
      </c>
      <c r="C38" s="81" t="s">
        <v>6251</v>
      </c>
      <c r="D38" s="81" t="s">
        <v>7427</v>
      </c>
      <c r="E38" s="81" t="s">
        <v>16</v>
      </c>
      <c r="F38" s="81" t="s">
        <v>378</v>
      </c>
      <c r="G38" s="81" t="s">
        <v>2045</v>
      </c>
      <c r="H38" s="81" t="s">
        <v>2400</v>
      </c>
    </row>
    <row r="39" spans="1:8" x14ac:dyDescent="0.3">
      <c r="A39" s="81" t="s">
        <v>440</v>
      </c>
      <c r="B39" s="81" t="s">
        <v>14</v>
      </c>
      <c r="C39" s="81" t="s">
        <v>6251</v>
      </c>
      <c r="D39" s="81" t="s">
        <v>7427</v>
      </c>
      <c r="E39" s="81" t="s">
        <v>16</v>
      </c>
      <c r="F39" s="81" t="s">
        <v>379</v>
      </c>
      <c r="G39" s="81" t="s">
        <v>2046</v>
      </c>
      <c r="H39" s="81" t="s">
        <v>2401</v>
      </c>
    </row>
    <row r="40" spans="1:8" x14ac:dyDescent="0.3">
      <c r="A40" s="81" t="s">
        <v>441</v>
      </c>
      <c r="B40" s="81" t="s">
        <v>14</v>
      </c>
      <c r="C40" s="81" t="s">
        <v>6251</v>
      </c>
      <c r="D40" s="81" t="s">
        <v>7427</v>
      </c>
      <c r="E40" s="81" t="s">
        <v>16</v>
      </c>
      <c r="F40" s="81" t="s">
        <v>380</v>
      </c>
      <c r="G40" s="81" t="s">
        <v>2047</v>
      </c>
      <c r="H40" s="81" t="s">
        <v>2402</v>
      </c>
    </row>
    <row r="41" spans="1:8" x14ac:dyDescent="0.3">
      <c r="A41" s="81" t="s">
        <v>442</v>
      </c>
      <c r="B41" s="81" t="s">
        <v>14</v>
      </c>
      <c r="C41" s="81" t="s">
        <v>6251</v>
      </c>
      <c r="D41" s="81" t="s">
        <v>7427</v>
      </c>
      <c r="E41" s="81" t="s">
        <v>16</v>
      </c>
      <c r="F41" s="81" t="s">
        <v>381</v>
      </c>
      <c r="G41" s="81" t="s">
        <v>2048</v>
      </c>
      <c r="H41" s="81" t="s">
        <v>2403</v>
      </c>
    </row>
    <row r="42" spans="1:8" x14ac:dyDescent="0.3">
      <c r="A42" s="81" t="s">
        <v>443</v>
      </c>
      <c r="B42" s="81" t="s">
        <v>14</v>
      </c>
      <c r="C42" s="81" t="s">
        <v>6251</v>
      </c>
      <c r="D42" s="81" t="s">
        <v>7427</v>
      </c>
      <c r="E42" s="81" t="s">
        <v>16</v>
      </c>
      <c r="F42" s="81" t="s">
        <v>382</v>
      </c>
      <c r="G42" s="81" t="s">
        <v>2049</v>
      </c>
      <c r="H42" s="81" t="s">
        <v>2404</v>
      </c>
    </row>
    <row r="43" spans="1:8" x14ac:dyDescent="0.3">
      <c r="A43" s="81" t="s">
        <v>444</v>
      </c>
      <c r="B43" s="81" t="s">
        <v>14</v>
      </c>
      <c r="C43" s="81" t="s">
        <v>6251</v>
      </c>
      <c r="D43" s="81" t="s">
        <v>7427</v>
      </c>
      <c r="E43" s="81" t="s">
        <v>16</v>
      </c>
      <c r="F43" s="81" t="s">
        <v>383</v>
      </c>
      <c r="G43" s="81" t="s">
        <v>2050</v>
      </c>
      <c r="H43" s="81" t="s">
        <v>2405</v>
      </c>
    </row>
    <row r="44" spans="1:8" x14ac:dyDescent="0.3">
      <c r="A44" s="81" t="s">
        <v>445</v>
      </c>
      <c r="B44" s="81" t="s">
        <v>462</v>
      </c>
      <c r="C44" s="81" t="s">
        <v>463</v>
      </c>
      <c r="D44" s="81" t="s">
        <v>3762</v>
      </c>
      <c r="E44" s="81" t="s">
        <v>20</v>
      </c>
      <c r="F44" s="81" t="s">
        <v>15</v>
      </c>
      <c r="G44" s="81" t="s">
        <v>2406</v>
      </c>
      <c r="H44" s="81" t="s">
        <v>1061</v>
      </c>
    </row>
    <row r="45" spans="1:8" x14ac:dyDescent="0.3">
      <c r="A45" s="81" t="s">
        <v>446</v>
      </c>
      <c r="B45" s="81" t="s">
        <v>462</v>
      </c>
      <c r="C45" s="81" t="s">
        <v>463</v>
      </c>
      <c r="D45" s="81" t="s">
        <v>3762</v>
      </c>
      <c r="E45" s="81" t="s">
        <v>16</v>
      </c>
      <c r="F45" s="81" t="s">
        <v>368</v>
      </c>
      <c r="G45" s="81" t="s">
        <v>2407</v>
      </c>
      <c r="H45" s="81" t="s">
        <v>2408</v>
      </c>
    </row>
    <row r="46" spans="1:8" x14ac:dyDescent="0.3">
      <c r="A46" s="81" t="s">
        <v>447</v>
      </c>
      <c r="B46" s="81" t="s">
        <v>462</v>
      </c>
      <c r="C46" s="81" t="s">
        <v>463</v>
      </c>
      <c r="D46" s="81" t="s">
        <v>3762</v>
      </c>
      <c r="E46" s="81" t="s">
        <v>16</v>
      </c>
      <c r="F46" s="81" t="s">
        <v>369</v>
      </c>
      <c r="G46" s="81" t="s">
        <v>2409</v>
      </c>
      <c r="H46" s="81" t="s">
        <v>2410</v>
      </c>
    </row>
    <row r="47" spans="1:8" x14ac:dyDescent="0.3">
      <c r="A47" s="81" t="s">
        <v>448</v>
      </c>
      <c r="B47" s="81" t="s">
        <v>462</v>
      </c>
      <c r="C47" s="81" t="s">
        <v>463</v>
      </c>
      <c r="D47" s="81" t="s">
        <v>3762</v>
      </c>
      <c r="E47" s="81" t="s">
        <v>16</v>
      </c>
      <c r="F47" s="81" t="s">
        <v>370</v>
      </c>
      <c r="G47" s="81" t="s">
        <v>2411</v>
      </c>
      <c r="H47" s="81" t="s">
        <v>2412</v>
      </c>
    </row>
    <row r="48" spans="1:8" x14ac:dyDescent="0.3">
      <c r="A48" s="81" t="s">
        <v>449</v>
      </c>
      <c r="B48" s="81" t="s">
        <v>462</v>
      </c>
      <c r="C48" s="81" t="s">
        <v>463</v>
      </c>
      <c r="D48" s="81" t="s">
        <v>3762</v>
      </c>
      <c r="E48" s="81" t="s">
        <v>16</v>
      </c>
      <c r="F48" s="81" t="s">
        <v>371</v>
      </c>
      <c r="G48" s="81" t="s">
        <v>2413</v>
      </c>
      <c r="H48" s="81" t="s">
        <v>2414</v>
      </c>
    </row>
    <row r="49" spans="1:8" x14ac:dyDescent="0.3">
      <c r="A49" s="81" t="s">
        <v>450</v>
      </c>
      <c r="B49" s="81" t="s">
        <v>462</v>
      </c>
      <c r="C49" s="81" t="s">
        <v>463</v>
      </c>
      <c r="D49" s="81" t="s">
        <v>3762</v>
      </c>
      <c r="E49" s="81" t="s">
        <v>16</v>
      </c>
      <c r="F49" s="81" t="s">
        <v>372</v>
      </c>
      <c r="G49" s="81" t="s">
        <v>2415</v>
      </c>
      <c r="H49" s="81" t="s">
        <v>2416</v>
      </c>
    </row>
    <row r="50" spans="1:8" x14ac:dyDescent="0.3">
      <c r="A50" s="81" t="s">
        <v>451</v>
      </c>
      <c r="B50" s="81" t="s">
        <v>462</v>
      </c>
      <c r="C50" s="81" t="s">
        <v>463</v>
      </c>
      <c r="D50" s="81" t="s">
        <v>3762</v>
      </c>
      <c r="E50" s="81" t="s">
        <v>16</v>
      </c>
      <c r="F50" s="81" t="s">
        <v>373</v>
      </c>
      <c r="G50" s="81" t="s">
        <v>2417</v>
      </c>
      <c r="H50" s="81" t="s">
        <v>2418</v>
      </c>
    </row>
    <row r="51" spans="1:8" x14ac:dyDescent="0.3">
      <c r="A51" s="81" t="s">
        <v>452</v>
      </c>
      <c r="B51" s="81" t="s">
        <v>462</v>
      </c>
      <c r="C51" s="81" t="s">
        <v>463</v>
      </c>
      <c r="D51" s="81" t="s">
        <v>3762</v>
      </c>
      <c r="E51" s="81" t="s">
        <v>16</v>
      </c>
      <c r="F51" s="81" t="s">
        <v>374</v>
      </c>
      <c r="G51" s="81" t="s">
        <v>2419</v>
      </c>
      <c r="H51" s="81" t="s">
        <v>2420</v>
      </c>
    </row>
    <row r="52" spans="1:8" x14ac:dyDescent="0.3">
      <c r="A52" s="81" t="s">
        <v>453</v>
      </c>
      <c r="B52" s="81" t="s">
        <v>462</v>
      </c>
      <c r="C52" s="81" t="s">
        <v>463</v>
      </c>
      <c r="D52" s="81" t="s">
        <v>3762</v>
      </c>
      <c r="E52" s="81" t="s">
        <v>16</v>
      </c>
      <c r="F52" s="81" t="s">
        <v>375</v>
      </c>
      <c r="G52" s="81" t="s">
        <v>2421</v>
      </c>
      <c r="H52" s="81" t="s">
        <v>2422</v>
      </c>
    </row>
    <row r="53" spans="1:8" x14ac:dyDescent="0.3">
      <c r="A53" s="81" t="s">
        <v>454</v>
      </c>
      <c r="B53" s="81" t="s">
        <v>462</v>
      </c>
      <c r="C53" s="81" t="s">
        <v>463</v>
      </c>
      <c r="D53" s="81" t="s">
        <v>3762</v>
      </c>
      <c r="E53" s="81" t="s">
        <v>16</v>
      </c>
      <c r="F53" s="81" t="s">
        <v>376</v>
      </c>
      <c r="G53" s="81" t="s">
        <v>2423</v>
      </c>
      <c r="H53" s="81" t="s">
        <v>2424</v>
      </c>
    </row>
    <row r="54" spans="1:8" x14ac:dyDescent="0.3">
      <c r="A54" s="81" t="s">
        <v>455</v>
      </c>
      <c r="B54" s="81" t="s">
        <v>462</v>
      </c>
      <c r="C54" s="81" t="s">
        <v>463</v>
      </c>
      <c r="D54" s="81" t="s">
        <v>3762</v>
      </c>
      <c r="E54" s="81" t="s">
        <v>16</v>
      </c>
      <c r="F54" s="81" t="s">
        <v>377</v>
      </c>
      <c r="G54" s="81" t="s">
        <v>2425</v>
      </c>
      <c r="H54" s="81" t="s">
        <v>2426</v>
      </c>
    </row>
    <row r="55" spans="1:8" x14ac:dyDescent="0.3">
      <c r="A55" s="81" t="s">
        <v>456</v>
      </c>
      <c r="B55" s="81" t="s">
        <v>462</v>
      </c>
      <c r="C55" s="81" t="s">
        <v>463</v>
      </c>
      <c r="D55" s="81" t="s">
        <v>3762</v>
      </c>
      <c r="E55" s="81" t="s">
        <v>16</v>
      </c>
      <c r="F55" s="81" t="s">
        <v>378</v>
      </c>
      <c r="G55" s="81" t="s">
        <v>2427</v>
      </c>
      <c r="H55" s="81" t="s">
        <v>2428</v>
      </c>
    </row>
    <row r="56" spans="1:8" x14ac:dyDescent="0.3">
      <c r="A56" s="81" t="s">
        <v>457</v>
      </c>
      <c r="B56" s="81" t="s">
        <v>462</v>
      </c>
      <c r="C56" s="81" t="s">
        <v>463</v>
      </c>
      <c r="D56" s="81" t="s">
        <v>3762</v>
      </c>
      <c r="E56" s="81" t="s">
        <v>16</v>
      </c>
      <c r="F56" s="81" t="s">
        <v>379</v>
      </c>
      <c r="G56" s="81" t="s">
        <v>2429</v>
      </c>
      <c r="H56" s="81" t="s">
        <v>2430</v>
      </c>
    </row>
    <row r="57" spans="1:8" x14ac:dyDescent="0.3">
      <c r="A57" s="81" t="s">
        <v>458</v>
      </c>
      <c r="B57" s="81" t="s">
        <v>462</v>
      </c>
      <c r="C57" s="81" t="s">
        <v>463</v>
      </c>
      <c r="D57" s="81" t="s">
        <v>3762</v>
      </c>
      <c r="E57" s="81" t="s">
        <v>16</v>
      </c>
      <c r="F57" s="81" t="s">
        <v>380</v>
      </c>
      <c r="G57" s="81" t="s">
        <v>2431</v>
      </c>
      <c r="H57" s="81" t="s">
        <v>2432</v>
      </c>
    </row>
    <row r="58" spans="1:8" x14ac:dyDescent="0.3">
      <c r="A58" s="81" t="s">
        <v>465</v>
      </c>
      <c r="B58" s="81" t="s">
        <v>462</v>
      </c>
      <c r="C58" s="81" t="s">
        <v>463</v>
      </c>
      <c r="D58" s="81" t="s">
        <v>3762</v>
      </c>
      <c r="E58" s="81" t="s">
        <v>16</v>
      </c>
      <c r="F58" s="81" t="s">
        <v>381</v>
      </c>
      <c r="G58" s="81" t="s">
        <v>2433</v>
      </c>
      <c r="H58" s="81" t="s">
        <v>2434</v>
      </c>
    </row>
    <row r="59" spans="1:8" x14ac:dyDescent="0.3">
      <c r="A59" s="81" t="s">
        <v>466</v>
      </c>
      <c r="B59" s="81" t="s">
        <v>462</v>
      </c>
      <c r="C59" s="81" t="s">
        <v>463</v>
      </c>
      <c r="D59" s="81" t="s">
        <v>3762</v>
      </c>
      <c r="E59" s="81" t="s">
        <v>16</v>
      </c>
      <c r="F59" s="81" t="s">
        <v>382</v>
      </c>
      <c r="G59" s="81" t="s">
        <v>2435</v>
      </c>
      <c r="H59" s="81" t="s">
        <v>2436</v>
      </c>
    </row>
    <row r="60" spans="1:8" x14ac:dyDescent="0.3">
      <c r="A60" s="81" t="s">
        <v>467</v>
      </c>
      <c r="B60" s="81" t="s">
        <v>462</v>
      </c>
      <c r="C60" s="81" t="s">
        <v>463</v>
      </c>
      <c r="D60" s="81" t="s">
        <v>3762</v>
      </c>
      <c r="E60" s="81" t="s">
        <v>16</v>
      </c>
      <c r="F60" s="81" t="s">
        <v>383</v>
      </c>
      <c r="G60" s="81" t="s">
        <v>2437</v>
      </c>
      <c r="H60" s="81" t="s">
        <v>2438</v>
      </c>
    </row>
    <row r="61" spans="1:8" x14ac:dyDescent="0.3">
      <c r="A61" s="81" t="s">
        <v>468</v>
      </c>
      <c r="B61" s="81" t="s">
        <v>405</v>
      </c>
      <c r="C61" s="81" t="s">
        <v>2369</v>
      </c>
      <c r="D61" s="81" t="s">
        <v>3761</v>
      </c>
      <c r="E61" s="81" t="s">
        <v>20</v>
      </c>
      <c r="F61" s="81" t="s">
        <v>15</v>
      </c>
      <c r="G61" s="81" t="s">
        <v>1065</v>
      </c>
      <c r="H61" s="81" t="s">
        <v>1063</v>
      </c>
    </row>
    <row r="62" spans="1:8" x14ac:dyDescent="0.3">
      <c r="A62" s="81" t="s">
        <v>469</v>
      </c>
      <c r="B62" s="81" t="s">
        <v>405</v>
      </c>
      <c r="C62" s="81" t="s">
        <v>2367</v>
      </c>
      <c r="D62" s="81" t="s">
        <v>3761</v>
      </c>
      <c r="E62" s="81" t="s">
        <v>20</v>
      </c>
      <c r="F62" s="81" t="s">
        <v>15</v>
      </c>
      <c r="G62" s="81" t="s">
        <v>2439</v>
      </c>
      <c r="H62" s="81" t="s">
        <v>1062</v>
      </c>
    </row>
    <row r="63" spans="1:8" x14ac:dyDescent="0.3">
      <c r="A63" s="81" t="s">
        <v>1503</v>
      </c>
      <c r="B63" s="81" t="s">
        <v>405</v>
      </c>
      <c r="C63" s="81" t="s">
        <v>2367</v>
      </c>
      <c r="D63" s="81" t="s">
        <v>3761</v>
      </c>
      <c r="E63" s="81" t="s">
        <v>16</v>
      </c>
      <c r="F63" s="81" t="s">
        <v>368</v>
      </c>
      <c r="G63" s="81" t="s">
        <v>2440</v>
      </c>
      <c r="H63" s="81" t="s">
        <v>2441</v>
      </c>
    </row>
    <row r="64" spans="1:8" x14ac:dyDescent="0.3">
      <c r="A64" s="81" t="s">
        <v>1504</v>
      </c>
      <c r="B64" s="81" t="s">
        <v>405</v>
      </c>
      <c r="C64" s="81" t="s">
        <v>2367</v>
      </c>
      <c r="D64" s="81" t="s">
        <v>3761</v>
      </c>
      <c r="E64" s="81" t="s">
        <v>16</v>
      </c>
      <c r="F64" s="81" t="s">
        <v>369</v>
      </c>
      <c r="G64" s="81" t="s">
        <v>2442</v>
      </c>
      <c r="H64" s="81" t="s">
        <v>2443</v>
      </c>
    </row>
    <row r="65" spans="1:8" x14ac:dyDescent="0.3">
      <c r="A65" s="81" t="s">
        <v>1505</v>
      </c>
      <c r="B65" s="81" t="s">
        <v>405</v>
      </c>
      <c r="C65" s="81" t="s">
        <v>2367</v>
      </c>
      <c r="D65" s="81" t="s">
        <v>3761</v>
      </c>
      <c r="E65" s="81" t="s">
        <v>16</v>
      </c>
      <c r="F65" s="81" t="s">
        <v>370</v>
      </c>
      <c r="G65" s="81" t="s">
        <v>2444</v>
      </c>
      <c r="H65" s="81" t="s">
        <v>2445</v>
      </c>
    </row>
    <row r="66" spans="1:8" x14ac:dyDescent="0.3">
      <c r="A66" s="81" t="s">
        <v>1506</v>
      </c>
      <c r="B66" s="81" t="s">
        <v>405</v>
      </c>
      <c r="C66" s="81" t="s">
        <v>2367</v>
      </c>
      <c r="D66" s="81" t="s">
        <v>3761</v>
      </c>
      <c r="E66" s="81" t="s">
        <v>16</v>
      </c>
      <c r="F66" s="81" t="s">
        <v>371</v>
      </c>
      <c r="G66" s="81" t="s">
        <v>2446</v>
      </c>
      <c r="H66" s="81" t="s">
        <v>2447</v>
      </c>
    </row>
    <row r="67" spans="1:8" x14ac:dyDescent="0.3">
      <c r="A67" s="81" t="s">
        <v>1507</v>
      </c>
      <c r="B67" s="81" t="s">
        <v>405</v>
      </c>
      <c r="C67" s="81" t="s">
        <v>2367</v>
      </c>
      <c r="D67" s="81" t="s">
        <v>3761</v>
      </c>
      <c r="E67" s="81" t="s">
        <v>16</v>
      </c>
      <c r="F67" s="81" t="s">
        <v>372</v>
      </c>
      <c r="G67" s="81" t="s">
        <v>2448</v>
      </c>
      <c r="H67" s="81" t="s">
        <v>2449</v>
      </c>
    </row>
    <row r="68" spans="1:8" x14ac:dyDescent="0.3">
      <c r="A68" s="81" t="s">
        <v>1508</v>
      </c>
      <c r="B68" s="81" t="s">
        <v>405</v>
      </c>
      <c r="C68" s="81" t="s">
        <v>2367</v>
      </c>
      <c r="D68" s="81" t="s">
        <v>3761</v>
      </c>
      <c r="E68" s="81" t="s">
        <v>16</v>
      </c>
      <c r="F68" s="81" t="s">
        <v>373</v>
      </c>
      <c r="G68" s="81" t="s">
        <v>2450</v>
      </c>
      <c r="H68" s="81" t="s">
        <v>2451</v>
      </c>
    </row>
    <row r="69" spans="1:8" x14ac:dyDescent="0.3">
      <c r="A69" s="81" t="s">
        <v>1509</v>
      </c>
      <c r="B69" s="81" t="s">
        <v>405</v>
      </c>
      <c r="C69" s="81" t="s">
        <v>2367</v>
      </c>
      <c r="D69" s="81" t="s">
        <v>3761</v>
      </c>
      <c r="E69" s="81" t="s">
        <v>16</v>
      </c>
      <c r="F69" s="81" t="s">
        <v>374</v>
      </c>
      <c r="G69" s="81" t="s">
        <v>2452</v>
      </c>
      <c r="H69" s="81" t="s">
        <v>2453</v>
      </c>
    </row>
    <row r="70" spans="1:8" x14ac:dyDescent="0.3">
      <c r="A70" s="81" t="s">
        <v>1510</v>
      </c>
      <c r="B70" s="81" t="s">
        <v>405</v>
      </c>
      <c r="C70" s="81" t="s">
        <v>2367</v>
      </c>
      <c r="D70" s="81" t="s">
        <v>3761</v>
      </c>
      <c r="E70" s="81" t="s">
        <v>16</v>
      </c>
      <c r="F70" s="81" t="s">
        <v>375</v>
      </c>
      <c r="G70" s="81" t="s">
        <v>2454</v>
      </c>
      <c r="H70" s="81" t="s">
        <v>2455</v>
      </c>
    </row>
    <row r="71" spans="1:8" x14ac:dyDescent="0.3">
      <c r="A71" s="81" t="s">
        <v>1511</v>
      </c>
      <c r="B71" s="81" t="s">
        <v>405</v>
      </c>
      <c r="C71" s="81" t="s">
        <v>2367</v>
      </c>
      <c r="D71" s="81" t="s">
        <v>3761</v>
      </c>
      <c r="E71" s="81" t="s">
        <v>16</v>
      </c>
      <c r="F71" s="81" t="s">
        <v>376</v>
      </c>
      <c r="G71" s="81" t="s">
        <v>2456</v>
      </c>
      <c r="H71" s="81" t="s">
        <v>2457</v>
      </c>
    </row>
    <row r="72" spans="1:8" x14ac:dyDescent="0.3">
      <c r="A72" s="81" t="s">
        <v>1512</v>
      </c>
      <c r="B72" s="81" t="s">
        <v>405</v>
      </c>
      <c r="C72" s="81" t="s">
        <v>2367</v>
      </c>
      <c r="D72" s="81" t="s">
        <v>3761</v>
      </c>
      <c r="E72" s="81" t="s">
        <v>16</v>
      </c>
      <c r="F72" s="81" t="s">
        <v>377</v>
      </c>
      <c r="G72" s="81" t="s">
        <v>2458</v>
      </c>
      <c r="H72" s="81" t="s">
        <v>2459</v>
      </c>
    </row>
    <row r="73" spans="1:8" x14ac:dyDescent="0.3">
      <c r="A73" s="81" t="s">
        <v>1513</v>
      </c>
      <c r="B73" s="81" t="s">
        <v>405</v>
      </c>
      <c r="C73" s="81" t="s">
        <v>2367</v>
      </c>
      <c r="D73" s="81" t="s">
        <v>3761</v>
      </c>
      <c r="E73" s="81" t="s">
        <v>16</v>
      </c>
      <c r="F73" s="81" t="s">
        <v>378</v>
      </c>
      <c r="G73" s="81" t="s">
        <v>2460</v>
      </c>
      <c r="H73" s="81" t="s">
        <v>2461</v>
      </c>
    </row>
    <row r="74" spans="1:8" x14ac:dyDescent="0.3">
      <c r="A74" s="81" t="s">
        <v>1514</v>
      </c>
      <c r="B74" s="81" t="s">
        <v>405</v>
      </c>
      <c r="C74" s="81" t="s">
        <v>2367</v>
      </c>
      <c r="D74" s="81" t="s">
        <v>3761</v>
      </c>
      <c r="E74" s="81" t="s">
        <v>16</v>
      </c>
      <c r="F74" s="81" t="s">
        <v>379</v>
      </c>
      <c r="G74" s="81" t="s">
        <v>2462</v>
      </c>
      <c r="H74" s="81" t="s">
        <v>2463</v>
      </c>
    </row>
    <row r="75" spans="1:8" x14ac:dyDescent="0.3">
      <c r="A75" s="81" t="s">
        <v>1515</v>
      </c>
      <c r="B75" s="81" t="s">
        <v>405</v>
      </c>
      <c r="C75" s="81" t="s">
        <v>2367</v>
      </c>
      <c r="D75" s="81" t="s">
        <v>3761</v>
      </c>
      <c r="E75" s="81" t="s">
        <v>16</v>
      </c>
      <c r="F75" s="81" t="s">
        <v>380</v>
      </c>
      <c r="G75" s="81" t="s">
        <v>2464</v>
      </c>
      <c r="H75" s="81" t="s">
        <v>2465</v>
      </c>
    </row>
    <row r="76" spans="1:8" x14ac:dyDescent="0.3">
      <c r="A76" s="81" t="s">
        <v>1516</v>
      </c>
      <c r="B76" s="81" t="s">
        <v>405</v>
      </c>
      <c r="C76" s="81" t="s">
        <v>2367</v>
      </c>
      <c r="D76" s="81" t="s">
        <v>3761</v>
      </c>
      <c r="E76" s="81" t="s">
        <v>16</v>
      </c>
      <c r="F76" s="81" t="s">
        <v>381</v>
      </c>
      <c r="G76" s="81" t="s">
        <v>2466</v>
      </c>
      <c r="H76" s="81" t="s">
        <v>2467</v>
      </c>
    </row>
    <row r="77" spans="1:8" x14ac:dyDescent="0.3">
      <c r="A77" s="81" t="s">
        <v>1517</v>
      </c>
      <c r="B77" s="81" t="s">
        <v>405</v>
      </c>
      <c r="C77" s="81" t="s">
        <v>2367</v>
      </c>
      <c r="D77" s="81" t="s">
        <v>3761</v>
      </c>
      <c r="E77" s="81" t="s">
        <v>16</v>
      </c>
      <c r="F77" s="81" t="s">
        <v>382</v>
      </c>
      <c r="G77" s="81" t="s">
        <v>2468</v>
      </c>
      <c r="H77" s="81" t="s">
        <v>2469</v>
      </c>
    </row>
    <row r="78" spans="1:8" x14ac:dyDescent="0.3">
      <c r="A78" s="81" t="s">
        <v>1518</v>
      </c>
      <c r="B78" s="81" t="s">
        <v>405</v>
      </c>
      <c r="C78" s="81" t="s">
        <v>2367</v>
      </c>
      <c r="D78" s="81" t="s">
        <v>3761</v>
      </c>
      <c r="E78" s="81" t="s">
        <v>16</v>
      </c>
      <c r="F78" s="81" t="s">
        <v>383</v>
      </c>
      <c r="G78" s="81" t="s">
        <v>2470</v>
      </c>
      <c r="H78" s="81" t="s">
        <v>2471</v>
      </c>
    </row>
    <row r="79" spans="1:8" x14ac:dyDescent="0.3">
      <c r="A79" s="81" t="s">
        <v>470</v>
      </c>
      <c r="B79" s="81" t="s">
        <v>508</v>
      </c>
      <c r="C79" s="81" t="s">
        <v>424</v>
      </c>
      <c r="D79" s="81" t="s">
        <v>6250</v>
      </c>
      <c r="E79" s="81" t="s">
        <v>20</v>
      </c>
      <c r="F79" s="81" t="s">
        <v>15</v>
      </c>
      <c r="G79" s="81" t="s">
        <v>2051</v>
      </c>
      <c r="H79" s="81" t="s">
        <v>509</v>
      </c>
    </row>
    <row r="80" spans="1:8" x14ac:dyDescent="0.3">
      <c r="A80" s="81" t="s">
        <v>471</v>
      </c>
      <c r="B80" s="81" t="s">
        <v>508</v>
      </c>
      <c r="C80" s="81" t="s">
        <v>424</v>
      </c>
      <c r="D80" s="81" t="s">
        <v>6250</v>
      </c>
      <c r="E80" s="81" t="s">
        <v>16</v>
      </c>
      <c r="F80" s="81" t="s">
        <v>368</v>
      </c>
      <c r="G80" s="81" t="s">
        <v>2052</v>
      </c>
      <c r="H80" s="81" t="s">
        <v>2472</v>
      </c>
    </row>
    <row r="81" spans="1:8" x14ac:dyDescent="0.3">
      <c r="A81" s="81" t="s">
        <v>474</v>
      </c>
      <c r="B81" s="81" t="s">
        <v>508</v>
      </c>
      <c r="C81" s="81" t="s">
        <v>424</v>
      </c>
      <c r="D81" s="81" t="s">
        <v>6250</v>
      </c>
      <c r="E81" s="81" t="s">
        <v>16</v>
      </c>
      <c r="F81" s="81" t="s">
        <v>369</v>
      </c>
      <c r="G81" s="81" t="s">
        <v>2053</v>
      </c>
      <c r="H81" s="81" t="s">
        <v>2473</v>
      </c>
    </row>
    <row r="82" spans="1:8" x14ac:dyDescent="0.3">
      <c r="A82" s="81" t="s">
        <v>475</v>
      </c>
      <c r="B82" s="81" t="s">
        <v>508</v>
      </c>
      <c r="C82" s="81" t="s">
        <v>424</v>
      </c>
      <c r="D82" s="81" t="s">
        <v>6250</v>
      </c>
      <c r="E82" s="81" t="s">
        <v>16</v>
      </c>
      <c r="F82" s="81" t="s">
        <v>370</v>
      </c>
      <c r="G82" s="81" t="s">
        <v>2054</v>
      </c>
      <c r="H82" s="81" t="s">
        <v>2474</v>
      </c>
    </row>
    <row r="83" spans="1:8" x14ac:dyDescent="0.3">
      <c r="A83" s="81" t="s">
        <v>476</v>
      </c>
      <c r="B83" s="81" t="s">
        <v>508</v>
      </c>
      <c r="C83" s="81" t="s">
        <v>424</v>
      </c>
      <c r="D83" s="81" t="s">
        <v>6250</v>
      </c>
      <c r="E83" s="81" t="s">
        <v>16</v>
      </c>
      <c r="F83" s="81" t="s">
        <v>371</v>
      </c>
      <c r="G83" s="81" t="s">
        <v>2055</v>
      </c>
      <c r="H83" s="81" t="s">
        <v>2475</v>
      </c>
    </row>
    <row r="84" spans="1:8" x14ac:dyDescent="0.3">
      <c r="A84" s="81" t="s">
        <v>477</v>
      </c>
      <c r="B84" s="81" t="s">
        <v>508</v>
      </c>
      <c r="C84" s="81" t="s">
        <v>424</v>
      </c>
      <c r="D84" s="81" t="s">
        <v>6250</v>
      </c>
      <c r="E84" s="81" t="s">
        <v>16</v>
      </c>
      <c r="F84" s="81" t="s">
        <v>372</v>
      </c>
      <c r="G84" s="81" t="s">
        <v>2056</v>
      </c>
      <c r="H84" s="81" t="s">
        <v>2476</v>
      </c>
    </row>
    <row r="85" spans="1:8" x14ac:dyDescent="0.3">
      <c r="A85" s="81" t="s">
        <v>478</v>
      </c>
      <c r="B85" s="81" t="s">
        <v>508</v>
      </c>
      <c r="C85" s="81" t="s">
        <v>424</v>
      </c>
      <c r="D85" s="81" t="s">
        <v>6250</v>
      </c>
      <c r="E85" s="81" t="s">
        <v>16</v>
      </c>
      <c r="F85" s="81" t="s">
        <v>373</v>
      </c>
      <c r="G85" s="81" t="s">
        <v>2057</v>
      </c>
      <c r="H85" s="81" t="s">
        <v>2477</v>
      </c>
    </row>
    <row r="86" spans="1:8" x14ac:dyDescent="0.3">
      <c r="A86" s="81" t="s">
        <v>479</v>
      </c>
      <c r="B86" s="81" t="s">
        <v>508</v>
      </c>
      <c r="C86" s="81" t="s">
        <v>424</v>
      </c>
      <c r="D86" s="81" t="s">
        <v>6250</v>
      </c>
      <c r="E86" s="81" t="s">
        <v>16</v>
      </c>
      <c r="F86" s="81" t="s">
        <v>374</v>
      </c>
      <c r="G86" s="81" t="s">
        <v>2058</v>
      </c>
      <c r="H86" s="81" t="s">
        <v>2478</v>
      </c>
    </row>
    <row r="87" spans="1:8" x14ac:dyDescent="0.3">
      <c r="A87" s="81" t="s">
        <v>480</v>
      </c>
      <c r="B87" s="81" t="s">
        <v>508</v>
      </c>
      <c r="C87" s="81" t="s">
        <v>424</v>
      </c>
      <c r="D87" s="81" t="s">
        <v>6250</v>
      </c>
      <c r="E87" s="81" t="s">
        <v>16</v>
      </c>
      <c r="F87" s="81" t="s">
        <v>375</v>
      </c>
      <c r="G87" s="81" t="s">
        <v>2059</v>
      </c>
      <c r="H87" s="81" t="s">
        <v>2479</v>
      </c>
    </row>
    <row r="88" spans="1:8" x14ac:dyDescent="0.3">
      <c r="A88" s="81" t="s">
        <v>481</v>
      </c>
      <c r="B88" s="81" t="s">
        <v>508</v>
      </c>
      <c r="C88" s="81" t="s">
        <v>424</v>
      </c>
      <c r="D88" s="81" t="s">
        <v>6250</v>
      </c>
      <c r="E88" s="81" t="s">
        <v>16</v>
      </c>
      <c r="F88" s="81" t="s">
        <v>376</v>
      </c>
      <c r="G88" s="81" t="s">
        <v>2060</v>
      </c>
      <c r="H88" s="81" t="s">
        <v>2480</v>
      </c>
    </row>
    <row r="89" spans="1:8" x14ac:dyDescent="0.3">
      <c r="A89" s="81" t="s">
        <v>482</v>
      </c>
      <c r="B89" s="81" t="s">
        <v>508</v>
      </c>
      <c r="C89" s="81" t="s">
        <v>424</v>
      </c>
      <c r="D89" s="81" t="s">
        <v>6250</v>
      </c>
      <c r="E89" s="81" t="s">
        <v>16</v>
      </c>
      <c r="F89" s="81" t="s">
        <v>377</v>
      </c>
      <c r="G89" s="81" t="s">
        <v>2061</v>
      </c>
      <c r="H89" s="81" t="s">
        <v>2481</v>
      </c>
    </row>
    <row r="90" spans="1:8" x14ac:dyDescent="0.3">
      <c r="A90" s="81" t="s">
        <v>483</v>
      </c>
      <c r="B90" s="81" t="s">
        <v>508</v>
      </c>
      <c r="C90" s="81" t="s">
        <v>424</v>
      </c>
      <c r="D90" s="81" t="s">
        <v>6250</v>
      </c>
      <c r="E90" s="81" t="s">
        <v>16</v>
      </c>
      <c r="F90" s="81" t="s">
        <v>378</v>
      </c>
      <c r="G90" s="81" t="s">
        <v>2062</v>
      </c>
      <c r="H90" s="81" t="s">
        <v>2482</v>
      </c>
    </row>
    <row r="91" spans="1:8" x14ac:dyDescent="0.3">
      <c r="A91" s="81" t="s">
        <v>484</v>
      </c>
      <c r="B91" s="81" t="s">
        <v>508</v>
      </c>
      <c r="C91" s="81" t="s">
        <v>424</v>
      </c>
      <c r="D91" s="81" t="s">
        <v>6250</v>
      </c>
      <c r="E91" s="81" t="s">
        <v>16</v>
      </c>
      <c r="F91" s="81" t="s">
        <v>379</v>
      </c>
      <c r="G91" s="81" t="s">
        <v>2063</v>
      </c>
      <c r="H91" s="81" t="s">
        <v>2483</v>
      </c>
    </row>
    <row r="92" spans="1:8" x14ac:dyDescent="0.3">
      <c r="A92" s="81" t="s">
        <v>485</v>
      </c>
      <c r="B92" s="81" t="s">
        <v>508</v>
      </c>
      <c r="C92" s="81" t="s">
        <v>424</v>
      </c>
      <c r="D92" s="81" t="s">
        <v>6250</v>
      </c>
      <c r="E92" s="81" t="s">
        <v>16</v>
      </c>
      <c r="F92" s="81" t="s">
        <v>380</v>
      </c>
      <c r="G92" s="81" t="s">
        <v>2064</v>
      </c>
      <c r="H92" s="81" t="s">
        <v>2484</v>
      </c>
    </row>
    <row r="93" spans="1:8" x14ac:dyDescent="0.3">
      <c r="A93" s="81" t="s">
        <v>486</v>
      </c>
      <c r="B93" s="81" t="s">
        <v>508</v>
      </c>
      <c r="C93" s="81" t="s">
        <v>424</v>
      </c>
      <c r="D93" s="81" t="s">
        <v>6250</v>
      </c>
      <c r="E93" s="81" t="s">
        <v>16</v>
      </c>
      <c r="F93" s="81" t="s">
        <v>381</v>
      </c>
      <c r="G93" s="81" t="s">
        <v>2065</v>
      </c>
      <c r="H93" s="81" t="s">
        <v>2485</v>
      </c>
    </row>
    <row r="94" spans="1:8" x14ac:dyDescent="0.3">
      <c r="A94" s="81" t="s">
        <v>487</v>
      </c>
      <c r="B94" s="81" t="s">
        <v>508</v>
      </c>
      <c r="C94" s="81" t="s">
        <v>424</v>
      </c>
      <c r="D94" s="81" t="s">
        <v>6250</v>
      </c>
      <c r="E94" s="81" t="s">
        <v>16</v>
      </c>
      <c r="F94" s="81" t="s">
        <v>382</v>
      </c>
      <c r="G94" s="81" t="s">
        <v>2066</v>
      </c>
      <c r="H94" s="81" t="s">
        <v>2486</v>
      </c>
    </row>
    <row r="95" spans="1:8" x14ac:dyDescent="0.3">
      <c r="A95" s="81" t="s">
        <v>488</v>
      </c>
      <c r="B95" s="81" t="s">
        <v>508</v>
      </c>
      <c r="C95" s="81" t="s">
        <v>424</v>
      </c>
      <c r="D95" s="81" t="s">
        <v>6250</v>
      </c>
      <c r="E95" s="81" t="s">
        <v>16</v>
      </c>
      <c r="F95" s="81" t="s">
        <v>383</v>
      </c>
      <c r="G95" s="81" t="s">
        <v>2067</v>
      </c>
      <c r="H95" s="81" t="s">
        <v>2487</v>
      </c>
    </row>
    <row r="96" spans="1:8" x14ac:dyDescent="0.3">
      <c r="A96" s="81" t="s">
        <v>489</v>
      </c>
      <c r="B96" s="81" t="s">
        <v>574</v>
      </c>
      <c r="C96" s="81" t="s">
        <v>819</v>
      </c>
      <c r="D96" s="81" t="s">
        <v>575</v>
      </c>
      <c r="E96" s="81" t="s">
        <v>20</v>
      </c>
      <c r="F96" s="81" t="s">
        <v>15</v>
      </c>
      <c r="G96" s="81" t="s">
        <v>2068</v>
      </c>
      <c r="H96" s="81" t="s">
        <v>1699</v>
      </c>
    </row>
    <row r="97" spans="1:8" x14ac:dyDescent="0.3">
      <c r="A97" s="81" t="s">
        <v>490</v>
      </c>
      <c r="B97" s="81" t="s">
        <v>574</v>
      </c>
      <c r="C97" s="81" t="s">
        <v>819</v>
      </c>
      <c r="D97" s="81" t="s">
        <v>575</v>
      </c>
      <c r="E97" s="81" t="s">
        <v>16</v>
      </c>
      <c r="F97" s="81" t="s">
        <v>368</v>
      </c>
      <c r="G97" s="81" t="s">
        <v>2069</v>
      </c>
      <c r="H97" s="81" t="s">
        <v>2488</v>
      </c>
    </row>
    <row r="98" spans="1:8" x14ac:dyDescent="0.3">
      <c r="A98" s="81" t="s">
        <v>491</v>
      </c>
      <c r="B98" s="81" t="s">
        <v>574</v>
      </c>
      <c r="C98" s="81" t="s">
        <v>819</v>
      </c>
      <c r="D98" s="81" t="s">
        <v>575</v>
      </c>
      <c r="E98" s="81" t="s">
        <v>16</v>
      </c>
      <c r="F98" s="81" t="s">
        <v>369</v>
      </c>
      <c r="G98" s="81" t="s">
        <v>2070</v>
      </c>
      <c r="H98" s="81" t="s">
        <v>2489</v>
      </c>
    </row>
    <row r="99" spans="1:8" x14ac:dyDescent="0.3">
      <c r="A99" s="81" t="s">
        <v>492</v>
      </c>
      <c r="B99" s="81" t="s">
        <v>574</v>
      </c>
      <c r="C99" s="81" t="s">
        <v>819</v>
      </c>
      <c r="D99" s="81" t="s">
        <v>575</v>
      </c>
      <c r="E99" s="81" t="s">
        <v>16</v>
      </c>
      <c r="F99" s="81" t="s">
        <v>370</v>
      </c>
      <c r="G99" s="81" t="s">
        <v>2071</v>
      </c>
      <c r="H99" s="81" t="s">
        <v>2490</v>
      </c>
    </row>
    <row r="100" spans="1:8" x14ac:dyDescent="0.3">
      <c r="A100" s="81" t="s">
        <v>493</v>
      </c>
      <c r="B100" s="81" t="s">
        <v>574</v>
      </c>
      <c r="C100" s="81" t="s">
        <v>819</v>
      </c>
      <c r="D100" s="81" t="s">
        <v>575</v>
      </c>
      <c r="E100" s="81" t="s">
        <v>16</v>
      </c>
      <c r="F100" s="81" t="s">
        <v>371</v>
      </c>
      <c r="G100" s="81" t="s">
        <v>2072</v>
      </c>
      <c r="H100" s="81" t="s">
        <v>2491</v>
      </c>
    </row>
    <row r="101" spans="1:8" x14ac:dyDescent="0.3">
      <c r="A101" s="81" t="s">
        <v>494</v>
      </c>
      <c r="B101" s="81" t="s">
        <v>574</v>
      </c>
      <c r="C101" s="81" t="s">
        <v>819</v>
      </c>
      <c r="D101" s="81" t="s">
        <v>575</v>
      </c>
      <c r="E101" s="81" t="s">
        <v>16</v>
      </c>
      <c r="F101" s="81" t="s">
        <v>372</v>
      </c>
      <c r="G101" s="81" t="s">
        <v>2073</v>
      </c>
      <c r="H101" s="81" t="s">
        <v>2492</v>
      </c>
    </row>
    <row r="102" spans="1:8" x14ac:dyDescent="0.3">
      <c r="A102" s="81" t="s">
        <v>495</v>
      </c>
      <c r="B102" s="81" t="s">
        <v>574</v>
      </c>
      <c r="C102" s="81" t="s">
        <v>819</v>
      </c>
      <c r="D102" s="81" t="s">
        <v>575</v>
      </c>
      <c r="E102" s="81" t="s">
        <v>16</v>
      </c>
      <c r="F102" s="81" t="s">
        <v>373</v>
      </c>
      <c r="G102" s="81" t="s">
        <v>2074</v>
      </c>
      <c r="H102" s="81" t="s">
        <v>2493</v>
      </c>
    </row>
    <row r="103" spans="1:8" x14ac:dyDescent="0.3">
      <c r="A103" s="81" t="s">
        <v>496</v>
      </c>
      <c r="B103" s="81" t="s">
        <v>574</v>
      </c>
      <c r="C103" s="81" t="s">
        <v>819</v>
      </c>
      <c r="D103" s="81" t="s">
        <v>575</v>
      </c>
      <c r="E103" s="81" t="s">
        <v>16</v>
      </c>
      <c r="F103" s="81" t="s">
        <v>374</v>
      </c>
      <c r="G103" s="81" t="s">
        <v>2075</v>
      </c>
      <c r="H103" s="81" t="s">
        <v>2494</v>
      </c>
    </row>
    <row r="104" spans="1:8" x14ac:dyDescent="0.3">
      <c r="A104" s="81" t="s">
        <v>497</v>
      </c>
      <c r="B104" s="81" t="s">
        <v>574</v>
      </c>
      <c r="C104" s="81" t="s">
        <v>819</v>
      </c>
      <c r="D104" s="81" t="s">
        <v>575</v>
      </c>
      <c r="E104" s="81" t="s">
        <v>16</v>
      </c>
      <c r="F104" s="81" t="s">
        <v>375</v>
      </c>
      <c r="G104" s="81" t="s">
        <v>2076</v>
      </c>
      <c r="H104" s="81" t="s">
        <v>2495</v>
      </c>
    </row>
    <row r="105" spans="1:8" x14ac:dyDescent="0.3">
      <c r="A105" s="81" t="s">
        <v>498</v>
      </c>
      <c r="B105" s="81" t="s">
        <v>574</v>
      </c>
      <c r="C105" s="81" t="s">
        <v>819</v>
      </c>
      <c r="D105" s="81" t="s">
        <v>575</v>
      </c>
      <c r="E105" s="81" t="s">
        <v>16</v>
      </c>
      <c r="F105" s="81" t="s">
        <v>376</v>
      </c>
      <c r="G105" s="81" t="s">
        <v>2077</v>
      </c>
      <c r="H105" s="81" t="s">
        <v>2496</v>
      </c>
    </row>
    <row r="106" spans="1:8" x14ac:dyDescent="0.3">
      <c r="A106" s="81" t="s">
        <v>499</v>
      </c>
      <c r="B106" s="81" t="s">
        <v>574</v>
      </c>
      <c r="C106" s="81" t="s">
        <v>819</v>
      </c>
      <c r="D106" s="81" t="s">
        <v>575</v>
      </c>
      <c r="E106" s="81" t="s">
        <v>16</v>
      </c>
      <c r="F106" s="81" t="s">
        <v>377</v>
      </c>
      <c r="G106" s="81" t="s">
        <v>2078</v>
      </c>
      <c r="H106" s="81" t="s">
        <v>2497</v>
      </c>
    </row>
    <row r="107" spans="1:8" x14ac:dyDescent="0.3">
      <c r="A107" s="81" t="s">
        <v>500</v>
      </c>
      <c r="B107" s="81" t="s">
        <v>574</v>
      </c>
      <c r="C107" s="81" t="s">
        <v>819</v>
      </c>
      <c r="D107" s="81" t="s">
        <v>575</v>
      </c>
      <c r="E107" s="81" t="s">
        <v>16</v>
      </c>
      <c r="F107" s="81" t="s">
        <v>378</v>
      </c>
      <c r="G107" s="81" t="s">
        <v>2079</v>
      </c>
      <c r="H107" s="81" t="s">
        <v>2498</v>
      </c>
    </row>
    <row r="108" spans="1:8" x14ac:dyDescent="0.3">
      <c r="A108" s="81" t="s">
        <v>501</v>
      </c>
      <c r="B108" s="81" t="s">
        <v>574</v>
      </c>
      <c r="C108" s="81" t="s">
        <v>819</v>
      </c>
      <c r="D108" s="81" t="s">
        <v>575</v>
      </c>
      <c r="E108" s="81" t="s">
        <v>16</v>
      </c>
      <c r="F108" s="81" t="s">
        <v>379</v>
      </c>
      <c r="G108" s="81" t="s">
        <v>2080</v>
      </c>
      <c r="H108" s="81" t="s">
        <v>2499</v>
      </c>
    </row>
    <row r="109" spans="1:8" x14ac:dyDescent="0.3">
      <c r="A109" s="81" t="s">
        <v>502</v>
      </c>
      <c r="B109" s="81" t="s">
        <v>574</v>
      </c>
      <c r="C109" s="81" t="s">
        <v>819</v>
      </c>
      <c r="D109" s="81" t="s">
        <v>575</v>
      </c>
      <c r="E109" s="81" t="s">
        <v>16</v>
      </c>
      <c r="F109" s="81" t="s">
        <v>380</v>
      </c>
      <c r="G109" s="81" t="s">
        <v>2081</v>
      </c>
      <c r="H109" s="81" t="s">
        <v>2500</v>
      </c>
    </row>
    <row r="110" spans="1:8" x14ac:dyDescent="0.3">
      <c r="A110" s="81" t="s">
        <v>503</v>
      </c>
      <c r="B110" s="81" t="s">
        <v>574</v>
      </c>
      <c r="C110" s="81" t="s">
        <v>819</v>
      </c>
      <c r="D110" s="81" t="s">
        <v>575</v>
      </c>
      <c r="E110" s="81" t="s">
        <v>16</v>
      </c>
      <c r="F110" s="81" t="s">
        <v>381</v>
      </c>
      <c r="G110" s="81" t="s">
        <v>2082</v>
      </c>
      <c r="H110" s="81" t="s">
        <v>2501</v>
      </c>
    </row>
    <row r="111" spans="1:8" x14ac:dyDescent="0.3">
      <c r="A111" s="81" t="s">
        <v>504</v>
      </c>
      <c r="B111" s="81" t="s">
        <v>574</v>
      </c>
      <c r="C111" s="81" t="s">
        <v>819</v>
      </c>
      <c r="D111" s="81" t="s">
        <v>575</v>
      </c>
      <c r="E111" s="81" t="s">
        <v>16</v>
      </c>
      <c r="F111" s="81" t="s">
        <v>382</v>
      </c>
      <c r="G111" s="81" t="s">
        <v>2083</v>
      </c>
      <c r="H111" s="81" t="s">
        <v>2502</v>
      </c>
    </row>
    <row r="112" spans="1:8" x14ac:dyDescent="0.3">
      <c r="A112" s="81" t="s">
        <v>505</v>
      </c>
      <c r="B112" s="81" t="s">
        <v>574</v>
      </c>
      <c r="C112" s="81" t="s">
        <v>819</v>
      </c>
      <c r="D112" s="81" t="s">
        <v>575</v>
      </c>
      <c r="E112" s="81" t="s">
        <v>16</v>
      </c>
      <c r="F112" s="81" t="s">
        <v>383</v>
      </c>
      <c r="G112" s="81" t="s">
        <v>2084</v>
      </c>
      <c r="H112" s="81" t="s">
        <v>2503</v>
      </c>
    </row>
    <row r="113" spans="1:8" x14ac:dyDescent="0.3">
      <c r="A113" s="81" t="s">
        <v>511</v>
      </c>
      <c r="B113" s="81" t="s">
        <v>578</v>
      </c>
      <c r="C113" s="81" t="s">
        <v>579</v>
      </c>
      <c r="D113" s="81" t="s">
        <v>3763</v>
      </c>
      <c r="E113" s="81" t="s">
        <v>20</v>
      </c>
      <c r="F113" s="81" t="s">
        <v>15</v>
      </c>
      <c r="G113" s="81" t="s">
        <v>2085</v>
      </c>
      <c r="H113" s="81" t="s">
        <v>818</v>
      </c>
    </row>
    <row r="114" spans="1:8" x14ac:dyDescent="0.3">
      <c r="A114" s="81" t="s">
        <v>512</v>
      </c>
      <c r="B114" s="81" t="s">
        <v>578</v>
      </c>
      <c r="C114" s="81" t="s">
        <v>579</v>
      </c>
      <c r="D114" s="81" t="s">
        <v>3763</v>
      </c>
      <c r="E114" s="81" t="s">
        <v>20</v>
      </c>
      <c r="F114" s="81" t="s">
        <v>15</v>
      </c>
      <c r="G114" s="81" t="s">
        <v>2086</v>
      </c>
      <c r="H114" s="81" t="s">
        <v>834</v>
      </c>
    </row>
    <row r="115" spans="1:8" x14ac:dyDescent="0.3">
      <c r="A115" s="81" t="s">
        <v>513</v>
      </c>
      <c r="B115" s="81" t="s">
        <v>462</v>
      </c>
      <c r="C115" s="81" t="s">
        <v>586</v>
      </c>
      <c r="D115" s="81" t="s">
        <v>3762</v>
      </c>
      <c r="E115" s="81" t="s">
        <v>20</v>
      </c>
      <c r="F115" s="81" t="s">
        <v>15</v>
      </c>
      <c r="G115" s="81" t="s">
        <v>2087</v>
      </c>
      <c r="H115" s="81" t="s">
        <v>1700</v>
      </c>
    </row>
    <row r="116" spans="1:8" x14ac:dyDescent="0.3">
      <c r="A116" s="81" t="s">
        <v>514</v>
      </c>
      <c r="B116" s="81" t="s">
        <v>462</v>
      </c>
      <c r="C116" s="81" t="s">
        <v>586</v>
      </c>
      <c r="D116" s="81" t="s">
        <v>3762</v>
      </c>
      <c r="E116" s="81" t="s">
        <v>16</v>
      </c>
      <c r="F116" s="81" t="s">
        <v>368</v>
      </c>
      <c r="G116" s="81" t="s">
        <v>2088</v>
      </c>
      <c r="H116" s="81" t="s">
        <v>2271</v>
      </c>
    </row>
    <row r="117" spans="1:8" x14ac:dyDescent="0.3">
      <c r="A117" s="81" t="s">
        <v>515</v>
      </c>
      <c r="B117" s="81" t="s">
        <v>462</v>
      </c>
      <c r="C117" s="81" t="s">
        <v>586</v>
      </c>
      <c r="D117" s="81" t="s">
        <v>3762</v>
      </c>
      <c r="E117" s="81" t="s">
        <v>16</v>
      </c>
      <c r="F117" s="81" t="s">
        <v>369</v>
      </c>
      <c r="G117" s="81" t="s">
        <v>2089</v>
      </c>
      <c r="H117" s="81" t="s">
        <v>2272</v>
      </c>
    </row>
    <row r="118" spans="1:8" x14ac:dyDescent="0.3">
      <c r="A118" s="81" t="s">
        <v>516</v>
      </c>
      <c r="B118" s="81" t="s">
        <v>462</v>
      </c>
      <c r="C118" s="81" t="s">
        <v>586</v>
      </c>
      <c r="D118" s="81" t="s">
        <v>3762</v>
      </c>
      <c r="E118" s="81" t="s">
        <v>16</v>
      </c>
      <c r="F118" s="81" t="s">
        <v>370</v>
      </c>
      <c r="G118" s="81" t="s">
        <v>2090</v>
      </c>
      <c r="H118" s="81" t="s">
        <v>2273</v>
      </c>
    </row>
    <row r="119" spans="1:8" x14ac:dyDescent="0.3">
      <c r="A119" s="81" t="s">
        <v>517</v>
      </c>
      <c r="B119" s="81" t="s">
        <v>462</v>
      </c>
      <c r="C119" s="81" t="s">
        <v>586</v>
      </c>
      <c r="D119" s="81" t="s">
        <v>3762</v>
      </c>
      <c r="E119" s="81" t="s">
        <v>16</v>
      </c>
      <c r="F119" s="81" t="s">
        <v>371</v>
      </c>
      <c r="G119" s="81" t="s">
        <v>2091</v>
      </c>
      <c r="H119" s="81" t="s">
        <v>2274</v>
      </c>
    </row>
    <row r="120" spans="1:8" x14ac:dyDescent="0.3">
      <c r="A120" s="81" t="s">
        <v>518</v>
      </c>
      <c r="B120" s="81" t="s">
        <v>462</v>
      </c>
      <c r="C120" s="81" t="s">
        <v>586</v>
      </c>
      <c r="D120" s="81" t="s">
        <v>3762</v>
      </c>
      <c r="E120" s="81" t="s">
        <v>16</v>
      </c>
      <c r="F120" s="81" t="s">
        <v>372</v>
      </c>
      <c r="G120" s="81" t="s">
        <v>2092</v>
      </c>
      <c r="H120" s="81" t="s">
        <v>2275</v>
      </c>
    </row>
    <row r="121" spans="1:8" x14ac:dyDescent="0.3">
      <c r="A121" s="81" t="s">
        <v>519</v>
      </c>
      <c r="B121" s="81" t="s">
        <v>462</v>
      </c>
      <c r="C121" s="81" t="s">
        <v>586</v>
      </c>
      <c r="D121" s="81" t="s">
        <v>3762</v>
      </c>
      <c r="E121" s="81" t="s">
        <v>16</v>
      </c>
      <c r="F121" s="81" t="s">
        <v>373</v>
      </c>
      <c r="G121" s="81" t="s">
        <v>2093</v>
      </c>
      <c r="H121" s="81" t="s">
        <v>2276</v>
      </c>
    </row>
    <row r="122" spans="1:8" x14ac:dyDescent="0.3">
      <c r="A122" s="81" t="s">
        <v>520</v>
      </c>
      <c r="B122" s="81" t="s">
        <v>462</v>
      </c>
      <c r="C122" s="81" t="s">
        <v>586</v>
      </c>
      <c r="D122" s="81" t="s">
        <v>3762</v>
      </c>
      <c r="E122" s="81" t="s">
        <v>16</v>
      </c>
      <c r="F122" s="81" t="s">
        <v>374</v>
      </c>
      <c r="G122" s="81" t="s">
        <v>2094</v>
      </c>
      <c r="H122" s="81" t="s">
        <v>2277</v>
      </c>
    </row>
    <row r="123" spans="1:8" x14ac:dyDescent="0.3">
      <c r="A123" s="81" t="s">
        <v>521</v>
      </c>
      <c r="B123" s="81" t="s">
        <v>462</v>
      </c>
      <c r="C123" s="81" t="s">
        <v>586</v>
      </c>
      <c r="D123" s="81" t="s">
        <v>3762</v>
      </c>
      <c r="E123" s="81" t="s">
        <v>16</v>
      </c>
      <c r="F123" s="81" t="s">
        <v>375</v>
      </c>
      <c r="G123" s="81" t="s">
        <v>2095</v>
      </c>
      <c r="H123" s="81" t="s">
        <v>2278</v>
      </c>
    </row>
    <row r="124" spans="1:8" x14ac:dyDescent="0.3">
      <c r="A124" s="81" t="s">
        <v>522</v>
      </c>
      <c r="B124" s="81" t="s">
        <v>462</v>
      </c>
      <c r="C124" s="81" t="s">
        <v>586</v>
      </c>
      <c r="D124" s="81" t="s">
        <v>3762</v>
      </c>
      <c r="E124" s="81" t="s">
        <v>16</v>
      </c>
      <c r="F124" s="81" t="s">
        <v>376</v>
      </c>
      <c r="G124" s="81" t="s">
        <v>2096</v>
      </c>
      <c r="H124" s="81" t="s">
        <v>2279</v>
      </c>
    </row>
    <row r="125" spans="1:8" x14ac:dyDescent="0.3">
      <c r="A125" s="81" t="s">
        <v>523</v>
      </c>
      <c r="B125" s="81" t="s">
        <v>462</v>
      </c>
      <c r="C125" s="81" t="s">
        <v>586</v>
      </c>
      <c r="D125" s="81" t="s">
        <v>3762</v>
      </c>
      <c r="E125" s="81" t="s">
        <v>16</v>
      </c>
      <c r="F125" s="81" t="s">
        <v>377</v>
      </c>
      <c r="G125" s="81" t="s">
        <v>2097</v>
      </c>
      <c r="H125" s="81" t="s">
        <v>2280</v>
      </c>
    </row>
    <row r="126" spans="1:8" x14ac:dyDescent="0.3">
      <c r="A126" s="81" t="s">
        <v>524</v>
      </c>
      <c r="B126" s="81" t="s">
        <v>462</v>
      </c>
      <c r="C126" s="81" t="s">
        <v>586</v>
      </c>
      <c r="D126" s="81" t="s">
        <v>3762</v>
      </c>
      <c r="E126" s="81" t="s">
        <v>16</v>
      </c>
      <c r="F126" s="81" t="s">
        <v>378</v>
      </c>
      <c r="G126" s="81" t="s">
        <v>2098</v>
      </c>
      <c r="H126" s="81" t="s">
        <v>2281</v>
      </c>
    </row>
    <row r="127" spans="1:8" x14ac:dyDescent="0.3">
      <c r="A127" s="81" t="s">
        <v>525</v>
      </c>
      <c r="B127" s="81" t="s">
        <v>462</v>
      </c>
      <c r="C127" s="81" t="s">
        <v>586</v>
      </c>
      <c r="D127" s="81" t="s">
        <v>3762</v>
      </c>
      <c r="E127" s="81" t="s">
        <v>16</v>
      </c>
      <c r="F127" s="81" t="s">
        <v>379</v>
      </c>
      <c r="G127" s="81" t="s">
        <v>2099</v>
      </c>
      <c r="H127" s="81" t="s">
        <v>2282</v>
      </c>
    </row>
    <row r="128" spans="1:8" x14ac:dyDescent="0.3">
      <c r="A128" s="81" t="s">
        <v>526</v>
      </c>
      <c r="B128" s="81" t="s">
        <v>462</v>
      </c>
      <c r="C128" s="81" t="s">
        <v>586</v>
      </c>
      <c r="D128" s="81" t="s">
        <v>3762</v>
      </c>
      <c r="E128" s="81" t="s">
        <v>16</v>
      </c>
      <c r="F128" s="81" t="s">
        <v>380</v>
      </c>
      <c r="G128" s="81" t="s">
        <v>2100</v>
      </c>
      <c r="H128" s="81" t="s">
        <v>2283</v>
      </c>
    </row>
    <row r="129" spans="1:8" x14ac:dyDescent="0.3">
      <c r="A129" s="81" t="s">
        <v>527</v>
      </c>
      <c r="B129" s="81" t="s">
        <v>462</v>
      </c>
      <c r="C129" s="81" t="s">
        <v>586</v>
      </c>
      <c r="D129" s="81" t="s">
        <v>3762</v>
      </c>
      <c r="E129" s="81" t="s">
        <v>16</v>
      </c>
      <c r="F129" s="81" t="s">
        <v>381</v>
      </c>
      <c r="G129" s="81" t="s">
        <v>2101</v>
      </c>
      <c r="H129" s="81" t="s">
        <v>2284</v>
      </c>
    </row>
    <row r="130" spans="1:8" x14ac:dyDescent="0.3">
      <c r="A130" s="81" t="s">
        <v>528</v>
      </c>
      <c r="B130" s="81" t="s">
        <v>462</v>
      </c>
      <c r="C130" s="81" t="s">
        <v>586</v>
      </c>
      <c r="D130" s="81" t="s">
        <v>3762</v>
      </c>
      <c r="E130" s="81" t="s">
        <v>16</v>
      </c>
      <c r="F130" s="81" t="s">
        <v>382</v>
      </c>
      <c r="G130" s="81" t="s">
        <v>2102</v>
      </c>
      <c r="H130" s="81" t="s">
        <v>2285</v>
      </c>
    </row>
    <row r="131" spans="1:8" x14ac:dyDescent="0.3">
      <c r="A131" s="81" t="s">
        <v>529</v>
      </c>
      <c r="B131" s="81" t="s">
        <v>462</v>
      </c>
      <c r="C131" s="81" t="s">
        <v>586</v>
      </c>
      <c r="D131" s="81" t="s">
        <v>3762</v>
      </c>
      <c r="E131" s="81" t="s">
        <v>16</v>
      </c>
      <c r="F131" s="81" t="s">
        <v>383</v>
      </c>
      <c r="G131" s="81" t="s">
        <v>2103</v>
      </c>
      <c r="H131" s="81" t="s">
        <v>2286</v>
      </c>
    </row>
    <row r="132" spans="1:8" x14ac:dyDescent="0.3">
      <c r="A132" s="81" t="s">
        <v>530</v>
      </c>
      <c r="B132" s="81" t="s">
        <v>597</v>
      </c>
      <c r="C132" s="81" t="s">
        <v>628</v>
      </c>
      <c r="D132" s="81" t="s">
        <v>3786</v>
      </c>
      <c r="E132" s="81" t="s">
        <v>20</v>
      </c>
      <c r="F132" s="81" t="s">
        <v>15</v>
      </c>
      <c r="G132" s="81" t="s">
        <v>599</v>
      </c>
      <c r="H132" s="81" t="s">
        <v>600</v>
      </c>
    </row>
    <row r="133" spans="1:8" x14ac:dyDescent="0.3">
      <c r="A133" s="81" t="s">
        <v>531</v>
      </c>
      <c r="B133" s="81" t="s">
        <v>597</v>
      </c>
      <c r="C133" s="81" t="s">
        <v>628</v>
      </c>
      <c r="D133" s="81" t="s">
        <v>3786</v>
      </c>
      <c r="E133" s="81" t="s">
        <v>20</v>
      </c>
      <c r="F133" s="81" t="s">
        <v>15</v>
      </c>
      <c r="G133" s="81" t="s">
        <v>605</v>
      </c>
      <c r="H133" s="81" t="s">
        <v>607</v>
      </c>
    </row>
    <row r="134" spans="1:8" x14ac:dyDescent="0.3">
      <c r="A134" s="81" t="s">
        <v>532</v>
      </c>
      <c r="B134" s="81" t="s">
        <v>578</v>
      </c>
      <c r="C134" s="81" t="s">
        <v>1641</v>
      </c>
      <c r="D134" s="81" t="s">
        <v>3785</v>
      </c>
      <c r="E134" s="81" t="s">
        <v>20</v>
      </c>
      <c r="F134" s="81" t="s">
        <v>15</v>
      </c>
      <c r="G134" s="81" t="s">
        <v>613</v>
      </c>
      <c r="H134" s="81" t="s">
        <v>1701</v>
      </c>
    </row>
    <row r="135" spans="1:8" x14ac:dyDescent="0.3">
      <c r="A135" s="81" t="s">
        <v>533</v>
      </c>
      <c r="B135" s="81" t="s">
        <v>578</v>
      </c>
      <c r="C135" s="81" t="s">
        <v>616</v>
      </c>
      <c r="D135" s="81" t="s">
        <v>3763</v>
      </c>
      <c r="E135" s="81" t="s">
        <v>20</v>
      </c>
      <c r="F135" s="81" t="s">
        <v>15</v>
      </c>
      <c r="G135" s="81" t="s">
        <v>2504</v>
      </c>
      <c r="H135" s="81" t="s">
        <v>1702</v>
      </c>
    </row>
    <row r="136" spans="1:8" x14ac:dyDescent="0.3">
      <c r="A136" s="81" t="s">
        <v>1725</v>
      </c>
      <c r="B136" s="81" t="s">
        <v>578</v>
      </c>
      <c r="C136" s="81" t="s">
        <v>616</v>
      </c>
      <c r="D136" s="81" t="s">
        <v>3763</v>
      </c>
      <c r="E136" s="81" t="s">
        <v>16</v>
      </c>
      <c r="F136" s="81" t="s">
        <v>371</v>
      </c>
      <c r="G136" s="81" t="s">
        <v>2505</v>
      </c>
      <c r="H136" s="81" t="s">
        <v>2506</v>
      </c>
    </row>
    <row r="137" spans="1:8" x14ac:dyDescent="0.3">
      <c r="A137" s="81" t="s">
        <v>1726</v>
      </c>
      <c r="B137" s="81" t="s">
        <v>578</v>
      </c>
      <c r="C137" s="81" t="s">
        <v>616</v>
      </c>
      <c r="D137" s="81" t="s">
        <v>3763</v>
      </c>
      <c r="E137" s="81" t="s">
        <v>16</v>
      </c>
      <c r="F137" s="81" t="s">
        <v>372</v>
      </c>
      <c r="G137" s="81" t="s">
        <v>2507</v>
      </c>
      <c r="H137" s="81" t="s">
        <v>2508</v>
      </c>
    </row>
    <row r="138" spans="1:8" x14ac:dyDescent="0.3">
      <c r="A138" s="81" t="s">
        <v>1727</v>
      </c>
      <c r="B138" s="81" t="s">
        <v>578</v>
      </c>
      <c r="C138" s="81" t="s">
        <v>616</v>
      </c>
      <c r="D138" s="81" t="s">
        <v>3763</v>
      </c>
      <c r="E138" s="81" t="s">
        <v>16</v>
      </c>
      <c r="F138" s="81" t="s">
        <v>374</v>
      </c>
      <c r="G138" s="81" t="s">
        <v>2509</v>
      </c>
      <c r="H138" s="81" t="s">
        <v>2510</v>
      </c>
    </row>
    <row r="139" spans="1:8" x14ac:dyDescent="0.3">
      <c r="A139" s="81" t="s">
        <v>534</v>
      </c>
      <c r="B139" s="81" t="s">
        <v>578</v>
      </c>
      <c r="C139" s="81" t="s">
        <v>616</v>
      </c>
      <c r="D139" s="81" t="s">
        <v>3763</v>
      </c>
      <c r="E139" s="81" t="s">
        <v>16</v>
      </c>
      <c r="F139" s="81" t="s">
        <v>375</v>
      </c>
      <c r="G139" s="81" t="s">
        <v>2511</v>
      </c>
      <c r="H139" s="81" t="s">
        <v>2512</v>
      </c>
    </row>
    <row r="140" spans="1:8" x14ac:dyDescent="0.3">
      <c r="A140" s="81" t="s">
        <v>535</v>
      </c>
      <c r="B140" s="81" t="s">
        <v>578</v>
      </c>
      <c r="C140" s="81" t="s">
        <v>616</v>
      </c>
      <c r="D140" s="81" t="s">
        <v>3763</v>
      </c>
      <c r="E140" s="81" t="s">
        <v>16</v>
      </c>
      <c r="F140" s="81" t="s">
        <v>376</v>
      </c>
      <c r="G140" s="81" t="s">
        <v>2513</v>
      </c>
      <c r="H140" s="81" t="s">
        <v>2514</v>
      </c>
    </row>
    <row r="141" spans="1:8" x14ac:dyDescent="0.3">
      <c r="A141" s="81" t="s">
        <v>1728</v>
      </c>
      <c r="B141" s="81" t="s">
        <v>578</v>
      </c>
      <c r="C141" s="81" t="s">
        <v>616</v>
      </c>
      <c r="D141" s="81" t="s">
        <v>3763</v>
      </c>
      <c r="E141" s="81" t="s">
        <v>16</v>
      </c>
      <c r="F141" s="81" t="s">
        <v>377</v>
      </c>
      <c r="G141" s="81" t="s">
        <v>2515</v>
      </c>
      <c r="H141" s="81" t="s">
        <v>2516</v>
      </c>
    </row>
    <row r="142" spans="1:8" x14ac:dyDescent="0.3">
      <c r="A142" s="81" t="s">
        <v>536</v>
      </c>
      <c r="B142" s="81" t="s">
        <v>578</v>
      </c>
      <c r="C142" s="81" t="s">
        <v>616</v>
      </c>
      <c r="D142" s="81" t="s">
        <v>3763</v>
      </c>
      <c r="E142" s="81" t="s">
        <v>16</v>
      </c>
      <c r="F142" s="81" t="s">
        <v>380</v>
      </c>
      <c r="G142" s="81" t="s">
        <v>2517</v>
      </c>
      <c r="H142" s="81" t="s">
        <v>2518</v>
      </c>
    </row>
    <row r="143" spans="1:8" x14ac:dyDescent="0.3">
      <c r="A143" s="81" t="s">
        <v>537</v>
      </c>
      <c r="B143" s="81" t="s">
        <v>578</v>
      </c>
      <c r="C143" s="81" t="s">
        <v>616</v>
      </c>
      <c r="D143" s="81" t="s">
        <v>3763</v>
      </c>
      <c r="E143" s="81" t="s">
        <v>16</v>
      </c>
      <c r="F143" s="81" t="s">
        <v>382</v>
      </c>
      <c r="G143" s="81" t="s">
        <v>2519</v>
      </c>
      <c r="H143" s="81" t="s">
        <v>2520</v>
      </c>
    </row>
    <row r="144" spans="1:8" x14ac:dyDescent="0.3">
      <c r="A144" s="81" t="s">
        <v>538</v>
      </c>
      <c r="B144" s="81" t="s">
        <v>578</v>
      </c>
      <c r="C144" s="81" t="s">
        <v>616</v>
      </c>
      <c r="D144" s="81" t="s">
        <v>3763</v>
      </c>
      <c r="E144" s="81" t="s">
        <v>16</v>
      </c>
      <c r="F144" s="81" t="s">
        <v>383</v>
      </c>
      <c r="G144" s="81" t="s">
        <v>2521</v>
      </c>
      <c r="H144" s="81" t="s">
        <v>2522</v>
      </c>
    </row>
    <row r="145" spans="1:8" x14ac:dyDescent="0.3">
      <c r="A145" s="81" t="s">
        <v>539</v>
      </c>
      <c r="B145" s="81" t="s">
        <v>578</v>
      </c>
      <c r="C145" s="81" t="s">
        <v>616</v>
      </c>
      <c r="D145" s="81" t="s">
        <v>3763</v>
      </c>
      <c r="E145" s="81" t="s">
        <v>20</v>
      </c>
      <c r="F145" s="81" t="s">
        <v>15</v>
      </c>
      <c r="G145" s="81" t="s">
        <v>2523</v>
      </c>
      <c r="H145" s="81" t="s">
        <v>1703</v>
      </c>
    </row>
    <row r="146" spans="1:8" x14ac:dyDescent="0.3">
      <c r="A146" s="81" t="s">
        <v>1729</v>
      </c>
      <c r="B146" s="81" t="s">
        <v>578</v>
      </c>
      <c r="C146" s="81" t="s">
        <v>616</v>
      </c>
      <c r="D146" s="81" t="s">
        <v>3763</v>
      </c>
      <c r="E146" s="81" t="s">
        <v>16</v>
      </c>
      <c r="F146" s="81" t="s">
        <v>371</v>
      </c>
      <c r="G146" s="81" t="s">
        <v>2524</v>
      </c>
      <c r="H146" s="81" t="s">
        <v>2525</v>
      </c>
    </row>
    <row r="147" spans="1:8" x14ac:dyDescent="0.3">
      <c r="A147" s="81" t="s">
        <v>1730</v>
      </c>
      <c r="B147" s="81" t="s">
        <v>578</v>
      </c>
      <c r="C147" s="81" t="s">
        <v>616</v>
      </c>
      <c r="D147" s="81" t="s">
        <v>3763</v>
      </c>
      <c r="E147" s="81" t="s">
        <v>16</v>
      </c>
      <c r="F147" s="81" t="s">
        <v>372</v>
      </c>
      <c r="G147" s="81" t="s">
        <v>2526</v>
      </c>
      <c r="H147" s="81" t="s">
        <v>2527</v>
      </c>
    </row>
    <row r="148" spans="1:8" x14ac:dyDescent="0.3">
      <c r="A148" s="81" t="s">
        <v>540</v>
      </c>
      <c r="B148" s="81" t="s">
        <v>578</v>
      </c>
      <c r="C148" s="81" t="s">
        <v>616</v>
      </c>
      <c r="D148" s="81" t="s">
        <v>3763</v>
      </c>
      <c r="E148" s="81" t="s">
        <v>16</v>
      </c>
      <c r="F148" s="81" t="s">
        <v>374</v>
      </c>
      <c r="G148" s="81" t="s">
        <v>2528</v>
      </c>
      <c r="H148" s="81" t="s">
        <v>2529</v>
      </c>
    </row>
    <row r="149" spans="1:8" x14ac:dyDescent="0.3">
      <c r="A149" s="81" t="s">
        <v>1731</v>
      </c>
      <c r="B149" s="81" t="s">
        <v>578</v>
      </c>
      <c r="C149" s="81" t="s">
        <v>616</v>
      </c>
      <c r="D149" s="81" t="s">
        <v>3763</v>
      </c>
      <c r="E149" s="81" t="s">
        <v>16</v>
      </c>
      <c r="F149" s="81" t="s">
        <v>375</v>
      </c>
      <c r="G149" s="81" t="s">
        <v>2530</v>
      </c>
      <c r="H149" s="81" t="s">
        <v>2531</v>
      </c>
    </row>
    <row r="150" spans="1:8" x14ac:dyDescent="0.3">
      <c r="A150" s="81" t="s">
        <v>541</v>
      </c>
      <c r="B150" s="81" t="s">
        <v>578</v>
      </c>
      <c r="C150" s="81" t="s">
        <v>616</v>
      </c>
      <c r="D150" s="81" t="s">
        <v>3763</v>
      </c>
      <c r="E150" s="81" t="s">
        <v>16</v>
      </c>
      <c r="F150" s="81" t="s">
        <v>376</v>
      </c>
      <c r="G150" s="81" t="s">
        <v>2532</v>
      </c>
      <c r="H150" s="81" t="s">
        <v>2533</v>
      </c>
    </row>
    <row r="151" spans="1:8" x14ac:dyDescent="0.3">
      <c r="A151" s="81" t="s">
        <v>542</v>
      </c>
      <c r="B151" s="81" t="s">
        <v>578</v>
      </c>
      <c r="C151" s="81" t="s">
        <v>616</v>
      </c>
      <c r="D151" s="81" t="s">
        <v>3763</v>
      </c>
      <c r="E151" s="81" t="s">
        <v>16</v>
      </c>
      <c r="F151" s="81" t="s">
        <v>377</v>
      </c>
      <c r="G151" s="81" t="s">
        <v>2534</v>
      </c>
      <c r="H151" s="81" t="s">
        <v>2535</v>
      </c>
    </row>
    <row r="152" spans="1:8" x14ac:dyDescent="0.3">
      <c r="A152" s="81" t="s">
        <v>543</v>
      </c>
      <c r="B152" s="81" t="s">
        <v>578</v>
      </c>
      <c r="C152" s="81" t="s">
        <v>616</v>
      </c>
      <c r="D152" s="81" t="s">
        <v>3763</v>
      </c>
      <c r="E152" s="81" t="s">
        <v>16</v>
      </c>
      <c r="F152" s="81" t="s">
        <v>380</v>
      </c>
      <c r="G152" s="81" t="s">
        <v>2536</v>
      </c>
      <c r="H152" s="81" t="s">
        <v>2537</v>
      </c>
    </row>
    <row r="153" spans="1:8" x14ac:dyDescent="0.3">
      <c r="A153" s="81" t="s">
        <v>1732</v>
      </c>
      <c r="B153" s="81" t="s">
        <v>578</v>
      </c>
      <c r="C153" s="81" t="s">
        <v>616</v>
      </c>
      <c r="D153" s="81" t="s">
        <v>3763</v>
      </c>
      <c r="E153" s="81" t="s">
        <v>16</v>
      </c>
      <c r="F153" s="81" t="s">
        <v>382</v>
      </c>
      <c r="G153" s="81" t="s">
        <v>2538</v>
      </c>
      <c r="H153" s="81" t="s">
        <v>2539</v>
      </c>
    </row>
    <row r="154" spans="1:8" x14ac:dyDescent="0.3">
      <c r="A154" s="81" t="s">
        <v>1733</v>
      </c>
      <c r="B154" s="81" t="s">
        <v>578</v>
      </c>
      <c r="C154" s="81" t="s">
        <v>616</v>
      </c>
      <c r="D154" s="81" t="s">
        <v>3763</v>
      </c>
      <c r="E154" s="81" t="s">
        <v>16</v>
      </c>
      <c r="F154" s="81" t="s">
        <v>383</v>
      </c>
      <c r="G154" s="81" t="s">
        <v>2540</v>
      </c>
      <c r="H154" s="81" t="s">
        <v>2541</v>
      </c>
    </row>
    <row r="155" spans="1:8" x14ac:dyDescent="0.3">
      <c r="A155" s="81" t="s">
        <v>1734</v>
      </c>
      <c r="B155" s="81" t="s">
        <v>621</v>
      </c>
      <c r="C155" s="81" t="s">
        <v>623</v>
      </c>
      <c r="D155" s="81" t="s">
        <v>3781</v>
      </c>
      <c r="E155" s="81" t="s">
        <v>20</v>
      </c>
      <c r="F155" s="81" t="s">
        <v>15</v>
      </c>
      <c r="G155" s="81" t="s">
        <v>626</v>
      </c>
      <c r="H155" s="81" t="s">
        <v>627</v>
      </c>
    </row>
    <row r="156" spans="1:8" x14ac:dyDescent="0.3">
      <c r="A156" s="81" t="s">
        <v>544</v>
      </c>
      <c r="B156" s="81" t="s">
        <v>621</v>
      </c>
      <c r="C156" s="81" t="s">
        <v>623</v>
      </c>
      <c r="D156" s="81" t="s">
        <v>3781</v>
      </c>
      <c r="E156" s="81" t="s">
        <v>16</v>
      </c>
      <c r="F156" s="81" t="s">
        <v>368</v>
      </c>
      <c r="G156" s="81" t="s">
        <v>2104</v>
      </c>
      <c r="H156" s="81" t="s">
        <v>2542</v>
      </c>
    </row>
    <row r="157" spans="1:8" x14ac:dyDescent="0.3">
      <c r="A157" s="81" t="s">
        <v>545</v>
      </c>
      <c r="B157" s="81" t="s">
        <v>621</v>
      </c>
      <c r="C157" s="81" t="s">
        <v>623</v>
      </c>
      <c r="D157" s="81" t="s">
        <v>3781</v>
      </c>
      <c r="E157" s="81" t="s">
        <v>16</v>
      </c>
      <c r="F157" s="81" t="s">
        <v>369</v>
      </c>
      <c r="G157" s="81" t="s">
        <v>2105</v>
      </c>
      <c r="H157" s="81" t="s">
        <v>2543</v>
      </c>
    </row>
    <row r="158" spans="1:8" x14ac:dyDescent="0.3">
      <c r="A158" s="81" t="s">
        <v>1735</v>
      </c>
      <c r="B158" s="81" t="s">
        <v>621</v>
      </c>
      <c r="C158" s="81" t="s">
        <v>623</v>
      </c>
      <c r="D158" s="81" t="s">
        <v>3781</v>
      </c>
      <c r="E158" s="81" t="s">
        <v>16</v>
      </c>
      <c r="F158" s="81" t="s">
        <v>370</v>
      </c>
      <c r="G158" s="81" t="s">
        <v>2106</v>
      </c>
      <c r="H158" s="81" t="s">
        <v>2544</v>
      </c>
    </row>
    <row r="159" spans="1:8" x14ac:dyDescent="0.3">
      <c r="A159" s="81" t="s">
        <v>546</v>
      </c>
      <c r="B159" s="81" t="s">
        <v>621</v>
      </c>
      <c r="C159" s="81" t="s">
        <v>623</v>
      </c>
      <c r="D159" s="81" t="s">
        <v>3781</v>
      </c>
      <c r="E159" s="81" t="s">
        <v>16</v>
      </c>
      <c r="F159" s="81" t="s">
        <v>371</v>
      </c>
      <c r="G159" s="81" t="s">
        <v>2107</v>
      </c>
      <c r="H159" s="81" t="s">
        <v>2545</v>
      </c>
    </row>
    <row r="160" spans="1:8" x14ac:dyDescent="0.3">
      <c r="A160" s="81" t="s">
        <v>547</v>
      </c>
      <c r="B160" s="81" t="s">
        <v>621</v>
      </c>
      <c r="C160" s="81" t="s">
        <v>623</v>
      </c>
      <c r="D160" s="81" t="s">
        <v>3781</v>
      </c>
      <c r="E160" s="81" t="s">
        <v>16</v>
      </c>
      <c r="F160" s="81" t="s">
        <v>372</v>
      </c>
      <c r="G160" s="81" t="s">
        <v>2108</v>
      </c>
      <c r="H160" s="81" t="s">
        <v>2546</v>
      </c>
    </row>
    <row r="161" spans="1:8" x14ac:dyDescent="0.3">
      <c r="A161" s="81" t="s">
        <v>548</v>
      </c>
      <c r="B161" s="81" t="s">
        <v>621</v>
      </c>
      <c r="C161" s="81" t="s">
        <v>623</v>
      </c>
      <c r="D161" s="81" t="s">
        <v>3781</v>
      </c>
      <c r="E161" s="81" t="s">
        <v>16</v>
      </c>
      <c r="F161" s="81" t="s">
        <v>373</v>
      </c>
      <c r="G161" s="81" t="s">
        <v>2109</v>
      </c>
      <c r="H161" s="81" t="s">
        <v>2547</v>
      </c>
    </row>
    <row r="162" spans="1:8" x14ac:dyDescent="0.3">
      <c r="A162" s="81" t="s">
        <v>549</v>
      </c>
      <c r="B162" s="81" t="s">
        <v>621</v>
      </c>
      <c r="C162" s="81" t="s">
        <v>623</v>
      </c>
      <c r="D162" s="81" t="s">
        <v>3781</v>
      </c>
      <c r="E162" s="81" t="s">
        <v>16</v>
      </c>
      <c r="F162" s="81" t="s">
        <v>374</v>
      </c>
      <c r="G162" s="81" t="s">
        <v>2110</v>
      </c>
      <c r="H162" s="81" t="s">
        <v>2548</v>
      </c>
    </row>
    <row r="163" spans="1:8" x14ac:dyDescent="0.3">
      <c r="A163" s="81" t="s">
        <v>1736</v>
      </c>
      <c r="B163" s="81" t="s">
        <v>621</v>
      </c>
      <c r="C163" s="81" t="s">
        <v>623</v>
      </c>
      <c r="D163" s="81" t="s">
        <v>3781</v>
      </c>
      <c r="E163" s="81" t="s">
        <v>16</v>
      </c>
      <c r="F163" s="81" t="s">
        <v>375</v>
      </c>
      <c r="G163" s="81" t="s">
        <v>2111</v>
      </c>
      <c r="H163" s="81" t="s">
        <v>2549</v>
      </c>
    </row>
    <row r="164" spans="1:8" x14ac:dyDescent="0.3">
      <c r="A164" s="81" t="s">
        <v>1737</v>
      </c>
      <c r="B164" s="81" t="s">
        <v>621</v>
      </c>
      <c r="C164" s="81" t="s">
        <v>623</v>
      </c>
      <c r="D164" s="81" t="s">
        <v>3781</v>
      </c>
      <c r="E164" s="81" t="s">
        <v>16</v>
      </c>
      <c r="F164" s="81" t="s">
        <v>376</v>
      </c>
      <c r="G164" s="81" t="s">
        <v>2112</v>
      </c>
      <c r="H164" s="81" t="s">
        <v>2550</v>
      </c>
    </row>
    <row r="165" spans="1:8" x14ac:dyDescent="0.3">
      <c r="A165" s="81" t="s">
        <v>550</v>
      </c>
      <c r="B165" s="81" t="s">
        <v>621</v>
      </c>
      <c r="C165" s="81" t="s">
        <v>623</v>
      </c>
      <c r="D165" s="81" t="s">
        <v>3781</v>
      </c>
      <c r="E165" s="81" t="s">
        <v>16</v>
      </c>
      <c r="F165" s="81" t="s">
        <v>377</v>
      </c>
      <c r="G165" s="81" t="s">
        <v>2113</v>
      </c>
      <c r="H165" s="81" t="s">
        <v>2551</v>
      </c>
    </row>
    <row r="166" spans="1:8" x14ac:dyDescent="0.3">
      <c r="A166" s="81" t="s">
        <v>1738</v>
      </c>
      <c r="B166" s="81" t="s">
        <v>621</v>
      </c>
      <c r="C166" s="81" t="s">
        <v>623</v>
      </c>
      <c r="D166" s="81" t="s">
        <v>3781</v>
      </c>
      <c r="E166" s="81" t="s">
        <v>16</v>
      </c>
      <c r="F166" s="81" t="s">
        <v>378</v>
      </c>
      <c r="G166" s="81" t="s">
        <v>2114</v>
      </c>
      <c r="H166" s="81" t="s">
        <v>2552</v>
      </c>
    </row>
    <row r="167" spans="1:8" x14ac:dyDescent="0.3">
      <c r="A167" s="81" t="s">
        <v>551</v>
      </c>
      <c r="B167" s="81" t="s">
        <v>621</v>
      </c>
      <c r="C167" s="81" t="s">
        <v>623</v>
      </c>
      <c r="D167" s="81" t="s">
        <v>3781</v>
      </c>
      <c r="E167" s="81" t="s">
        <v>16</v>
      </c>
      <c r="F167" s="81" t="s">
        <v>379</v>
      </c>
      <c r="G167" s="81" t="s">
        <v>2115</v>
      </c>
      <c r="H167" s="81" t="s">
        <v>2553</v>
      </c>
    </row>
    <row r="168" spans="1:8" x14ac:dyDescent="0.3">
      <c r="A168" s="81" t="s">
        <v>552</v>
      </c>
      <c r="B168" s="81" t="s">
        <v>621</v>
      </c>
      <c r="C168" s="81" t="s">
        <v>623</v>
      </c>
      <c r="D168" s="81" t="s">
        <v>3781</v>
      </c>
      <c r="E168" s="81" t="s">
        <v>16</v>
      </c>
      <c r="F168" s="81" t="s">
        <v>380</v>
      </c>
      <c r="G168" s="81" t="s">
        <v>2116</v>
      </c>
      <c r="H168" s="81" t="s">
        <v>2554</v>
      </c>
    </row>
    <row r="169" spans="1:8" x14ac:dyDescent="0.3">
      <c r="A169" s="81" t="s">
        <v>553</v>
      </c>
      <c r="B169" s="81" t="s">
        <v>621</v>
      </c>
      <c r="C169" s="81" t="s">
        <v>623</v>
      </c>
      <c r="D169" s="81" t="s">
        <v>3781</v>
      </c>
      <c r="E169" s="81" t="s">
        <v>16</v>
      </c>
      <c r="F169" s="81" t="s">
        <v>381</v>
      </c>
      <c r="G169" s="81" t="s">
        <v>2117</v>
      </c>
      <c r="H169" s="81" t="s">
        <v>2555</v>
      </c>
    </row>
    <row r="170" spans="1:8" x14ac:dyDescent="0.3">
      <c r="A170" s="81" t="s">
        <v>554</v>
      </c>
      <c r="B170" s="81" t="s">
        <v>621</v>
      </c>
      <c r="C170" s="81" t="s">
        <v>623</v>
      </c>
      <c r="D170" s="81" t="s">
        <v>3781</v>
      </c>
      <c r="E170" s="81" t="s">
        <v>16</v>
      </c>
      <c r="F170" s="81" t="s">
        <v>382</v>
      </c>
      <c r="G170" s="81" t="s">
        <v>2118</v>
      </c>
      <c r="H170" s="81" t="s">
        <v>2556</v>
      </c>
    </row>
    <row r="171" spans="1:8" x14ac:dyDescent="0.3">
      <c r="A171" s="81" t="s">
        <v>555</v>
      </c>
      <c r="B171" s="81" t="s">
        <v>621</v>
      </c>
      <c r="C171" s="81" t="s">
        <v>623</v>
      </c>
      <c r="D171" s="81" t="s">
        <v>3781</v>
      </c>
      <c r="E171" s="81" t="s">
        <v>16</v>
      </c>
      <c r="F171" s="81" t="s">
        <v>383</v>
      </c>
      <c r="G171" s="81" t="s">
        <v>2119</v>
      </c>
      <c r="H171" s="81" t="s">
        <v>2557</v>
      </c>
    </row>
    <row r="172" spans="1:8" x14ac:dyDescent="0.3">
      <c r="A172" s="81" t="s">
        <v>556</v>
      </c>
      <c r="B172" s="81" t="s">
        <v>822</v>
      </c>
      <c r="C172" s="81" t="s">
        <v>7409</v>
      </c>
      <c r="D172" s="81" t="s">
        <v>3764</v>
      </c>
      <c r="E172" s="81" t="s">
        <v>20</v>
      </c>
      <c r="F172" s="81" t="s">
        <v>15</v>
      </c>
      <c r="G172" s="81" t="s">
        <v>2120</v>
      </c>
      <c r="H172" s="81" t="s">
        <v>876</v>
      </c>
    </row>
    <row r="173" spans="1:8" x14ac:dyDescent="0.3">
      <c r="A173" s="81" t="s">
        <v>557</v>
      </c>
      <c r="B173" s="81" t="s">
        <v>822</v>
      </c>
      <c r="C173" s="81" t="s">
        <v>7409</v>
      </c>
      <c r="D173" s="81" t="s">
        <v>3764</v>
      </c>
      <c r="E173" s="81" t="s">
        <v>16</v>
      </c>
      <c r="F173" s="81" t="s">
        <v>368</v>
      </c>
      <c r="G173" s="81" t="s">
        <v>2121</v>
      </c>
      <c r="H173" s="81" t="s">
        <v>924</v>
      </c>
    </row>
    <row r="174" spans="1:8" x14ac:dyDescent="0.3">
      <c r="A174" s="81" t="s">
        <v>558</v>
      </c>
      <c r="B174" s="81" t="s">
        <v>822</v>
      </c>
      <c r="C174" s="81" t="s">
        <v>7409</v>
      </c>
      <c r="D174" s="81" t="s">
        <v>3764</v>
      </c>
      <c r="E174" s="81" t="s">
        <v>16</v>
      </c>
      <c r="F174" s="81" t="s">
        <v>369</v>
      </c>
      <c r="G174" s="81" t="s">
        <v>2122</v>
      </c>
      <c r="H174" s="81" t="s">
        <v>913</v>
      </c>
    </row>
    <row r="175" spans="1:8" x14ac:dyDescent="0.3">
      <c r="A175" s="81" t="s">
        <v>559</v>
      </c>
      <c r="B175" s="81" t="s">
        <v>822</v>
      </c>
      <c r="C175" s="81" t="s">
        <v>7409</v>
      </c>
      <c r="D175" s="81" t="s">
        <v>3764</v>
      </c>
      <c r="E175" s="81" t="s">
        <v>16</v>
      </c>
      <c r="F175" s="81" t="s">
        <v>370</v>
      </c>
      <c r="G175" s="81" t="s">
        <v>2123</v>
      </c>
      <c r="H175" s="81" t="s">
        <v>913</v>
      </c>
    </row>
    <row r="176" spans="1:8" x14ac:dyDescent="0.3">
      <c r="A176" s="81" t="s">
        <v>560</v>
      </c>
      <c r="B176" s="81" t="s">
        <v>822</v>
      </c>
      <c r="C176" s="81" t="s">
        <v>7409</v>
      </c>
      <c r="D176" s="81" t="s">
        <v>3764</v>
      </c>
      <c r="E176" s="81" t="s">
        <v>16</v>
      </c>
      <c r="F176" s="81" t="s">
        <v>371</v>
      </c>
      <c r="G176" s="81" t="s">
        <v>2124</v>
      </c>
      <c r="H176" s="81" t="s">
        <v>916</v>
      </c>
    </row>
    <row r="177" spans="1:8" x14ac:dyDescent="0.3">
      <c r="A177" s="81" t="s">
        <v>561</v>
      </c>
      <c r="B177" s="81" t="s">
        <v>822</v>
      </c>
      <c r="C177" s="81" t="s">
        <v>7409</v>
      </c>
      <c r="D177" s="81" t="s">
        <v>3764</v>
      </c>
      <c r="E177" s="81" t="s">
        <v>16</v>
      </c>
      <c r="F177" s="81" t="s">
        <v>372</v>
      </c>
      <c r="G177" s="81" t="s">
        <v>2125</v>
      </c>
      <c r="H177" s="81" t="s">
        <v>926</v>
      </c>
    </row>
    <row r="178" spans="1:8" x14ac:dyDescent="0.3">
      <c r="A178" s="81" t="s">
        <v>562</v>
      </c>
      <c r="B178" s="81" t="s">
        <v>822</v>
      </c>
      <c r="C178" s="81" t="s">
        <v>7409</v>
      </c>
      <c r="D178" s="81" t="s">
        <v>3764</v>
      </c>
      <c r="E178" s="81" t="s">
        <v>16</v>
      </c>
      <c r="F178" s="81" t="s">
        <v>373</v>
      </c>
      <c r="G178" s="81" t="s">
        <v>2126</v>
      </c>
      <c r="H178" s="81" t="s">
        <v>925</v>
      </c>
    </row>
    <row r="179" spans="1:8" x14ac:dyDescent="0.3">
      <c r="A179" s="81" t="s">
        <v>563</v>
      </c>
      <c r="B179" s="81" t="s">
        <v>822</v>
      </c>
      <c r="C179" s="81" t="s">
        <v>7409</v>
      </c>
      <c r="D179" s="81" t="s">
        <v>3764</v>
      </c>
      <c r="E179" s="81" t="s">
        <v>16</v>
      </c>
      <c r="F179" s="81" t="s">
        <v>374</v>
      </c>
      <c r="G179" s="81" t="s">
        <v>2127</v>
      </c>
      <c r="H179" s="81" t="s">
        <v>921</v>
      </c>
    </row>
    <row r="180" spans="1:8" x14ac:dyDescent="0.3">
      <c r="A180" s="81" t="s">
        <v>564</v>
      </c>
      <c r="B180" s="81" t="s">
        <v>822</v>
      </c>
      <c r="C180" s="81" t="s">
        <v>7409</v>
      </c>
      <c r="D180" s="81" t="s">
        <v>3764</v>
      </c>
      <c r="E180" s="81" t="s">
        <v>16</v>
      </c>
      <c r="F180" s="81" t="s">
        <v>375</v>
      </c>
      <c r="G180" s="81" t="s">
        <v>2128</v>
      </c>
      <c r="H180" s="81" t="s">
        <v>915</v>
      </c>
    </row>
    <row r="181" spans="1:8" x14ac:dyDescent="0.3">
      <c r="A181" s="81" t="s">
        <v>565</v>
      </c>
      <c r="B181" s="81" t="s">
        <v>822</v>
      </c>
      <c r="C181" s="81" t="s">
        <v>7409</v>
      </c>
      <c r="D181" s="81" t="s">
        <v>3764</v>
      </c>
      <c r="E181" s="81" t="s">
        <v>16</v>
      </c>
      <c r="F181" s="81" t="s">
        <v>376</v>
      </c>
      <c r="G181" s="81" t="s">
        <v>2129</v>
      </c>
      <c r="H181" s="81" t="s">
        <v>917</v>
      </c>
    </row>
    <row r="182" spans="1:8" x14ac:dyDescent="0.3">
      <c r="A182" s="81" t="s">
        <v>566</v>
      </c>
      <c r="B182" s="81" t="s">
        <v>822</v>
      </c>
      <c r="C182" s="81" t="s">
        <v>7409</v>
      </c>
      <c r="D182" s="81" t="s">
        <v>3764</v>
      </c>
      <c r="E182" s="81" t="s">
        <v>16</v>
      </c>
      <c r="F182" s="81" t="s">
        <v>377</v>
      </c>
      <c r="G182" s="81" t="s">
        <v>2130</v>
      </c>
      <c r="H182" s="81" t="s">
        <v>918</v>
      </c>
    </row>
    <row r="183" spans="1:8" x14ac:dyDescent="0.3">
      <c r="A183" s="81" t="s">
        <v>567</v>
      </c>
      <c r="B183" s="81" t="s">
        <v>822</v>
      </c>
      <c r="C183" s="81" t="s">
        <v>7409</v>
      </c>
      <c r="D183" s="81" t="s">
        <v>3764</v>
      </c>
      <c r="E183" s="81" t="s">
        <v>16</v>
      </c>
      <c r="F183" s="81" t="s">
        <v>378</v>
      </c>
      <c r="G183" s="81" t="s">
        <v>2131</v>
      </c>
      <c r="H183" s="81" t="s">
        <v>914</v>
      </c>
    </row>
    <row r="184" spans="1:8" x14ac:dyDescent="0.3">
      <c r="A184" s="81" t="s">
        <v>568</v>
      </c>
      <c r="B184" s="81" t="s">
        <v>822</v>
      </c>
      <c r="C184" s="81" t="s">
        <v>7409</v>
      </c>
      <c r="D184" s="81" t="s">
        <v>3764</v>
      </c>
      <c r="E184" s="81" t="s">
        <v>16</v>
      </c>
      <c r="F184" s="81" t="s">
        <v>379</v>
      </c>
      <c r="G184" s="81" t="s">
        <v>2132</v>
      </c>
      <c r="H184" s="81" t="s">
        <v>920</v>
      </c>
    </row>
    <row r="185" spans="1:8" x14ac:dyDescent="0.3">
      <c r="A185" s="81" t="s">
        <v>569</v>
      </c>
      <c r="B185" s="81" t="s">
        <v>822</v>
      </c>
      <c r="C185" s="81" t="s">
        <v>7409</v>
      </c>
      <c r="D185" s="81" t="s">
        <v>3764</v>
      </c>
      <c r="E185" s="81" t="s">
        <v>16</v>
      </c>
      <c r="F185" s="81" t="s">
        <v>380</v>
      </c>
      <c r="G185" s="81" t="s">
        <v>2133</v>
      </c>
      <c r="H185" s="81" t="s">
        <v>922</v>
      </c>
    </row>
    <row r="186" spans="1:8" x14ac:dyDescent="0.3">
      <c r="A186" s="81" t="s">
        <v>570</v>
      </c>
      <c r="B186" s="81" t="s">
        <v>822</v>
      </c>
      <c r="C186" s="81" t="s">
        <v>7409</v>
      </c>
      <c r="D186" s="81" t="s">
        <v>3764</v>
      </c>
      <c r="E186" s="81" t="s">
        <v>16</v>
      </c>
      <c r="F186" s="81" t="s">
        <v>381</v>
      </c>
      <c r="G186" s="81" t="s">
        <v>2134</v>
      </c>
      <c r="H186" s="81" t="s">
        <v>919</v>
      </c>
    </row>
    <row r="187" spans="1:8" x14ac:dyDescent="0.3">
      <c r="A187" s="81" t="s">
        <v>571</v>
      </c>
      <c r="B187" s="81" t="s">
        <v>822</v>
      </c>
      <c r="C187" s="81" t="s">
        <v>7409</v>
      </c>
      <c r="D187" s="81" t="s">
        <v>3764</v>
      </c>
      <c r="E187" s="81" t="s">
        <v>16</v>
      </c>
      <c r="F187" s="81" t="s">
        <v>382</v>
      </c>
      <c r="G187" s="81" t="s">
        <v>2135</v>
      </c>
      <c r="H187" s="81" t="s">
        <v>912</v>
      </c>
    </row>
    <row r="188" spans="1:8" x14ac:dyDescent="0.3">
      <c r="A188" s="81" t="s">
        <v>572</v>
      </c>
      <c r="B188" s="81" t="s">
        <v>822</v>
      </c>
      <c r="C188" s="81" t="s">
        <v>7409</v>
      </c>
      <c r="D188" s="81" t="s">
        <v>3764</v>
      </c>
      <c r="E188" s="81" t="s">
        <v>16</v>
      </c>
      <c r="F188" s="81" t="s">
        <v>383</v>
      </c>
      <c r="G188" s="81" t="s">
        <v>2136</v>
      </c>
      <c r="H188" s="81" t="s">
        <v>923</v>
      </c>
    </row>
    <row r="189" spans="1:8" x14ac:dyDescent="0.3">
      <c r="A189" s="81" t="s">
        <v>573</v>
      </c>
      <c r="B189" s="81" t="s">
        <v>462</v>
      </c>
      <c r="C189" s="81" t="s">
        <v>823</v>
      </c>
      <c r="D189" s="81" t="s">
        <v>3762</v>
      </c>
      <c r="E189" s="81" t="s">
        <v>20</v>
      </c>
      <c r="F189" s="81" t="s">
        <v>15</v>
      </c>
      <c r="G189" s="81" t="s">
        <v>824</v>
      </c>
      <c r="H189" s="81" t="s">
        <v>826</v>
      </c>
    </row>
    <row r="190" spans="1:8" x14ac:dyDescent="0.3">
      <c r="A190" s="81" t="s">
        <v>629</v>
      </c>
      <c r="B190" s="81" t="s">
        <v>462</v>
      </c>
      <c r="C190" s="81" t="s">
        <v>823</v>
      </c>
      <c r="D190" s="81" t="s">
        <v>3762</v>
      </c>
      <c r="E190" s="81" t="s">
        <v>20</v>
      </c>
      <c r="F190" s="81" t="s">
        <v>15</v>
      </c>
      <c r="G190" s="81" t="s">
        <v>2137</v>
      </c>
      <c r="H190" s="81" t="s">
        <v>836</v>
      </c>
    </row>
    <row r="191" spans="1:8" x14ac:dyDescent="0.3">
      <c r="A191" s="81" t="s">
        <v>630</v>
      </c>
      <c r="B191" s="81" t="s">
        <v>462</v>
      </c>
      <c r="C191" s="81" t="s">
        <v>823</v>
      </c>
      <c r="D191" s="81" t="s">
        <v>3762</v>
      </c>
      <c r="E191" s="81" t="s">
        <v>16</v>
      </c>
      <c r="F191" s="81" t="s">
        <v>368</v>
      </c>
      <c r="G191" s="81" t="s">
        <v>2138</v>
      </c>
      <c r="H191" s="81" t="s">
        <v>2287</v>
      </c>
    </row>
    <row r="192" spans="1:8" x14ac:dyDescent="0.3">
      <c r="A192" s="81" t="s">
        <v>631</v>
      </c>
      <c r="B192" s="81" t="s">
        <v>462</v>
      </c>
      <c r="C192" s="81" t="s">
        <v>823</v>
      </c>
      <c r="D192" s="81" t="s">
        <v>3762</v>
      </c>
      <c r="E192" s="81" t="s">
        <v>16</v>
      </c>
      <c r="F192" s="81" t="s">
        <v>369</v>
      </c>
      <c r="G192" s="81" t="s">
        <v>2139</v>
      </c>
      <c r="H192" s="81" t="s">
        <v>2288</v>
      </c>
    </row>
    <row r="193" spans="1:8" x14ac:dyDescent="0.3">
      <c r="A193" s="81" t="s">
        <v>632</v>
      </c>
      <c r="B193" s="81" t="s">
        <v>462</v>
      </c>
      <c r="C193" s="81" t="s">
        <v>823</v>
      </c>
      <c r="D193" s="81" t="s">
        <v>3762</v>
      </c>
      <c r="E193" s="81" t="s">
        <v>16</v>
      </c>
      <c r="F193" s="81" t="s">
        <v>370</v>
      </c>
      <c r="G193" s="81" t="s">
        <v>2140</v>
      </c>
      <c r="H193" s="81" t="s">
        <v>2289</v>
      </c>
    </row>
    <row r="194" spans="1:8" x14ac:dyDescent="0.3">
      <c r="A194" s="81" t="s">
        <v>633</v>
      </c>
      <c r="B194" s="81" t="s">
        <v>462</v>
      </c>
      <c r="C194" s="81" t="s">
        <v>823</v>
      </c>
      <c r="D194" s="81" t="s">
        <v>3762</v>
      </c>
      <c r="E194" s="81" t="s">
        <v>16</v>
      </c>
      <c r="F194" s="81" t="s">
        <v>371</v>
      </c>
      <c r="G194" s="81" t="s">
        <v>2141</v>
      </c>
      <c r="H194" s="81" t="s">
        <v>2290</v>
      </c>
    </row>
    <row r="195" spans="1:8" x14ac:dyDescent="0.3">
      <c r="A195" s="81" t="s">
        <v>634</v>
      </c>
      <c r="B195" s="81" t="s">
        <v>462</v>
      </c>
      <c r="C195" s="81" t="s">
        <v>823</v>
      </c>
      <c r="D195" s="81" t="s">
        <v>3762</v>
      </c>
      <c r="E195" s="81" t="s">
        <v>16</v>
      </c>
      <c r="F195" s="81" t="s">
        <v>372</v>
      </c>
      <c r="G195" s="81" t="s">
        <v>2142</v>
      </c>
      <c r="H195" s="81" t="s">
        <v>2291</v>
      </c>
    </row>
    <row r="196" spans="1:8" x14ac:dyDescent="0.3">
      <c r="A196" s="81" t="s">
        <v>635</v>
      </c>
      <c r="B196" s="81" t="s">
        <v>462</v>
      </c>
      <c r="C196" s="81" t="s">
        <v>823</v>
      </c>
      <c r="D196" s="81" t="s">
        <v>3762</v>
      </c>
      <c r="E196" s="81" t="s">
        <v>16</v>
      </c>
      <c r="F196" s="81" t="s">
        <v>373</v>
      </c>
      <c r="G196" s="81" t="s">
        <v>2143</v>
      </c>
      <c r="H196" s="81" t="s">
        <v>2292</v>
      </c>
    </row>
    <row r="197" spans="1:8" x14ac:dyDescent="0.3">
      <c r="A197" s="81" t="s">
        <v>636</v>
      </c>
      <c r="B197" s="81" t="s">
        <v>462</v>
      </c>
      <c r="C197" s="81" t="s">
        <v>823</v>
      </c>
      <c r="D197" s="81" t="s">
        <v>3762</v>
      </c>
      <c r="E197" s="81" t="s">
        <v>16</v>
      </c>
      <c r="F197" s="81" t="s">
        <v>374</v>
      </c>
      <c r="G197" s="81" t="s">
        <v>2144</v>
      </c>
      <c r="H197" s="81" t="s">
        <v>2293</v>
      </c>
    </row>
    <row r="198" spans="1:8" x14ac:dyDescent="0.3">
      <c r="A198" s="81" t="s">
        <v>637</v>
      </c>
      <c r="B198" s="81" t="s">
        <v>462</v>
      </c>
      <c r="C198" s="81" t="s">
        <v>823</v>
      </c>
      <c r="D198" s="81" t="s">
        <v>3762</v>
      </c>
      <c r="E198" s="81" t="s">
        <v>16</v>
      </c>
      <c r="F198" s="81" t="s">
        <v>375</v>
      </c>
      <c r="G198" s="81" t="s">
        <v>2145</v>
      </c>
      <c r="H198" s="81" t="s">
        <v>2294</v>
      </c>
    </row>
    <row r="199" spans="1:8" x14ac:dyDescent="0.3">
      <c r="A199" s="81" t="s">
        <v>638</v>
      </c>
      <c r="B199" s="81" t="s">
        <v>462</v>
      </c>
      <c r="C199" s="81" t="s">
        <v>823</v>
      </c>
      <c r="D199" s="81" t="s">
        <v>3762</v>
      </c>
      <c r="E199" s="81" t="s">
        <v>16</v>
      </c>
      <c r="F199" s="81" t="s">
        <v>376</v>
      </c>
      <c r="G199" s="81" t="s">
        <v>2146</v>
      </c>
      <c r="H199" s="81" t="s">
        <v>2295</v>
      </c>
    </row>
    <row r="200" spans="1:8" x14ac:dyDescent="0.3">
      <c r="A200" s="81" t="s">
        <v>639</v>
      </c>
      <c r="B200" s="81" t="s">
        <v>462</v>
      </c>
      <c r="C200" s="81" t="s">
        <v>823</v>
      </c>
      <c r="D200" s="81" t="s">
        <v>3762</v>
      </c>
      <c r="E200" s="81" t="s">
        <v>16</v>
      </c>
      <c r="F200" s="81" t="s">
        <v>377</v>
      </c>
      <c r="G200" s="81" t="s">
        <v>2147</v>
      </c>
      <c r="H200" s="81" t="s">
        <v>2296</v>
      </c>
    </row>
    <row r="201" spans="1:8" x14ac:dyDescent="0.3">
      <c r="A201" s="81" t="s">
        <v>640</v>
      </c>
      <c r="B201" s="81" t="s">
        <v>462</v>
      </c>
      <c r="C201" s="81" t="s">
        <v>823</v>
      </c>
      <c r="D201" s="81" t="s">
        <v>3762</v>
      </c>
      <c r="E201" s="81" t="s">
        <v>16</v>
      </c>
      <c r="F201" s="81" t="s">
        <v>378</v>
      </c>
      <c r="G201" s="81" t="s">
        <v>2148</v>
      </c>
      <c r="H201" s="81" t="s">
        <v>2297</v>
      </c>
    </row>
    <row r="202" spans="1:8" x14ac:dyDescent="0.3">
      <c r="A202" s="81" t="s">
        <v>641</v>
      </c>
      <c r="B202" s="81" t="s">
        <v>462</v>
      </c>
      <c r="C202" s="81" t="s">
        <v>823</v>
      </c>
      <c r="D202" s="81" t="s">
        <v>3762</v>
      </c>
      <c r="E202" s="81" t="s">
        <v>16</v>
      </c>
      <c r="F202" s="81" t="s">
        <v>379</v>
      </c>
      <c r="G202" s="81" t="s">
        <v>2149</v>
      </c>
      <c r="H202" s="81" t="s">
        <v>2298</v>
      </c>
    </row>
    <row r="203" spans="1:8" x14ac:dyDescent="0.3">
      <c r="A203" s="81" t="s">
        <v>642</v>
      </c>
      <c r="B203" s="81" t="s">
        <v>462</v>
      </c>
      <c r="C203" s="81" t="s">
        <v>823</v>
      </c>
      <c r="D203" s="81" t="s">
        <v>3762</v>
      </c>
      <c r="E203" s="81" t="s">
        <v>16</v>
      </c>
      <c r="F203" s="81" t="s">
        <v>380</v>
      </c>
      <c r="G203" s="81" t="s">
        <v>2150</v>
      </c>
      <c r="H203" s="81" t="s">
        <v>2299</v>
      </c>
    </row>
    <row r="204" spans="1:8" x14ac:dyDescent="0.3">
      <c r="A204" s="81" t="s">
        <v>643</v>
      </c>
      <c r="B204" s="81" t="s">
        <v>462</v>
      </c>
      <c r="C204" s="81" t="s">
        <v>823</v>
      </c>
      <c r="D204" s="81" t="s">
        <v>3762</v>
      </c>
      <c r="E204" s="81" t="s">
        <v>16</v>
      </c>
      <c r="F204" s="81" t="s">
        <v>381</v>
      </c>
      <c r="G204" s="81" t="s">
        <v>2151</v>
      </c>
      <c r="H204" s="81" t="s">
        <v>2300</v>
      </c>
    </row>
    <row r="205" spans="1:8" x14ac:dyDescent="0.3">
      <c r="A205" s="81" t="s">
        <v>644</v>
      </c>
      <c r="B205" s="81" t="s">
        <v>462</v>
      </c>
      <c r="C205" s="81" t="s">
        <v>823</v>
      </c>
      <c r="D205" s="81" t="s">
        <v>3762</v>
      </c>
      <c r="E205" s="81" t="s">
        <v>16</v>
      </c>
      <c r="F205" s="81" t="s">
        <v>382</v>
      </c>
      <c r="G205" s="81" t="s">
        <v>2152</v>
      </c>
      <c r="H205" s="81" t="s">
        <v>2301</v>
      </c>
    </row>
    <row r="206" spans="1:8" x14ac:dyDescent="0.3">
      <c r="A206" s="81" t="s">
        <v>645</v>
      </c>
      <c r="B206" s="81" t="s">
        <v>462</v>
      </c>
      <c r="C206" s="81" t="s">
        <v>823</v>
      </c>
      <c r="D206" s="81" t="s">
        <v>3762</v>
      </c>
      <c r="E206" s="81" t="s">
        <v>16</v>
      </c>
      <c r="F206" s="81" t="s">
        <v>383</v>
      </c>
      <c r="G206" s="81" t="s">
        <v>2153</v>
      </c>
      <c r="H206" s="81" t="s">
        <v>2302</v>
      </c>
    </row>
    <row r="207" spans="1:8" x14ac:dyDescent="0.3">
      <c r="A207" s="81" t="s">
        <v>646</v>
      </c>
      <c r="B207" s="81" t="s">
        <v>462</v>
      </c>
      <c r="C207" s="81" t="s">
        <v>823</v>
      </c>
      <c r="D207" s="81" t="s">
        <v>3762</v>
      </c>
      <c r="E207" s="81" t="s">
        <v>20</v>
      </c>
      <c r="F207" s="81" t="s">
        <v>15</v>
      </c>
      <c r="G207" s="81" t="s">
        <v>2154</v>
      </c>
      <c r="H207" s="81" t="s">
        <v>835</v>
      </c>
    </row>
    <row r="208" spans="1:8" x14ac:dyDescent="0.3">
      <c r="A208" s="81" t="s">
        <v>647</v>
      </c>
      <c r="B208" s="81" t="s">
        <v>462</v>
      </c>
      <c r="C208" s="81" t="s">
        <v>823</v>
      </c>
      <c r="D208" s="81" t="s">
        <v>3762</v>
      </c>
      <c r="E208" s="81" t="s">
        <v>16</v>
      </c>
      <c r="F208" s="81" t="s">
        <v>368</v>
      </c>
      <c r="G208" s="81" t="s">
        <v>2155</v>
      </c>
      <c r="H208" s="81" t="s">
        <v>2303</v>
      </c>
    </row>
    <row r="209" spans="1:8" x14ac:dyDescent="0.3">
      <c r="A209" s="81" t="s">
        <v>648</v>
      </c>
      <c r="B209" s="81" t="s">
        <v>462</v>
      </c>
      <c r="C209" s="81" t="s">
        <v>823</v>
      </c>
      <c r="D209" s="81" t="s">
        <v>3762</v>
      </c>
      <c r="E209" s="81" t="s">
        <v>16</v>
      </c>
      <c r="F209" s="81" t="s">
        <v>369</v>
      </c>
      <c r="G209" s="81" t="s">
        <v>2156</v>
      </c>
      <c r="H209" s="81" t="s">
        <v>2304</v>
      </c>
    </row>
    <row r="210" spans="1:8" x14ac:dyDescent="0.3">
      <c r="A210" s="81" t="s">
        <v>649</v>
      </c>
      <c r="B210" s="81" t="s">
        <v>462</v>
      </c>
      <c r="C210" s="81" t="s">
        <v>823</v>
      </c>
      <c r="D210" s="81" t="s">
        <v>3762</v>
      </c>
      <c r="E210" s="81" t="s">
        <v>16</v>
      </c>
      <c r="F210" s="81" t="s">
        <v>370</v>
      </c>
      <c r="G210" s="81" t="s">
        <v>2157</v>
      </c>
      <c r="H210" s="81" t="s">
        <v>2305</v>
      </c>
    </row>
    <row r="211" spans="1:8" x14ac:dyDescent="0.3">
      <c r="A211" s="81" t="s">
        <v>650</v>
      </c>
      <c r="B211" s="81" t="s">
        <v>462</v>
      </c>
      <c r="C211" s="81" t="s">
        <v>823</v>
      </c>
      <c r="D211" s="81" t="s">
        <v>3762</v>
      </c>
      <c r="E211" s="81" t="s">
        <v>16</v>
      </c>
      <c r="F211" s="81" t="s">
        <v>371</v>
      </c>
      <c r="G211" s="81" t="s">
        <v>2158</v>
      </c>
      <c r="H211" s="81" t="s">
        <v>2306</v>
      </c>
    </row>
    <row r="212" spans="1:8" x14ac:dyDescent="0.3">
      <c r="A212" s="81" t="s">
        <v>651</v>
      </c>
      <c r="B212" s="81" t="s">
        <v>462</v>
      </c>
      <c r="C212" s="81" t="s">
        <v>823</v>
      </c>
      <c r="D212" s="81" t="s">
        <v>3762</v>
      </c>
      <c r="E212" s="81" t="s">
        <v>16</v>
      </c>
      <c r="F212" s="81" t="s">
        <v>372</v>
      </c>
      <c r="G212" s="81" t="s">
        <v>2159</v>
      </c>
      <c r="H212" s="81" t="s">
        <v>2307</v>
      </c>
    </row>
    <row r="213" spans="1:8" x14ac:dyDescent="0.3">
      <c r="A213" s="81" t="s">
        <v>652</v>
      </c>
      <c r="B213" s="81" t="s">
        <v>462</v>
      </c>
      <c r="C213" s="81" t="s">
        <v>823</v>
      </c>
      <c r="D213" s="81" t="s">
        <v>3762</v>
      </c>
      <c r="E213" s="81" t="s">
        <v>16</v>
      </c>
      <c r="F213" s="81" t="s">
        <v>373</v>
      </c>
      <c r="G213" s="81" t="s">
        <v>2160</v>
      </c>
      <c r="H213" s="81" t="s">
        <v>2308</v>
      </c>
    </row>
    <row r="214" spans="1:8" x14ac:dyDescent="0.3">
      <c r="A214" s="81" t="s">
        <v>653</v>
      </c>
      <c r="B214" s="81" t="s">
        <v>462</v>
      </c>
      <c r="C214" s="81" t="s">
        <v>823</v>
      </c>
      <c r="D214" s="81" t="s">
        <v>3762</v>
      </c>
      <c r="E214" s="81" t="s">
        <v>16</v>
      </c>
      <c r="F214" s="81" t="s">
        <v>374</v>
      </c>
      <c r="G214" s="81" t="s">
        <v>2161</v>
      </c>
      <c r="H214" s="81" t="s">
        <v>2309</v>
      </c>
    </row>
    <row r="215" spans="1:8" x14ac:dyDescent="0.3">
      <c r="A215" s="81" t="s">
        <v>654</v>
      </c>
      <c r="B215" s="81" t="s">
        <v>462</v>
      </c>
      <c r="C215" s="81" t="s">
        <v>823</v>
      </c>
      <c r="D215" s="81" t="s">
        <v>3762</v>
      </c>
      <c r="E215" s="81" t="s">
        <v>16</v>
      </c>
      <c r="F215" s="81" t="s">
        <v>375</v>
      </c>
      <c r="G215" s="81" t="s">
        <v>2162</v>
      </c>
      <c r="H215" s="81" t="s">
        <v>2310</v>
      </c>
    </row>
    <row r="216" spans="1:8" x14ac:dyDescent="0.3">
      <c r="A216" s="81" t="s">
        <v>655</v>
      </c>
      <c r="B216" s="81" t="s">
        <v>462</v>
      </c>
      <c r="C216" s="81" t="s">
        <v>823</v>
      </c>
      <c r="D216" s="81" t="s">
        <v>3762</v>
      </c>
      <c r="E216" s="81" t="s">
        <v>16</v>
      </c>
      <c r="F216" s="81" t="s">
        <v>376</v>
      </c>
      <c r="G216" s="81" t="s">
        <v>2163</v>
      </c>
      <c r="H216" s="81" t="s">
        <v>2311</v>
      </c>
    </row>
    <row r="217" spans="1:8" x14ac:dyDescent="0.3">
      <c r="A217" s="81" t="s">
        <v>656</v>
      </c>
      <c r="B217" s="81" t="s">
        <v>462</v>
      </c>
      <c r="C217" s="81" t="s">
        <v>823</v>
      </c>
      <c r="D217" s="81" t="s">
        <v>3762</v>
      </c>
      <c r="E217" s="81" t="s">
        <v>16</v>
      </c>
      <c r="F217" s="81" t="s">
        <v>377</v>
      </c>
      <c r="G217" s="81" t="s">
        <v>2164</v>
      </c>
      <c r="H217" s="81" t="s">
        <v>2312</v>
      </c>
    </row>
    <row r="218" spans="1:8" x14ac:dyDescent="0.3">
      <c r="A218" s="81" t="s">
        <v>657</v>
      </c>
      <c r="B218" s="81" t="s">
        <v>462</v>
      </c>
      <c r="C218" s="81" t="s">
        <v>823</v>
      </c>
      <c r="D218" s="81" t="s">
        <v>3762</v>
      </c>
      <c r="E218" s="81" t="s">
        <v>16</v>
      </c>
      <c r="F218" s="81" t="s">
        <v>378</v>
      </c>
      <c r="G218" s="81" t="s">
        <v>2165</v>
      </c>
      <c r="H218" s="81" t="s">
        <v>2313</v>
      </c>
    </row>
    <row r="219" spans="1:8" x14ac:dyDescent="0.3">
      <c r="A219" s="81" t="s">
        <v>658</v>
      </c>
      <c r="B219" s="81" t="s">
        <v>462</v>
      </c>
      <c r="C219" s="81" t="s">
        <v>823</v>
      </c>
      <c r="D219" s="81" t="s">
        <v>3762</v>
      </c>
      <c r="E219" s="81" t="s">
        <v>16</v>
      </c>
      <c r="F219" s="81" t="s">
        <v>379</v>
      </c>
      <c r="G219" s="81" t="s">
        <v>2166</v>
      </c>
      <c r="H219" s="81" t="s">
        <v>2314</v>
      </c>
    </row>
    <row r="220" spans="1:8" x14ac:dyDescent="0.3">
      <c r="A220" s="81" t="s">
        <v>659</v>
      </c>
      <c r="B220" s="81" t="s">
        <v>462</v>
      </c>
      <c r="C220" s="81" t="s">
        <v>823</v>
      </c>
      <c r="D220" s="81" t="s">
        <v>3762</v>
      </c>
      <c r="E220" s="81" t="s">
        <v>16</v>
      </c>
      <c r="F220" s="81" t="s">
        <v>380</v>
      </c>
      <c r="G220" s="81" t="s">
        <v>2167</v>
      </c>
      <c r="H220" s="81" t="s">
        <v>2315</v>
      </c>
    </row>
    <row r="221" spans="1:8" x14ac:dyDescent="0.3">
      <c r="A221" s="81" t="s">
        <v>660</v>
      </c>
      <c r="B221" s="81" t="s">
        <v>462</v>
      </c>
      <c r="C221" s="81" t="s">
        <v>823</v>
      </c>
      <c r="D221" s="81" t="s">
        <v>3762</v>
      </c>
      <c r="E221" s="81" t="s">
        <v>16</v>
      </c>
      <c r="F221" s="81" t="s">
        <v>381</v>
      </c>
      <c r="G221" s="81" t="s">
        <v>2168</v>
      </c>
      <c r="H221" s="81" t="s">
        <v>2316</v>
      </c>
    </row>
    <row r="222" spans="1:8" x14ac:dyDescent="0.3">
      <c r="A222" s="81" t="s">
        <v>661</v>
      </c>
      <c r="B222" s="81" t="s">
        <v>462</v>
      </c>
      <c r="C222" s="81" t="s">
        <v>823</v>
      </c>
      <c r="D222" s="81" t="s">
        <v>3762</v>
      </c>
      <c r="E222" s="81" t="s">
        <v>16</v>
      </c>
      <c r="F222" s="81" t="s">
        <v>382</v>
      </c>
      <c r="G222" s="81" t="s">
        <v>2169</v>
      </c>
      <c r="H222" s="81" t="s">
        <v>2317</v>
      </c>
    </row>
    <row r="223" spans="1:8" x14ac:dyDescent="0.3">
      <c r="A223" s="81" t="s">
        <v>662</v>
      </c>
      <c r="B223" s="81" t="s">
        <v>462</v>
      </c>
      <c r="C223" s="81" t="s">
        <v>823</v>
      </c>
      <c r="D223" s="81" t="s">
        <v>3762</v>
      </c>
      <c r="E223" s="81" t="s">
        <v>16</v>
      </c>
      <c r="F223" s="81" t="s">
        <v>383</v>
      </c>
      <c r="G223" s="81" t="s">
        <v>2170</v>
      </c>
      <c r="H223" s="81" t="s">
        <v>2318</v>
      </c>
    </row>
    <row r="224" spans="1:8" x14ac:dyDescent="0.3">
      <c r="A224" s="81" t="s">
        <v>663</v>
      </c>
      <c r="B224" s="81" t="s">
        <v>578</v>
      </c>
      <c r="C224" s="81" t="s">
        <v>832</v>
      </c>
      <c r="D224" s="81" t="s">
        <v>3763</v>
      </c>
      <c r="E224" s="81" t="s">
        <v>20</v>
      </c>
      <c r="F224" s="81" t="s">
        <v>15</v>
      </c>
      <c r="G224" s="81" t="s">
        <v>2171</v>
      </c>
      <c r="H224" s="81" t="s">
        <v>859</v>
      </c>
    </row>
    <row r="225" spans="1:8" x14ac:dyDescent="0.3">
      <c r="A225" s="81" t="s">
        <v>664</v>
      </c>
      <c r="B225" s="81" t="s">
        <v>578</v>
      </c>
      <c r="C225" s="81" t="s">
        <v>579</v>
      </c>
      <c r="D225" s="81" t="s">
        <v>3763</v>
      </c>
      <c r="E225" s="81" t="s">
        <v>20</v>
      </c>
      <c r="F225" s="81" t="s">
        <v>15</v>
      </c>
      <c r="G225" s="81" t="s">
        <v>2172</v>
      </c>
      <c r="H225" s="81" t="s">
        <v>861</v>
      </c>
    </row>
    <row r="226" spans="1:8" x14ac:dyDescent="0.3">
      <c r="A226" s="81" t="s">
        <v>665</v>
      </c>
      <c r="B226" s="81" t="s">
        <v>578</v>
      </c>
      <c r="C226" s="81" t="s">
        <v>579</v>
      </c>
      <c r="D226" s="81" t="s">
        <v>3763</v>
      </c>
      <c r="E226" s="81" t="s">
        <v>16</v>
      </c>
      <c r="F226" s="81" t="s">
        <v>368</v>
      </c>
      <c r="G226" s="81" t="s">
        <v>2173</v>
      </c>
      <c r="H226" s="81" t="s">
        <v>2319</v>
      </c>
    </row>
    <row r="227" spans="1:8" x14ac:dyDescent="0.3">
      <c r="A227" s="81" t="s">
        <v>666</v>
      </c>
      <c r="B227" s="81" t="s">
        <v>578</v>
      </c>
      <c r="C227" s="81" t="s">
        <v>579</v>
      </c>
      <c r="D227" s="81" t="s">
        <v>3763</v>
      </c>
      <c r="E227" s="81" t="s">
        <v>16</v>
      </c>
      <c r="F227" s="81" t="s">
        <v>369</v>
      </c>
      <c r="G227" s="81" t="s">
        <v>2174</v>
      </c>
      <c r="H227" s="81" t="s">
        <v>2320</v>
      </c>
    </row>
    <row r="228" spans="1:8" x14ac:dyDescent="0.3">
      <c r="A228" s="81" t="s">
        <v>667</v>
      </c>
      <c r="B228" s="81" t="s">
        <v>578</v>
      </c>
      <c r="C228" s="81" t="s">
        <v>579</v>
      </c>
      <c r="D228" s="81" t="s">
        <v>3763</v>
      </c>
      <c r="E228" s="81" t="s">
        <v>16</v>
      </c>
      <c r="F228" s="81" t="s">
        <v>370</v>
      </c>
      <c r="G228" s="81" t="s">
        <v>2175</v>
      </c>
      <c r="H228" s="81" t="s">
        <v>2321</v>
      </c>
    </row>
    <row r="229" spans="1:8" x14ac:dyDescent="0.3">
      <c r="A229" s="81" t="s">
        <v>668</v>
      </c>
      <c r="B229" s="81" t="s">
        <v>578</v>
      </c>
      <c r="C229" s="81" t="s">
        <v>579</v>
      </c>
      <c r="D229" s="81" t="s">
        <v>3763</v>
      </c>
      <c r="E229" s="81" t="s">
        <v>16</v>
      </c>
      <c r="F229" s="81" t="s">
        <v>371</v>
      </c>
      <c r="G229" s="81" t="s">
        <v>2176</v>
      </c>
      <c r="H229" s="81" t="s">
        <v>2322</v>
      </c>
    </row>
    <row r="230" spans="1:8" x14ac:dyDescent="0.3">
      <c r="A230" s="81" t="s">
        <v>669</v>
      </c>
      <c r="B230" s="81" t="s">
        <v>578</v>
      </c>
      <c r="C230" s="81" t="s">
        <v>579</v>
      </c>
      <c r="D230" s="81" t="s">
        <v>3763</v>
      </c>
      <c r="E230" s="81" t="s">
        <v>16</v>
      </c>
      <c r="F230" s="81" t="s">
        <v>372</v>
      </c>
      <c r="G230" s="81" t="s">
        <v>2177</v>
      </c>
      <c r="H230" s="81" t="s">
        <v>2323</v>
      </c>
    </row>
    <row r="231" spans="1:8" x14ac:dyDescent="0.3">
      <c r="A231" s="81" t="s">
        <v>670</v>
      </c>
      <c r="B231" s="81" t="s">
        <v>578</v>
      </c>
      <c r="C231" s="81" t="s">
        <v>579</v>
      </c>
      <c r="D231" s="81" t="s">
        <v>3763</v>
      </c>
      <c r="E231" s="81" t="s">
        <v>16</v>
      </c>
      <c r="F231" s="81" t="s">
        <v>373</v>
      </c>
      <c r="G231" s="81" t="s">
        <v>2178</v>
      </c>
      <c r="H231" s="81" t="s">
        <v>2324</v>
      </c>
    </row>
    <row r="232" spans="1:8" x14ac:dyDescent="0.3">
      <c r="A232" s="81" t="s">
        <v>671</v>
      </c>
      <c r="B232" s="81" t="s">
        <v>578</v>
      </c>
      <c r="C232" s="81" t="s">
        <v>579</v>
      </c>
      <c r="D232" s="81" t="s">
        <v>3763</v>
      </c>
      <c r="E232" s="81" t="s">
        <v>16</v>
      </c>
      <c r="F232" s="81" t="s">
        <v>374</v>
      </c>
      <c r="G232" s="81" t="s">
        <v>2179</v>
      </c>
      <c r="H232" s="81" t="s">
        <v>2325</v>
      </c>
    </row>
    <row r="233" spans="1:8" x14ac:dyDescent="0.3">
      <c r="A233" s="81" t="s">
        <v>672</v>
      </c>
      <c r="B233" s="81" t="s">
        <v>578</v>
      </c>
      <c r="C233" s="81" t="s">
        <v>579</v>
      </c>
      <c r="D233" s="81" t="s">
        <v>3763</v>
      </c>
      <c r="E233" s="81" t="s">
        <v>16</v>
      </c>
      <c r="F233" s="81" t="s">
        <v>375</v>
      </c>
      <c r="G233" s="81" t="s">
        <v>2180</v>
      </c>
      <c r="H233" s="81" t="s">
        <v>2326</v>
      </c>
    </row>
    <row r="234" spans="1:8" x14ac:dyDescent="0.3">
      <c r="A234" s="81" t="s">
        <v>673</v>
      </c>
      <c r="B234" s="81" t="s">
        <v>578</v>
      </c>
      <c r="C234" s="81" t="s">
        <v>579</v>
      </c>
      <c r="D234" s="81" t="s">
        <v>3763</v>
      </c>
      <c r="E234" s="81" t="s">
        <v>16</v>
      </c>
      <c r="F234" s="81" t="s">
        <v>376</v>
      </c>
      <c r="G234" s="81" t="s">
        <v>2181</v>
      </c>
      <c r="H234" s="81" t="s">
        <v>2327</v>
      </c>
    </row>
    <row r="235" spans="1:8" x14ac:dyDescent="0.3">
      <c r="A235" s="81" t="s">
        <v>674</v>
      </c>
      <c r="B235" s="81" t="s">
        <v>578</v>
      </c>
      <c r="C235" s="81" t="s">
        <v>579</v>
      </c>
      <c r="D235" s="81" t="s">
        <v>3763</v>
      </c>
      <c r="E235" s="81" t="s">
        <v>16</v>
      </c>
      <c r="F235" s="81" t="s">
        <v>377</v>
      </c>
      <c r="G235" s="81" t="s">
        <v>2182</v>
      </c>
      <c r="H235" s="81" t="s">
        <v>2328</v>
      </c>
    </row>
    <row r="236" spans="1:8" x14ac:dyDescent="0.3">
      <c r="A236" s="81" t="s">
        <v>675</v>
      </c>
      <c r="B236" s="81" t="s">
        <v>578</v>
      </c>
      <c r="C236" s="81" t="s">
        <v>579</v>
      </c>
      <c r="D236" s="81" t="s">
        <v>3763</v>
      </c>
      <c r="E236" s="81" t="s">
        <v>16</v>
      </c>
      <c r="F236" s="81" t="s">
        <v>378</v>
      </c>
      <c r="G236" s="81" t="s">
        <v>2183</v>
      </c>
      <c r="H236" s="81" t="s">
        <v>2329</v>
      </c>
    </row>
    <row r="237" spans="1:8" x14ac:dyDescent="0.3">
      <c r="A237" s="81" t="s">
        <v>676</v>
      </c>
      <c r="B237" s="81" t="s">
        <v>578</v>
      </c>
      <c r="C237" s="81" t="s">
        <v>579</v>
      </c>
      <c r="D237" s="81" t="s">
        <v>3763</v>
      </c>
      <c r="E237" s="81" t="s">
        <v>16</v>
      </c>
      <c r="F237" s="81" t="s">
        <v>379</v>
      </c>
      <c r="G237" s="81" t="s">
        <v>2184</v>
      </c>
      <c r="H237" s="81" t="s">
        <v>2330</v>
      </c>
    </row>
    <row r="238" spans="1:8" x14ac:dyDescent="0.3">
      <c r="A238" s="81" t="s">
        <v>677</v>
      </c>
      <c r="B238" s="81" t="s">
        <v>578</v>
      </c>
      <c r="C238" s="81" t="s">
        <v>579</v>
      </c>
      <c r="D238" s="81" t="s">
        <v>3763</v>
      </c>
      <c r="E238" s="81" t="s">
        <v>16</v>
      </c>
      <c r="F238" s="81" t="s">
        <v>380</v>
      </c>
      <c r="G238" s="81" t="s">
        <v>2185</v>
      </c>
      <c r="H238" s="81" t="s">
        <v>2331</v>
      </c>
    </row>
    <row r="239" spans="1:8" x14ac:dyDescent="0.3">
      <c r="A239" s="81" t="s">
        <v>678</v>
      </c>
      <c r="B239" s="81" t="s">
        <v>578</v>
      </c>
      <c r="C239" s="81" t="s">
        <v>579</v>
      </c>
      <c r="D239" s="81" t="s">
        <v>3763</v>
      </c>
      <c r="E239" s="81" t="s">
        <v>16</v>
      </c>
      <c r="F239" s="81" t="s">
        <v>381</v>
      </c>
      <c r="G239" s="81" t="s">
        <v>2186</v>
      </c>
      <c r="H239" s="81" t="s">
        <v>2332</v>
      </c>
    </row>
    <row r="240" spans="1:8" x14ac:dyDescent="0.3">
      <c r="A240" s="81" t="s">
        <v>679</v>
      </c>
      <c r="B240" s="81" t="s">
        <v>578</v>
      </c>
      <c r="C240" s="81" t="s">
        <v>579</v>
      </c>
      <c r="D240" s="81" t="s">
        <v>3763</v>
      </c>
      <c r="E240" s="81" t="s">
        <v>16</v>
      </c>
      <c r="F240" s="81" t="s">
        <v>382</v>
      </c>
      <c r="G240" s="81" t="s">
        <v>2187</v>
      </c>
      <c r="H240" s="81" t="s">
        <v>2333</v>
      </c>
    </row>
    <row r="241" spans="1:8" x14ac:dyDescent="0.3">
      <c r="A241" s="81" t="s">
        <v>680</v>
      </c>
      <c r="B241" s="81" t="s">
        <v>578</v>
      </c>
      <c r="C241" s="81" t="s">
        <v>579</v>
      </c>
      <c r="D241" s="81" t="s">
        <v>3763</v>
      </c>
      <c r="E241" s="81" t="s">
        <v>16</v>
      </c>
      <c r="F241" s="81" t="s">
        <v>383</v>
      </c>
      <c r="G241" s="81" t="s">
        <v>2188</v>
      </c>
      <c r="H241" s="81" t="s">
        <v>2334</v>
      </c>
    </row>
    <row r="242" spans="1:8" x14ac:dyDescent="0.3">
      <c r="A242" s="81" t="s">
        <v>681</v>
      </c>
      <c r="B242" s="81" t="s">
        <v>578</v>
      </c>
      <c r="C242" s="81" t="s">
        <v>868</v>
      </c>
      <c r="D242" s="81" t="s">
        <v>3763</v>
      </c>
      <c r="E242" s="81" t="s">
        <v>20</v>
      </c>
      <c r="F242" s="81" t="s">
        <v>15</v>
      </c>
      <c r="G242" s="81" t="s">
        <v>863</v>
      </c>
      <c r="H242" s="81" t="s">
        <v>867</v>
      </c>
    </row>
    <row r="243" spans="1:8" x14ac:dyDescent="0.3">
      <c r="A243" s="81" t="s">
        <v>682</v>
      </c>
      <c r="B243" s="81" t="s">
        <v>578</v>
      </c>
      <c r="C243" s="81" t="s">
        <v>868</v>
      </c>
      <c r="D243" s="81" t="s">
        <v>3763</v>
      </c>
      <c r="E243" s="81" t="s">
        <v>16</v>
      </c>
      <c r="F243" s="81" t="s">
        <v>370</v>
      </c>
      <c r="G243" s="81" t="s">
        <v>2189</v>
      </c>
      <c r="H243" s="81" t="s">
        <v>2558</v>
      </c>
    </row>
    <row r="244" spans="1:8" x14ac:dyDescent="0.3">
      <c r="A244" s="81" t="s">
        <v>683</v>
      </c>
      <c r="B244" s="81" t="s">
        <v>578</v>
      </c>
      <c r="C244" s="81" t="s">
        <v>868</v>
      </c>
      <c r="D244" s="81" t="s">
        <v>3763</v>
      </c>
      <c r="E244" s="81" t="s">
        <v>16</v>
      </c>
      <c r="F244" s="81" t="s">
        <v>371</v>
      </c>
      <c r="G244" s="81" t="s">
        <v>2190</v>
      </c>
      <c r="H244" s="81" t="s">
        <v>2559</v>
      </c>
    </row>
    <row r="245" spans="1:8" x14ac:dyDescent="0.3">
      <c r="A245" s="81" t="s">
        <v>684</v>
      </c>
      <c r="B245" s="81" t="s">
        <v>578</v>
      </c>
      <c r="C245" s="81" t="s">
        <v>868</v>
      </c>
      <c r="D245" s="81" t="s">
        <v>3763</v>
      </c>
      <c r="E245" s="81" t="s">
        <v>16</v>
      </c>
      <c r="F245" s="81" t="s">
        <v>372</v>
      </c>
      <c r="G245" s="81" t="s">
        <v>2191</v>
      </c>
      <c r="H245" s="81" t="s">
        <v>2560</v>
      </c>
    </row>
    <row r="246" spans="1:8" x14ac:dyDescent="0.3">
      <c r="A246" s="81" t="s">
        <v>685</v>
      </c>
      <c r="B246" s="81" t="s">
        <v>578</v>
      </c>
      <c r="C246" s="81" t="s">
        <v>868</v>
      </c>
      <c r="D246" s="81" t="s">
        <v>3763</v>
      </c>
      <c r="E246" s="81" t="s">
        <v>16</v>
      </c>
      <c r="F246" s="81" t="s">
        <v>373</v>
      </c>
      <c r="G246" s="81" t="s">
        <v>2192</v>
      </c>
      <c r="H246" s="81" t="s">
        <v>2561</v>
      </c>
    </row>
    <row r="247" spans="1:8" x14ac:dyDescent="0.3">
      <c r="A247" s="81" t="s">
        <v>686</v>
      </c>
      <c r="B247" s="81" t="s">
        <v>578</v>
      </c>
      <c r="C247" s="81" t="s">
        <v>868</v>
      </c>
      <c r="D247" s="81" t="s">
        <v>3763</v>
      </c>
      <c r="E247" s="81" t="s">
        <v>16</v>
      </c>
      <c r="F247" s="81" t="s">
        <v>374</v>
      </c>
      <c r="G247" s="81" t="s">
        <v>2193</v>
      </c>
      <c r="H247" s="81" t="s">
        <v>2562</v>
      </c>
    </row>
    <row r="248" spans="1:8" x14ac:dyDescent="0.3">
      <c r="A248" s="81" t="s">
        <v>687</v>
      </c>
      <c r="B248" s="81" t="s">
        <v>578</v>
      </c>
      <c r="C248" s="81" t="s">
        <v>868</v>
      </c>
      <c r="D248" s="81" t="s">
        <v>3763</v>
      </c>
      <c r="E248" s="81" t="s">
        <v>16</v>
      </c>
      <c r="F248" s="81" t="s">
        <v>375</v>
      </c>
      <c r="G248" s="81" t="s">
        <v>2194</v>
      </c>
      <c r="H248" s="81" t="s">
        <v>2563</v>
      </c>
    </row>
    <row r="249" spans="1:8" x14ac:dyDescent="0.3">
      <c r="A249" s="81" t="s">
        <v>688</v>
      </c>
      <c r="B249" s="81" t="s">
        <v>578</v>
      </c>
      <c r="C249" s="81" t="s">
        <v>868</v>
      </c>
      <c r="D249" s="81" t="s">
        <v>3763</v>
      </c>
      <c r="E249" s="81" t="s">
        <v>16</v>
      </c>
      <c r="F249" s="81" t="s">
        <v>376</v>
      </c>
      <c r="G249" s="81" t="s">
        <v>2195</v>
      </c>
      <c r="H249" s="81" t="s">
        <v>2564</v>
      </c>
    </row>
    <row r="250" spans="1:8" x14ac:dyDescent="0.3">
      <c r="A250" s="81" t="s">
        <v>689</v>
      </c>
      <c r="B250" s="81" t="s">
        <v>578</v>
      </c>
      <c r="C250" s="81" t="s">
        <v>868</v>
      </c>
      <c r="D250" s="81" t="s">
        <v>3763</v>
      </c>
      <c r="E250" s="81" t="s">
        <v>16</v>
      </c>
      <c r="F250" s="81" t="s">
        <v>380</v>
      </c>
      <c r="G250" s="81" t="s">
        <v>2196</v>
      </c>
      <c r="H250" s="81" t="s">
        <v>2565</v>
      </c>
    </row>
    <row r="251" spans="1:8" x14ac:dyDescent="0.3">
      <c r="A251" s="81" t="s">
        <v>690</v>
      </c>
      <c r="B251" s="81" t="s">
        <v>578</v>
      </c>
      <c r="C251" s="81" t="s">
        <v>868</v>
      </c>
      <c r="D251" s="81" t="s">
        <v>3763</v>
      </c>
      <c r="E251" s="81" t="s">
        <v>16</v>
      </c>
      <c r="F251" s="81" t="s">
        <v>382</v>
      </c>
      <c r="G251" s="81" t="s">
        <v>2197</v>
      </c>
      <c r="H251" s="81" t="s">
        <v>2566</v>
      </c>
    </row>
    <row r="252" spans="1:8" x14ac:dyDescent="0.3">
      <c r="A252" s="81" t="s">
        <v>691</v>
      </c>
      <c r="B252" s="81" t="s">
        <v>578</v>
      </c>
      <c r="C252" s="81" t="s">
        <v>868</v>
      </c>
      <c r="D252" s="81" t="s">
        <v>3763</v>
      </c>
      <c r="E252" s="81" t="s">
        <v>16</v>
      </c>
      <c r="F252" s="81" t="s">
        <v>383</v>
      </c>
      <c r="G252" s="81" t="s">
        <v>2198</v>
      </c>
      <c r="H252" s="81" t="s">
        <v>2567</v>
      </c>
    </row>
    <row r="253" spans="1:8" x14ac:dyDescent="0.3">
      <c r="A253" s="81" t="s">
        <v>692</v>
      </c>
      <c r="B253" s="81" t="s">
        <v>870</v>
      </c>
      <c r="C253" s="81" t="s">
        <v>871</v>
      </c>
      <c r="D253" s="81" t="s">
        <v>3765</v>
      </c>
      <c r="E253" s="81" t="s">
        <v>20</v>
      </c>
      <c r="F253" s="81" t="s">
        <v>15</v>
      </c>
      <c r="G253" s="81" t="s">
        <v>874</v>
      </c>
      <c r="H253" s="81" t="s">
        <v>1080</v>
      </c>
    </row>
    <row r="254" spans="1:8" x14ac:dyDescent="0.3">
      <c r="A254" s="81" t="s">
        <v>693</v>
      </c>
      <c r="B254" s="81" t="s">
        <v>621</v>
      </c>
      <c r="C254" s="81" t="s">
        <v>877</v>
      </c>
      <c r="D254" s="81" t="s">
        <v>3781</v>
      </c>
      <c r="E254" s="81" t="s">
        <v>20</v>
      </c>
      <c r="F254" s="81" t="s">
        <v>15</v>
      </c>
      <c r="G254" s="81" t="s">
        <v>2199</v>
      </c>
      <c r="H254" s="81" t="s">
        <v>878</v>
      </c>
    </row>
    <row r="255" spans="1:8" x14ac:dyDescent="0.3">
      <c r="A255" s="81" t="s">
        <v>694</v>
      </c>
      <c r="B255" s="81" t="s">
        <v>621</v>
      </c>
      <c r="C255" s="81" t="s">
        <v>877</v>
      </c>
      <c r="D255" s="81" t="s">
        <v>3781</v>
      </c>
      <c r="E255" s="81" t="s">
        <v>16</v>
      </c>
      <c r="F255" s="81" t="s">
        <v>368</v>
      </c>
      <c r="G255" s="81" t="s">
        <v>2200</v>
      </c>
      <c r="H255" s="81" t="s">
        <v>2568</v>
      </c>
    </row>
    <row r="256" spans="1:8" x14ac:dyDescent="0.3">
      <c r="A256" s="81" t="s">
        <v>695</v>
      </c>
      <c r="B256" s="81" t="s">
        <v>621</v>
      </c>
      <c r="C256" s="81" t="s">
        <v>877</v>
      </c>
      <c r="D256" s="81" t="s">
        <v>3781</v>
      </c>
      <c r="E256" s="81" t="s">
        <v>16</v>
      </c>
      <c r="F256" s="81" t="s">
        <v>369</v>
      </c>
      <c r="G256" s="81" t="s">
        <v>2201</v>
      </c>
      <c r="H256" s="81" t="s">
        <v>2569</v>
      </c>
    </row>
    <row r="257" spans="1:8" x14ac:dyDescent="0.3">
      <c r="A257" s="81" t="s">
        <v>696</v>
      </c>
      <c r="B257" s="81" t="s">
        <v>621</v>
      </c>
      <c r="C257" s="81" t="s">
        <v>877</v>
      </c>
      <c r="D257" s="81" t="s">
        <v>3781</v>
      </c>
      <c r="E257" s="81" t="s">
        <v>16</v>
      </c>
      <c r="F257" s="81" t="s">
        <v>370</v>
      </c>
      <c r="G257" s="81" t="s">
        <v>2202</v>
      </c>
      <c r="H257" s="81" t="s">
        <v>2570</v>
      </c>
    </row>
    <row r="258" spans="1:8" x14ac:dyDescent="0.3">
      <c r="A258" s="81" t="s">
        <v>697</v>
      </c>
      <c r="B258" s="81" t="s">
        <v>621</v>
      </c>
      <c r="C258" s="81" t="s">
        <v>877</v>
      </c>
      <c r="D258" s="81" t="s">
        <v>3781</v>
      </c>
      <c r="E258" s="81" t="s">
        <v>16</v>
      </c>
      <c r="F258" s="81" t="s">
        <v>371</v>
      </c>
      <c r="G258" s="81" t="s">
        <v>2203</v>
      </c>
      <c r="H258" s="81" t="s">
        <v>2571</v>
      </c>
    </row>
    <row r="259" spans="1:8" x14ac:dyDescent="0.3">
      <c r="A259" s="81" t="s">
        <v>698</v>
      </c>
      <c r="B259" s="81" t="s">
        <v>621</v>
      </c>
      <c r="C259" s="81" t="s">
        <v>877</v>
      </c>
      <c r="D259" s="81" t="s">
        <v>3781</v>
      </c>
      <c r="E259" s="81" t="s">
        <v>16</v>
      </c>
      <c r="F259" s="81" t="s">
        <v>372</v>
      </c>
      <c r="G259" s="81" t="s">
        <v>2204</v>
      </c>
      <c r="H259" s="81" t="s">
        <v>2572</v>
      </c>
    </row>
    <row r="260" spans="1:8" x14ac:dyDescent="0.3">
      <c r="A260" s="81" t="s">
        <v>699</v>
      </c>
      <c r="B260" s="81" t="s">
        <v>621</v>
      </c>
      <c r="C260" s="81" t="s">
        <v>877</v>
      </c>
      <c r="D260" s="81" t="s">
        <v>3781</v>
      </c>
      <c r="E260" s="81" t="s">
        <v>16</v>
      </c>
      <c r="F260" s="81" t="s">
        <v>373</v>
      </c>
      <c r="G260" s="81" t="s">
        <v>2205</v>
      </c>
      <c r="H260" s="81" t="s">
        <v>2573</v>
      </c>
    </row>
    <row r="261" spans="1:8" x14ac:dyDescent="0.3">
      <c r="A261" s="81" t="s">
        <v>700</v>
      </c>
      <c r="B261" s="81" t="s">
        <v>621</v>
      </c>
      <c r="C261" s="81" t="s">
        <v>877</v>
      </c>
      <c r="D261" s="81" t="s">
        <v>3781</v>
      </c>
      <c r="E261" s="81" t="s">
        <v>16</v>
      </c>
      <c r="F261" s="81" t="s">
        <v>374</v>
      </c>
      <c r="G261" s="81" t="s">
        <v>2206</v>
      </c>
      <c r="H261" s="81" t="s">
        <v>2574</v>
      </c>
    </row>
    <row r="262" spans="1:8" x14ac:dyDescent="0.3">
      <c r="A262" s="81" t="s">
        <v>701</v>
      </c>
      <c r="B262" s="81" t="s">
        <v>621</v>
      </c>
      <c r="C262" s="81" t="s">
        <v>877</v>
      </c>
      <c r="D262" s="81" t="s">
        <v>3781</v>
      </c>
      <c r="E262" s="81" t="s">
        <v>16</v>
      </c>
      <c r="F262" s="81" t="s">
        <v>375</v>
      </c>
      <c r="G262" s="81" t="s">
        <v>2207</v>
      </c>
      <c r="H262" s="81" t="s">
        <v>2575</v>
      </c>
    </row>
    <row r="263" spans="1:8" x14ac:dyDescent="0.3">
      <c r="A263" s="81" t="s">
        <v>702</v>
      </c>
      <c r="B263" s="81" t="s">
        <v>621</v>
      </c>
      <c r="C263" s="81" t="s">
        <v>877</v>
      </c>
      <c r="D263" s="81" t="s">
        <v>3781</v>
      </c>
      <c r="E263" s="81" t="s">
        <v>16</v>
      </c>
      <c r="F263" s="81" t="s">
        <v>376</v>
      </c>
      <c r="G263" s="81" t="s">
        <v>2208</v>
      </c>
      <c r="H263" s="81" t="s">
        <v>2576</v>
      </c>
    </row>
    <row r="264" spans="1:8" x14ac:dyDescent="0.3">
      <c r="A264" s="81" t="s">
        <v>703</v>
      </c>
      <c r="B264" s="81" t="s">
        <v>621</v>
      </c>
      <c r="C264" s="81" t="s">
        <v>877</v>
      </c>
      <c r="D264" s="81" t="s">
        <v>3781</v>
      </c>
      <c r="E264" s="81" t="s">
        <v>16</v>
      </c>
      <c r="F264" s="81" t="s">
        <v>377</v>
      </c>
      <c r="G264" s="81" t="s">
        <v>2209</v>
      </c>
      <c r="H264" s="81" t="s">
        <v>2577</v>
      </c>
    </row>
    <row r="265" spans="1:8" x14ac:dyDescent="0.3">
      <c r="A265" s="81" t="s">
        <v>704</v>
      </c>
      <c r="B265" s="81" t="s">
        <v>621</v>
      </c>
      <c r="C265" s="81" t="s">
        <v>877</v>
      </c>
      <c r="D265" s="81" t="s">
        <v>3781</v>
      </c>
      <c r="E265" s="81" t="s">
        <v>16</v>
      </c>
      <c r="F265" s="81" t="s">
        <v>378</v>
      </c>
      <c r="G265" s="81" t="s">
        <v>2210</v>
      </c>
      <c r="H265" s="81" t="s">
        <v>2578</v>
      </c>
    </row>
    <row r="266" spans="1:8" x14ac:dyDescent="0.3">
      <c r="A266" s="81" t="s">
        <v>705</v>
      </c>
      <c r="B266" s="81" t="s">
        <v>621</v>
      </c>
      <c r="C266" s="81" t="s">
        <v>877</v>
      </c>
      <c r="D266" s="81" t="s">
        <v>3781</v>
      </c>
      <c r="E266" s="81" t="s">
        <v>16</v>
      </c>
      <c r="F266" s="81" t="s">
        <v>379</v>
      </c>
      <c r="G266" s="81" t="s">
        <v>2211</v>
      </c>
      <c r="H266" s="81" t="s">
        <v>2579</v>
      </c>
    </row>
    <row r="267" spans="1:8" x14ac:dyDescent="0.3">
      <c r="A267" s="81" t="s">
        <v>706</v>
      </c>
      <c r="B267" s="81" t="s">
        <v>621</v>
      </c>
      <c r="C267" s="81" t="s">
        <v>877</v>
      </c>
      <c r="D267" s="81" t="s">
        <v>3781</v>
      </c>
      <c r="E267" s="81" t="s">
        <v>16</v>
      </c>
      <c r="F267" s="81" t="s">
        <v>380</v>
      </c>
      <c r="G267" s="81" t="s">
        <v>2212</v>
      </c>
      <c r="H267" s="81" t="s">
        <v>2580</v>
      </c>
    </row>
    <row r="268" spans="1:8" x14ac:dyDescent="0.3">
      <c r="A268" s="81" t="s">
        <v>707</v>
      </c>
      <c r="B268" s="81" t="s">
        <v>621</v>
      </c>
      <c r="C268" s="81" t="s">
        <v>877</v>
      </c>
      <c r="D268" s="81" t="s">
        <v>3781</v>
      </c>
      <c r="E268" s="81" t="s">
        <v>16</v>
      </c>
      <c r="F268" s="81" t="s">
        <v>381</v>
      </c>
      <c r="G268" s="81" t="s">
        <v>2213</v>
      </c>
      <c r="H268" s="81" t="s">
        <v>2581</v>
      </c>
    </row>
    <row r="269" spans="1:8" x14ac:dyDescent="0.3">
      <c r="A269" s="81" t="s">
        <v>708</v>
      </c>
      <c r="B269" s="81" t="s">
        <v>621</v>
      </c>
      <c r="C269" s="81" t="s">
        <v>877</v>
      </c>
      <c r="D269" s="81" t="s">
        <v>3781</v>
      </c>
      <c r="E269" s="81" t="s">
        <v>16</v>
      </c>
      <c r="F269" s="81" t="s">
        <v>382</v>
      </c>
      <c r="G269" s="81" t="s">
        <v>2214</v>
      </c>
      <c r="H269" s="81" t="s">
        <v>2582</v>
      </c>
    </row>
    <row r="270" spans="1:8" x14ac:dyDescent="0.3">
      <c r="A270" s="81" t="s">
        <v>709</v>
      </c>
      <c r="B270" s="81" t="s">
        <v>621</v>
      </c>
      <c r="C270" s="81" t="s">
        <v>877</v>
      </c>
      <c r="D270" s="81" t="s">
        <v>3781</v>
      </c>
      <c r="E270" s="81" t="s">
        <v>16</v>
      </c>
      <c r="F270" s="81" t="s">
        <v>383</v>
      </c>
      <c r="G270" s="81" t="s">
        <v>2215</v>
      </c>
      <c r="H270" s="81" t="s">
        <v>2583</v>
      </c>
    </row>
    <row r="271" spans="1:8" x14ac:dyDescent="0.3">
      <c r="A271" s="81" t="s">
        <v>710</v>
      </c>
      <c r="B271" s="81" t="s">
        <v>881</v>
      </c>
      <c r="C271" s="81" t="s">
        <v>882</v>
      </c>
      <c r="D271" s="81" t="s">
        <v>1601</v>
      </c>
      <c r="E271" s="81" t="s">
        <v>20</v>
      </c>
      <c r="F271" s="81" t="s">
        <v>15</v>
      </c>
      <c r="G271" s="81" t="s">
        <v>2216</v>
      </c>
      <c r="H271" s="81" t="s">
        <v>1519</v>
      </c>
    </row>
    <row r="272" spans="1:8" x14ac:dyDescent="0.3">
      <c r="A272" s="81" t="s">
        <v>711</v>
      </c>
      <c r="B272" s="81" t="s">
        <v>881</v>
      </c>
      <c r="C272" s="81" t="s">
        <v>882</v>
      </c>
      <c r="D272" s="81" t="s">
        <v>1601</v>
      </c>
      <c r="E272" s="81" t="s">
        <v>16</v>
      </c>
      <c r="F272" s="81" t="s">
        <v>368</v>
      </c>
      <c r="G272" s="81" t="s">
        <v>2217</v>
      </c>
      <c r="H272" s="81" t="s">
        <v>2584</v>
      </c>
    </row>
    <row r="273" spans="1:8" x14ac:dyDescent="0.3">
      <c r="A273" s="81" t="s">
        <v>712</v>
      </c>
      <c r="B273" s="81" t="s">
        <v>881</v>
      </c>
      <c r="C273" s="81" t="s">
        <v>882</v>
      </c>
      <c r="D273" s="81" t="s">
        <v>1601</v>
      </c>
      <c r="E273" s="81" t="s">
        <v>16</v>
      </c>
      <c r="F273" s="81" t="s">
        <v>369</v>
      </c>
      <c r="G273" s="81" t="s">
        <v>2218</v>
      </c>
      <c r="H273" s="81" t="s">
        <v>2585</v>
      </c>
    </row>
    <row r="274" spans="1:8" x14ac:dyDescent="0.3">
      <c r="A274" s="81" t="s">
        <v>713</v>
      </c>
      <c r="B274" s="81" t="s">
        <v>881</v>
      </c>
      <c r="C274" s="81" t="s">
        <v>882</v>
      </c>
      <c r="D274" s="81" t="s">
        <v>1601</v>
      </c>
      <c r="E274" s="81" t="s">
        <v>16</v>
      </c>
      <c r="F274" s="81" t="s">
        <v>370</v>
      </c>
      <c r="G274" s="81" t="s">
        <v>2219</v>
      </c>
      <c r="H274" s="81" t="s">
        <v>2586</v>
      </c>
    </row>
    <row r="275" spans="1:8" x14ac:dyDescent="0.3">
      <c r="A275" s="81" t="s">
        <v>714</v>
      </c>
      <c r="B275" s="81" t="s">
        <v>881</v>
      </c>
      <c r="C275" s="81" t="s">
        <v>882</v>
      </c>
      <c r="D275" s="81" t="s">
        <v>1601</v>
      </c>
      <c r="E275" s="81" t="s">
        <v>16</v>
      </c>
      <c r="F275" s="81" t="s">
        <v>371</v>
      </c>
      <c r="G275" s="81" t="s">
        <v>2220</v>
      </c>
      <c r="H275" s="81" t="s">
        <v>2587</v>
      </c>
    </row>
    <row r="276" spans="1:8" x14ac:dyDescent="0.3">
      <c r="A276" s="81" t="s">
        <v>715</v>
      </c>
      <c r="B276" s="81" t="s">
        <v>881</v>
      </c>
      <c r="C276" s="81" t="s">
        <v>882</v>
      </c>
      <c r="D276" s="81" t="s">
        <v>1601</v>
      </c>
      <c r="E276" s="81" t="s">
        <v>16</v>
      </c>
      <c r="F276" s="81" t="s">
        <v>372</v>
      </c>
      <c r="G276" s="81" t="s">
        <v>2221</v>
      </c>
      <c r="H276" s="81" t="s">
        <v>2588</v>
      </c>
    </row>
    <row r="277" spans="1:8" x14ac:dyDescent="0.3">
      <c r="A277" s="81" t="s">
        <v>716</v>
      </c>
      <c r="B277" s="81" t="s">
        <v>881</v>
      </c>
      <c r="C277" s="81" t="s">
        <v>882</v>
      </c>
      <c r="D277" s="81" t="s">
        <v>1601</v>
      </c>
      <c r="E277" s="81" t="s">
        <v>16</v>
      </c>
      <c r="F277" s="81" t="s">
        <v>373</v>
      </c>
      <c r="G277" s="81" t="s">
        <v>2222</v>
      </c>
      <c r="H277" s="81" t="s">
        <v>2589</v>
      </c>
    </row>
    <row r="278" spans="1:8" x14ac:dyDescent="0.3">
      <c r="A278" s="81" t="s">
        <v>717</v>
      </c>
      <c r="B278" s="81" t="s">
        <v>881</v>
      </c>
      <c r="C278" s="81" t="s">
        <v>882</v>
      </c>
      <c r="D278" s="81" t="s">
        <v>1601</v>
      </c>
      <c r="E278" s="81" t="s">
        <v>16</v>
      </c>
      <c r="F278" s="81" t="s">
        <v>374</v>
      </c>
      <c r="G278" s="81" t="s">
        <v>2223</v>
      </c>
      <c r="H278" s="81" t="s">
        <v>2590</v>
      </c>
    </row>
    <row r="279" spans="1:8" x14ac:dyDescent="0.3">
      <c r="A279" s="81" t="s">
        <v>718</v>
      </c>
      <c r="B279" s="81" t="s">
        <v>881</v>
      </c>
      <c r="C279" s="81" t="s">
        <v>882</v>
      </c>
      <c r="D279" s="81" t="s">
        <v>1601</v>
      </c>
      <c r="E279" s="81" t="s">
        <v>16</v>
      </c>
      <c r="F279" s="81" t="s">
        <v>375</v>
      </c>
      <c r="G279" s="81" t="s">
        <v>2224</v>
      </c>
      <c r="H279" s="81" t="s">
        <v>2591</v>
      </c>
    </row>
    <row r="280" spans="1:8" x14ac:dyDescent="0.3">
      <c r="A280" s="81" t="s">
        <v>719</v>
      </c>
      <c r="B280" s="81" t="s">
        <v>881</v>
      </c>
      <c r="C280" s="81" t="s">
        <v>882</v>
      </c>
      <c r="D280" s="81" t="s">
        <v>1601</v>
      </c>
      <c r="E280" s="81" t="s">
        <v>16</v>
      </c>
      <c r="F280" s="81" t="s">
        <v>376</v>
      </c>
      <c r="G280" s="81" t="s">
        <v>2225</v>
      </c>
      <c r="H280" s="81" t="s">
        <v>2592</v>
      </c>
    </row>
    <row r="281" spans="1:8" x14ac:dyDescent="0.3">
      <c r="A281" s="81" t="s">
        <v>720</v>
      </c>
      <c r="B281" s="81" t="s">
        <v>881</v>
      </c>
      <c r="C281" s="81" t="s">
        <v>882</v>
      </c>
      <c r="D281" s="81" t="s">
        <v>1601</v>
      </c>
      <c r="E281" s="81" t="s">
        <v>16</v>
      </c>
      <c r="F281" s="81" t="s">
        <v>377</v>
      </c>
      <c r="G281" s="81" t="s">
        <v>2226</v>
      </c>
      <c r="H281" s="81" t="s">
        <v>2593</v>
      </c>
    </row>
    <row r="282" spans="1:8" x14ac:dyDescent="0.3">
      <c r="A282" s="81" t="s">
        <v>721</v>
      </c>
      <c r="B282" s="81" t="s">
        <v>881</v>
      </c>
      <c r="C282" s="81" t="s">
        <v>882</v>
      </c>
      <c r="D282" s="81" t="s">
        <v>1601</v>
      </c>
      <c r="E282" s="81" t="s">
        <v>16</v>
      </c>
      <c r="F282" s="81" t="s">
        <v>378</v>
      </c>
      <c r="G282" s="81" t="s">
        <v>2227</v>
      </c>
      <c r="H282" s="81" t="s">
        <v>2594</v>
      </c>
    </row>
    <row r="283" spans="1:8" x14ac:dyDescent="0.3">
      <c r="A283" s="81" t="s">
        <v>722</v>
      </c>
      <c r="B283" s="81" t="s">
        <v>881</v>
      </c>
      <c r="C283" s="81" t="s">
        <v>882</v>
      </c>
      <c r="D283" s="81" t="s">
        <v>1601</v>
      </c>
      <c r="E283" s="81" t="s">
        <v>16</v>
      </c>
      <c r="F283" s="81" t="s">
        <v>379</v>
      </c>
      <c r="G283" s="81" t="s">
        <v>2228</v>
      </c>
      <c r="H283" s="81" t="s">
        <v>2595</v>
      </c>
    </row>
    <row r="284" spans="1:8" x14ac:dyDescent="0.3">
      <c r="A284" s="81" t="s">
        <v>723</v>
      </c>
      <c r="B284" s="81" t="s">
        <v>881</v>
      </c>
      <c r="C284" s="81" t="s">
        <v>882</v>
      </c>
      <c r="D284" s="81" t="s">
        <v>1601</v>
      </c>
      <c r="E284" s="81" t="s">
        <v>16</v>
      </c>
      <c r="F284" s="81" t="s">
        <v>380</v>
      </c>
      <c r="G284" s="81" t="s">
        <v>2229</v>
      </c>
      <c r="H284" s="81" t="s">
        <v>2596</v>
      </c>
    </row>
    <row r="285" spans="1:8" x14ac:dyDescent="0.3">
      <c r="A285" s="81" t="s">
        <v>724</v>
      </c>
      <c r="B285" s="81" t="s">
        <v>881</v>
      </c>
      <c r="C285" s="81" t="s">
        <v>882</v>
      </c>
      <c r="D285" s="81" t="s">
        <v>1601</v>
      </c>
      <c r="E285" s="81" t="s">
        <v>16</v>
      </c>
      <c r="F285" s="81" t="s">
        <v>381</v>
      </c>
      <c r="G285" s="81" t="s">
        <v>2230</v>
      </c>
      <c r="H285" s="81" t="s">
        <v>2597</v>
      </c>
    </row>
    <row r="286" spans="1:8" x14ac:dyDescent="0.3">
      <c r="A286" s="81" t="s">
        <v>725</v>
      </c>
      <c r="B286" s="81" t="s">
        <v>881</v>
      </c>
      <c r="C286" s="81" t="s">
        <v>882</v>
      </c>
      <c r="D286" s="81" t="s">
        <v>1601</v>
      </c>
      <c r="E286" s="81" t="s">
        <v>16</v>
      </c>
      <c r="F286" s="81" t="s">
        <v>382</v>
      </c>
      <c r="G286" s="81" t="s">
        <v>2231</v>
      </c>
      <c r="H286" s="81" t="s">
        <v>2598</v>
      </c>
    </row>
    <row r="287" spans="1:8" x14ac:dyDescent="0.3">
      <c r="A287" s="81" t="s">
        <v>726</v>
      </c>
      <c r="B287" s="81" t="s">
        <v>881</v>
      </c>
      <c r="C287" s="81" t="s">
        <v>882</v>
      </c>
      <c r="D287" s="81" t="s">
        <v>1601</v>
      </c>
      <c r="E287" s="81" t="s">
        <v>16</v>
      </c>
      <c r="F287" s="81" t="s">
        <v>383</v>
      </c>
      <c r="G287" s="81" t="s">
        <v>2232</v>
      </c>
      <c r="H287" s="81" t="s">
        <v>2599</v>
      </c>
    </row>
    <row r="288" spans="1:8" x14ac:dyDescent="0.3">
      <c r="A288" s="81" t="s">
        <v>727</v>
      </c>
      <c r="B288" s="81" t="s">
        <v>462</v>
      </c>
      <c r="C288" s="81" t="s">
        <v>888</v>
      </c>
      <c r="D288" s="81" t="s">
        <v>3762</v>
      </c>
      <c r="E288" s="81" t="s">
        <v>20</v>
      </c>
      <c r="F288" s="81" t="s">
        <v>15</v>
      </c>
      <c r="G288" s="81" t="s">
        <v>2233</v>
      </c>
      <c r="H288" s="81" t="s">
        <v>890</v>
      </c>
    </row>
    <row r="289" spans="1:8" x14ac:dyDescent="0.3">
      <c r="A289" s="81" t="s">
        <v>728</v>
      </c>
      <c r="B289" s="81" t="s">
        <v>462</v>
      </c>
      <c r="C289" s="81" t="s">
        <v>888</v>
      </c>
      <c r="D289" s="81" t="s">
        <v>3762</v>
      </c>
      <c r="E289" s="81" t="s">
        <v>20</v>
      </c>
      <c r="F289" s="81" t="s">
        <v>15</v>
      </c>
      <c r="G289" s="81" t="s">
        <v>2234</v>
      </c>
      <c r="H289" s="81" t="s">
        <v>897</v>
      </c>
    </row>
    <row r="290" spans="1:8" x14ac:dyDescent="0.3">
      <c r="A290" s="81" t="s">
        <v>729</v>
      </c>
      <c r="B290" s="81" t="s">
        <v>462</v>
      </c>
      <c r="C290" s="81" t="s">
        <v>888</v>
      </c>
      <c r="D290" s="81" t="s">
        <v>3762</v>
      </c>
      <c r="E290" s="81" t="s">
        <v>20</v>
      </c>
      <c r="F290" s="81" t="s">
        <v>15</v>
      </c>
      <c r="G290" s="81" t="s">
        <v>2235</v>
      </c>
      <c r="H290" s="81" t="s">
        <v>902</v>
      </c>
    </row>
    <row r="291" spans="1:8" x14ac:dyDescent="0.3">
      <c r="A291" s="81" t="s">
        <v>730</v>
      </c>
      <c r="B291" s="81" t="s">
        <v>462</v>
      </c>
      <c r="C291" s="81" t="s">
        <v>888</v>
      </c>
      <c r="D291" s="81" t="s">
        <v>3762</v>
      </c>
      <c r="E291" s="81" t="s">
        <v>20</v>
      </c>
      <c r="F291" s="81" t="s">
        <v>15</v>
      </c>
      <c r="G291" s="81" t="s">
        <v>2236</v>
      </c>
      <c r="H291" s="81" t="s">
        <v>904</v>
      </c>
    </row>
    <row r="292" spans="1:8" x14ac:dyDescent="0.3">
      <c r="A292" s="81" t="s">
        <v>731</v>
      </c>
      <c r="B292" s="81" t="s">
        <v>462</v>
      </c>
      <c r="C292" s="81" t="s">
        <v>906</v>
      </c>
      <c r="D292" s="81" t="s">
        <v>3762</v>
      </c>
      <c r="E292" s="81" t="s">
        <v>20</v>
      </c>
      <c r="F292" s="81" t="s">
        <v>15</v>
      </c>
      <c r="G292" s="81" t="s">
        <v>2237</v>
      </c>
      <c r="H292" s="81" t="s">
        <v>423</v>
      </c>
    </row>
    <row r="293" spans="1:8" x14ac:dyDescent="0.3">
      <c r="A293" s="81" t="s">
        <v>732</v>
      </c>
      <c r="B293" s="81" t="s">
        <v>462</v>
      </c>
      <c r="C293" s="81" t="s">
        <v>906</v>
      </c>
      <c r="D293" s="81" t="s">
        <v>3762</v>
      </c>
      <c r="E293" s="81" t="s">
        <v>16</v>
      </c>
      <c r="F293" s="81" t="s">
        <v>368</v>
      </c>
      <c r="G293" s="81" t="s">
        <v>2238</v>
      </c>
      <c r="H293" s="81" t="s">
        <v>2335</v>
      </c>
    </row>
    <row r="294" spans="1:8" x14ac:dyDescent="0.3">
      <c r="A294" s="81" t="s">
        <v>733</v>
      </c>
      <c r="B294" s="81" t="s">
        <v>462</v>
      </c>
      <c r="C294" s="81" t="s">
        <v>906</v>
      </c>
      <c r="D294" s="81" t="s">
        <v>3762</v>
      </c>
      <c r="E294" s="81" t="s">
        <v>16</v>
      </c>
      <c r="F294" s="81" t="s">
        <v>369</v>
      </c>
      <c r="G294" s="81" t="s">
        <v>2239</v>
      </c>
      <c r="H294" s="81" t="s">
        <v>2336</v>
      </c>
    </row>
    <row r="295" spans="1:8" x14ac:dyDescent="0.3">
      <c r="A295" s="81" t="s">
        <v>734</v>
      </c>
      <c r="B295" s="81" t="s">
        <v>462</v>
      </c>
      <c r="C295" s="81" t="s">
        <v>906</v>
      </c>
      <c r="D295" s="81" t="s">
        <v>3762</v>
      </c>
      <c r="E295" s="81" t="s">
        <v>16</v>
      </c>
      <c r="F295" s="81" t="s">
        <v>370</v>
      </c>
      <c r="G295" s="81" t="s">
        <v>2240</v>
      </c>
      <c r="H295" s="81" t="s">
        <v>2337</v>
      </c>
    </row>
    <row r="296" spans="1:8" x14ac:dyDescent="0.3">
      <c r="A296" s="81" t="s">
        <v>735</v>
      </c>
      <c r="B296" s="81" t="s">
        <v>462</v>
      </c>
      <c r="C296" s="81" t="s">
        <v>906</v>
      </c>
      <c r="D296" s="81" t="s">
        <v>3762</v>
      </c>
      <c r="E296" s="81" t="s">
        <v>16</v>
      </c>
      <c r="F296" s="81" t="s">
        <v>371</v>
      </c>
      <c r="G296" s="81" t="s">
        <v>2241</v>
      </c>
      <c r="H296" s="81" t="s">
        <v>2338</v>
      </c>
    </row>
    <row r="297" spans="1:8" x14ac:dyDescent="0.3">
      <c r="A297" s="81" t="s">
        <v>736</v>
      </c>
      <c r="B297" s="81" t="s">
        <v>462</v>
      </c>
      <c r="C297" s="81" t="s">
        <v>906</v>
      </c>
      <c r="D297" s="81" t="s">
        <v>3762</v>
      </c>
      <c r="E297" s="81" t="s">
        <v>16</v>
      </c>
      <c r="F297" s="81" t="s">
        <v>372</v>
      </c>
      <c r="G297" s="81" t="s">
        <v>2242</v>
      </c>
      <c r="H297" s="81" t="s">
        <v>2339</v>
      </c>
    </row>
    <row r="298" spans="1:8" x14ac:dyDescent="0.3">
      <c r="A298" s="81" t="s">
        <v>737</v>
      </c>
      <c r="B298" s="81" t="s">
        <v>462</v>
      </c>
      <c r="C298" s="81" t="s">
        <v>906</v>
      </c>
      <c r="D298" s="81" t="s">
        <v>3762</v>
      </c>
      <c r="E298" s="81" t="s">
        <v>16</v>
      </c>
      <c r="F298" s="81" t="s">
        <v>373</v>
      </c>
      <c r="G298" s="81" t="s">
        <v>2243</v>
      </c>
      <c r="H298" s="81" t="s">
        <v>2340</v>
      </c>
    </row>
    <row r="299" spans="1:8" x14ac:dyDescent="0.3">
      <c r="A299" s="81" t="s">
        <v>738</v>
      </c>
      <c r="B299" s="81" t="s">
        <v>462</v>
      </c>
      <c r="C299" s="81" t="s">
        <v>906</v>
      </c>
      <c r="D299" s="81" t="s">
        <v>3762</v>
      </c>
      <c r="E299" s="81" t="s">
        <v>16</v>
      </c>
      <c r="F299" s="81" t="s">
        <v>374</v>
      </c>
      <c r="G299" s="81" t="s">
        <v>2244</v>
      </c>
      <c r="H299" s="81" t="s">
        <v>2341</v>
      </c>
    </row>
    <row r="300" spans="1:8" x14ac:dyDescent="0.3">
      <c r="A300" s="81" t="s">
        <v>739</v>
      </c>
      <c r="B300" s="81" t="s">
        <v>462</v>
      </c>
      <c r="C300" s="81" t="s">
        <v>906</v>
      </c>
      <c r="D300" s="81" t="s">
        <v>3762</v>
      </c>
      <c r="E300" s="81" t="s">
        <v>16</v>
      </c>
      <c r="F300" s="81" t="s">
        <v>375</v>
      </c>
      <c r="G300" s="81" t="s">
        <v>2245</v>
      </c>
      <c r="H300" s="81" t="s">
        <v>2342</v>
      </c>
    </row>
    <row r="301" spans="1:8" x14ac:dyDescent="0.3">
      <c r="A301" s="81" t="s">
        <v>740</v>
      </c>
      <c r="B301" s="81" t="s">
        <v>462</v>
      </c>
      <c r="C301" s="81" t="s">
        <v>906</v>
      </c>
      <c r="D301" s="81" t="s">
        <v>3762</v>
      </c>
      <c r="E301" s="81" t="s">
        <v>16</v>
      </c>
      <c r="F301" s="81" t="s">
        <v>376</v>
      </c>
      <c r="G301" s="81" t="s">
        <v>2246</v>
      </c>
      <c r="H301" s="81" t="s">
        <v>2343</v>
      </c>
    </row>
    <row r="302" spans="1:8" x14ac:dyDescent="0.3">
      <c r="A302" s="81" t="s">
        <v>741</v>
      </c>
      <c r="B302" s="81" t="s">
        <v>462</v>
      </c>
      <c r="C302" s="81" t="s">
        <v>906</v>
      </c>
      <c r="D302" s="81" t="s">
        <v>3762</v>
      </c>
      <c r="E302" s="81" t="s">
        <v>16</v>
      </c>
      <c r="F302" s="81" t="s">
        <v>377</v>
      </c>
      <c r="G302" s="81" t="s">
        <v>2247</v>
      </c>
      <c r="H302" s="81" t="s">
        <v>2344</v>
      </c>
    </row>
    <row r="303" spans="1:8" x14ac:dyDescent="0.3">
      <c r="A303" s="81" t="s">
        <v>742</v>
      </c>
      <c r="B303" s="81" t="s">
        <v>462</v>
      </c>
      <c r="C303" s="81" t="s">
        <v>906</v>
      </c>
      <c r="D303" s="81" t="s">
        <v>3762</v>
      </c>
      <c r="E303" s="81" t="s">
        <v>16</v>
      </c>
      <c r="F303" s="81" t="s">
        <v>378</v>
      </c>
      <c r="G303" s="81" t="s">
        <v>2248</v>
      </c>
      <c r="H303" s="81" t="s">
        <v>2345</v>
      </c>
    </row>
    <row r="304" spans="1:8" x14ac:dyDescent="0.3">
      <c r="A304" s="81" t="s">
        <v>743</v>
      </c>
      <c r="B304" s="81" t="s">
        <v>462</v>
      </c>
      <c r="C304" s="81" t="s">
        <v>906</v>
      </c>
      <c r="D304" s="81" t="s">
        <v>3762</v>
      </c>
      <c r="E304" s="81" t="s">
        <v>16</v>
      </c>
      <c r="F304" s="81" t="s">
        <v>379</v>
      </c>
      <c r="G304" s="81" t="s">
        <v>2249</v>
      </c>
      <c r="H304" s="81" t="s">
        <v>2346</v>
      </c>
    </row>
    <row r="305" spans="1:8" x14ac:dyDescent="0.3">
      <c r="A305" s="81" t="s">
        <v>744</v>
      </c>
      <c r="B305" s="81" t="s">
        <v>462</v>
      </c>
      <c r="C305" s="81" t="s">
        <v>906</v>
      </c>
      <c r="D305" s="81" t="s">
        <v>3762</v>
      </c>
      <c r="E305" s="81" t="s">
        <v>16</v>
      </c>
      <c r="F305" s="81" t="s">
        <v>380</v>
      </c>
      <c r="G305" s="81" t="s">
        <v>2250</v>
      </c>
      <c r="H305" s="81" t="s">
        <v>2347</v>
      </c>
    </row>
    <row r="306" spans="1:8" x14ac:dyDescent="0.3">
      <c r="A306" s="81" t="s">
        <v>745</v>
      </c>
      <c r="B306" s="81" t="s">
        <v>462</v>
      </c>
      <c r="C306" s="81" t="s">
        <v>906</v>
      </c>
      <c r="D306" s="81" t="s">
        <v>3762</v>
      </c>
      <c r="E306" s="81" t="s">
        <v>16</v>
      </c>
      <c r="F306" s="81" t="s">
        <v>381</v>
      </c>
      <c r="G306" s="81" t="s">
        <v>2251</v>
      </c>
      <c r="H306" s="81" t="s">
        <v>2348</v>
      </c>
    </row>
    <row r="307" spans="1:8" x14ac:dyDescent="0.3">
      <c r="A307" s="81" t="s">
        <v>746</v>
      </c>
      <c r="B307" s="81" t="s">
        <v>462</v>
      </c>
      <c r="C307" s="81" t="s">
        <v>906</v>
      </c>
      <c r="D307" s="81" t="s">
        <v>3762</v>
      </c>
      <c r="E307" s="81" t="s">
        <v>16</v>
      </c>
      <c r="F307" s="81" t="s">
        <v>382</v>
      </c>
      <c r="G307" s="81" t="s">
        <v>2252</v>
      </c>
      <c r="H307" s="81" t="s">
        <v>2349</v>
      </c>
    </row>
    <row r="308" spans="1:8" x14ac:dyDescent="0.3">
      <c r="A308" s="81" t="s">
        <v>747</v>
      </c>
      <c r="B308" s="81" t="s">
        <v>462</v>
      </c>
      <c r="C308" s="81" t="s">
        <v>906</v>
      </c>
      <c r="D308" s="81" t="s">
        <v>3762</v>
      </c>
      <c r="E308" s="81" t="s">
        <v>16</v>
      </c>
      <c r="F308" s="81" t="s">
        <v>383</v>
      </c>
      <c r="G308" s="81" t="s">
        <v>2253</v>
      </c>
      <c r="H308" s="81" t="s">
        <v>2350</v>
      </c>
    </row>
    <row r="309" spans="1:8" x14ac:dyDescent="0.3">
      <c r="A309" s="81" t="s">
        <v>748</v>
      </c>
      <c r="B309" s="81" t="s">
        <v>578</v>
      </c>
      <c r="C309" s="81" t="s">
        <v>579</v>
      </c>
      <c r="D309" s="81" t="s">
        <v>3763</v>
      </c>
      <c r="E309" s="81" t="s">
        <v>20</v>
      </c>
      <c r="F309" s="81" t="s">
        <v>15</v>
      </c>
      <c r="G309" s="81" t="s">
        <v>2254</v>
      </c>
      <c r="H309" s="81" t="s">
        <v>1501</v>
      </c>
    </row>
    <row r="310" spans="1:8" x14ac:dyDescent="0.3">
      <c r="A310" s="81" t="s">
        <v>749</v>
      </c>
      <c r="B310" s="81" t="s">
        <v>578</v>
      </c>
      <c r="C310" s="81" t="s">
        <v>579</v>
      </c>
      <c r="D310" s="81" t="s">
        <v>3763</v>
      </c>
      <c r="E310" s="81" t="s">
        <v>16</v>
      </c>
      <c r="F310" s="81" t="s">
        <v>368</v>
      </c>
      <c r="G310" s="81" t="s">
        <v>2255</v>
      </c>
      <c r="H310" s="81" t="s">
        <v>2351</v>
      </c>
    </row>
    <row r="311" spans="1:8" x14ac:dyDescent="0.3">
      <c r="A311" s="81" t="s">
        <v>750</v>
      </c>
      <c r="B311" s="81" t="s">
        <v>578</v>
      </c>
      <c r="C311" s="81" t="s">
        <v>579</v>
      </c>
      <c r="D311" s="81" t="s">
        <v>3763</v>
      </c>
      <c r="E311" s="81" t="s">
        <v>16</v>
      </c>
      <c r="F311" s="81" t="s">
        <v>369</v>
      </c>
      <c r="G311" s="81" t="s">
        <v>2256</v>
      </c>
      <c r="H311" s="81" t="s">
        <v>2352</v>
      </c>
    </row>
    <row r="312" spans="1:8" x14ac:dyDescent="0.3">
      <c r="A312" s="81" t="s">
        <v>751</v>
      </c>
      <c r="B312" s="81" t="s">
        <v>578</v>
      </c>
      <c r="C312" s="81" t="s">
        <v>579</v>
      </c>
      <c r="D312" s="81" t="s">
        <v>3763</v>
      </c>
      <c r="E312" s="81" t="s">
        <v>16</v>
      </c>
      <c r="F312" s="81" t="s">
        <v>370</v>
      </c>
      <c r="G312" s="81" t="s">
        <v>2257</v>
      </c>
      <c r="H312" s="81" t="s">
        <v>2353</v>
      </c>
    </row>
    <row r="313" spans="1:8" x14ac:dyDescent="0.3">
      <c r="A313" s="81" t="s">
        <v>752</v>
      </c>
      <c r="B313" s="81" t="s">
        <v>578</v>
      </c>
      <c r="C313" s="81" t="s">
        <v>579</v>
      </c>
      <c r="D313" s="81" t="s">
        <v>3763</v>
      </c>
      <c r="E313" s="81" t="s">
        <v>16</v>
      </c>
      <c r="F313" s="81" t="s">
        <v>371</v>
      </c>
      <c r="G313" s="81" t="s">
        <v>2258</v>
      </c>
      <c r="H313" s="81" t="s">
        <v>2354</v>
      </c>
    </row>
    <row r="314" spans="1:8" x14ac:dyDescent="0.3">
      <c r="A314" s="81" t="s">
        <v>753</v>
      </c>
      <c r="B314" s="81" t="s">
        <v>578</v>
      </c>
      <c r="C314" s="81" t="s">
        <v>579</v>
      </c>
      <c r="D314" s="81" t="s">
        <v>3763</v>
      </c>
      <c r="E314" s="81" t="s">
        <v>16</v>
      </c>
      <c r="F314" s="81" t="s">
        <v>372</v>
      </c>
      <c r="G314" s="81" t="s">
        <v>2259</v>
      </c>
      <c r="H314" s="81" t="s">
        <v>2355</v>
      </c>
    </row>
    <row r="315" spans="1:8" x14ac:dyDescent="0.3">
      <c r="A315" s="81" t="s">
        <v>754</v>
      </c>
      <c r="B315" s="81" t="s">
        <v>578</v>
      </c>
      <c r="C315" s="81" t="s">
        <v>579</v>
      </c>
      <c r="D315" s="81" t="s">
        <v>3763</v>
      </c>
      <c r="E315" s="81" t="s">
        <v>16</v>
      </c>
      <c r="F315" s="81" t="s">
        <v>373</v>
      </c>
      <c r="G315" s="81" t="s">
        <v>2260</v>
      </c>
      <c r="H315" s="81" t="s">
        <v>2356</v>
      </c>
    </row>
    <row r="316" spans="1:8" x14ac:dyDescent="0.3">
      <c r="A316" s="81" t="s">
        <v>755</v>
      </c>
      <c r="B316" s="81" t="s">
        <v>578</v>
      </c>
      <c r="C316" s="81" t="s">
        <v>579</v>
      </c>
      <c r="D316" s="81" t="s">
        <v>3763</v>
      </c>
      <c r="E316" s="81" t="s">
        <v>16</v>
      </c>
      <c r="F316" s="81" t="s">
        <v>374</v>
      </c>
      <c r="G316" s="81" t="s">
        <v>2261</v>
      </c>
      <c r="H316" s="81" t="s">
        <v>2357</v>
      </c>
    </row>
    <row r="317" spans="1:8" x14ac:dyDescent="0.3">
      <c r="A317" s="81" t="s">
        <v>756</v>
      </c>
      <c r="B317" s="81" t="s">
        <v>578</v>
      </c>
      <c r="C317" s="81" t="s">
        <v>579</v>
      </c>
      <c r="D317" s="81" t="s">
        <v>3763</v>
      </c>
      <c r="E317" s="81" t="s">
        <v>16</v>
      </c>
      <c r="F317" s="81" t="s">
        <v>375</v>
      </c>
      <c r="G317" s="81" t="s">
        <v>2262</v>
      </c>
      <c r="H317" s="81" t="s">
        <v>2358</v>
      </c>
    </row>
    <row r="318" spans="1:8" x14ac:dyDescent="0.3">
      <c r="A318" s="81" t="s">
        <v>757</v>
      </c>
      <c r="B318" s="81" t="s">
        <v>578</v>
      </c>
      <c r="C318" s="81" t="s">
        <v>579</v>
      </c>
      <c r="D318" s="81" t="s">
        <v>3763</v>
      </c>
      <c r="E318" s="81" t="s">
        <v>16</v>
      </c>
      <c r="F318" s="81" t="s">
        <v>376</v>
      </c>
      <c r="G318" s="81" t="s">
        <v>2263</v>
      </c>
      <c r="H318" s="81" t="s">
        <v>2359</v>
      </c>
    </row>
    <row r="319" spans="1:8" x14ac:dyDescent="0.3">
      <c r="A319" s="81" t="s">
        <v>758</v>
      </c>
      <c r="B319" s="81" t="s">
        <v>578</v>
      </c>
      <c r="C319" s="81" t="s">
        <v>579</v>
      </c>
      <c r="D319" s="81" t="s">
        <v>3763</v>
      </c>
      <c r="E319" s="81" t="s">
        <v>16</v>
      </c>
      <c r="F319" s="81" t="s">
        <v>377</v>
      </c>
      <c r="G319" s="81" t="s">
        <v>2264</v>
      </c>
      <c r="H319" s="81" t="s">
        <v>2360</v>
      </c>
    </row>
    <row r="320" spans="1:8" x14ac:dyDescent="0.3">
      <c r="A320" s="81" t="s">
        <v>759</v>
      </c>
      <c r="B320" s="81" t="s">
        <v>578</v>
      </c>
      <c r="C320" s="81" t="s">
        <v>579</v>
      </c>
      <c r="D320" s="81" t="s">
        <v>3763</v>
      </c>
      <c r="E320" s="81" t="s">
        <v>16</v>
      </c>
      <c r="F320" s="81" t="s">
        <v>378</v>
      </c>
      <c r="G320" s="81" t="s">
        <v>2265</v>
      </c>
      <c r="H320" s="81" t="s">
        <v>2361</v>
      </c>
    </row>
    <row r="321" spans="1:8" x14ac:dyDescent="0.3">
      <c r="A321" s="81" t="s">
        <v>760</v>
      </c>
      <c r="B321" s="81" t="s">
        <v>578</v>
      </c>
      <c r="C321" s="81" t="s">
        <v>579</v>
      </c>
      <c r="D321" s="81" t="s">
        <v>3763</v>
      </c>
      <c r="E321" s="81" t="s">
        <v>16</v>
      </c>
      <c r="F321" s="81" t="s">
        <v>379</v>
      </c>
      <c r="G321" s="81" t="s">
        <v>2266</v>
      </c>
      <c r="H321" s="81" t="s">
        <v>2362</v>
      </c>
    </row>
    <row r="322" spans="1:8" x14ac:dyDescent="0.3">
      <c r="A322" s="81" t="s">
        <v>761</v>
      </c>
      <c r="B322" s="81" t="s">
        <v>578</v>
      </c>
      <c r="C322" s="81" t="s">
        <v>579</v>
      </c>
      <c r="D322" s="81" t="s">
        <v>3763</v>
      </c>
      <c r="E322" s="81" t="s">
        <v>16</v>
      </c>
      <c r="F322" s="81" t="s">
        <v>380</v>
      </c>
      <c r="G322" s="81" t="s">
        <v>2267</v>
      </c>
      <c r="H322" s="81" t="s">
        <v>2363</v>
      </c>
    </row>
    <row r="323" spans="1:8" x14ac:dyDescent="0.3">
      <c r="A323" s="81" t="s">
        <v>762</v>
      </c>
      <c r="B323" s="81" t="s">
        <v>578</v>
      </c>
      <c r="C323" s="81" t="s">
        <v>579</v>
      </c>
      <c r="D323" s="81" t="s">
        <v>3763</v>
      </c>
      <c r="E323" s="81" t="s">
        <v>16</v>
      </c>
      <c r="F323" s="81" t="s">
        <v>381</v>
      </c>
      <c r="G323" s="81" t="s">
        <v>2268</v>
      </c>
      <c r="H323" s="81" t="s">
        <v>2364</v>
      </c>
    </row>
    <row r="324" spans="1:8" x14ac:dyDescent="0.3">
      <c r="A324" s="81" t="s">
        <v>763</v>
      </c>
      <c r="B324" s="81" t="s">
        <v>578</v>
      </c>
      <c r="C324" s="81" t="s">
        <v>579</v>
      </c>
      <c r="D324" s="81" t="s">
        <v>3763</v>
      </c>
      <c r="E324" s="81" t="s">
        <v>16</v>
      </c>
      <c r="F324" s="81" t="s">
        <v>382</v>
      </c>
      <c r="G324" s="81" t="s">
        <v>2269</v>
      </c>
      <c r="H324" s="81" t="s">
        <v>2365</v>
      </c>
    </row>
    <row r="325" spans="1:8" x14ac:dyDescent="0.3">
      <c r="A325" s="81" t="s">
        <v>764</v>
      </c>
      <c r="B325" s="81" t="s">
        <v>578</v>
      </c>
      <c r="C325" s="81" t="s">
        <v>579</v>
      </c>
      <c r="D325" s="81" t="s">
        <v>3763</v>
      </c>
      <c r="E325" s="81" t="s">
        <v>16</v>
      </c>
      <c r="F325" s="81" t="s">
        <v>383</v>
      </c>
      <c r="G325" s="81" t="s">
        <v>2270</v>
      </c>
      <c r="H325" s="81" t="s">
        <v>2366</v>
      </c>
    </row>
    <row r="326" spans="1:8" x14ac:dyDescent="0.3">
      <c r="A326" s="81" t="s">
        <v>765</v>
      </c>
      <c r="B326" s="81" t="s">
        <v>578</v>
      </c>
      <c r="C326" s="81" t="s">
        <v>579</v>
      </c>
      <c r="D326" s="81" t="s">
        <v>3763</v>
      </c>
      <c r="E326" s="81" t="s">
        <v>20</v>
      </c>
      <c r="F326" s="81" t="s">
        <v>15</v>
      </c>
      <c r="G326" s="81" t="s">
        <v>2600</v>
      </c>
      <c r="H326" s="81" t="s">
        <v>930</v>
      </c>
    </row>
    <row r="327" spans="1:8" x14ac:dyDescent="0.3">
      <c r="A327" s="81" t="s">
        <v>766</v>
      </c>
      <c r="B327" s="81" t="s">
        <v>933</v>
      </c>
      <c r="C327" s="81" t="s">
        <v>1521</v>
      </c>
      <c r="D327" s="81" t="s">
        <v>933</v>
      </c>
      <c r="E327" s="81" t="s">
        <v>20</v>
      </c>
      <c r="F327" s="81" t="s">
        <v>15</v>
      </c>
      <c r="G327" s="81" t="s">
        <v>2601</v>
      </c>
      <c r="H327" s="81" t="s">
        <v>2602</v>
      </c>
    </row>
    <row r="328" spans="1:8" x14ac:dyDescent="0.3">
      <c r="A328" s="81" t="s">
        <v>767</v>
      </c>
      <c r="B328" s="81" t="s">
        <v>933</v>
      </c>
      <c r="C328" s="81" t="s">
        <v>1521</v>
      </c>
      <c r="D328" s="81" t="s">
        <v>933</v>
      </c>
      <c r="E328" s="81" t="s">
        <v>16</v>
      </c>
      <c r="F328" s="81" t="s">
        <v>368</v>
      </c>
      <c r="G328" s="81" t="s">
        <v>2603</v>
      </c>
      <c r="H328" s="81" t="s">
        <v>2604</v>
      </c>
    </row>
    <row r="329" spans="1:8" x14ac:dyDescent="0.3">
      <c r="A329" s="81" t="s">
        <v>768</v>
      </c>
      <c r="B329" s="81" t="s">
        <v>933</v>
      </c>
      <c r="C329" s="81" t="s">
        <v>1521</v>
      </c>
      <c r="D329" s="81" t="s">
        <v>933</v>
      </c>
      <c r="E329" s="81" t="s">
        <v>16</v>
      </c>
      <c r="F329" s="81" t="s">
        <v>369</v>
      </c>
      <c r="G329" s="81" t="s">
        <v>2605</v>
      </c>
      <c r="H329" s="81" t="s">
        <v>2606</v>
      </c>
    </row>
    <row r="330" spans="1:8" x14ac:dyDescent="0.3">
      <c r="A330" s="81" t="s">
        <v>769</v>
      </c>
      <c r="B330" s="81" t="s">
        <v>933</v>
      </c>
      <c r="C330" s="81" t="s">
        <v>1521</v>
      </c>
      <c r="D330" s="81" t="s">
        <v>933</v>
      </c>
      <c r="E330" s="81" t="s">
        <v>16</v>
      </c>
      <c r="F330" s="81" t="s">
        <v>370</v>
      </c>
      <c r="G330" s="81" t="s">
        <v>2607</v>
      </c>
      <c r="H330" s="81" t="s">
        <v>2608</v>
      </c>
    </row>
    <row r="331" spans="1:8" x14ac:dyDescent="0.3">
      <c r="A331" s="81" t="s">
        <v>770</v>
      </c>
      <c r="B331" s="81" t="s">
        <v>933</v>
      </c>
      <c r="C331" s="81" t="s">
        <v>1521</v>
      </c>
      <c r="D331" s="81" t="s">
        <v>933</v>
      </c>
      <c r="E331" s="81" t="s">
        <v>16</v>
      </c>
      <c r="F331" s="81" t="s">
        <v>371</v>
      </c>
      <c r="G331" s="81" t="s">
        <v>2609</v>
      </c>
      <c r="H331" s="81" t="s">
        <v>2610</v>
      </c>
    </row>
    <row r="332" spans="1:8" x14ac:dyDescent="0.3">
      <c r="A332" s="81" t="s">
        <v>771</v>
      </c>
      <c r="B332" s="81" t="s">
        <v>933</v>
      </c>
      <c r="C332" s="81" t="s">
        <v>1521</v>
      </c>
      <c r="D332" s="81" t="s">
        <v>933</v>
      </c>
      <c r="E332" s="81" t="s">
        <v>16</v>
      </c>
      <c r="F332" s="81" t="s">
        <v>372</v>
      </c>
      <c r="G332" s="81" t="s">
        <v>2611</v>
      </c>
      <c r="H332" s="81" t="s">
        <v>2612</v>
      </c>
    </row>
    <row r="333" spans="1:8" x14ac:dyDescent="0.3">
      <c r="A333" s="81" t="s">
        <v>772</v>
      </c>
      <c r="B333" s="81" t="s">
        <v>933</v>
      </c>
      <c r="C333" s="81" t="s">
        <v>1521</v>
      </c>
      <c r="D333" s="81" t="s">
        <v>933</v>
      </c>
      <c r="E333" s="81" t="s">
        <v>16</v>
      </c>
      <c r="F333" s="81" t="s">
        <v>373</v>
      </c>
      <c r="G333" s="81" t="s">
        <v>2613</v>
      </c>
      <c r="H333" s="81" t="s">
        <v>2614</v>
      </c>
    </row>
    <row r="334" spans="1:8" x14ac:dyDescent="0.3">
      <c r="A334" s="81" t="s">
        <v>773</v>
      </c>
      <c r="B334" s="81" t="s">
        <v>933</v>
      </c>
      <c r="C334" s="81" t="s">
        <v>1521</v>
      </c>
      <c r="D334" s="81" t="s">
        <v>933</v>
      </c>
      <c r="E334" s="81" t="s">
        <v>16</v>
      </c>
      <c r="F334" s="81" t="s">
        <v>374</v>
      </c>
      <c r="G334" s="81" t="s">
        <v>2615</v>
      </c>
      <c r="H334" s="81" t="s">
        <v>2616</v>
      </c>
    </row>
    <row r="335" spans="1:8" x14ac:dyDescent="0.3">
      <c r="A335" s="81" t="s">
        <v>774</v>
      </c>
      <c r="B335" s="81" t="s">
        <v>933</v>
      </c>
      <c r="C335" s="81" t="s">
        <v>1521</v>
      </c>
      <c r="D335" s="81" t="s">
        <v>933</v>
      </c>
      <c r="E335" s="81" t="s">
        <v>16</v>
      </c>
      <c r="F335" s="81" t="s">
        <v>375</v>
      </c>
      <c r="G335" s="81" t="s">
        <v>2617</v>
      </c>
      <c r="H335" s="81" t="s">
        <v>2618</v>
      </c>
    </row>
    <row r="336" spans="1:8" x14ac:dyDescent="0.3">
      <c r="A336" s="81" t="s">
        <v>775</v>
      </c>
      <c r="B336" s="81" t="s">
        <v>933</v>
      </c>
      <c r="C336" s="81" t="s">
        <v>1521</v>
      </c>
      <c r="D336" s="81" t="s">
        <v>933</v>
      </c>
      <c r="E336" s="81" t="s">
        <v>16</v>
      </c>
      <c r="F336" s="81" t="s">
        <v>376</v>
      </c>
      <c r="G336" s="81" t="s">
        <v>2619</v>
      </c>
      <c r="H336" s="81" t="s">
        <v>2620</v>
      </c>
    </row>
    <row r="337" spans="1:8" x14ac:dyDescent="0.3">
      <c r="A337" s="81" t="s">
        <v>776</v>
      </c>
      <c r="B337" s="81" t="s">
        <v>933</v>
      </c>
      <c r="C337" s="81" t="s">
        <v>1521</v>
      </c>
      <c r="D337" s="81" t="s">
        <v>933</v>
      </c>
      <c r="E337" s="81" t="s">
        <v>16</v>
      </c>
      <c r="F337" s="81" t="s">
        <v>377</v>
      </c>
      <c r="G337" s="81" t="s">
        <v>2621</v>
      </c>
      <c r="H337" s="81" t="s">
        <v>2622</v>
      </c>
    </row>
    <row r="338" spans="1:8" x14ac:dyDescent="0.3">
      <c r="A338" s="81" t="s">
        <v>777</v>
      </c>
      <c r="B338" s="81" t="s">
        <v>933</v>
      </c>
      <c r="C338" s="81" t="s">
        <v>1521</v>
      </c>
      <c r="D338" s="81" t="s">
        <v>933</v>
      </c>
      <c r="E338" s="81" t="s">
        <v>16</v>
      </c>
      <c r="F338" s="81" t="s">
        <v>378</v>
      </c>
      <c r="G338" s="81" t="s">
        <v>2623</v>
      </c>
      <c r="H338" s="81" t="s">
        <v>2624</v>
      </c>
    </row>
    <row r="339" spans="1:8" x14ac:dyDescent="0.3">
      <c r="A339" s="81" t="s">
        <v>778</v>
      </c>
      <c r="B339" s="81" t="s">
        <v>933</v>
      </c>
      <c r="C339" s="81" t="s">
        <v>1521</v>
      </c>
      <c r="D339" s="81" t="s">
        <v>933</v>
      </c>
      <c r="E339" s="81" t="s">
        <v>16</v>
      </c>
      <c r="F339" s="81" t="s">
        <v>379</v>
      </c>
      <c r="G339" s="81" t="s">
        <v>2625</v>
      </c>
      <c r="H339" s="81" t="s">
        <v>2626</v>
      </c>
    </row>
    <row r="340" spans="1:8" x14ac:dyDescent="0.3">
      <c r="A340" s="81" t="s">
        <v>779</v>
      </c>
      <c r="B340" s="81" t="s">
        <v>933</v>
      </c>
      <c r="C340" s="81" t="s">
        <v>1521</v>
      </c>
      <c r="D340" s="81" t="s">
        <v>933</v>
      </c>
      <c r="E340" s="81" t="s">
        <v>16</v>
      </c>
      <c r="F340" s="81" t="s">
        <v>380</v>
      </c>
      <c r="G340" s="81" t="s">
        <v>2627</v>
      </c>
      <c r="H340" s="81" t="s">
        <v>2628</v>
      </c>
    </row>
    <row r="341" spans="1:8" x14ac:dyDescent="0.3">
      <c r="A341" s="81" t="s">
        <v>780</v>
      </c>
      <c r="B341" s="81" t="s">
        <v>933</v>
      </c>
      <c r="C341" s="81" t="s">
        <v>1521</v>
      </c>
      <c r="D341" s="81" t="s">
        <v>933</v>
      </c>
      <c r="E341" s="81" t="s">
        <v>16</v>
      </c>
      <c r="F341" s="81" t="s">
        <v>381</v>
      </c>
      <c r="G341" s="81" t="s">
        <v>2629</v>
      </c>
      <c r="H341" s="81" t="s">
        <v>2630</v>
      </c>
    </row>
    <row r="342" spans="1:8" x14ac:dyDescent="0.3">
      <c r="A342" s="81" t="s">
        <v>781</v>
      </c>
      <c r="B342" s="81" t="s">
        <v>933</v>
      </c>
      <c r="C342" s="81" t="s">
        <v>1521</v>
      </c>
      <c r="D342" s="81" t="s">
        <v>933</v>
      </c>
      <c r="E342" s="81" t="s">
        <v>16</v>
      </c>
      <c r="F342" s="81" t="s">
        <v>382</v>
      </c>
      <c r="G342" s="81" t="s">
        <v>2631</v>
      </c>
      <c r="H342" s="81" t="s">
        <v>2632</v>
      </c>
    </row>
    <row r="343" spans="1:8" x14ac:dyDescent="0.3">
      <c r="A343" s="81" t="s">
        <v>782</v>
      </c>
      <c r="B343" s="81" t="s">
        <v>933</v>
      </c>
      <c r="C343" s="81" t="s">
        <v>1521</v>
      </c>
      <c r="D343" s="81" t="s">
        <v>933</v>
      </c>
      <c r="E343" s="81" t="s">
        <v>16</v>
      </c>
      <c r="F343" s="81" t="s">
        <v>383</v>
      </c>
      <c r="G343" s="81" t="s">
        <v>2633</v>
      </c>
      <c r="H343" s="81" t="s">
        <v>2634</v>
      </c>
    </row>
    <row r="344" spans="1:8" x14ac:dyDescent="0.3">
      <c r="A344" s="81" t="s">
        <v>783</v>
      </c>
      <c r="B344" s="81" t="s">
        <v>578</v>
      </c>
      <c r="C344" s="81" t="s">
        <v>832</v>
      </c>
      <c r="D344" s="81" t="s">
        <v>3763</v>
      </c>
      <c r="E344" s="81" t="s">
        <v>20</v>
      </c>
      <c r="F344" s="81" t="s">
        <v>15</v>
      </c>
      <c r="G344" s="81" t="s">
        <v>2635</v>
      </c>
      <c r="H344" s="81" t="s">
        <v>1520</v>
      </c>
    </row>
    <row r="345" spans="1:8" x14ac:dyDescent="0.3">
      <c r="A345" s="81" t="s">
        <v>784</v>
      </c>
      <c r="B345" s="81" t="s">
        <v>578</v>
      </c>
      <c r="C345" s="81" t="s">
        <v>832</v>
      </c>
      <c r="D345" s="81" t="s">
        <v>3763</v>
      </c>
      <c r="E345" s="81" t="s">
        <v>16</v>
      </c>
      <c r="F345" s="81" t="s">
        <v>368</v>
      </c>
      <c r="G345" s="81" t="s">
        <v>2636</v>
      </c>
      <c r="H345" s="81" t="s">
        <v>2637</v>
      </c>
    </row>
    <row r="346" spans="1:8" x14ac:dyDescent="0.3">
      <c r="A346" s="81" t="s">
        <v>785</v>
      </c>
      <c r="B346" s="81" t="s">
        <v>578</v>
      </c>
      <c r="C346" s="81" t="s">
        <v>832</v>
      </c>
      <c r="D346" s="81" t="s">
        <v>3763</v>
      </c>
      <c r="E346" s="81" t="s">
        <v>16</v>
      </c>
      <c r="F346" s="81" t="s">
        <v>369</v>
      </c>
      <c r="G346" s="81" t="s">
        <v>2638</v>
      </c>
      <c r="H346" s="81" t="s">
        <v>2639</v>
      </c>
    </row>
    <row r="347" spans="1:8" x14ac:dyDescent="0.3">
      <c r="A347" s="81" t="s">
        <v>786</v>
      </c>
      <c r="B347" s="81" t="s">
        <v>578</v>
      </c>
      <c r="C347" s="81" t="s">
        <v>832</v>
      </c>
      <c r="D347" s="81" t="s">
        <v>3763</v>
      </c>
      <c r="E347" s="81" t="s">
        <v>16</v>
      </c>
      <c r="F347" s="81" t="s">
        <v>370</v>
      </c>
      <c r="G347" s="81" t="s">
        <v>2640</v>
      </c>
      <c r="H347" s="81" t="s">
        <v>2641</v>
      </c>
    </row>
    <row r="348" spans="1:8" x14ac:dyDescent="0.3">
      <c r="A348" s="81" t="s">
        <v>787</v>
      </c>
      <c r="B348" s="81" t="s">
        <v>578</v>
      </c>
      <c r="C348" s="81" t="s">
        <v>832</v>
      </c>
      <c r="D348" s="81" t="s">
        <v>3763</v>
      </c>
      <c r="E348" s="81" t="s">
        <v>16</v>
      </c>
      <c r="F348" s="81" t="s">
        <v>371</v>
      </c>
      <c r="G348" s="81" t="s">
        <v>2642</v>
      </c>
      <c r="H348" s="81" t="s">
        <v>2643</v>
      </c>
    </row>
    <row r="349" spans="1:8" x14ac:dyDescent="0.3">
      <c r="A349" s="81" t="s">
        <v>788</v>
      </c>
      <c r="B349" s="81" t="s">
        <v>578</v>
      </c>
      <c r="C349" s="81" t="s">
        <v>832</v>
      </c>
      <c r="D349" s="81" t="s">
        <v>3763</v>
      </c>
      <c r="E349" s="81" t="s">
        <v>16</v>
      </c>
      <c r="F349" s="81" t="s">
        <v>372</v>
      </c>
      <c r="G349" s="81" t="s">
        <v>2644</v>
      </c>
      <c r="H349" s="81" t="s">
        <v>2645</v>
      </c>
    </row>
    <row r="350" spans="1:8" x14ac:dyDescent="0.3">
      <c r="A350" s="81" t="s">
        <v>789</v>
      </c>
      <c r="B350" s="81" t="s">
        <v>578</v>
      </c>
      <c r="C350" s="81" t="s">
        <v>832</v>
      </c>
      <c r="D350" s="81" t="s">
        <v>3763</v>
      </c>
      <c r="E350" s="81" t="s">
        <v>16</v>
      </c>
      <c r="F350" s="81" t="s">
        <v>373</v>
      </c>
      <c r="G350" s="81" t="s">
        <v>2646</v>
      </c>
      <c r="H350" s="81" t="s">
        <v>2647</v>
      </c>
    </row>
    <row r="351" spans="1:8" x14ac:dyDescent="0.3">
      <c r="A351" s="81" t="s">
        <v>790</v>
      </c>
      <c r="B351" s="81" t="s">
        <v>578</v>
      </c>
      <c r="C351" s="81" t="s">
        <v>832</v>
      </c>
      <c r="D351" s="81" t="s">
        <v>3763</v>
      </c>
      <c r="E351" s="81" t="s">
        <v>16</v>
      </c>
      <c r="F351" s="81" t="s">
        <v>374</v>
      </c>
      <c r="G351" s="81" t="s">
        <v>2648</v>
      </c>
      <c r="H351" s="81" t="s">
        <v>2649</v>
      </c>
    </row>
    <row r="352" spans="1:8" x14ac:dyDescent="0.3">
      <c r="A352" s="81" t="s">
        <v>791</v>
      </c>
      <c r="B352" s="81" t="s">
        <v>578</v>
      </c>
      <c r="C352" s="81" t="s">
        <v>832</v>
      </c>
      <c r="D352" s="81" t="s">
        <v>3763</v>
      </c>
      <c r="E352" s="81" t="s">
        <v>16</v>
      </c>
      <c r="F352" s="81" t="s">
        <v>375</v>
      </c>
      <c r="G352" s="81" t="s">
        <v>2650</v>
      </c>
      <c r="H352" s="81" t="s">
        <v>2651</v>
      </c>
    </row>
    <row r="353" spans="1:8" x14ac:dyDescent="0.3">
      <c r="A353" s="81" t="s">
        <v>792</v>
      </c>
      <c r="B353" s="81" t="s">
        <v>578</v>
      </c>
      <c r="C353" s="81" t="s">
        <v>832</v>
      </c>
      <c r="D353" s="81" t="s">
        <v>3763</v>
      </c>
      <c r="E353" s="81" t="s">
        <v>16</v>
      </c>
      <c r="F353" s="81" t="s">
        <v>376</v>
      </c>
      <c r="G353" s="81" t="s">
        <v>2652</v>
      </c>
      <c r="H353" s="81" t="s">
        <v>2653</v>
      </c>
    </row>
    <row r="354" spans="1:8" x14ac:dyDescent="0.3">
      <c r="A354" s="81" t="s">
        <v>793</v>
      </c>
      <c r="B354" s="81" t="s">
        <v>578</v>
      </c>
      <c r="C354" s="81" t="s">
        <v>832</v>
      </c>
      <c r="D354" s="81" t="s">
        <v>3763</v>
      </c>
      <c r="E354" s="81" t="s">
        <v>16</v>
      </c>
      <c r="F354" s="81" t="s">
        <v>377</v>
      </c>
      <c r="G354" s="81" t="s">
        <v>2654</v>
      </c>
      <c r="H354" s="81" t="s">
        <v>2655</v>
      </c>
    </row>
    <row r="355" spans="1:8" x14ac:dyDescent="0.3">
      <c r="A355" s="81" t="s">
        <v>794</v>
      </c>
      <c r="B355" s="81" t="s">
        <v>578</v>
      </c>
      <c r="C355" s="81" t="s">
        <v>832</v>
      </c>
      <c r="D355" s="81" t="s">
        <v>3763</v>
      </c>
      <c r="E355" s="81" t="s">
        <v>16</v>
      </c>
      <c r="F355" s="81" t="s">
        <v>378</v>
      </c>
      <c r="G355" s="81" t="s">
        <v>2656</v>
      </c>
      <c r="H355" s="81" t="s">
        <v>2657</v>
      </c>
    </row>
    <row r="356" spans="1:8" x14ac:dyDescent="0.3">
      <c r="A356" s="81" t="s">
        <v>795</v>
      </c>
      <c r="B356" s="81" t="s">
        <v>578</v>
      </c>
      <c r="C356" s="81" t="s">
        <v>832</v>
      </c>
      <c r="D356" s="81" t="s">
        <v>3763</v>
      </c>
      <c r="E356" s="81" t="s">
        <v>16</v>
      </c>
      <c r="F356" s="81" t="s">
        <v>379</v>
      </c>
      <c r="G356" s="81" t="s">
        <v>2658</v>
      </c>
      <c r="H356" s="81" t="s">
        <v>2659</v>
      </c>
    </row>
    <row r="357" spans="1:8" x14ac:dyDescent="0.3">
      <c r="A357" s="81" t="s">
        <v>796</v>
      </c>
      <c r="B357" s="81" t="s">
        <v>578</v>
      </c>
      <c r="C357" s="81" t="s">
        <v>832</v>
      </c>
      <c r="D357" s="81" t="s">
        <v>3763</v>
      </c>
      <c r="E357" s="81" t="s">
        <v>16</v>
      </c>
      <c r="F357" s="81" t="s">
        <v>380</v>
      </c>
      <c r="G357" s="81" t="s">
        <v>2660</v>
      </c>
      <c r="H357" s="81" t="s">
        <v>2661</v>
      </c>
    </row>
    <row r="358" spans="1:8" x14ac:dyDescent="0.3">
      <c r="A358" s="81" t="s">
        <v>797</v>
      </c>
      <c r="B358" s="81" t="s">
        <v>578</v>
      </c>
      <c r="C358" s="81" t="s">
        <v>832</v>
      </c>
      <c r="D358" s="81" t="s">
        <v>3763</v>
      </c>
      <c r="E358" s="81" t="s">
        <v>16</v>
      </c>
      <c r="F358" s="81" t="s">
        <v>381</v>
      </c>
      <c r="G358" s="81" t="s">
        <v>2662</v>
      </c>
      <c r="H358" s="81" t="s">
        <v>2663</v>
      </c>
    </row>
    <row r="359" spans="1:8" x14ac:dyDescent="0.3">
      <c r="A359" s="81" t="s">
        <v>798</v>
      </c>
      <c r="B359" s="81" t="s">
        <v>578</v>
      </c>
      <c r="C359" s="81" t="s">
        <v>832</v>
      </c>
      <c r="D359" s="81" t="s">
        <v>3763</v>
      </c>
      <c r="E359" s="81" t="s">
        <v>16</v>
      </c>
      <c r="F359" s="81" t="s">
        <v>382</v>
      </c>
      <c r="G359" s="81" t="s">
        <v>2664</v>
      </c>
      <c r="H359" s="81" t="s">
        <v>2665</v>
      </c>
    </row>
    <row r="360" spans="1:8" x14ac:dyDescent="0.3">
      <c r="A360" s="81" t="s">
        <v>799</v>
      </c>
      <c r="B360" s="81" t="s">
        <v>578</v>
      </c>
      <c r="C360" s="81" t="s">
        <v>832</v>
      </c>
      <c r="D360" s="81" t="s">
        <v>3763</v>
      </c>
      <c r="E360" s="81" t="s">
        <v>16</v>
      </c>
      <c r="F360" s="81" t="s">
        <v>383</v>
      </c>
      <c r="G360" s="81" t="s">
        <v>2666</v>
      </c>
      <c r="H360" s="81" t="s">
        <v>2667</v>
      </c>
    </row>
    <row r="361" spans="1:8" x14ac:dyDescent="0.3">
      <c r="A361" s="81" t="s">
        <v>800</v>
      </c>
      <c r="B361" s="81" t="s">
        <v>578</v>
      </c>
      <c r="C361" s="81" t="s">
        <v>1010</v>
      </c>
      <c r="D361" s="81" t="s">
        <v>3763</v>
      </c>
      <c r="E361" s="81" t="s">
        <v>20</v>
      </c>
      <c r="F361" s="81" t="s">
        <v>15</v>
      </c>
      <c r="G361" s="81" t="s">
        <v>2668</v>
      </c>
      <c r="H361" s="81" t="s">
        <v>1013</v>
      </c>
    </row>
    <row r="362" spans="1:8" x14ac:dyDescent="0.3">
      <c r="A362" s="81" t="s">
        <v>801</v>
      </c>
      <c r="B362" s="81" t="s">
        <v>578</v>
      </c>
      <c r="C362" s="81" t="s">
        <v>1010</v>
      </c>
      <c r="D362" s="81" t="s">
        <v>3763</v>
      </c>
      <c r="E362" s="81" t="s">
        <v>20</v>
      </c>
      <c r="F362" s="81" t="s">
        <v>15</v>
      </c>
      <c r="G362" s="81" t="s">
        <v>2669</v>
      </c>
      <c r="H362" s="81" t="s">
        <v>1015</v>
      </c>
    </row>
    <row r="363" spans="1:8" x14ac:dyDescent="0.3">
      <c r="A363" s="81" t="s">
        <v>802</v>
      </c>
      <c r="B363" s="81" t="s">
        <v>462</v>
      </c>
      <c r="C363" s="81" t="s">
        <v>1018</v>
      </c>
      <c r="D363" s="81" t="s">
        <v>3783</v>
      </c>
      <c r="E363" s="81" t="s">
        <v>20</v>
      </c>
      <c r="F363" s="81" t="s">
        <v>15</v>
      </c>
      <c r="G363" s="81" t="s">
        <v>2670</v>
      </c>
      <c r="H363" s="81" t="s">
        <v>1020</v>
      </c>
    </row>
    <row r="364" spans="1:8" x14ac:dyDescent="0.3">
      <c r="A364" s="81" t="s">
        <v>803</v>
      </c>
      <c r="B364" s="81" t="s">
        <v>574</v>
      </c>
      <c r="C364" s="81" t="s">
        <v>1021</v>
      </c>
      <c r="D364" s="81" t="s">
        <v>3784</v>
      </c>
      <c r="E364" s="81" t="s">
        <v>20</v>
      </c>
      <c r="F364" s="81" t="s">
        <v>15</v>
      </c>
      <c r="G364" s="81" t="s">
        <v>2671</v>
      </c>
      <c r="H364" s="81" t="s">
        <v>1022</v>
      </c>
    </row>
    <row r="365" spans="1:8" x14ac:dyDescent="0.3">
      <c r="A365" s="81" t="s">
        <v>804</v>
      </c>
      <c r="B365" s="81" t="s">
        <v>574</v>
      </c>
      <c r="C365" s="81" t="s">
        <v>1021</v>
      </c>
      <c r="D365" s="81" t="s">
        <v>3784</v>
      </c>
      <c r="E365" s="81" t="s">
        <v>16</v>
      </c>
      <c r="F365" s="81" t="s">
        <v>368</v>
      </c>
      <c r="G365" s="81" t="s">
        <v>2672</v>
      </c>
      <c r="H365" s="81" t="s">
        <v>2673</v>
      </c>
    </row>
    <row r="366" spans="1:8" x14ac:dyDescent="0.3">
      <c r="A366" s="81" t="s">
        <v>805</v>
      </c>
      <c r="B366" s="81" t="s">
        <v>574</v>
      </c>
      <c r="C366" s="81" t="s">
        <v>1021</v>
      </c>
      <c r="D366" s="81" t="s">
        <v>3784</v>
      </c>
      <c r="E366" s="81" t="s">
        <v>16</v>
      </c>
      <c r="F366" s="81" t="s">
        <v>369</v>
      </c>
      <c r="G366" s="81" t="s">
        <v>2674</v>
      </c>
      <c r="H366" s="81" t="s">
        <v>2675</v>
      </c>
    </row>
    <row r="367" spans="1:8" x14ac:dyDescent="0.3">
      <c r="A367" s="81" t="s">
        <v>806</v>
      </c>
      <c r="B367" s="81" t="s">
        <v>574</v>
      </c>
      <c r="C367" s="81" t="s">
        <v>1021</v>
      </c>
      <c r="D367" s="81" t="s">
        <v>3784</v>
      </c>
      <c r="E367" s="81" t="s">
        <v>16</v>
      </c>
      <c r="F367" s="81" t="s">
        <v>370</v>
      </c>
      <c r="G367" s="81" t="s">
        <v>2676</v>
      </c>
      <c r="H367" s="81" t="s">
        <v>2677</v>
      </c>
    </row>
    <row r="368" spans="1:8" x14ac:dyDescent="0.3">
      <c r="A368" s="81" t="s">
        <v>807</v>
      </c>
      <c r="B368" s="81" t="s">
        <v>574</v>
      </c>
      <c r="C368" s="81" t="s">
        <v>1021</v>
      </c>
      <c r="D368" s="81" t="s">
        <v>3784</v>
      </c>
      <c r="E368" s="81" t="s">
        <v>16</v>
      </c>
      <c r="F368" s="81" t="s">
        <v>371</v>
      </c>
      <c r="G368" s="81" t="s">
        <v>2678</v>
      </c>
      <c r="H368" s="81" t="s">
        <v>2679</v>
      </c>
    </row>
    <row r="369" spans="1:8" x14ac:dyDescent="0.3">
      <c r="A369" s="81" t="s">
        <v>808</v>
      </c>
      <c r="B369" s="81" t="s">
        <v>574</v>
      </c>
      <c r="C369" s="81" t="s">
        <v>1021</v>
      </c>
      <c r="D369" s="81" t="s">
        <v>3784</v>
      </c>
      <c r="E369" s="81" t="s">
        <v>16</v>
      </c>
      <c r="F369" s="81" t="s">
        <v>372</v>
      </c>
      <c r="G369" s="81" t="s">
        <v>2680</v>
      </c>
      <c r="H369" s="81" t="s">
        <v>2681</v>
      </c>
    </row>
    <row r="370" spans="1:8" x14ac:dyDescent="0.3">
      <c r="A370" s="81" t="s">
        <v>809</v>
      </c>
      <c r="B370" s="81" t="s">
        <v>574</v>
      </c>
      <c r="C370" s="81" t="s">
        <v>1021</v>
      </c>
      <c r="D370" s="81" t="s">
        <v>3784</v>
      </c>
      <c r="E370" s="81" t="s">
        <v>16</v>
      </c>
      <c r="F370" s="81" t="s">
        <v>373</v>
      </c>
      <c r="G370" s="81" t="s">
        <v>2682</v>
      </c>
      <c r="H370" s="81" t="s">
        <v>2683</v>
      </c>
    </row>
    <row r="371" spans="1:8" x14ac:dyDescent="0.3">
      <c r="A371" s="81" t="s">
        <v>810</v>
      </c>
      <c r="B371" s="81" t="s">
        <v>574</v>
      </c>
      <c r="C371" s="81" t="s">
        <v>1021</v>
      </c>
      <c r="D371" s="81" t="s">
        <v>3784</v>
      </c>
      <c r="E371" s="81" t="s">
        <v>16</v>
      </c>
      <c r="F371" s="81" t="s">
        <v>374</v>
      </c>
      <c r="G371" s="81" t="s">
        <v>2684</v>
      </c>
      <c r="H371" s="81" t="s">
        <v>2685</v>
      </c>
    </row>
    <row r="372" spans="1:8" x14ac:dyDescent="0.3">
      <c r="A372" s="81" t="s">
        <v>811</v>
      </c>
      <c r="B372" s="81" t="s">
        <v>574</v>
      </c>
      <c r="C372" s="81" t="s">
        <v>1021</v>
      </c>
      <c r="D372" s="81" t="s">
        <v>3784</v>
      </c>
      <c r="E372" s="81" t="s">
        <v>16</v>
      </c>
      <c r="F372" s="81" t="s">
        <v>375</v>
      </c>
      <c r="G372" s="81" t="s">
        <v>2686</v>
      </c>
      <c r="H372" s="81" t="s">
        <v>2687</v>
      </c>
    </row>
    <row r="373" spans="1:8" x14ac:dyDescent="0.3">
      <c r="A373" s="81" t="s">
        <v>812</v>
      </c>
      <c r="B373" s="81" t="s">
        <v>574</v>
      </c>
      <c r="C373" s="81" t="s">
        <v>1021</v>
      </c>
      <c r="D373" s="81" t="s">
        <v>3784</v>
      </c>
      <c r="E373" s="81" t="s">
        <v>16</v>
      </c>
      <c r="F373" s="81" t="s">
        <v>376</v>
      </c>
      <c r="G373" s="81" t="s">
        <v>2688</v>
      </c>
      <c r="H373" s="81" t="s">
        <v>2689</v>
      </c>
    </row>
    <row r="374" spans="1:8" x14ac:dyDescent="0.3">
      <c r="A374" s="81" t="s">
        <v>813</v>
      </c>
      <c r="B374" s="81" t="s">
        <v>574</v>
      </c>
      <c r="C374" s="81" t="s">
        <v>1021</v>
      </c>
      <c r="D374" s="81" t="s">
        <v>3784</v>
      </c>
      <c r="E374" s="81" t="s">
        <v>16</v>
      </c>
      <c r="F374" s="81" t="s">
        <v>377</v>
      </c>
      <c r="G374" s="81" t="s">
        <v>2690</v>
      </c>
      <c r="H374" s="81" t="s">
        <v>2691</v>
      </c>
    </row>
    <row r="375" spans="1:8" x14ac:dyDescent="0.3">
      <c r="A375" s="81" t="s">
        <v>814</v>
      </c>
      <c r="B375" s="81" t="s">
        <v>574</v>
      </c>
      <c r="C375" s="81" t="s">
        <v>1021</v>
      </c>
      <c r="D375" s="81" t="s">
        <v>3784</v>
      </c>
      <c r="E375" s="81" t="s">
        <v>16</v>
      </c>
      <c r="F375" s="81" t="s">
        <v>378</v>
      </c>
      <c r="G375" s="81" t="s">
        <v>2692</v>
      </c>
      <c r="H375" s="81" t="s">
        <v>2693</v>
      </c>
    </row>
    <row r="376" spans="1:8" x14ac:dyDescent="0.3">
      <c r="A376" s="81" t="s">
        <v>815</v>
      </c>
      <c r="B376" s="81" t="s">
        <v>574</v>
      </c>
      <c r="C376" s="81" t="s">
        <v>1021</v>
      </c>
      <c r="D376" s="81" t="s">
        <v>3784</v>
      </c>
      <c r="E376" s="81" t="s">
        <v>16</v>
      </c>
      <c r="F376" s="81" t="s">
        <v>379</v>
      </c>
      <c r="G376" s="81" t="s">
        <v>2694</v>
      </c>
      <c r="H376" s="81" t="s">
        <v>2695</v>
      </c>
    </row>
    <row r="377" spans="1:8" x14ac:dyDescent="0.3">
      <c r="A377" s="81" t="s">
        <v>816</v>
      </c>
      <c r="B377" s="81" t="s">
        <v>574</v>
      </c>
      <c r="C377" s="81" t="s">
        <v>1021</v>
      </c>
      <c r="D377" s="81" t="s">
        <v>3784</v>
      </c>
      <c r="E377" s="81" t="s">
        <v>16</v>
      </c>
      <c r="F377" s="81" t="s">
        <v>380</v>
      </c>
      <c r="G377" s="81" t="s">
        <v>2696</v>
      </c>
      <c r="H377" s="81" t="s">
        <v>2697</v>
      </c>
    </row>
    <row r="378" spans="1:8" x14ac:dyDescent="0.3">
      <c r="A378" s="81" t="s">
        <v>817</v>
      </c>
      <c r="B378" s="81" t="s">
        <v>574</v>
      </c>
      <c r="C378" s="81" t="s">
        <v>1021</v>
      </c>
      <c r="D378" s="81" t="s">
        <v>3784</v>
      </c>
      <c r="E378" s="81" t="s">
        <v>16</v>
      </c>
      <c r="F378" s="81" t="s">
        <v>381</v>
      </c>
      <c r="G378" s="81" t="s">
        <v>2698</v>
      </c>
      <c r="H378" s="81" t="s">
        <v>2699</v>
      </c>
    </row>
    <row r="379" spans="1:8" x14ac:dyDescent="0.3">
      <c r="A379" s="81" t="s">
        <v>852</v>
      </c>
      <c r="B379" s="81" t="s">
        <v>574</v>
      </c>
      <c r="C379" s="81" t="s">
        <v>1021</v>
      </c>
      <c r="D379" s="81" t="s">
        <v>3784</v>
      </c>
      <c r="E379" s="81" t="s">
        <v>16</v>
      </c>
      <c r="F379" s="81" t="s">
        <v>382</v>
      </c>
      <c r="G379" s="81" t="s">
        <v>2700</v>
      </c>
      <c r="H379" s="81" t="s">
        <v>2701</v>
      </c>
    </row>
    <row r="380" spans="1:8" x14ac:dyDescent="0.3">
      <c r="A380" s="81" t="s">
        <v>937</v>
      </c>
      <c r="B380" s="81" t="s">
        <v>574</v>
      </c>
      <c r="C380" s="81" t="s">
        <v>1021</v>
      </c>
      <c r="D380" s="81" t="s">
        <v>3784</v>
      </c>
      <c r="E380" s="81" t="s">
        <v>16</v>
      </c>
      <c r="F380" s="81" t="s">
        <v>383</v>
      </c>
      <c r="G380" s="81" t="s">
        <v>2702</v>
      </c>
      <c r="H380" s="81" t="s">
        <v>2703</v>
      </c>
    </row>
    <row r="381" spans="1:8" x14ac:dyDescent="0.3">
      <c r="A381" s="81" t="s">
        <v>938</v>
      </c>
      <c r="B381" s="81" t="s">
        <v>1030</v>
      </c>
      <c r="C381" s="81" t="s">
        <v>1028</v>
      </c>
      <c r="D381" s="81" t="s">
        <v>1029</v>
      </c>
      <c r="E381" s="81" t="s">
        <v>20</v>
      </c>
      <c r="F381" s="81" t="s">
        <v>15</v>
      </c>
      <c r="G381" s="81" t="s">
        <v>2704</v>
      </c>
      <c r="H381" s="81" t="s">
        <v>1024</v>
      </c>
    </row>
    <row r="382" spans="1:8" x14ac:dyDescent="0.3">
      <c r="A382" s="81" t="s">
        <v>939</v>
      </c>
      <c r="B382" s="81" t="s">
        <v>1030</v>
      </c>
      <c r="C382" s="81" t="s">
        <v>1028</v>
      </c>
      <c r="D382" s="81" t="s">
        <v>1029</v>
      </c>
      <c r="E382" s="81" t="s">
        <v>16</v>
      </c>
      <c r="F382" s="81" t="s">
        <v>368</v>
      </c>
      <c r="G382" s="81" t="s">
        <v>2705</v>
      </c>
      <c r="H382" s="81" t="s">
        <v>423</v>
      </c>
    </row>
    <row r="383" spans="1:8" x14ac:dyDescent="0.3">
      <c r="A383" s="81" t="s">
        <v>940</v>
      </c>
      <c r="B383" s="81" t="s">
        <v>1030</v>
      </c>
      <c r="C383" s="81" t="s">
        <v>1028</v>
      </c>
      <c r="D383" s="81" t="s">
        <v>1029</v>
      </c>
      <c r="E383" s="81" t="s">
        <v>16</v>
      </c>
      <c r="F383" s="81" t="s">
        <v>369</v>
      </c>
      <c r="G383" s="81" t="s">
        <v>2706</v>
      </c>
      <c r="H383" s="81" t="s">
        <v>423</v>
      </c>
    </row>
    <row r="384" spans="1:8" x14ac:dyDescent="0.3">
      <c r="A384" s="81" t="s">
        <v>941</v>
      </c>
      <c r="B384" s="81" t="s">
        <v>1030</v>
      </c>
      <c r="C384" s="81" t="s">
        <v>1028</v>
      </c>
      <c r="D384" s="81" t="s">
        <v>1029</v>
      </c>
      <c r="E384" s="81" t="s">
        <v>16</v>
      </c>
      <c r="F384" s="81" t="s">
        <v>370</v>
      </c>
      <c r="G384" s="81" t="s">
        <v>2707</v>
      </c>
      <c r="H384" s="81" t="s">
        <v>423</v>
      </c>
    </row>
    <row r="385" spans="1:8" x14ac:dyDescent="0.3">
      <c r="A385" s="81" t="s">
        <v>942</v>
      </c>
      <c r="B385" s="81" t="s">
        <v>1030</v>
      </c>
      <c r="C385" s="81" t="s">
        <v>1028</v>
      </c>
      <c r="D385" s="81" t="s">
        <v>1029</v>
      </c>
      <c r="E385" s="81" t="s">
        <v>16</v>
      </c>
      <c r="F385" s="81" t="s">
        <v>371</v>
      </c>
      <c r="G385" s="81" t="s">
        <v>2708</v>
      </c>
      <c r="H385" s="81" t="s">
        <v>423</v>
      </c>
    </row>
    <row r="386" spans="1:8" x14ac:dyDescent="0.3">
      <c r="A386" s="81" t="s">
        <v>943</v>
      </c>
      <c r="B386" s="81" t="s">
        <v>1030</v>
      </c>
      <c r="C386" s="81" t="s">
        <v>1028</v>
      </c>
      <c r="D386" s="81" t="s">
        <v>1029</v>
      </c>
      <c r="E386" s="81" t="s">
        <v>16</v>
      </c>
      <c r="F386" s="81" t="s">
        <v>372</v>
      </c>
      <c r="G386" s="81" t="s">
        <v>2709</v>
      </c>
      <c r="H386" s="81" t="s">
        <v>423</v>
      </c>
    </row>
    <row r="387" spans="1:8" x14ac:dyDescent="0.3">
      <c r="A387" s="81" t="s">
        <v>944</v>
      </c>
      <c r="B387" s="81" t="s">
        <v>1030</v>
      </c>
      <c r="C387" s="81" t="s">
        <v>1028</v>
      </c>
      <c r="D387" s="81" t="s">
        <v>1029</v>
      </c>
      <c r="E387" s="81" t="s">
        <v>16</v>
      </c>
      <c r="F387" s="81" t="s">
        <v>373</v>
      </c>
      <c r="G387" s="81" t="s">
        <v>2710</v>
      </c>
      <c r="H387" s="81" t="s">
        <v>423</v>
      </c>
    </row>
    <row r="388" spans="1:8" x14ac:dyDescent="0.3">
      <c r="A388" s="81" t="s">
        <v>945</v>
      </c>
      <c r="B388" s="81" t="s">
        <v>1030</v>
      </c>
      <c r="C388" s="81" t="s">
        <v>1028</v>
      </c>
      <c r="D388" s="81" t="s">
        <v>1029</v>
      </c>
      <c r="E388" s="81" t="s">
        <v>16</v>
      </c>
      <c r="F388" s="81" t="s">
        <v>374</v>
      </c>
      <c r="G388" s="81" t="s">
        <v>2711</v>
      </c>
      <c r="H388" s="81" t="s">
        <v>423</v>
      </c>
    </row>
    <row r="389" spans="1:8" x14ac:dyDescent="0.3">
      <c r="A389" s="81" t="s">
        <v>946</v>
      </c>
      <c r="B389" s="81" t="s">
        <v>1030</v>
      </c>
      <c r="C389" s="81" t="s">
        <v>1028</v>
      </c>
      <c r="D389" s="81" t="s">
        <v>1029</v>
      </c>
      <c r="E389" s="81" t="s">
        <v>16</v>
      </c>
      <c r="F389" s="81" t="s">
        <v>375</v>
      </c>
      <c r="G389" s="81" t="s">
        <v>2712</v>
      </c>
      <c r="H389" s="81" t="s">
        <v>423</v>
      </c>
    </row>
    <row r="390" spans="1:8" x14ac:dyDescent="0.3">
      <c r="A390" s="81" t="s">
        <v>947</v>
      </c>
      <c r="B390" s="81" t="s">
        <v>1030</v>
      </c>
      <c r="C390" s="81" t="s">
        <v>1028</v>
      </c>
      <c r="D390" s="81" t="s">
        <v>1029</v>
      </c>
      <c r="E390" s="81" t="s">
        <v>16</v>
      </c>
      <c r="F390" s="81" t="s">
        <v>376</v>
      </c>
      <c r="G390" s="81" t="s">
        <v>2713</v>
      </c>
      <c r="H390" s="81" t="s">
        <v>423</v>
      </c>
    </row>
    <row r="391" spans="1:8" x14ac:dyDescent="0.3">
      <c r="A391" s="81" t="s">
        <v>948</v>
      </c>
      <c r="B391" s="81" t="s">
        <v>1030</v>
      </c>
      <c r="C391" s="81" t="s">
        <v>1028</v>
      </c>
      <c r="D391" s="81" t="s">
        <v>1029</v>
      </c>
      <c r="E391" s="81" t="s">
        <v>16</v>
      </c>
      <c r="F391" s="81" t="s">
        <v>377</v>
      </c>
      <c r="G391" s="81" t="s">
        <v>2714</v>
      </c>
      <c r="H391" s="81" t="s">
        <v>423</v>
      </c>
    </row>
    <row r="392" spans="1:8" x14ac:dyDescent="0.3">
      <c r="A392" s="81" t="s">
        <v>949</v>
      </c>
      <c r="B392" s="81" t="s">
        <v>1030</v>
      </c>
      <c r="C392" s="81" t="s">
        <v>1028</v>
      </c>
      <c r="D392" s="81" t="s">
        <v>1029</v>
      </c>
      <c r="E392" s="81" t="s">
        <v>16</v>
      </c>
      <c r="F392" s="81" t="s">
        <v>378</v>
      </c>
      <c r="G392" s="81" t="s">
        <v>2715</v>
      </c>
      <c r="H392" s="81" t="s">
        <v>423</v>
      </c>
    </row>
    <row r="393" spans="1:8" x14ac:dyDescent="0.3">
      <c r="A393" s="81" t="s">
        <v>950</v>
      </c>
      <c r="B393" s="81" t="s">
        <v>1030</v>
      </c>
      <c r="C393" s="81" t="s">
        <v>1028</v>
      </c>
      <c r="D393" s="81" t="s">
        <v>1029</v>
      </c>
      <c r="E393" s="81" t="s">
        <v>16</v>
      </c>
      <c r="F393" s="81" t="s">
        <v>379</v>
      </c>
      <c r="G393" s="81" t="s">
        <v>2716</v>
      </c>
      <c r="H393" s="81" t="s">
        <v>423</v>
      </c>
    </row>
    <row r="394" spans="1:8" x14ac:dyDescent="0.3">
      <c r="A394" s="81" t="s">
        <v>951</v>
      </c>
      <c r="B394" s="81" t="s">
        <v>1030</v>
      </c>
      <c r="C394" s="81" t="s">
        <v>1028</v>
      </c>
      <c r="D394" s="81" t="s">
        <v>1029</v>
      </c>
      <c r="E394" s="81" t="s">
        <v>16</v>
      </c>
      <c r="F394" s="81" t="s">
        <v>380</v>
      </c>
      <c r="G394" s="81" t="s">
        <v>2717</v>
      </c>
      <c r="H394" s="81" t="s">
        <v>423</v>
      </c>
    </row>
    <row r="395" spans="1:8" x14ac:dyDescent="0.3">
      <c r="A395" s="81" t="s">
        <v>952</v>
      </c>
      <c r="B395" s="81" t="s">
        <v>1030</v>
      </c>
      <c r="C395" s="81" t="s">
        <v>1028</v>
      </c>
      <c r="D395" s="81" t="s">
        <v>1029</v>
      </c>
      <c r="E395" s="81" t="s">
        <v>16</v>
      </c>
      <c r="F395" s="81" t="s">
        <v>381</v>
      </c>
      <c r="G395" s="81" t="s">
        <v>2718</v>
      </c>
      <c r="H395" s="81" t="s">
        <v>423</v>
      </c>
    </row>
    <row r="396" spans="1:8" x14ac:dyDescent="0.3">
      <c r="A396" s="81" t="s">
        <v>953</v>
      </c>
      <c r="B396" s="81" t="s">
        <v>1030</v>
      </c>
      <c r="C396" s="81" t="s">
        <v>1028</v>
      </c>
      <c r="D396" s="81" t="s">
        <v>1029</v>
      </c>
      <c r="E396" s="81" t="s">
        <v>16</v>
      </c>
      <c r="F396" s="81" t="s">
        <v>382</v>
      </c>
      <c r="G396" s="81" t="s">
        <v>2719</v>
      </c>
      <c r="H396" s="81" t="s">
        <v>423</v>
      </c>
    </row>
    <row r="397" spans="1:8" x14ac:dyDescent="0.3">
      <c r="A397" s="81" t="s">
        <v>954</v>
      </c>
      <c r="B397" s="81" t="s">
        <v>1030</v>
      </c>
      <c r="C397" s="81" t="s">
        <v>1028</v>
      </c>
      <c r="D397" s="81" t="s">
        <v>1029</v>
      </c>
      <c r="E397" s="81" t="s">
        <v>16</v>
      </c>
      <c r="F397" s="81" t="s">
        <v>383</v>
      </c>
      <c r="G397" s="81" t="s">
        <v>2720</v>
      </c>
      <c r="H397" s="81" t="s">
        <v>423</v>
      </c>
    </row>
    <row r="398" spans="1:8" x14ac:dyDescent="0.3">
      <c r="A398" s="81" t="s">
        <v>955</v>
      </c>
      <c r="B398" s="81" t="s">
        <v>1030</v>
      </c>
      <c r="C398" s="81" t="s">
        <v>1028</v>
      </c>
      <c r="D398" s="81" t="s">
        <v>1029</v>
      </c>
      <c r="E398" s="81" t="s">
        <v>20</v>
      </c>
      <c r="F398" s="81" t="s">
        <v>15</v>
      </c>
      <c r="G398" s="81" t="s">
        <v>2721</v>
      </c>
      <c r="H398" s="81" t="s">
        <v>1068</v>
      </c>
    </row>
    <row r="399" spans="1:8" x14ac:dyDescent="0.3">
      <c r="A399" s="81" t="s">
        <v>956</v>
      </c>
      <c r="B399" s="81" t="s">
        <v>1030</v>
      </c>
      <c r="C399" s="81" t="s">
        <v>1028</v>
      </c>
      <c r="D399" s="81" t="s">
        <v>1029</v>
      </c>
      <c r="E399" s="81" t="s">
        <v>20</v>
      </c>
      <c r="F399" s="81" t="s">
        <v>15</v>
      </c>
      <c r="G399" s="81" t="s">
        <v>2722</v>
      </c>
      <c r="H399" s="81" t="s">
        <v>1071</v>
      </c>
    </row>
    <row r="400" spans="1:8" x14ac:dyDescent="0.3">
      <c r="A400" s="81" t="s">
        <v>957</v>
      </c>
      <c r="B400" s="81" t="s">
        <v>1030</v>
      </c>
      <c r="C400" s="81" t="s">
        <v>1073</v>
      </c>
      <c r="D400" s="81" t="s">
        <v>3766</v>
      </c>
      <c r="E400" s="81" t="s">
        <v>20</v>
      </c>
      <c r="F400" s="81" t="s">
        <v>15</v>
      </c>
      <c r="G400" s="81" t="s">
        <v>2723</v>
      </c>
      <c r="H400" s="81" t="s">
        <v>423</v>
      </c>
    </row>
    <row r="401" spans="1:8" x14ac:dyDescent="0.3">
      <c r="A401" s="81" t="s">
        <v>958</v>
      </c>
      <c r="B401" s="81" t="s">
        <v>1030</v>
      </c>
      <c r="C401" s="81" t="s">
        <v>1073</v>
      </c>
      <c r="D401" s="81" t="s">
        <v>3766</v>
      </c>
      <c r="E401" s="81" t="s">
        <v>16</v>
      </c>
      <c r="F401" s="81" t="s">
        <v>368</v>
      </c>
      <c r="G401" s="81" t="s">
        <v>2724</v>
      </c>
      <c r="H401" s="81" t="s">
        <v>423</v>
      </c>
    </row>
    <row r="402" spans="1:8" x14ac:dyDescent="0.3">
      <c r="A402" s="81" t="s">
        <v>959</v>
      </c>
      <c r="B402" s="81" t="s">
        <v>1030</v>
      </c>
      <c r="C402" s="81" t="s">
        <v>1073</v>
      </c>
      <c r="D402" s="81" t="s">
        <v>3766</v>
      </c>
      <c r="E402" s="81" t="s">
        <v>16</v>
      </c>
      <c r="F402" s="81" t="s">
        <v>369</v>
      </c>
      <c r="G402" s="81" t="s">
        <v>2725</v>
      </c>
      <c r="H402" s="81" t="s">
        <v>423</v>
      </c>
    </row>
    <row r="403" spans="1:8" x14ac:dyDescent="0.3">
      <c r="A403" s="81" t="s">
        <v>960</v>
      </c>
      <c r="B403" s="81" t="s">
        <v>1030</v>
      </c>
      <c r="C403" s="81" t="s">
        <v>1073</v>
      </c>
      <c r="D403" s="81" t="s">
        <v>3766</v>
      </c>
      <c r="E403" s="81" t="s">
        <v>16</v>
      </c>
      <c r="F403" s="81" t="s">
        <v>370</v>
      </c>
      <c r="G403" s="81" t="s">
        <v>2726</v>
      </c>
      <c r="H403" s="81" t="s">
        <v>423</v>
      </c>
    </row>
    <row r="404" spans="1:8" x14ac:dyDescent="0.3">
      <c r="A404" s="81" t="s">
        <v>961</v>
      </c>
      <c r="B404" s="81" t="s">
        <v>1030</v>
      </c>
      <c r="C404" s="81" t="s">
        <v>1073</v>
      </c>
      <c r="D404" s="81" t="s">
        <v>3766</v>
      </c>
      <c r="E404" s="81" t="s">
        <v>16</v>
      </c>
      <c r="F404" s="81" t="s">
        <v>371</v>
      </c>
      <c r="G404" s="81" t="s">
        <v>2727</v>
      </c>
      <c r="H404" s="81" t="s">
        <v>423</v>
      </c>
    </row>
    <row r="405" spans="1:8" x14ac:dyDescent="0.3">
      <c r="A405" s="81" t="s">
        <v>962</v>
      </c>
      <c r="B405" s="81" t="s">
        <v>1030</v>
      </c>
      <c r="C405" s="81" t="s">
        <v>1073</v>
      </c>
      <c r="D405" s="81" t="s">
        <v>3766</v>
      </c>
      <c r="E405" s="81" t="s">
        <v>16</v>
      </c>
      <c r="F405" s="81" t="s">
        <v>372</v>
      </c>
      <c r="G405" s="81" t="s">
        <v>2728</v>
      </c>
      <c r="H405" s="81" t="s">
        <v>423</v>
      </c>
    </row>
    <row r="406" spans="1:8" x14ac:dyDescent="0.3">
      <c r="A406" s="81" t="s">
        <v>963</v>
      </c>
      <c r="B406" s="81" t="s">
        <v>1030</v>
      </c>
      <c r="C406" s="81" t="s">
        <v>1073</v>
      </c>
      <c r="D406" s="81" t="s">
        <v>3766</v>
      </c>
      <c r="E406" s="81" t="s">
        <v>16</v>
      </c>
      <c r="F406" s="81" t="s">
        <v>373</v>
      </c>
      <c r="G406" s="81" t="s">
        <v>2729</v>
      </c>
      <c r="H406" s="81" t="s">
        <v>423</v>
      </c>
    </row>
    <row r="407" spans="1:8" x14ac:dyDescent="0.3">
      <c r="A407" s="81" t="s">
        <v>964</v>
      </c>
      <c r="B407" s="81" t="s">
        <v>1030</v>
      </c>
      <c r="C407" s="81" t="s">
        <v>1073</v>
      </c>
      <c r="D407" s="81" t="s">
        <v>3766</v>
      </c>
      <c r="E407" s="81" t="s">
        <v>16</v>
      </c>
      <c r="F407" s="81" t="s">
        <v>374</v>
      </c>
      <c r="G407" s="81" t="s">
        <v>2730</v>
      </c>
      <c r="H407" s="81" t="s">
        <v>423</v>
      </c>
    </row>
    <row r="408" spans="1:8" x14ac:dyDescent="0.3">
      <c r="A408" s="81" t="s">
        <v>965</v>
      </c>
      <c r="B408" s="81" t="s">
        <v>1030</v>
      </c>
      <c r="C408" s="81" t="s">
        <v>1073</v>
      </c>
      <c r="D408" s="81" t="s">
        <v>3766</v>
      </c>
      <c r="E408" s="81" t="s">
        <v>16</v>
      </c>
      <c r="F408" s="81" t="s">
        <v>375</v>
      </c>
      <c r="G408" s="81" t="s">
        <v>2731</v>
      </c>
      <c r="H408" s="81" t="s">
        <v>423</v>
      </c>
    </row>
    <row r="409" spans="1:8" x14ac:dyDescent="0.3">
      <c r="A409" s="81" t="s">
        <v>966</v>
      </c>
      <c r="B409" s="81" t="s">
        <v>1030</v>
      </c>
      <c r="C409" s="81" t="s">
        <v>1073</v>
      </c>
      <c r="D409" s="81" t="s">
        <v>3766</v>
      </c>
      <c r="E409" s="81" t="s">
        <v>16</v>
      </c>
      <c r="F409" s="81" t="s">
        <v>376</v>
      </c>
      <c r="G409" s="81" t="s">
        <v>2732</v>
      </c>
      <c r="H409" s="81" t="s">
        <v>423</v>
      </c>
    </row>
    <row r="410" spans="1:8" x14ac:dyDescent="0.3">
      <c r="A410" s="81" t="s">
        <v>967</v>
      </c>
      <c r="B410" s="81" t="s">
        <v>1030</v>
      </c>
      <c r="C410" s="81" t="s">
        <v>1073</v>
      </c>
      <c r="D410" s="81" t="s">
        <v>3766</v>
      </c>
      <c r="E410" s="81" t="s">
        <v>16</v>
      </c>
      <c r="F410" s="81" t="s">
        <v>377</v>
      </c>
      <c r="G410" s="81" t="s">
        <v>2733</v>
      </c>
      <c r="H410" s="81" t="s">
        <v>423</v>
      </c>
    </row>
    <row r="411" spans="1:8" x14ac:dyDescent="0.3">
      <c r="A411" s="81" t="s">
        <v>968</v>
      </c>
      <c r="B411" s="81" t="s">
        <v>1030</v>
      </c>
      <c r="C411" s="81" t="s">
        <v>1073</v>
      </c>
      <c r="D411" s="81" t="s">
        <v>3766</v>
      </c>
      <c r="E411" s="81" t="s">
        <v>16</v>
      </c>
      <c r="F411" s="81" t="s">
        <v>378</v>
      </c>
      <c r="G411" s="81" t="s">
        <v>2734</v>
      </c>
      <c r="H411" s="81" t="s">
        <v>423</v>
      </c>
    </row>
    <row r="412" spans="1:8" x14ac:dyDescent="0.3">
      <c r="A412" s="81" t="s">
        <v>969</v>
      </c>
      <c r="B412" s="81" t="s">
        <v>1030</v>
      </c>
      <c r="C412" s="81" t="s">
        <v>1073</v>
      </c>
      <c r="D412" s="81" t="s">
        <v>3766</v>
      </c>
      <c r="E412" s="81" t="s">
        <v>16</v>
      </c>
      <c r="F412" s="81" t="s">
        <v>379</v>
      </c>
      <c r="G412" s="81" t="s">
        <v>2735</v>
      </c>
      <c r="H412" s="81" t="s">
        <v>423</v>
      </c>
    </row>
    <row r="413" spans="1:8" x14ac:dyDescent="0.3">
      <c r="A413" s="81" t="s">
        <v>970</v>
      </c>
      <c r="B413" s="81" t="s">
        <v>1030</v>
      </c>
      <c r="C413" s="81" t="s">
        <v>1073</v>
      </c>
      <c r="D413" s="81" t="s">
        <v>3766</v>
      </c>
      <c r="E413" s="81" t="s">
        <v>16</v>
      </c>
      <c r="F413" s="81" t="s">
        <v>380</v>
      </c>
      <c r="G413" s="81" t="s">
        <v>2736</v>
      </c>
      <c r="H413" s="81" t="s">
        <v>423</v>
      </c>
    </row>
    <row r="414" spans="1:8" x14ac:dyDescent="0.3">
      <c r="A414" s="81" t="s">
        <v>971</v>
      </c>
      <c r="B414" s="81" t="s">
        <v>1030</v>
      </c>
      <c r="C414" s="81" t="s">
        <v>1073</v>
      </c>
      <c r="D414" s="81" t="s">
        <v>3766</v>
      </c>
      <c r="E414" s="81" t="s">
        <v>16</v>
      </c>
      <c r="F414" s="81" t="s">
        <v>381</v>
      </c>
      <c r="G414" s="81" t="s">
        <v>2737</v>
      </c>
      <c r="H414" s="81" t="s">
        <v>423</v>
      </c>
    </row>
    <row r="415" spans="1:8" x14ac:dyDescent="0.3">
      <c r="A415" s="81" t="s">
        <v>972</v>
      </c>
      <c r="B415" s="81" t="s">
        <v>1030</v>
      </c>
      <c r="C415" s="81" t="s">
        <v>1073</v>
      </c>
      <c r="D415" s="81" t="s">
        <v>3766</v>
      </c>
      <c r="E415" s="81" t="s">
        <v>16</v>
      </c>
      <c r="F415" s="81" t="s">
        <v>382</v>
      </c>
      <c r="G415" s="81" t="s">
        <v>2738</v>
      </c>
      <c r="H415" s="81" t="s">
        <v>423</v>
      </c>
    </row>
    <row r="416" spans="1:8" x14ac:dyDescent="0.3">
      <c r="A416" s="81" t="s">
        <v>973</v>
      </c>
      <c r="B416" s="81" t="s">
        <v>1030</v>
      </c>
      <c r="C416" s="81" t="s">
        <v>1073</v>
      </c>
      <c r="D416" s="81" t="s">
        <v>3766</v>
      </c>
      <c r="E416" s="81" t="s">
        <v>16</v>
      </c>
      <c r="F416" s="81" t="s">
        <v>383</v>
      </c>
      <c r="G416" s="81" t="s">
        <v>2739</v>
      </c>
      <c r="H416" s="81" t="s">
        <v>423</v>
      </c>
    </row>
    <row r="417" spans="1:8" x14ac:dyDescent="0.3">
      <c r="A417" s="81" t="s">
        <v>974</v>
      </c>
      <c r="B417" s="81" t="s">
        <v>870</v>
      </c>
      <c r="C417" s="81" t="s">
        <v>871</v>
      </c>
      <c r="D417" s="81" t="s">
        <v>3765</v>
      </c>
      <c r="E417" s="81" t="s">
        <v>20</v>
      </c>
      <c r="F417" s="81" t="s">
        <v>15</v>
      </c>
      <c r="G417" s="81" t="s">
        <v>2740</v>
      </c>
      <c r="H417" s="81" t="s">
        <v>1079</v>
      </c>
    </row>
    <row r="418" spans="1:8" x14ac:dyDescent="0.3">
      <c r="A418" s="81" t="s">
        <v>975</v>
      </c>
      <c r="B418" s="81" t="s">
        <v>578</v>
      </c>
      <c r="C418" s="81" t="s">
        <v>1081</v>
      </c>
      <c r="D418" s="81" t="s">
        <v>7428</v>
      </c>
      <c r="E418" s="81" t="s">
        <v>20</v>
      </c>
      <c r="F418" s="81" t="s">
        <v>15</v>
      </c>
      <c r="G418" s="81" t="s">
        <v>2741</v>
      </c>
      <c r="H418" s="81" t="s">
        <v>423</v>
      </c>
    </row>
    <row r="419" spans="1:8" x14ac:dyDescent="0.3">
      <c r="A419" s="81" t="s">
        <v>976</v>
      </c>
      <c r="B419" s="81" t="s">
        <v>578</v>
      </c>
      <c r="C419" s="81" t="s">
        <v>1081</v>
      </c>
      <c r="D419" s="81" t="s">
        <v>7428</v>
      </c>
      <c r="E419" s="81" t="s">
        <v>16</v>
      </c>
      <c r="F419" s="81" t="s">
        <v>368</v>
      </c>
      <c r="G419" s="81" t="s">
        <v>2742</v>
      </c>
      <c r="H419" s="81" t="s">
        <v>423</v>
      </c>
    </row>
    <row r="420" spans="1:8" x14ac:dyDescent="0.3">
      <c r="A420" s="81" t="s">
        <v>977</v>
      </c>
      <c r="B420" s="81" t="s">
        <v>578</v>
      </c>
      <c r="C420" s="81" t="s">
        <v>1081</v>
      </c>
      <c r="D420" s="81" t="s">
        <v>7428</v>
      </c>
      <c r="E420" s="81" t="s">
        <v>16</v>
      </c>
      <c r="F420" s="81" t="s">
        <v>369</v>
      </c>
      <c r="G420" s="81" t="s">
        <v>2743</v>
      </c>
      <c r="H420" s="81" t="s">
        <v>423</v>
      </c>
    </row>
    <row r="421" spans="1:8" x14ac:dyDescent="0.3">
      <c r="A421" s="81" t="s">
        <v>978</v>
      </c>
      <c r="B421" s="81" t="s">
        <v>578</v>
      </c>
      <c r="C421" s="81" t="s">
        <v>1081</v>
      </c>
      <c r="D421" s="81" t="s">
        <v>7428</v>
      </c>
      <c r="E421" s="81" t="s">
        <v>16</v>
      </c>
      <c r="F421" s="81" t="s">
        <v>370</v>
      </c>
      <c r="G421" s="81" t="s">
        <v>2744</v>
      </c>
      <c r="H421" s="81" t="s">
        <v>423</v>
      </c>
    </row>
    <row r="422" spans="1:8" x14ac:dyDescent="0.3">
      <c r="A422" s="81" t="s">
        <v>979</v>
      </c>
      <c r="B422" s="81" t="s">
        <v>578</v>
      </c>
      <c r="C422" s="81" t="s">
        <v>1081</v>
      </c>
      <c r="D422" s="81" t="s">
        <v>7428</v>
      </c>
      <c r="E422" s="81" t="s">
        <v>16</v>
      </c>
      <c r="F422" s="81" t="s">
        <v>371</v>
      </c>
      <c r="G422" s="81" t="s">
        <v>2745</v>
      </c>
      <c r="H422" s="81" t="s">
        <v>423</v>
      </c>
    </row>
    <row r="423" spans="1:8" x14ac:dyDescent="0.3">
      <c r="A423" s="81" t="s">
        <v>980</v>
      </c>
      <c r="B423" s="81" t="s">
        <v>578</v>
      </c>
      <c r="C423" s="81" t="s">
        <v>1081</v>
      </c>
      <c r="D423" s="81" t="s">
        <v>7428</v>
      </c>
      <c r="E423" s="81" t="s">
        <v>16</v>
      </c>
      <c r="F423" s="81" t="s">
        <v>372</v>
      </c>
      <c r="G423" s="81" t="s">
        <v>2746</v>
      </c>
      <c r="H423" s="81" t="s">
        <v>423</v>
      </c>
    </row>
    <row r="424" spans="1:8" x14ac:dyDescent="0.3">
      <c r="A424" s="81" t="s">
        <v>981</v>
      </c>
      <c r="B424" s="81" t="s">
        <v>578</v>
      </c>
      <c r="C424" s="81" t="s">
        <v>1081</v>
      </c>
      <c r="D424" s="81" t="s">
        <v>7428</v>
      </c>
      <c r="E424" s="81" t="s">
        <v>16</v>
      </c>
      <c r="F424" s="81" t="s">
        <v>373</v>
      </c>
      <c r="G424" s="81" t="s">
        <v>2747</v>
      </c>
      <c r="H424" s="81" t="s">
        <v>423</v>
      </c>
    </row>
    <row r="425" spans="1:8" x14ac:dyDescent="0.3">
      <c r="A425" s="81" t="s">
        <v>982</v>
      </c>
      <c r="B425" s="81" t="s">
        <v>578</v>
      </c>
      <c r="C425" s="81" t="s">
        <v>1081</v>
      </c>
      <c r="D425" s="81" t="s">
        <v>7428</v>
      </c>
      <c r="E425" s="81" t="s">
        <v>16</v>
      </c>
      <c r="F425" s="81" t="s">
        <v>374</v>
      </c>
      <c r="G425" s="81" t="s">
        <v>2748</v>
      </c>
      <c r="H425" s="81" t="s">
        <v>423</v>
      </c>
    </row>
    <row r="426" spans="1:8" x14ac:dyDescent="0.3">
      <c r="A426" s="81" t="s">
        <v>983</v>
      </c>
      <c r="B426" s="81" t="s">
        <v>578</v>
      </c>
      <c r="C426" s="81" t="s">
        <v>1081</v>
      </c>
      <c r="D426" s="81" t="s">
        <v>7428</v>
      </c>
      <c r="E426" s="81" t="s">
        <v>16</v>
      </c>
      <c r="F426" s="81" t="s">
        <v>375</v>
      </c>
      <c r="G426" s="81" t="s">
        <v>2749</v>
      </c>
      <c r="H426" s="81" t="s">
        <v>423</v>
      </c>
    </row>
    <row r="427" spans="1:8" x14ac:dyDescent="0.3">
      <c r="A427" s="81" t="s">
        <v>984</v>
      </c>
      <c r="B427" s="81" t="s">
        <v>578</v>
      </c>
      <c r="C427" s="81" t="s">
        <v>1081</v>
      </c>
      <c r="D427" s="81" t="s">
        <v>7428</v>
      </c>
      <c r="E427" s="81" t="s">
        <v>16</v>
      </c>
      <c r="F427" s="81" t="s">
        <v>376</v>
      </c>
      <c r="G427" s="81" t="s">
        <v>2750</v>
      </c>
      <c r="H427" s="81" t="s">
        <v>423</v>
      </c>
    </row>
    <row r="428" spans="1:8" x14ac:dyDescent="0.3">
      <c r="A428" s="81" t="s">
        <v>985</v>
      </c>
      <c r="B428" s="81" t="s">
        <v>578</v>
      </c>
      <c r="C428" s="81" t="s">
        <v>1081</v>
      </c>
      <c r="D428" s="81" t="s">
        <v>7428</v>
      </c>
      <c r="E428" s="81" t="s">
        <v>16</v>
      </c>
      <c r="F428" s="81" t="s">
        <v>377</v>
      </c>
      <c r="G428" s="81" t="s">
        <v>2751</v>
      </c>
      <c r="H428" s="81" t="s">
        <v>423</v>
      </c>
    </row>
    <row r="429" spans="1:8" x14ac:dyDescent="0.3">
      <c r="A429" s="81" t="s">
        <v>986</v>
      </c>
      <c r="B429" s="81" t="s">
        <v>578</v>
      </c>
      <c r="C429" s="81" t="s">
        <v>1081</v>
      </c>
      <c r="D429" s="81" t="s">
        <v>7428</v>
      </c>
      <c r="E429" s="81" t="s">
        <v>16</v>
      </c>
      <c r="F429" s="81" t="s">
        <v>378</v>
      </c>
      <c r="G429" s="81" t="s">
        <v>2752</v>
      </c>
      <c r="H429" s="81" t="s">
        <v>423</v>
      </c>
    </row>
    <row r="430" spans="1:8" x14ac:dyDescent="0.3">
      <c r="A430" s="81" t="s">
        <v>987</v>
      </c>
      <c r="B430" s="81" t="s">
        <v>578</v>
      </c>
      <c r="C430" s="81" t="s">
        <v>1081</v>
      </c>
      <c r="D430" s="81" t="s">
        <v>7428</v>
      </c>
      <c r="E430" s="81" t="s">
        <v>16</v>
      </c>
      <c r="F430" s="81" t="s">
        <v>379</v>
      </c>
      <c r="G430" s="81" t="s">
        <v>2753</v>
      </c>
      <c r="H430" s="81" t="s">
        <v>423</v>
      </c>
    </row>
    <row r="431" spans="1:8" x14ac:dyDescent="0.3">
      <c r="A431" s="81" t="s">
        <v>988</v>
      </c>
      <c r="B431" s="81" t="s">
        <v>578</v>
      </c>
      <c r="C431" s="81" t="s">
        <v>1081</v>
      </c>
      <c r="D431" s="81" t="s">
        <v>7428</v>
      </c>
      <c r="E431" s="81" t="s">
        <v>16</v>
      </c>
      <c r="F431" s="81" t="s">
        <v>380</v>
      </c>
      <c r="G431" s="81" t="s">
        <v>2754</v>
      </c>
      <c r="H431" s="81" t="s">
        <v>423</v>
      </c>
    </row>
    <row r="432" spans="1:8" x14ac:dyDescent="0.3">
      <c r="A432" s="81" t="s">
        <v>989</v>
      </c>
      <c r="B432" s="81" t="s">
        <v>578</v>
      </c>
      <c r="C432" s="81" t="s">
        <v>1081</v>
      </c>
      <c r="D432" s="81" t="s">
        <v>7428</v>
      </c>
      <c r="E432" s="81" t="s">
        <v>16</v>
      </c>
      <c r="F432" s="81" t="s">
        <v>381</v>
      </c>
      <c r="G432" s="81" t="s">
        <v>2755</v>
      </c>
      <c r="H432" s="81" t="s">
        <v>423</v>
      </c>
    </row>
    <row r="433" spans="1:8" x14ac:dyDescent="0.3">
      <c r="A433" s="81" t="s">
        <v>990</v>
      </c>
      <c r="B433" s="81" t="s">
        <v>578</v>
      </c>
      <c r="C433" s="81" t="s">
        <v>1081</v>
      </c>
      <c r="D433" s="81" t="s">
        <v>7428</v>
      </c>
      <c r="E433" s="81" t="s">
        <v>16</v>
      </c>
      <c r="F433" s="81" t="s">
        <v>382</v>
      </c>
      <c r="G433" s="81" t="s">
        <v>2756</v>
      </c>
      <c r="H433" s="81" t="s">
        <v>423</v>
      </c>
    </row>
    <row r="434" spans="1:8" x14ac:dyDescent="0.3">
      <c r="A434" s="81" t="s">
        <v>991</v>
      </c>
      <c r="B434" s="81" t="s">
        <v>578</v>
      </c>
      <c r="C434" s="81" t="s">
        <v>1081</v>
      </c>
      <c r="D434" s="81" t="s">
        <v>7428</v>
      </c>
      <c r="E434" s="81" t="s">
        <v>16</v>
      </c>
      <c r="F434" s="81" t="s">
        <v>383</v>
      </c>
      <c r="G434" s="81" t="s">
        <v>2757</v>
      </c>
      <c r="H434" s="81" t="s">
        <v>423</v>
      </c>
    </row>
    <row r="435" spans="1:8" x14ac:dyDescent="0.3">
      <c r="A435" s="81" t="s">
        <v>992</v>
      </c>
      <c r="B435" s="81" t="s">
        <v>822</v>
      </c>
      <c r="C435" s="81" t="s">
        <v>1458</v>
      </c>
      <c r="D435" s="81" t="s">
        <v>3793</v>
      </c>
      <c r="E435" s="81" t="s">
        <v>20</v>
      </c>
      <c r="F435" s="81" t="s">
        <v>15</v>
      </c>
      <c r="G435" s="81" t="s">
        <v>2758</v>
      </c>
      <c r="H435" s="81" t="s">
        <v>1522</v>
      </c>
    </row>
    <row r="436" spans="1:8" x14ac:dyDescent="0.3">
      <c r="A436" s="81" t="s">
        <v>993</v>
      </c>
      <c r="B436" s="81" t="s">
        <v>822</v>
      </c>
      <c r="C436" s="81" t="s">
        <v>1460</v>
      </c>
      <c r="D436" s="81" t="s">
        <v>3767</v>
      </c>
      <c r="E436" s="81" t="s">
        <v>20</v>
      </c>
      <c r="F436" s="81" t="s">
        <v>15</v>
      </c>
      <c r="G436" s="81" t="s">
        <v>2759</v>
      </c>
      <c r="H436" s="81" t="s">
        <v>1461</v>
      </c>
    </row>
    <row r="437" spans="1:8" x14ac:dyDescent="0.3">
      <c r="A437" s="81" t="s">
        <v>994</v>
      </c>
      <c r="B437" s="81" t="s">
        <v>822</v>
      </c>
      <c r="C437" s="81" t="s">
        <v>1460</v>
      </c>
      <c r="D437" s="81" t="s">
        <v>3767</v>
      </c>
      <c r="E437" s="81" t="s">
        <v>16</v>
      </c>
      <c r="F437" s="81" t="s">
        <v>368</v>
      </c>
      <c r="G437" s="81" t="s">
        <v>2760</v>
      </c>
      <c r="H437" s="81" t="s">
        <v>1704</v>
      </c>
    </row>
    <row r="438" spans="1:8" x14ac:dyDescent="0.3">
      <c r="A438" s="81" t="s">
        <v>995</v>
      </c>
      <c r="B438" s="81" t="s">
        <v>822</v>
      </c>
      <c r="C438" s="81" t="s">
        <v>1460</v>
      </c>
      <c r="D438" s="81" t="s">
        <v>3767</v>
      </c>
      <c r="E438" s="81" t="s">
        <v>16</v>
      </c>
      <c r="F438" s="81" t="s">
        <v>369</v>
      </c>
      <c r="G438" s="81" t="s">
        <v>2761</v>
      </c>
      <c r="H438" s="81" t="s">
        <v>1705</v>
      </c>
    </row>
    <row r="439" spans="1:8" x14ac:dyDescent="0.3">
      <c r="A439" s="81" t="s">
        <v>996</v>
      </c>
      <c r="B439" s="81" t="s">
        <v>822</v>
      </c>
      <c r="C439" s="81" t="s">
        <v>1460</v>
      </c>
      <c r="D439" s="81" t="s">
        <v>3767</v>
      </c>
      <c r="E439" s="81" t="s">
        <v>16</v>
      </c>
      <c r="F439" s="81" t="s">
        <v>370</v>
      </c>
      <c r="G439" s="81" t="s">
        <v>2762</v>
      </c>
      <c r="H439" s="81" t="s">
        <v>1706</v>
      </c>
    </row>
    <row r="440" spans="1:8" x14ac:dyDescent="0.3">
      <c r="A440" s="81" t="s">
        <v>997</v>
      </c>
      <c r="B440" s="81" t="s">
        <v>822</v>
      </c>
      <c r="C440" s="81" t="s">
        <v>1460</v>
      </c>
      <c r="D440" s="81" t="s">
        <v>3767</v>
      </c>
      <c r="E440" s="81" t="s">
        <v>16</v>
      </c>
      <c r="F440" s="81" t="s">
        <v>371</v>
      </c>
      <c r="G440" s="81" t="s">
        <v>2763</v>
      </c>
      <c r="H440" s="81" t="s">
        <v>1707</v>
      </c>
    </row>
    <row r="441" spans="1:8" x14ac:dyDescent="0.3">
      <c r="A441" s="81" t="s">
        <v>998</v>
      </c>
      <c r="B441" s="81" t="s">
        <v>822</v>
      </c>
      <c r="C441" s="81" t="s">
        <v>1460</v>
      </c>
      <c r="D441" s="81" t="s">
        <v>3767</v>
      </c>
      <c r="E441" s="81" t="s">
        <v>16</v>
      </c>
      <c r="F441" s="81" t="s">
        <v>372</v>
      </c>
      <c r="G441" s="81" t="s">
        <v>2764</v>
      </c>
      <c r="H441" s="81" t="s">
        <v>1708</v>
      </c>
    </row>
    <row r="442" spans="1:8" x14ac:dyDescent="0.3">
      <c r="A442" s="81" t="s">
        <v>999</v>
      </c>
      <c r="B442" s="81" t="s">
        <v>822</v>
      </c>
      <c r="C442" s="81" t="s">
        <v>1460</v>
      </c>
      <c r="D442" s="81" t="s">
        <v>3767</v>
      </c>
      <c r="E442" s="81" t="s">
        <v>16</v>
      </c>
      <c r="F442" s="81" t="s">
        <v>373</v>
      </c>
      <c r="G442" s="81" t="s">
        <v>2765</v>
      </c>
      <c r="H442" s="81" t="s">
        <v>1709</v>
      </c>
    </row>
    <row r="443" spans="1:8" x14ac:dyDescent="0.3">
      <c r="A443" s="81" t="s">
        <v>1000</v>
      </c>
      <c r="B443" s="81" t="s">
        <v>822</v>
      </c>
      <c r="C443" s="81" t="s">
        <v>1460</v>
      </c>
      <c r="D443" s="81" t="s">
        <v>3767</v>
      </c>
      <c r="E443" s="81" t="s">
        <v>16</v>
      </c>
      <c r="F443" s="81" t="s">
        <v>374</v>
      </c>
      <c r="G443" s="81" t="s">
        <v>2766</v>
      </c>
      <c r="H443" s="81" t="s">
        <v>1710</v>
      </c>
    </row>
    <row r="444" spans="1:8" x14ac:dyDescent="0.3">
      <c r="A444" s="81" t="s">
        <v>1001</v>
      </c>
      <c r="B444" s="81" t="s">
        <v>822</v>
      </c>
      <c r="C444" s="81" t="s">
        <v>1460</v>
      </c>
      <c r="D444" s="81" t="s">
        <v>3767</v>
      </c>
      <c r="E444" s="81" t="s">
        <v>16</v>
      </c>
      <c r="F444" s="81" t="s">
        <v>375</v>
      </c>
      <c r="G444" s="81" t="s">
        <v>2767</v>
      </c>
      <c r="H444" s="81" t="s">
        <v>1711</v>
      </c>
    </row>
    <row r="445" spans="1:8" x14ac:dyDescent="0.3">
      <c r="A445" s="81" t="s">
        <v>1002</v>
      </c>
      <c r="B445" s="81" t="s">
        <v>822</v>
      </c>
      <c r="C445" s="81" t="s">
        <v>1460</v>
      </c>
      <c r="D445" s="81" t="s">
        <v>3767</v>
      </c>
      <c r="E445" s="81" t="s">
        <v>16</v>
      </c>
      <c r="F445" s="81" t="s">
        <v>376</v>
      </c>
      <c r="G445" s="81" t="s">
        <v>2768</v>
      </c>
      <c r="H445" s="81" t="s">
        <v>1712</v>
      </c>
    </row>
    <row r="446" spans="1:8" x14ac:dyDescent="0.3">
      <c r="A446" s="81" t="s">
        <v>1003</v>
      </c>
      <c r="B446" s="81" t="s">
        <v>822</v>
      </c>
      <c r="C446" s="81" t="s">
        <v>1460</v>
      </c>
      <c r="D446" s="81" t="s">
        <v>3767</v>
      </c>
      <c r="E446" s="81" t="s">
        <v>16</v>
      </c>
      <c r="F446" s="81" t="s">
        <v>377</v>
      </c>
      <c r="G446" s="81" t="s">
        <v>2769</v>
      </c>
      <c r="H446" s="81" t="s">
        <v>1713</v>
      </c>
    </row>
    <row r="447" spans="1:8" x14ac:dyDescent="0.3">
      <c r="A447" s="81" t="s">
        <v>1004</v>
      </c>
      <c r="B447" s="81" t="s">
        <v>822</v>
      </c>
      <c r="C447" s="81" t="s">
        <v>1460</v>
      </c>
      <c r="D447" s="81" t="s">
        <v>3767</v>
      </c>
      <c r="E447" s="81" t="s">
        <v>16</v>
      </c>
      <c r="F447" s="81" t="s">
        <v>378</v>
      </c>
      <c r="G447" s="81" t="s">
        <v>2770</v>
      </c>
      <c r="H447" s="81" t="s">
        <v>1714</v>
      </c>
    </row>
    <row r="448" spans="1:8" x14ac:dyDescent="0.3">
      <c r="A448" s="81" t="s">
        <v>1005</v>
      </c>
      <c r="B448" s="81" t="s">
        <v>822</v>
      </c>
      <c r="C448" s="81" t="s">
        <v>1460</v>
      </c>
      <c r="D448" s="81" t="s">
        <v>3767</v>
      </c>
      <c r="E448" s="81" t="s">
        <v>16</v>
      </c>
      <c r="F448" s="81" t="s">
        <v>379</v>
      </c>
      <c r="G448" s="81" t="s">
        <v>2771</v>
      </c>
      <c r="H448" s="81" t="s">
        <v>1715</v>
      </c>
    </row>
    <row r="449" spans="1:8" x14ac:dyDescent="0.3">
      <c r="A449" s="81" t="s">
        <v>1006</v>
      </c>
      <c r="B449" s="81" t="s">
        <v>822</v>
      </c>
      <c r="C449" s="81" t="s">
        <v>1460</v>
      </c>
      <c r="D449" s="81" t="s">
        <v>3767</v>
      </c>
      <c r="E449" s="81" t="s">
        <v>16</v>
      </c>
      <c r="F449" s="81" t="s">
        <v>380</v>
      </c>
      <c r="G449" s="81" t="s">
        <v>2772</v>
      </c>
      <c r="H449" s="81" t="s">
        <v>1716</v>
      </c>
    </row>
    <row r="450" spans="1:8" x14ac:dyDescent="0.3">
      <c r="A450" s="81" t="s">
        <v>1739</v>
      </c>
      <c r="B450" s="81" t="s">
        <v>822</v>
      </c>
      <c r="C450" s="81" t="s">
        <v>1460</v>
      </c>
      <c r="D450" s="81" t="s">
        <v>3767</v>
      </c>
      <c r="E450" s="81" t="s">
        <v>16</v>
      </c>
      <c r="F450" s="81" t="s">
        <v>381</v>
      </c>
      <c r="G450" s="81" t="s">
        <v>2773</v>
      </c>
      <c r="H450" s="81" t="s">
        <v>1717</v>
      </c>
    </row>
    <row r="451" spans="1:8" x14ac:dyDescent="0.3">
      <c r="A451" s="81" t="s">
        <v>1740</v>
      </c>
      <c r="B451" s="81" t="s">
        <v>822</v>
      </c>
      <c r="C451" s="81" t="s">
        <v>1460</v>
      </c>
      <c r="D451" s="81" t="s">
        <v>3767</v>
      </c>
      <c r="E451" s="81" t="s">
        <v>16</v>
      </c>
      <c r="F451" s="81" t="s">
        <v>382</v>
      </c>
      <c r="G451" s="81" t="s">
        <v>2774</v>
      </c>
      <c r="H451" s="81" t="s">
        <v>1718</v>
      </c>
    </row>
    <row r="452" spans="1:8" x14ac:dyDescent="0.3">
      <c r="A452" s="81" t="s">
        <v>1741</v>
      </c>
      <c r="B452" s="81" t="s">
        <v>822</v>
      </c>
      <c r="C452" s="81" t="s">
        <v>1460</v>
      </c>
      <c r="D452" s="81" t="s">
        <v>3767</v>
      </c>
      <c r="E452" s="81" t="s">
        <v>16</v>
      </c>
      <c r="F452" s="81" t="s">
        <v>383</v>
      </c>
      <c r="G452" s="81" t="s">
        <v>2775</v>
      </c>
      <c r="H452" s="81" t="s">
        <v>1719</v>
      </c>
    </row>
    <row r="453" spans="1:8" x14ac:dyDescent="0.3">
      <c r="A453" s="81" t="s">
        <v>1742</v>
      </c>
      <c r="B453" s="81" t="s">
        <v>822</v>
      </c>
      <c r="C453" s="81" t="s">
        <v>1464</v>
      </c>
      <c r="D453" s="81" t="s">
        <v>3767</v>
      </c>
      <c r="E453" s="81" t="s">
        <v>20</v>
      </c>
      <c r="F453" s="81" t="s">
        <v>15</v>
      </c>
      <c r="G453" s="81" t="s">
        <v>2776</v>
      </c>
      <c r="H453" s="81" t="s">
        <v>1720</v>
      </c>
    </row>
    <row r="454" spans="1:8" x14ac:dyDescent="0.3">
      <c r="A454" s="81" t="s">
        <v>1743</v>
      </c>
      <c r="B454" s="81" t="s">
        <v>822</v>
      </c>
      <c r="C454" s="81" t="s">
        <v>1464</v>
      </c>
      <c r="D454" s="81" t="s">
        <v>3767</v>
      </c>
      <c r="E454" s="81" t="s">
        <v>16</v>
      </c>
      <c r="F454" s="81" t="s">
        <v>368</v>
      </c>
      <c r="G454" s="81" t="s">
        <v>2777</v>
      </c>
      <c r="H454" s="81" t="s">
        <v>423</v>
      </c>
    </row>
    <row r="455" spans="1:8" x14ac:dyDescent="0.3">
      <c r="A455" s="81" t="s">
        <v>1744</v>
      </c>
      <c r="B455" s="81" t="s">
        <v>822</v>
      </c>
      <c r="C455" s="81" t="s">
        <v>1464</v>
      </c>
      <c r="D455" s="81" t="s">
        <v>3767</v>
      </c>
      <c r="E455" s="81" t="s">
        <v>16</v>
      </c>
      <c r="F455" s="81" t="s">
        <v>369</v>
      </c>
      <c r="G455" s="81" t="s">
        <v>2778</v>
      </c>
      <c r="H455" s="81" t="s">
        <v>423</v>
      </c>
    </row>
    <row r="456" spans="1:8" x14ac:dyDescent="0.3">
      <c r="A456" s="81" t="s">
        <v>1745</v>
      </c>
      <c r="B456" s="81" t="s">
        <v>822</v>
      </c>
      <c r="C456" s="81" t="s">
        <v>1464</v>
      </c>
      <c r="D456" s="81" t="s">
        <v>3767</v>
      </c>
      <c r="E456" s="81" t="s">
        <v>16</v>
      </c>
      <c r="F456" s="81" t="s">
        <v>370</v>
      </c>
      <c r="G456" s="81" t="s">
        <v>2779</v>
      </c>
      <c r="H456" s="81" t="s">
        <v>423</v>
      </c>
    </row>
    <row r="457" spans="1:8" x14ac:dyDescent="0.3">
      <c r="A457" s="81" t="s">
        <v>1502</v>
      </c>
      <c r="B457" s="81" t="s">
        <v>14</v>
      </c>
      <c r="C457" s="81" t="s">
        <v>6251</v>
      </c>
      <c r="D457" s="81" t="s">
        <v>7427</v>
      </c>
      <c r="E457" s="81" t="s">
        <v>20</v>
      </c>
      <c r="F457" s="81" t="s">
        <v>15</v>
      </c>
      <c r="G457" s="81" t="s">
        <v>427</v>
      </c>
      <c r="H457" s="81" t="s">
        <v>1060</v>
      </c>
    </row>
    <row r="458" spans="1:8" x14ac:dyDescent="0.3">
      <c r="A458" s="81" t="s">
        <v>1746</v>
      </c>
      <c r="B458" s="81" t="s">
        <v>822</v>
      </c>
      <c r="C458" s="81" t="s">
        <v>1464</v>
      </c>
      <c r="D458" s="81" t="s">
        <v>3767</v>
      </c>
      <c r="E458" s="81" t="s">
        <v>16</v>
      </c>
      <c r="F458" s="81" t="s">
        <v>371</v>
      </c>
      <c r="G458" s="81" t="s">
        <v>2780</v>
      </c>
      <c r="H458" s="81" t="s">
        <v>423</v>
      </c>
    </row>
    <row r="459" spans="1:8" x14ac:dyDescent="0.3">
      <c r="A459" s="81" t="s">
        <v>1747</v>
      </c>
      <c r="B459" s="81" t="s">
        <v>822</v>
      </c>
      <c r="C459" s="81" t="s">
        <v>1464</v>
      </c>
      <c r="D459" s="81" t="s">
        <v>3767</v>
      </c>
      <c r="E459" s="81" t="s">
        <v>16</v>
      </c>
      <c r="F459" s="81" t="s">
        <v>372</v>
      </c>
      <c r="G459" s="81" t="s">
        <v>2781</v>
      </c>
      <c r="H459" s="81" t="s">
        <v>423</v>
      </c>
    </row>
    <row r="460" spans="1:8" x14ac:dyDescent="0.3">
      <c r="A460" s="81" t="s">
        <v>1748</v>
      </c>
      <c r="B460" s="81" t="s">
        <v>822</v>
      </c>
      <c r="C460" s="81" t="s">
        <v>1464</v>
      </c>
      <c r="D460" s="81" t="s">
        <v>3767</v>
      </c>
      <c r="E460" s="81" t="s">
        <v>16</v>
      </c>
      <c r="F460" s="81" t="s">
        <v>373</v>
      </c>
      <c r="G460" s="81" t="s">
        <v>2782</v>
      </c>
      <c r="H460" s="81" t="s">
        <v>423</v>
      </c>
    </row>
    <row r="461" spans="1:8" x14ac:dyDescent="0.3">
      <c r="A461" s="81" t="s">
        <v>1749</v>
      </c>
      <c r="B461" s="81" t="s">
        <v>822</v>
      </c>
      <c r="C461" s="81" t="s">
        <v>1464</v>
      </c>
      <c r="D461" s="81" t="s">
        <v>3767</v>
      </c>
      <c r="E461" s="81" t="s">
        <v>16</v>
      </c>
      <c r="F461" s="81" t="s">
        <v>374</v>
      </c>
      <c r="G461" s="81" t="s">
        <v>2783</v>
      </c>
      <c r="H461" s="81" t="s">
        <v>423</v>
      </c>
    </row>
    <row r="462" spans="1:8" x14ac:dyDescent="0.3">
      <c r="A462" s="81" t="s">
        <v>1750</v>
      </c>
      <c r="B462" s="81" t="s">
        <v>822</v>
      </c>
      <c r="C462" s="81" t="s">
        <v>1464</v>
      </c>
      <c r="D462" s="81" t="s">
        <v>3767</v>
      </c>
      <c r="E462" s="81" t="s">
        <v>16</v>
      </c>
      <c r="F462" s="81" t="s">
        <v>375</v>
      </c>
      <c r="G462" s="81" t="s">
        <v>2784</v>
      </c>
      <c r="H462" s="81" t="s">
        <v>423</v>
      </c>
    </row>
    <row r="463" spans="1:8" x14ac:dyDescent="0.3">
      <c r="A463" s="81" t="s">
        <v>1751</v>
      </c>
      <c r="B463" s="81" t="s">
        <v>822</v>
      </c>
      <c r="C463" s="81" t="s">
        <v>1464</v>
      </c>
      <c r="D463" s="81" t="s">
        <v>3767</v>
      </c>
      <c r="E463" s="81" t="s">
        <v>16</v>
      </c>
      <c r="F463" s="81" t="s">
        <v>376</v>
      </c>
      <c r="G463" s="81" t="s">
        <v>2785</v>
      </c>
      <c r="H463" s="81" t="s">
        <v>423</v>
      </c>
    </row>
    <row r="464" spans="1:8" x14ac:dyDescent="0.3">
      <c r="A464" s="81" t="s">
        <v>1752</v>
      </c>
      <c r="B464" s="81" t="s">
        <v>822</v>
      </c>
      <c r="C464" s="81" t="s">
        <v>1464</v>
      </c>
      <c r="D464" s="81" t="s">
        <v>3767</v>
      </c>
      <c r="E464" s="81" t="s">
        <v>16</v>
      </c>
      <c r="F464" s="81" t="s">
        <v>377</v>
      </c>
      <c r="G464" s="81" t="s">
        <v>2786</v>
      </c>
      <c r="H464" s="81" t="s">
        <v>423</v>
      </c>
    </row>
    <row r="465" spans="1:8" x14ac:dyDescent="0.3">
      <c r="A465" s="81" t="s">
        <v>1753</v>
      </c>
      <c r="B465" s="81" t="s">
        <v>822</v>
      </c>
      <c r="C465" s="81" t="s">
        <v>1464</v>
      </c>
      <c r="D465" s="81" t="s">
        <v>3767</v>
      </c>
      <c r="E465" s="81" t="s">
        <v>16</v>
      </c>
      <c r="F465" s="81" t="s">
        <v>378</v>
      </c>
      <c r="G465" s="81" t="s">
        <v>2787</v>
      </c>
      <c r="H465" s="81" t="s">
        <v>423</v>
      </c>
    </row>
    <row r="466" spans="1:8" x14ac:dyDescent="0.3">
      <c r="A466" s="81" t="s">
        <v>1754</v>
      </c>
      <c r="B466" s="81" t="s">
        <v>822</v>
      </c>
      <c r="C466" s="81" t="s">
        <v>1464</v>
      </c>
      <c r="D466" s="81" t="s">
        <v>3767</v>
      </c>
      <c r="E466" s="81" t="s">
        <v>16</v>
      </c>
      <c r="F466" s="81" t="s">
        <v>379</v>
      </c>
      <c r="G466" s="81" t="s">
        <v>2788</v>
      </c>
      <c r="H466" s="81" t="s">
        <v>423</v>
      </c>
    </row>
    <row r="467" spans="1:8" x14ac:dyDescent="0.3">
      <c r="A467" s="81" t="s">
        <v>1035</v>
      </c>
      <c r="B467" s="81" t="s">
        <v>822</v>
      </c>
      <c r="C467" s="81" t="s">
        <v>1464</v>
      </c>
      <c r="D467" s="81" t="s">
        <v>3767</v>
      </c>
      <c r="E467" s="81" t="s">
        <v>16</v>
      </c>
      <c r="F467" s="81" t="s">
        <v>380</v>
      </c>
      <c r="G467" s="81" t="s">
        <v>2789</v>
      </c>
      <c r="H467" s="81" t="s">
        <v>423</v>
      </c>
    </row>
    <row r="468" spans="1:8" x14ac:dyDescent="0.3">
      <c r="A468" s="81" t="s">
        <v>1036</v>
      </c>
      <c r="B468" s="81" t="s">
        <v>822</v>
      </c>
      <c r="C468" s="81" t="s">
        <v>1464</v>
      </c>
      <c r="D468" s="81" t="s">
        <v>3767</v>
      </c>
      <c r="E468" s="81" t="s">
        <v>16</v>
      </c>
      <c r="F468" s="81" t="s">
        <v>381</v>
      </c>
      <c r="G468" s="81" t="s">
        <v>2790</v>
      </c>
      <c r="H468" s="81" t="s">
        <v>423</v>
      </c>
    </row>
    <row r="469" spans="1:8" x14ac:dyDescent="0.3">
      <c r="A469" s="81" t="s">
        <v>1037</v>
      </c>
      <c r="B469" s="81" t="s">
        <v>822</v>
      </c>
      <c r="C469" s="81" t="s">
        <v>1464</v>
      </c>
      <c r="D469" s="81" t="s">
        <v>3767</v>
      </c>
      <c r="E469" s="81" t="s">
        <v>16</v>
      </c>
      <c r="F469" s="81" t="s">
        <v>382</v>
      </c>
      <c r="G469" s="81" t="s">
        <v>2791</v>
      </c>
      <c r="H469" s="81" t="s">
        <v>423</v>
      </c>
    </row>
    <row r="470" spans="1:8" x14ac:dyDescent="0.3">
      <c r="A470" s="81" t="s">
        <v>1038</v>
      </c>
      <c r="B470" s="81" t="s">
        <v>822</v>
      </c>
      <c r="C470" s="81" t="s">
        <v>1464</v>
      </c>
      <c r="D470" s="81" t="s">
        <v>3767</v>
      </c>
      <c r="E470" s="81" t="s">
        <v>16</v>
      </c>
      <c r="F470" s="81" t="s">
        <v>383</v>
      </c>
      <c r="G470" s="81" t="s">
        <v>2792</v>
      </c>
      <c r="H470" s="81" t="s">
        <v>423</v>
      </c>
    </row>
    <row r="471" spans="1:8" x14ac:dyDescent="0.3">
      <c r="A471" s="81" t="s">
        <v>1039</v>
      </c>
      <c r="B471" s="81" t="s">
        <v>1467</v>
      </c>
      <c r="C471" s="81" t="s">
        <v>1468</v>
      </c>
      <c r="D471" s="81" t="s">
        <v>4685</v>
      </c>
      <c r="E471" s="81" t="s">
        <v>20</v>
      </c>
      <c r="F471" s="81" t="s">
        <v>15</v>
      </c>
      <c r="G471" s="81" t="s">
        <v>2793</v>
      </c>
      <c r="H471" s="81" t="s">
        <v>423</v>
      </c>
    </row>
    <row r="472" spans="1:8" x14ac:dyDescent="0.3">
      <c r="A472" s="81" t="s">
        <v>1040</v>
      </c>
      <c r="B472" s="81" t="s">
        <v>1467</v>
      </c>
      <c r="C472" s="81" t="s">
        <v>1468</v>
      </c>
      <c r="D472" s="81" t="s">
        <v>4685</v>
      </c>
      <c r="E472" s="81" t="s">
        <v>16</v>
      </c>
      <c r="F472" s="81" t="s">
        <v>368</v>
      </c>
      <c r="G472" s="81" t="s">
        <v>2794</v>
      </c>
      <c r="H472" s="81" t="s">
        <v>423</v>
      </c>
    </row>
    <row r="473" spans="1:8" x14ac:dyDescent="0.3">
      <c r="A473" s="81" t="s">
        <v>1041</v>
      </c>
      <c r="B473" s="81" t="s">
        <v>1467</v>
      </c>
      <c r="C473" s="81" t="s">
        <v>1468</v>
      </c>
      <c r="D473" s="81" t="s">
        <v>4685</v>
      </c>
      <c r="E473" s="81" t="s">
        <v>16</v>
      </c>
      <c r="F473" s="81" t="s">
        <v>369</v>
      </c>
      <c r="G473" s="81" t="s">
        <v>2795</v>
      </c>
      <c r="H473" s="81" t="s">
        <v>423</v>
      </c>
    </row>
    <row r="474" spans="1:8" x14ac:dyDescent="0.3">
      <c r="A474" s="81" t="s">
        <v>1042</v>
      </c>
      <c r="B474" s="81" t="s">
        <v>1467</v>
      </c>
      <c r="C474" s="81" t="s">
        <v>1468</v>
      </c>
      <c r="D474" s="81" t="s">
        <v>4685</v>
      </c>
      <c r="E474" s="81" t="s">
        <v>16</v>
      </c>
      <c r="F474" s="81" t="s">
        <v>370</v>
      </c>
      <c r="G474" s="81" t="s">
        <v>2796</v>
      </c>
      <c r="H474" s="81" t="s">
        <v>423</v>
      </c>
    </row>
    <row r="475" spans="1:8" x14ac:dyDescent="0.3">
      <c r="A475" s="81" t="s">
        <v>1043</v>
      </c>
      <c r="B475" s="81" t="s">
        <v>1467</v>
      </c>
      <c r="C475" s="81" t="s">
        <v>1468</v>
      </c>
      <c r="D475" s="81" t="s">
        <v>4685</v>
      </c>
      <c r="E475" s="81" t="s">
        <v>16</v>
      </c>
      <c r="F475" s="81" t="s">
        <v>371</v>
      </c>
      <c r="G475" s="81" t="s">
        <v>2797</v>
      </c>
      <c r="H475" s="81" t="s">
        <v>423</v>
      </c>
    </row>
    <row r="476" spans="1:8" x14ac:dyDescent="0.3">
      <c r="A476" s="81" t="s">
        <v>1044</v>
      </c>
      <c r="B476" s="81" t="s">
        <v>1467</v>
      </c>
      <c r="C476" s="81" t="s">
        <v>1468</v>
      </c>
      <c r="D476" s="81" t="s">
        <v>4685</v>
      </c>
      <c r="E476" s="81" t="s">
        <v>16</v>
      </c>
      <c r="F476" s="81" t="s">
        <v>372</v>
      </c>
      <c r="G476" s="81" t="s">
        <v>2798</v>
      </c>
      <c r="H476" s="81" t="s">
        <v>423</v>
      </c>
    </row>
    <row r="477" spans="1:8" x14ac:dyDescent="0.3">
      <c r="A477" s="81" t="s">
        <v>1045</v>
      </c>
      <c r="B477" s="81" t="s">
        <v>1467</v>
      </c>
      <c r="C477" s="81" t="s">
        <v>1468</v>
      </c>
      <c r="D477" s="81" t="s">
        <v>4685</v>
      </c>
      <c r="E477" s="81" t="s">
        <v>16</v>
      </c>
      <c r="F477" s="81" t="s">
        <v>373</v>
      </c>
      <c r="G477" s="81" t="s">
        <v>2799</v>
      </c>
      <c r="H477" s="81" t="s">
        <v>423</v>
      </c>
    </row>
    <row r="478" spans="1:8" x14ac:dyDescent="0.3">
      <c r="A478" s="81" t="s">
        <v>1046</v>
      </c>
      <c r="B478" s="81" t="s">
        <v>1467</v>
      </c>
      <c r="C478" s="81" t="s">
        <v>1468</v>
      </c>
      <c r="D478" s="81" t="s">
        <v>4685</v>
      </c>
      <c r="E478" s="81" t="s">
        <v>16</v>
      </c>
      <c r="F478" s="81" t="s">
        <v>374</v>
      </c>
      <c r="G478" s="81" t="s">
        <v>2800</v>
      </c>
      <c r="H478" s="81" t="s">
        <v>423</v>
      </c>
    </row>
    <row r="479" spans="1:8" x14ac:dyDescent="0.3">
      <c r="A479" s="81" t="s">
        <v>1047</v>
      </c>
      <c r="B479" s="81" t="s">
        <v>1467</v>
      </c>
      <c r="C479" s="81" t="s">
        <v>1468</v>
      </c>
      <c r="D479" s="81" t="s">
        <v>4685</v>
      </c>
      <c r="E479" s="81" t="s">
        <v>16</v>
      </c>
      <c r="F479" s="81" t="s">
        <v>375</v>
      </c>
      <c r="G479" s="81" t="s">
        <v>2801</v>
      </c>
      <c r="H479" s="81" t="s">
        <v>423</v>
      </c>
    </row>
    <row r="480" spans="1:8" x14ac:dyDescent="0.3">
      <c r="A480" s="81" t="s">
        <v>1048</v>
      </c>
      <c r="B480" s="81" t="s">
        <v>1467</v>
      </c>
      <c r="C480" s="81" t="s">
        <v>1468</v>
      </c>
      <c r="D480" s="81" t="s">
        <v>4685</v>
      </c>
      <c r="E480" s="81" t="s">
        <v>16</v>
      </c>
      <c r="F480" s="81" t="s">
        <v>376</v>
      </c>
      <c r="G480" s="81" t="s">
        <v>2802</v>
      </c>
      <c r="H480" s="81" t="s">
        <v>423</v>
      </c>
    </row>
    <row r="481" spans="1:8" x14ac:dyDescent="0.3">
      <c r="A481" s="81" t="s">
        <v>1049</v>
      </c>
      <c r="B481" s="81" t="s">
        <v>1467</v>
      </c>
      <c r="C481" s="81" t="s">
        <v>1468</v>
      </c>
      <c r="D481" s="81" t="s">
        <v>4685</v>
      </c>
      <c r="E481" s="81" t="s">
        <v>16</v>
      </c>
      <c r="F481" s="81" t="s">
        <v>377</v>
      </c>
      <c r="G481" s="81" t="s">
        <v>2803</v>
      </c>
      <c r="H481" s="81" t="s">
        <v>423</v>
      </c>
    </row>
    <row r="482" spans="1:8" x14ac:dyDescent="0.3">
      <c r="A482" s="81" t="s">
        <v>1050</v>
      </c>
      <c r="B482" s="81" t="s">
        <v>1467</v>
      </c>
      <c r="C482" s="81" t="s">
        <v>1468</v>
      </c>
      <c r="D482" s="81" t="s">
        <v>4685</v>
      </c>
      <c r="E482" s="81" t="s">
        <v>16</v>
      </c>
      <c r="F482" s="81" t="s">
        <v>378</v>
      </c>
      <c r="G482" s="81" t="s">
        <v>2804</v>
      </c>
      <c r="H482" s="81" t="s">
        <v>423</v>
      </c>
    </row>
    <row r="483" spans="1:8" x14ac:dyDescent="0.3">
      <c r="A483" s="81" t="s">
        <v>1051</v>
      </c>
      <c r="B483" s="81" t="s">
        <v>1467</v>
      </c>
      <c r="C483" s="81" t="s">
        <v>1468</v>
      </c>
      <c r="D483" s="81" t="s">
        <v>4685</v>
      </c>
      <c r="E483" s="81" t="s">
        <v>16</v>
      </c>
      <c r="F483" s="81" t="s">
        <v>379</v>
      </c>
      <c r="G483" s="81" t="s">
        <v>2805</v>
      </c>
      <c r="H483" s="81" t="s">
        <v>423</v>
      </c>
    </row>
    <row r="484" spans="1:8" x14ac:dyDescent="0.3">
      <c r="A484" s="81" t="s">
        <v>1052</v>
      </c>
      <c r="B484" s="81" t="s">
        <v>1467</v>
      </c>
      <c r="C484" s="81" t="s">
        <v>1468</v>
      </c>
      <c r="D484" s="81" t="s">
        <v>4685</v>
      </c>
      <c r="E484" s="81" t="s">
        <v>16</v>
      </c>
      <c r="F484" s="81" t="s">
        <v>380</v>
      </c>
      <c r="G484" s="81" t="s">
        <v>2806</v>
      </c>
      <c r="H484" s="81" t="s">
        <v>423</v>
      </c>
    </row>
    <row r="485" spans="1:8" x14ac:dyDescent="0.3">
      <c r="A485" s="81" t="s">
        <v>1053</v>
      </c>
      <c r="B485" s="81" t="s">
        <v>1467</v>
      </c>
      <c r="C485" s="81" t="s">
        <v>1468</v>
      </c>
      <c r="D485" s="81" t="s">
        <v>4685</v>
      </c>
      <c r="E485" s="81" t="s">
        <v>16</v>
      </c>
      <c r="F485" s="81" t="s">
        <v>381</v>
      </c>
      <c r="G485" s="81" t="s">
        <v>2807</v>
      </c>
      <c r="H485" s="81" t="s">
        <v>423</v>
      </c>
    </row>
    <row r="486" spans="1:8" x14ac:dyDescent="0.3">
      <c r="A486" s="81" t="s">
        <v>1054</v>
      </c>
      <c r="B486" s="81" t="s">
        <v>1467</v>
      </c>
      <c r="C486" s="81" t="s">
        <v>1468</v>
      </c>
      <c r="D486" s="81" t="s">
        <v>4685</v>
      </c>
      <c r="E486" s="81" t="s">
        <v>16</v>
      </c>
      <c r="F486" s="81" t="s">
        <v>382</v>
      </c>
      <c r="G486" s="81" t="s">
        <v>2808</v>
      </c>
      <c r="H486" s="81" t="s">
        <v>423</v>
      </c>
    </row>
    <row r="487" spans="1:8" x14ac:dyDescent="0.3">
      <c r="A487" s="81" t="s">
        <v>1055</v>
      </c>
      <c r="B487" s="81" t="s">
        <v>1467</v>
      </c>
      <c r="C487" s="81" t="s">
        <v>1468</v>
      </c>
      <c r="D487" s="81" t="s">
        <v>4685</v>
      </c>
      <c r="E487" s="81" t="s">
        <v>16</v>
      </c>
      <c r="F487" s="81" t="s">
        <v>383</v>
      </c>
      <c r="G487" s="81" t="s">
        <v>2809</v>
      </c>
      <c r="H487" s="81" t="s">
        <v>423</v>
      </c>
    </row>
    <row r="488" spans="1:8" x14ac:dyDescent="0.3">
      <c r="A488" s="81" t="s">
        <v>1056</v>
      </c>
      <c r="B488" s="81" t="s">
        <v>1030</v>
      </c>
      <c r="C488" s="81" t="s">
        <v>1480</v>
      </c>
      <c r="D488" s="81" t="s">
        <v>3768</v>
      </c>
      <c r="E488" s="81" t="s">
        <v>20</v>
      </c>
      <c r="F488" s="81" t="s">
        <v>15</v>
      </c>
      <c r="G488" s="81" t="s">
        <v>2810</v>
      </c>
      <c r="H488" s="81" t="s">
        <v>1475</v>
      </c>
    </row>
    <row r="489" spans="1:8" x14ac:dyDescent="0.3">
      <c r="A489" s="81" t="s">
        <v>1057</v>
      </c>
      <c r="B489" s="81" t="s">
        <v>1030</v>
      </c>
      <c r="C489" s="81" t="s">
        <v>1480</v>
      </c>
      <c r="D489" s="81" t="s">
        <v>3768</v>
      </c>
      <c r="E489" s="81" t="s">
        <v>20</v>
      </c>
      <c r="F489" s="81" t="s">
        <v>15</v>
      </c>
      <c r="G489" s="81" t="s">
        <v>2811</v>
      </c>
      <c r="H489" s="81" t="s">
        <v>1477</v>
      </c>
    </row>
    <row r="490" spans="1:8" x14ac:dyDescent="0.3">
      <c r="A490" s="81" t="s">
        <v>1083</v>
      </c>
      <c r="B490" s="81" t="s">
        <v>1030</v>
      </c>
      <c r="C490" s="81" t="s">
        <v>1480</v>
      </c>
      <c r="D490" s="81" t="s">
        <v>3768</v>
      </c>
      <c r="E490" s="81" t="s">
        <v>20</v>
      </c>
      <c r="F490" s="81" t="s">
        <v>15</v>
      </c>
      <c r="G490" s="81" t="s">
        <v>2812</v>
      </c>
      <c r="H490" s="81" t="s">
        <v>1484</v>
      </c>
    </row>
    <row r="491" spans="1:8" x14ac:dyDescent="0.3">
      <c r="A491" s="81" t="s">
        <v>1084</v>
      </c>
      <c r="B491" s="81" t="s">
        <v>1030</v>
      </c>
      <c r="C491" s="81" t="s">
        <v>1480</v>
      </c>
      <c r="D491" s="81" t="s">
        <v>3768</v>
      </c>
      <c r="E491" s="81" t="s">
        <v>20</v>
      </c>
      <c r="F491" s="81" t="s">
        <v>15</v>
      </c>
      <c r="G491" s="81" t="s">
        <v>2813</v>
      </c>
      <c r="H491" s="81" t="s">
        <v>1487</v>
      </c>
    </row>
    <row r="492" spans="1:8" x14ac:dyDescent="0.3">
      <c r="A492" s="81" t="s">
        <v>1085</v>
      </c>
      <c r="B492" s="81" t="s">
        <v>881</v>
      </c>
      <c r="C492" s="81" t="s">
        <v>1492</v>
      </c>
      <c r="D492" s="81" t="s">
        <v>1601</v>
      </c>
      <c r="E492" s="81" t="s">
        <v>20</v>
      </c>
      <c r="F492" s="81" t="s">
        <v>15</v>
      </c>
      <c r="G492" s="81" t="s">
        <v>2814</v>
      </c>
      <c r="H492" s="81" t="s">
        <v>1491</v>
      </c>
    </row>
    <row r="493" spans="1:8" x14ac:dyDescent="0.3">
      <c r="A493" s="81" t="s">
        <v>1086</v>
      </c>
      <c r="B493" s="81" t="s">
        <v>881</v>
      </c>
      <c r="C493" s="81" t="s">
        <v>1495</v>
      </c>
      <c r="D493" s="81" t="s">
        <v>1601</v>
      </c>
      <c r="E493" s="81" t="s">
        <v>20</v>
      </c>
      <c r="F493" s="81" t="s">
        <v>15</v>
      </c>
      <c r="G493" s="81" t="s">
        <v>2815</v>
      </c>
      <c r="H493" s="81" t="s">
        <v>1523</v>
      </c>
    </row>
    <row r="494" spans="1:8" x14ac:dyDescent="0.3">
      <c r="A494" s="81" t="s">
        <v>1087</v>
      </c>
      <c r="B494" s="81" t="s">
        <v>881</v>
      </c>
      <c r="C494" s="81" t="s">
        <v>1495</v>
      </c>
      <c r="D494" s="81" t="s">
        <v>1601</v>
      </c>
      <c r="E494" s="81" t="s">
        <v>16</v>
      </c>
      <c r="F494" s="81" t="s">
        <v>368</v>
      </c>
      <c r="G494" s="81" t="s">
        <v>2816</v>
      </c>
      <c r="H494" s="81" t="s">
        <v>2817</v>
      </c>
    </row>
    <row r="495" spans="1:8" x14ac:dyDescent="0.3">
      <c r="A495" s="81" t="s">
        <v>1088</v>
      </c>
      <c r="B495" s="81" t="s">
        <v>881</v>
      </c>
      <c r="C495" s="81" t="s">
        <v>1495</v>
      </c>
      <c r="D495" s="81" t="s">
        <v>1601</v>
      </c>
      <c r="E495" s="81" t="s">
        <v>16</v>
      </c>
      <c r="F495" s="81" t="s">
        <v>369</v>
      </c>
      <c r="G495" s="81" t="s">
        <v>2818</v>
      </c>
      <c r="H495" s="81" t="s">
        <v>2819</v>
      </c>
    </row>
    <row r="496" spans="1:8" x14ac:dyDescent="0.3">
      <c r="A496" s="81" t="s">
        <v>1089</v>
      </c>
      <c r="B496" s="81" t="s">
        <v>881</v>
      </c>
      <c r="C496" s="81" t="s">
        <v>1495</v>
      </c>
      <c r="D496" s="81" t="s">
        <v>1601</v>
      </c>
      <c r="E496" s="81" t="s">
        <v>16</v>
      </c>
      <c r="F496" s="81" t="s">
        <v>370</v>
      </c>
      <c r="G496" s="81" t="s">
        <v>2820</v>
      </c>
      <c r="H496" s="81" t="s">
        <v>2821</v>
      </c>
    </row>
    <row r="497" spans="1:8" x14ac:dyDescent="0.3">
      <c r="A497" s="81" t="s">
        <v>1090</v>
      </c>
      <c r="B497" s="81" t="s">
        <v>881</v>
      </c>
      <c r="C497" s="81" t="s">
        <v>1495</v>
      </c>
      <c r="D497" s="81" t="s">
        <v>1601</v>
      </c>
      <c r="E497" s="81" t="s">
        <v>16</v>
      </c>
      <c r="F497" s="81" t="s">
        <v>371</v>
      </c>
      <c r="G497" s="81" t="s">
        <v>2822</v>
      </c>
      <c r="H497" s="81" t="s">
        <v>2823</v>
      </c>
    </row>
    <row r="498" spans="1:8" x14ac:dyDescent="0.3">
      <c r="A498" s="81" t="s">
        <v>1091</v>
      </c>
      <c r="B498" s="81" t="s">
        <v>881</v>
      </c>
      <c r="C498" s="81" t="s">
        <v>1495</v>
      </c>
      <c r="D498" s="81" t="s">
        <v>1601</v>
      </c>
      <c r="E498" s="81" t="s">
        <v>16</v>
      </c>
      <c r="F498" s="81" t="s">
        <v>372</v>
      </c>
      <c r="G498" s="81" t="s">
        <v>2824</v>
      </c>
      <c r="H498" s="81" t="s">
        <v>2825</v>
      </c>
    </row>
    <row r="499" spans="1:8" x14ac:dyDescent="0.3">
      <c r="A499" s="81" t="s">
        <v>1092</v>
      </c>
      <c r="B499" s="81" t="s">
        <v>881</v>
      </c>
      <c r="C499" s="81" t="s">
        <v>1495</v>
      </c>
      <c r="D499" s="81" t="s">
        <v>1601</v>
      </c>
      <c r="E499" s="81" t="s">
        <v>16</v>
      </c>
      <c r="F499" s="81" t="s">
        <v>373</v>
      </c>
      <c r="G499" s="81" t="s">
        <v>2826</v>
      </c>
      <c r="H499" s="81" t="s">
        <v>2827</v>
      </c>
    </row>
    <row r="500" spans="1:8" x14ac:dyDescent="0.3">
      <c r="A500" s="81" t="s">
        <v>1093</v>
      </c>
      <c r="B500" s="81" t="s">
        <v>881</v>
      </c>
      <c r="C500" s="81" t="s">
        <v>1495</v>
      </c>
      <c r="D500" s="81" t="s">
        <v>1601</v>
      </c>
      <c r="E500" s="81" t="s">
        <v>16</v>
      </c>
      <c r="F500" s="81" t="s">
        <v>374</v>
      </c>
      <c r="G500" s="81" t="s">
        <v>2828</v>
      </c>
      <c r="H500" s="81" t="s">
        <v>2829</v>
      </c>
    </row>
    <row r="501" spans="1:8" x14ac:dyDescent="0.3">
      <c r="A501" s="81" t="s">
        <v>1094</v>
      </c>
      <c r="B501" s="81" t="s">
        <v>881</v>
      </c>
      <c r="C501" s="81" t="s">
        <v>1495</v>
      </c>
      <c r="D501" s="81" t="s">
        <v>1601</v>
      </c>
      <c r="E501" s="81" t="s">
        <v>16</v>
      </c>
      <c r="F501" s="81" t="s">
        <v>375</v>
      </c>
      <c r="G501" s="81" t="s">
        <v>2830</v>
      </c>
      <c r="H501" s="81" t="s">
        <v>2831</v>
      </c>
    </row>
    <row r="502" spans="1:8" x14ac:dyDescent="0.3">
      <c r="A502" s="81" t="s">
        <v>1095</v>
      </c>
      <c r="B502" s="81" t="s">
        <v>881</v>
      </c>
      <c r="C502" s="81" t="s">
        <v>1495</v>
      </c>
      <c r="D502" s="81" t="s">
        <v>1601</v>
      </c>
      <c r="E502" s="81" t="s">
        <v>16</v>
      </c>
      <c r="F502" s="81" t="s">
        <v>376</v>
      </c>
      <c r="G502" s="81" t="s">
        <v>2832</v>
      </c>
      <c r="H502" s="81" t="s">
        <v>2833</v>
      </c>
    </row>
    <row r="503" spans="1:8" x14ac:dyDescent="0.3">
      <c r="A503" s="81" t="s">
        <v>1096</v>
      </c>
      <c r="B503" s="81" t="s">
        <v>881</v>
      </c>
      <c r="C503" s="81" t="s">
        <v>1495</v>
      </c>
      <c r="D503" s="81" t="s">
        <v>1601</v>
      </c>
      <c r="E503" s="81" t="s">
        <v>16</v>
      </c>
      <c r="F503" s="81" t="s">
        <v>377</v>
      </c>
      <c r="G503" s="81" t="s">
        <v>2834</v>
      </c>
      <c r="H503" s="81" t="s">
        <v>2835</v>
      </c>
    </row>
    <row r="504" spans="1:8" x14ac:dyDescent="0.3">
      <c r="A504" s="81" t="s">
        <v>1097</v>
      </c>
      <c r="B504" s="81" t="s">
        <v>881</v>
      </c>
      <c r="C504" s="81" t="s">
        <v>1495</v>
      </c>
      <c r="D504" s="81" t="s">
        <v>1601</v>
      </c>
      <c r="E504" s="81" t="s">
        <v>16</v>
      </c>
      <c r="F504" s="81" t="s">
        <v>378</v>
      </c>
      <c r="G504" s="81" t="s">
        <v>2836</v>
      </c>
      <c r="H504" s="81" t="s">
        <v>2837</v>
      </c>
    </row>
    <row r="505" spans="1:8" x14ac:dyDescent="0.3">
      <c r="A505" s="81" t="s">
        <v>1098</v>
      </c>
      <c r="B505" s="81" t="s">
        <v>881</v>
      </c>
      <c r="C505" s="81" t="s">
        <v>1495</v>
      </c>
      <c r="D505" s="81" t="s">
        <v>1601</v>
      </c>
      <c r="E505" s="81" t="s">
        <v>16</v>
      </c>
      <c r="F505" s="81" t="s">
        <v>379</v>
      </c>
      <c r="G505" s="81" t="s">
        <v>2838</v>
      </c>
      <c r="H505" s="81" t="s">
        <v>2839</v>
      </c>
    </row>
    <row r="506" spans="1:8" x14ac:dyDescent="0.3">
      <c r="A506" s="81" t="s">
        <v>1099</v>
      </c>
      <c r="B506" s="81" t="s">
        <v>881</v>
      </c>
      <c r="C506" s="81" t="s">
        <v>1495</v>
      </c>
      <c r="D506" s="81" t="s">
        <v>1601</v>
      </c>
      <c r="E506" s="81" t="s">
        <v>16</v>
      </c>
      <c r="F506" s="81" t="s">
        <v>380</v>
      </c>
      <c r="G506" s="81" t="s">
        <v>2840</v>
      </c>
      <c r="H506" s="81" t="s">
        <v>2841</v>
      </c>
    </row>
    <row r="507" spans="1:8" x14ac:dyDescent="0.3">
      <c r="A507" s="81" t="s">
        <v>1100</v>
      </c>
      <c r="B507" s="81" t="s">
        <v>881</v>
      </c>
      <c r="C507" s="81" t="s">
        <v>1495</v>
      </c>
      <c r="D507" s="81" t="s">
        <v>1601</v>
      </c>
      <c r="E507" s="81" t="s">
        <v>16</v>
      </c>
      <c r="F507" s="81" t="s">
        <v>381</v>
      </c>
      <c r="G507" s="81" t="s">
        <v>2842</v>
      </c>
      <c r="H507" s="81" t="s">
        <v>2843</v>
      </c>
    </row>
    <row r="508" spans="1:8" x14ac:dyDescent="0.3">
      <c r="A508" s="81" t="s">
        <v>1101</v>
      </c>
      <c r="B508" s="81" t="s">
        <v>881</v>
      </c>
      <c r="C508" s="81" t="s">
        <v>1495</v>
      </c>
      <c r="D508" s="81" t="s">
        <v>1601</v>
      </c>
      <c r="E508" s="81" t="s">
        <v>16</v>
      </c>
      <c r="F508" s="81" t="s">
        <v>382</v>
      </c>
      <c r="G508" s="81" t="s">
        <v>2844</v>
      </c>
      <c r="H508" s="81" t="s">
        <v>2845</v>
      </c>
    </row>
    <row r="509" spans="1:8" x14ac:dyDescent="0.3">
      <c r="A509" s="81" t="s">
        <v>1102</v>
      </c>
      <c r="B509" s="81" t="s">
        <v>881</v>
      </c>
      <c r="C509" s="81" t="s">
        <v>1495</v>
      </c>
      <c r="D509" s="81" t="s">
        <v>1601</v>
      </c>
      <c r="E509" s="81" t="s">
        <v>16</v>
      </c>
      <c r="F509" s="81" t="s">
        <v>383</v>
      </c>
      <c r="G509" s="81" t="s">
        <v>2846</v>
      </c>
      <c r="H509" s="81" t="s">
        <v>2847</v>
      </c>
    </row>
    <row r="510" spans="1:8" x14ac:dyDescent="0.3">
      <c r="A510" s="81" t="s">
        <v>1103</v>
      </c>
      <c r="B510" s="81" t="s">
        <v>14</v>
      </c>
      <c r="C510" s="81" t="s">
        <v>1524</v>
      </c>
      <c r="D510" s="81" t="s">
        <v>7427</v>
      </c>
      <c r="E510" s="81" t="s">
        <v>20</v>
      </c>
      <c r="F510" s="81" t="s">
        <v>15</v>
      </c>
      <c r="G510" s="81" t="s">
        <v>2848</v>
      </c>
      <c r="H510" s="81" t="s">
        <v>1528</v>
      </c>
    </row>
    <row r="511" spans="1:8" x14ac:dyDescent="0.3">
      <c r="A511" s="81" t="s">
        <v>1104</v>
      </c>
      <c r="B511" s="81" t="s">
        <v>14</v>
      </c>
      <c r="C511" s="81" t="s">
        <v>1524</v>
      </c>
      <c r="D511" s="81" t="s">
        <v>7427</v>
      </c>
      <c r="E511" s="81" t="s">
        <v>16</v>
      </c>
      <c r="F511" s="81" t="s">
        <v>368</v>
      </c>
      <c r="G511" s="81" t="s">
        <v>2849</v>
      </c>
      <c r="H511" s="81" t="s">
        <v>423</v>
      </c>
    </row>
    <row r="512" spans="1:8" x14ac:dyDescent="0.3">
      <c r="A512" s="81" t="s">
        <v>1105</v>
      </c>
      <c r="B512" s="81" t="s">
        <v>14</v>
      </c>
      <c r="C512" s="81" t="s">
        <v>1524</v>
      </c>
      <c r="D512" s="81" t="s">
        <v>7427</v>
      </c>
      <c r="E512" s="81" t="s">
        <v>16</v>
      </c>
      <c r="F512" s="81" t="s">
        <v>369</v>
      </c>
      <c r="G512" s="81" t="s">
        <v>2850</v>
      </c>
      <c r="H512" s="81" t="s">
        <v>423</v>
      </c>
    </row>
    <row r="513" spans="1:8" x14ac:dyDescent="0.3">
      <c r="A513" s="81" t="s">
        <v>1106</v>
      </c>
      <c r="B513" s="81" t="s">
        <v>14</v>
      </c>
      <c r="C513" s="81" t="s">
        <v>1524</v>
      </c>
      <c r="D513" s="81" t="s">
        <v>7427</v>
      </c>
      <c r="E513" s="81" t="s">
        <v>16</v>
      </c>
      <c r="F513" s="81" t="s">
        <v>370</v>
      </c>
      <c r="G513" s="81" t="s">
        <v>2851</v>
      </c>
      <c r="H513" s="81" t="s">
        <v>423</v>
      </c>
    </row>
    <row r="514" spans="1:8" x14ac:dyDescent="0.3">
      <c r="A514" s="81" t="s">
        <v>1107</v>
      </c>
      <c r="B514" s="81" t="s">
        <v>14</v>
      </c>
      <c r="C514" s="81" t="s">
        <v>1524</v>
      </c>
      <c r="D514" s="81" t="s">
        <v>7427</v>
      </c>
      <c r="E514" s="81" t="s">
        <v>16</v>
      </c>
      <c r="F514" s="81" t="s">
        <v>371</v>
      </c>
      <c r="G514" s="81" t="s">
        <v>2852</v>
      </c>
      <c r="H514" s="81" t="s">
        <v>423</v>
      </c>
    </row>
    <row r="515" spans="1:8" x14ac:dyDescent="0.3">
      <c r="A515" s="81" t="s">
        <v>1108</v>
      </c>
      <c r="B515" s="81" t="s">
        <v>14</v>
      </c>
      <c r="C515" s="81" t="s">
        <v>1524</v>
      </c>
      <c r="D515" s="81" t="s">
        <v>7427</v>
      </c>
      <c r="E515" s="81" t="s">
        <v>16</v>
      </c>
      <c r="F515" s="81" t="s">
        <v>372</v>
      </c>
      <c r="G515" s="81" t="s">
        <v>2853</v>
      </c>
      <c r="H515" s="81" t="s">
        <v>423</v>
      </c>
    </row>
    <row r="516" spans="1:8" x14ac:dyDescent="0.3">
      <c r="A516" s="81" t="s">
        <v>1109</v>
      </c>
      <c r="B516" s="81" t="s">
        <v>14</v>
      </c>
      <c r="C516" s="81" t="s">
        <v>1524</v>
      </c>
      <c r="D516" s="81" t="s">
        <v>7427</v>
      </c>
      <c r="E516" s="81" t="s">
        <v>16</v>
      </c>
      <c r="F516" s="81" t="s">
        <v>373</v>
      </c>
      <c r="G516" s="81" t="s">
        <v>2854</v>
      </c>
      <c r="H516" s="81" t="s">
        <v>423</v>
      </c>
    </row>
    <row r="517" spans="1:8" x14ac:dyDescent="0.3">
      <c r="A517" s="81" t="s">
        <v>1110</v>
      </c>
      <c r="B517" s="81" t="s">
        <v>14</v>
      </c>
      <c r="C517" s="81" t="s">
        <v>1524</v>
      </c>
      <c r="D517" s="81" t="s">
        <v>7427</v>
      </c>
      <c r="E517" s="81" t="s">
        <v>16</v>
      </c>
      <c r="F517" s="81" t="s">
        <v>374</v>
      </c>
      <c r="G517" s="81" t="s">
        <v>2855</v>
      </c>
      <c r="H517" s="81" t="s">
        <v>423</v>
      </c>
    </row>
    <row r="518" spans="1:8" x14ac:dyDescent="0.3">
      <c r="A518" s="81" t="s">
        <v>1111</v>
      </c>
      <c r="B518" s="81" t="s">
        <v>14</v>
      </c>
      <c r="C518" s="81" t="s">
        <v>1524</v>
      </c>
      <c r="D518" s="81" t="s">
        <v>7427</v>
      </c>
      <c r="E518" s="81" t="s">
        <v>16</v>
      </c>
      <c r="F518" s="81" t="s">
        <v>375</v>
      </c>
      <c r="G518" s="81" t="s">
        <v>2856</v>
      </c>
      <c r="H518" s="81" t="s">
        <v>423</v>
      </c>
    </row>
    <row r="519" spans="1:8" x14ac:dyDescent="0.3">
      <c r="A519" s="81" t="s">
        <v>1112</v>
      </c>
      <c r="B519" s="81" t="s">
        <v>14</v>
      </c>
      <c r="C519" s="81" t="s">
        <v>1524</v>
      </c>
      <c r="D519" s="81" t="s">
        <v>7427</v>
      </c>
      <c r="E519" s="81" t="s">
        <v>16</v>
      </c>
      <c r="F519" s="81" t="s">
        <v>376</v>
      </c>
      <c r="G519" s="81" t="s">
        <v>2857</v>
      </c>
      <c r="H519" s="81" t="s">
        <v>423</v>
      </c>
    </row>
    <row r="520" spans="1:8" x14ac:dyDescent="0.3">
      <c r="A520" s="81" t="s">
        <v>1113</v>
      </c>
      <c r="B520" s="81" t="s">
        <v>14</v>
      </c>
      <c r="C520" s="81" t="s">
        <v>1524</v>
      </c>
      <c r="D520" s="81" t="s">
        <v>7427</v>
      </c>
      <c r="E520" s="81" t="s">
        <v>16</v>
      </c>
      <c r="F520" s="81" t="s">
        <v>377</v>
      </c>
      <c r="G520" s="81" t="s">
        <v>2858</v>
      </c>
      <c r="H520" s="81" t="s">
        <v>423</v>
      </c>
    </row>
    <row r="521" spans="1:8" x14ac:dyDescent="0.3">
      <c r="A521" s="81" t="s">
        <v>1114</v>
      </c>
      <c r="B521" s="81" t="s">
        <v>14</v>
      </c>
      <c r="C521" s="81" t="s">
        <v>1524</v>
      </c>
      <c r="D521" s="81" t="s">
        <v>7427</v>
      </c>
      <c r="E521" s="81" t="s">
        <v>16</v>
      </c>
      <c r="F521" s="81" t="s">
        <v>378</v>
      </c>
      <c r="G521" s="81" t="s">
        <v>2859</v>
      </c>
      <c r="H521" s="81" t="s">
        <v>423</v>
      </c>
    </row>
    <row r="522" spans="1:8" x14ac:dyDescent="0.3">
      <c r="A522" s="81" t="s">
        <v>1115</v>
      </c>
      <c r="B522" s="81" t="s">
        <v>14</v>
      </c>
      <c r="C522" s="81" t="s">
        <v>1524</v>
      </c>
      <c r="D522" s="81" t="s">
        <v>7427</v>
      </c>
      <c r="E522" s="81" t="s">
        <v>16</v>
      </c>
      <c r="F522" s="81" t="s">
        <v>379</v>
      </c>
      <c r="G522" s="81" t="s">
        <v>2860</v>
      </c>
      <c r="H522" s="81" t="s">
        <v>423</v>
      </c>
    </row>
    <row r="523" spans="1:8" x14ac:dyDescent="0.3">
      <c r="A523" s="81" t="s">
        <v>1116</v>
      </c>
      <c r="B523" s="81" t="s">
        <v>14</v>
      </c>
      <c r="C523" s="81" t="s">
        <v>1524</v>
      </c>
      <c r="D523" s="81" t="s">
        <v>7427</v>
      </c>
      <c r="E523" s="81" t="s">
        <v>16</v>
      </c>
      <c r="F523" s="81" t="s">
        <v>380</v>
      </c>
      <c r="G523" s="81" t="s">
        <v>2861</v>
      </c>
      <c r="H523" s="81" t="s">
        <v>423</v>
      </c>
    </row>
    <row r="524" spans="1:8" x14ac:dyDescent="0.3">
      <c r="A524" s="81" t="s">
        <v>1117</v>
      </c>
      <c r="B524" s="81" t="s">
        <v>14</v>
      </c>
      <c r="C524" s="81" t="s">
        <v>1524</v>
      </c>
      <c r="D524" s="81" t="s">
        <v>7427</v>
      </c>
      <c r="E524" s="81" t="s">
        <v>16</v>
      </c>
      <c r="F524" s="81" t="s">
        <v>381</v>
      </c>
      <c r="G524" s="81" t="s">
        <v>2862</v>
      </c>
      <c r="H524" s="81" t="s">
        <v>423</v>
      </c>
    </row>
    <row r="525" spans="1:8" x14ac:dyDescent="0.3">
      <c r="A525" s="81" t="s">
        <v>1118</v>
      </c>
      <c r="B525" s="81" t="s">
        <v>14</v>
      </c>
      <c r="C525" s="81" t="s">
        <v>1524</v>
      </c>
      <c r="D525" s="81" t="s">
        <v>7427</v>
      </c>
      <c r="E525" s="81" t="s">
        <v>16</v>
      </c>
      <c r="F525" s="81" t="s">
        <v>382</v>
      </c>
      <c r="G525" s="81" t="s">
        <v>2863</v>
      </c>
      <c r="H525" s="81" t="s">
        <v>423</v>
      </c>
    </row>
    <row r="526" spans="1:8" x14ac:dyDescent="0.3">
      <c r="A526" s="81" t="s">
        <v>1119</v>
      </c>
      <c r="B526" s="81" t="s">
        <v>14</v>
      </c>
      <c r="C526" s="81" t="s">
        <v>1524</v>
      </c>
      <c r="D526" s="81" t="s">
        <v>7427</v>
      </c>
      <c r="E526" s="81" t="s">
        <v>16</v>
      </c>
      <c r="F526" s="81" t="s">
        <v>383</v>
      </c>
      <c r="G526" s="81" t="s">
        <v>2864</v>
      </c>
      <c r="H526" s="81" t="s">
        <v>423</v>
      </c>
    </row>
    <row r="527" spans="1:8" x14ac:dyDescent="0.3">
      <c r="A527" s="81" t="s">
        <v>1120</v>
      </c>
      <c r="B527" s="81" t="s">
        <v>14</v>
      </c>
      <c r="C527" s="81" t="s">
        <v>1524</v>
      </c>
      <c r="D527" s="81" t="s">
        <v>7427</v>
      </c>
      <c r="E527" s="81" t="s">
        <v>20</v>
      </c>
      <c r="F527" s="81" t="s">
        <v>15</v>
      </c>
      <c r="G527" s="81" t="s">
        <v>2865</v>
      </c>
      <c r="H527" s="81" t="s">
        <v>423</v>
      </c>
    </row>
    <row r="528" spans="1:8" x14ac:dyDescent="0.3">
      <c r="A528" s="81" t="s">
        <v>1121</v>
      </c>
      <c r="B528" s="81" t="s">
        <v>14</v>
      </c>
      <c r="C528" s="81" t="s">
        <v>1524</v>
      </c>
      <c r="D528" s="81" t="s">
        <v>7427</v>
      </c>
      <c r="E528" s="81" t="s">
        <v>16</v>
      </c>
      <c r="F528" s="81" t="s">
        <v>368</v>
      </c>
      <c r="G528" s="81" t="s">
        <v>2866</v>
      </c>
      <c r="H528" s="81" t="s">
        <v>423</v>
      </c>
    </row>
    <row r="529" spans="1:8" x14ac:dyDescent="0.3">
      <c r="A529" s="81" t="s">
        <v>1122</v>
      </c>
      <c r="B529" s="81" t="s">
        <v>14</v>
      </c>
      <c r="C529" s="81" t="s">
        <v>1524</v>
      </c>
      <c r="D529" s="81" t="s">
        <v>7427</v>
      </c>
      <c r="E529" s="81" t="s">
        <v>16</v>
      </c>
      <c r="F529" s="81" t="s">
        <v>369</v>
      </c>
      <c r="G529" s="81" t="s">
        <v>2867</v>
      </c>
      <c r="H529" s="81" t="s">
        <v>423</v>
      </c>
    </row>
    <row r="530" spans="1:8" x14ac:dyDescent="0.3">
      <c r="A530" s="81" t="s">
        <v>1123</v>
      </c>
      <c r="B530" s="81" t="s">
        <v>14</v>
      </c>
      <c r="C530" s="81" t="s">
        <v>1524</v>
      </c>
      <c r="D530" s="81" t="s">
        <v>7427</v>
      </c>
      <c r="E530" s="81" t="s">
        <v>16</v>
      </c>
      <c r="F530" s="81" t="s">
        <v>370</v>
      </c>
      <c r="G530" s="81" t="s">
        <v>2868</v>
      </c>
      <c r="H530" s="81" t="s">
        <v>423</v>
      </c>
    </row>
    <row r="531" spans="1:8" x14ac:dyDescent="0.3">
      <c r="A531" s="81" t="s">
        <v>1124</v>
      </c>
      <c r="B531" s="81" t="s">
        <v>14</v>
      </c>
      <c r="C531" s="81" t="s">
        <v>1524</v>
      </c>
      <c r="D531" s="81" t="s">
        <v>7427</v>
      </c>
      <c r="E531" s="81" t="s">
        <v>16</v>
      </c>
      <c r="F531" s="81" t="s">
        <v>371</v>
      </c>
      <c r="G531" s="81" t="s">
        <v>2869</v>
      </c>
      <c r="H531" s="81" t="s">
        <v>423</v>
      </c>
    </row>
    <row r="532" spans="1:8" x14ac:dyDescent="0.3">
      <c r="A532" s="81" t="s">
        <v>1125</v>
      </c>
      <c r="B532" s="81" t="s">
        <v>14</v>
      </c>
      <c r="C532" s="81" t="s">
        <v>1524</v>
      </c>
      <c r="D532" s="81" t="s">
        <v>7427</v>
      </c>
      <c r="E532" s="81" t="s">
        <v>16</v>
      </c>
      <c r="F532" s="81" t="s">
        <v>372</v>
      </c>
      <c r="G532" s="81" t="s">
        <v>2870</v>
      </c>
      <c r="H532" s="81" t="s">
        <v>423</v>
      </c>
    </row>
    <row r="533" spans="1:8" x14ac:dyDescent="0.3">
      <c r="A533" s="81" t="s">
        <v>1126</v>
      </c>
      <c r="B533" s="81" t="s">
        <v>14</v>
      </c>
      <c r="C533" s="81" t="s">
        <v>1524</v>
      </c>
      <c r="D533" s="81" t="s">
        <v>7427</v>
      </c>
      <c r="E533" s="81" t="s">
        <v>16</v>
      </c>
      <c r="F533" s="81" t="s">
        <v>373</v>
      </c>
      <c r="G533" s="81" t="s">
        <v>2871</v>
      </c>
      <c r="H533" s="81" t="s">
        <v>423</v>
      </c>
    </row>
    <row r="534" spans="1:8" x14ac:dyDescent="0.3">
      <c r="A534" s="81" t="s">
        <v>1127</v>
      </c>
      <c r="B534" s="81" t="s">
        <v>14</v>
      </c>
      <c r="C534" s="81" t="s">
        <v>1524</v>
      </c>
      <c r="D534" s="81" t="s">
        <v>7427</v>
      </c>
      <c r="E534" s="81" t="s">
        <v>16</v>
      </c>
      <c r="F534" s="81" t="s">
        <v>374</v>
      </c>
      <c r="G534" s="81" t="s">
        <v>2872</v>
      </c>
      <c r="H534" s="81" t="s">
        <v>423</v>
      </c>
    </row>
    <row r="535" spans="1:8" x14ac:dyDescent="0.3">
      <c r="A535" s="81" t="s">
        <v>1128</v>
      </c>
      <c r="B535" s="81" t="s">
        <v>14</v>
      </c>
      <c r="C535" s="81" t="s">
        <v>1524</v>
      </c>
      <c r="D535" s="81" t="s">
        <v>7427</v>
      </c>
      <c r="E535" s="81" t="s">
        <v>16</v>
      </c>
      <c r="F535" s="81" t="s">
        <v>375</v>
      </c>
      <c r="G535" s="81" t="s">
        <v>2873</v>
      </c>
      <c r="H535" s="81" t="s">
        <v>423</v>
      </c>
    </row>
    <row r="536" spans="1:8" x14ac:dyDescent="0.3">
      <c r="A536" s="81" t="s">
        <v>1129</v>
      </c>
      <c r="B536" s="81" t="s">
        <v>14</v>
      </c>
      <c r="C536" s="81" t="s">
        <v>1524</v>
      </c>
      <c r="D536" s="81" t="s">
        <v>7427</v>
      </c>
      <c r="E536" s="81" t="s">
        <v>16</v>
      </c>
      <c r="F536" s="81" t="s">
        <v>376</v>
      </c>
      <c r="G536" s="81" t="s">
        <v>2874</v>
      </c>
      <c r="H536" s="81" t="s">
        <v>423</v>
      </c>
    </row>
    <row r="537" spans="1:8" x14ac:dyDescent="0.3">
      <c r="A537" s="81" t="s">
        <v>1130</v>
      </c>
      <c r="B537" s="81" t="s">
        <v>14</v>
      </c>
      <c r="C537" s="81" t="s">
        <v>1524</v>
      </c>
      <c r="D537" s="81" t="s">
        <v>7427</v>
      </c>
      <c r="E537" s="81" t="s">
        <v>16</v>
      </c>
      <c r="F537" s="81" t="s">
        <v>377</v>
      </c>
      <c r="G537" s="81" t="s">
        <v>2875</v>
      </c>
      <c r="H537" s="81" t="s">
        <v>423</v>
      </c>
    </row>
    <row r="538" spans="1:8" x14ac:dyDescent="0.3">
      <c r="A538" s="81" t="s">
        <v>1131</v>
      </c>
      <c r="B538" s="81" t="s">
        <v>14</v>
      </c>
      <c r="C538" s="81" t="s">
        <v>1524</v>
      </c>
      <c r="D538" s="81" t="s">
        <v>7427</v>
      </c>
      <c r="E538" s="81" t="s">
        <v>16</v>
      </c>
      <c r="F538" s="81" t="s">
        <v>378</v>
      </c>
      <c r="G538" s="81" t="s">
        <v>2876</v>
      </c>
      <c r="H538" s="81" t="s">
        <v>423</v>
      </c>
    </row>
    <row r="539" spans="1:8" x14ac:dyDescent="0.3">
      <c r="A539" s="81" t="s">
        <v>1132</v>
      </c>
      <c r="B539" s="81" t="s">
        <v>14</v>
      </c>
      <c r="C539" s="81" t="s">
        <v>1524</v>
      </c>
      <c r="D539" s="81" t="s">
        <v>7427</v>
      </c>
      <c r="E539" s="81" t="s">
        <v>16</v>
      </c>
      <c r="F539" s="81" t="s">
        <v>379</v>
      </c>
      <c r="G539" s="81" t="s">
        <v>2877</v>
      </c>
      <c r="H539" s="81" t="s">
        <v>423</v>
      </c>
    </row>
    <row r="540" spans="1:8" x14ac:dyDescent="0.3">
      <c r="A540" s="81" t="s">
        <v>1133</v>
      </c>
      <c r="B540" s="81" t="s">
        <v>14</v>
      </c>
      <c r="C540" s="81" t="s">
        <v>1524</v>
      </c>
      <c r="D540" s="81" t="s">
        <v>7427</v>
      </c>
      <c r="E540" s="81" t="s">
        <v>16</v>
      </c>
      <c r="F540" s="81" t="s">
        <v>380</v>
      </c>
      <c r="G540" s="81" t="s">
        <v>2878</v>
      </c>
      <c r="H540" s="81" t="s">
        <v>423</v>
      </c>
    </row>
    <row r="541" spans="1:8" x14ac:dyDescent="0.3">
      <c r="A541" s="81" t="s">
        <v>1134</v>
      </c>
      <c r="B541" s="81" t="s">
        <v>14</v>
      </c>
      <c r="C541" s="81" t="s">
        <v>1524</v>
      </c>
      <c r="D541" s="81" t="s">
        <v>7427</v>
      </c>
      <c r="E541" s="81" t="s">
        <v>16</v>
      </c>
      <c r="F541" s="81" t="s">
        <v>381</v>
      </c>
      <c r="G541" s="81" t="s">
        <v>2879</v>
      </c>
      <c r="H541" s="81" t="s">
        <v>423</v>
      </c>
    </row>
    <row r="542" spans="1:8" x14ac:dyDescent="0.3">
      <c r="A542" s="81" t="s">
        <v>1135</v>
      </c>
      <c r="B542" s="81" t="s">
        <v>14</v>
      </c>
      <c r="C542" s="81" t="s">
        <v>1524</v>
      </c>
      <c r="D542" s="81" t="s">
        <v>7427</v>
      </c>
      <c r="E542" s="81" t="s">
        <v>16</v>
      </c>
      <c r="F542" s="81" t="s">
        <v>382</v>
      </c>
      <c r="G542" s="81" t="s">
        <v>2880</v>
      </c>
      <c r="H542" s="81" t="s">
        <v>423</v>
      </c>
    </row>
    <row r="543" spans="1:8" x14ac:dyDescent="0.3">
      <c r="A543" s="81" t="s">
        <v>1136</v>
      </c>
      <c r="B543" s="81" t="s">
        <v>14</v>
      </c>
      <c r="C543" s="81" t="s">
        <v>1524</v>
      </c>
      <c r="D543" s="81" t="s">
        <v>7427</v>
      </c>
      <c r="E543" s="81" t="s">
        <v>16</v>
      </c>
      <c r="F543" s="81" t="s">
        <v>383</v>
      </c>
      <c r="G543" s="81" t="s">
        <v>2881</v>
      </c>
      <c r="H543" s="81" t="s">
        <v>423</v>
      </c>
    </row>
    <row r="544" spans="1:8" x14ac:dyDescent="0.3">
      <c r="A544" s="81" t="s">
        <v>1137</v>
      </c>
      <c r="B544" s="81" t="s">
        <v>14</v>
      </c>
      <c r="C544" s="81" t="s">
        <v>1524</v>
      </c>
      <c r="D544" s="81" t="s">
        <v>7427</v>
      </c>
      <c r="E544" s="81" t="s">
        <v>20</v>
      </c>
      <c r="F544" s="81" t="s">
        <v>15</v>
      </c>
      <c r="G544" s="81" t="s">
        <v>2882</v>
      </c>
      <c r="H544" s="81" t="s">
        <v>1535</v>
      </c>
    </row>
    <row r="545" spans="1:8" x14ac:dyDescent="0.3">
      <c r="A545" s="81" t="s">
        <v>1138</v>
      </c>
      <c r="B545" s="81" t="s">
        <v>14</v>
      </c>
      <c r="C545" s="81" t="s">
        <v>1524</v>
      </c>
      <c r="D545" s="81" t="s">
        <v>7427</v>
      </c>
      <c r="E545" s="81" t="s">
        <v>16</v>
      </c>
      <c r="F545" s="81" t="s">
        <v>368</v>
      </c>
      <c r="G545" s="81" t="s">
        <v>2883</v>
      </c>
      <c r="H545" s="81" t="s">
        <v>423</v>
      </c>
    </row>
    <row r="546" spans="1:8" x14ac:dyDescent="0.3">
      <c r="A546" s="81" t="s">
        <v>1139</v>
      </c>
      <c r="B546" s="81" t="s">
        <v>14</v>
      </c>
      <c r="C546" s="81" t="s">
        <v>1524</v>
      </c>
      <c r="D546" s="81" t="s">
        <v>7427</v>
      </c>
      <c r="E546" s="81" t="s">
        <v>16</v>
      </c>
      <c r="F546" s="81" t="s">
        <v>369</v>
      </c>
      <c r="G546" s="81" t="s">
        <v>2884</v>
      </c>
      <c r="H546" s="81" t="s">
        <v>423</v>
      </c>
    </row>
    <row r="547" spans="1:8" x14ac:dyDescent="0.3">
      <c r="A547" s="81" t="s">
        <v>1140</v>
      </c>
      <c r="B547" s="81" t="s">
        <v>14</v>
      </c>
      <c r="C547" s="81" t="s">
        <v>1524</v>
      </c>
      <c r="D547" s="81" t="s">
        <v>7427</v>
      </c>
      <c r="E547" s="81" t="s">
        <v>16</v>
      </c>
      <c r="F547" s="81" t="s">
        <v>370</v>
      </c>
      <c r="G547" s="81" t="s">
        <v>2885</v>
      </c>
      <c r="H547" s="81" t="s">
        <v>423</v>
      </c>
    </row>
    <row r="548" spans="1:8" x14ac:dyDescent="0.3">
      <c r="A548" s="81" t="s">
        <v>1141</v>
      </c>
      <c r="B548" s="81" t="s">
        <v>14</v>
      </c>
      <c r="C548" s="81" t="s">
        <v>1524</v>
      </c>
      <c r="D548" s="81" t="s">
        <v>7427</v>
      </c>
      <c r="E548" s="81" t="s">
        <v>16</v>
      </c>
      <c r="F548" s="81" t="s">
        <v>371</v>
      </c>
      <c r="G548" s="81" t="s">
        <v>2886</v>
      </c>
      <c r="H548" s="81" t="s">
        <v>423</v>
      </c>
    </row>
    <row r="549" spans="1:8" x14ac:dyDescent="0.3">
      <c r="A549" s="81" t="s">
        <v>1142</v>
      </c>
      <c r="B549" s="81" t="s">
        <v>14</v>
      </c>
      <c r="C549" s="81" t="s">
        <v>1524</v>
      </c>
      <c r="D549" s="81" t="s">
        <v>7427</v>
      </c>
      <c r="E549" s="81" t="s">
        <v>16</v>
      </c>
      <c r="F549" s="81" t="s">
        <v>372</v>
      </c>
      <c r="G549" s="81" t="s">
        <v>2887</v>
      </c>
      <c r="H549" s="81" t="s">
        <v>423</v>
      </c>
    </row>
    <row r="550" spans="1:8" x14ac:dyDescent="0.3">
      <c r="A550" s="81" t="s">
        <v>1143</v>
      </c>
      <c r="B550" s="81" t="s">
        <v>14</v>
      </c>
      <c r="C550" s="81" t="s">
        <v>1524</v>
      </c>
      <c r="D550" s="81" t="s">
        <v>7427</v>
      </c>
      <c r="E550" s="81" t="s">
        <v>16</v>
      </c>
      <c r="F550" s="81" t="s">
        <v>373</v>
      </c>
      <c r="G550" s="81" t="s">
        <v>2888</v>
      </c>
      <c r="H550" s="81" t="s">
        <v>423</v>
      </c>
    </row>
    <row r="551" spans="1:8" x14ac:dyDescent="0.3">
      <c r="A551" s="81" t="s">
        <v>1144</v>
      </c>
      <c r="B551" s="81" t="s">
        <v>14</v>
      </c>
      <c r="C551" s="81" t="s">
        <v>1524</v>
      </c>
      <c r="D551" s="81" t="s">
        <v>7427</v>
      </c>
      <c r="E551" s="81" t="s">
        <v>16</v>
      </c>
      <c r="F551" s="81" t="s">
        <v>374</v>
      </c>
      <c r="G551" s="81" t="s">
        <v>2889</v>
      </c>
      <c r="H551" s="81" t="s">
        <v>423</v>
      </c>
    </row>
    <row r="552" spans="1:8" x14ac:dyDescent="0.3">
      <c r="A552" s="81" t="s">
        <v>1145</v>
      </c>
      <c r="B552" s="81" t="s">
        <v>14</v>
      </c>
      <c r="C552" s="81" t="s">
        <v>1524</v>
      </c>
      <c r="D552" s="81" t="s">
        <v>7427</v>
      </c>
      <c r="E552" s="81" t="s">
        <v>16</v>
      </c>
      <c r="F552" s="81" t="s">
        <v>375</v>
      </c>
      <c r="G552" s="81" t="s">
        <v>2890</v>
      </c>
      <c r="H552" s="81" t="s">
        <v>423</v>
      </c>
    </row>
    <row r="553" spans="1:8" x14ac:dyDescent="0.3">
      <c r="A553" s="81" t="s">
        <v>1146</v>
      </c>
      <c r="B553" s="81" t="s">
        <v>14</v>
      </c>
      <c r="C553" s="81" t="s">
        <v>1524</v>
      </c>
      <c r="D553" s="81" t="s">
        <v>7427</v>
      </c>
      <c r="E553" s="81" t="s">
        <v>16</v>
      </c>
      <c r="F553" s="81" t="s">
        <v>376</v>
      </c>
      <c r="G553" s="81" t="s">
        <v>2891</v>
      </c>
      <c r="H553" s="81" t="s">
        <v>423</v>
      </c>
    </row>
    <row r="554" spans="1:8" x14ac:dyDescent="0.3">
      <c r="A554" s="81" t="s">
        <v>1147</v>
      </c>
      <c r="B554" s="81" t="s">
        <v>14</v>
      </c>
      <c r="C554" s="81" t="s">
        <v>1524</v>
      </c>
      <c r="D554" s="81" t="s">
        <v>7427</v>
      </c>
      <c r="E554" s="81" t="s">
        <v>16</v>
      </c>
      <c r="F554" s="81" t="s">
        <v>377</v>
      </c>
      <c r="G554" s="81" t="s">
        <v>2892</v>
      </c>
      <c r="H554" s="81" t="s">
        <v>423</v>
      </c>
    </row>
    <row r="555" spans="1:8" x14ac:dyDescent="0.3">
      <c r="A555" s="81" t="s">
        <v>1148</v>
      </c>
      <c r="B555" s="81" t="s">
        <v>14</v>
      </c>
      <c r="C555" s="81" t="s">
        <v>1524</v>
      </c>
      <c r="D555" s="81" t="s">
        <v>7427</v>
      </c>
      <c r="E555" s="81" t="s">
        <v>16</v>
      </c>
      <c r="F555" s="81" t="s">
        <v>378</v>
      </c>
      <c r="G555" s="81" t="s">
        <v>2893</v>
      </c>
      <c r="H555" s="81" t="s">
        <v>423</v>
      </c>
    </row>
    <row r="556" spans="1:8" x14ac:dyDescent="0.3">
      <c r="A556" s="81" t="s">
        <v>1149</v>
      </c>
      <c r="B556" s="81" t="s">
        <v>14</v>
      </c>
      <c r="C556" s="81" t="s">
        <v>1524</v>
      </c>
      <c r="D556" s="81" t="s">
        <v>7427</v>
      </c>
      <c r="E556" s="81" t="s">
        <v>16</v>
      </c>
      <c r="F556" s="81" t="s">
        <v>379</v>
      </c>
      <c r="G556" s="81" t="s">
        <v>2894</v>
      </c>
      <c r="H556" s="81" t="s">
        <v>423</v>
      </c>
    </row>
    <row r="557" spans="1:8" x14ac:dyDescent="0.3">
      <c r="A557" s="81" t="s">
        <v>1150</v>
      </c>
      <c r="B557" s="81" t="s">
        <v>14</v>
      </c>
      <c r="C557" s="81" t="s">
        <v>1524</v>
      </c>
      <c r="D557" s="81" t="s">
        <v>7427</v>
      </c>
      <c r="E557" s="81" t="s">
        <v>16</v>
      </c>
      <c r="F557" s="81" t="s">
        <v>380</v>
      </c>
      <c r="G557" s="81" t="s">
        <v>2895</v>
      </c>
      <c r="H557" s="81" t="s">
        <v>423</v>
      </c>
    </row>
    <row r="558" spans="1:8" x14ac:dyDescent="0.3">
      <c r="A558" s="81" t="s">
        <v>1151</v>
      </c>
      <c r="B558" s="81" t="s">
        <v>14</v>
      </c>
      <c r="C558" s="81" t="s">
        <v>1524</v>
      </c>
      <c r="D558" s="81" t="s">
        <v>7427</v>
      </c>
      <c r="E558" s="81" t="s">
        <v>16</v>
      </c>
      <c r="F558" s="81" t="s">
        <v>381</v>
      </c>
      <c r="G558" s="81" t="s">
        <v>2896</v>
      </c>
      <c r="H558" s="81" t="s">
        <v>423</v>
      </c>
    </row>
    <row r="559" spans="1:8" x14ac:dyDescent="0.3">
      <c r="A559" s="81" t="s">
        <v>1152</v>
      </c>
      <c r="B559" s="81" t="s">
        <v>14</v>
      </c>
      <c r="C559" s="81" t="s">
        <v>1524</v>
      </c>
      <c r="D559" s="81" t="s">
        <v>7427</v>
      </c>
      <c r="E559" s="81" t="s">
        <v>16</v>
      </c>
      <c r="F559" s="81" t="s">
        <v>382</v>
      </c>
      <c r="G559" s="81" t="s">
        <v>2897</v>
      </c>
      <c r="H559" s="81" t="s">
        <v>423</v>
      </c>
    </row>
    <row r="560" spans="1:8" x14ac:dyDescent="0.3">
      <c r="A560" s="81" t="s">
        <v>1153</v>
      </c>
      <c r="B560" s="81" t="s">
        <v>14</v>
      </c>
      <c r="C560" s="81" t="s">
        <v>1524</v>
      </c>
      <c r="D560" s="81" t="s">
        <v>7427</v>
      </c>
      <c r="E560" s="81" t="s">
        <v>16</v>
      </c>
      <c r="F560" s="81" t="s">
        <v>383</v>
      </c>
      <c r="G560" s="81" t="s">
        <v>2898</v>
      </c>
      <c r="H560" s="81" t="s">
        <v>423</v>
      </c>
    </row>
    <row r="561" spans="1:8" x14ac:dyDescent="0.3">
      <c r="A561" s="81" t="s">
        <v>1154</v>
      </c>
      <c r="B561" s="81" t="s">
        <v>14</v>
      </c>
      <c r="C561" s="81" t="s">
        <v>6252</v>
      </c>
      <c r="D561" s="81" t="s">
        <v>7427</v>
      </c>
      <c r="E561" s="81" t="s">
        <v>20</v>
      </c>
      <c r="F561" s="81" t="s">
        <v>15</v>
      </c>
      <c r="G561" s="81" t="s">
        <v>2899</v>
      </c>
      <c r="H561" s="81" t="s">
        <v>1540</v>
      </c>
    </row>
    <row r="562" spans="1:8" x14ac:dyDescent="0.3">
      <c r="A562" s="81" t="s">
        <v>1155</v>
      </c>
      <c r="B562" s="81" t="s">
        <v>14</v>
      </c>
      <c r="C562" s="81" t="s">
        <v>6252</v>
      </c>
      <c r="D562" s="81" t="s">
        <v>7427</v>
      </c>
      <c r="E562" s="81" t="s">
        <v>16</v>
      </c>
      <c r="F562" s="81" t="s">
        <v>368</v>
      </c>
      <c r="G562" s="81" t="s">
        <v>2900</v>
      </c>
      <c r="H562" s="81" t="s">
        <v>423</v>
      </c>
    </row>
    <row r="563" spans="1:8" x14ac:dyDescent="0.3">
      <c r="A563" s="81" t="s">
        <v>1156</v>
      </c>
      <c r="B563" s="81" t="s">
        <v>14</v>
      </c>
      <c r="C563" s="81" t="s">
        <v>6252</v>
      </c>
      <c r="D563" s="81" t="s">
        <v>7427</v>
      </c>
      <c r="E563" s="81" t="s">
        <v>16</v>
      </c>
      <c r="F563" s="81" t="s">
        <v>369</v>
      </c>
      <c r="G563" s="81" t="s">
        <v>2901</v>
      </c>
      <c r="H563" s="81" t="s">
        <v>423</v>
      </c>
    </row>
    <row r="564" spans="1:8" x14ac:dyDescent="0.3">
      <c r="A564" s="81" t="s">
        <v>1157</v>
      </c>
      <c r="B564" s="81" t="s">
        <v>14</v>
      </c>
      <c r="C564" s="81" t="s">
        <v>6252</v>
      </c>
      <c r="D564" s="81" t="s">
        <v>7427</v>
      </c>
      <c r="E564" s="81" t="s">
        <v>16</v>
      </c>
      <c r="F564" s="81" t="s">
        <v>370</v>
      </c>
      <c r="G564" s="81" t="s">
        <v>2902</v>
      </c>
      <c r="H564" s="81" t="s">
        <v>423</v>
      </c>
    </row>
    <row r="565" spans="1:8" x14ac:dyDescent="0.3">
      <c r="A565" s="81" t="s">
        <v>1158</v>
      </c>
      <c r="B565" s="81" t="s">
        <v>14</v>
      </c>
      <c r="C565" s="81" t="s">
        <v>6252</v>
      </c>
      <c r="D565" s="81" t="s">
        <v>7427</v>
      </c>
      <c r="E565" s="81" t="s">
        <v>16</v>
      </c>
      <c r="F565" s="81" t="s">
        <v>371</v>
      </c>
      <c r="G565" s="81" t="s">
        <v>2903</v>
      </c>
      <c r="H565" s="81" t="s">
        <v>423</v>
      </c>
    </row>
    <row r="566" spans="1:8" x14ac:dyDescent="0.3">
      <c r="A566" s="81" t="s">
        <v>1159</v>
      </c>
      <c r="B566" s="81" t="s">
        <v>14</v>
      </c>
      <c r="C566" s="81" t="s">
        <v>6252</v>
      </c>
      <c r="D566" s="81" t="s">
        <v>7427</v>
      </c>
      <c r="E566" s="81" t="s">
        <v>16</v>
      </c>
      <c r="F566" s="81" t="s">
        <v>372</v>
      </c>
      <c r="G566" s="81" t="s">
        <v>2904</v>
      </c>
      <c r="H566" s="81" t="s">
        <v>423</v>
      </c>
    </row>
    <row r="567" spans="1:8" x14ac:dyDescent="0.3">
      <c r="A567" s="81" t="s">
        <v>1160</v>
      </c>
      <c r="B567" s="81" t="s">
        <v>14</v>
      </c>
      <c r="C567" s="81" t="s">
        <v>6252</v>
      </c>
      <c r="D567" s="81" t="s">
        <v>7427</v>
      </c>
      <c r="E567" s="81" t="s">
        <v>16</v>
      </c>
      <c r="F567" s="81" t="s">
        <v>373</v>
      </c>
      <c r="G567" s="81" t="s">
        <v>2905</v>
      </c>
      <c r="H567" s="81" t="s">
        <v>423</v>
      </c>
    </row>
    <row r="568" spans="1:8" x14ac:dyDescent="0.3">
      <c r="A568" s="81" t="s">
        <v>1161</v>
      </c>
      <c r="B568" s="81" t="s">
        <v>14</v>
      </c>
      <c r="C568" s="81" t="s">
        <v>6252</v>
      </c>
      <c r="D568" s="81" t="s">
        <v>7427</v>
      </c>
      <c r="E568" s="81" t="s">
        <v>16</v>
      </c>
      <c r="F568" s="81" t="s">
        <v>374</v>
      </c>
      <c r="G568" s="81" t="s">
        <v>2906</v>
      </c>
      <c r="H568" s="81" t="s">
        <v>423</v>
      </c>
    </row>
    <row r="569" spans="1:8" x14ac:dyDescent="0.3">
      <c r="A569" s="81" t="s">
        <v>1162</v>
      </c>
      <c r="B569" s="81" t="s">
        <v>14</v>
      </c>
      <c r="C569" s="81" t="s">
        <v>6252</v>
      </c>
      <c r="D569" s="81" t="s">
        <v>7427</v>
      </c>
      <c r="E569" s="81" t="s">
        <v>16</v>
      </c>
      <c r="F569" s="81" t="s">
        <v>375</v>
      </c>
      <c r="G569" s="81" t="s">
        <v>2907</v>
      </c>
      <c r="H569" s="81" t="s">
        <v>423</v>
      </c>
    </row>
    <row r="570" spans="1:8" x14ac:dyDescent="0.3">
      <c r="A570" s="81" t="s">
        <v>1163</v>
      </c>
      <c r="B570" s="81" t="s">
        <v>14</v>
      </c>
      <c r="C570" s="81" t="s">
        <v>6252</v>
      </c>
      <c r="D570" s="81" t="s">
        <v>7427</v>
      </c>
      <c r="E570" s="81" t="s">
        <v>16</v>
      </c>
      <c r="F570" s="81" t="s">
        <v>376</v>
      </c>
      <c r="G570" s="81" t="s">
        <v>2908</v>
      </c>
      <c r="H570" s="81" t="s">
        <v>423</v>
      </c>
    </row>
    <row r="571" spans="1:8" x14ac:dyDescent="0.3">
      <c r="A571" s="81" t="s">
        <v>1164</v>
      </c>
      <c r="B571" s="81" t="s">
        <v>14</v>
      </c>
      <c r="C571" s="81" t="s">
        <v>6252</v>
      </c>
      <c r="D571" s="81" t="s">
        <v>7427</v>
      </c>
      <c r="E571" s="81" t="s">
        <v>16</v>
      </c>
      <c r="F571" s="81" t="s">
        <v>377</v>
      </c>
      <c r="G571" s="81" t="s">
        <v>2909</v>
      </c>
      <c r="H571" s="81" t="s">
        <v>423</v>
      </c>
    </row>
    <row r="572" spans="1:8" x14ac:dyDescent="0.3">
      <c r="A572" s="81" t="s">
        <v>1165</v>
      </c>
      <c r="B572" s="81" t="s">
        <v>14</v>
      </c>
      <c r="C572" s="81" t="s">
        <v>6252</v>
      </c>
      <c r="D572" s="81" t="s">
        <v>7427</v>
      </c>
      <c r="E572" s="81" t="s">
        <v>16</v>
      </c>
      <c r="F572" s="81" t="s">
        <v>378</v>
      </c>
      <c r="G572" s="81" t="s">
        <v>2910</v>
      </c>
      <c r="H572" s="81" t="s">
        <v>423</v>
      </c>
    </row>
    <row r="573" spans="1:8" x14ac:dyDescent="0.3">
      <c r="A573" s="81" t="s">
        <v>1166</v>
      </c>
      <c r="B573" s="81" t="s">
        <v>14</v>
      </c>
      <c r="C573" s="81" t="s">
        <v>6252</v>
      </c>
      <c r="D573" s="81" t="s">
        <v>7427</v>
      </c>
      <c r="E573" s="81" t="s">
        <v>16</v>
      </c>
      <c r="F573" s="81" t="s">
        <v>379</v>
      </c>
      <c r="G573" s="81" t="s">
        <v>2911</v>
      </c>
      <c r="H573" s="81" t="s">
        <v>423</v>
      </c>
    </row>
    <row r="574" spans="1:8" x14ac:dyDescent="0.3">
      <c r="A574" s="81" t="s">
        <v>1167</v>
      </c>
      <c r="B574" s="81" t="s">
        <v>14</v>
      </c>
      <c r="C574" s="81" t="s">
        <v>6252</v>
      </c>
      <c r="D574" s="81" t="s">
        <v>7427</v>
      </c>
      <c r="E574" s="81" t="s">
        <v>16</v>
      </c>
      <c r="F574" s="81" t="s">
        <v>380</v>
      </c>
      <c r="G574" s="81" t="s">
        <v>2912</v>
      </c>
      <c r="H574" s="81" t="s">
        <v>423</v>
      </c>
    </row>
    <row r="575" spans="1:8" x14ac:dyDescent="0.3">
      <c r="A575" s="81" t="s">
        <v>1168</v>
      </c>
      <c r="B575" s="81" t="s">
        <v>14</v>
      </c>
      <c r="C575" s="81" t="s">
        <v>6252</v>
      </c>
      <c r="D575" s="81" t="s">
        <v>7427</v>
      </c>
      <c r="E575" s="81" t="s">
        <v>16</v>
      </c>
      <c r="F575" s="81" t="s">
        <v>381</v>
      </c>
      <c r="G575" s="81" t="s">
        <v>2913</v>
      </c>
      <c r="H575" s="81" t="s">
        <v>423</v>
      </c>
    </row>
    <row r="576" spans="1:8" x14ac:dyDescent="0.3">
      <c r="A576" s="81" t="s">
        <v>1169</v>
      </c>
      <c r="B576" s="81" t="s">
        <v>14</v>
      </c>
      <c r="C576" s="81" t="s">
        <v>6252</v>
      </c>
      <c r="D576" s="81" t="s">
        <v>7427</v>
      </c>
      <c r="E576" s="81" t="s">
        <v>16</v>
      </c>
      <c r="F576" s="81" t="s">
        <v>382</v>
      </c>
      <c r="G576" s="81" t="s">
        <v>2914</v>
      </c>
      <c r="H576" s="81" t="s">
        <v>423</v>
      </c>
    </row>
    <row r="577" spans="1:8" x14ac:dyDescent="0.3">
      <c r="A577" s="81" t="s">
        <v>1170</v>
      </c>
      <c r="B577" s="81" t="s">
        <v>14</v>
      </c>
      <c r="C577" s="81" t="s">
        <v>6252</v>
      </c>
      <c r="D577" s="81" t="s">
        <v>7427</v>
      </c>
      <c r="E577" s="81" t="s">
        <v>16</v>
      </c>
      <c r="F577" s="81" t="s">
        <v>383</v>
      </c>
      <c r="G577" s="81" t="s">
        <v>2915</v>
      </c>
      <c r="H577" s="81" t="s">
        <v>423</v>
      </c>
    </row>
    <row r="578" spans="1:8" x14ac:dyDescent="0.3">
      <c r="A578" s="81" t="s">
        <v>1171</v>
      </c>
      <c r="B578" s="81" t="s">
        <v>462</v>
      </c>
      <c r="C578" s="81" t="s">
        <v>1541</v>
      </c>
      <c r="D578" s="81" t="s">
        <v>3762</v>
      </c>
      <c r="E578" s="81" t="s">
        <v>20</v>
      </c>
      <c r="F578" s="81" t="s">
        <v>15</v>
      </c>
      <c r="G578" s="81" t="s">
        <v>2916</v>
      </c>
      <c r="H578" s="81" t="s">
        <v>1545</v>
      </c>
    </row>
    <row r="579" spans="1:8" x14ac:dyDescent="0.3">
      <c r="A579" s="81" t="s">
        <v>1172</v>
      </c>
      <c r="B579" s="81" t="s">
        <v>462</v>
      </c>
      <c r="C579" s="81" t="s">
        <v>1541</v>
      </c>
      <c r="D579" s="81" t="s">
        <v>3762</v>
      </c>
      <c r="E579" s="81" t="s">
        <v>16</v>
      </c>
      <c r="F579" s="81" t="s">
        <v>368</v>
      </c>
      <c r="G579" s="81" t="s">
        <v>2917</v>
      </c>
      <c r="H579" s="81" t="s">
        <v>423</v>
      </c>
    </row>
    <row r="580" spans="1:8" x14ac:dyDescent="0.3">
      <c r="A580" s="81" t="s">
        <v>1173</v>
      </c>
      <c r="B580" s="81" t="s">
        <v>462</v>
      </c>
      <c r="C580" s="81" t="s">
        <v>1541</v>
      </c>
      <c r="D580" s="81" t="s">
        <v>3762</v>
      </c>
      <c r="E580" s="81" t="s">
        <v>16</v>
      </c>
      <c r="F580" s="81" t="s">
        <v>369</v>
      </c>
      <c r="G580" s="81" t="s">
        <v>2918</v>
      </c>
      <c r="H580" s="81" t="s">
        <v>423</v>
      </c>
    </row>
    <row r="581" spans="1:8" x14ac:dyDescent="0.3">
      <c r="A581" s="81" t="s">
        <v>1174</v>
      </c>
      <c r="B581" s="81" t="s">
        <v>462</v>
      </c>
      <c r="C581" s="81" t="s">
        <v>1541</v>
      </c>
      <c r="D581" s="81" t="s">
        <v>3762</v>
      </c>
      <c r="E581" s="81" t="s">
        <v>16</v>
      </c>
      <c r="F581" s="81" t="s">
        <v>370</v>
      </c>
      <c r="G581" s="81" t="s">
        <v>2919</v>
      </c>
      <c r="H581" s="81" t="s">
        <v>423</v>
      </c>
    </row>
    <row r="582" spans="1:8" x14ac:dyDescent="0.3">
      <c r="A582" s="81" t="s">
        <v>1175</v>
      </c>
      <c r="B582" s="81" t="s">
        <v>462</v>
      </c>
      <c r="C582" s="81" t="s">
        <v>1541</v>
      </c>
      <c r="D582" s="81" t="s">
        <v>3762</v>
      </c>
      <c r="E582" s="81" t="s">
        <v>16</v>
      </c>
      <c r="F582" s="81" t="s">
        <v>371</v>
      </c>
      <c r="G582" s="81" t="s">
        <v>2920</v>
      </c>
      <c r="H582" s="81" t="s">
        <v>423</v>
      </c>
    </row>
    <row r="583" spans="1:8" x14ac:dyDescent="0.3">
      <c r="A583" s="81" t="s">
        <v>1176</v>
      </c>
      <c r="B583" s="81" t="s">
        <v>462</v>
      </c>
      <c r="C583" s="81" t="s">
        <v>1541</v>
      </c>
      <c r="D583" s="81" t="s">
        <v>3762</v>
      </c>
      <c r="E583" s="81" t="s">
        <v>16</v>
      </c>
      <c r="F583" s="81" t="s">
        <v>372</v>
      </c>
      <c r="G583" s="81" t="s">
        <v>2921</v>
      </c>
      <c r="H583" s="81" t="s">
        <v>423</v>
      </c>
    </row>
    <row r="584" spans="1:8" x14ac:dyDescent="0.3">
      <c r="A584" s="81" t="s">
        <v>1177</v>
      </c>
      <c r="B584" s="81" t="s">
        <v>462</v>
      </c>
      <c r="C584" s="81" t="s">
        <v>1541</v>
      </c>
      <c r="D584" s="81" t="s">
        <v>3762</v>
      </c>
      <c r="E584" s="81" t="s">
        <v>16</v>
      </c>
      <c r="F584" s="81" t="s">
        <v>373</v>
      </c>
      <c r="G584" s="81" t="s">
        <v>2922</v>
      </c>
      <c r="H584" s="81" t="s">
        <v>423</v>
      </c>
    </row>
    <row r="585" spans="1:8" x14ac:dyDescent="0.3">
      <c r="A585" s="81" t="s">
        <v>1178</v>
      </c>
      <c r="B585" s="81" t="s">
        <v>462</v>
      </c>
      <c r="C585" s="81" t="s">
        <v>1541</v>
      </c>
      <c r="D585" s="81" t="s">
        <v>3762</v>
      </c>
      <c r="E585" s="81" t="s">
        <v>16</v>
      </c>
      <c r="F585" s="81" t="s">
        <v>374</v>
      </c>
      <c r="G585" s="81" t="s">
        <v>2923</v>
      </c>
      <c r="H585" s="81" t="s">
        <v>423</v>
      </c>
    </row>
    <row r="586" spans="1:8" x14ac:dyDescent="0.3">
      <c r="A586" s="81" t="s">
        <v>1179</v>
      </c>
      <c r="B586" s="81" t="s">
        <v>462</v>
      </c>
      <c r="C586" s="81" t="s">
        <v>1541</v>
      </c>
      <c r="D586" s="81" t="s">
        <v>3762</v>
      </c>
      <c r="E586" s="81" t="s">
        <v>16</v>
      </c>
      <c r="F586" s="81" t="s">
        <v>375</v>
      </c>
      <c r="G586" s="81" t="s">
        <v>2924</v>
      </c>
      <c r="H586" s="81" t="s">
        <v>423</v>
      </c>
    </row>
    <row r="587" spans="1:8" x14ac:dyDescent="0.3">
      <c r="A587" s="81" t="s">
        <v>1180</v>
      </c>
      <c r="B587" s="81" t="s">
        <v>462</v>
      </c>
      <c r="C587" s="81" t="s">
        <v>1541</v>
      </c>
      <c r="D587" s="81" t="s">
        <v>3762</v>
      </c>
      <c r="E587" s="81" t="s">
        <v>16</v>
      </c>
      <c r="F587" s="81" t="s">
        <v>376</v>
      </c>
      <c r="G587" s="81" t="s">
        <v>2925</v>
      </c>
      <c r="H587" s="81" t="s">
        <v>423</v>
      </c>
    </row>
    <row r="588" spans="1:8" x14ac:dyDescent="0.3">
      <c r="A588" s="81" t="s">
        <v>1181</v>
      </c>
      <c r="B588" s="81" t="s">
        <v>462</v>
      </c>
      <c r="C588" s="81" t="s">
        <v>1541</v>
      </c>
      <c r="D588" s="81" t="s">
        <v>3762</v>
      </c>
      <c r="E588" s="81" t="s">
        <v>16</v>
      </c>
      <c r="F588" s="81" t="s">
        <v>377</v>
      </c>
      <c r="G588" s="81" t="s">
        <v>2926</v>
      </c>
      <c r="H588" s="81" t="s">
        <v>423</v>
      </c>
    </row>
    <row r="589" spans="1:8" x14ac:dyDescent="0.3">
      <c r="A589" s="81" t="s">
        <v>1182</v>
      </c>
      <c r="B589" s="81" t="s">
        <v>462</v>
      </c>
      <c r="C589" s="81" t="s">
        <v>1541</v>
      </c>
      <c r="D589" s="81" t="s">
        <v>3762</v>
      </c>
      <c r="E589" s="81" t="s">
        <v>16</v>
      </c>
      <c r="F589" s="81" t="s">
        <v>378</v>
      </c>
      <c r="G589" s="81" t="s">
        <v>2927</v>
      </c>
      <c r="H589" s="81" t="s">
        <v>423</v>
      </c>
    </row>
    <row r="590" spans="1:8" x14ac:dyDescent="0.3">
      <c r="A590" s="81" t="s">
        <v>1183</v>
      </c>
      <c r="B590" s="81" t="s">
        <v>462</v>
      </c>
      <c r="C590" s="81" t="s">
        <v>1541</v>
      </c>
      <c r="D590" s="81" t="s">
        <v>3762</v>
      </c>
      <c r="E590" s="81" t="s">
        <v>16</v>
      </c>
      <c r="F590" s="81" t="s">
        <v>379</v>
      </c>
      <c r="G590" s="81" t="s">
        <v>2928</v>
      </c>
      <c r="H590" s="81" t="s">
        <v>423</v>
      </c>
    </row>
    <row r="591" spans="1:8" x14ac:dyDescent="0.3">
      <c r="A591" s="81" t="s">
        <v>1184</v>
      </c>
      <c r="B591" s="81" t="s">
        <v>462</v>
      </c>
      <c r="C591" s="81" t="s">
        <v>1541</v>
      </c>
      <c r="D591" s="81" t="s">
        <v>3762</v>
      </c>
      <c r="E591" s="81" t="s">
        <v>16</v>
      </c>
      <c r="F591" s="81" t="s">
        <v>380</v>
      </c>
      <c r="G591" s="81" t="s">
        <v>2929</v>
      </c>
      <c r="H591" s="81" t="s">
        <v>423</v>
      </c>
    </row>
    <row r="592" spans="1:8" x14ac:dyDescent="0.3">
      <c r="A592" s="81" t="s">
        <v>1185</v>
      </c>
      <c r="B592" s="81" t="s">
        <v>462</v>
      </c>
      <c r="C592" s="81" t="s">
        <v>1541</v>
      </c>
      <c r="D592" s="81" t="s">
        <v>3762</v>
      </c>
      <c r="E592" s="81" t="s">
        <v>16</v>
      </c>
      <c r="F592" s="81" t="s">
        <v>381</v>
      </c>
      <c r="G592" s="81" t="s">
        <v>2930</v>
      </c>
      <c r="H592" s="81" t="s">
        <v>423</v>
      </c>
    </row>
    <row r="593" spans="1:8" x14ac:dyDescent="0.3">
      <c r="A593" s="81" t="s">
        <v>1186</v>
      </c>
      <c r="B593" s="81" t="s">
        <v>462</v>
      </c>
      <c r="C593" s="81" t="s">
        <v>1541</v>
      </c>
      <c r="D593" s="81" t="s">
        <v>3762</v>
      </c>
      <c r="E593" s="81" t="s">
        <v>16</v>
      </c>
      <c r="F593" s="81" t="s">
        <v>382</v>
      </c>
      <c r="G593" s="81" t="s">
        <v>2931</v>
      </c>
      <c r="H593" s="81" t="s">
        <v>423</v>
      </c>
    </row>
    <row r="594" spans="1:8" x14ac:dyDescent="0.3">
      <c r="A594" s="81" t="s">
        <v>1187</v>
      </c>
      <c r="B594" s="81" t="s">
        <v>462</v>
      </c>
      <c r="C594" s="81" t="s">
        <v>1541</v>
      </c>
      <c r="D594" s="81" t="s">
        <v>3762</v>
      </c>
      <c r="E594" s="81" t="s">
        <v>16</v>
      </c>
      <c r="F594" s="81" t="s">
        <v>383</v>
      </c>
      <c r="G594" s="81" t="s">
        <v>2932</v>
      </c>
      <c r="H594" s="81" t="s">
        <v>423</v>
      </c>
    </row>
    <row r="595" spans="1:8" x14ac:dyDescent="0.3">
      <c r="A595" s="81" t="s">
        <v>1188</v>
      </c>
      <c r="B595" s="81" t="s">
        <v>462</v>
      </c>
      <c r="C595" s="81" t="s">
        <v>1541</v>
      </c>
      <c r="D595" s="81" t="s">
        <v>3762</v>
      </c>
      <c r="E595" s="81" t="s">
        <v>20</v>
      </c>
      <c r="F595" s="81" t="s">
        <v>15</v>
      </c>
      <c r="G595" s="81" t="s">
        <v>2933</v>
      </c>
      <c r="H595" s="81" t="s">
        <v>1549</v>
      </c>
    </row>
    <row r="596" spans="1:8" x14ac:dyDescent="0.3">
      <c r="A596" s="81" t="s">
        <v>1189</v>
      </c>
      <c r="B596" s="81" t="s">
        <v>462</v>
      </c>
      <c r="C596" s="81" t="s">
        <v>1541</v>
      </c>
      <c r="D596" s="81" t="s">
        <v>3762</v>
      </c>
      <c r="E596" s="81" t="s">
        <v>16</v>
      </c>
      <c r="F596" s="81" t="s">
        <v>368</v>
      </c>
      <c r="G596" s="81" t="s">
        <v>2934</v>
      </c>
      <c r="H596" s="81" t="s">
        <v>423</v>
      </c>
    </row>
    <row r="597" spans="1:8" x14ac:dyDescent="0.3">
      <c r="A597" s="81" t="s">
        <v>1190</v>
      </c>
      <c r="B597" s="81" t="s">
        <v>462</v>
      </c>
      <c r="C597" s="81" t="s">
        <v>1541</v>
      </c>
      <c r="D597" s="81" t="s">
        <v>3762</v>
      </c>
      <c r="E597" s="81" t="s">
        <v>16</v>
      </c>
      <c r="F597" s="81" t="s">
        <v>369</v>
      </c>
      <c r="G597" s="81" t="s">
        <v>2935</v>
      </c>
      <c r="H597" s="81" t="s">
        <v>423</v>
      </c>
    </row>
    <row r="598" spans="1:8" x14ac:dyDescent="0.3">
      <c r="A598" s="81" t="s">
        <v>1191</v>
      </c>
      <c r="B598" s="81" t="s">
        <v>462</v>
      </c>
      <c r="C598" s="81" t="s">
        <v>1541</v>
      </c>
      <c r="D598" s="81" t="s">
        <v>3762</v>
      </c>
      <c r="E598" s="81" t="s">
        <v>16</v>
      </c>
      <c r="F598" s="81" t="s">
        <v>370</v>
      </c>
      <c r="G598" s="81" t="s">
        <v>2936</v>
      </c>
      <c r="H598" s="81" t="s">
        <v>423</v>
      </c>
    </row>
    <row r="599" spans="1:8" x14ac:dyDescent="0.3">
      <c r="A599" s="81" t="s">
        <v>1192</v>
      </c>
      <c r="B599" s="81" t="s">
        <v>462</v>
      </c>
      <c r="C599" s="81" t="s">
        <v>1541</v>
      </c>
      <c r="D599" s="81" t="s">
        <v>3762</v>
      </c>
      <c r="E599" s="81" t="s">
        <v>16</v>
      </c>
      <c r="F599" s="81" t="s">
        <v>371</v>
      </c>
      <c r="G599" s="81" t="s">
        <v>2937</v>
      </c>
      <c r="H599" s="81" t="s">
        <v>423</v>
      </c>
    </row>
    <row r="600" spans="1:8" x14ac:dyDescent="0.3">
      <c r="A600" s="81" t="s">
        <v>1193</v>
      </c>
      <c r="B600" s="81" t="s">
        <v>462</v>
      </c>
      <c r="C600" s="81" t="s">
        <v>1541</v>
      </c>
      <c r="D600" s="81" t="s">
        <v>3762</v>
      </c>
      <c r="E600" s="81" t="s">
        <v>16</v>
      </c>
      <c r="F600" s="81" t="s">
        <v>372</v>
      </c>
      <c r="G600" s="81" t="s">
        <v>2938</v>
      </c>
      <c r="H600" s="81" t="s">
        <v>423</v>
      </c>
    </row>
    <row r="601" spans="1:8" x14ac:dyDescent="0.3">
      <c r="A601" s="81" t="s">
        <v>1194</v>
      </c>
      <c r="B601" s="81" t="s">
        <v>462</v>
      </c>
      <c r="C601" s="81" t="s">
        <v>1541</v>
      </c>
      <c r="D601" s="81" t="s">
        <v>3762</v>
      </c>
      <c r="E601" s="81" t="s">
        <v>16</v>
      </c>
      <c r="F601" s="81" t="s">
        <v>373</v>
      </c>
      <c r="G601" s="81" t="s">
        <v>2939</v>
      </c>
      <c r="H601" s="81" t="s">
        <v>423</v>
      </c>
    </row>
    <row r="602" spans="1:8" x14ac:dyDescent="0.3">
      <c r="A602" s="81" t="s">
        <v>1195</v>
      </c>
      <c r="B602" s="81" t="s">
        <v>462</v>
      </c>
      <c r="C602" s="81" t="s">
        <v>1541</v>
      </c>
      <c r="D602" s="81" t="s">
        <v>3762</v>
      </c>
      <c r="E602" s="81" t="s">
        <v>16</v>
      </c>
      <c r="F602" s="81" t="s">
        <v>374</v>
      </c>
      <c r="G602" s="81" t="s">
        <v>2940</v>
      </c>
      <c r="H602" s="81" t="s">
        <v>423</v>
      </c>
    </row>
    <row r="603" spans="1:8" x14ac:dyDescent="0.3">
      <c r="A603" s="81" t="s">
        <v>1196</v>
      </c>
      <c r="B603" s="81" t="s">
        <v>462</v>
      </c>
      <c r="C603" s="81" t="s">
        <v>1541</v>
      </c>
      <c r="D603" s="81" t="s">
        <v>3762</v>
      </c>
      <c r="E603" s="81" t="s">
        <v>16</v>
      </c>
      <c r="F603" s="81" t="s">
        <v>375</v>
      </c>
      <c r="G603" s="81" t="s">
        <v>2941</v>
      </c>
      <c r="H603" s="81" t="s">
        <v>423</v>
      </c>
    </row>
    <row r="604" spans="1:8" x14ac:dyDescent="0.3">
      <c r="A604" s="81" t="s">
        <v>1197</v>
      </c>
      <c r="B604" s="81" t="s">
        <v>462</v>
      </c>
      <c r="C604" s="81" t="s">
        <v>1541</v>
      </c>
      <c r="D604" s="81" t="s">
        <v>3762</v>
      </c>
      <c r="E604" s="81" t="s">
        <v>16</v>
      </c>
      <c r="F604" s="81" t="s">
        <v>376</v>
      </c>
      <c r="G604" s="81" t="s">
        <v>2942</v>
      </c>
      <c r="H604" s="81" t="s">
        <v>423</v>
      </c>
    </row>
    <row r="605" spans="1:8" x14ac:dyDescent="0.3">
      <c r="A605" s="81" t="s">
        <v>1198</v>
      </c>
      <c r="B605" s="81" t="s">
        <v>462</v>
      </c>
      <c r="C605" s="81" t="s">
        <v>1541</v>
      </c>
      <c r="D605" s="81" t="s">
        <v>3762</v>
      </c>
      <c r="E605" s="81" t="s">
        <v>16</v>
      </c>
      <c r="F605" s="81" t="s">
        <v>377</v>
      </c>
      <c r="G605" s="81" t="s">
        <v>2943</v>
      </c>
      <c r="H605" s="81" t="s">
        <v>423</v>
      </c>
    </row>
    <row r="606" spans="1:8" x14ac:dyDescent="0.3">
      <c r="A606" s="81" t="s">
        <v>1199</v>
      </c>
      <c r="B606" s="81" t="s">
        <v>462</v>
      </c>
      <c r="C606" s="81" t="s">
        <v>1541</v>
      </c>
      <c r="D606" s="81" t="s">
        <v>3762</v>
      </c>
      <c r="E606" s="81" t="s">
        <v>16</v>
      </c>
      <c r="F606" s="81" t="s">
        <v>378</v>
      </c>
      <c r="G606" s="81" t="s">
        <v>2944</v>
      </c>
      <c r="H606" s="81" t="s">
        <v>423</v>
      </c>
    </row>
    <row r="607" spans="1:8" x14ac:dyDescent="0.3">
      <c r="A607" s="81" t="s">
        <v>1200</v>
      </c>
      <c r="B607" s="81" t="s">
        <v>462</v>
      </c>
      <c r="C607" s="81" t="s">
        <v>1541</v>
      </c>
      <c r="D607" s="81" t="s">
        <v>3762</v>
      </c>
      <c r="E607" s="81" t="s">
        <v>16</v>
      </c>
      <c r="F607" s="81" t="s">
        <v>379</v>
      </c>
      <c r="G607" s="81" t="s">
        <v>2945</v>
      </c>
      <c r="H607" s="81" t="s">
        <v>423</v>
      </c>
    </row>
    <row r="608" spans="1:8" x14ac:dyDescent="0.3">
      <c r="A608" s="81" t="s">
        <v>1201</v>
      </c>
      <c r="B608" s="81" t="s">
        <v>462</v>
      </c>
      <c r="C608" s="81" t="s">
        <v>1541</v>
      </c>
      <c r="D608" s="81" t="s">
        <v>3762</v>
      </c>
      <c r="E608" s="81" t="s">
        <v>16</v>
      </c>
      <c r="F608" s="81" t="s">
        <v>380</v>
      </c>
      <c r="G608" s="81" t="s">
        <v>2946</v>
      </c>
      <c r="H608" s="81" t="s">
        <v>423</v>
      </c>
    </row>
    <row r="609" spans="1:8" x14ac:dyDescent="0.3">
      <c r="A609" s="81" t="s">
        <v>1202</v>
      </c>
      <c r="B609" s="81" t="s">
        <v>462</v>
      </c>
      <c r="C609" s="81" t="s">
        <v>1541</v>
      </c>
      <c r="D609" s="81" t="s">
        <v>3762</v>
      </c>
      <c r="E609" s="81" t="s">
        <v>16</v>
      </c>
      <c r="F609" s="81" t="s">
        <v>381</v>
      </c>
      <c r="G609" s="81" t="s">
        <v>2947</v>
      </c>
      <c r="H609" s="81" t="s">
        <v>423</v>
      </c>
    </row>
    <row r="610" spans="1:8" x14ac:dyDescent="0.3">
      <c r="A610" s="81" t="s">
        <v>1203</v>
      </c>
      <c r="B610" s="81" t="s">
        <v>462</v>
      </c>
      <c r="C610" s="81" t="s">
        <v>1541</v>
      </c>
      <c r="D610" s="81" t="s">
        <v>3762</v>
      </c>
      <c r="E610" s="81" t="s">
        <v>16</v>
      </c>
      <c r="F610" s="81" t="s">
        <v>382</v>
      </c>
      <c r="G610" s="81" t="s">
        <v>2948</v>
      </c>
      <c r="H610" s="81" t="s">
        <v>423</v>
      </c>
    </row>
    <row r="611" spans="1:8" x14ac:dyDescent="0.3">
      <c r="A611" s="81" t="s">
        <v>1204</v>
      </c>
      <c r="B611" s="81" t="s">
        <v>462</v>
      </c>
      <c r="C611" s="81" t="s">
        <v>1541</v>
      </c>
      <c r="D611" s="81" t="s">
        <v>3762</v>
      </c>
      <c r="E611" s="81" t="s">
        <v>16</v>
      </c>
      <c r="F611" s="81" t="s">
        <v>383</v>
      </c>
      <c r="G611" s="81" t="s">
        <v>2949</v>
      </c>
      <c r="H611" s="81" t="s">
        <v>423</v>
      </c>
    </row>
    <row r="612" spans="1:8" x14ac:dyDescent="0.3">
      <c r="A612" s="81" t="s">
        <v>1205</v>
      </c>
      <c r="B612" s="81" t="s">
        <v>462</v>
      </c>
      <c r="C612" s="81" t="s">
        <v>1541</v>
      </c>
      <c r="D612" s="81" t="s">
        <v>3762</v>
      </c>
      <c r="E612" s="81" t="s">
        <v>20</v>
      </c>
      <c r="F612" s="81" t="s">
        <v>15</v>
      </c>
      <c r="G612" s="81" t="s">
        <v>2950</v>
      </c>
      <c r="H612" s="81" t="s">
        <v>1553</v>
      </c>
    </row>
    <row r="613" spans="1:8" x14ac:dyDescent="0.3">
      <c r="A613" s="81" t="s">
        <v>1206</v>
      </c>
      <c r="B613" s="81" t="s">
        <v>462</v>
      </c>
      <c r="C613" s="81" t="s">
        <v>1541</v>
      </c>
      <c r="D613" s="81" t="s">
        <v>3762</v>
      </c>
      <c r="E613" s="81" t="s">
        <v>20</v>
      </c>
      <c r="F613" s="81" t="s">
        <v>15</v>
      </c>
      <c r="G613" s="81" t="s">
        <v>2951</v>
      </c>
      <c r="H613" s="81" t="s">
        <v>1554</v>
      </c>
    </row>
    <row r="614" spans="1:8" x14ac:dyDescent="0.3">
      <c r="A614" s="81" t="s">
        <v>1207</v>
      </c>
      <c r="B614" s="81" t="s">
        <v>1467</v>
      </c>
      <c r="C614" s="81" t="s">
        <v>1558</v>
      </c>
      <c r="D614" s="81" t="s">
        <v>3770</v>
      </c>
      <c r="E614" s="81" t="s">
        <v>20</v>
      </c>
      <c r="F614" s="81" t="s">
        <v>15</v>
      </c>
      <c r="G614" s="81" t="s">
        <v>2952</v>
      </c>
      <c r="H614" s="81" t="s">
        <v>1563</v>
      </c>
    </row>
    <row r="615" spans="1:8" x14ac:dyDescent="0.3">
      <c r="A615" s="81" t="s">
        <v>1208</v>
      </c>
      <c r="B615" s="81" t="s">
        <v>597</v>
      </c>
      <c r="C615" s="81" t="s">
        <v>1566</v>
      </c>
      <c r="D615" s="81" t="s">
        <v>3786</v>
      </c>
      <c r="E615" s="81" t="s">
        <v>20</v>
      </c>
      <c r="F615" s="81" t="s">
        <v>15</v>
      </c>
      <c r="G615" s="81" t="s">
        <v>2953</v>
      </c>
      <c r="H615" s="81" t="s">
        <v>1562</v>
      </c>
    </row>
    <row r="616" spans="1:8" x14ac:dyDescent="0.3">
      <c r="A616" s="81" t="s">
        <v>1209</v>
      </c>
      <c r="B616" s="81" t="s">
        <v>574</v>
      </c>
      <c r="C616" s="81" t="s">
        <v>819</v>
      </c>
      <c r="D616" s="81" t="s">
        <v>575</v>
      </c>
      <c r="E616" s="81" t="s">
        <v>20</v>
      </c>
      <c r="F616" s="81" t="s">
        <v>15</v>
      </c>
      <c r="G616" s="81" t="s">
        <v>2954</v>
      </c>
      <c r="H616" s="81" t="s">
        <v>7408</v>
      </c>
    </row>
    <row r="617" spans="1:8" x14ac:dyDescent="0.3">
      <c r="A617" s="81" t="s">
        <v>1210</v>
      </c>
      <c r="B617" s="81" t="s">
        <v>574</v>
      </c>
      <c r="C617" s="81" t="s">
        <v>819</v>
      </c>
      <c r="D617" s="81" t="s">
        <v>575</v>
      </c>
      <c r="E617" s="81" t="s">
        <v>16</v>
      </c>
      <c r="F617" s="81" t="s">
        <v>368</v>
      </c>
      <c r="G617" s="81" t="s">
        <v>2955</v>
      </c>
      <c r="H617" s="81" t="s">
        <v>7410</v>
      </c>
    </row>
    <row r="618" spans="1:8" x14ac:dyDescent="0.3">
      <c r="A618" s="81" t="s">
        <v>1211</v>
      </c>
      <c r="B618" s="81" t="s">
        <v>574</v>
      </c>
      <c r="C618" s="81" t="s">
        <v>819</v>
      </c>
      <c r="D618" s="81" t="s">
        <v>575</v>
      </c>
      <c r="E618" s="81" t="s">
        <v>16</v>
      </c>
      <c r="F618" s="81" t="s">
        <v>369</v>
      </c>
      <c r="G618" s="81" t="s">
        <v>2956</v>
      </c>
      <c r="H618" s="81" t="s">
        <v>7411</v>
      </c>
    </row>
    <row r="619" spans="1:8" x14ac:dyDescent="0.3">
      <c r="A619" s="81" t="s">
        <v>1212</v>
      </c>
      <c r="B619" s="81" t="s">
        <v>574</v>
      </c>
      <c r="C619" s="81" t="s">
        <v>819</v>
      </c>
      <c r="D619" s="81" t="s">
        <v>575</v>
      </c>
      <c r="E619" s="81" t="s">
        <v>16</v>
      </c>
      <c r="F619" s="81" t="s">
        <v>370</v>
      </c>
      <c r="G619" s="81" t="s">
        <v>2957</v>
      </c>
      <c r="H619" s="81" t="s">
        <v>7412</v>
      </c>
    </row>
    <row r="620" spans="1:8" x14ac:dyDescent="0.3">
      <c r="A620" s="81" t="s">
        <v>1213</v>
      </c>
      <c r="B620" s="81" t="s">
        <v>574</v>
      </c>
      <c r="C620" s="81" t="s">
        <v>819</v>
      </c>
      <c r="D620" s="81" t="s">
        <v>575</v>
      </c>
      <c r="E620" s="81" t="s">
        <v>16</v>
      </c>
      <c r="F620" s="81" t="s">
        <v>371</v>
      </c>
      <c r="G620" s="81" t="s">
        <v>2958</v>
      </c>
      <c r="H620" s="81" t="s">
        <v>7413</v>
      </c>
    </row>
    <row r="621" spans="1:8" x14ac:dyDescent="0.3">
      <c r="A621" s="81" t="s">
        <v>1214</v>
      </c>
      <c r="B621" s="81" t="s">
        <v>574</v>
      </c>
      <c r="C621" s="81" t="s">
        <v>819</v>
      </c>
      <c r="D621" s="81" t="s">
        <v>575</v>
      </c>
      <c r="E621" s="81" t="s">
        <v>16</v>
      </c>
      <c r="F621" s="81" t="s">
        <v>372</v>
      </c>
      <c r="G621" s="81" t="s">
        <v>2959</v>
      </c>
      <c r="H621" s="81" t="s">
        <v>7414</v>
      </c>
    </row>
    <row r="622" spans="1:8" x14ac:dyDescent="0.3">
      <c r="A622" s="81" t="s">
        <v>1215</v>
      </c>
      <c r="B622" s="81" t="s">
        <v>574</v>
      </c>
      <c r="C622" s="81" t="s">
        <v>819</v>
      </c>
      <c r="D622" s="81" t="s">
        <v>575</v>
      </c>
      <c r="E622" s="81" t="s">
        <v>16</v>
      </c>
      <c r="F622" s="81" t="s">
        <v>373</v>
      </c>
      <c r="G622" s="81" t="s">
        <v>2960</v>
      </c>
      <c r="H622" s="81" t="s">
        <v>7415</v>
      </c>
    </row>
    <row r="623" spans="1:8" x14ac:dyDescent="0.3">
      <c r="A623" s="81" t="s">
        <v>1216</v>
      </c>
      <c r="B623" s="81" t="s">
        <v>574</v>
      </c>
      <c r="C623" s="81" t="s">
        <v>819</v>
      </c>
      <c r="D623" s="81" t="s">
        <v>575</v>
      </c>
      <c r="E623" s="81" t="s">
        <v>16</v>
      </c>
      <c r="F623" s="81" t="s">
        <v>374</v>
      </c>
      <c r="G623" s="81" t="s">
        <v>2961</v>
      </c>
      <c r="H623" s="81" t="s">
        <v>7416</v>
      </c>
    </row>
    <row r="624" spans="1:8" x14ac:dyDescent="0.3">
      <c r="A624" s="81" t="s">
        <v>1217</v>
      </c>
      <c r="B624" s="81" t="s">
        <v>574</v>
      </c>
      <c r="C624" s="81" t="s">
        <v>819</v>
      </c>
      <c r="D624" s="81" t="s">
        <v>575</v>
      </c>
      <c r="E624" s="81" t="s">
        <v>16</v>
      </c>
      <c r="F624" s="81" t="s">
        <v>375</v>
      </c>
      <c r="G624" s="81" t="s">
        <v>2962</v>
      </c>
      <c r="H624" s="81" t="s">
        <v>7417</v>
      </c>
    </row>
    <row r="625" spans="1:8" x14ac:dyDescent="0.3">
      <c r="A625" s="81" t="s">
        <v>1218</v>
      </c>
      <c r="B625" s="81" t="s">
        <v>574</v>
      </c>
      <c r="C625" s="81" t="s">
        <v>819</v>
      </c>
      <c r="D625" s="81" t="s">
        <v>575</v>
      </c>
      <c r="E625" s="81" t="s">
        <v>16</v>
      </c>
      <c r="F625" s="81" t="s">
        <v>376</v>
      </c>
      <c r="G625" s="81" t="s">
        <v>2963</v>
      </c>
      <c r="H625" s="81" t="s">
        <v>7418</v>
      </c>
    </row>
    <row r="626" spans="1:8" x14ac:dyDescent="0.3">
      <c r="A626" s="81" t="s">
        <v>1219</v>
      </c>
      <c r="B626" s="81" t="s">
        <v>574</v>
      </c>
      <c r="C626" s="81" t="s">
        <v>819</v>
      </c>
      <c r="D626" s="81" t="s">
        <v>575</v>
      </c>
      <c r="E626" s="81" t="s">
        <v>16</v>
      </c>
      <c r="F626" s="81" t="s">
        <v>377</v>
      </c>
      <c r="G626" s="81" t="s">
        <v>2964</v>
      </c>
      <c r="H626" s="81" t="s">
        <v>7419</v>
      </c>
    </row>
    <row r="627" spans="1:8" x14ac:dyDescent="0.3">
      <c r="A627" s="81" t="s">
        <v>1220</v>
      </c>
      <c r="B627" s="81" t="s">
        <v>574</v>
      </c>
      <c r="C627" s="81" t="s">
        <v>819</v>
      </c>
      <c r="D627" s="81" t="s">
        <v>575</v>
      </c>
      <c r="E627" s="81" t="s">
        <v>16</v>
      </c>
      <c r="F627" s="81" t="s">
        <v>378</v>
      </c>
      <c r="G627" s="81" t="s">
        <v>2965</v>
      </c>
      <c r="H627" s="81" t="s">
        <v>7420</v>
      </c>
    </row>
    <row r="628" spans="1:8" x14ac:dyDescent="0.3">
      <c r="A628" s="81" t="s">
        <v>1221</v>
      </c>
      <c r="B628" s="81" t="s">
        <v>574</v>
      </c>
      <c r="C628" s="81" t="s">
        <v>819</v>
      </c>
      <c r="D628" s="81" t="s">
        <v>575</v>
      </c>
      <c r="E628" s="81" t="s">
        <v>16</v>
      </c>
      <c r="F628" s="81" t="s">
        <v>379</v>
      </c>
      <c r="G628" s="81" t="s">
        <v>2966</v>
      </c>
      <c r="H628" s="81" t="s">
        <v>7421</v>
      </c>
    </row>
    <row r="629" spans="1:8" x14ac:dyDescent="0.3">
      <c r="A629" s="81" t="s">
        <v>1222</v>
      </c>
      <c r="B629" s="81" t="s">
        <v>574</v>
      </c>
      <c r="C629" s="81" t="s">
        <v>819</v>
      </c>
      <c r="D629" s="81" t="s">
        <v>575</v>
      </c>
      <c r="E629" s="81" t="s">
        <v>16</v>
      </c>
      <c r="F629" s="81" t="s">
        <v>380</v>
      </c>
      <c r="G629" s="81" t="s">
        <v>2967</v>
      </c>
      <c r="H629" s="81" t="s">
        <v>7422</v>
      </c>
    </row>
    <row r="630" spans="1:8" x14ac:dyDescent="0.3">
      <c r="A630" s="81" t="s">
        <v>1223</v>
      </c>
      <c r="B630" s="81" t="s">
        <v>574</v>
      </c>
      <c r="C630" s="81" t="s">
        <v>819</v>
      </c>
      <c r="D630" s="81" t="s">
        <v>575</v>
      </c>
      <c r="E630" s="81" t="s">
        <v>16</v>
      </c>
      <c r="F630" s="81" t="s">
        <v>381</v>
      </c>
      <c r="G630" s="81" t="s">
        <v>2968</v>
      </c>
      <c r="H630" s="81" t="s">
        <v>7423</v>
      </c>
    </row>
    <row r="631" spans="1:8" x14ac:dyDescent="0.3">
      <c r="A631" s="81" t="s">
        <v>1224</v>
      </c>
      <c r="B631" s="81" t="s">
        <v>574</v>
      </c>
      <c r="C631" s="81" t="s">
        <v>819</v>
      </c>
      <c r="D631" s="81" t="s">
        <v>575</v>
      </c>
      <c r="E631" s="81" t="s">
        <v>16</v>
      </c>
      <c r="F631" s="81" t="s">
        <v>382</v>
      </c>
      <c r="G631" s="81" t="s">
        <v>2969</v>
      </c>
      <c r="H631" s="81" t="s">
        <v>7424</v>
      </c>
    </row>
    <row r="632" spans="1:8" x14ac:dyDescent="0.3">
      <c r="A632" s="81" t="s">
        <v>1225</v>
      </c>
      <c r="B632" s="81" t="s">
        <v>574</v>
      </c>
      <c r="C632" s="81" t="s">
        <v>819</v>
      </c>
      <c r="D632" s="81" t="s">
        <v>575</v>
      </c>
      <c r="E632" s="81" t="s">
        <v>16</v>
      </c>
      <c r="F632" s="81" t="s">
        <v>383</v>
      </c>
      <c r="G632" s="81" t="s">
        <v>2970</v>
      </c>
      <c r="H632" s="81" t="s">
        <v>7425</v>
      </c>
    </row>
    <row r="633" spans="1:8" x14ac:dyDescent="0.3">
      <c r="A633" s="81" t="s">
        <v>1226</v>
      </c>
      <c r="B633" s="81" t="s">
        <v>14</v>
      </c>
      <c r="C633" s="81" t="s">
        <v>1524</v>
      </c>
      <c r="D633" s="81" t="s">
        <v>7427</v>
      </c>
      <c r="E633" s="81" t="s">
        <v>20</v>
      </c>
      <c r="F633" s="81" t="s">
        <v>15</v>
      </c>
      <c r="G633" s="81" t="s">
        <v>2971</v>
      </c>
      <c r="H633" s="81" t="s">
        <v>1576</v>
      </c>
    </row>
    <row r="634" spans="1:8" x14ac:dyDescent="0.3">
      <c r="A634" s="81" t="s">
        <v>1227</v>
      </c>
      <c r="B634" s="81" t="s">
        <v>14</v>
      </c>
      <c r="C634" s="81" t="s">
        <v>1524</v>
      </c>
      <c r="D634" s="81" t="s">
        <v>7427</v>
      </c>
      <c r="E634" s="81" t="s">
        <v>16</v>
      </c>
      <c r="F634" s="81" t="s">
        <v>368</v>
      </c>
      <c r="G634" s="81" t="s">
        <v>2972</v>
      </c>
      <c r="H634" s="81" t="s">
        <v>423</v>
      </c>
    </row>
    <row r="635" spans="1:8" x14ac:dyDescent="0.3">
      <c r="A635" s="81" t="s">
        <v>1228</v>
      </c>
      <c r="B635" s="81" t="s">
        <v>14</v>
      </c>
      <c r="C635" s="81" t="s">
        <v>1524</v>
      </c>
      <c r="D635" s="81" t="s">
        <v>7427</v>
      </c>
      <c r="E635" s="81" t="s">
        <v>16</v>
      </c>
      <c r="F635" s="81" t="s">
        <v>369</v>
      </c>
      <c r="G635" s="81" t="s">
        <v>2973</v>
      </c>
      <c r="H635" s="81" t="s">
        <v>423</v>
      </c>
    </row>
    <row r="636" spans="1:8" x14ac:dyDescent="0.3">
      <c r="A636" s="81" t="s">
        <v>1229</v>
      </c>
      <c r="B636" s="81" t="s">
        <v>14</v>
      </c>
      <c r="C636" s="81" t="s">
        <v>1524</v>
      </c>
      <c r="D636" s="81" t="s">
        <v>7427</v>
      </c>
      <c r="E636" s="81" t="s">
        <v>16</v>
      </c>
      <c r="F636" s="81" t="s">
        <v>370</v>
      </c>
      <c r="G636" s="81" t="s">
        <v>2974</v>
      </c>
      <c r="H636" s="81" t="s">
        <v>423</v>
      </c>
    </row>
    <row r="637" spans="1:8" x14ac:dyDescent="0.3">
      <c r="A637" s="81" t="s">
        <v>1230</v>
      </c>
      <c r="B637" s="81" t="s">
        <v>14</v>
      </c>
      <c r="C637" s="81" t="s">
        <v>1524</v>
      </c>
      <c r="D637" s="81" t="s">
        <v>7427</v>
      </c>
      <c r="E637" s="81" t="s">
        <v>16</v>
      </c>
      <c r="F637" s="81" t="s">
        <v>371</v>
      </c>
      <c r="G637" s="81" t="s">
        <v>2975</v>
      </c>
      <c r="H637" s="81" t="s">
        <v>423</v>
      </c>
    </row>
    <row r="638" spans="1:8" x14ac:dyDescent="0.3">
      <c r="A638" s="81" t="s">
        <v>1231</v>
      </c>
      <c r="B638" s="81" t="s">
        <v>14</v>
      </c>
      <c r="C638" s="81" t="s">
        <v>1524</v>
      </c>
      <c r="D638" s="81" t="s">
        <v>7427</v>
      </c>
      <c r="E638" s="81" t="s">
        <v>16</v>
      </c>
      <c r="F638" s="81" t="s">
        <v>372</v>
      </c>
      <c r="G638" s="81" t="s">
        <v>2976</v>
      </c>
      <c r="H638" s="81" t="s">
        <v>423</v>
      </c>
    </row>
    <row r="639" spans="1:8" x14ac:dyDescent="0.3">
      <c r="A639" s="81" t="s">
        <v>1232</v>
      </c>
      <c r="B639" s="81" t="s">
        <v>14</v>
      </c>
      <c r="C639" s="81" t="s">
        <v>1524</v>
      </c>
      <c r="D639" s="81" t="s">
        <v>7427</v>
      </c>
      <c r="E639" s="81" t="s">
        <v>16</v>
      </c>
      <c r="F639" s="81" t="s">
        <v>373</v>
      </c>
      <c r="G639" s="81" t="s">
        <v>2977</v>
      </c>
      <c r="H639" s="81" t="s">
        <v>423</v>
      </c>
    </row>
    <row r="640" spans="1:8" x14ac:dyDescent="0.3">
      <c r="A640" s="81" t="s">
        <v>1233</v>
      </c>
      <c r="B640" s="81" t="s">
        <v>14</v>
      </c>
      <c r="C640" s="81" t="s">
        <v>1524</v>
      </c>
      <c r="D640" s="81" t="s">
        <v>7427</v>
      </c>
      <c r="E640" s="81" t="s">
        <v>16</v>
      </c>
      <c r="F640" s="81" t="s">
        <v>374</v>
      </c>
      <c r="G640" s="81" t="s">
        <v>2978</v>
      </c>
      <c r="H640" s="81" t="s">
        <v>423</v>
      </c>
    </row>
    <row r="641" spans="1:8" x14ac:dyDescent="0.3">
      <c r="A641" s="81" t="s">
        <v>1234</v>
      </c>
      <c r="B641" s="81" t="s">
        <v>14</v>
      </c>
      <c r="C641" s="81" t="s">
        <v>1524</v>
      </c>
      <c r="D641" s="81" t="s">
        <v>7427</v>
      </c>
      <c r="E641" s="81" t="s">
        <v>16</v>
      </c>
      <c r="F641" s="81" t="s">
        <v>375</v>
      </c>
      <c r="G641" s="81" t="s">
        <v>2979</v>
      </c>
      <c r="H641" s="81" t="s">
        <v>423</v>
      </c>
    </row>
    <row r="642" spans="1:8" x14ac:dyDescent="0.3">
      <c r="A642" s="81" t="s">
        <v>1235</v>
      </c>
      <c r="B642" s="81" t="s">
        <v>14</v>
      </c>
      <c r="C642" s="81" t="s">
        <v>1524</v>
      </c>
      <c r="D642" s="81" t="s">
        <v>7427</v>
      </c>
      <c r="E642" s="81" t="s">
        <v>16</v>
      </c>
      <c r="F642" s="81" t="s">
        <v>376</v>
      </c>
      <c r="G642" s="81" t="s">
        <v>2980</v>
      </c>
      <c r="H642" s="81" t="s">
        <v>423</v>
      </c>
    </row>
    <row r="643" spans="1:8" x14ac:dyDescent="0.3">
      <c r="A643" s="81" t="s">
        <v>1236</v>
      </c>
      <c r="B643" s="81" t="s">
        <v>14</v>
      </c>
      <c r="C643" s="81" t="s">
        <v>1524</v>
      </c>
      <c r="D643" s="81" t="s">
        <v>7427</v>
      </c>
      <c r="E643" s="81" t="s">
        <v>16</v>
      </c>
      <c r="F643" s="81" t="s">
        <v>377</v>
      </c>
      <c r="G643" s="81" t="s">
        <v>2981</v>
      </c>
      <c r="H643" s="81" t="s">
        <v>423</v>
      </c>
    </row>
    <row r="644" spans="1:8" x14ac:dyDescent="0.3">
      <c r="A644" s="81" t="s">
        <v>1237</v>
      </c>
      <c r="B644" s="81" t="s">
        <v>14</v>
      </c>
      <c r="C644" s="81" t="s">
        <v>1524</v>
      </c>
      <c r="D644" s="81" t="s">
        <v>7427</v>
      </c>
      <c r="E644" s="81" t="s">
        <v>16</v>
      </c>
      <c r="F644" s="81" t="s">
        <v>378</v>
      </c>
      <c r="G644" s="81" t="s">
        <v>2982</v>
      </c>
      <c r="H644" s="81" t="s">
        <v>423</v>
      </c>
    </row>
    <row r="645" spans="1:8" x14ac:dyDescent="0.3">
      <c r="A645" s="81" t="s">
        <v>1238</v>
      </c>
      <c r="B645" s="81" t="s">
        <v>14</v>
      </c>
      <c r="C645" s="81" t="s">
        <v>1524</v>
      </c>
      <c r="D645" s="81" t="s">
        <v>7427</v>
      </c>
      <c r="E645" s="81" t="s">
        <v>16</v>
      </c>
      <c r="F645" s="81" t="s">
        <v>379</v>
      </c>
      <c r="G645" s="81" t="s">
        <v>2983</v>
      </c>
      <c r="H645" s="81" t="s">
        <v>423</v>
      </c>
    </row>
    <row r="646" spans="1:8" x14ac:dyDescent="0.3">
      <c r="A646" s="81" t="s">
        <v>1239</v>
      </c>
      <c r="B646" s="81" t="s">
        <v>14</v>
      </c>
      <c r="C646" s="81" t="s">
        <v>1524</v>
      </c>
      <c r="D646" s="81" t="s">
        <v>7427</v>
      </c>
      <c r="E646" s="81" t="s">
        <v>16</v>
      </c>
      <c r="F646" s="81" t="s">
        <v>380</v>
      </c>
      <c r="G646" s="81" t="s">
        <v>2984</v>
      </c>
      <c r="H646" s="81" t="s">
        <v>423</v>
      </c>
    </row>
    <row r="647" spans="1:8" x14ac:dyDescent="0.3">
      <c r="A647" s="81" t="s">
        <v>1240</v>
      </c>
      <c r="B647" s="81" t="s">
        <v>14</v>
      </c>
      <c r="C647" s="81" t="s">
        <v>1524</v>
      </c>
      <c r="D647" s="81" t="s">
        <v>7427</v>
      </c>
      <c r="E647" s="81" t="s">
        <v>16</v>
      </c>
      <c r="F647" s="81" t="s">
        <v>381</v>
      </c>
      <c r="G647" s="81" t="s">
        <v>2985</v>
      </c>
      <c r="H647" s="81" t="s">
        <v>423</v>
      </c>
    </row>
    <row r="648" spans="1:8" x14ac:dyDescent="0.3">
      <c r="A648" s="81" t="s">
        <v>1241</v>
      </c>
      <c r="B648" s="81" t="s">
        <v>14</v>
      </c>
      <c r="C648" s="81" t="s">
        <v>1524</v>
      </c>
      <c r="D648" s="81" t="s">
        <v>7427</v>
      </c>
      <c r="E648" s="81" t="s">
        <v>16</v>
      </c>
      <c r="F648" s="81" t="s">
        <v>382</v>
      </c>
      <c r="G648" s="81" t="s">
        <v>2986</v>
      </c>
      <c r="H648" s="81" t="s">
        <v>423</v>
      </c>
    </row>
    <row r="649" spans="1:8" x14ac:dyDescent="0.3">
      <c r="A649" s="81" t="s">
        <v>1242</v>
      </c>
      <c r="B649" s="81" t="s">
        <v>14</v>
      </c>
      <c r="C649" s="81" t="s">
        <v>1524</v>
      </c>
      <c r="D649" s="81" t="s">
        <v>7427</v>
      </c>
      <c r="E649" s="81" t="s">
        <v>16</v>
      </c>
      <c r="F649" s="81" t="s">
        <v>383</v>
      </c>
      <c r="G649" s="81" t="s">
        <v>2987</v>
      </c>
      <c r="H649" s="81" t="s">
        <v>423</v>
      </c>
    </row>
    <row r="650" spans="1:8" x14ac:dyDescent="0.3">
      <c r="A650" s="81" t="s">
        <v>1243</v>
      </c>
      <c r="B650" s="81" t="s">
        <v>14</v>
      </c>
      <c r="C650" s="81" t="s">
        <v>1524</v>
      </c>
      <c r="D650" s="81" t="s">
        <v>7427</v>
      </c>
      <c r="E650" s="81" t="s">
        <v>20</v>
      </c>
      <c r="F650" s="81" t="s">
        <v>15</v>
      </c>
      <c r="G650" s="81" t="s">
        <v>2988</v>
      </c>
      <c r="H650" s="81" t="s">
        <v>1575</v>
      </c>
    </row>
    <row r="651" spans="1:8" x14ac:dyDescent="0.3">
      <c r="A651" s="81" t="s">
        <v>1244</v>
      </c>
      <c r="B651" s="81" t="s">
        <v>14</v>
      </c>
      <c r="C651" s="81" t="s">
        <v>1524</v>
      </c>
      <c r="D651" s="81" t="s">
        <v>7427</v>
      </c>
      <c r="E651" s="81" t="s">
        <v>16</v>
      </c>
      <c r="F651" s="81" t="s">
        <v>368</v>
      </c>
      <c r="G651" s="81" t="s">
        <v>2989</v>
      </c>
      <c r="H651" s="81" t="s">
        <v>423</v>
      </c>
    </row>
    <row r="652" spans="1:8" x14ac:dyDescent="0.3">
      <c r="A652" s="81" t="s">
        <v>1245</v>
      </c>
      <c r="B652" s="81" t="s">
        <v>14</v>
      </c>
      <c r="C652" s="81" t="s">
        <v>1524</v>
      </c>
      <c r="D652" s="81" t="s">
        <v>7427</v>
      </c>
      <c r="E652" s="81" t="s">
        <v>16</v>
      </c>
      <c r="F652" s="81" t="s">
        <v>369</v>
      </c>
      <c r="G652" s="81" t="s">
        <v>2990</v>
      </c>
      <c r="H652" s="81" t="s">
        <v>423</v>
      </c>
    </row>
    <row r="653" spans="1:8" x14ac:dyDescent="0.3">
      <c r="A653" s="81" t="s">
        <v>1246</v>
      </c>
      <c r="B653" s="81" t="s">
        <v>14</v>
      </c>
      <c r="C653" s="81" t="s">
        <v>1524</v>
      </c>
      <c r="D653" s="81" t="s">
        <v>7427</v>
      </c>
      <c r="E653" s="81" t="s">
        <v>16</v>
      </c>
      <c r="F653" s="81" t="s">
        <v>370</v>
      </c>
      <c r="G653" s="81" t="s">
        <v>2991</v>
      </c>
      <c r="H653" s="81" t="s">
        <v>423</v>
      </c>
    </row>
    <row r="654" spans="1:8" x14ac:dyDescent="0.3">
      <c r="A654" s="81" t="s">
        <v>1247</v>
      </c>
      <c r="B654" s="81" t="s">
        <v>14</v>
      </c>
      <c r="C654" s="81" t="s">
        <v>1524</v>
      </c>
      <c r="D654" s="81" t="s">
        <v>7427</v>
      </c>
      <c r="E654" s="81" t="s">
        <v>16</v>
      </c>
      <c r="F654" s="81" t="s">
        <v>371</v>
      </c>
      <c r="G654" s="81" t="s">
        <v>2992</v>
      </c>
      <c r="H654" s="81" t="s">
        <v>423</v>
      </c>
    </row>
    <row r="655" spans="1:8" x14ac:dyDescent="0.3">
      <c r="A655" s="81" t="s">
        <v>1248</v>
      </c>
      <c r="B655" s="81" t="s">
        <v>14</v>
      </c>
      <c r="C655" s="81" t="s">
        <v>1524</v>
      </c>
      <c r="D655" s="81" t="s">
        <v>7427</v>
      </c>
      <c r="E655" s="81" t="s">
        <v>16</v>
      </c>
      <c r="F655" s="81" t="s">
        <v>372</v>
      </c>
      <c r="G655" s="81" t="s">
        <v>2993</v>
      </c>
      <c r="H655" s="81" t="s">
        <v>423</v>
      </c>
    </row>
    <row r="656" spans="1:8" x14ac:dyDescent="0.3">
      <c r="A656" s="81" t="s">
        <v>1249</v>
      </c>
      <c r="B656" s="81" t="s">
        <v>14</v>
      </c>
      <c r="C656" s="81" t="s">
        <v>1524</v>
      </c>
      <c r="D656" s="81" t="s">
        <v>7427</v>
      </c>
      <c r="E656" s="81" t="s">
        <v>16</v>
      </c>
      <c r="F656" s="81" t="s">
        <v>373</v>
      </c>
      <c r="G656" s="81" t="s">
        <v>2994</v>
      </c>
      <c r="H656" s="81" t="s">
        <v>423</v>
      </c>
    </row>
    <row r="657" spans="1:8" x14ac:dyDescent="0.3">
      <c r="A657" s="81" t="s">
        <v>1250</v>
      </c>
      <c r="B657" s="81" t="s">
        <v>14</v>
      </c>
      <c r="C657" s="81" t="s">
        <v>1524</v>
      </c>
      <c r="D657" s="81" t="s">
        <v>7427</v>
      </c>
      <c r="E657" s="81" t="s">
        <v>16</v>
      </c>
      <c r="F657" s="81" t="s">
        <v>374</v>
      </c>
      <c r="G657" s="81" t="s">
        <v>2995</v>
      </c>
      <c r="H657" s="81" t="s">
        <v>423</v>
      </c>
    </row>
    <row r="658" spans="1:8" x14ac:dyDescent="0.3">
      <c r="A658" s="81" t="s">
        <v>1251</v>
      </c>
      <c r="B658" s="81" t="s">
        <v>14</v>
      </c>
      <c r="C658" s="81" t="s">
        <v>1524</v>
      </c>
      <c r="D658" s="81" t="s">
        <v>7427</v>
      </c>
      <c r="E658" s="81" t="s">
        <v>16</v>
      </c>
      <c r="F658" s="81" t="s">
        <v>375</v>
      </c>
      <c r="G658" s="81" t="s">
        <v>2996</v>
      </c>
      <c r="H658" s="81" t="s">
        <v>423</v>
      </c>
    </row>
    <row r="659" spans="1:8" x14ac:dyDescent="0.3">
      <c r="A659" s="81" t="s">
        <v>1252</v>
      </c>
      <c r="B659" s="81" t="s">
        <v>14</v>
      </c>
      <c r="C659" s="81" t="s">
        <v>1524</v>
      </c>
      <c r="D659" s="81" t="s">
        <v>7427</v>
      </c>
      <c r="E659" s="81" t="s">
        <v>16</v>
      </c>
      <c r="F659" s="81" t="s">
        <v>376</v>
      </c>
      <c r="G659" s="81" t="s">
        <v>2997</v>
      </c>
      <c r="H659" s="81" t="s">
        <v>423</v>
      </c>
    </row>
    <row r="660" spans="1:8" x14ac:dyDescent="0.3">
      <c r="A660" s="81" t="s">
        <v>1253</v>
      </c>
      <c r="B660" s="81" t="s">
        <v>14</v>
      </c>
      <c r="C660" s="81" t="s">
        <v>1524</v>
      </c>
      <c r="D660" s="81" t="s">
        <v>7427</v>
      </c>
      <c r="E660" s="81" t="s">
        <v>16</v>
      </c>
      <c r="F660" s="81" t="s">
        <v>377</v>
      </c>
      <c r="G660" s="81" t="s">
        <v>2998</v>
      </c>
      <c r="H660" s="81" t="s">
        <v>423</v>
      </c>
    </row>
    <row r="661" spans="1:8" x14ac:dyDescent="0.3">
      <c r="A661" s="81" t="s">
        <v>1254</v>
      </c>
      <c r="B661" s="81" t="s">
        <v>14</v>
      </c>
      <c r="C661" s="81" t="s">
        <v>1524</v>
      </c>
      <c r="D661" s="81" t="s">
        <v>7427</v>
      </c>
      <c r="E661" s="81" t="s">
        <v>16</v>
      </c>
      <c r="F661" s="81" t="s">
        <v>378</v>
      </c>
      <c r="G661" s="81" t="s">
        <v>2999</v>
      </c>
      <c r="H661" s="81" t="s">
        <v>423</v>
      </c>
    </row>
    <row r="662" spans="1:8" x14ac:dyDescent="0.3">
      <c r="A662" s="81" t="s">
        <v>1255</v>
      </c>
      <c r="B662" s="81" t="s">
        <v>14</v>
      </c>
      <c r="C662" s="81" t="s">
        <v>1524</v>
      </c>
      <c r="D662" s="81" t="s">
        <v>7427</v>
      </c>
      <c r="E662" s="81" t="s">
        <v>16</v>
      </c>
      <c r="F662" s="81" t="s">
        <v>379</v>
      </c>
      <c r="G662" s="81" t="s">
        <v>3000</v>
      </c>
      <c r="H662" s="81" t="s">
        <v>423</v>
      </c>
    </row>
    <row r="663" spans="1:8" x14ac:dyDescent="0.3">
      <c r="A663" s="81" t="s">
        <v>1256</v>
      </c>
      <c r="B663" s="81" t="s">
        <v>14</v>
      </c>
      <c r="C663" s="81" t="s">
        <v>1524</v>
      </c>
      <c r="D663" s="81" t="s">
        <v>7427</v>
      </c>
      <c r="E663" s="81" t="s">
        <v>16</v>
      </c>
      <c r="F663" s="81" t="s">
        <v>380</v>
      </c>
      <c r="G663" s="81" t="s">
        <v>3001</v>
      </c>
      <c r="H663" s="81" t="s">
        <v>423</v>
      </c>
    </row>
    <row r="664" spans="1:8" x14ac:dyDescent="0.3">
      <c r="A664" s="81" t="s">
        <v>1257</v>
      </c>
      <c r="B664" s="81" t="s">
        <v>14</v>
      </c>
      <c r="C664" s="81" t="s">
        <v>1524</v>
      </c>
      <c r="D664" s="81" t="s">
        <v>7427</v>
      </c>
      <c r="E664" s="81" t="s">
        <v>16</v>
      </c>
      <c r="F664" s="81" t="s">
        <v>381</v>
      </c>
      <c r="G664" s="81" t="s">
        <v>3002</v>
      </c>
      <c r="H664" s="81" t="s">
        <v>423</v>
      </c>
    </row>
    <row r="665" spans="1:8" x14ac:dyDescent="0.3">
      <c r="A665" s="81" t="s">
        <v>1258</v>
      </c>
      <c r="B665" s="81" t="s">
        <v>14</v>
      </c>
      <c r="C665" s="81" t="s">
        <v>1524</v>
      </c>
      <c r="D665" s="81" t="s">
        <v>7427</v>
      </c>
      <c r="E665" s="81" t="s">
        <v>16</v>
      </c>
      <c r="F665" s="81" t="s">
        <v>382</v>
      </c>
      <c r="G665" s="81" t="s">
        <v>3003</v>
      </c>
      <c r="H665" s="81" t="s">
        <v>423</v>
      </c>
    </row>
    <row r="666" spans="1:8" x14ac:dyDescent="0.3">
      <c r="A666" s="81" t="s">
        <v>1259</v>
      </c>
      <c r="B666" s="81" t="s">
        <v>14</v>
      </c>
      <c r="C666" s="81" t="s">
        <v>1524</v>
      </c>
      <c r="D666" s="81" t="s">
        <v>7427</v>
      </c>
      <c r="E666" s="81" t="s">
        <v>16</v>
      </c>
      <c r="F666" s="81" t="s">
        <v>383</v>
      </c>
      <c r="G666" s="81" t="s">
        <v>3004</v>
      </c>
      <c r="H666" s="81" t="s">
        <v>423</v>
      </c>
    </row>
    <row r="667" spans="1:8" x14ac:dyDescent="0.3">
      <c r="A667" s="81" t="s">
        <v>1260</v>
      </c>
      <c r="B667" s="81" t="s">
        <v>14</v>
      </c>
      <c r="C667" s="81" t="s">
        <v>1538</v>
      </c>
      <c r="D667" s="81" t="s">
        <v>7427</v>
      </c>
      <c r="E667" s="81" t="s">
        <v>20</v>
      </c>
      <c r="F667" s="81" t="s">
        <v>15</v>
      </c>
      <c r="G667" s="81" t="s">
        <v>3005</v>
      </c>
      <c r="H667" s="81" t="s">
        <v>423</v>
      </c>
    </row>
    <row r="668" spans="1:8" x14ac:dyDescent="0.3">
      <c r="A668" s="81" t="s">
        <v>1261</v>
      </c>
      <c r="B668" s="81" t="s">
        <v>14</v>
      </c>
      <c r="C668" s="81" t="s">
        <v>1538</v>
      </c>
      <c r="D668" s="81" t="s">
        <v>7427</v>
      </c>
      <c r="E668" s="81" t="s">
        <v>16</v>
      </c>
      <c r="F668" s="81" t="s">
        <v>368</v>
      </c>
      <c r="G668" s="81" t="s">
        <v>3006</v>
      </c>
      <c r="H668" s="81" t="s">
        <v>3007</v>
      </c>
    </row>
    <row r="669" spans="1:8" x14ac:dyDescent="0.3">
      <c r="A669" s="81" t="s">
        <v>1262</v>
      </c>
      <c r="B669" s="81" t="s">
        <v>14</v>
      </c>
      <c r="C669" s="81" t="s">
        <v>1538</v>
      </c>
      <c r="D669" s="81" t="s">
        <v>7427</v>
      </c>
      <c r="E669" s="81" t="s">
        <v>16</v>
      </c>
      <c r="F669" s="81" t="s">
        <v>369</v>
      </c>
      <c r="G669" s="81" t="s">
        <v>3008</v>
      </c>
      <c r="H669" s="81" t="s">
        <v>3009</v>
      </c>
    </row>
    <row r="670" spans="1:8" x14ac:dyDescent="0.3">
      <c r="A670" s="81" t="s">
        <v>1263</v>
      </c>
      <c r="B670" s="81" t="s">
        <v>14</v>
      </c>
      <c r="C670" s="81" t="s">
        <v>1538</v>
      </c>
      <c r="D670" s="81" t="s">
        <v>7427</v>
      </c>
      <c r="E670" s="81" t="s">
        <v>16</v>
      </c>
      <c r="F670" s="81" t="s">
        <v>370</v>
      </c>
      <c r="G670" s="81" t="s">
        <v>3010</v>
      </c>
      <c r="H670" s="81" t="s">
        <v>3011</v>
      </c>
    </row>
    <row r="671" spans="1:8" x14ac:dyDescent="0.3">
      <c r="A671" s="81" t="s">
        <v>1264</v>
      </c>
      <c r="B671" s="81" t="s">
        <v>14</v>
      </c>
      <c r="C671" s="81" t="s">
        <v>1538</v>
      </c>
      <c r="D671" s="81" t="s">
        <v>7427</v>
      </c>
      <c r="E671" s="81" t="s">
        <v>16</v>
      </c>
      <c r="F671" s="81" t="s">
        <v>371</v>
      </c>
      <c r="G671" s="81" t="s">
        <v>3012</v>
      </c>
      <c r="H671" s="81" t="s">
        <v>3013</v>
      </c>
    </row>
    <row r="672" spans="1:8" x14ac:dyDescent="0.3">
      <c r="A672" s="81" t="s">
        <v>1265</v>
      </c>
      <c r="B672" s="81" t="s">
        <v>14</v>
      </c>
      <c r="C672" s="81" t="s">
        <v>1538</v>
      </c>
      <c r="D672" s="81" t="s">
        <v>7427</v>
      </c>
      <c r="E672" s="81" t="s">
        <v>16</v>
      </c>
      <c r="F672" s="81" t="s">
        <v>372</v>
      </c>
      <c r="G672" s="81" t="s">
        <v>3014</v>
      </c>
      <c r="H672" s="81" t="s">
        <v>3015</v>
      </c>
    </row>
    <row r="673" spans="1:8" x14ac:dyDescent="0.3">
      <c r="A673" s="81" t="s">
        <v>1266</v>
      </c>
      <c r="B673" s="81" t="s">
        <v>14</v>
      </c>
      <c r="C673" s="81" t="s">
        <v>1538</v>
      </c>
      <c r="D673" s="81" t="s">
        <v>7427</v>
      </c>
      <c r="E673" s="81" t="s">
        <v>16</v>
      </c>
      <c r="F673" s="81" t="s">
        <v>373</v>
      </c>
      <c r="G673" s="81" t="s">
        <v>3016</v>
      </c>
      <c r="H673" s="81" t="s">
        <v>3017</v>
      </c>
    </row>
    <row r="674" spans="1:8" x14ac:dyDescent="0.3">
      <c r="A674" s="81" t="s">
        <v>1267</v>
      </c>
      <c r="B674" s="81" t="s">
        <v>14</v>
      </c>
      <c r="C674" s="81" t="s">
        <v>1538</v>
      </c>
      <c r="D674" s="81" t="s">
        <v>7427</v>
      </c>
      <c r="E674" s="81" t="s">
        <v>16</v>
      </c>
      <c r="F674" s="81" t="s">
        <v>374</v>
      </c>
      <c r="G674" s="81" t="s">
        <v>3018</v>
      </c>
      <c r="H674" s="81" t="s">
        <v>3019</v>
      </c>
    </row>
    <row r="675" spans="1:8" x14ac:dyDescent="0.3">
      <c r="A675" s="81" t="s">
        <v>1268</v>
      </c>
      <c r="B675" s="81" t="s">
        <v>14</v>
      </c>
      <c r="C675" s="81" t="s">
        <v>1538</v>
      </c>
      <c r="D675" s="81" t="s">
        <v>7427</v>
      </c>
      <c r="E675" s="81" t="s">
        <v>16</v>
      </c>
      <c r="F675" s="81" t="s">
        <v>375</v>
      </c>
      <c r="G675" s="81" t="s">
        <v>3020</v>
      </c>
      <c r="H675" s="81" t="s">
        <v>3021</v>
      </c>
    </row>
    <row r="676" spans="1:8" x14ac:dyDescent="0.3">
      <c r="A676" s="81" t="s">
        <v>1269</v>
      </c>
      <c r="B676" s="81" t="s">
        <v>14</v>
      </c>
      <c r="C676" s="81" t="s">
        <v>1538</v>
      </c>
      <c r="D676" s="81" t="s">
        <v>7427</v>
      </c>
      <c r="E676" s="81" t="s">
        <v>16</v>
      </c>
      <c r="F676" s="81" t="s">
        <v>376</v>
      </c>
      <c r="G676" s="81" t="s">
        <v>3022</v>
      </c>
      <c r="H676" s="81" t="s">
        <v>3023</v>
      </c>
    </row>
    <row r="677" spans="1:8" x14ac:dyDescent="0.3">
      <c r="A677" s="81" t="s">
        <v>1270</v>
      </c>
      <c r="B677" s="81" t="s">
        <v>14</v>
      </c>
      <c r="C677" s="81" t="s">
        <v>1538</v>
      </c>
      <c r="D677" s="81" t="s">
        <v>7427</v>
      </c>
      <c r="E677" s="81" t="s">
        <v>16</v>
      </c>
      <c r="F677" s="81" t="s">
        <v>377</v>
      </c>
      <c r="G677" s="81" t="s">
        <v>3024</v>
      </c>
      <c r="H677" s="81" t="s">
        <v>3025</v>
      </c>
    </row>
    <row r="678" spans="1:8" x14ac:dyDescent="0.3">
      <c r="A678" s="81" t="s">
        <v>1271</v>
      </c>
      <c r="B678" s="81" t="s">
        <v>14</v>
      </c>
      <c r="C678" s="81" t="s">
        <v>1538</v>
      </c>
      <c r="D678" s="81" t="s">
        <v>7427</v>
      </c>
      <c r="E678" s="81" t="s">
        <v>16</v>
      </c>
      <c r="F678" s="81" t="s">
        <v>378</v>
      </c>
      <c r="G678" s="81" t="s">
        <v>3026</v>
      </c>
      <c r="H678" s="81" t="s">
        <v>3027</v>
      </c>
    </row>
    <row r="679" spans="1:8" x14ac:dyDescent="0.3">
      <c r="A679" s="81" t="s">
        <v>1272</v>
      </c>
      <c r="B679" s="81" t="s">
        <v>14</v>
      </c>
      <c r="C679" s="81" t="s">
        <v>1538</v>
      </c>
      <c r="D679" s="81" t="s">
        <v>7427</v>
      </c>
      <c r="E679" s="81" t="s">
        <v>16</v>
      </c>
      <c r="F679" s="81" t="s">
        <v>379</v>
      </c>
      <c r="G679" s="81" t="s">
        <v>3028</v>
      </c>
      <c r="H679" s="81" t="s">
        <v>3029</v>
      </c>
    </row>
    <row r="680" spans="1:8" x14ac:dyDescent="0.3">
      <c r="A680" s="81" t="s">
        <v>1273</v>
      </c>
      <c r="B680" s="81" t="s">
        <v>14</v>
      </c>
      <c r="C680" s="81" t="s">
        <v>1538</v>
      </c>
      <c r="D680" s="81" t="s">
        <v>7427</v>
      </c>
      <c r="E680" s="81" t="s">
        <v>16</v>
      </c>
      <c r="F680" s="81" t="s">
        <v>380</v>
      </c>
      <c r="G680" s="81" t="s">
        <v>3030</v>
      </c>
      <c r="H680" s="81" t="s">
        <v>3031</v>
      </c>
    </row>
    <row r="681" spans="1:8" x14ac:dyDescent="0.3">
      <c r="A681" s="81" t="s">
        <v>1274</v>
      </c>
      <c r="B681" s="81" t="s">
        <v>14</v>
      </c>
      <c r="C681" s="81" t="s">
        <v>1538</v>
      </c>
      <c r="D681" s="81" t="s">
        <v>7427</v>
      </c>
      <c r="E681" s="81" t="s">
        <v>16</v>
      </c>
      <c r="F681" s="81" t="s">
        <v>381</v>
      </c>
      <c r="G681" s="81" t="s">
        <v>3032</v>
      </c>
      <c r="H681" s="81" t="s">
        <v>3033</v>
      </c>
    </row>
    <row r="682" spans="1:8" x14ac:dyDescent="0.3">
      <c r="A682" s="81" t="s">
        <v>1275</v>
      </c>
      <c r="B682" s="81" t="s">
        <v>14</v>
      </c>
      <c r="C682" s="81" t="s">
        <v>1538</v>
      </c>
      <c r="D682" s="81" t="s">
        <v>7427</v>
      </c>
      <c r="E682" s="81" t="s">
        <v>16</v>
      </c>
      <c r="F682" s="81" t="s">
        <v>382</v>
      </c>
      <c r="G682" s="81" t="s">
        <v>3034</v>
      </c>
      <c r="H682" s="81" t="s">
        <v>3035</v>
      </c>
    </row>
    <row r="683" spans="1:8" x14ac:dyDescent="0.3">
      <c r="A683" s="81" t="s">
        <v>1276</v>
      </c>
      <c r="B683" s="81" t="s">
        <v>14</v>
      </c>
      <c r="C683" s="81" t="s">
        <v>1538</v>
      </c>
      <c r="D683" s="81" t="s">
        <v>7427</v>
      </c>
      <c r="E683" s="81" t="s">
        <v>16</v>
      </c>
      <c r="F683" s="81" t="s">
        <v>383</v>
      </c>
      <c r="G683" s="81" t="s">
        <v>3036</v>
      </c>
      <c r="H683" s="81" t="s">
        <v>3037</v>
      </c>
    </row>
    <row r="684" spans="1:8" x14ac:dyDescent="0.3">
      <c r="A684" s="81" t="s">
        <v>1277</v>
      </c>
      <c r="B684" s="81" t="s">
        <v>14</v>
      </c>
      <c r="C684" s="81" t="s">
        <v>1538</v>
      </c>
      <c r="D684" s="81" t="s">
        <v>7427</v>
      </c>
      <c r="E684" s="81" t="s">
        <v>20</v>
      </c>
      <c r="F684" s="81" t="s">
        <v>15</v>
      </c>
      <c r="G684" s="81" t="s">
        <v>3038</v>
      </c>
      <c r="H684" s="81" t="s">
        <v>1578</v>
      </c>
    </row>
    <row r="685" spans="1:8" x14ac:dyDescent="0.3">
      <c r="A685" s="81" t="s">
        <v>1278</v>
      </c>
      <c r="B685" s="81" t="s">
        <v>14</v>
      </c>
      <c r="C685" s="81" t="s">
        <v>1538</v>
      </c>
      <c r="D685" s="81" t="s">
        <v>7427</v>
      </c>
      <c r="E685" s="81" t="s">
        <v>16</v>
      </c>
      <c r="F685" s="81" t="s">
        <v>368</v>
      </c>
      <c r="G685" s="81" t="s">
        <v>3039</v>
      </c>
      <c r="H685" s="81" t="s">
        <v>423</v>
      </c>
    </row>
    <row r="686" spans="1:8" x14ac:dyDescent="0.3">
      <c r="A686" s="81" t="s">
        <v>1279</v>
      </c>
      <c r="B686" s="81" t="s">
        <v>14</v>
      </c>
      <c r="C686" s="81" t="s">
        <v>1538</v>
      </c>
      <c r="D686" s="81" t="s">
        <v>7427</v>
      </c>
      <c r="E686" s="81" t="s">
        <v>16</v>
      </c>
      <c r="F686" s="81" t="s">
        <v>369</v>
      </c>
      <c r="G686" s="81" t="s">
        <v>3040</v>
      </c>
      <c r="H686" s="81" t="s">
        <v>423</v>
      </c>
    </row>
    <row r="687" spans="1:8" x14ac:dyDescent="0.3">
      <c r="A687" s="81" t="s">
        <v>1280</v>
      </c>
      <c r="B687" s="81" t="s">
        <v>14</v>
      </c>
      <c r="C687" s="81" t="s">
        <v>1538</v>
      </c>
      <c r="D687" s="81" t="s">
        <v>7427</v>
      </c>
      <c r="E687" s="81" t="s">
        <v>16</v>
      </c>
      <c r="F687" s="81" t="s">
        <v>370</v>
      </c>
      <c r="G687" s="81" t="s">
        <v>3041</v>
      </c>
      <c r="H687" s="81" t="s">
        <v>423</v>
      </c>
    </row>
    <row r="688" spans="1:8" x14ac:dyDescent="0.3">
      <c r="A688" s="81" t="s">
        <v>1281</v>
      </c>
      <c r="B688" s="81" t="s">
        <v>14</v>
      </c>
      <c r="C688" s="81" t="s">
        <v>1538</v>
      </c>
      <c r="D688" s="81" t="s">
        <v>7427</v>
      </c>
      <c r="E688" s="81" t="s">
        <v>16</v>
      </c>
      <c r="F688" s="81" t="s">
        <v>371</v>
      </c>
      <c r="G688" s="81" t="s">
        <v>3042</v>
      </c>
      <c r="H688" s="81" t="s">
        <v>423</v>
      </c>
    </row>
    <row r="689" spans="1:8" x14ac:dyDescent="0.3">
      <c r="A689" s="81" t="s">
        <v>1282</v>
      </c>
      <c r="B689" s="81" t="s">
        <v>14</v>
      </c>
      <c r="C689" s="81" t="s">
        <v>1538</v>
      </c>
      <c r="D689" s="81" t="s">
        <v>7427</v>
      </c>
      <c r="E689" s="81" t="s">
        <v>16</v>
      </c>
      <c r="F689" s="81" t="s">
        <v>372</v>
      </c>
      <c r="G689" s="81" t="s">
        <v>3043</v>
      </c>
      <c r="H689" s="81" t="s">
        <v>423</v>
      </c>
    </row>
    <row r="690" spans="1:8" x14ac:dyDescent="0.3">
      <c r="A690" s="81" t="s">
        <v>1283</v>
      </c>
      <c r="B690" s="81" t="s">
        <v>14</v>
      </c>
      <c r="C690" s="81" t="s">
        <v>1538</v>
      </c>
      <c r="D690" s="81" t="s">
        <v>7427</v>
      </c>
      <c r="E690" s="81" t="s">
        <v>16</v>
      </c>
      <c r="F690" s="81" t="s">
        <v>373</v>
      </c>
      <c r="G690" s="81" t="s">
        <v>3044</v>
      </c>
      <c r="H690" s="81" t="s">
        <v>423</v>
      </c>
    </row>
    <row r="691" spans="1:8" x14ac:dyDescent="0.3">
      <c r="A691" s="81" t="s">
        <v>1284</v>
      </c>
      <c r="B691" s="81" t="s">
        <v>14</v>
      </c>
      <c r="C691" s="81" t="s">
        <v>1538</v>
      </c>
      <c r="D691" s="81" t="s">
        <v>7427</v>
      </c>
      <c r="E691" s="81" t="s">
        <v>16</v>
      </c>
      <c r="F691" s="81" t="s">
        <v>374</v>
      </c>
      <c r="G691" s="81" t="s">
        <v>3045</v>
      </c>
      <c r="H691" s="81" t="s">
        <v>423</v>
      </c>
    </row>
    <row r="692" spans="1:8" x14ac:dyDescent="0.3">
      <c r="A692" s="81" t="s">
        <v>1285</v>
      </c>
      <c r="B692" s="81" t="s">
        <v>14</v>
      </c>
      <c r="C692" s="81" t="s">
        <v>1538</v>
      </c>
      <c r="D692" s="81" t="s">
        <v>7427</v>
      </c>
      <c r="E692" s="81" t="s">
        <v>16</v>
      </c>
      <c r="F692" s="81" t="s">
        <v>375</v>
      </c>
      <c r="G692" s="81" t="s">
        <v>3046</v>
      </c>
      <c r="H692" s="81" t="s">
        <v>423</v>
      </c>
    </row>
    <row r="693" spans="1:8" x14ac:dyDescent="0.3">
      <c r="A693" s="81" t="s">
        <v>1286</v>
      </c>
      <c r="B693" s="81" t="s">
        <v>14</v>
      </c>
      <c r="C693" s="81" t="s">
        <v>1538</v>
      </c>
      <c r="D693" s="81" t="s">
        <v>7427</v>
      </c>
      <c r="E693" s="81" t="s">
        <v>16</v>
      </c>
      <c r="F693" s="81" t="s">
        <v>376</v>
      </c>
      <c r="G693" s="81" t="s">
        <v>3047</v>
      </c>
      <c r="H693" s="81" t="s">
        <v>423</v>
      </c>
    </row>
    <row r="694" spans="1:8" x14ac:dyDescent="0.3">
      <c r="A694" s="81" t="s">
        <v>1287</v>
      </c>
      <c r="B694" s="81" t="s">
        <v>14</v>
      </c>
      <c r="C694" s="81" t="s">
        <v>1538</v>
      </c>
      <c r="D694" s="81" t="s">
        <v>7427</v>
      </c>
      <c r="E694" s="81" t="s">
        <v>16</v>
      </c>
      <c r="F694" s="81" t="s">
        <v>377</v>
      </c>
      <c r="G694" s="81" t="s">
        <v>3048</v>
      </c>
      <c r="H694" s="81" t="s">
        <v>423</v>
      </c>
    </row>
    <row r="695" spans="1:8" x14ac:dyDescent="0.3">
      <c r="A695" s="81" t="s">
        <v>1288</v>
      </c>
      <c r="B695" s="81" t="s">
        <v>14</v>
      </c>
      <c r="C695" s="81" t="s">
        <v>1538</v>
      </c>
      <c r="D695" s="81" t="s">
        <v>7427</v>
      </c>
      <c r="E695" s="81" t="s">
        <v>16</v>
      </c>
      <c r="F695" s="81" t="s">
        <v>378</v>
      </c>
      <c r="G695" s="81" t="s">
        <v>3049</v>
      </c>
      <c r="H695" s="81" t="s">
        <v>423</v>
      </c>
    </row>
    <row r="696" spans="1:8" x14ac:dyDescent="0.3">
      <c r="A696" s="81" t="s">
        <v>1289</v>
      </c>
      <c r="B696" s="81" t="s">
        <v>14</v>
      </c>
      <c r="C696" s="81" t="s">
        <v>1538</v>
      </c>
      <c r="D696" s="81" t="s">
        <v>7427</v>
      </c>
      <c r="E696" s="81" t="s">
        <v>16</v>
      </c>
      <c r="F696" s="81" t="s">
        <v>379</v>
      </c>
      <c r="G696" s="81" t="s">
        <v>3050</v>
      </c>
      <c r="H696" s="81" t="s">
        <v>423</v>
      </c>
    </row>
    <row r="697" spans="1:8" x14ac:dyDescent="0.3">
      <c r="A697" s="81" t="s">
        <v>1290</v>
      </c>
      <c r="B697" s="81" t="s">
        <v>14</v>
      </c>
      <c r="C697" s="81" t="s">
        <v>1538</v>
      </c>
      <c r="D697" s="81" t="s">
        <v>7427</v>
      </c>
      <c r="E697" s="81" t="s">
        <v>16</v>
      </c>
      <c r="F697" s="81" t="s">
        <v>380</v>
      </c>
      <c r="G697" s="81" t="s">
        <v>3051</v>
      </c>
      <c r="H697" s="81" t="s">
        <v>423</v>
      </c>
    </row>
    <row r="698" spans="1:8" x14ac:dyDescent="0.3">
      <c r="A698" s="81" t="s">
        <v>1291</v>
      </c>
      <c r="B698" s="81" t="s">
        <v>14</v>
      </c>
      <c r="C698" s="81" t="s">
        <v>1538</v>
      </c>
      <c r="D698" s="81" t="s">
        <v>7427</v>
      </c>
      <c r="E698" s="81" t="s">
        <v>16</v>
      </c>
      <c r="F698" s="81" t="s">
        <v>381</v>
      </c>
      <c r="G698" s="81" t="s">
        <v>3052</v>
      </c>
      <c r="H698" s="81" t="s">
        <v>423</v>
      </c>
    </row>
    <row r="699" spans="1:8" x14ac:dyDescent="0.3">
      <c r="A699" s="81" t="s">
        <v>1292</v>
      </c>
      <c r="B699" s="81" t="s">
        <v>14</v>
      </c>
      <c r="C699" s="81" t="s">
        <v>1538</v>
      </c>
      <c r="D699" s="81" t="s">
        <v>7427</v>
      </c>
      <c r="E699" s="81" t="s">
        <v>16</v>
      </c>
      <c r="F699" s="81" t="s">
        <v>382</v>
      </c>
      <c r="G699" s="81" t="s">
        <v>3053</v>
      </c>
      <c r="H699" s="81" t="s">
        <v>423</v>
      </c>
    </row>
    <row r="700" spans="1:8" x14ac:dyDescent="0.3">
      <c r="A700" s="81" t="s">
        <v>1293</v>
      </c>
      <c r="B700" s="81" t="s">
        <v>14</v>
      </c>
      <c r="C700" s="81" t="s">
        <v>1538</v>
      </c>
      <c r="D700" s="81" t="s">
        <v>7427</v>
      </c>
      <c r="E700" s="81" t="s">
        <v>16</v>
      </c>
      <c r="F700" s="81" t="s">
        <v>383</v>
      </c>
      <c r="G700" s="81" t="s">
        <v>3054</v>
      </c>
      <c r="H700" s="81" t="s">
        <v>423</v>
      </c>
    </row>
    <row r="701" spans="1:8" x14ac:dyDescent="0.3">
      <c r="A701" s="81" t="s">
        <v>1294</v>
      </c>
      <c r="B701" s="81" t="s">
        <v>14</v>
      </c>
      <c r="C701" s="81" t="s">
        <v>1538</v>
      </c>
      <c r="D701" s="81" t="s">
        <v>7427</v>
      </c>
      <c r="E701" s="81" t="s">
        <v>20</v>
      </c>
      <c r="F701" s="81" t="s">
        <v>15</v>
      </c>
      <c r="G701" s="81" t="s">
        <v>3055</v>
      </c>
      <c r="H701" s="81" t="s">
        <v>1579</v>
      </c>
    </row>
    <row r="702" spans="1:8" x14ac:dyDescent="0.3">
      <c r="A702" s="81" t="s">
        <v>1295</v>
      </c>
      <c r="B702" s="81" t="s">
        <v>14</v>
      </c>
      <c r="C702" s="81" t="s">
        <v>1538</v>
      </c>
      <c r="D702" s="81" t="s">
        <v>7427</v>
      </c>
      <c r="E702" s="81" t="s">
        <v>16</v>
      </c>
      <c r="F702" s="81" t="s">
        <v>368</v>
      </c>
      <c r="G702" s="81" t="s">
        <v>3056</v>
      </c>
      <c r="H702" s="81" t="s">
        <v>423</v>
      </c>
    </row>
    <row r="703" spans="1:8" x14ac:dyDescent="0.3">
      <c r="A703" s="81" t="s">
        <v>1296</v>
      </c>
      <c r="B703" s="81" t="s">
        <v>14</v>
      </c>
      <c r="C703" s="81" t="s">
        <v>1538</v>
      </c>
      <c r="D703" s="81" t="s">
        <v>7427</v>
      </c>
      <c r="E703" s="81" t="s">
        <v>16</v>
      </c>
      <c r="F703" s="81" t="s">
        <v>369</v>
      </c>
      <c r="G703" s="81" t="s">
        <v>3057</v>
      </c>
      <c r="H703" s="81" t="s">
        <v>423</v>
      </c>
    </row>
    <row r="704" spans="1:8" x14ac:dyDescent="0.3">
      <c r="A704" s="81" t="s">
        <v>1297</v>
      </c>
      <c r="B704" s="81" t="s">
        <v>14</v>
      </c>
      <c r="C704" s="81" t="s">
        <v>1538</v>
      </c>
      <c r="D704" s="81" t="s">
        <v>7427</v>
      </c>
      <c r="E704" s="81" t="s">
        <v>16</v>
      </c>
      <c r="F704" s="81" t="s">
        <v>370</v>
      </c>
      <c r="G704" s="81" t="s">
        <v>3058</v>
      </c>
      <c r="H704" s="81" t="s">
        <v>423</v>
      </c>
    </row>
    <row r="705" spans="1:8" x14ac:dyDescent="0.3">
      <c r="A705" s="81" t="s">
        <v>1298</v>
      </c>
      <c r="B705" s="81" t="s">
        <v>14</v>
      </c>
      <c r="C705" s="81" t="s">
        <v>1538</v>
      </c>
      <c r="D705" s="81" t="s">
        <v>7427</v>
      </c>
      <c r="E705" s="81" t="s">
        <v>16</v>
      </c>
      <c r="F705" s="81" t="s">
        <v>371</v>
      </c>
      <c r="G705" s="81" t="s">
        <v>3059</v>
      </c>
      <c r="H705" s="81" t="s">
        <v>423</v>
      </c>
    </row>
    <row r="706" spans="1:8" x14ac:dyDescent="0.3">
      <c r="A706" s="81" t="s">
        <v>1299</v>
      </c>
      <c r="B706" s="81" t="s">
        <v>14</v>
      </c>
      <c r="C706" s="81" t="s">
        <v>1538</v>
      </c>
      <c r="D706" s="81" t="s">
        <v>7427</v>
      </c>
      <c r="E706" s="81" t="s">
        <v>16</v>
      </c>
      <c r="F706" s="81" t="s">
        <v>372</v>
      </c>
      <c r="G706" s="81" t="s">
        <v>3060</v>
      </c>
      <c r="H706" s="81" t="s">
        <v>423</v>
      </c>
    </row>
    <row r="707" spans="1:8" x14ac:dyDescent="0.3">
      <c r="A707" s="81" t="s">
        <v>1300</v>
      </c>
      <c r="B707" s="81" t="s">
        <v>14</v>
      </c>
      <c r="C707" s="81" t="s">
        <v>1538</v>
      </c>
      <c r="D707" s="81" t="s">
        <v>7427</v>
      </c>
      <c r="E707" s="81" t="s">
        <v>16</v>
      </c>
      <c r="F707" s="81" t="s">
        <v>373</v>
      </c>
      <c r="G707" s="81" t="s">
        <v>3061</v>
      </c>
      <c r="H707" s="81" t="s">
        <v>423</v>
      </c>
    </row>
    <row r="708" spans="1:8" x14ac:dyDescent="0.3">
      <c r="A708" s="81" t="s">
        <v>1301</v>
      </c>
      <c r="B708" s="81" t="s">
        <v>14</v>
      </c>
      <c r="C708" s="81" t="s">
        <v>1538</v>
      </c>
      <c r="D708" s="81" t="s">
        <v>7427</v>
      </c>
      <c r="E708" s="81" t="s">
        <v>16</v>
      </c>
      <c r="F708" s="81" t="s">
        <v>374</v>
      </c>
      <c r="G708" s="81" t="s">
        <v>3062</v>
      </c>
      <c r="H708" s="81" t="s">
        <v>423</v>
      </c>
    </row>
    <row r="709" spans="1:8" x14ac:dyDescent="0.3">
      <c r="A709" s="81" t="s">
        <v>1302</v>
      </c>
      <c r="B709" s="81" t="s">
        <v>14</v>
      </c>
      <c r="C709" s="81" t="s">
        <v>1538</v>
      </c>
      <c r="D709" s="81" t="s">
        <v>7427</v>
      </c>
      <c r="E709" s="81" t="s">
        <v>16</v>
      </c>
      <c r="F709" s="81" t="s">
        <v>375</v>
      </c>
      <c r="G709" s="81" t="s">
        <v>3063</v>
      </c>
      <c r="H709" s="81" t="s">
        <v>423</v>
      </c>
    </row>
    <row r="710" spans="1:8" x14ac:dyDescent="0.3">
      <c r="A710" s="81" t="s">
        <v>1303</v>
      </c>
      <c r="B710" s="81" t="s">
        <v>14</v>
      </c>
      <c r="C710" s="81" t="s">
        <v>1538</v>
      </c>
      <c r="D710" s="81" t="s">
        <v>7427</v>
      </c>
      <c r="E710" s="81" t="s">
        <v>16</v>
      </c>
      <c r="F710" s="81" t="s">
        <v>376</v>
      </c>
      <c r="G710" s="81" t="s">
        <v>3064</v>
      </c>
      <c r="H710" s="81" t="s">
        <v>423</v>
      </c>
    </row>
    <row r="711" spans="1:8" x14ac:dyDescent="0.3">
      <c r="A711" s="81" t="s">
        <v>1304</v>
      </c>
      <c r="B711" s="81" t="s">
        <v>14</v>
      </c>
      <c r="C711" s="81" t="s">
        <v>1538</v>
      </c>
      <c r="D711" s="81" t="s">
        <v>7427</v>
      </c>
      <c r="E711" s="81" t="s">
        <v>16</v>
      </c>
      <c r="F711" s="81" t="s">
        <v>377</v>
      </c>
      <c r="G711" s="81" t="s">
        <v>3065</v>
      </c>
      <c r="H711" s="81" t="s">
        <v>423</v>
      </c>
    </row>
    <row r="712" spans="1:8" x14ac:dyDescent="0.3">
      <c r="A712" s="81" t="s">
        <v>1305</v>
      </c>
      <c r="B712" s="81" t="s">
        <v>14</v>
      </c>
      <c r="C712" s="81" t="s">
        <v>1538</v>
      </c>
      <c r="D712" s="81" t="s">
        <v>7427</v>
      </c>
      <c r="E712" s="81" t="s">
        <v>16</v>
      </c>
      <c r="F712" s="81" t="s">
        <v>378</v>
      </c>
      <c r="G712" s="81" t="s">
        <v>3066</v>
      </c>
      <c r="H712" s="81" t="s">
        <v>423</v>
      </c>
    </row>
    <row r="713" spans="1:8" x14ac:dyDescent="0.3">
      <c r="A713" s="81" t="s">
        <v>1306</v>
      </c>
      <c r="B713" s="81" t="s">
        <v>14</v>
      </c>
      <c r="C713" s="81" t="s">
        <v>1538</v>
      </c>
      <c r="D713" s="81" t="s">
        <v>7427</v>
      </c>
      <c r="E713" s="81" t="s">
        <v>16</v>
      </c>
      <c r="F713" s="81" t="s">
        <v>379</v>
      </c>
      <c r="G713" s="81" t="s">
        <v>3067</v>
      </c>
      <c r="H713" s="81" t="s">
        <v>423</v>
      </c>
    </row>
    <row r="714" spans="1:8" x14ac:dyDescent="0.3">
      <c r="A714" s="81" t="s">
        <v>1307</v>
      </c>
      <c r="B714" s="81" t="s">
        <v>14</v>
      </c>
      <c r="C714" s="81" t="s">
        <v>1538</v>
      </c>
      <c r="D714" s="81" t="s">
        <v>7427</v>
      </c>
      <c r="E714" s="81" t="s">
        <v>16</v>
      </c>
      <c r="F714" s="81" t="s">
        <v>380</v>
      </c>
      <c r="G714" s="81" t="s">
        <v>3068</v>
      </c>
      <c r="H714" s="81" t="s">
        <v>423</v>
      </c>
    </row>
    <row r="715" spans="1:8" x14ac:dyDescent="0.3">
      <c r="A715" s="81" t="s">
        <v>1308</v>
      </c>
      <c r="B715" s="81" t="s">
        <v>14</v>
      </c>
      <c r="C715" s="81" t="s">
        <v>1538</v>
      </c>
      <c r="D715" s="81" t="s">
        <v>7427</v>
      </c>
      <c r="E715" s="81" t="s">
        <v>16</v>
      </c>
      <c r="F715" s="81" t="s">
        <v>381</v>
      </c>
      <c r="G715" s="81" t="s">
        <v>3069</v>
      </c>
      <c r="H715" s="81" t="s">
        <v>423</v>
      </c>
    </row>
    <row r="716" spans="1:8" x14ac:dyDescent="0.3">
      <c r="A716" s="81" t="s">
        <v>1309</v>
      </c>
      <c r="B716" s="81" t="s">
        <v>14</v>
      </c>
      <c r="C716" s="81" t="s">
        <v>1538</v>
      </c>
      <c r="D716" s="81" t="s">
        <v>7427</v>
      </c>
      <c r="E716" s="81" t="s">
        <v>16</v>
      </c>
      <c r="F716" s="81" t="s">
        <v>382</v>
      </c>
      <c r="G716" s="81" t="s">
        <v>3070</v>
      </c>
      <c r="H716" s="81" t="s">
        <v>423</v>
      </c>
    </row>
    <row r="717" spans="1:8" x14ac:dyDescent="0.3">
      <c r="A717" s="81" t="s">
        <v>1310</v>
      </c>
      <c r="B717" s="81" t="s">
        <v>14</v>
      </c>
      <c r="C717" s="81" t="s">
        <v>1538</v>
      </c>
      <c r="D717" s="81" t="s">
        <v>7427</v>
      </c>
      <c r="E717" s="81" t="s">
        <v>16</v>
      </c>
      <c r="F717" s="81" t="s">
        <v>383</v>
      </c>
      <c r="G717" s="81" t="s">
        <v>3071</v>
      </c>
      <c r="H717" s="81" t="s">
        <v>423</v>
      </c>
    </row>
    <row r="718" spans="1:8" x14ac:dyDescent="0.3">
      <c r="A718" s="81" t="s">
        <v>1311</v>
      </c>
      <c r="B718" s="81" t="s">
        <v>870</v>
      </c>
      <c r="C718" s="81" t="s">
        <v>7426</v>
      </c>
      <c r="D718" s="81" t="s">
        <v>870</v>
      </c>
      <c r="E718" s="81" t="s">
        <v>20</v>
      </c>
      <c r="F718" s="81" t="s">
        <v>15</v>
      </c>
      <c r="G718" s="81" t="s">
        <v>3072</v>
      </c>
      <c r="H718" s="81" t="s">
        <v>1587</v>
      </c>
    </row>
    <row r="719" spans="1:8" x14ac:dyDescent="0.3">
      <c r="A719" s="81" t="s">
        <v>1312</v>
      </c>
      <c r="B719" s="81" t="s">
        <v>881</v>
      </c>
      <c r="C719" s="81" t="s">
        <v>1590</v>
      </c>
      <c r="D719" s="81" t="s">
        <v>1601</v>
      </c>
      <c r="E719" s="81" t="s">
        <v>20</v>
      </c>
      <c r="F719" s="81" t="s">
        <v>15</v>
      </c>
      <c r="G719" s="81" t="s">
        <v>3073</v>
      </c>
      <c r="H719" s="81" t="s">
        <v>1592</v>
      </c>
    </row>
    <row r="720" spans="1:8" x14ac:dyDescent="0.3">
      <c r="A720" s="81" t="s">
        <v>1313</v>
      </c>
      <c r="B720" s="81" t="s">
        <v>881</v>
      </c>
      <c r="C720" s="81" t="s">
        <v>1590</v>
      </c>
      <c r="D720" s="81" t="s">
        <v>1601</v>
      </c>
      <c r="E720" s="81" t="s">
        <v>16</v>
      </c>
      <c r="F720" s="81" t="s">
        <v>368</v>
      </c>
      <c r="G720" s="81" t="s">
        <v>3074</v>
      </c>
      <c r="H720" s="81" t="s">
        <v>3075</v>
      </c>
    </row>
    <row r="721" spans="1:8" x14ac:dyDescent="0.3">
      <c r="A721" s="81" t="s">
        <v>1314</v>
      </c>
      <c r="B721" s="81" t="s">
        <v>881</v>
      </c>
      <c r="C721" s="81" t="s">
        <v>1590</v>
      </c>
      <c r="D721" s="81" t="s">
        <v>1601</v>
      </c>
      <c r="E721" s="81" t="s">
        <v>16</v>
      </c>
      <c r="F721" s="81" t="s">
        <v>369</v>
      </c>
      <c r="G721" s="81" t="s">
        <v>3076</v>
      </c>
      <c r="H721" s="81" t="s">
        <v>3077</v>
      </c>
    </row>
    <row r="722" spans="1:8" x14ac:dyDescent="0.3">
      <c r="A722" s="81" t="s">
        <v>1315</v>
      </c>
      <c r="B722" s="81" t="s">
        <v>881</v>
      </c>
      <c r="C722" s="81" t="s">
        <v>1590</v>
      </c>
      <c r="D722" s="81" t="s">
        <v>1601</v>
      </c>
      <c r="E722" s="81" t="s">
        <v>16</v>
      </c>
      <c r="F722" s="81" t="s">
        <v>370</v>
      </c>
      <c r="G722" s="81" t="s">
        <v>3078</v>
      </c>
      <c r="H722" s="81" t="s">
        <v>3079</v>
      </c>
    </row>
    <row r="723" spans="1:8" x14ac:dyDescent="0.3">
      <c r="A723" s="81" t="s">
        <v>1316</v>
      </c>
      <c r="B723" s="81" t="s">
        <v>881</v>
      </c>
      <c r="C723" s="81" t="s">
        <v>1590</v>
      </c>
      <c r="D723" s="81" t="s">
        <v>1601</v>
      </c>
      <c r="E723" s="81" t="s">
        <v>16</v>
      </c>
      <c r="F723" s="81" t="s">
        <v>371</v>
      </c>
      <c r="G723" s="81" t="s">
        <v>3080</v>
      </c>
      <c r="H723" s="81" t="s">
        <v>3081</v>
      </c>
    </row>
    <row r="724" spans="1:8" x14ac:dyDescent="0.3">
      <c r="A724" s="81" t="s">
        <v>1317</v>
      </c>
      <c r="B724" s="81" t="s">
        <v>881</v>
      </c>
      <c r="C724" s="81" t="s">
        <v>1590</v>
      </c>
      <c r="D724" s="81" t="s">
        <v>1601</v>
      </c>
      <c r="E724" s="81" t="s">
        <v>16</v>
      </c>
      <c r="F724" s="81" t="s">
        <v>372</v>
      </c>
      <c r="G724" s="81" t="s">
        <v>3082</v>
      </c>
      <c r="H724" s="81" t="s">
        <v>3083</v>
      </c>
    </row>
    <row r="725" spans="1:8" x14ac:dyDescent="0.3">
      <c r="A725" s="81" t="s">
        <v>1318</v>
      </c>
      <c r="B725" s="81" t="s">
        <v>881</v>
      </c>
      <c r="C725" s="81" t="s">
        <v>1590</v>
      </c>
      <c r="D725" s="81" t="s">
        <v>1601</v>
      </c>
      <c r="E725" s="81" t="s">
        <v>16</v>
      </c>
      <c r="F725" s="81" t="s">
        <v>373</v>
      </c>
      <c r="G725" s="81" t="s">
        <v>3084</v>
      </c>
      <c r="H725" s="81" t="s">
        <v>3085</v>
      </c>
    </row>
    <row r="726" spans="1:8" x14ac:dyDescent="0.3">
      <c r="A726" s="81" t="s">
        <v>1319</v>
      </c>
      <c r="B726" s="81" t="s">
        <v>881</v>
      </c>
      <c r="C726" s="81" t="s">
        <v>1590</v>
      </c>
      <c r="D726" s="81" t="s">
        <v>1601</v>
      </c>
      <c r="E726" s="81" t="s">
        <v>16</v>
      </c>
      <c r="F726" s="81" t="s">
        <v>374</v>
      </c>
      <c r="G726" s="81" t="s">
        <v>3086</v>
      </c>
      <c r="H726" s="81" t="s">
        <v>3087</v>
      </c>
    </row>
    <row r="727" spans="1:8" x14ac:dyDescent="0.3">
      <c r="A727" s="81" t="s">
        <v>1320</v>
      </c>
      <c r="B727" s="81" t="s">
        <v>881</v>
      </c>
      <c r="C727" s="81" t="s">
        <v>1590</v>
      </c>
      <c r="D727" s="81" t="s">
        <v>1601</v>
      </c>
      <c r="E727" s="81" t="s">
        <v>16</v>
      </c>
      <c r="F727" s="81" t="s">
        <v>375</v>
      </c>
      <c r="G727" s="81" t="s">
        <v>3088</v>
      </c>
      <c r="H727" s="81" t="s">
        <v>3089</v>
      </c>
    </row>
    <row r="728" spans="1:8" x14ac:dyDescent="0.3">
      <c r="A728" s="81" t="s">
        <v>1321</v>
      </c>
      <c r="B728" s="81" t="s">
        <v>881</v>
      </c>
      <c r="C728" s="81" t="s">
        <v>1590</v>
      </c>
      <c r="D728" s="81" t="s">
        <v>1601</v>
      </c>
      <c r="E728" s="81" t="s">
        <v>16</v>
      </c>
      <c r="F728" s="81" t="s">
        <v>376</v>
      </c>
      <c r="G728" s="81" t="s">
        <v>3090</v>
      </c>
      <c r="H728" s="81" t="s">
        <v>3091</v>
      </c>
    </row>
    <row r="729" spans="1:8" x14ac:dyDescent="0.3">
      <c r="A729" s="81" t="s">
        <v>1322</v>
      </c>
      <c r="B729" s="81" t="s">
        <v>881</v>
      </c>
      <c r="C729" s="81" t="s">
        <v>1590</v>
      </c>
      <c r="D729" s="81" t="s">
        <v>1601</v>
      </c>
      <c r="E729" s="81" t="s">
        <v>16</v>
      </c>
      <c r="F729" s="81" t="s">
        <v>377</v>
      </c>
      <c r="G729" s="81" t="s">
        <v>3092</v>
      </c>
      <c r="H729" s="81" t="s">
        <v>3093</v>
      </c>
    </row>
    <row r="730" spans="1:8" x14ac:dyDescent="0.3">
      <c r="A730" s="81" t="s">
        <v>1323</v>
      </c>
      <c r="B730" s="81" t="s">
        <v>881</v>
      </c>
      <c r="C730" s="81" t="s">
        <v>1590</v>
      </c>
      <c r="D730" s="81" t="s">
        <v>1601</v>
      </c>
      <c r="E730" s="81" t="s">
        <v>16</v>
      </c>
      <c r="F730" s="81" t="s">
        <v>378</v>
      </c>
      <c r="G730" s="81" t="s">
        <v>3094</v>
      </c>
      <c r="H730" s="81" t="s">
        <v>3095</v>
      </c>
    </row>
    <row r="731" spans="1:8" x14ac:dyDescent="0.3">
      <c r="A731" s="81" t="s">
        <v>1324</v>
      </c>
      <c r="B731" s="81" t="s">
        <v>881</v>
      </c>
      <c r="C731" s="81" t="s">
        <v>1590</v>
      </c>
      <c r="D731" s="81" t="s">
        <v>1601</v>
      </c>
      <c r="E731" s="81" t="s">
        <v>16</v>
      </c>
      <c r="F731" s="81" t="s">
        <v>379</v>
      </c>
      <c r="G731" s="81" t="s">
        <v>3096</v>
      </c>
      <c r="H731" s="81" t="s">
        <v>3097</v>
      </c>
    </row>
    <row r="732" spans="1:8" x14ac:dyDescent="0.3">
      <c r="A732" s="81" t="s">
        <v>1325</v>
      </c>
      <c r="B732" s="81" t="s">
        <v>881</v>
      </c>
      <c r="C732" s="81" t="s">
        <v>1590</v>
      </c>
      <c r="D732" s="81" t="s">
        <v>1601</v>
      </c>
      <c r="E732" s="81" t="s">
        <v>16</v>
      </c>
      <c r="F732" s="81" t="s">
        <v>380</v>
      </c>
      <c r="G732" s="81" t="s">
        <v>3098</v>
      </c>
      <c r="H732" s="81" t="s">
        <v>3099</v>
      </c>
    </row>
    <row r="733" spans="1:8" x14ac:dyDescent="0.3">
      <c r="A733" s="81" t="s">
        <v>1326</v>
      </c>
      <c r="B733" s="81" t="s">
        <v>881</v>
      </c>
      <c r="C733" s="81" t="s">
        <v>1590</v>
      </c>
      <c r="D733" s="81" t="s">
        <v>1601</v>
      </c>
      <c r="E733" s="81" t="s">
        <v>16</v>
      </c>
      <c r="F733" s="81" t="s">
        <v>381</v>
      </c>
      <c r="G733" s="81" t="s">
        <v>3100</v>
      </c>
      <c r="H733" s="81" t="s">
        <v>3101</v>
      </c>
    </row>
    <row r="734" spans="1:8" x14ac:dyDescent="0.3">
      <c r="A734" s="81" t="s">
        <v>1327</v>
      </c>
      <c r="B734" s="81" t="s">
        <v>881</v>
      </c>
      <c r="C734" s="81" t="s">
        <v>1590</v>
      </c>
      <c r="D734" s="81" t="s">
        <v>1601</v>
      </c>
      <c r="E734" s="81" t="s">
        <v>16</v>
      </c>
      <c r="F734" s="81" t="s">
        <v>382</v>
      </c>
      <c r="G734" s="81" t="s">
        <v>3102</v>
      </c>
      <c r="H734" s="81" t="s">
        <v>3103</v>
      </c>
    </row>
    <row r="735" spans="1:8" x14ac:dyDescent="0.3">
      <c r="A735" s="81" t="s">
        <v>1328</v>
      </c>
      <c r="B735" s="81" t="s">
        <v>881</v>
      </c>
      <c r="C735" s="81" t="s">
        <v>1590</v>
      </c>
      <c r="D735" s="81" t="s">
        <v>1601</v>
      </c>
      <c r="E735" s="81" t="s">
        <v>16</v>
      </c>
      <c r="F735" s="81" t="s">
        <v>383</v>
      </c>
      <c r="G735" s="81" t="s">
        <v>3104</v>
      </c>
      <c r="H735" s="81" t="s">
        <v>3105</v>
      </c>
    </row>
    <row r="736" spans="1:8" x14ac:dyDescent="0.3">
      <c r="A736" s="81" t="s">
        <v>1329</v>
      </c>
      <c r="B736" s="81" t="s">
        <v>881</v>
      </c>
      <c r="C736" s="81" t="s">
        <v>1596</v>
      </c>
      <c r="D736" s="81" t="s">
        <v>1601</v>
      </c>
      <c r="E736" s="81" t="s">
        <v>20</v>
      </c>
      <c r="F736" s="81" t="s">
        <v>15</v>
      </c>
      <c r="G736" s="81" t="s">
        <v>3106</v>
      </c>
      <c r="H736" s="81" t="s">
        <v>1597</v>
      </c>
    </row>
    <row r="737" spans="1:8" x14ac:dyDescent="0.3">
      <c r="A737" s="81" t="s">
        <v>1330</v>
      </c>
      <c r="B737" s="81" t="s">
        <v>881</v>
      </c>
      <c r="C737" s="81" t="s">
        <v>1596</v>
      </c>
      <c r="D737" s="81" t="s">
        <v>1601</v>
      </c>
      <c r="E737" s="81" t="s">
        <v>16</v>
      </c>
      <c r="F737" s="81" t="s">
        <v>368</v>
      </c>
      <c r="G737" s="81" t="s">
        <v>3107</v>
      </c>
      <c r="H737" s="81" t="s">
        <v>3108</v>
      </c>
    </row>
    <row r="738" spans="1:8" x14ac:dyDescent="0.3">
      <c r="A738" s="81" t="s">
        <v>1331</v>
      </c>
      <c r="B738" s="81" t="s">
        <v>881</v>
      </c>
      <c r="C738" s="81" t="s">
        <v>1596</v>
      </c>
      <c r="D738" s="81" t="s">
        <v>1601</v>
      </c>
      <c r="E738" s="81" t="s">
        <v>16</v>
      </c>
      <c r="F738" s="81" t="s">
        <v>369</v>
      </c>
      <c r="G738" s="81" t="s">
        <v>3109</v>
      </c>
      <c r="H738" s="81" t="s">
        <v>3110</v>
      </c>
    </row>
    <row r="739" spans="1:8" x14ac:dyDescent="0.3">
      <c r="A739" s="81" t="s">
        <v>1332</v>
      </c>
      <c r="B739" s="81" t="s">
        <v>881</v>
      </c>
      <c r="C739" s="81" t="s">
        <v>1596</v>
      </c>
      <c r="D739" s="81" t="s">
        <v>1601</v>
      </c>
      <c r="E739" s="81" t="s">
        <v>16</v>
      </c>
      <c r="F739" s="81" t="s">
        <v>370</v>
      </c>
      <c r="G739" s="81" t="s">
        <v>3111</v>
      </c>
      <c r="H739" s="81" t="s">
        <v>3112</v>
      </c>
    </row>
    <row r="740" spans="1:8" x14ac:dyDescent="0.3">
      <c r="A740" s="81" t="s">
        <v>1333</v>
      </c>
      <c r="B740" s="81" t="s">
        <v>881</v>
      </c>
      <c r="C740" s="81" t="s">
        <v>1596</v>
      </c>
      <c r="D740" s="81" t="s">
        <v>1601</v>
      </c>
      <c r="E740" s="81" t="s">
        <v>16</v>
      </c>
      <c r="F740" s="81" t="s">
        <v>371</v>
      </c>
      <c r="G740" s="81" t="s">
        <v>3113</v>
      </c>
      <c r="H740" s="81" t="s">
        <v>3114</v>
      </c>
    </row>
    <row r="741" spans="1:8" x14ac:dyDescent="0.3">
      <c r="A741" s="81" t="s">
        <v>1334</v>
      </c>
      <c r="B741" s="81" t="s">
        <v>881</v>
      </c>
      <c r="C741" s="81" t="s">
        <v>1596</v>
      </c>
      <c r="D741" s="81" t="s">
        <v>1601</v>
      </c>
      <c r="E741" s="81" t="s">
        <v>16</v>
      </c>
      <c r="F741" s="81" t="s">
        <v>372</v>
      </c>
      <c r="G741" s="81" t="s">
        <v>3115</v>
      </c>
      <c r="H741" s="81" t="s">
        <v>3116</v>
      </c>
    </row>
    <row r="742" spans="1:8" x14ac:dyDescent="0.3">
      <c r="A742" s="81" t="s">
        <v>1335</v>
      </c>
      <c r="B742" s="81" t="s">
        <v>881</v>
      </c>
      <c r="C742" s="81" t="s">
        <v>1596</v>
      </c>
      <c r="D742" s="81" t="s">
        <v>1601</v>
      </c>
      <c r="E742" s="81" t="s">
        <v>16</v>
      </c>
      <c r="F742" s="81" t="s">
        <v>373</v>
      </c>
      <c r="G742" s="81" t="s">
        <v>3117</v>
      </c>
      <c r="H742" s="81" t="s">
        <v>3118</v>
      </c>
    </row>
    <row r="743" spans="1:8" x14ac:dyDescent="0.3">
      <c r="A743" s="81" t="s">
        <v>1336</v>
      </c>
      <c r="B743" s="81" t="s">
        <v>881</v>
      </c>
      <c r="C743" s="81" t="s">
        <v>1596</v>
      </c>
      <c r="D743" s="81" t="s">
        <v>1601</v>
      </c>
      <c r="E743" s="81" t="s">
        <v>16</v>
      </c>
      <c r="F743" s="81" t="s">
        <v>374</v>
      </c>
      <c r="G743" s="81" t="s">
        <v>3119</v>
      </c>
      <c r="H743" s="81" t="s">
        <v>3120</v>
      </c>
    </row>
    <row r="744" spans="1:8" x14ac:dyDescent="0.3">
      <c r="A744" s="81" t="s">
        <v>1337</v>
      </c>
      <c r="B744" s="81" t="s">
        <v>881</v>
      </c>
      <c r="C744" s="81" t="s">
        <v>1596</v>
      </c>
      <c r="D744" s="81" t="s">
        <v>1601</v>
      </c>
      <c r="E744" s="81" t="s">
        <v>16</v>
      </c>
      <c r="F744" s="81" t="s">
        <v>375</v>
      </c>
      <c r="G744" s="81" t="s">
        <v>3121</v>
      </c>
      <c r="H744" s="81" t="s">
        <v>3122</v>
      </c>
    </row>
    <row r="745" spans="1:8" x14ac:dyDescent="0.3">
      <c r="A745" s="81" t="s">
        <v>1338</v>
      </c>
      <c r="B745" s="81" t="s">
        <v>881</v>
      </c>
      <c r="C745" s="81" t="s">
        <v>1596</v>
      </c>
      <c r="D745" s="81" t="s">
        <v>1601</v>
      </c>
      <c r="E745" s="81" t="s">
        <v>16</v>
      </c>
      <c r="F745" s="81" t="s">
        <v>376</v>
      </c>
      <c r="G745" s="81" t="s">
        <v>3123</v>
      </c>
      <c r="H745" s="81" t="s">
        <v>3124</v>
      </c>
    </row>
    <row r="746" spans="1:8" x14ac:dyDescent="0.3">
      <c r="A746" s="81" t="s">
        <v>1339</v>
      </c>
      <c r="B746" s="81" t="s">
        <v>881</v>
      </c>
      <c r="C746" s="81" t="s">
        <v>1596</v>
      </c>
      <c r="D746" s="81" t="s">
        <v>1601</v>
      </c>
      <c r="E746" s="81" t="s">
        <v>16</v>
      </c>
      <c r="F746" s="81" t="s">
        <v>377</v>
      </c>
      <c r="G746" s="81" t="s">
        <v>3125</v>
      </c>
      <c r="H746" s="81" t="s">
        <v>3126</v>
      </c>
    </row>
    <row r="747" spans="1:8" x14ac:dyDescent="0.3">
      <c r="A747" s="81" t="s">
        <v>1340</v>
      </c>
      <c r="B747" s="81" t="s">
        <v>881</v>
      </c>
      <c r="C747" s="81" t="s">
        <v>1596</v>
      </c>
      <c r="D747" s="81" t="s">
        <v>1601</v>
      </c>
      <c r="E747" s="81" t="s">
        <v>16</v>
      </c>
      <c r="F747" s="81" t="s">
        <v>378</v>
      </c>
      <c r="G747" s="81" t="s">
        <v>3127</v>
      </c>
      <c r="H747" s="81" t="s">
        <v>3128</v>
      </c>
    </row>
    <row r="748" spans="1:8" x14ac:dyDescent="0.3">
      <c r="A748" s="81" t="s">
        <v>1341</v>
      </c>
      <c r="B748" s="81" t="s">
        <v>881</v>
      </c>
      <c r="C748" s="81" t="s">
        <v>1596</v>
      </c>
      <c r="D748" s="81" t="s">
        <v>1601</v>
      </c>
      <c r="E748" s="81" t="s">
        <v>16</v>
      </c>
      <c r="F748" s="81" t="s">
        <v>379</v>
      </c>
      <c r="G748" s="81" t="s">
        <v>3129</v>
      </c>
      <c r="H748" s="81" t="s">
        <v>3130</v>
      </c>
    </row>
    <row r="749" spans="1:8" x14ac:dyDescent="0.3">
      <c r="A749" s="81" t="s">
        <v>1342</v>
      </c>
      <c r="B749" s="81" t="s">
        <v>881</v>
      </c>
      <c r="C749" s="81" t="s">
        <v>1596</v>
      </c>
      <c r="D749" s="81" t="s">
        <v>1601</v>
      </c>
      <c r="E749" s="81" t="s">
        <v>16</v>
      </c>
      <c r="F749" s="81" t="s">
        <v>380</v>
      </c>
      <c r="G749" s="81" t="s">
        <v>3131</v>
      </c>
      <c r="H749" s="81" t="s">
        <v>3132</v>
      </c>
    </row>
    <row r="750" spans="1:8" x14ac:dyDescent="0.3">
      <c r="A750" s="81" t="s">
        <v>1343</v>
      </c>
      <c r="B750" s="81" t="s">
        <v>881</v>
      </c>
      <c r="C750" s="81" t="s">
        <v>1596</v>
      </c>
      <c r="D750" s="81" t="s">
        <v>1601</v>
      </c>
      <c r="E750" s="81" t="s">
        <v>16</v>
      </c>
      <c r="F750" s="81" t="s">
        <v>381</v>
      </c>
      <c r="G750" s="81" t="s">
        <v>3133</v>
      </c>
      <c r="H750" s="81" t="s">
        <v>3134</v>
      </c>
    </row>
    <row r="751" spans="1:8" x14ac:dyDescent="0.3">
      <c r="A751" s="81" t="s">
        <v>1344</v>
      </c>
      <c r="B751" s="81" t="s">
        <v>881</v>
      </c>
      <c r="C751" s="81" t="s">
        <v>1596</v>
      </c>
      <c r="D751" s="81" t="s">
        <v>1601</v>
      </c>
      <c r="E751" s="81" t="s">
        <v>16</v>
      </c>
      <c r="F751" s="81" t="s">
        <v>382</v>
      </c>
      <c r="G751" s="81" t="s">
        <v>3135</v>
      </c>
      <c r="H751" s="81" t="s">
        <v>3136</v>
      </c>
    </row>
    <row r="752" spans="1:8" x14ac:dyDescent="0.3">
      <c r="A752" s="81" t="s">
        <v>1345</v>
      </c>
      <c r="B752" s="81" t="s">
        <v>881</v>
      </c>
      <c r="C752" s="81" t="s">
        <v>1596</v>
      </c>
      <c r="D752" s="81" t="s">
        <v>1601</v>
      </c>
      <c r="E752" s="81" t="s">
        <v>16</v>
      </c>
      <c r="F752" s="81" t="s">
        <v>383</v>
      </c>
      <c r="G752" s="81" t="s">
        <v>3137</v>
      </c>
      <c r="H752" s="81" t="s">
        <v>3138</v>
      </c>
    </row>
    <row r="753" spans="1:8" x14ac:dyDescent="0.3">
      <c r="A753" s="81" t="s">
        <v>1346</v>
      </c>
      <c r="B753" s="81" t="s">
        <v>881</v>
      </c>
      <c r="C753" s="81" t="s">
        <v>1602</v>
      </c>
      <c r="D753" s="81" t="s">
        <v>1601</v>
      </c>
      <c r="E753" s="81" t="s">
        <v>20</v>
      </c>
      <c r="F753" s="81" t="s">
        <v>15</v>
      </c>
      <c r="G753" s="81" t="s">
        <v>3139</v>
      </c>
      <c r="H753" s="81" t="s">
        <v>1603</v>
      </c>
    </row>
    <row r="754" spans="1:8" x14ac:dyDescent="0.3">
      <c r="A754" s="81" t="s">
        <v>1347</v>
      </c>
      <c r="B754" s="81" t="s">
        <v>881</v>
      </c>
      <c r="C754" s="81" t="s">
        <v>1602</v>
      </c>
      <c r="D754" s="81" t="s">
        <v>1601</v>
      </c>
      <c r="E754" s="81" t="s">
        <v>16</v>
      </c>
      <c r="F754" s="81" t="s">
        <v>368</v>
      </c>
      <c r="G754" s="81" t="s">
        <v>3140</v>
      </c>
      <c r="H754" s="81" t="s">
        <v>3141</v>
      </c>
    </row>
    <row r="755" spans="1:8" x14ac:dyDescent="0.3">
      <c r="A755" s="81" t="s">
        <v>1348</v>
      </c>
      <c r="B755" s="81" t="s">
        <v>881</v>
      </c>
      <c r="C755" s="81" t="s">
        <v>1602</v>
      </c>
      <c r="D755" s="81" t="s">
        <v>1601</v>
      </c>
      <c r="E755" s="81" t="s">
        <v>16</v>
      </c>
      <c r="F755" s="81" t="s">
        <v>369</v>
      </c>
      <c r="G755" s="81" t="s">
        <v>3142</v>
      </c>
      <c r="H755" s="81" t="s">
        <v>3143</v>
      </c>
    </row>
    <row r="756" spans="1:8" x14ac:dyDescent="0.3">
      <c r="A756" s="81" t="s">
        <v>1349</v>
      </c>
      <c r="B756" s="81" t="s">
        <v>881</v>
      </c>
      <c r="C756" s="81" t="s">
        <v>1602</v>
      </c>
      <c r="D756" s="81" t="s">
        <v>1601</v>
      </c>
      <c r="E756" s="81" t="s">
        <v>16</v>
      </c>
      <c r="F756" s="81" t="s">
        <v>370</v>
      </c>
      <c r="G756" s="81" t="s">
        <v>3144</v>
      </c>
      <c r="H756" s="81" t="s">
        <v>3145</v>
      </c>
    </row>
    <row r="757" spans="1:8" x14ac:dyDescent="0.3">
      <c r="A757" s="81" t="s">
        <v>1350</v>
      </c>
      <c r="B757" s="81" t="s">
        <v>881</v>
      </c>
      <c r="C757" s="81" t="s">
        <v>1602</v>
      </c>
      <c r="D757" s="81" t="s">
        <v>1601</v>
      </c>
      <c r="E757" s="81" t="s">
        <v>16</v>
      </c>
      <c r="F757" s="81" t="s">
        <v>371</v>
      </c>
      <c r="G757" s="81" t="s">
        <v>3146</v>
      </c>
      <c r="H757" s="81" t="s">
        <v>3147</v>
      </c>
    </row>
    <row r="758" spans="1:8" x14ac:dyDescent="0.3">
      <c r="A758" s="81" t="s">
        <v>1351</v>
      </c>
      <c r="B758" s="81" t="s">
        <v>881</v>
      </c>
      <c r="C758" s="81" t="s">
        <v>1602</v>
      </c>
      <c r="D758" s="81" t="s">
        <v>1601</v>
      </c>
      <c r="E758" s="81" t="s">
        <v>16</v>
      </c>
      <c r="F758" s="81" t="s">
        <v>372</v>
      </c>
      <c r="G758" s="81" t="s">
        <v>3148</v>
      </c>
      <c r="H758" s="81" t="s">
        <v>3149</v>
      </c>
    </row>
    <row r="759" spans="1:8" x14ac:dyDescent="0.3">
      <c r="A759" s="81" t="s">
        <v>1352</v>
      </c>
      <c r="B759" s="81" t="s">
        <v>881</v>
      </c>
      <c r="C759" s="81" t="s">
        <v>1602</v>
      </c>
      <c r="D759" s="81" t="s">
        <v>1601</v>
      </c>
      <c r="E759" s="81" t="s">
        <v>16</v>
      </c>
      <c r="F759" s="81" t="s">
        <v>373</v>
      </c>
      <c r="G759" s="81" t="s">
        <v>3150</v>
      </c>
      <c r="H759" s="81" t="s">
        <v>3151</v>
      </c>
    </row>
    <row r="760" spans="1:8" x14ac:dyDescent="0.3">
      <c r="A760" s="81" t="s">
        <v>1353</v>
      </c>
      <c r="B760" s="81" t="s">
        <v>881</v>
      </c>
      <c r="C760" s="81" t="s">
        <v>1602</v>
      </c>
      <c r="D760" s="81" t="s">
        <v>1601</v>
      </c>
      <c r="E760" s="81" t="s">
        <v>16</v>
      </c>
      <c r="F760" s="81" t="s">
        <v>374</v>
      </c>
      <c r="G760" s="81" t="s">
        <v>3152</v>
      </c>
      <c r="H760" s="81" t="s">
        <v>3153</v>
      </c>
    </row>
    <row r="761" spans="1:8" x14ac:dyDescent="0.3">
      <c r="A761" s="81" t="s">
        <v>1354</v>
      </c>
      <c r="B761" s="81" t="s">
        <v>881</v>
      </c>
      <c r="C761" s="81" t="s">
        <v>1602</v>
      </c>
      <c r="D761" s="81" t="s">
        <v>1601</v>
      </c>
      <c r="E761" s="81" t="s">
        <v>16</v>
      </c>
      <c r="F761" s="81" t="s">
        <v>375</v>
      </c>
      <c r="G761" s="81" t="s">
        <v>3154</v>
      </c>
      <c r="H761" s="81" t="s">
        <v>3155</v>
      </c>
    </row>
    <row r="762" spans="1:8" x14ac:dyDescent="0.3">
      <c r="A762" s="81" t="s">
        <v>1355</v>
      </c>
      <c r="B762" s="81" t="s">
        <v>881</v>
      </c>
      <c r="C762" s="81" t="s">
        <v>1602</v>
      </c>
      <c r="D762" s="81" t="s">
        <v>1601</v>
      </c>
      <c r="E762" s="81" t="s">
        <v>16</v>
      </c>
      <c r="F762" s="81" t="s">
        <v>376</v>
      </c>
      <c r="G762" s="81" t="s">
        <v>3156</v>
      </c>
      <c r="H762" s="81" t="s">
        <v>3157</v>
      </c>
    </row>
    <row r="763" spans="1:8" x14ac:dyDescent="0.3">
      <c r="A763" s="81" t="s">
        <v>1356</v>
      </c>
      <c r="B763" s="81" t="s">
        <v>881</v>
      </c>
      <c r="C763" s="81" t="s">
        <v>1602</v>
      </c>
      <c r="D763" s="81" t="s">
        <v>1601</v>
      </c>
      <c r="E763" s="81" t="s">
        <v>16</v>
      </c>
      <c r="F763" s="81" t="s">
        <v>377</v>
      </c>
      <c r="G763" s="81" t="s">
        <v>3158</v>
      </c>
      <c r="H763" s="81" t="s">
        <v>3159</v>
      </c>
    </row>
    <row r="764" spans="1:8" x14ac:dyDescent="0.3">
      <c r="A764" s="81" t="s">
        <v>1357</v>
      </c>
      <c r="B764" s="81" t="s">
        <v>881</v>
      </c>
      <c r="C764" s="81" t="s">
        <v>1602</v>
      </c>
      <c r="D764" s="81" t="s">
        <v>1601</v>
      </c>
      <c r="E764" s="81" t="s">
        <v>16</v>
      </c>
      <c r="F764" s="81" t="s">
        <v>378</v>
      </c>
      <c r="G764" s="81" t="s">
        <v>3160</v>
      </c>
      <c r="H764" s="81" t="s">
        <v>3161</v>
      </c>
    </row>
    <row r="765" spans="1:8" x14ac:dyDescent="0.3">
      <c r="A765" s="81" t="s">
        <v>1358</v>
      </c>
      <c r="B765" s="81" t="s">
        <v>881</v>
      </c>
      <c r="C765" s="81" t="s">
        <v>1602</v>
      </c>
      <c r="D765" s="81" t="s">
        <v>1601</v>
      </c>
      <c r="E765" s="81" t="s">
        <v>16</v>
      </c>
      <c r="F765" s="81" t="s">
        <v>379</v>
      </c>
      <c r="G765" s="81" t="s">
        <v>3162</v>
      </c>
      <c r="H765" s="81" t="s">
        <v>3163</v>
      </c>
    </row>
    <row r="766" spans="1:8" x14ac:dyDescent="0.3">
      <c r="A766" s="81" t="s">
        <v>1359</v>
      </c>
      <c r="B766" s="81" t="s">
        <v>881</v>
      </c>
      <c r="C766" s="81" t="s">
        <v>1602</v>
      </c>
      <c r="D766" s="81" t="s">
        <v>1601</v>
      </c>
      <c r="E766" s="81" t="s">
        <v>16</v>
      </c>
      <c r="F766" s="81" t="s">
        <v>380</v>
      </c>
      <c r="G766" s="81" t="s">
        <v>3164</v>
      </c>
      <c r="H766" s="81" t="s">
        <v>3165</v>
      </c>
    </row>
    <row r="767" spans="1:8" x14ac:dyDescent="0.3">
      <c r="A767" s="81" t="s">
        <v>1360</v>
      </c>
      <c r="B767" s="81" t="s">
        <v>881</v>
      </c>
      <c r="C767" s="81" t="s">
        <v>1602</v>
      </c>
      <c r="D767" s="81" t="s">
        <v>1601</v>
      </c>
      <c r="E767" s="81" t="s">
        <v>16</v>
      </c>
      <c r="F767" s="81" t="s">
        <v>381</v>
      </c>
      <c r="G767" s="81" t="s">
        <v>3166</v>
      </c>
      <c r="H767" s="81" t="s">
        <v>3167</v>
      </c>
    </row>
    <row r="768" spans="1:8" x14ac:dyDescent="0.3">
      <c r="A768" s="81" t="s">
        <v>1361</v>
      </c>
      <c r="B768" s="81" t="s">
        <v>881</v>
      </c>
      <c r="C768" s="81" t="s">
        <v>1602</v>
      </c>
      <c r="D768" s="81" t="s">
        <v>1601</v>
      </c>
      <c r="E768" s="81" t="s">
        <v>16</v>
      </c>
      <c r="F768" s="81" t="s">
        <v>382</v>
      </c>
      <c r="G768" s="81" t="s">
        <v>3168</v>
      </c>
      <c r="H768" s="81" t="s">
        <v>3169</v>
      </c>
    </row>
    <row r="769" spans="1:8" x14ac:dyDescent="0.3">
      <c r="A769" s="81" t="s">
        <v>1362</v>
      </c>
      <c r="B769" s="81" t="s">
        <v>881</v>
      </c>
      <c r="C769" s="81" t="s">
        <v>1602</v>
      </c>
      <c r="D769" s="81" t="s">
        <v>1601</v>
      </c>
      <c r="E769" s="81" t="s">
        <v>16</v>
      </c>
      <c r="F769" s="81" t="s">
        <v>383</v>
      </c>
      <c r="G769" s="81" t="s">
        <v>3170</v>
      </c>
      <c r="H769" s="81" t="s">
        <v>3171</v>
      </c>
    </row>
    <row r="770" spans="1:8" x14ac:dyDescent="0.3">
      <c r="A770" s="81" t="s">
        <v>1363</v>
      </c>
      <c r="B770" s="81" t="s">
        <v>574</v>
      </c>
      <c r="C770" s="81" t="s">
        <v>1604</v>
      </c>
      <c r="D770" s="81" t="s">
        <v>3784</v>
      </c>
      <c r="E770" s="81" t="s">
        <v>20</v>
      </c>
      <c r="F770" s="81" t="s">
        <v>15</v>
      </c>
      <c r="G770" s="81" t="s">
        <v>3172</v>
      </c>
      <c r="H770" s="81" t="s">
        <v>1608</v>
      </c>
    </row>
    <row r="771" spans="1:8" x14ac:dyDescent="0.3">
      <c r="A771" s="81" t="s">
        <v>1364</v>
      </c>
      <c r="B771" s="81" t="s">
        <v>1030</v>
      </c>
      <c r="C771" s="81" t="s">
        <v>1614</v>
      </c>
      <c r="D771" s="81" t="s">
        <v>3768</v>
      </c>
      <c r="E771" s="81" t="s">
        <v>20</v>
      </c>
      <c r="F771" s="81" t="s">
        <v>15</v>
      </c>
      <c r="G771" s="81" t="s">
        <v>3173</v>
      </c>
      <c r="H771" s="81" t="s">
        <v>1611</v>
      </c>
    </row>
    <row r="772" spans="1:8" x14ac:dyDescent="0.3">
      <c r="A772" s="81" t="s">
        <v>1365</v>
      </c>
      <c r="B772" s="81" t="s">
        <v>1030</v>
      </c>
      <c r="C772" s="81" t="s">
        <v>1615</v>
      </c>
      <c r="D772" s="81" t="s">
        <v>3768</v>
      </c>
      <c r="E772" s="81" t="s">
        <v>20</v>
      </c>
      <c r="F772" s="81" t="s">
        <v>15</v>
      </c>
      <c r="G772" s="81" t="s">
        <v>3174</v>
      </c>
      <c r="H772" s="81" t="s">
        <v>1617</v>
      </c>
    </row>
    <row r="773" spans="1:8" x14ac:dyDescent="0.3">
      <c r="A773" s="81" t="s">
        <v>1366</v>
      </c>
      <c r="B773" s="81" t="s">
        <v>1030</v>
      </c>
      <c r="C773" s="81" t="s">
        <v>1623</v>
      </c>
      <c r="D773" s="81" t="s">
        <v>3768</v>
      </c>
      <c r="E773" s="81" t="s">
        <v>20</v>
      </c>
      <c r="F773" s="81" t="s">
        <v>15</v>
      </c>
      <c r="G773" s="81" t="s">
        <v>3175</v>
      </c>
      <c r="H773" s="81" t="s">
        <v>1621</v>
      </c>
    </row>
    <row r="774" spans="1:8" x14ac:dyDescent="0.3">
      <c r="A774" s="81" t="s">
        <v>1367</v>
      </c>
      <c r="B774" s="81" t="s">
        <v>1030</v>
      </c>
      <c r="C774" s="81" t="s">
        <v>1624</v>
      </c>
      <c r="D774" s="81" t="s">
        <v>3768</v>
      </c>
      <c r="E774" s="81" t="s">
        <v>20</v>
      </c>
      <c r="F774" s="81" t="s">
        <v>15</v>
      </c>
      <c r="G774" s="81" t="s">
        <v>3176</v>
      </c>
      <c r="H774" s="81" t="s">
        <v>1627</v>
      </c>
    </row>
    <row r="775" spans="1:8" x14ac:dyDescent="0.3">
      <c r="A775" s="81" t="s">
        <v>1368</v>
      </c>
      <c r="B775" s="81" t="s">
        <v>881</v>
      </c>
      <c r="C775" s="81" t="s">
        <v>1590</v>
      </c>
      <c r="D775" s="81" t="s">
        <v>1601</v>
      </c>
      <c r="E775" s="81" t="s">
        <v>20</v>
      </c>
      <c r="F775" s="81" t="s">
        <v>15</v>
      </c>
      <c r="G775" s="81" t="s">
        <v>3177</v>
      </c>
      <c r="H775" s="81" t="s">
        <v>1629</v>
      </c>
    </row>
    <row r="776" spans="1:8" x14ac:dyDescent="0.3">
      <c r="A776" s="81" t="s">
        <v>1369</v>
      </c>
      <c r="B776" s="81" t="s">
        <v>881</v>
      </c>
      <c r="C776" s="81" t="s">
        <v>1590</v>
      </c>
      <c r="D776" s="81" t="s">
        <v>1601</v>
      </c>
      <c r="E776" s="81" t="s">
        <v>16</v>
      </c>
      <c r="F776" s="81" t="s">
        <v>368</v>
      </c>
      <c r="G776" s="81" t="s">
        <v>3178</v>
      </c>
      <c r="H776" s="81" t="s">
        <v>3179</v>
      </c>
    </row>
    <row r="777" spans="1:8" x14ac:dyDescent="0.3">
      <c r="A777" s="81" t="s">
        <v>1370</v>
      </c>
      <c r="B777" s="81" t="s">
        <v>881</v>
      </c>
      <c r="C777" s="81" t="s">
        <v>1590</v>
      </c>
      <c r="D777" s="81" t="s">
        <v>1601</v>
      </c>
      <c r="E777" s="81" t="s">
        <v>16</v>
      </c>
      <c r="F777" s="81" t="s">
        <v>369</v>
      </c>
      <c r="G777" s="81" t="s">
        <v>3180</v>
      </c>
      <c r="H777" s="81" t="s">
        <v>3181</v>
      </c>
    </row>
    <row r="778" spans="1:8" x14ac:dyDescent="0.3">
      <c r="A778" s="81" t="s">
        <v>1371</v>
      </c>
      <c r="B778" s="81" t="s">
        <v>881</v>
      </c>
      <c r="C778" s="81" t="s">
        <v>1590</v>
      </c>
      <c r="D778" s="81" t="s">
        <v>1601</v>
      </c>
      <c r="E778" s="81" t="s">
        <v>16</v>
      </c>
      <c r="F778" s="81" t="s">
        <v>370</v>
      </c>
      <c r="G778" s="81" t="s">
        <v>3182</v>
      </c>
      <c r="H778" s="81" t="s">
        <v>3183</v>
      </c>
    </row>
    <row r="779" spans="1:8" x14ac:dyDescent="0.3">
      <c r="A779" s="81" t="s">
        <v>1372</v>
      </c>
      <c r="B779" s="81" t="s">
        <v>881</v>
      </c>
      <c r="C779" s="81" t="s">
        <v>1590</v>
      </c>
      <c r="D779" s="81" t="s">
        <v>1601</v>
      </c>
      <c r="E779" s="81" t="s">
        <v>16</v>
      </c>
      <c r="F779" s="81" t="s">
        <v>371</v>
      </c>
      <c r="G779" s="81" t="s">
        <v>3184</v>
      </c>
      <c r="H779" s="81" t="s">
        <v>3185</v>
      </c>
    </row>
    <row r="780" spans="1:8" x14ac:dyDescent="0.3">
      <c r="A780" s="81" t="s">
        <v>1373</v>
      </c>
      <c r="B780" s="81" t="s">
        <v>881</v>
      </c>
      <c r="C780" s="81" t="s">
        <v>1590</v>
      </c>
      <c r="D780" s="81" t="s">
        <v>1601</v>
      </c>
      <c r="E780" s="81" t="s">
        <v>16</v>
      </c>
      <c r="F780" s="81" t="s">
        <v>372</v>
      </c>
      <c r="G780" s="81" t="s">
        <v>3186</v>
      </c>
      <c r="H780" s="81" t="s">
        <v>3187</v>
      </c>
    </row>
    <row r="781" spans="1:8" x14ac:dyDescent="0.3">
      <c r="A781" s="81" t="s">
        <v>1374</v>
      </c>
      <c r="B781" s="81" t="s">
        <v>881</v>
      </c>
      <c r="C781" s="81" t="s">
        <v>1590</v>
      </c>
      <c r="D781" s="81" t="s">
        <v>1601</v>
      </c>
      <c r="E781" s="81" t="s">
        <v>16</v>
      </c>
      <c r="F781" s="81" t="s">
        <v>373</v>
      </c>
      <c r="G781" s="81" t="s">
        <v>3188</v>
      </c>
      <c r="H781" s="81" t="s">
        <v>3189</v>
      </c>
    </row>
    <row r="782" spans="1:8" x14ac:dyDescent="0.3">
      <c r="A782" s="81" t="s">
        <v>1375</v>
      </c>
      <c r="B782" s="81" t="s">
        <v>881</v>
      </c>
      <c r="C782" s="81" t="s">
        <v>1590</v>
      </c>
      <c r="D782" s="81" t="s">
        <v>1601</v>
      </c>
      <c r="E782" s="81" t="s">
        <v>16</v>
      </c>
      <c r="F782" s="81" t="s">
        <v>374</v>
      </c>
      <c r="G782" s="81" t="s">
        <v>3190</v>
      </c>
      <c r="H782" s="81" t="s">
        <v>3191</v>
      </c>
    </row>
    <row r="783" spans="1:8" x14ac:dyDescent="0.3">
      <c r="A783" s="81" t="s">
        <v>1376</v>
      </c>
      <c r="B783" s="81" t="s">
        <v>881</v>
      </c>
      <c r="C783" s="81" t="s">
        <v>1590</v>
      </c>
      <c r="D783" s="81" t="s">
        <v>1601</v>
      </c>
      <c r="E783" s="81" t="s">
        <v>16</v>
      </c>
      <c r="F783" s="81" t="s">
        <v>375</v>
      </c>
      <c r="G783" s="81" t="s">
        <v>3192</v>
      </c>
      <c r="H783" s="81" t="s">
        <v>3193</v>
      </c>
    </row>
    <row r="784" spans="1:8" x14ac:dyDescent="0.3">
      <c r="A784" s="81" t="s">
        <v>1377</v>
      </c>
      <c r="B784" s="81" t="s">
        <v>881</v>
      </c>
      <c r="C784" s="81" t="s">
        <v>1590</v>
      </c>
      <c r="D784" s="81" t="s">
        <v>1601</v>
      </c>
      <c r="E784" s="81" t="s">
        <v>16</v>
      </c>
      <c r="F784" s="81" t="s">
        <v>376</v>
      </c>
      <c r="G784" s="81" t="s">
        <v>3194</v>
      </c>
      <c r="H784" s="81" t="s">
        <v>3195</v>
      </c>
    </row>
    <row r="785" spans="1:8" x14ac:dyDescent="0.3">
      <c r="A785" s="81" t="s">
        <v>1378</v>
      </c>
      <c r="B785" s="81" t="s">
        <v>881</v>
      </c>
      <c r="C785" s="81" t="s">
        <v>1590</v>
      </c>
      <c r="D785" s="81" t="s">
        <v>1601</v>
      </c>
      <c r="E785" s="81" t="s">
        <v>16</v>
      </c>
      <c r="F785" s="81" t="s">
        <v>377</v>
      </c>
      <c r="G785" s="81" t="s">
        <v>3196</v>
      </c>
      <c r="H785" s="81" t="s">
        <v>3197</v>
      </c>
    </row>
    <row r="786" spans="1:8" x14ac:dyDescent="0.3">
      <c r="A786" s="81" t="s">
        <v>1379</v>
      </c>
      <c r="B786" s="81" t="s">
        <v>881</v>
      </c>
      <c r="C786" s="81" t="s">
        <v>1590</v>
      </c>
      <c r="D786" s="81" t="s">
        <v>1601</v>
      </c>
      <c r="E786" s="81" t="s">
        <v>16</v>
      </c>
      <c r="F786" s="81" t="s">
        <v>378</v>
      </c>
      <c r="G786" s="81" t="s">
        <v>3198</v>
      </c>
      <c r="H786" s="81" t="s">
        <v>3199</v>
      </c>
    </row>
    <row r="787" spans="1:8" x14ac:dyDescent="0.3">
      <c r="A787" s="81" t="s">
        <v>1380</v>
      </c>
      <c r="B787" s="81" t="s">
        <v>881</v>
      </c>
      <c r="C787" s="81" t="s">
        <v>1590</v>
      </c>
      <c r="D787" s="81" t="s">
        <v>1601</v>
      </c>
      <c r="E787" s="81" t="s">
        <v>16</v>
      </c>
      <c r="F787" s="81" t="s">
        <v>379</v>
      </c>
      <c r="G787" s="81" t="s">
        <v>3200</v>
      </c>
      <c r="H787" s="81" t="s">
        <v>3201</v>
      </c>
    </row>
    <row r="788" spans="1:8" x14ac:dyDescent="0.3">
      <c r="A788" s="81" t="s">
        <v>1381</v>
      </c>
      <c r="B788" s="81" t="s">
        <v>881</v>
      </c>
      <c r="C788" s="81" t="s">
        <v>1590</v>
      </c>
      <c r="D788" s="81" t="s">
        <v>1601</v>
      </c>
      <c r="E788" s="81" t="s">
        <v>16</v>
      </c>
      <c r="F788" s="81" t="s">
        <v>380</v>
      </c>
      <c r="G788" s="81" t="s">
        <v>3202</v>
      </c>
      <c r="H788" s="81" t="s">
        <v>3203</v>
      </c>
    </row>
    <row r="789" spans="1:8" x14ac:dyDescent="0.3">
      <c r="A789" s="81" t="s">
        <v>1382</v>
      </c>
      <c r="B789" s="81" t="s">
        <v>881</v>
      </c>
      <c r="C789" s="81" t="s">
        <v>1590</v>
      </c>
      <c r="D789" s="81" t="s">
        <v>1601</v>
      </c>
      <c r="E789" s="81" t="s">
        <v>16</v>
      </c>
      <c r="F789" s="81" t="s">
        <v>381</v>
      </c>
      <c r="G789" s="81" t="s">
        <v>3204</v>
      </c>
      <c r="H789" s="81" t="s">
        <v>3205</v>
      </c>
    </row>
    <row r="790" spans="1:8" x14ac:dyDescent="0.3">
      <c r="A790" s="81" t="s">
        <v>1383</v>
      </c>
      <c r="B790" s="81" t="s">
        <v>881</v>
      </c>
      <c r="C790" s="81" t="s">
        <v>1590</v>
      </c>
      <c r="D790" s="81" t="s">
        <v>1601</v>
      </c>
      <c r="E790" s="81" t="s">
        <v>16</v>
      </c>
      <c r="F790" s="81" t="s">
        <v>382</v>
      </c>
      <c r="G790" s="81" t="s">
        <v>3206</v>
      </c>
      <c r="H790" s="81" t="s">
        <v>3207</v>
      </c>
    </row>
    <row r="791" spans="1:8" x14ac:dyDescent="0.3">
      <c r="A791" s="81" t="s">
        <v>1384</v>
      </c>
      <c r="B791" s="81" t="s">
        <v>881</v>
      </c>
      <c r="C791" s="81" t="s">
        <v>1590</v>
      </c>
      <c r="D791" s="81" t="s">
        <v>1601</v>
      </c>
      <c r="E791" s="81" t="s">
        <v>16</v>
      </c>
      <c r="F791" s="81" t="s">
        <v>383</v>
      </c>
      <c r="G791" s="81" t="s">
        <v>3208</v>
      </c>
      <c r="H791" s="81" t="s">
        <v>3209</v>
      </c>
    </row>
    <row r="792" spans="1:8" x14ac:dyDescent="0.3">
      <c r="A792" s="81" t="s">
        <v>1385</v>
      </c>
      <c r="B792" s="81" t="s">
        <v>881</v>
      </c>
      <c r="C792" s="81" t="s">
        <v>883</v>
      </c>
      <c r="D792" s="81" t="s">
        <v>1601</v>
      </c>
      <c r="E792" s="81" t="s">
        <v>20</v>
      </c>
      <c r="F792" s="81" t="s">
        <v>15</v>
      </c>
      <c r="G792" s="81" t="s">
        <v>3210</v>
      </c>
      <c r="H792" s="81" t="s">
        <v>1633</v>
      </c>
    </row>
    <row r="793" spans="1:8" x14ac:dyDescent="0.3">
      <c r="A793" s="81" t="s">
        <v>1386</v>
      </c>
      <c r="B793" s="81" t="s">
        <v>462</v>
      </c>
      <c r="C793" s="81" t="s">
        <v>1018</v>
      </c>
      <c r="D793" s="81" t="s">
        <v>3783</v>
      </c>
      <c r="E793" s="81" t="s">
        <v>20</v>
      </c>
      <c r="F793" s="81" t="s">
        <v>15</v>
      </c>
      <c r="G793" s="81" t="s">
        <v>3211</v>
      </c>
      <c r="H793" s="81" t="s">
        <v>1635</v>
      </c>
    </row>
    <row r="794" spans="1:8" x14ac:dyDescent="0.3">
      <c r="A794" s="81" t="s">
        <v>1387</v>
      </c>
      <c r="B794" s="81" t="s">
        <v>462</v>
      </c>
      <c r="C794" s="81" t="s">
        <v>1018</v>
      </c>
      <c r="D794" s="81" t="s">
        <v>3783</v>
      </c>
      <c r="E794" s="81" t="s">
        <v>16</v>
      </c>
      <c r="F794" s="81" t="s">
        <v>368</v>
      </c>
      <c r="G794" s="81" t="s">
        <v>3212</v>
      </c>
      <c r="H794" s="81" t="s">
        <v>3213</v>
      </c>
    </row>
    <row r="795" spans="1:8" x14ac:dyDescent="0.3">
      <c r="A795" s="81" t="s">
        <v>1388</v>
      </c>
      <c r="B795" s="81" t="s">
        <v>462</v>
      </c>
      <c r="C795" s="81" t="s">
        <v>1018</v>
      </c>
      <c r="D795" s="81" t="s">
        <v>3783</v>
      </c>
      <c r="E795" s="81" t="s">
        <v>16</v>
      </c>
      <c r="F795" s="81" t="s">
        <v>369</v>
      </c>
      <c r="G795" s="81" t="s">
        <v>3214</v>
      </c>
      <c r="H795" s="81" t="s">
        <v>3215</v>
      </c>
    </row>
    <row r="796" spans="1:8" x14ac:dyDescent="0.3">
      <c r="A796" s="81" t="s">
        <v>1389</v>
      </c>
      <c r="B796" s="81" t="s">
        <v>462</v>
      </c>
      <c r="C796" s="81" t="s">
        <v>1018</v>
      </c>
      <c r="D796" s="81" t="s">
        <v>3783</v>
      </c>
      <c r="E796" s="81" t="s">
        <v>16</v>
      </c>
      <c r="F796" s="81" t="s">
        <v>370</v>
      </c>
      <c r="G796" s="81" t="s">
        <v>3216</v>
      </c>
      <c r="H796" s="81" t="s">
        <v>3217</v>
      </c>
    </row>
    <row r="797" spans="1:8" x14ac:dyDescent="0.3">
      <c r="A797" s="81" t="s">
        <v>1390</v>
      </c>
      <c r="B797" s="81" t="s">
        <v>462</v>
      </c>
      <c r="C797" s="81" t="s">
        <v>1018</v>
      </c>
      <c r="D797" s="81" t="s">
        <v>3783</v>
      </c>
      <c r="E797" s="81" t="s">
        <v>16</v>
      </c>
      <c r="F797" s="81" t="s">
        <v>371</v>
      </c>
      <c r="G797" s="81" t="s">
        <v>3218</v>
      </c>
      <c r="H797" s="81" t="s">
        <v>3219</v>
      </c>
    </row>
    <row r="798" spans="1:8" x14ac:dyDescent="0.3">
      <c r="A798" s="81" t="s">
        <v>1391</v>
      </c>
      <c r="B798" s="81" t="s">
        <v>462</v>
      </c>
      <c r="C798" s="81" t="s">
        <v>1018</v>
      </c>
      <c r="D798" s="81" t="s">
        <v>3783</v>
      </c>
      <c r="E798" s="81" t="s">
        <v>16</v>
      </c>
      <c r="F798" s="81" t="s">
        <v>372</v>
      </c>
      <c r="G798" s="81" t="s">
        <v>3220</v>
      </c>
      <c r="H798" s="81" t="s">
        <v>3221</v>
      </c>
    </row>
    <row r="799" spans="1:8" x14ac:dyDescent="0.3">
      <c r="A799" s="81" t="s">
        <v>1392</v>
      </c>
      <c r="B799" s="81" t="s">
        <v>462</v>
      </c>
      <c r="C799" s="81" t="s">
        <v>1018</v>
      </c>
      <c r="D799" s="81" t="s">
        <v>3783</v>
      </c>
      <c r="E799" s="81" t="s">
        <v>16</v>
      </c>
      <c r="F799" s="81" t="s">
        <v>373</v>
      </c>
      <c r="G799" s="81" t="s">
        <v>3222</v>
      </c>
      <c r="H799" s="81" t="s">
        <v>3223</v>
      </c>
    </row>
    <row r="800" spans="1:8" x14ac:dyDescent="0.3">
      <c r="A800" s="81" t="s">
        <v>1393</v>
      </c>
      <c r="B800" s="81" t="s">
        <v>462</v>
      </c>
      <c r="C800" s="81" t="s">
        <v>1018</v>
      </c>
      <c r="D800" s="81" t="s">
        <v>3783</v>
      </c>
      <c r="E800" s="81" t="s">
        <v>16</v>
      </c>
      <c r="F800" s="81" t="s">
        <v>374</v>
      </c>
      <c r="G800" s="81" t="s">
        <v>3224</v>
      </c>
      <c r="H800" s="81" t="s">
        <v>3225</v>
      </c>
    </row>
    <row r="801" spans="1:8" x14ac:dyDescent="0.3">
      <c r="A801" s="81" t="s">
        <v>1394</v>
      </c>
      <c r="B801" s="81" t="s">
        <v>462</v>
      </c>
      <c r="C801" s="81" t="s">
        <v>1018</v>
      </c>
      <c r="D801" s="81" t="s">
        <v>3783</v>
      </c>
      <c r="E801" s="81" t="s">
        <v>16</v>
      </c>
      <c r="F801" s="81" t="s">
        <v>375</v>
      </c>
      <c r="G801" s="81" t="s">
        <v>3226</v>
      </c>
      <c r="H801" s="81" t="s">
        <v>3227</v>
      </c>
    </row>
    <row r="802" spans="1:8" x14ac:dyDescent="0.3">
      <c r="A802" s="81" t="s">
        <v>1395</v>
      </c>
      <c r="B802" s="81" t="s">
        <v>462</v>
      </c>
      <c r="C802" s="81" t="s">
        <v>1018</v>
      </c>
      <c r="D802" s="81" t="s">
        <v>3783</v>
      </c>
      <c r="E802" s="81" t="s">
        <v>16</v>
      </c>
      <c r="F802" s="81" t="s">
        <v>376</v>
      </c>
      <c r="G802" s="81" t="s">
        <v>3228</v>
      </c>
      <c r="H802" s="81" t="s">
        <v>3229</v>
      </c>
    </row>
    <row r="803" spans="1:8" x14ac:dyDescent="0.3">
      <c r="A803" s="81" t="s">
        <v>1396</v>
      </c>
      <c r="B803" s="81" t="s">
        <v>462</v>
      </c>
      <c r="C803" s="81" t="s">
        <v>1018</v>
      </c>
      <c r="D803" s="81" t="s">
        <v>3783</v>
      </c>
      <c r="E803" s="81" t="s">
        <v>16</v>
      </c>
      <c r="F803" s="81" t="s">
        <v>377</v>
      </c>
      <c r="G803" s="81" t="s">
        <v>3230</v>
      </c>
      <c r="H803" s="81" t="s">
        <v>3231</v>
      </c>
    </row>
    <row r="804" spans="1:8" x14ac:dyDescent="0.3">
      <c r="A804" s="81" t="s">
        <v>1397</v>
      </c>
      <c r="B804" s="81" t="s">
        <v>462</v>
      </c>
      <c r="C804" s="81" t="s">
        <v>1018</v>
      </c>
      <c r="D804" s="81" t="s">
        <v>3783</v>
      </c>
      <c r="E804" s="81" t="s">
        <v>16</v>
      </c>
      <c r="F804" s="81" t="s">
        <v>378</v>
      </c>
      <c r="G804" s="81" t="s">
        <v>3232</v>
      </c>
      <c r="H804" s="81" t="s">
        <v>3233</v>
      </c>
    </row>
    <row r="805" spans="1:8" x14ac:dyDescent="0.3">
      <c r="A805" s="81" t="s">
        <v>1398</v>
      </c>
      <c r="B805" s="81" t="s">
        <v>462</v>
      </c>
      <c r="C805" s="81" t="s">
        <v>1018</v>
      </c>
      <c r="D805" s="81" t="s">
        <v>3783</v>
      </c>
      <c r="E805" s="81" t="s">
        <v>16</v>
      </c>
      <c r="F805" s="81" t="s">
        <v>379</v>
      </c>
      <c r="G805" s="81" t="s">
        <v>3234</v>
      </c>
      <c r="H805" s="81" t="s">
        <v>3235</v>
      </c>
    </row>
    <row r="806" spans="1:8" x14ac:dyDescent="0.3">
      <c r="A806" s="81" t="s">
        <v>1399</v>
      </c>
      <c r="B806" s="81" t="s">
        <v>462</v>
      </c>
      <c r="C806" s="81" t="s">
        <v>1018</v>
      </c>
      <c r="D806" s="81" t="s">
        <v>3783</v>
      </c>
      <c r="E806" s="81" t="s">
        <v>16</v>
      </c>
      <c r="F806" s="81" t="s">
        <v>380</v>
      </c>
      <c r="G806" s="81" t="s">
        <v>3236</v>
      </c>
      <c r="H806" s="81" t="s">
        <v>3237</v>
      </c>
    </row>
    <row r="807" spans="1:8" x14ac:dyDescent="0.3">
      <c r="A807" s="81" t="s">
        <v>1400</v>
      </c>
      <c r="B807" s="81" t="s">
        <v>462</v>
      </c>
      <c r="C807" s="81" t="s">
        <v>1018</v>
      </c>
      <c r="D807" s="81" t="s">
        <v>3783</v>
      </c>
      <c r="E807" s="81" t="s">
        <v>16</v>
      </c>
      <c r="F807" s="81" t="s">
        <v>381</v>
      </c>
      <c r="G807" s="81" t="s">
        <v>3238</v>
      </c>
      <c r="H807" s="81" t="s">
        <v>3239</v>
      </c>
    </row>
    <row r="808" spans="1:8" x14ac:dyDescent="0.3">
      <c r="A808" s="81" t="s">
        <v>1401</v>
      </c>
      <c r="B808" s="81" t="s">
        <v>462</v>
      </c>
      <c r="C808" s="81" t="s">
        <v>1018</v>
      </c>
      <c r="D808" s="81" t="s">
        <v>3783</v>
      </c>
      <c r="E808" s="81" t="s">
        <v>16</v>
      </c>
      <c r="F808" s="81" t="s">
        <v>382</v>
      </c>
      <c r="G808" s="81" t="s">
        <v>3240</v>
      </c>
      <c r="H808" s="81" t="s">
        <v>3241</v>
      </c>
    </row>
    <row r="809" spans="1:8" x14ac:dyDescent="0.3">
      <c r="A809" s="81" t="s">
        <v>1402</v>
      </c>
      <c r="B809" s="81" t="s">
        <v>462</v>
      </c>
      <c r="C809" s="81" t="s">
        <v>1018</v>
      </c>
      <c r="D809" s="81" t="s">
        <v>3783</v>
      </c>
      <c r="E809" s="81" t="s">
        <v>16</v>
      </c>
      <c r="F809" s="81" t="s">
        <v>383</v>
      </c>
      <c r="G809" s="81" t="s">
        <v>3242</v>
      </c>
      <c r="H809" s="81" t="s">
        <v>3243</v>
      </c>
    </row>
    <row r="810" spans="1:8" x14ac:dyDescent="0.3">
      <c r="A810" s="81" t="s">
        <v>1403</v>
      </c>
      <c r="B810" s="81" t="s">
        <v>1030</v>
      </c>
      <c r="C810" s="81" t="s">
        <v>1615</v>
      </c>
      <c r="D810" s="81" t="s">
        <v>3768</v>
      </c>
      <c r="E810" s="81" t="s">
        <v>20</v>
      </c>
      <c r="F810" s="81" t="s">
        <v>15</v>
      </c>
      <c r="G810" s="81" t="s">
        <v>3244</v>
      </c>
      <c r="H810" s="81" t="s">
        <v>1639</v>
      </c>
    </row>
    <row r="811" spans="1:8" x14ac:dyDescent="0.3">
      <c r="A811" s="81" t="s">
        <v>1404</v>
      </c>
      <c r="B811" s="81" t="s">
        <v>578</v>
      </c>
      <c r="C811" s="81" t="s">
        <v>1641</v>
      </c>
      <c r="D811" s="81" t="s">
        <v>3785</v>
      </c>
      <c r="E811" s="81" t="s">
        <v>20</v>
      </c>
      <c r="F811" s="81" t="s">
        <v>15</v>
      </c>
      <c r="G811" s="81" t="s">
        <v>3245</v>
      </c>
      <c r="H811" s="81" t="s">
        <v>423</v>
      </c>
    </row>
    <row r="812" spans="1:8" x14ac:dyDescent="0.3">
      <c r="A812" s="81" t="s">
        <v>1405</v>
      </c>
      <c r="B812" s="81" t="s">
        <v>578</v>
      </c>
      <c r="C812" s="81" t="s">
        <v>1641</v>
      </c>
      <c r="D812" s="81" t="s">
        <v>3785</v>
      </c>
      <c r="E812" s="81" t="s">
        <v>16</v>
      </c>
      <c r="F812" s="81" t="s">
        <v>368</v>
      </c>
      <c r="G812" s="81" t="s">
        <v>3246</v>
      </c>
      <c r="H812" s="81" t="s">
        <v>423</v>
      </c>
    </row>
    <row r="813" spans="1:8" x14ac:dyDescent="0.3">
      <c r="A813" s="81" t="s">
        <v>1406</v>
      </c>
      <c r="B813" s="81" t="s">
        <v>578</v>
      </c>
      <c r="C813" s="81" t="s">
        <v>1641</v>
      </c>
      <c r="D813" s="81" t="s">
        <v>3785</v>
      </c>
      <c r="E813" s="81" t="s">
        <v>16</v>
      </c>
      <c r="F813" s="81" t="s">
        <v>369</v>
      </c>
      <c r="G813" s="81" t="s">
        <v>3247</v>
      </c>
      <c r="H813" s="81" t="s">
        <v>423</v>
      </c>
    </row>
    <row r="814" spans="1:8" x14ac:dyDescent="0.3">
      <c r="A814" s="81" t="s">
        <v>1407</v>
      </c>
      <c r="B814" s="81" t="s">
        <v>578</v>
      </c>
      <c r="C814" s="81" t="s">
        <v>1641</v>
      </c>
      <c r="D814" s="81" t="s">
        <v>3785</v>
      </c>
      <c r="E814" s="81" t="s">
        <v>16</v>
      </c>
      <c r="F814" s="81" t="s">
        <v>370</v>
      </c>
      <c r="G814" s="81" t="s">
        <v>3248</v>
      </c>
      <c r="H814" s="81" t="s">
        <v>423</v>
      </c>
    </row>
    <row r="815" spans="1:8" x14ac:dyDescent="0.3">
      <c r="A815" s="81" t="s">
        <v>1408</v>
      </c>
      <c r="B815" s="81" t="s">
        <v>578</v>
      </c>
      <c r="C815" s="81" t="s">
        <v>1641</v>
      </c>
      <c r="D815" s="81" t="s">
        <v>3785</v>
      </c>
      <c r="E815" s="81" t="s">
        <v>16</v>
      </c>
      <c r="F815" s="81" t="s">
        <v>371</v>
      </c>
      <c r="G815" s="81" t="s">
        <v>3249</v>
      </c>
      <c r="H815" s="81" t="s">
        <v>423</v>
      </c>
    </row>
    <row r="816" spans="1:8" x14ac:dyDescent="0.3">
      <c r="A816" s="81" t="s">
        <v>1409</v>
      </c>
      <c r="B816" s="81" t="s">
        <v>578</v>
      </c>
      <c r="C816" s="81" t="s">
        <v>1641</v>
      </c>
      <c r="D816" s="81" t="s">
        <v>3785</v>
      </c>
      <c r="E816" s="81" t="s">
        <v>16</v>
      </c>
      <c r="F816" s="81" t="s">
        <v>372</v>
      </c>
      <c r="G816" s="81" t="s">
        <v>3250</v>
      </c>
      <c r="H816" s="81" t="s">
        <v>423</v>
      </c>
    </row>
    <row r="817" spans="1:8" x14ac:dyDescent="0.3">
      <c r="A817" s="81" t="s">
        <v>1410</v>
      </c>
      <c r="B817" s="81" t="s">
        <v>578</v>
      </c>
      <c r="C817" s="81" t="s">
        <v>1641</v>
      </c>
      <c r="D817" s="81" t="s">
        <v>3785</v>
      </c>
      <c r="E817" s="81" t="s">
        <v>16</v>
      </c>
      <c r="F817" s="81" t="s">
        <v>373</v>
      </c>
      <c r="G817" s="81" t="s">
        <v>3251</v>
      </c>
      <c r="H817" s="81" t="s">
        <v>423</v>
      </c>
    </row>
    <row r="818" spans="1:8" x14ac:dyDescent="0.3">
      <c r="A818" s="81" t="s">
        <v>1411</v>
      </c>
      <c r="B818" s="81" t="s">
        <v>578</v>
      </c>
      <c r="C818" s="81" t="s">
        <v>1641</v>
      </c>
      <c r="D818" s="81" t="s">
        <v>3785</v>
      </c>
      <c r="E818" s="81" t="s">
        <v>16</v>
      </c>
      <c r="F818" s="81" t="s">
        <v>374</v>
      </c>
      <c r="G818" s="81" t="s">
        <v>3252</v>
      </c>
      <c r="H818" s="81" t="s">
        <v>423</v>
      </c>
    </row>
    <row r="819" spans="1:8" x14ac:dyDescent="0.3">
      <c r="A819" s="81" t="s">
        <v>1412</v>
      </c>
      <c r="B819" s="81" t="s">
        <v>578</v>
      </c>
      <c r="C819" s="81" t="s">
        <v>1641</v>
      </c>
      <c r="D819" s="81" t="s">
        <v>3785</v>
      </c>
      <c r="E819" s="81" t="s">
        <v>16</v>
      </c>
      <c r="F819" s="81" t="s">
        <v>375</v>
      </c>
      <c r="G819" s="81" t="s">
        <v>3253</v>
      </c>
      <c r="H819" s="81" t="s">
        <v>423</v>
      </c>
    </row>
    <row r="820" spans="1:8" x14ac:dyDescent="0.3">
      <c r="A820" s="81" t="s">
        <v>1413</v>
      </c>
      <c r="B820" s="81" t="s">
        <v>578</v>
      </c>
      <c r="C820" s="81" t="s">
        <v>1641</v>
      </c>
      <c r="D820" s="81" t="s">
        <v>3785</v>
      </c>
      <c r="E820" s="81" t="s">
        <v>16</v>
      </c>
      <c r="F820" s="81" t="s">
        <v>376</v>
      </c>
      <c r="G820" s="81" t="s">
        <v>3254</v>
      </c>
      <c r="H820" s="81" t="s">
        <v>1643</v>
      </c>
    </row>
    <row r="821" spans="1:8" x14ac:dyDescent="0.3">
      <c r="A821" s="81" t="s">
        <v>1414</v>
      </c>
      <c r="B821" s="81" t="s">
        <v>578</v>
      </c>
      <c r="C821" s="81" t="s">
        <v>1641</v>
      </c>
      <c r="D821" s="81" t="s">
        <v>3785</v>
      </c>
      <c r="E821" s="81" t="s">
        <v>16</v>
      </c>
      <c r="F821" s="81" t="s">
        <v>377</v>
      </c>
      <c r="G821" s="81" t="s">
        <v>3255</v>
      </c>
      <c r="H821" s="81" t="s">
        <v>423</v>
      </c>
    </row>
    <row r="822" spans="1:8" x14ac:dyDescent="0.3">
      <c r="A822" s="81" t="s">
        <v>1415</v>
      </c>
      <c r="B822" s="81" t="s">
        <v>578</v>
      </c>
      <c r="C822" s="81" t="s">
        <v>1641</v>
      </c>
      <c r="D822" s="81" t="s">
        <v>3785</v>
      </c>
      <c r="E822" s="81" t="s">
        <v>16</v>
      </c>
      <c r="F822" s="81" t="s">
        <v>378</v>
      </c>
      <c r="G822" s="81" t="s">
        <v>3256</v>
      </c>
      <c r="H822" s="81" t="s">
        <v>423</v>
      </c>
    </row>
    <row r="823" spans="1:8" x14ac:dyDescent="0.3">
      <c r="A823" s="81" t="s">
        <v>1416</v>
      </c>
      <c r="B823" s="81" t="s">
        <v>578</v>
      </c>
      <c r="C823" s="81" t="s">
        <v>1641</v>
      </c>
      <c r="D823" s="81" t="s">
        <v>3785</v>
      </c>
      <c r="E823" s="81" t="s">
        <v>16</v>
      </c>
      <c r="F823" s="81" t="s">
        <v>379</v>
      </c>
      <c r="G823" s="81" t="s">
        <v>3257</v>
      </c>
      <c r="H823" s="81" t="s">
        <v>423</v>
      </c>
    </row>
    <row r="824" spans="1:8" x14ac:dyDescent="0.3">
      <c r="A824" s="81" t="s">
        <v>1417</v>
      </c>
      <c r="B824" s="81" t="s">
        <v>578</v>
      </c>
      <c r="C824" s="81" t="s">
        <v>1641</v>
      </c>
      <c r="D824" s="81" t="s">
        <v>3785</v>
      </c>
      <c r="E824" s="81" t="s">
        <v>16</v>
      </c>
      <c r="F824" s="81" t="s">
        <v>380</v>
      </c>
      <c r="G824" s="81" t="s">
        <v>3258</v>
      </c>
      <c r="H824" s="81" t="s">
        <v>423</v>
      </c>
    </row>
    <row r="825" spans="1:8" x14ac:dyDescent="0.3">
      <c r="A825" s="81" t="s">
        <v>1418</v>
      </c>
      <c r="B825" s="81" t="s">
        <v>578</v>
      </c>
      <c r="C825" s="81" t="s">
        <v>1641</v>
      </c>
      <c r="D825" s="81" t="s">
        <v>3785</v>
      </c>
      <c r="E825" s="81" t="s">
        <v>16</v>
      </c>
      <c r="F825" s="81" t="s">
        <v>381</v>
      </c>
      <c r="G825" s="81" t="s">
        <v>3259</v>
      </c>
      <c r="H825" s="81" t="s">
        <v>423</v>
      </c>
    </row>
    <row r="826" spans="1:8" x14ac:dyDescent="0.3">
      <c r="A826" s="81" t="s">
        <v>1419</v>
      </c>
      <c r="B826" s="81" t="s">
        <v>578</v>
      </c>
      <c r="C826" s="81" t="s">
        <v>1641</v>
      </c>
      <c r="D826" s="81" t="s">
        <v>3785</v>
      </c>
      <c r="E826" s="81" t="s">
        <v>16</v>
      </c>
      <c r="F826" s="81" t="s">
        <v>382</v>
      </c>
      <c r="G826" s="81" t="s">
        <v>3260</v>
      </c>
      <c r="H826" s="81" t="s">
        <v>423</v>
      </c>
    </row>
    <row r="827" spans="1:8" x14ac:dyDescent="0.3">
      <c r="A827" s="81" t="s">
        <v>1420</v>
      </c>
      <c r="B827" s="81" t="s">
        <v>578</v>
      </c>
      <c r="C827" s="81" t="s">
        <v>1641</v>
      </c>
      <c r="D827" s="81" t="s">
        <v>3785</v>
      </c>
      <c r="E827" s="81" t="s">
        <v>16</v>
      </c>
      <c r="F827" s="81" t="s">
        <v>383</v>
      </c>
      <c r="G827" s="81" t="s">
        <v>3261</v>
      </c>
      <c r="H827" s="81" t="s">
        <v>423</v>
      </c>
    </row>
    <row r="828" spans="1:8" x14ac:dyDescent="0.3">
      <c r="A828" s="81" t="s">
        <v>1421</v>
      </c>
      <c r="B828" s="81" t="s">
        <v>578</v>
      </c>
      <c r="C828" s="81" t="s">
        <v>1641</v>
      </c>
      <c r="D828" s="81" t="s">
        <v>3785</v>
      </c>
      <c r="E828" s="81" t="s">
        <v>20</v>
      </c>
      <c r="F828" s="81" t="s">
        <v>15</v>
      </c>
      <c r="G828" s="81" t="s">
        <v>3262</v>
      </c>
      <c r="H828" s="81" t="s">
        <v>423</v>
      </c>
    </row>
    <row r="829" spans="1:8" x14ac:dyDescent="0.3">
      <c r="A829" s="81" t="s">
        <v>1422</v>
      </c>
      <c r="B829" s="81" t="s">
        <v>578</v>
      </c>
      <c r="C829" s="81" t="s">
        <v>1641</v>
      </c>
      <c r="D829" s="81" t="s">
        <v>3785</v>
      </c>
      <c r="E829" s="81" t="s">
        <v>16</v>
      </c>
      <c r="F829" s="81" t="s">
        <v>368</v>
      </c>
      <c r="G829" s="81" t="s">
        <v>3263</v>
      </c>
      <c r="H829" s="81" t="s">
        <v>423</v>
      </c>
    </row>
    <row r="830" spans="1:8" x14ac:dyDescent="0.3">
      <c r="A830" s="81" t="s">
        <v>1423</v>
      </c>
      <c r="B830" s="81" t="s">
        <v>578</v>
      </c>
      <c r="C830" s="81" t="s">
        <v>1641</v>
      </c>
      <c r="D830" s="81" t="s">
        <v>3785</v>
      </c>
      <c r="E830" s="81" t="s">
        <v>16</v>
      </c>
      <c r="F830" s="81" t="s">
        <v>369</v>
      </c>
      <c r="G830" s="81" t="s">
        <v>3264</v>
      </c>
      <c r="H830" s="81" t="s">
        <v>423</v>
      </c>
    </row>
    <row r="831" spans="1:8" x14ac:dyDescent="0.3">
      <c r="A831" s="81" t="s">
        <v>1424</v>
      </c>
      <c r="B831" s="81" t="s">
        <v>578</v>
      </c>
      <c r="C831" s="81" t="s">
        <v>1641</v>
      </c>
      <c r="D831" s="81" t="s">
        <v>3785</v>
      </c>
      <c r="E831" s="81" t="s">
        <v>16</v>
      </c>
      <c r="F831" s="81" t="s">
        <v>370</v>
      </c>
      <c r="G831" s="81" t="s">
        <v>3265</v>
      </c>
      <c r="H831" s="81" t="s">
        <v>423</v>
      </c>
    </row>
    <row r="832" spans="1:8" x14ac:dyDescent="0.3">
      <c r="A832" s="81" t="s">
        <v>1425</v>
      </c>
      <c r="B832" s="81" t="s">
        <v>578</v>
      </c>
      <c r="C832" s="81" t="s">
        <v>1641</v>
      </c>
      <c r="D832" s="81" t="s">
        <v>3785</v>
      </c>
      <c r="E832" s="81" t="s">
        <v>16</v>
      </c>
      <c r="F832" s="81" t="s">
        <v>371</v>
      </c>
      <c r="G832" s="81" t="s">
        <v>3266</v>
      </c>
      <c r="H832" s="81" t="s">
        <v>423</v>
      </c>
    </row>
    <row r="833" spans="1:8" x14ac:dyDescent="0.3">
      <c r="A833" s="81" t="s">
        <v>1426</v>
      </c>
      <c r="B833" s="81" t="s">
        <v>578</v>
      </c>
      <c r="C833" s="81" t="s">
        <v>1641</v>
      </c>
      <c r="D833" s="81" t="s">
        <v>3785</v>
      </c>
      <c r="E833" s="81" t="s">
        <v>16</v>
      </c>
      <c r="F833" s="81" t="s">
        <v>372</v>
      </c>
      <c r="G833" s="81" t="s">
        <v>3267</v>
      </c>
      <c r="H833" s="81" t="s">
        <v>423</v>
      </c>
    </row>
    <row r="834" spans="1:8" x14ac:dyDescent="0.3">
      <c r="A834" s="81" t="s">
        <v>1427</v>
      </c>
      <c r="B834" s="81" t="s">
        <v>578</v>
      </c>
      <c r="C834" s="81" t="s">
        <v>1641</v>
      </c>
      <c r="D834" s="81" t="s">
        <v>3785</v>
      </c>
      <c r="E834" s="81" t="s">
        <v>16</v>
      </c>
      <c r="F834" s="81" t="s">
        <v>373</v>
      </c>
      <c r="G834" s="81" t="s">
        <v>3268</v>
      </c>
      <c r="H834" s="81" t="s">
        <v>423</v>
      </c>
    </row>
    <row r="835" spans="1:8" x14ac:dyDescent="0.3">
      <c r="A835" s="81" t="s">
        <v>1428</v>
      </c>
      <c r="B835" s="81" t="s">
        <v>578</v>
      </c>
      <c r="C835" s="81" t="s">
        <v>1641</v>
      </c>
      <c r="D835" s="81" t="s">
        <v>3785</v>
      </c>
      <c r="E835" s="81" t="s">
        <v>16</v>
      </c>
      <c r="F835" s="81" t="s">
        <v>374</v>
      </c>
      <c r="G835" s="81" t="s">
        <v>3269</v>
      </c>
      <c r="H835" s="81" t="s">
        <v>423</v>
      </c>
    </row>
    <row r="836" spans="1:8" x14ac:dyDescent="0.3">
      <c r="A836" s="81" t="s">
        <v>1429</v>
      </c>
      <c r="B836" s="81" t="s">
        <v>578</v>
      </c>
      <c r="C836" s="81" t="s">
        <v>1641</v>
      </c>
      <c r="D836" s="81" t="s">
        <v>3785</v>
      </c>
      <c r="E836" s="81" t="s">
        <v>16</v>
      </c>
      <c r="F836" s="81" t="s">
        <v>375</v>
      </c>
      <c r="G836" s="81" t="s">
        <v>3270</v>
      </c>
      <c r="H836" s="81" t="s">
        <v>423</v>
      </c>
    </row>
    <row r="837" spans="1:8" x14ac:dyDescent="0.3">
      <c r="A837" s="81" t="s">
        <v>1430</v>
      </c>
      <c r="B837" s="81" t="s">
        <v>578</v>
      </c>
      <c r="C837" s="81" t="s">
        <v>1641</v>
      </c>
      <c r="D837" s="81" t="s">
        <v>3785</v>
      </c>
      <c r="E837" s="81" t="s">
        <v>16</v>
      </c>
      <c r="F837" s="81" t="s">
        <v>376</v>
      </c>
      <c r="G837" s="81" t="s">
        <v>3271</v>
      </c>
      <c r="H837" s="81" t="s">
        <v>423</v>
      </c>
    </row>
    <row r="838" spans="1:8" x14ac:dyDescent="0.3">
      <c r="A838" s="81" t="s">
        <v>1431</v>
      </c>
      <c r="B838" s="81" t="s">
        <v>578</v>
      </c>
      <c r="C838" s="81" t="s">
        <v>1641</v>
      </c>
      <c r="D838" s="81" t="s">
        <v>3785</v>
      </c>
      <c r="E838" s="81" t="s">
        <v>16</v>
      </c>
      <c r="F838" s="81" t="s">
        <v>377</v>
      </c>
      <c r="G838" s="81" t="s">
        <v>3272</v>
      </c>
      <c r="H838" s="81" t="s">
        <v>1647</v>
      </c>
    </row>
    <row r="839" spans="1:8" x14ac:dyDescent="0.3">
      <c r="A839" s="81" t="s">
        <v>1432</v>
      </c>
      <c r="B839" s="81" t="s">
        <v>578</v>
      </c>
      <c r="C839" s="81" t="s">
        <v>1641</v>
      </c>
      <c r="D839" s="81" t="s">
        <v>3785</v>
      </c>
      <c r="E839" s="81" t="s">
        <v>16</v>
      </c>
      <c r="F839" s="81" t="s">
        <v>378</v>
      </c>
      <c r="G839" s="81" t="s">
        <v>3273</v>
      </c>
      <c r="H839" s="81" t="s">
        <v>423</v>
      </c>
    </row>
    <row r="840" spans="1:8" x14ac:dyDescent="0.3">
      <c r="A840" s="81" t="s">
        <v>1433</v>
      </c>
      <c r="B840" s="81" t="s">
        <v>578</v>
      </c>
      <c r="C840" s="81" t="s">
        <v>1641</v>
      </c>
      <c r="D840" s="81" t="s">
        <v>3785</v>
      </c>
      <c r="E840" s="81" t="s">
        <v>16</v>
      </c>
      <c r="F840" s="81" t="s">
        <v>379</v>
      </c>
      <c r="G840" s="81" t="s">
        <v>3274</v>
      </c>
      <c r="H840" s="81" t="s">
        <v>423</v>
      </c>
    </row>
    <row r="841" spans="1:8" x14ac:dyDescent="0.3">
      <c r="A841" s="81" t="s">
        <v>1434</v>
      </c>
      <c r="B841" s="81" t="s">
        <v>578</v>
      </c>
      <c r="C841" s="81" t="s">
        <v>1641</v>
      </c>
      <c r="D841" s="81" t="s">
        <v>3785</v>
      </c>
      <c r="E841" s="81" t="s">
        <v>16</v>
      </c>
      <c r="F841" s="81" t="s">
        <v>380</v>
      </c>
      <c r="G841" s="81" t="s">
        <v>3275</v>
      </c>
      <c r="H841" s="81" t="s">
        <v>423</v>
      </c>
    </row>
    <row r="842" spans="1:8" x14ac:dyDescent="0.3">
      <c r="A842" s="81" t="s">
        <v>1435</v>
      </c>
      <c r="B842" s="81" t="s">
        <v>578</v>
      </c>
      <c r="C842" s="81" t="s">
        <v>1641</v>
      </c>
      <c r="D842" s="81" t="s">
        <v>3785</v>
      </c>
      <c r="E842" s="81" t="s">
        <v>16</v>
      </c>
      <c r="F842" s="81" t="s">
        <v>381</v>
      </c>
      <c r="G842" s="81" t="s">
        <v>3276</v>
      </c>
      <c r="H842" s="81" t="s">
        <v>423</v>
      </c>
    </row>
    <row r="843" spans="1:8" x14ac:dyDescent="0.3">
      <c r="A843" s="81" t="s">
        <v>1436</v>
      </c>
      <c r="B843" s="81" t="s">
        <v>578</v>
      </c>
      <c r="C843" s="81" t="s">
        <v>1641</v>
      </c>
      <c r="D843" s="81" t="s">
        <v>3785</v>
      </c>
      <c r="E843" s="81" t="s">
        <v>16</v>
      </c>
      <c r="F843" s="81" t="s">
        <v>382</v>
      </c>
      <c r="G843" s="81" t="s">
        <v>3277</v>
      </c>
      <c r="H843" s="81" t="s">
        <v>423</v>
      </c>
    </row>
    <row r="844" spans="1:8" x14ac:dyDescent="0.3">
      <c r="A844" s="81" t="s">
        <v>1437</v>
      </c>
      <c r="B844" s="81" t="s">
        <v>578</v>
      </c>
      <c r="C844" s="81" t="s">
        <v>1641</v>
      </c>
      <c r="D844" s="81" t="s">
        <v>3785</v>
      </c>
      <c r="E844" s="81" t="s">
        <v>16</v>
      </c>
      <c r="F844" s="81" t="s">
        <v>383</v>
      </c>
      <c r="G844" s="81" t="s">
        <v>3278</v>
      </c>
      <c r="H844" s="81" t="s">
        <v>423</v>
      </c>
    </row>
    <row r="845" spans="1:8" x14ac:dyDescent="0.3">
      <c r="A845" s="81" t="s">
        <v>1438</v>
      </c>
      <c r="B845" s="81" t="s">
        <v>578</v>
      </c>
      <c r="C845" s="81" t="s">
        <v>1641</v>
      </c>
      <c r="D845" s="81" t="s">
        <v>3785</v>
      </c>
      <c r="E845" s="81" t="s">
        <v>20</v>
      </c>
      <c r="F845" s="81" t="s">
        <v>15</v>
      </c>
      <c r="G845" s="81" t="s">
        <v>3279</v>
      </c>
      <c r="H845" s="81" t="s">
        <v>423</v>
      </c>
    </row>
    <row r="846" spans="1:8" x14ac:dyDescent="0.3">
      <c r="A846" s="81" t="s">
        <v>1439</v>
      </c>
      <c r="B846" s="81" t="s">
        <v>578</v>
      </c>
      <c r="C846" s="81" t="s">
        <v>1641</v>
      </c>
      <c r="D846" s="81" t="s">
        <v>3785</v>
      </c>
      <c r="E846" s="81" t="s">
        <v>16</v>
      </c>
      <c r="F846" s="81" t="s">
        <v>368</v>
      </c>
      <c r="G846" s="81" t="s">
        <v>3280</v>
      </c>
      <c r="H846" s="81" t="s">
        <v>423</v>
      </c>
    </row>
    <row r="847" spans="1:8" x14ac:dyDescent="0.3">
      <c r="A847" s="81" t="s">
        <v>1440</v>
      </c>
      <c r="B847" s="81" t="s">
        <v>578</v>
      </c>
      <c r="C847" s="81" t="s">
        <v>1641</v>
      </c>
      <c r="D847" s="81" t="s">
        <v>3785</v>
      </c>
      <c r="E847" s="81" t="s">
        <v>16</v>
      </c>
      <c r="F847" s="81" t="s">
        <v>369</v>
      </c>
      <c r="G847" s="81" t="s">
        <v>3281</v>
      </c>
      <c r="H847" s="81" t="s">
        <v>423</v>
      </c>
    </row>
    <row r="848" spans="1:8" x14ac:dyDescent="0.3">
      <c r="A848" s="81" t="s">
        <v>1441</v>
      </c>
      <c r="B848" s="81" t="s">
        <v>578</v>
      </c>
      <c r="C848" s="81" t="s">
        <v>1641</v>
      </c>
      <c r="D848" s="81" t="s">
        <v>3785</v>
      </c>
      <c r="E848" s="81" t="s">
        <v>16</v>
      </c>
      <c r="F848" s="81" t="s">
        <v>370</v>
      </c>
      <c r="G848" s="81" t="s">
        <v>3282</v>
      </c>
      <c r="H848" s="81" t="s">
        <v>423</v>
      </c>
    </row>
    <row r="849" spans="1:8" x14ac:dyDescent="0.3">
      <c r="A849" s="81" t="s">
        <v>1442</v>
      </c>
      <c r="B849" s="81" t="s">
        <v>578</v>
      </c>
      <c r="C849" s="81" t="s">
        <v>1641</v>
      </c>
      <c r="D849" s="81" t="s">
        <v>3785</v>
      </c>
      <c r="E849" s="81" t="s">
        <v>16</v>
      </c>
      <c r="F849" s="81" t="s">
        <v>371</v>
      </c>
      <c r="G849" s="81" t="s">
        <v>3283</v>
      </c>
      <c r="H849" s="81" t="s">
        <v>423</v>
      </c>
    </row>
    <row r="850" spans="1:8" x14ac:dyDescent="0.3">
      <c r="A850" s="81" t="s">
        <v>1443</v>
      </c>
      <c r="B850" s="81" t="s">
        <v>578</v>
      </c>
      <c r="C850" s="81" t="s">
        <v>1641</v>
      </c>
      <c r="D850" s="81" t="s">
        <v>3785</v>
      </c>
      <c r="E850" s="81" t="s">
        <v>16</v>
      </c>
      <c r="F850" s="81" t="s">
        <v>372</v>
      </c>
      <c r="G850" s="81" t="s">
        <v>3284</v>
      </c>
      <c r="H850" s="81" t="s">
        <v>423</v>
      </c>
    </row>
    <row r="851" spans="1:8" x14ac:dyDescent="0.3">
      <c r="A851" s="81" t="s">
        <v>1444</v>
      </c>
      <c r="B851" s="81" t="s">
        <v>578</v>
      </c>
      <c r="C851" s="81" t="s">
        <v>1641</v>
      </c>
      <c r="D851" s="81" t="s">
        <v>3785</v>
      </c>
      <c r="E851" s="81" t="s">
        <v>16</v>
      </c>
      <c r="F851" s="81" t="s">
        <v>373</v>
      </c>
      <c r="G851" s="81" t="s">
        <v>3285</v>
      </c>
      <c r="H851" s="81" t="s">
        <v>423</v>
      </c>
    </row>
    <row r="852" spans="1:8" x14ac:dyDescent="0.3">
      <c r="A852" s="81" t="s">
        <v>1445</v>
      </c>
      <c r="B852" s="81" t="s">
        <v>578</v>
      </c>
      <c r="C852" s="81" t="s">
        <v>1641</v>
      </c>
      <c r="D852" s="81" t="s">
        <v>3785</v>
      </c>
      <c r="E852" s="81" t="s">
        <v>16</v>
      </c>
      <c r="F852" s="81" t="s">
        <v>374</v>
      </c>
      <c r="G852" s="81" t="s">
        <v>3286</v>
      </c>
      <c r="H852" s="81" t="s">
        <v>423</v>
      </c>
    </row>
    <row r="853" spans="1:8" x14ac:dyDescent="0.3">
      <c r="A853" s="81" t="s">
        <v>1446</v>
      </c>
      <c r="B853" s="81" t="s">
        <v>578</v>
      </c>
      <c r="C853" s="81" t="s">
        <v>1641</v>
      </c>
      <c r="D853" s="81" t="s">
        <v>3785</v>
      </c>
      <c r="E853" s="81" t="s">
        <v>16</v>
      </c>
      <c r="F853" s="81" t="s">
        <v>375</v>
      </c>
      <c r="G853" s="81" t="s">
        <v>3287</v>
      </c>
      <c r="H853" s="81" t="s">
        <v>1648</v>
      </c>
    </row>
    <row r="854" spans="1:8" x14ac:dyDescent="0.3">
      <c r="A854" s="81" t="s">
        <v>1447</v>
      </c>
      <c r="B854" s="81" t="s">
        <v>578</v>
      </c>
      <c r="C854" s="81" t="s">
        <v>1641</v>
      </c>
      <c r="D854" s="81" t="s">
        <v>3785</v>
      </c>
      <c r="E854" s="81" t="s">
        <v>16</v>
      </c>
      <c r="F854" s="81" t="s">
        <v>376</v>
      </c>
      <c r="G854" s="81" t="s">
        <v>3288</v>
      </c>
      <c r="H854" s="81" t="s">
        <v>423</v>
      </c>
    </row>
    <row r="855" spans="1:8" x14ac:dyDescent="0.3">
      <c r="A855" s="81" t="s">
        <v>1448</v>
      </c>
      <c r="B855" s="81" t="s">
        <v>578</v>
      </c>
      <c r="C855" s="81" t="s">
        <v>1641</v>
      </c>
      <c r="D855" s="81" t="s">
        <v>3785</v>
      </c>
      <c r="E855" s="81" t="s">
        <v>16</v>
      </c>
      <c r="F855" s="81" t="s">
        <v>377</v>
      </c>
      <c r="G855" s="81" t="s">
        <v>3289</v>
      </c>
      <c r="H855" s="81" t="s">
        <v>423</v>
      </c>
    </row>
    <row r="856" spans="1:8" x14ac:dyDescent="0.3">
      <c r="A856" s="81" t="s">
        <v>1449</v>
      </c>
      <c r="B856" s="81" t="s">
        <v>578</v>
      </c>
      <c r="C856" s="81" t="s">
        <v>1641</v>
      </c>
      <c r="D856" s="81" t="s">
        <v>3785</v>
      </c>
      <c r="E856" s="81" t="s">
        <v>16</v>
      </c>
      <c r="F856" s="81" t="s">
        <v>378</v>
      </c>
      <c r="G856" s="81" t="s">
        <v>3290</v>
      </c>
      <c r="H856" s="81" t="s">
        <v>423</v>
      </c>
    </row>
    <row r="857" spans="1:8" x14ac:dyDescent="0.3">
      <c r="A857" s="81" t="s">
        <v>1450</v>
      </c>
      <c r="B857" s="81" t="s">
        <v>578</v>
      </c>
      <c r="C857" s="81" t="s">
        <v>1641</v>
      </c>
      <c r="D857" s="81" t="s">
        <v>3785</v>
      </c>
      <c r="E857" s="81" t="s">
        <v>16</v>
      </c>
      <c r="F857" s="81" t="s">
        <v>379</v>
      </c>
      <c r="G857" s="81" t="s">
        <v>3291</v>
      </c>
      <c r="H857" s="81" t="s">
        <v>423</v>
      </c>
    </row>
    <row r="858" spans="1:8" x14ac:dyDescent="0.3">
      <c r="A858" s="81" t="s">
        <v>1755</v>
      </c>
      <c r="B858" s="81" t="s">
        <v>578</v>
      </c>
      <c r="C858" s="81" t="s">
        <v>1641</v>
      </c>
      <c r="D858" s="81" t="s">
        <v>3785</v>
      </c>
      <c r="E858" s="81" t="s">
        <v>16</v>
      </c>
      <c r="F858" s="81" t="s">
        <v>380</v>
      </c>
      <c r="G858" s="81" t="s">
        <v>3292</v>
      </c>
      <c r="H858" s="81" t="s">
        <v>423</v>
      </c>
    </row>
    <row r="859" spans="1:8" x14ac:dyDescent="0.3">
      <c r="A859" s="81" t="s">
        <v>1756</v>
      </c>
      <c r="B859" s="81" t="s">
        <v>578</v>
      </c>
      <c r="C859" s="81" t="s">
        <v>1641</v>
      </c>
      <c r="D859" s="81" t="s">
        <v>3785</v>
      </c>
      <c r="E859" s="81" t="s">
        <v>16</v>
      </c>
      <c r="F859" s="81" t="s">
        <v>381</v>
      </c>
      <c r="G859" s="81" t="s">
        <v>3293</v>
      </c>
      <c r="H859" s="81" t="s">
        <v>423</v>
      </c>
    </row>
    <row r="860" spans="1:8" x14ac:dyDescent="0.3">
      <c r="A860" s="81" t="s">
        <v>1757</v>
      </c>
      <c r="B860" s="81" t="s">
        <v>578</v>
      </c>
      <c r="C860" s="81" t="s">
        <v>1641</v>
      </c>
      <c r="D860" s="81" t="s">
        <v>3785</v>
      </c>
      <c r="E860" s="81" t="s">
        <v>16</v>
      </c>
      <c r="F860" s="81" t="s">
        <v>382</v>
      </c>
      <c r="G860" s="81" t="s">
        <v>3294</v>
      </c>
      <c r="H860" s="81" t="s">
        <v>423</v>
      </c>
    </row>
    <row r="861" spans="1:8" x14ac:dyDescent="0.3">
      <c r="A861" s="81" t="s">
        <v>1758</v>
      </c>
      <c r="B861" s="81" t="s">
        <v>578</v>
      </c>
      <c r="C861" s="81" t="s">
        <v>1641</v>
      </c>
      <c r="D861" s="81" t="s">
        <v>3785</v>
      </c>
      <c r="E861" s="81" t="s">
        <v>16</v>
      </c>
      <c r="F861" s="81" t="s">
        <v>383</v>
      </c>
      <c r="G861" s="81" t="s">
        <v>3295</v>
      </c>
      <c r="H861" s="81" t="s">
        <v>423</v>
      </c>
    </row>
    <row r="862" spans="1:8" x14ac:dyDescent="0.3">
      <c r="A862" s="81" t="s">
        <v>1759</v>
      </c>
      <c r="B862" s="81" t="s">
        <v>578</v>
      </c>
      <c r="C862" s="81" t="s">
        <v>1641</v>
      </c>
      <c r="D862" s="81" t="s">
        <v>3785</v>
      </c>
      <c r="E862" s="81" t="s">
        <v>20</v>
      </c>
      <c r="F862" s="81" t="s">
        <v>15</v>
      </c>
      <c r="G862" s="81" t="s">
        <v>3296</v>
      </c>
      <c r="H862" s="81" t="s">
        <v>423</v>
      </c>
    </row>
    <row r="863" spans="1:8" x14ac:dyDescent="0.3">
      <c r="A863" s="81" t="s">
        <v>1760</v>
      </c>
      <c r="B863" s="81" t="s">
        <v>578</v>
      </c>
      <c r="C863" s="81" t="s">
        <v>1641</v>
      </c>
      <c r="D863" s="81" t="s">
        <v>3785</v>
      </c>
      <c r="E863" s="81" t="s">
        <v>16</v>
      </c>
      <c r="F863" s="81" t="s">
        <v>368</v>
      </c>
      <c r="G863" s="81" t="s">
        <v>3297</v>
      </c>
      <c r="H863" s="81" t="s">
        <v>423</v>
      </c>
    </row>
    <row r="864" spans="1:8" x14ac:dyDescent="0.3">
      <c r="A864" s="81" t="s">
        <v>1761</v>
      </c>
      <c r="B864" s="81" t="s">
        <v>578</v>
      </c>
      <c r="C864" s="81" t="s">
        <v>1641</v>
      </c>
      <c r="D864" s="81" t="s">
        <v>3785</v>
      </c>
      <c r="E864" s="81" t="s">
        <v>16</v>
      </c>
      <c r="F864" s="81" t="s">
        <v>369</v>
      </c>
      <c r="G864" s="81" t="s">
        <v>3298</v>
      </c>
      <c r="H864" s="81" t="s">
        <v>423</v>
      </c>
    </row>
    <row r="865" spans="1:8" x14ac:dyDescent="0.3">
      <c r="A865" s="81" t="s">
        <v>1762</v>
      </c>
      <c r="B865" s="81" t="s">
        <v>578</v>
      </c>
      <c r="C865" s="81" t="s">
        <v>1641</v>
      </c>
      <c r="D865" s="81" t="s">
        <v>3785</v>
      </c>
      <c r="E865" s="81" t="s">
        <v>16</v>
      </c>
      <c r="F865" s="81" t="s">
        <v>370</v>
      </c>
      <c r="G865" s="81" t="s">
        <v>3299</v>
      </c>
      <c r="H865" s="81" t="s">
        <v>423</v>
      </c>
    </row>
    <row r="866" spans="1:8" x14ac:dyDescent="0.3">
      <c r="A866" s="81" t="s">
        <v>1763</v>
      </c>
      <c r="B866" s="81" t="s">
        <v>578</v>
      </c>
      <c r="C866" s="81" t="s">
        <v>1641</v>
      </c>
      <c r="D866" s="81" t="s">
        <v>3785</v>
      </c>
      <c r="E866" s="81" t="s">
        <v>16</v>
      </c>
      <c r="F866" s="81" t="s">
        <v>371</v>
      </c>
      <c r="G866" s="81" t="s">
        <v>3300</v>
      </c>
      <c r="H866" s="81" t="s">
        <v>423</v>
      </c>
    </row>
    <row r="867" spans="1:8" x14ac:dyDescent="0.3">
      <c r="A867" s="81" t="s">
        <v>1764</v>
      </c>
      <c r="B867" s="81" t="s">
        <v>578</v>
      </c>
      <c r="C867" s="81" t="s">
        <v>1641</v>
      </c>
      <c r="D867" s="81" t="s">
        <v>3785</v>
      </c>
      <c r="E867" s="81" t="s">
        <v>16</v>
      </c>
      <c r="F867" s="81" t="s">
        <v>372</v>
      </c>
      <c r="G867" s="81" t="s">
        <v>3301</v>
      </c>
      <c r="H867" s="81" t="s">
        <v>1651</v>
      </c>
    </row>
    <row r="868" spans="1:8" x14ac:dyDescent="0.3">
      <c r="A868" s="81" t="s">
        <v>1765</v>
      </c>
      <c r="B868" s="81" t="s">
        <v>578</v>
      </c>
      <c r="C868" s="81" t="s">
        <v>1641</v>
      </c>
      <c r="D868" s="81" t="s">
        <v>3785</v>
      </c>
      <c r="E868" s="81" t="s">
        <v>16</v>
      </c>
      <c r="F868" s="81" t="s">
        <v>373</v>
      </c>
      <c r="G868" s="81" t="s">
        <v>3302</v>
      </c>
      <c r="H868" s="81" t="s">
        <v>423</v>
      </c>
    </row>
    <row r="869" spans="1:8" x14ac:dyDescent="0.3">
      <c r="A869" s="81" t="s">
        <v>1766</v>
      </c>
      <c r="B869" s="81" t="s">
        <v>578</v>
      </c>
      <c r="C869" s="81" t="s">
        <v>1641</v>
      </c>
      <c r="D869" s="81" t="s">
        <v>3785</v>
      </c>
      <c r="E869" s="81" t="s">
        <v>16</v>
      </c>
      <c r="F869" s="81" t="s">
        <v>374</v>
      </c>
      <c r="G869" s="81" t="s">
        <v>3303</v>
      </c>
      <c r="H869" s="81" t="s">
        <v>423</v>
      </c>
    </row>
    <row r="870" spans="1:8" x14ac:dyDescent="0.3">
      <c r="A870" s="81" t="s">
        <v>1767</v>
      </c>
      <c r="B870" s="81" t="s">
        <v>578</v>
      </c>
      <c r="C870" s="81" t="s">
        <v>1641</v>
      </c>
      <c r="D870" s="81" t="s">
        <v>3785</v>
      </c>
      <c r="E870" s="81" t="s">
        <v>16</v>
      </c>
      <c r="F870" s="81" t="s">
        <v>375</v>
      </c>
      <c r="G870" s="81" t="s">
        <v>3304</v>
      </c>
      <c r="H870" s="81" t="s">
        <v>387</v>
      </c>
    </row>
    <row r="871" spans="1:8" x14ac:dyDescent="0.3">
      <c r="A871" s="81" t="s">
        <v>1768</v>
      </c>
      <c r="B871" s="81" t="s">
        <v>578</v>
      </c>
      <c r="C871" s="81" t="s">
        <v>1641</v>
      </c>
      <c r="D871" s="81" t="s">
        <v>3785</v>
      </c>
      <c r="E871" s="81" t="s">
        <v>16</v>
      </c>
      <c r="F871" s="81" t="s">
        <v>376</v>
      </c>
      <c r="G871" s="81" t="s">
        <v>3305</v>
      </c>
      <c r="H871" s="81" t="s">
        <v>423</v>
      </c>
    </row>
    <row r="872" spans="1:8" x14ac:dyDescent="0.3">
      <c r="A872" s="81" t="s">
        <v>1769</v>
      </c>
      <c r="B872" s="81" t="s">
        <v>578</v>
      </c>
      <c r="C872" s="81" t="s">
        <v>1641</v>
      </c>
      <c r="D872" s="81" t="s">
        <v>3785</v>
      </c>
      <c r="E872" s="81" t="s">
        <v>16</v>
      </c>
      <c r="F872" s="81" t="s">
        <v>377</v>
      </c>
      <c r="G872" s="81" t="s">
        <v>3306</v>
      </c>
      <c r="H872" s="81" t="s">
        <v>423</v>
      </c>
    </row>
    <row r="873" spans="1:8" x14ac:dyDescent="0.3">
      <c r="A873" s="81" t="s">
        <v>1770</v>
      </c>
      <c r="B873" s="81" t="s">
        <v>578</v>
      </c>
      <c r="C873" s="81" t="s">
        <v>1641</v>
      </c>
      <c r="D873" s="81" t="s">
        <v>3785</v>
      </c>
      <c r="E873" s="81" t="s">
        <v>16</v>
      </c>
      <c r="F873" s="81" t="s">
        <v>378</v>
      </c>
      <c r="G873" s="81" t="s">
        <v>3307</v>
      </c>
      <c r="H873" s="81" t="s">
        <v>423</v>
      </c>
    </row>
    <row r="874" spans="1:8" x14ac:dyDescent="0.3">
      <c r="A874" s="81" t="s">
        <v>1771</v>
      </c>
      <c r="B874" s="81" t="s">
        <v>578</v>
      </c>
      <c r="C874" s="81" t="s">
        <v>1641</v>
      </c>
      <c r="D874" s="81" t="s">
        <v>3785</v>
      </c>
      <c r="E874" s="81" t="s">
        <v>16</v>
      </c>
      <c r="F874" s="81" t="s">
        <v>379</v>
      </c>
      <c r="G874" s="81" t="s">
        <v>3308</v>
      </c>
      <c r="H874" s="81" t="s">
        <v>423</v>
      </c>
    </row>
    <row r="875" spans="1:8" x14ac:dyDescent="0.3">
      <c r="A875" s="81" t="s">
        <v>1772</v>
      </c>
      <c r="B875" s="81" t="s">
        <v>578</v>
      </c>
      <c r="C875" s="81" t="s">
        <v>1641</v>
      </c>
      <c r="D875" s="81" t="s">
        <v>3785</v>
      </c>
      <c r="E875" s="81" t="s">
        <v>16</v>
      </c>
      <c r="F875" s="81" t="s">
        <v>380</v>
      </c>
      <c r="G875" s="81" t="s">
        <v>3309</v>
      </c>
      <c r="H875" s="81" t="s">
        <v>423</v>
      </c>
    </row>
    <row r="876" spans="1:8" x14ac:dyDescent="0.3">
      <c r="A876" s="81" t="s">
        <v>1773</v>
      </c>
      <c r="B876" s="81" t="s">
        <v>578</v>
      </c>
      <c r="C876" s="81" t="s">
        <v>1641</v>
      </c>
      <c r="D876" s="81" t="s">
        <v>3785</v>
      </c>
      <c r="E876" s="81" t="s">
        <v>16</v>
      </c>
      <c r="F876" s="81" t="s">
        <v>381</v>
      </c>
      <c r="G876" s="81" t="s">
        <v>3310</v>
      </c>
      <c r="H876" s="81" t="s">
        <v>423</v>
      </c>
    </row>
    <row r="877" spans="1:8" x14ac:dyDescent="0.3">
      <c r="A877" s="81" t="s">
        <v>1774</v>
      </c>
      <c r="B877" s="81" t="s">
        <v>578</v>
      </c>
      <c r="C877" s="81" t="s">
        <v>1641</v>
      </c>
      <c r="D877" s="81" t="s">
        <v>3785</v>
      </c>
      <c r="E877" s="81" t="s">
        <v>16</v>
      </c>
      <c r="F877" s="81" t="s">
        <v>382</v>
      </c>
      <c r="G877" s="81" t="s">
        <v>3311</v>
      </c>
      <c r="H877" s="81" t="s">
        <v>423</v>
      </c>
    </row>
    <row r="878" spans="1:8" x14ac:dyDescent="0.3">
      <c r="A878" s="81" t="s">
        <v>1775</v>
      </c>
      <c r="B878" s="81" t="s">
        <v>578</v>
      </c>
      <c r="C878" s="81" t="s">
        <v>1641</v>
      </c>
      <c r="D878" s="81" t="s">
        <v>3785</v>
      </c>
      <c r="E878" s="81" t="s">
        <v>16</v>
      </c>
      <c r="F878" s="81" t="s">
        <v>383</v>
      </c>
      <c r="G878" s="81" t="s">
        <v>3312</v>
      </c>
      <c r="H878" s="81" t="s">
        <v>423</v>
      </c>
    </row>
    <row r="879" spans="1:8" x14ac:dyDescent="0.3">
      <c r="A879" s="81" t="s">
        <v>1776</v>
      </c>
      <c r="B879" s="81" t="s">
        <v>597</v>
      </c>
      <c r="C879" s="81" t="s">
        <v>1663</v>
      </c>
      <c r="D879" s="81" t="s">
        <v>1653</v>
      </c>
      <c r="E879" s="81" t="s">
        <v>20</v>
      </c>
      <c r="F879" s="81" t="s">
        <v>15</v>
      </c>
      <c r="G879" s="81" t="s">
        <v>3313</v>
      </c>
      <c r="H879" s="81" t="s">
        <v>423</v>
      </c>
    </row>
    <row r="880" spans="1:8" x14ac:dyDescent="0.3">
      <c r="A880" s="81" t="s">
        <v>1777</v>
      </c>
      <c r="B880" s="81" t="s">
        <v>597</v>
      </c>
      <c r="C880" s="81" t="s">
        <v>1663</v>
      </c>
      <c r="D880" s="81" t="s">
        <v>1653</v>
      </c>
      <c r="E880" s="81" t="s">
        <v>16</v>
      </c>
      <c r="F880" s="81" t="s">
        <v>368</v>
      </c>
      <c r="G880" s="81" t="s">
        <v>3314</v>
      </c>
      <c r="H880" s="81" t="s">
        <v>423</v>
      </c>
    </row>
    <row r="881" spans="1:8" x14ac:dyDescent="0.3">
      <c r="A881" s="81" t="s">
        <v>1778</v>
      </c>
      <c r="B881" s="81" t="s">
        <v>597</v>
      </c>
      <c r="C881" s="81" t="s">
        <v>1663</v>
      </c>
      <c r="D881" s="81" t="s">
        <v>1653</v>
      </c>
      <c r="E881" s="81" t="s">
        <v>16</v>
      </c>
      <c r="F881" s="81" t="s">
        <v>369</v>
      </c>
      <c r="G881" s="81" t="s">
        <v>3315</v>
      </c>
      <c r="H881" s="81" t="s">
        <v>423</v>
      </c>
    </row>
    <row r="882" spans="1:8" x14ac:dyDescent="0.3">
      <c r="A882" s="81" t="s">
        <v>1779</v>
      </c>
      <c r="B882" s="81" t="s">
        <v>597</v>
      </c>
      <c r="C882" s="81" t="s">
        <v>1663</v>
      </c>
      <c r="D882" s="81" t="s">
        <v>1653</v>
      </c>
      <c r="E882" s="81" t="s">
        <v>16</v>
      </c>
      <c r="F882" s="81" t="s">
        <v>370</v>
      </c>
      <c r="G882" s="81" t="s">
        <v>3316</v>
      </c>
      <c r="H882" s="81" t="s">
        <v>423</v>
      </c>
    </row>
    <row r="883" spans="1:8" x14ac:dyDescent="0.3">
      <c r="A883" s="81" t="s">
        <v>1780</v>
      </c>
      <c r="B883" s="81" t="s">
        <v>597</v>
      </c>
      <c r="C883" s="81" t="s">
        <v>1663</v>
      </c>
      <c r="D883" s="81" t="s">
        <v>1653</v>
      </c>
      <c r="E883" s="81" t="s">
        <v>16</v>
      </c>
      <c r="F883" s="81" t="s">
        <v>371</v>
      </c>
      <c r="G883" s="81" t="s">
        <v>3317</v>
      </c>
      <c r="H883" s="81" t="s">
        <v>423</v>
      </c>
    </row>
    <row r="884" spans="1:8" x14ac:dyDescent="0.3">
      <c r="A884" s="81" t="s">
        <v>1781</v>
      </c>
      <c r="B884" s="81" t="s">
        <v>597</v>
      </c>
      <c r="C884" s="81" t="s">
        <v>1663</v>
      </c>
      <c r="D884" s="81" t="s">
        <v>1653</v>
      </c>
      <c r="E884" s="81" t="s">
        <v>16</v>
      </c>
      <c r="F884" s="81" t="s">
        <v>372</v>
      </c>
      <c r="G884" s="81" t="s">
        <v>3318</v>
      </c>
      <c r="H884" s="81" t="s">
        <v>423</v>
      </c>
    </row>
    <row r="885" spans="1:8" x14ac:dyDescent="0.3">
      <c r="A885" s="81" t="s">
        <v>1782</v>
      </c>
      <c r="B885" s="81" t="s">
        <v>597</v>
      </c>
      <c r="C885" s="81" t="s">
        <v>1663</v>
      </c>
      <c r="D885" s="81" t="s">
        <v>1653</v>
      </c>
      <c r="E885" s="81" t="s">
        <v>16</v>
      </c>
      <c r="F885" s="81" t="s">
        <v>373</v>
      </c>
      <c r="G885" s="81" t="s">
        <v>3319</v>
      </c>
      <c r="H885" s="81" t="s">
        <v>423</v>
      </c>
    </row>
    <row r="886" spans="1:8" x14ac:dyDescent="0.3">
      <c r="A886" s="81" t="s">
        <v>1783</v>
      </c>
      <c r="B886" s="81" t="s">
        <v>597</v>
      </c>
      <c r="C886" s="81" t="s">
        <v>1663</v>
      </c>
      <c r="D886" s="81" t="s">
        <v>1653</v>
      </c>
      <c r="E886" s="81" t="s">
        <v>16</v>
      </c>
      <c r="F886" s="81" t="s">
        <v>374</v>
      </c>
      <c r="G886" s="81" t="s">
        <v>3320</v>
      </c>
      <c r="H886" s="81" t="s">
        <v>423</v>
      </c>
    </row>
    <row r="887" spans="1:8" x14ac:dyDescent="0.3">
      <c r="A887" s="81" t="s">
        <v>1784</v>
      </c>
      <c r="B887" s="81" t="s">
        <v>597</v>
      </c>
      <c r="C887" s="81" t="s">
        <v>1663</v>
      </c>
      <c r="D887" s="81" t="s">
        <v>1653</v>
      </c>
      <c r="E887" s="81" t="s">
        <v>16</v>
      </c>
      <c r="F887" s="81" t="s">
        <v>375</v>
      </c>
      <c r="G887" s="81" t="s">
        <v>3321</v>
      </c>
      <c r="H887" s="81" t="s">
        <v>423</v>
      </c>
    </row>
    <row r="888" spans="1:8" x14ac:dyDescent="0.3">
      <c r="A888" s="81" t="s">
        <v>1785</v>
      </c>
      <c r="B888" s="81" t="s">
        <v>597</v>
      </c>
      <c r="C888" s="81" t="s">
        <v>1663</v>
      </c>
      <c r="D888" s="81" t="s">
        <v>1653</v>
      </c>
      <c r="E888" s="81" t="s">
        <v>16</v>
      </c>
      <c r="F888" s="81" t="s">
        <v>376</v>
      </c>
      <c r="G888" s="81" t="s">
        <v>3322</v>
      </c>
      <c r="H888" s="81" t="s">
        <v>423</v>
      </c>
    </row>
    <row r="889" spans="1:8" x14ac:dyDescent="0.3">
      <c r="A889" s="81" t="s">
        <v>1786</v>
      </c>
      <c r="B889" s="81" t="s">
        <v>597</v>
      </c>
      <c r="C889" s="81" t="s">
        <v>1663</v>
      </c>
      <c r="D889" s="81" t="s">
        <v>1653</v>
      </c>
      <c r="E889" s="81" t="s">
        <v>16</v>
      </c>
      <c r="F889" s="81" t="s">
        <v>377</v>
      </c>
      <c r="G889" s="81" t="s">
        <v>3323</v>
      </c>
      <c r="H889" s="81" t="s">
        <v>423</v>
      </c>
    </row>
    <row r="890" spans="1:8" x14ac:dyDescent="0.3">
      <c r="A890" s="81" t="s">
        <v>1787</v>
      </c>
      <c r="B890" s="81" t="s">
        <v>597</v>
      </c>
      <c r="C890" s="81" t="s">
        <v>1663</v>
      </c>
      <c r="D890" s="81" t="s">
        <v>1653</v>
      </c>
      <c r="E890" s="81" t="s">
        <v>16</v>
      </c>
      <c r="F890" s="81" t="s">
        <v>378</v>
      </c>
      <c r="G890" s="81" t="s">
        <v>3324</v>
      </c>
      <c r="H890" s="81" t="s">
        <v>423</v>
      </c>
    </row>
    <row r="891" spans="1:8" x14ac:dyDescent="0.3">
      <c r="A891" s="81" t="s">
        <v>1788</v>
      </c>
      <c r="B891" s="81" t="s">
        <v>597</v>
      </c>
      <c r="C891" s="81" t="s">
        <v>1663</v>
      </c>
      <c r="D891" s="81" t="s">
        <v>1653</v>
      </c>
      <c r="E891" s="81" t="s">
        <v>16</v>
      </c>
      <c r="F891" s="81" t="s">
        <v>379</v>
      </c>
      <c r="G891" s="81" t="s">
        <v>3325</v>
      </c>
      <c r="H891" s="81" t="s">
        <v>423</v>
      </c>
    </row>
    <row r="892" spans="1:8" x14ac:dyDescent="0.3">
      <c r="A892" s="81" t="s">
        <v>1789</v>
      </c>
      <c r="B892" s="81" t="s">
        <v>597</v>
      </c>
      <c r="C892" s="81" t="s">
        <v>1663</v>
      </c>
      <c r="D892" s="81" t="s">
        <v>1653</v>
      </c>
      <c r="E892" s="81" t="s">
        <v>16</v>
      </c>
      <c r="F892" s="81" t="s">
        <v>380</v>
      </c>
      <c r="G892" s="81" t="s">
        <v>3326</v>
      </c>
      <c r="H892" s="81" t="s">
        <v>1655</v>
      </c>
    </row>
    <row r="893" spans="1:8" x14ac:dyDescent="0.3">
      <c r="A893" s="81" t="s">
        <v>1790</v>
      </c>
      <c r="B893" s="81" t="s">
        <v>597</v>
      </c>
      <c r="C893" s="81" t="s">
        <v>1663</v>
      </c>
      <c r="D893" s="81" t="s">
        <v>1653</v>
      </c>
      <c r="E893" s="81" t="s">
        <v>16</v>
      </c>
      <c r="F893" s="81" t="s">
        <v>381</v>
      </c>
      <c r="G893" s="81" t="s">
        <v>3327</v>
      </c>
      <c r="H893" s="81" t="s">
        <v>423</v>
      </c>
    </row>
    <row r="894" spans="1:8" x14ac:dyDescent="0.3">
      <c r="A894" s="81" t="s">
        <v>1791</v>
      </c>
      <c r="B894" s="81" t="s">
        <v>597</v>
      </c>
      <c r="C894" s="81" t="s">
        <v>1663</v>
      </c>
      <c r="D894" s="81" t="s">
        <v>1653</v>
      </c>
      <c r="E894" s="81" t="s">
        <v>16</v>
      </c>
      <c r="F894" s="81" t="s">
        <v>382</v>
      </c>
      <c r="G894" s="81" t="s">
        <v>3328</v>
      </c>
      <c r="H894" s="81" t="s">
        <v>423</v>
      </c>
    </row>
    <row r="895" spans="1:8" x14ac:dyDescent="0.3">
      <c r="A895" s="81" t="s">
        <v>1792</v>
      </c>
      <c r="B895" s="81" t="s">
        <v>597</v>
      </c>
      <c r="C895" s="81" t="s">
        <v>1663</v>
      </c>
      <c r="D895" s="81" t="s">
        <v>1653</v>
      </c>
      <c r="E895" s="81" t="s">
        <v>16</v>
      </c>
      <c r="F895" s="81" t="s">
        <v>383</v>
      </c>
      <c r="G895" s="81" t="s">
        <v>3329</v>
      </c>
      <c r="H895" s="81" t="s">
        <v>423</v>
      </c>
    </row>
    <row r="896" spans="1:8" x14ac:dyDescent="0.3">
      <c r="A896" s="81" t="s">
        <v>1793</v>
      </c>
      <c r="B896" s="81" t="s">
        <v>597</v>
      </c>
      <c r="C896" s="81" t="s">
        <v>1664</v>
      </c>
      <c r="D896" s="81" t="s">
        <v>1653</v>
      </c>
      <c r="E896" s="81" t="s">
        <v>20</v>
      </c>
      <c r="F896" s="81" t="s">
        <v>15</v>
      </c>
      <c r="G896" s="81" t="s">
        <v>3330</v>
      </c>
      <c r="H896" s="81" t="s">
        <v>1660</v>
      </c>
    </row>
    <row r="897" spans="1:8" x14ac:dyDescent="0.3">
      <c r="A897" s="81" t="s">
        <v>1794</v>
      </c>
      <c r="B897" s="81" t="s">
        <v>597</v>
      </c>
      <c r="C897" s="81" t="s">
        <v>1664</v>
      </c>
      <c r="D897" s="81" t="s">
        <v>1653</v>
      </c>
      <c r="E897" s="81" t="s">
        <v>16</v>
      </c>
      <c r="F897" s="81" t="s">
        <v>368</v>
      </c>
      <c r="G897" s="81" t="s">
        <v>3331</v>
      </c>
      <c r="H897" s="81" t="s">
        <v>423</v>
      </c>
    </row>
    <row r="898" spans="1:8" x14ac:dyDescent="0.3">
      <c r="A898" s="81" t="s">
        <v>1795</v>
      </c>
      <c r="B898" s="81" t="s">
        <v>597</v>
      </c>
      <c r="C898" s="81" t="s">
        <v>1664</v>
      </c>
      <c r="D898" s="81" t="s">
        <v>1653</v>
      </c>
      <c r="E898" s="81" t="s">
        <v>16</v>
      </c>
      <c r="F898" s="81" t="s">
        <v>369</v>
      </c>
      <c r="G898" s="81" t="s">
        <v>3332</v>
      </c>
      <c r="H898" s="81" t="s">
        <v>423</v>
      </c>
    </row>
    <row r="899" spans="1:8" x14ac:dyDescent="0.3">
      <c r="A899" s="81" t="s">
        <v>1796</v>
      </c>
      <c r="B899" s="81" t="s">
        <v>597</v>
      </c>
      <c r="C899" s="81" t="s">
        <v>1664</v>
      </c>
      <c r="D899" s="81" t="s">
        <v>1653</v>
      </c>
      <c r="E899" s="81" t="s">
        <v>16</v>
      </c>
      <c r="F899" s="81" t="s">
        <v>370</v>
      </c>
      <c r="G899" s="81" t="s">
        <v>3333</v>
      </c>
      <c r="H899" s="81" t="s">
        <v>423</v>
      </c>
    </row>
    <row r="900" spans="1:8" x14ac:dyDescent="0.3">
      <c r="A900" s="81" t="s">
        <v>1797</v>
      </c>
      <c r="B900" s="81" t="s">
        <v>597</v>
      </c>
      <c r="C900" s="81" t="s">
        <v>1664</v>
      </c>
      <c r="D900" s="81" t="s">
        <v>1653</v>
      </c>
      <c r="E900" s="81" t="s">
        <v>16</v>
      </c>
      <c r="F900" s="81" t="s">
        <v>371</v>
      </c>
      <c r="G900" s="81" t="s">
        <v>3334</v>
      </c>
      <c r="H900" s="81" t="s">
        <v>423</v>
      </c>
    </row>
    <row r="901" spans="1:8" x14ac:dyDescent="0.3">
      <c r="A901" s="81" t="s">
        <v>1798</v>
      </c>
      <c r="B901" s="81" t="s">
        <v>597</v>
      </c>
      <c r="C901" s="81" t="s">
        <v>1664</v>
      </c>
      <c r="D901" s="81" t="s">
        <v>1653</v>
      </c>
      <c r="E901" s="81" t="s">
        <v>16</v>
      </c>
      <c r="F901" s="81" t="s">
        <v>372</v>
      </c>
      <c r="G901" s="81" t="s">
        <v>3335</v>
      </c>
      <c r="H901" s="81" t="s">
        <v>423</v>
      </c>
    </row>
    <row r="902" spans="1:8" x14ac:dyDescent="0.3">
      <c r="A902" s="81" t="s">
        <v>1799</v>
      </c>
      <c r="B902" s="81" t="s">
        <v>597</v>
      </c>
      <c r="C902" s="81" t="s">
        <v>1664</v>
      </c>
      <c r="D902" s="81" t="s">
        <v>1653</v>
      </c>
      <c r="E902" s="81" t="s">
        <v>16</v>
      </c>
      <c r="F902" s="81" t="s">
        <v>373</v>
      </c>
      <c r="G902" s="81" t="s">
        <v>3336</v>
      </c>
      <c r="H902" s="81" t="s">
        <v>423</v>
      </c>
    </row>
    <row r="903" spans="1:8" x14ac:dyDescent="0.3">
      <c r="A903" s="81" t="s">
        <v>1800</v>
      </c>
      <c r="B903" s="81" t="s">
        <v>597</v>
      </c>
      <c r="C903" s="81" t="s">
        <v>1664</v>
      </c>
      <c r="D903" s="81" t="s">
        <v>1653</v>
      </c>
      <c r="E903" s="81" t="s">
        <v>16</v>
      </c>
      <c r="F903" s="81" t="s">
        <v>374</v>
      </c>
      <c r="G903" s="81" t="s">
        <v>3337</v>
      </c>
      <c r="H903" s="81" t="s">
        <v>423</v>
      </c>
    </row>
    <row r="904" spans="1:8" x14ac:dyDescent="0.3">
      <c r="A904" s="81" t="s">
        <v>1801</v>
      </c>
      <c r="B904" s="81" t="s">
        <v>597</v>
      </c>
      <c r="C904" s="81" t="s">
        <v>1664</v>
      </c>
      <c r="D904" s="81" t="s">
        <v>1653</v>
      </c>
      <c r="E904" s="81" t="s">
        <v>16</v>
      </c>
      <c r="F904" s="81" t="s">
        <v>375</v>
      </c>
      <c r="G904" s="81" t="s">
        <v>3338</v>
      </c>
      <c r="H904" s="81" t="s">
        <v>387</v>
      </c>
    </row>
    <row r="905" spans="1:8" x14ac:dyDescent="0.3">
      <c r="A905" s="81" t="s">
        <v>1802</v>
      </c>
      <c r="B905" s="81" t="s">
        <v>597</v>
      </c>
      <c r="C905" s="81" t="s">
        <v>1664</v>
      </c>
      <c r="D905" s="81" t="s">
        <v>1653</v>
      </c>
      <c r="E905" s="81" t="s">
        <v>16</v>
      </c>
      <c r="F905" s="81" t="s">
        <v>376</v>
      </c>
      <c r="G905" s="81" t="s">
        <v>3339</v>
      </c>
      <c r="H905" s="81" t="s">
        <v>423</v>
      </c>
    </row>
    <row r="906" spans="1:8" x14ac:dyDescent="0.3">
      <c r="A906" s="81" t="s">
        <v>1803</v>
      </c>
      <c r="B906" s="81" t="s">
        <v>597</v>
      </c>
      <c r="C906" s="81" t="s">
        <v>1664</v>
      </c>
      <c r="D906" s="81" t="s">
        <v>1653</v>
      </c>
      <c r="E906" s="81" t="s">
        <v>16</v>
      </c>
      <c r="F906" s="81" t="s">
        <v>377</v>
      </c>
      <c r="G906" s="81" t="s">
        <v>3340</v>
      </c>
      <c r="H906" s="81" t="s">
        <v>423</v>
      </c>
    </row>
    <row r="907" spans="1:8" x14ac:dyDescent="0.3">
      <c r="A907" s="81" t="s">
        <v>1804</v>
      </c>
      <c r="B907" s="81" t="s">
        <v>597</v>
      </c>
      <c r="C907" s="81" t="s">
        <v>1664</v>
      </c>
      <c r="D907" s="81" t="s">
        <v>1653</v>
      </c>
      <c r="E907" s="81" t="s">
        <v>16</v>
      </c>
      <c r="F907" s="81" t="s">
        <v>378</v>
      </c>
      <c r="G907" s="81" t="s">
        <v>3341</v>
      </c>
      <c r="H907" s="81" t="s">
        <v>423</v>
      </c>
    </row>
    <row r="908" spans="1:8" x14ac:dyDescent="0.3">
      <c r="A908" s="81" t="s">
        <v>1805</v>
      </c>
      <c r="B908" s="81" t="s">
        <v>597</v>
      </c>
      <c r="C908" s="81" t="s">
        <v>1664</v>
      </c>
      <c r="D908" s="81" t="s">
        <v>1653</v>
      </c>
      <c r="E908" s="81" t="s">
        <v>16</v>
      </c>
      <c r="F908" s="81" t="s">
        <v>379</v>
      </c>
      <c r="G908" s="81" t="s">
        <v>3342</v>
      </c>
      <c r="H908" s="81" t="s">
        <v>423</v>
      </c>
    </row>
    <row r="909" spans="1:8" x14ac:dyDescent="0.3">
      <c r="A909" s="81" t="s">
        <v>1806</v>
      </c>
      <c r="B909" s="81" t="s">
        <v>597</v>
      </c>
      <c r="C909" s="81" t="s">
        <v>1664</v>
      </c>
      <c r="D909" s="81" t="s">
        <v>1653</v>
      </c>
      <c r="E909" s="81" t="s">
        <v>16</v>
      </c>
      <c r="F909" s="81" t="s">
        <v>380</v>
      </c>
      <c r="G909" s="81" t="s">
        <v>3343</v>
      </c>
      <c r="H909" s="81" t="s">
        <v>423</v>
      </c>
    </row>
    <row r="910" spans="1:8" x14ac:dyDescent="0.3">
      <c r="A910" s="81" t="s">
        <v>1807</v>
      </c>
      <c r="B910" s="81" t="s">
        <v>597</v>
      </c>
      <c r="C910" s="81" t="s">
        <v>1664</v>
      </c>
      <c r="D910" s="81" t="s">
        <v>1653</v>
      </c>
      <c r="E910" s="81" t="s">
        <v>16</v>
      </c>
      <c r="F910" s="81" t="s">
        <v>381</v>
      </c>
      <c r="G910" s="81" t="s">
        <v>3344</v>
      </c>
      <c r="H910" s="81" t="s">
        <v>423</v>
      </c>
    </row>
    <row r="911" spans="1:8" x14ac:dyDescent="0.3">
      <c r="A911" s="81" t="s">
        <v>1808</v>
      </c>
      <c r="B911" s="81" t="s">
        <v>597</v>
      </c>
      <c r="C911" s="81" t="s">
        <v>1664</v>
      </c>
      <c r="D911" s="81" t="s">
        <v>1653</v>
      </c>
      <c r="E911" s="81" t="s">
        <v>16</v>
      </c>
      <c r="F911" s="81" t="s">
        <v>382</v>
      </c>
      <c r="G911" s="81" t="s">
        <v>3345</v>
      </c>
      <c r="H911" s="81" t="s">
        <v>423</v>
      </c>
    </row>
    <row r="912" spans="1:8" x14ac:dyDescent="0.3">
      <c r="A912" s="81" t="s">
        <v>1809</v>
      </c>
      <c r="B912" s="81" t="s">
        <v>597</v>
      </c>
      <c r="C912" s="81" t="s">
        <v>1664</v>
      </c>
      <c r="D912" s="81" t="s">
        <v>1653</v>
      </c>
      <c r="E912" s="81" t="s">
        <v>16</v>
      </c>
      <c r="F912" s="81" t="s">
        <v>383</v>
      </c>
      <c r="G912" s="81" t="s">
        <v>3346</v>
      </c>
      <c r="H912" s="81" t="s">
        <v>423</v>
      </c>
    </row>
    <row r="913" spans="1:8" x14ac:dyDescent="0.3">
      <c r="A913" s="81" t="s">
        <v>1810</v>
      </c>
      <c r="B913" s="81" t="s">
        <v>881</v>
      </c>
      <c r="C913" s="81" t="s">
        <v>1669</v>
      </c>
      <c r="D913" s="81" t="s">
        <v>1601</v>
      </c>
      <c r="E913" s="81" t="s">
        <v>20</v>
      </c>
      <c r="F913" s="81" t="s">
        <v>15</v>
      </c>
      <c r="G913" s="81" t="s">
        <v>3347</v>
      </c>
      <c r="H913" s="81" t="s">
        <v>1668</v>
      </c>
    </row>
    <row r="914" spans="1:8" x14ac:dyDescent="0.3">
      <c r="A914" s="81" t="s">
        <v>1811</v>
      </c>
      <c r="B914" s="81" t="s">
        <v>881</v>
      </c>
      <c r="C914" s="81" t="s">
        <v>1669</v>
      </c>
      <c r="D914" s="81" t="s">
        <v>1601</v>
      </c>
      <c r="E914" s="81" t="s">
        <v>16</v>
      </c>
      <c r="F914" s="81" t="s">
        <v>368</v>
      </c>
      <c r="G914" s="81" t="s">
        <v>3348</v>
      </c>
      <c r="H914" s="81" t="s">
        <v>3349</v>
      </c>
    </row>
    <row r="915" spans="1:8" x14ac:dyDescent="0.3">
      <c r="A915" s="81" t="s">
        <v>1812</v>
      </c>
      <c r="B915" s="81" t="s">
        <v>881</v>
      </c>
      <c r="C915" s="81" t="s">
        <v>1669</v>
      </c>
      <c r="D915" s="81" t="s">
        <v>1601</v>
      </c>
      <c r="E915" s="81" t="s">
        <v>16</v>
      </c>
      <c r="F915" s="81" t="s">
        <v>369</v>
      </c>
      <c r="G915" s="81" t="s">
        <v>3350</v>
      </c>
      <c r="H915" s="81" t="s">
        <v>3351</v>
      </c>
    </row>
    <row r="916" spans="1:8" x14ac:dyDescent="0.3">
      <c r="A916" s="81" t="s">
        <v>1813</v>
      </c>
      <c r="B916" s="81" t="s">
        <v>881</v>
      </c>
      <c r="C916" s="81" t="s">
        <v>1669</v>
      </c>
      <c r="D916" s="81" t="s">
        <v>1601</v>
      </c>
      <c r="E916" s="81" t="s">
        <v>16</v>
      </c>
      <c r="F916" s="81" t="s">
        <v>370</v>
      </c>
      <c r="G916" s="81" t="s">
        <v>3352</v>
      </c>
      <c r="H916" s="81" t="s">
        <v>3353</v>
      </c>
    </row>
    <row r="917" spans="1:8" x14ac:dyDescent="0.3">
      <c r="A917" s="81" t="s">
        <v>1814</v>
      </c>
      <c r="B917" s="81" t="s">
        <v>881</v>
      </c>
      <c r="C917" s="81" t="s">
        <v>1669</v>
      </c>
      <c r="D917" s="81" t="s">
        <v>1601</v>
      </c>
      <c r="E917" s="81" t="s">
        <v>16</v>
      </c>
      <c r="F917" s="81" t="s">
        <v>371</v>
      </c>
      <c r="G917" s="81" t="s">
        <v>3354</v>
      </c>
      <c r="H917" s="81" t="s">
        <v>3355</v>
      </c>
    </row>
    <row r="918" spans="1:8" x14ac:dyDescent="0.3">
      <c r="A918" s="81" t="s">
        <v>1815</v>
      </c>
      <c r="B918" s="81" t="s">
        <v>881</v>
      </c>
      <c r="C918" s="81" t="s">
        <v>1669</v>
      </c>
      <c r="D918" s="81" t="s">
        <v>1601</v>
      </c>
      <c r="E918" s="81" t="s">
        <v>16</v>
      </c>
      <c r="F918" s="81" t="s">
        <v>372</v>
      </c>
      <c r="G918" s="81" t="s">
        <v>3356</v>
      </c>
      <c r="H918" s="81" t="s">
        <v>3357</v>
      </c>
    </row>
    <row r="919" spans="1:8" x14ac:dyDescent="0.3">
      <c r="A919" s="81" t="s">
        <v>1816</v>
      </c>
      <c r="B919" s="81" t="s">
        <v>881</v>
      </c>
      <c r="C919" s="81" t="s">
        <v>1669</v>
      </c>
      <c r="D919" s="81" t="s">
        <v>1601</v>
      </c>
      <c r="E919" s="81" t="s">
        <v>16</v>
      </c>
      <c r="F919" s="81" t="s">
        <v>373</v>
      </c>
      <c r="G919" s="81" t="s">
        <v>3358</v>
      </c>
      <c r="H919" s="81" t="s">
        <v>3359</v>
      </c>
    </row>
    <row r="920" spans="1:8" x14ac:dyDescent="0.3">
      <c r="A920" s="81" t="s">
        <v>1817</v>
      </c>
      <c r="B920" s="81" t="s">
        <v>881</v>
      </c>
      <c r="C920" s="81" t="s">
        <v>1669</v>
      </c>
      <c r="D920" s="81" t="s">
        <v>1601</v>
      </c>
      <c r="E920" s="81" t="s">
        <v>16</v>
      </c>
      <c r="F920" s="81" t="s">
        <v>374</v>
      </c>
      <c r="G920" s="81" t="s">
        <v>3360</v>
      </c>
      <c r="H920" s="81" t="s">
        <v>3361</v>
      </c>
    </row>
    <row r="921" spans="1:8" x14ac:dyDescent="0.3">
      <c r="A921" s="81" t="s">
        <v>1818</v>
      </c>
      <c r="B921" s="81" t="s">
        <v>881</v>
      </c>
      <c r="C921" s="81" t="s">
        <v>1669</v>
      </c>
      <c r="D921" s="81" t="s">
        <v>1601</v>
      </c>
      <c r="E921" s="81" t="s">
        <v>16</v>
      </c>
      <c r="F921" s="81" t="s">
        <v>375</v>
      </c>
      <c r="G921" s="81" t="s">
        <v>3362</v>
      </c>
      <c r="H921" s="81" t="s">
        <v>3363</v>
      </c>
    </row>
    <row r="922" spans="1:8" x14ac:dyDescent="0.3">
      <c r="A922" s="81" t="s">
        <v>1819</v>
      </c>
      <c r="B922" s="81" t="s">
        <v>881</v>
      </c>
      <c r="C922" s="81" t="s">
        <v>1669</v>
      </c>
      <c r="D922" s="81" t="s">
        <v>1601</v>
      </c>
      <c r="E922" s="81" t="s">
        <v>16</v>
      </c>
      <c r="F922" s="81" t="s">
        <v>376</v>
      </c>
      <c r="G922" s="81" t="s">
        <v>3364</v>
      </c>
      <c r="H922" s="81" t="s">
        <v>3365</v>
      </c>
    </row>
    <row r="923" spans="1:8" x14ac:dyDescent="0.3">
      <c r="A923" s="81" t="s">
        <v>1820</v>
      </c>
      <c r="B923" s="81" t="s">
        <v>881</v>
      </c>
      <c r="C923" s="81" t="s">
        <v>1669</v>
      </c>
      <c r="D923" s="81" t="s">
        <v>1601</v>
      </c>
      <c r="E923" s="81" t="s">
        <v>16</v>
      </c>
      <c r="F923" s="81" t="s">
        <v>377</v>
      </c>
      <c r="G923" s="81" t="s">
        <v>3366</v>
      </c>
      <c r="H923" s="81" t="s">
        <v>3367</v>
      </c>
    </row>
    <row r="924" spans="1:8" x14ac:dyDescent="0.3">
      <c r="A924" s="81" t="s">
        <v>1821</v>
      </c>
      <c r="B924" s="81" t="s">
        <v>881</v>
      </c>
      <c r="C924" s="81" t="s">
        <v>1669</v>
      </c>
      <c r="D924" s="81" t="s">
        <v>1601</v>
      </c>
      <c r="E924" s="81" t="s">
        <v>16</v>
      </c>
      <c r="F924" s="81" t="s">
        <v>378</v>
      </c>
      <c r="G924" s="81" t="s">
        <v>3368</v>
      </c>
      <c r="H924" s="81" t="s">
        <v>3369</v>
      </c>
    </row>
    <row r="925" spans="1:8" x14ac:dyDescent="0.3">
      <c r="A925" s="81" t="s">
        <v>1822</v>
      </c>
      <c r="B925" s="81" t="s">
        <v>881</v>
      </c>
      <c r="C925" s="81" t="s">
        <v>1669</v>
      </c>
      <c r="D925" s="81" t="s">
        <v>1601</v>
      </c>
      <c r="E925" s="81" t="s">
        <v>16</v>
      </c>
      <c r="F925" s="81" t="s">
        <v>379</v>
      </c>
      <c r="G925" s="81" t="s">
        <v>3370</v>
      </c>
      <c r="H925" s="81" t="s">
        <v>3371</v>
      </c>
    </row>
    <row r="926" spans="1:8" x14ac:dyDescent="0.3">
      <c r="A926" s="81" t="s">
        <v>1823</v>
      </c>
      <c r="B926" s="81" t="s">
        <v>881</v>
      </c>
      <c r="C926" s="81" t="s">
        <v>1669</v>
      </c>
      <c r="D926" s="81" t="s">
        <v>1601</v>
      </c>
      <c r="E926" s="81" t="s">
        <v>16</v>
      </c>
      <c r="F926" s="81" t="s">
        <v>380</v>
      </c>
      <c r="G926" s="81" t="s">
        <v>3372</v>
      </c>
      <c r="H926" s="81" t="s">
        <v>3373</v>
      </c>
    </row>
    <row r="927" spans="1:8" x14ac:dyDescent="0.3">
      <c r="A927" s="81" t="s">
        <v>1824</v>
      </c>
      <c r="B927" s="81" t="s">
        <v>881</v>
      </c>
      <c r="C927" s="81" t="s">
        <v>1669</v>
      </c>
      <c r="D927" s="81" t="s">
        <v>1601</v>
      </c>
      <c r="E927" s="81" t="s">
        <v>16</v>
      </c>
      <c r="F927" s="81" t="s">
        <v>381</v>
      </c>
      <c r="G927" s="81" t="s">
        <v>3374</v>
      </c>
      <c r="H927" s="81" t="s">
        <v>3375</v>
      </c>
    </row>
    <row r="928" spans="1:8" x14ac:dyDescent="0.3">
      <c r="A928" s="81" t="s">
        <v>1825</v>
      </c>
      <c r="B928" s="81" t="s">
        <v>881</v>
      </c>
      <c r="C928" s="81" t="s">
        <v>1669</v>
      </c>
      <c r="D928" s="81" t="s">
        <v>1601</v>
      </c>
      <c r="E928" s="81" t="s">
        <v>16</v>
      </c>
      <c r="F928" s="81" t="s">
        <v>382</v>
      </c>
      <c r="G928" s="81" t="s">
        <v>3376</v>
      </c>
      <c r="H928" s="81" t="s">
        <v>3377</v>
      </c>
    </row>
    <row r="929" spans="1:8" x14ac:dyDescent="0.3">
      <c r="A929" s="81" t="s">
        <v>1826</v>
      </c>
      <c r="B929" s="81" t="s">
        <v>881</v>
      </c>
      <c r="C929" s="81" t="s">
        <v>1669</v>
      </c>
      <c r="D929" s="81" t="s">
        <v>1601</v>
      </c>
      <c r="E929" s="81" t="s">
        <v>16</v>
      </c>
      <c r="F929" s="81" t="s">
        <v>383</v>
      </c>
      <c r="G929" s="81" t="s">
        <v>3378</v>
      </c>
      <c r="H929" s="81" t="s">
        <v>3379</v>
      </c>
    </row>
    <row r="930" spans="1:8" x14ac:dyDescent="0.3">
      <c r="A930" s="81" t="s">
        <v>1827</v>
      </c>
      <c r="B930" s="81" t="s">
        <v>881</v>
      </c>
      <c r="C930" s="81" t="s">
        <v>1670</v>
      </c>
      <c r="D930" s="81" t="s">
        <v>1601</v>
      </c>
      <c r="E930" s="81" t="s">
        <v>20</v>
      </c>
      <c r="F930" s="81" t="s">
        <v>15</v>
      </c>
      <c r="G930" s="81" t="s">
        <v>3380</v>
      </c>
      <c r="H930" s="81" t="s">
        <v>1674</v>
      </c>
    </row>
    <row r="931" spans="1:8" x14ac:dyDescent="0.3">
      <c r="A931" s="81" t="s">
        <v>1828</v>
      </c>
      <c r="B931" s="81" t="s">
        <v>881</v>
      </c>
      <c r="C931" s="81" t="s">
        <v>1670</v>
      </c>
      <c r="D931" s="81" t="s">
        <v>1601</v>
      </c>
      <c r="E931" s="81" t="s">
        <v>16</v>
      </c>
      <c r="F931" s="81" t="s">
        <v>368</v>
      </c>
      <c r="G931" s="81" t="s">
        <v>3381</v>
      </c>
      <c r="H931" s="81" t="s">
        <v>3382</v>
      </c>
    </row>
    <row r="932" spans="1:8" x14ac:dyDescent="0.3">
      <c r="A932" s="81" t="s">
        <v>1829</v>
      </c>
      <c r="B932" s="81" t="s">
        <v>881</v>
      </c>
      <c r="C932" s="81" t="s">
        <v>1670</v>
      </c>
      <c r="D932" s="81" t="s">
        <v>1601</v>
      </c>
      <c r="E932" s="81" t="s">
        <v>16</v>
      </c>
      <c r="F932" s="81" t="s">
        <v>369</v>
      </c>
      <c r="G932" s="81" t="s">
        <v>3383</v>
      </c>
      <c r="H932" s="81" t="s">
        <v>3384</v>
      </c>
    </row>
    <row r="933" spans="1:8" x14ac:dyDescent="0.3">
      <c r="A933" s="81" t="s">
        <v>1830</v>
      </c>
      <c r="B933" s="81" t="s">
        <v>881</v>
      </c>
      <c r="C933" s="81" t="s">
        <v>1670</v>
      </c>
      <c r="D933" s="81" t="s">
        <v>1601</v>
      </c>
      <c r="E933" s="81" t="s">
        <v>16</v>
      </c>
      <c r="F933" s="81" t="s">
        <v>370</v>
      </c>
      <c r="G933" s="81" t="s">
        <v>3385</v>
      </c>
      <c r="H933" s="81" t="s">
        <v>3386</v>
      </c>
    </row>
    <row r="934" spans="1:8" x14ac:dyDescent="0.3">
      <c r="A934" s="81" t="s">
        <v>1831</v>
      </c>
      <c r="B934" s="81" t="s">
        <v>881</v>
      </c>
      <c r="C934" s="81" t="s">
        <v>1670</v>
      </c>
      <c r="D934" s="81" t="s">
        <v>1601</v>
      </c>
      <c r="E934" s="81" t="s">
        <v>16</v>
      </c>
      <c r="F934" s="81" t="s">
        <v>371</v>
      </c>
      <c r="G934" s="81" t="s">
        <v>3387</v>
      </c>
      <c r="H934" s="81" t="s">
        <v>3388</v>
      </c>
    </row>
    <row r="935" spans="1:8" x14ac:dyDescent="0.3">
      <c r="A935" s="81" t="s">
        <v>1832</v>
      </c>
      <c r="B935" s="81" t="s">
        <v>881</v>
      </c>
      <c r="C935" s="81" t="s">
        <v>1670</v>
      </c>
      <c r="D935" s="81" t="s">
        <v>1601</v>
      </c>
      <c r="E935" s="81" t="s">
        <v>16</v>
      </c>
      <c r="F935" s="81" t="s">
        <v>372</v>
      </c>
      <c r="G935" s="81" t="s">
        <v>3389</v>
      </c>
      <c r="H935" s="81" t="s">
        <v>3390</v>
      </c>
    </row>
    <row r="936" spans="1:8" x14ac:dyDescent="0.3">
      <c r="A936" s="81" t="s">
        <v>1833</v>
      </c>
      <c r="B936" s="81" t="s">
        <v>881</v>
      </c>
      <c r="C936" s="81" t="s">
        <v>1670</v>
      </c>
      <c r="D936" s="81" t="s">
        <v>1601</v>
      </c>
      <c r="E936" s="81" t="s">
        <v>16</v>
      </c>
      <c r="F936" s="81" t="s">
        <v>373</v>
      </c>
      <c r="G936" s="81" t="s">
        <v>3391</v>
      </c>
      <c r="H936" s="81" t="s">
        <v>3392</v>
      </c>
    </row>
    <row r="937" spans="1:8" x14ac:dyDescent="0.3">
      <c r="A937" s="81" t="s">
        <v>1834</v>
      </c>
      <c r="B937" s="81" t="s">
        <v>881</v>
      </c>
      <c r="C937" s="81" t="s">
        <v>1670</v>
      </c>
      <c r="D937" s="81" t="s">
        <v>1601</v>
      </c>
      <c r="E937" s="81" t="s">
        <v>16</v>
      </c>
      <c r="F937" s="81" t="s">
        <v>374</v>
      </c>
      <c r="G937" s="81" t="s">
        <v>3393</v>
      </c>
      <c r="H937" s="81" t="s">
        <v>3394</v>
      </c>
    </row>
    <row r="938" spans="1:8" x14ac:dyDescent="0.3">
      <c r="A938" s="81" t="s">
        <v>1835</v>
      </c>
      <c r="B938" s="81" t="s">
        <v>881</v>
      </c>
      <c r="C938" s="81" t="s">
        <v>1670</v>
      </c>
      <c r="D938" s="81" t="s">
        <v>1601</v>
      </c>
      <c r="E938" s="81" t="s">
        <v>16</v>
      </c>
      <c r="F938" s="81" t="s">
        <v>375</v>
      </c>
      <c r="G938" s="81" t="s">
        <v>3395</v>
      </c>
      <c r="H938" s="81" t="s">
        <v>3396</v>
      </c>
    </row>
    <row r="939" spans="1:8" x14ac:dyDescent="0.3">
      <c r="A939" s="81" t="s">
        <v>1836</v>
      </c>
      <c r="B939" s="81" t="s">
        <v>881</v>
      </c>
      <c r="C939" s="81" t="s">
        <v>1670</v>
      </c>
      <c r="D939" s="81" t="s">
        <v>1601</v>
      </c>
      <c r="E939" s="81" t="s">
        <v>16</v>
      </c>
      <c r="F939" s="81" t="s">
        <v>376</v>
      </c>
      <c r="G939" s="81" t="s">
        <v>3397</v>
      </c>
      <c r="H939" s="81" t="s">
        <v>3398</v>
      </c>
    </row>
    <row r="940" spans="1:8" x14ac:dyDescent="0.3">
      <c r="A940" s="81" t="s">
        <v>1837</v>
      </c>
      <c r="B940" s="81" t="s">
        <v>881</v>
      </c>
      <c r="C940" s="81" t="s">
        <v>1670</v>
      </c>
      <c r="D940" s="81" t="s">
        <v>1601</v>
      </c>
      <c r="E940" s="81" t="s">
        <v>16</v>
      </c>
      <c r="F940" s="81" t="s">
        <v>377</v>
      </c>
      <c r="G940" s="81" t="s">
        <v>3399</v>
      </c>
      <c r="H940" s="81" t="s">
        <v>3400</v>
      </c>
    </row>
    <row r="941" spans="1:8" x14ac:dyDescent="0.3">
      <c r="A941" s="81" t="s">
        <v>1838</v>
      </c>
      <c r="B941" s="81" t="s">
        <v>881</v>
      </c>
      <c r="C941" s="81" t="s">
        <v>1670</v>
      </c>
      <c r="D941" s="81" t="s">
        <v>1601</v>
      </c>
      <c r="E941" s="81" t="s">
        <v>16</v>
      </c>
      <c r="F941" s="81" t="s">
        <v>378</v>
      </c>
      <c r="G941" s="81" t="s">
        <v>3401</v>
      </c>
      <c r="H941" s="81" t="s">
        <v>3402</v>
      </c>
    </row>
    <row r="942" spans="1:8" x14ac:dyDescent="0.3">
      <c r="A942" s="81" t="s">
        <v>1839</v>
      </c>
      <c r="B942" s="81" t="s">
        <v>881</v>
      </c>
      <c r="C942" s="81" t="s">
        <v>1670</v>
      </c>
      <c r="D942" s="81" t="s">
        <v>1601</v>
      </c>
      <c r="E942" s="81" t="s">
        <v>16</v>
      </c>
      <c r="F942" s="81" t="s">
        <v>379</v>
      </c>
      <c r="G942" s="81" t="s">
        <v>3403</v>
      </c>
      <c r="H942" s="81" t="s">
        <v>3404</v>
      </c>
    </row>
    <row r="943" spans="1:8" x14ac:dyDescent="0.3">
      <c r="A943" s="81" t="s">
        <v>1840</v>
      </c>
      <c r="B943" s="81" t="s">
        <v>881</v>
      </c>
      <c r="C943" s="81" t="s">
        <v>1670</v>
      </c>
      <c r="D943" s="81" t="s">
        <v>1601</v>
      </c>
      <c r="E943" s="81" t="s">
        <v>16</v>
      </c>
      <c r="F943" s="81" t="s">
        <v>380</v>
      </c>
      <c r="G943" s="81" t="s">
        <v>3405</v>
      </c>
      <c r="H943" s="81" t="s">
        <v>3406</v>
      </c>
    </row>
    <row r="944" spans="1:8" x14ac:dyDescent="0.3">
      <c r="A944" s="81" t="s">
        <v>1841</v>
      </c>
      <c r="B944" s="81" t="s">
        <v>881</v>
      </c>
      <c r="C944" s="81" t="s">
        <v>1670</v>
      </c>
      <c r="D944" s="81" t="s">
        <v>1601</v>
      </c>
      <c r="E944" s="81" t="s">
        <v>16</v>
      </c>
      <c r="F944" s="81" t="s">
        <v>381</v>
      </c>
      <c r="G944" s="81" t="s">
        <v>3407</v>
      </c>
      <c r="H944" s="81" t="s">
        <v>3408</v>
      </c>
    </row>
    <row r="945" spans="1:8" x14ac:dyDescent="0.3">
      <c r="A945" s="81" t="s">
        <v>1842</v>
      </c>
      <c r="B945" s="81" t="s">
        <v>881</v>
      </c>
      <c r="C945" s="81" t="s">
        <v>1670</v>
      </c>
      <c r="D945" s="81" t="s">
        <v>1601</v>
      </c>
      <c r="E945" s="81" t="s">
        <v>16</v>
      </c>
      <c r="F945" s="81" t="s">
        <v>382</v>
      </c>
      <c r="G945" s="81" t="s">
        <v>3409</v>
      </c>
      <c r="H945" s="81" t="s">
        <v>3410</v>
      </c>
    </row>
    <row r="946" spans="1:8" x14ac:dyDescent="0.3">
      <c r="A946" s="81" t="s">
        <v>1843</v>
      </c>
      <c r="B946" s="81" t="s">
        <v>881</v>
      </c>
      <c r="C946" s="81" t="s">
        <v>1670</v>
      </c>
      <c r="D946" s="81" t="s">
        <v>1601</v>
      </c>
      <c r="E946" s="81" t="s">
        <v>16</v>
      </c>
      <c r="F946" s="81" t="s">
        <v>383</v>
      </c>
      <c r="G946" s="81" t="s">
        <v>3411</v>
      </c>
      <c r="H946" s="81" t="s">
        <v>3412</v>
      </c>
    </row>
    <row r="947" spans="1:8" x14ac:dyDescent="0.3">
      <c r="A947" s="81" t="s">
        <v>1844</v>
      </c>
      <c r="B947" s="81" t="s">
        <v>574</v>
      </c>
      <c r="C947" s="81" t="s">
        <v>1021</v>
      </c>
      <c r="D947" s="81" t="s">
        <v>3784</v>
      </c>
      <c r="E947" s="81" t="s">
        <v>20</v>
      </c>
      <c r="F947" s="81" t="s">
        <v>15</v>
      </c>
      <c r="G947" s="81" t="s">
        <v>3413</v>
      </c>
      <c r="H947" s="81" t="s">
        <v>1676</v>
      </c>
    </row>
    <row r="948" spans="1:8" x14ac:dyDescent="0.3">
      <c r="A948" s="81" t="s">
        <v>1845</v>
      </c>
      <c r="B948" s="81" t="s">
        <v>574</v>
      </c>
      <c r="C948" s="81" t="s">
        <v>1021</v>
      </c>
      <c r="D948" s="81" t="s">
        <v>3784</v>
      </c>
      <c r="E948" s="81" t="s">
        <v>16</v>
      </c>
      <c r="F948" s="81" t="s">
        <v>368</v>
      </c>
      <c r="G948" s="81" t="s">
        <v>3414</v>
      </c>
      <c r="H948" s="81" t="s">
        <v>3415</v>
      </c>
    </row>
    <row r="949" spans="1:8" x14ac:dyDescent="0.3">
      <c r="A949" s="81" t="s">
        <v>1846</v>
      </c>
      <c r="B949" s="81" t="s">
        <v>574</v>
      </c>
      <c r="C949" s="81" t="s">
        <v>1021</v>
      </c>
      <c r="D949" s="81" t="s">
        <v>3784</v>
      </c>
      <c r="E949" s="81" t="s">
        <v>16</v>
      </c>
      <c r="F949" s="81" t="s">
        <v>369</v>
      </c>
      <c r="G949" s="81" t="s">
        <v>3416</v>
      </c>
      <c r="H949" s="81" t="s">
        <v>3417</v>
      </c>
    </row>
    <row r="950" spans="1:8" x14ac:dyDescent="0.3">
      <c r="A950" s="81" t="s">
        <v>1847</v>
      </c>
      <c r="B950" s="81" t="s">
        <v>574</v>
      </c>
      <c r="C950" s="81" t="s">
        <v>1021</v>
      </c>
      <c r="D950" s="81" t="s">
        <v>3784</v>
      </c>
      <c r="E950" s="81" t="s">
        <v>16</v>
      </c>
      <c r="F950" s="81" t="s">
        <v>370</v>
      </c>
      <c r="G950" s="81" t="s">
        <v>3418</v>
      </c>
      <c r="H950" s="81" t="s">
        <v>3419</v>
      </c>
    </row>
    <row r="951" spans="1:8" x14ac:dyDescent="0.3">
      <c r="A951" s="81" t="s">
        <v>1848</v>
      </c>
      <c r="B951" s="81" t="s">
        <v>574</v>
      </c>
      <c r="C951" s="81" t="s">
        <v>1021</v>
      </c>
      <c r="D951" s="81" t="s">
        <v>3784</v>
      </c>
      <c r="E951" s="81" t="s">
        <v>16</v>
      </c>
      <c r="F951" s="81" t="s">
        <v>371</v>
      </c>
      <c r="G951" s="81" t="s">
        <v>3420</v>
      </c>
      <c r="H951" s="81" t="s">
        <v>3421</v>
      </c>
    </row>
    <row r="952" spans="1:8" x14ac:dyDescent="0.3">
      <c r="A952" s="81" t="s">
        <v>1849</v>
      </c>
      <c r="B952" s="81" t="s">
        <v>574</v>
      </c>
      <c r="C952" s="81" t="s">
        <v>1021</v>
      </c>
      <c r="D952" s="81" t="s">
        <v>3784</v>
      </c>
      <c r="E952" s="81" t="s">
        <v>16</v>
      </c>
      <c r="F952" s="81" t="s">
        <v>372</v>
      </c>
      <c r="G952" s="81" t="s">
        <v>3422</v>
      </c>
      <c r="H952" s="81" t="s">
        <v>3423</v>
      </c>
    </row>
    <row r="953" spans="1:8" x14ac:dyDescent="0.3">
      <c r="A953" s="81" t="s">
        <v>1850</v>
      </c>
      <c r="B953" s="81" t="s">
        <v>574</v>
      </c>
      <c r="C953" s="81" t="s">
        <v>1021</v>
      </c>
      <c r="D953" s="81" t="s">
        <v>3784</v>
      </c>
      <c r="E953" s="81" t="s">
        <v>16</v>
      </c>
      <c r="F953" s="81" t="s">
        <v>373</v>
      </c>
      <c r="G953" s="81" t="s">
        <v>3424</v>
      </c>
      <c r="H953" s="81" t="s">
        <v>3425</v>
      </c>
    </row>
    <row r="954" spans="1:8" x14ac:dyDescent="0.3">
      <c r="A954" s="81" t="s">
        <v>1851</v>
      </c>
      <c r="B954" s="81" t="s">
        <v>574</v>
      </c>
      <c r="C954" s="81" t="s">
        <v>1021</v>
      </c>
      <c r="D954" s="81" t="s">
        <v>3784</v>
      </c>
      <c r="E954" s="81" t="s">
        <v>16</v>
      </c>
      <c r="F954" s="81" t="s">
        <v>374</v>
      </c>
      <c r="G954" s="81" t="s">
        <v>3426</v>
      </c>
      <c r="H954" s="81" t="s">
        <v>3427</v>
      </c>
    </row>
    <row r="955" spans="1:8" x14ac:dyDescent="0.3">
      <c r="A955" s="81" t="s">
        <v>1852</v>
      </c>
      <c r="B955" s="81" t="s">
        <v>574</v>
      </c>
      <c r="C955" s="81" t="s">
        <v>1021</v>
      </c>
      <c r="D955" s="81" t="s">
        <v>3784</v>
      </c>
      <c r="E955" s="81" t="s">
        <v>16</v>
      </c>
      <c r="F955" s="81" t="s">
        <v>375</v>
      </c>
      <c r="G955" s="81" t="s">
        <v>3428</v>
      </c>
      <c r="H955" s="81" t="s">
        <v>3429</v>
      </c>
    </row>
    <row r="956" spans="1:8" x14ac:dyDescent="0.3">
      <c r="A956" s="81" t="s">
        <v>1853</v>
      </c>
      <c r="B956" s="81" t="s">
        <v>574</v>
      </c>
      <c r="C956" s="81" t="s">
        <v>1021</v>
      </c>
      <c r="D956" s="81" t="s">
        <v>3784</v>
      </c>
      <c r="E956" s="81" t="s">
        <v>16</v>
      </c>
      <c r="F956" s="81" t="s">
        <v>376</v>
      </c>
      <c r="G956" s="81" t="s">
        <v>3430</v>
      </c>
      <c r="H956" s="81" t="s">
        <v>3431</v>
      </c>
    </row>
    <row r="957" spans="1:8" x14ac:dyDescent="0.3">
      <c r="A957" s="81" t="s">
        <v>1854</v>
      </c>
      <c r="B957" s="81" t="s">
        <v>574</v>
      </c>
      <c r="C957" s="81" t="s">
        <v>1021</v>
      </c>
      <c r="D957" s="81" t="s">
        <v>3784</v>
      </c>
      <c r="E957" s="81" t="s">
        <v>16</v>
      </c>
      <c r="F957" s="81" t="s">
        <v>377</v>
      </c>
      <c r="G957" s="81" t="s">
        <v>3432</v>
      </c>
      <c r="H957" s="81" t="s">
        <v>3433</v>
      </c>
    </row>
    <row r="958" spans="1:8" x14ac:dyDescent="0.3">
      <c r="A958" s="81" t="s">
        <v>1855</v>
      </c>
      <c r="B958" s="81" t="s">
        <v>574</v>
      </c>
      <c r="C958" s="81" t="s">
        <v>1021</v>
      </c>
      <c r="D958" s="81" t="s">
        <v>3784</v>
      </c>
      <c r="E958" s="81" t="s">
        <v>16</v>
      </c>
      <c r="F958" s="81" t="s">
        <v>378</v>
      </c>
      <c r="G958" s="81" t="s">
        <v>3434</v>
      </c>
      <c r="H958" s="81" t="s">
        <v>3435</v>
      </c>
    </row>
    <row r="959" spans="1:8" x14ac:dyDescent="0.3">
      <c r="A959" s="81" t="s">
        <v>1856</v>
      </c>
      <c r="B959" s="81" t="s">
        <v>574</v>
      </c>
      <c r="C959" s="81" t="s">
        <v>1021</v>
      </c>
      <c r="D959" s="81" t="s">
        <v>3784</v>
      </c>
      <c r="E959" s="81" t="s">
        <v>16</v>
      </c>
      <c r="F959" s="81" t="s">
        <v>379</v>
      </c>
      <c r="G959" s="81" t="s">
        <v>3436</v>
      </c>
      <c r="H959" s="81" t="s">
        <v>3437</v>
      </c>
    </row>
    <row r="960" spans="1:8" x14ac:dyDescent="0.3">
      <c r="A960" s="81" t="s">
        <v>1857</v>
      </c>
      <c r="B960" s="81" t="s">
        <v>574</v>
      </c>
      <c r="C960" s="81" t="s">
        <v>1021</v>
      </c>
      <c r="D960" s="81" t="s">
        <v>3784</v>
      </c>
      <c r="E960" s="81" t="s">
        <v>16</v>
      </c>
      <c r="F960" s="81" t="s">
        <v>380</v>
      </c>
      <c r="G960" s="81" t="s">
        <v>3438</v>
      </c>
      <c r="H960" s="81" t="s">
        <v>3439</v>
      </c>
    </row>
    <row r="961" spans="1:8" x14ac:dyDescent="0.3">
      <c r="A961" s="81" t="s">
        <v>1858</v>
      </c>
      <c r="B961" s="81" t="s">
        <v>574</v>
      </c>
      <c r="C961" s="81" t="s">
        <v>1021</v>
      </c>
      <c r="D961" s="81" t="s">
        <v>3784</v>
      </c>
      <c r="E961" s="81" t="s">
        <v>16</v>
      </c>
      <c r="F961" s="81" t="s">
        <v>381</v>
      </c>
      <c r="G961" s="81" t="s">
        <v>3440</v>
      </c>
      <c r="H961" s="81" t="s">
        <v>3441</v>
      </c>
    </row>
    <row r="962" spans="1:8" x14ac:dyDescent="0.3">
      <c r="A962" s="81" t="s">
        <v>1859</v>
      </c>
      <c r="B962" s="81" t="s">
        <v>574</v>
      </c>
      <c r="C962" s="81" t="s">
        <v>1021</v>
      </c>
      <c r="D962" s="81" t="s">
        <v>3784</v>
      </c>
      <c r="E962" s="81" t="s">
        <v>16</v>
      </c>
      <c r="F962" s="81" t="s">
        <v>382</v>
      </c>
      <c r="G962" s="81" t="s">
        <v>3442</v>
      </c>
      <c r="H962" s="81" t="s">
        <v>3443</v>
      </c>
    </row>
    <row r="963" spans="1:8" x14ac:dyDescent="0.3">
      <c r="A963" s="81" t="s">
        <v>1860</v>
      </c>
      <c r="B963" s="81" t="s">
        <v>574</v>
      </c>
      <c r="C963" s="81" t="s">
        <v>1021</v>
      </c>
      <c r="D963" s="81" t="s">
        <v>3784</v>
      </c>
      <c r="E963" s="81" t="s">
        <v>16</v>
      </c>
      <c r="F963" s="81" t="s">
        <v>383</v>
      </c>
      <c r="G963" s="81" t="s">
        <v>3444</v>
      </c>
      <c r="H963" s="81" t="s">
        <v>3445</v>
      </c>
    </row>
    <row r="964" spans="1:8" x14ac:dyDescent="0.3">
      <c r="A964" s="81" t="s">
        <v>1861</v>
      </c>
      <c r="B964" s="81" t="s">
        <v>574</v>
      </c>
      <c r="C964" s="81" t="s">
        <v>1021</v>
      </c>
      <c r="D964" s="81" t="s">
        <v>3784</v>
      </c>
      <c r="E964" s="81" t="s">
        <v>20</v>
      </c>
      <c r="F964" s="81" t="s">
        <v>15</v>
      </c>
      <c r="G964" s="81" t="s">
        <v>3446</v>
      </c>
      <c r="H964" s="81" t="s">
        <v>1681</v>
      </c>
    </row>
    <row r="965" spans="1:8" x14ac:dyDescent="0.3">
      <c r="A965" s="81" t="s">
        <v>1862</v>
      </c>
      <c r="B965" s="81" t="s">
        <v>574</v>
      </c>
      <c r="C965" s="81" t="s">
        <v>1021</v>
      </c>
      <c r="D965" s="81" t="s">
        <v>3784</v>
      </c>
      <c r="E965" s="81" t="s">
        <v>16</v>
      </c>
      <c r="F965" s="81" t="s">
        <v>368</v>
      </c>
      <c r="G965" s="81" t="s">
        <v>3447</v>
      </c>
      <c r="H965" s="81" t="s">
        <v>3448</v>
      </c>
    </row>
    <row r="966" spans="1:8" x14ac:dyDescent="0.3">
      <c r="A966" s="81" t="s">
        <v>1863</v>
      </c>
      <c r="B966" s="81" t="s">
        <v>574</v>
      </c>
      <c r="C966" s="81" t="s">
        <v>1021</v>
      </c>
      <c r="D966" s="81" t="s">
        <v>3784</v>
      </c>
      <c r="E966" s="81" t="s">
        <v>16</v>
      </c>
      <c r="F966" s="81" t="s">
        <v>369</v>
      </c>
      <c r="G966" s="81" t="s">
        <v>3449</v>
      </c>
      <c r="H966" s="81" t="s">
        <v>3450</v>
      </c>
    </row>
    <row r="967" spans="1:8" x14ac:dyDescent="0.3">
      <c r="A967" s="81" t="s">
        <v>1864</v>
      </c>
      <c r="B967" s="81" t="s">
        <v>574</v>
      </c>
      <c r="C967" s="81" t="s">
        <v>1021</v>
      </c>
      <c r="D967" s="81" t="s">
        <v>3784</v>
      </c>
      <c r="E967" s="81" t="s">
        <v>16</v>
      </c>
      <c r="F967" s="81" t="s">
        <v>370</v>
      </c>
      <c r="G967" s="81" t="s">
        <v>3451</v>
      </c>
      <c r="H967" s="81" t="s">
        <v>3452</v>
      </c>
    </row>
    <row r="968" spans="1:8" x14ac:dyDescent="0.3">
      <c r="A968" s="81" t="s">
        <v>1865</v>
      </c>
      <c r="B968" s="81" t="s">
        <v>574</v>
      </c>
      <c r="C968" s="81" t="s">
        <v>1021</v>
      </c>
      <c r="D968" s="81" t="s">
        <v>3784</v>
      </c>
      <c r="E968" s="81" t="s">
        <v>16</v>
      </c>
      <c r="F968" s="81" t="s">
        <v>371</v>
      </c>
      <c r="G968" s="81" t="s">
        <v>3453</v>
      </c>
      <c r="H968" s="81" t="s">
        <v>3454</v>
      </c>
    </row>
    <row r="969" spans="1:8" x14ac:dyDescent="0.3">
      <c r="A969" s="81" t="s">
        <v>1866</v>
      </c>
      <c r="B969" s="81" t="s">
        <v>574</v>
      </c>
      <c r="C969" s="81" t="s">
        <v>1021</v>
      </c>
      <c r="D969" s="81" t="s">
        <v>3784</v>
      </c>
      <c r="E969" s="81" t="s">
        <v>16</v>
      </c>
      <c r="F969" s="81" t="s">
        <v>372</v>
      </c>
      <c r="G969" s="81" t="s">
        <v>3455</v>
      </c>
      <c r="H969" s="81" t="s">
        <v>3456</v>
      </c>
    </row>
    <row r="970" spans="1:8" x14ac:dyDescent="0.3">
      <c r="A970" s="81" t="s">
        <v>1867</v>
      </c>
      <c r="B970" s="81" t="s">
        <v>574</v>
      </c>
      <c r="C970" s="81" t="s">
        <v>1021</v>
      </c>
      <c r="D970" s="81" t="s">
        <v>3784</v>
      </c>
      <c r="E970" s="81" t="s">
        <v>16</v>
      </c>
      <c r="F970" s="81" t="s">
        <v>373</v>
      </c>
      <c r="G970" s="81" t="s">
        <v>3457</v>
      </c>
      <c r="H970" s="81" t="s">
        <v>3458</v>
      </c>
    </row>
    <row r="971" spans="1:8" x14ac:dyDescent="0.3">
      <c r="A971" s="81" t="s">
        <v>1868</v>
      </c>
      <c r="B971" s="81" t="s">
        <v>574</v>
      </c>
      <c r="C971" s="81" t="s">
        <v>1021</v>
      </c>
      <c r="D971" s="81" t="s">
        <v>3784</v>
      </c>
      <c r="E971" s="81" t="s">
        <v>16</v>
      </c>
      <c r="F971" s="81" t="s">
        <v>374</v>
      </c>
      <c r="G971" s="81" t="s">
        <v>3459</v>
      </c>
      <c r="H971" s="81" t="s">
        <v>3460</v>
      </c>
    </row>
    <row r="972" spans="1:8" x14ac:dyDescent="0.3">
      <c r="A972" s="81" t="s">
        <v>1869</v>
      </c>
      <c r="B972" s="81" t="s">
        <v>574</v>
      </c>
      <c r="C972" s="81" t="s">
        <v>1021</v>
      </c>
      <c r="D972" s="81" t="s">
        <v>3784</v>
      </c>
      <c r="E972" s="81" t="s">
        <v>16</v>
      </c>
      <c r="F972" s="81" t="s">
        <v>375</v>
      </c>
      <c r="G972" s="81" t="s">
        <v>3461</v>
      </c>
      <c r="H972" s="81" t="s">
        <v>3462</v>
      </c>
    </row>
    <row r="973" spans="1:8" x14ac:dyDescent="0.3">
      <c r="A973" s="81" t="s">
        <v>1870</v>
      </c>
      <c r="B973" s="81" t="s">
        <v>574</v>
      </c>
      <c r="C973" s="81" t="s">
        <v>1021</v>
      </c>
      <c r="D973" s="81" t="s">
        <v>3784</v>
      </c>
      <c r="E973" s="81" t="s">
        <v>16</v>
      </c>
      <c r="F973" s="81" t="s">
        <v>376</v>
      </c>
      <c r="G973" s="81" t="s">
        <v>3463</v>
      </c>
      <c r="H973" s="81" t="s">
        <v>3464</v>
      </c>
    </row>
    <row r="974" spans="1:8" x14ac:dyDescent="0.3">
      <c r="A974" s="81" t="s">
        <v>1871</v>
      </c>
      <c r="B974" s="81" t="s">
        <v>574</v>
      </c>
      <c r="C974" s="81" t="s">
        <v>1021</v>
      </c>
      <c r="D974" s="81" t="s">
        <v>3784</v>
      </c>
      <c r="E974" s="81" t="s">
        <v>16</v>
      </c>
      <c r="F974" s="81" t="s">
        <v>377</v>
      </c>
      <c r="G974" s="81" t="s">
        <v>3465</v>
      </c>
      <c r="H974" s="81" t="s">
        <v>3466</v>
      </c>
    </row>
    <row r="975" spans="1:8" x14ac:dyDescent="0.3">
      <c r="A975" s="81" t="s">
        <v>1872</v>
      </c>
      <c r="B975" s="81" t="s">
        <v>574</v>
      </c>
      <c r="C975" s="81" t="s">
        <v>1021</v>
      </c>
      <c r="D975" s="81" t="s">
        <v>3784</v>
      </c>
      <c r="E975" s="81" t="s">
        <v>16</v>
      </c>
      <c r="F975" s="81" t="s">
        <v>378</v>
      </c>
      <c r="G975" s="81" t="s">
        <v>3467</v>
      </c>
      <c r="H975" s="81" t="s">
        <v>3468</v>
      </c>
    </row>
    <row r="976" spans="1:8" x14ac:dyDescent="0.3">
      <c r="A976" s="81" t="s">
        <v>1873</v>
      </c>
      <c r="B976" s="81" t="s">
        <v>574</v>
      </c>
      <c r="C976" s="81" t="s">
        <v>1021</v>
      </c>
      <c r="D976" s="81" t="s">
        <v>3784</v>
      </c>
      <c r="E976" s="81" t="s">
        <v>16</v>
      </c>
      <c r="F976" s="81" t="s">
        <v>379</v>
      </c>
      <c r="G976" s="81" t="s">
        <v>3469</v>
      </c>
      <c r="H976" s="81" t="s">
        <v>3470</v>
      </c>
    </row>
    <row r="977" spans="1:8" x14ac:dyDescent="0.3">
      <c r="A977" s="81" t="s">
        <v>1874</v>
      </c>
      <c r="B977" s="81" t="s">
        <v>574</v>
      </c>
      <c r="C977" s="81" t="s">
        <v>1021</v>
      </c>
      <c r="D977" s="81" t="s">
        <v>3784</v>
      </c>
      <c r="E977" s="81" t="s">
        <v>16</v>
      </c>
      <c r="F977" s="81" t="s">
        <v>380</v>
      </c>
      <c r="G977" s="81" t="s">
        <v>3471</v>
      </c>
      <c r="H977" s="81" t="s">
        <v>3472</v>
      </c>
    </row>
    <row r="978" spans="1:8" x14ac:dyDescent="0.3">
      <c r="A978" s="81" t="s">
        <v>1875</v>
      </c>
      <c r="B978" s="81" t="s">
        <v>574</v>
      </c>
      <c r="C978" s="81" t="s">
        <v>1021</v>
      </c>
      <c r="D978" s="81" t="s">
        <v>3784</v>
      </c>
      <c r="E978" s="81" t="s">
        <v>16</v>
      </c>
      <c r="F978" s="81" t="s">
        <v>381</v>
      </c>
      <c r="G978" s="81" t="s">
        <v>3473</v>
      </c>
      <c r="H978" s="81" t="s">
        <v>3474</v>
      </c>
    </row>
    <row r="979" spans="1:8" x14ac:dyDescent="0.3">
      <c r="A979" s="81" t="s">
        <v>1876</v>
      </c>
      <c r="B979" s="81" t="s">
        <v>574</v>
      </c>
      <c r="C979" s="81" t="s">
        <v>1021</v>
      </c>
      <c r="D979" s="81" t="s">
        <v>3784</v>
      </c>
      <c r="E979" s="81" t="s">
        <v>16</v>
      </c>
      <c r="F979" s="81" t="s">
        <v>382</v>
      </c>
      <c r="G979" s="81" t="s">
        <v>3475</v>
      </c>
      <c r="H979" s="81" t="s">
        <v>3476</v>
      </c>
    </row>
    <row r="980" spans="1:8" x14ac:dyDescent="0.3">
      <c r="A980" s="81" t="s">
        <v>1877</v>
      </c>
      <c r="B980" s="81" t="s">
        <v>574</v>
      </c>
      <c r="C980" s="81" t="s">
        <v>1021</v>
      </c>
      <c r="D980" s="81" t="s">
        <v>3784</v>
      </c>
      <c r="E980" s="81" t="s">
        <v>16</v>
      </c>
      <c r="F980" s="81" t="s">
        <v>383</v>
      </c>
      <c r="G980" s="81" t="s">
        <v>3477</v>
      </c>
      <c r="H980" s="81" t="s">
        <v>3478</v>
      </c>
    </row>
    <row r="981" spans="1:8" x14ac:dyDescent="0.3">
      <c r="A981" s="81" t="s">
        <v>1878</v>
      </c>
      <c r="B981" s="81" t="s">
        <v>574</v>
      </c>
      <c r="C981" s="81" t="s">
        <v>1021</v>
      </c>
      <c r="D981" s="81" t="s">
        <v>3784</v>
      </c>
      <c r="E981" s="81" t="s">
        <v>20</v>
      </c>
      <c r="F981" s="81" t="s">
        <v>15</v>
      </c>
      <c r="G981" s="81" t="s">
        <v>3479</v>
      </c>
      <c r="H981" s="81" t="s">
        <v>1683</v>
      </c>
    </row>
    <row r="982" spans="1:8" x14ac:dyDescent="0.3">
      <c r="A982" s="81" t="s">
        <v>1879</v>
      </c>
      <c r="B982" s="81" t="s">
        <v>574</v>
      </c>
      <c r="C982" s="81" t="s">
        <v>1021</v>
      </c>
      <c r="D982" s="81" t="s">
        <v>3784</v>
      </c>
      <c r="E982" s="81" t="s">
        <v>16</v>
      </c>
      <c r="F982" s="81" t="s">
        <v>368</v>
      </c>
      <c r="G982" s="81" t="s">
        <v>3480</v>
      </c>
      <c r="H982" s="81" t="s">
        <v>3481</v>
      </c>
    </row>
    <row r="983" spans="1:8" x14ac:dyDescent="0.3">
      <c r="A983" s="81" t="s">
        <v>1880</v>
      </c>
      <c r="B983" s="81" t="s">
        <v>574</v>
      </c>
      <c r="C983" s="81" t="s">
        <v>1021</v>
      </c>
      <c r="D983" s="81" t="s">
        <v>3784</v>
      </c>
      <c r="E983" s="81" t="s">
        <v>16</v>
      </c>
      <c r="F983" s="81" t="s">
        <v>369</v>
      </c>
      <c r="G983" s="81" t="s">
        <v>3482</v>
      </c>
      <c r="H983" s="81" t="s">
        <v>3483</v>
      </c>
    </row>
    <row r="984" spans="1:8" x14ac:dyDescent="0.3">
      <c r="A984" s="81" t="s">
        <v>1881</v>
      </c>
      <c r="B984" s="81" t="s">
        <v>574</v>
      </c>
      <c r="C984" s="81" t="s">
        <v>1021</v>
      </c>
      <c r="D984" s="81" t="s">
        <v>3784</v>
      </c>
      <c r="E984" s="81" t="s">
        <v>16</v>
      </c>
      <c r="F984" s="81" t="s">
        <v>370</v>
      </c>
      <c r="G984" s="81" t="s">
        <v>3484</v>
      </c>
      <c r="H984" s="81" t="s">
        <v>3485</v>
      </c>
    </row>
    <row r="985" spans="1:8" x14ac:dyDescent="0.3">
      <c r="A985" s="81" t="s">
        <v>1882</v>
      </c>
      <c r="B985" s="81" t="s">
        <v>574</v>
      </c>
      <c r="C985" s="81" t="s">
        <v>1021</v>
      </c>
      <c r="D985" s="81" t="s">
        <v>3784</v>
      </c>
      <c r="E985" s="81" t="s">
        <v>16</v>
      </c>
      <c r="F985" s="81" t="s">
        <v>371</v>
      </c>
      <c r="G985" s="81" t="s">
        <v>3486</v>
      </c>
      <c r="H985" s="81" t="s">
        <v>3487</v>
      </c>
    </row>
    <row r="986" spans="1:8" x14ac:dyDescent="0.3">
      <c r="A986" s="81" t="s">
        <v>1883</v>
      </c>
      <c r="B986" s="81" t="s">
        <v>574</v>
      </c>
      <c r="C986" s="81" t="s">
        <v>1021</v>
      </c>
      <c r="D986" s="81" t="s">
        <v>3784</v>
      </c>
      <c r="E986" s="81" t="s">
        <v>16</v>
      </c>
      <c r="F986" s="81" t="s">
        <v>372</v>
      </c>
      <c r="G986" s="81" t="s">
        <v>3488</v>
      </c>
      <c r="H986" s="81" t="s">
        <v>3489</v>
      </c>
    </row>
    <row r="987" spans="1:8" x14ac:dyDescent="0.3">
      <c r="A987" s="81" t="s">
        <v>1884</v>
      </c>
      <c r="B987" s="81" t="s">
        <v>574</v>
      </c>
      <c r="C987" s="81" t="s">
        <v>1021</v>
      </c>
      <c r="D987" s="81" t="s">
        <v>3784</v>
      </c>
      <c r="E987" s="81" t="s">
        <v>16</v>
      </c>
      <c r="F987" s="81" t="s">
        <v>373</v>
      </c>
      <c r="G987" s="81" t="s">
        <v>3490</v>
      </c>
      <c r="H987" s="81" t="s">
        <v>3491</v>
      </c>
    </row>
    <row r="988" spans="1:8" x14ac:dyDescent="0.3">
      <c r="A988" s="81" t="s">
        <v>1885</v>
      </c>
      <c r="B988" s="81" t="s">
        <v>574</v>
      </c>
      <c r="C988" s="81" t="s">
        <v>1021</v>
      </c>
      <c r="D988" s="81" t="s">
        <v>3784</v>
      </c>
      <c r="E988" s="81" t="s">
        <v>16</v>
      </c>
      <c r="F988" s="81" t="s">
        <v>374</v>
      </c>
      <c r="G988" s="81" t="s">
        <v>3492</v>
      </c>
      <c r="H988" s="81" t="s">
        <v>3493</v>
      </c>
    </row>
    <row r="989" spans="1:8" x14ac:dyDescent="0.3">
      <c r="A989" s="81" t="s">
        <v>1886</v>
      </c>
      <c r="B989" s="81" t="s">
        <v>574</v>
      </c>
      <c r="C989" s="81" t="s">
        <v>1021</v>
      </c>
      <c r="D989" s="81" t="s">
        <v>3784</v>
      </c>
      <c r="E989" s="81" t="s">
        <v>16</v>
      </c>
      <c r="F989" s="81" t="s">
        <v>375</v>
      </c>
      <c r="G989" s="81" t="s">
        <v>3494</v>
      </c>
      <c r="H989" s="81" t="s">
        <v>3495</v>
      </c>
    </row>
    <row r="990" spans="1:8" x14ac:dyDescent="0.3">
      <c r="A990" s="81" t="s">
        <v>1887</v>
      </c>
      <c r="B990" s="81" t="s">
        <v>574</v>
      </c>
      <c r="C990" s="81" t="s">
        <v>1021</v>
      </c>
      <c r="D990" s="81" t="s">
        <v>3784</v>
      </c>
      <c r="E990" s="81" t="s">
        <v>16</v>
      </c>
      <c r="F990" s="81" t="s">
        <v>376</v>
      </c>
      <c r="G990" s="81" t="s">
        <v>3496</v>
      </c>
      <c r="H990" s="81" t="s">
        <v>3497</v>
      </c>
    </row>
    <row r="991" spans="1:8" x14ac:dyDescent="0.3">
      <c r="A991" s="81" t="s">
        <v>1888</v>
      </c>
      <c r="B991" s="81" t="s">
        <v>574</v>
      </c>
      <c r="C991" s="81" t="s">
        <v>1021</v>
      </c>
      <c r="D991" s="81" t="s">
        <v>3784</v>
      </c>
      <c r="E991" s="81" t="s">
        <v>16</v>
      </c>
      <c r="F991" s="81" t="s">
        <v>377</v>
      </c>
      <c r="G991" s="81" t="s">
        <v>3498</v>
      </c>
      <c r="H991" s="81" t="s">
        <v>3499</v>
      </c>
    </row>
    <row r="992" spans="1:8" x14ac:dyDescent="0.3">
      <c r="A992" s="81" t="s">
        <v>1889</v>
      </c>
      <c r="B992" s="81" t="s">
        <v>574</v>
      </c>
      <c r="C992" s="81" t="s">
        <v>1021</v>
      </c>
      <c r="D992" s="81" t="s">
        <v>3784</v>
      </c>
      <c r="E992" s="81" t="s">
        <v>16</v>
      </c>
      <c r="F992" s="81" t="s">
        <v>378</v>
      </c>
      <c r="G992" s="81" t="s">
        <v>3500</v>
      </c>
      <c r="H992" s="81" t="s">
        <v>3501</v>
      </c>
    </row>
    <row r="993" spans="1:8" x14ac:dyDescent="0.3">
      <c r="A993" s="81" t="s">
        <v>1890</v>
      </c>
      <c r="B993" s="81" t="s">
        <v>574</v>
      </c>
      <c r="C993" s="81" t="s">
        <v>1021</v>
      </c>
      <c r="D993" s="81" t="s">
        <v>3784</v>
      </c>
      <c r="E993" s="81" t="s">
        <v>16</v>
      </c>
      <c r="F993" s="81" t="s">
        <v>379</v>
      </c>
      <c r="G993" s="81" t="s">
        <v>3502</v>
      </c>
      <c r="H993" s="81" t="s">
        <v>3503</v>
      </c>
    </row>
    <row r="994" spans="1:8" x14ac:dyDescent="0.3">
      <c r="A994" s="81" t="s">
        <v>1891</v>
      </c>
      <c r="B994" s="81" t="s">
        <v>574</v>
      </c>
      <c r="C994" s="81" t="s">
        <v>1021</v>
      </c>
      <c r="D994" s="81" t="s">
        <v>3784</v>
      </c>
      <c r="E994" s="81" t="s">
        <v>16</v>
      </c>
      <c r="F994" s="81" t="s">
        <v>380</v>
      </c>
      <c r="G994" s="81" t="s">
        <v>3504</v>
      </c>
      <c r="H994" s="81" t="s">
        <v>3505</v>
      </c>
    </row>
    <row r="995" spans="1:8" x14ac:dyDescent="0.3">
      <c r="A995" s="81" t="s">
        <v>1892</v>
      </c>
      <c r="B995" s="81" t="s">
        <v>574</v>
      </c>
      <c r="C995" s="81" t="s">
        <v>1021</v>
      </c>
      <c r="D995" s="81" t="s">
        <v>3784</v>
      </c>
      <c r="E995" s="81" t="s">
        <v>16</v>
      </c>
      <c r="F995" s="81" t="s">
        <v>381</v>
      </c>
      <c r="G995" s="81" t="s">
        <v>3506</v>
      </c>
      <c r="H995" s="81" t="s">
        <v>3507</v>
      </c>
    </row>
    <row r="996" spans="1:8" x14ac:dyDescent="0.3">
      <c r="A996" s="81" t="s">
        <v>1893</v>
      </c>
      <c r="B996" s="81" t="s">
        <v>574</v>
      </c>
      <c r="C996" s="81" t="s">
        <v>1021</v>
      </c>
      <c r="D996" s="81" t="s">
        <v>3784</v>
      </c>
      <c r="E996" s="81" t="s">
        <v>16</v>
      </c>
      <c r="F996" s="81" t="s">
        <v>382</v>
      </c>
      <c r="G996" s="81" t="s">
        <v>3508</v>
      </c>
      <c r="H996" s="81" t="s">
        <v>3509</v>
      </c>
    </row>
    <row r="997" spans="1:8" x14ac:dyDescent="0.3">
      <c r="A997" s="81" t="s">
        <v>1894</v>
      </c>
      <c r="B997" s="81" t="s">
        <v>574</v>
      </c>
      <c r="C997" s="81" t="s">
        <v>1021</v>
      </c>
      <c r="D997" s="81" t="s">
        <v>3784</v>
      </c>
      <c r="E997" s="81" t="s">
        <v>16</v>
      </c>
      <c r="F997" s="81" t="s">
        <v>383</v>
      </c>
      <c r="G997" s="81" t="s">
        <v>3510</v>
      </c>
      <c r="H997" s="81" t="s">
        <v>3511</v>
      </c>
    </row>
    <row r="998" spans="1:8" x14ac:dyDescent="0.3">
      <c r="A998" s="81" t="s">
        <v>1895</v>
      </c>
      <c r="B998" s="81" t="s">
        <v>621</v>
      </c>
      <c r="C998" s="81" t="s">
        <v>1684</v>
      </c>
      <c r="D998" s="81" t="s">
        <v>3781</v>
      </c>
      <c r="E998" s="81" t="s">
        <v>20</v>
      </c>
      <c r="F998" s="81" t="s">
        <v>15</v>
      </c>
      <c r="G998" s="81" t="s">
        <v>3512</v>
      </c>
      <c r="H998" s="81" t="s">
        <v>1686</v>
      </c>
    </row>
    <row r="999" spans="1:8" x14ac:dyDescent="0.3">
      <c r="A999" s="81" t="s">
        <v>1896</v>
      </c>
      <c r="B999" s="81" t="s">
        <v>621</v>
      </c>
      <c r="C999" s="81" t="s">
        <v>1684</v>
      </c>
      <c r="D999" s="81" t="s">
        <v>3781</v>
      </c>
      <c r="E999" s="81" t="s">
        <v>16</v>
      </c>
      <c r="F999" s="81" t="s">
        <v>368</v>
      </c>
      <c r="G999" s="81" t="s">
        <v>3513</v>
      </c>
      <c r="H999" s="81" t="s">
        <v>3514</v>
      </c>
    </row>
    <row r="1000" spans="1:8" x14ac:dyDescent="0.3">
      <c r="A1000" s="81" t="s">
        <v>1897</v>
      </c>
      <c r="B1000" s="81" t="s">
        <v>621</v>
      </c>
      <c r="C1000" s="81" t="s">
        <v>1684</v>
      </c>
      <c r="D1000" s="81" t="s">
        <v>3781</v>
      </c>
      <c r="E1000" s="81" t="s">
        <v>16</v>
      </c>
      <c r="F1000" s="81" t="s">
        <v>369</v>
      </c>
      <c r="G1000" s="81" t="s">
        <v>3515</v>
      </c>
      <c r="H1000" s="81" t="s">
        <v>3516</v>
      </c>
    </row>
    <row r="1001" spans="1:8" x14ac:dyDescent="0.3">
      <c r="A1001" s="81" t="s">
        <v>1898</v>
      </c>
      <c r="B1001" s="81" t="s">
        <v>621</v>
      </c>
      <c r="C1001" s="81" t="s">
        <v>1684</v>
      </c>
      <c r="D1001" s="81" t="s">
        <v>3781</v>
      </c>
      <c r="E1001" s="81" t="s">
        <v>16</v>
      </c>
      <c r="F1001" s="81" t="s">
        <v>370</v>
      </c>
      <c r="G1001" s="81" t="s">
        <v>3517</v>
      </c>
      <c r="H1001" s="81" t="s">
        <v>3518</v>
      </c>
    </row>
    <row r="1002" spans="1:8" x14ac:dyDescent="0.3">
      <c r="A1002" s="81" t="s">
        <v>1899</v>
      </c>
      <c r="B1002" s="81" t="s">
        <v>621</v>
      </c>
      <c r="C1002" s="81" t="s">
        <v>1684</v>
      </c>
      <c r="D1002" s="81" t="s">
        <v>3781</v>
      </c>
      <c r="E1002" s="81" t="s">
        <v>16</v>
      </c>
      <c r="F1002" s="81" t="s">
        <v>371</v>
      </c>
      <c r="G1002" s="81" t="s">
        <v>3519</v>
      </c>
      <c r="H1002" s="81" t="s">
        <v>3520</v>
      </c>
    </row>
    <row r="1003" spans="1:8" x14ac:dyDescent="0.3">
      <c r="A1003" s="81" t="s">
        <v>1900</v>
      </c>
      <c r="B1003" s="81" t="s">
        <v>621</v>
      </c>
      <c r="C1003" s="81" t="s">
        <v>1684</v>
      </c>
      <c r="D1003" s="81" t="s">
        <v>3781</v>
      </c>
      <c r="E1003" s="81" t="s">
        <v>16</v>
      </c>
      <c r="F1003" s="81" t="s">
        <v>372</v>
      </c>
      <c r="G1003" s="81" t="s">
        <v>3521</v>
      </c>
      <c r="H1003" s="81" t="s">
        <v>3522</v>
      </c>
    </row>
    <row r="1004" spans="1:8" x14ac:dyDescent="0.3">
      <c r="A1004" s="81" t="s">
        <v>1901</v>
      </c>
      <c r="B1004" s="81" t="s">
        <v>621</v>
      </c>
      <c r="C1004" s="81" t="s">
        <v>1684</v>
      </c>
      <c r="D1004" s="81" t="s">
        <v>3781</v>
      </c>
      <c r="E1004" s="81" t="s">
        <v>16</v>
      </c>
      <c r="F1004" s="81" t="s">
        <v>373</v>
      </c>
      <c r="G1004" s="81" t="s">
        <v>3523</v>
      </c>
      <c r="H1004" s="81" t="s">
        <v>3524</v>
      </c>
    </row>
    <row r="1005" spans="1:8" x14ac:dyDescent="0.3">
      <c r="A1005" s="81" t="s">
        <v>1902</v>
      </c>
      <c r="B1005" s="81" t="s">
        <v>621</v>
      </c>
      <c r="C1005" s="81" t="s">
        <v>1684</v>
      </c>
      <c r="D1005" s="81" t="s">
        <v>3781</v>
      </c>
      <c r="E1005" s="81" t="s">
        <v>16</v>
      </c>
      <c r="F1005" s="81" t="s">
        <v>374</v>
      </c>
      <c r="G1005" s="81" t="s">
        <v>3525</v>
      </c>
      <c r="H1005" s="81" t="s">
        <v>3526</v>
      </c>
    </row>
    <row r="1006" spans="1:8" x14ac:dyDescent="0.3">
      <c r="A1006" s="81" t="s">
        <v>1903</v>
      </c>
      <c r="B1006" s="81" t="s">
        <v>621</v>
      </c>
      <c r="C1006" s="81" t="s">
        <v>1684</v>
      </c>
      <c r="D1006" s="81" t="s">
        <v>3781</v>
      </c>
      <c r="E1006" s="81" t="s">
        <v>16</v>
      </c>
      <c r="F1006" s="81" t="s">
        <v>375</v>
      </c>
      <c r="G1006" s="81" t="s">
        <v>3527</v>
      </c>
      <c r="H1006" s="81" t="s">
        <v>3528</v>
      </c>
    </row>
    <row r="1007" spans="1:8" x14ac:dyDescent="0.3">
      <c r="A1007" s="81" t="s">
        <v>1904</v>
      </c>
      <c r="B1007" s="81" t="s">
        <v>621</v>
      </c>
      <c r="C1007" s="81" t="s">
        <v>1684</v>
      </c>
      <c r="D1007" s="81" t="s">
        <v>3781</v>
      </c>
      <c r="E1007" s="81" t="s">
        <v>16</v>
      </c>
      <c r="F1007" s="81" t="s">
        <v>376</v>
      </c>
      <c r="G1007" s="81" t="s">
        <v>3529</v>
      </c>
      <c r="H1007" s="81" t="s">
        <v>3530</v>
      </c>
    </row>
    <row r="1008" spans="1:8" x14ac:dyDescent="0.3">
      <c r="A1008" s="81" t="s">
        <v>1905</v>
      </c>
      <c r="B1008" s="81" t="s">
        <v>621</v>
      </c>
      <c r="C1008" s="81" t="s">
        <v>1684</v>
      </c>
      <c r="D1008" s="81" t="s">
        <v>3781</v>
      </c>
      <c r="E1008" s="81" t="s">
        <v>16</v>
      </c>
      <c r="F1008" s="81" t="s">
        <v>377</v>
      </c>
      <c r="G1008" s="81" t="s">
        <v>3531</v>
      </c>
      <c r="H1008" s="81" t="s">
        <v>3532</v>
      </c>
    </row>
    <row r="1009" spans="1:8" x14ac:dyDescent="0.3">
      <c r="A1009" s="81" t="s">
        <v>1906</v>
      </c>
      <c r="B1009" s="81" t="s">
        <v>621</v>
      </c>
      <c r="C1009" s="81" t="s">
        <v>1684</v>
      </c>
      <c r="D1009" s="81" t="s">
        <v>3781</v>
      </c>
      <c r="E1009" s="81" t="s">
        <v>16</v>
      </c>
      <c r="F1009" s="81" t="s">
        <v>378</v>
      </c>
      <c r="G1009" s="81" t="s">
        <v>3533</v>
      </c>
      <c r="H1009" s="81" t="s">
        <v>3534</v>
      </c>
    </row>
    <row r="1010" spans="1:8" x14ac:dyDescent="0.3">
      <c r="A1010" s="81" t="s">
        <v>1907</v>
      </c>
      <c r="B1010" s="81" t="s">
        <v>621</v>
      </c>
      <c r="C1010" s="81" t="s">
        <v>1684</v>
      </c>
      <c r="D1010" s="81" t="s">
        <v>3781</v>
      </c>
      <c r="E1010" s="81" t="s">
        <v>16</v>
      </c>
      <c r="F1010" s="81" t="s">
        <v>379</v>
      </c>
      <c r="G1010" s="81" t="s">
        <v>3535</v>
      </c>
      <c r="H1010" s="81" t="s">
        <v>3536</v>
      </c>
    </row>
    <row r="1011" spans="1:8" x14ac:dyDescent="0.3">
      <c r="A1011" s="81" t="s">
        <v>1908</v>
      </c>
      <c r="B1011" s="81" t="s">
        <v>621</v>
      </c>
      <c r="C1011" s="81" t="s">
        <v>1684</v>
      </c>
      <c r="D1011" s="81" t="s">
        <v>3781</v>
      </c>
      <c r="E1011" s="81" t="s">
        <v>16</v>
      </c>
      <c r="F1011" s="81" t="s">
        <v>380</v>
      </c>
      <c r="G1011" s="81" t="s">
        <v>3537</v>
      </c>
      <c r="H1011" s="81" t="s">
        <v>3538</v>
      </c>
    </row>
    <row r="1012" spans="1:8" x14ac:dyDescent="0.3">
      <c r="A1012" s="81" t="s">
        <v>1909</v>
      </c>
      <c r="B1012" s="81" t="s">
        <v>621</v>
      </c>
      <c r="C1012" s="81" t="s">
        <v>1684</v>
      </c>
      <c r="D1012" s="81" t="s">
        <v>3781</v>
      </c>
      <c r="E1012" s="81" t="s">
        <v>16</v>
      </c>
      <c r="F1012" s="81" t="s">
        <v>381</v>
      </c>
      <c r="G1012" s="81" t="s">
        <v>3539</v>
      </c>
      <c r="H1012" s="81" t="s">
        <v>3540</v>
      </c>
    </row>
    <row r="1013" spans="1:8" x14ac:dyDescent="0.3">
      <c r="A1013" s="81" t="s">
        <v>1910</v>
      </c>
      <c r="B1013" s="81" t="s">
        <v>621</v>
      </c>
      <c r="C1013" s="81" t="s">
        <v>1684</v>
      </c>
      <c r="D1013" s="81" t="s">
        <v>3781</v>
      </c>
      <c r="E1013" s="81" t="s">
        <v>16</v>
      </c>
      <c r="F1013" s="81" t="s">
        <v>382</v>
      </c>
      <c r="G1013" s="81" t="s">
        <v>3541</v>
      </c>
      <c r="H1013" s="81" t="s">
        <v>3542</v>
      </c>
    </row>
    <row r="1014" spans="1:8" x14ac:dyDescent="0.3">
      <c r="A1014" s="81" t="s">
        <v>1911</v>
      </c>
      <c r="B1014" s="81" t="s">
        <v>621</v>
      </c>
      <c r="C1014" s="81" t="s">
        <v>1684</v>
      </c>
      <c r="D1014" s="81" t="s">
        <v>3781</v>
      </c>
      <c r="E1014" s="81" t="s">
        <v>16</v>
      </c>
      <c r="F1014" s="81" t="s">
        <v>383</v>
      </c>
      <c r="G1014" s="81" t="s">
        <v>3543</v>
      </c>
      <c r="H1014" s="81" t="s">
        <v>3544</v>
      </c>
    </row>
    <row r="1015" spans="1:8" x14ac:dyDescent="0.3">
      <c r="A1015" s="81" t="s">
        <v>1912</v>
      </c>
      <c r="B1015" s="81" t="s">
        <v>621</v>
      </c>
      <c r="C1015" s="81" t="s">
        <v>1687</v>
      </c>
      <c r="D1015" s="81" t="s">
        <v>3781</v>
      </c>
      <c r="E1015" s="81" t="s">
        <v>20</v>
      </c>
      <c r="F1015" s="81" t="s">
        <v>15</v>
      </c>
      <c r="G1015" s="81" t="s">
        <v>3545</v>
      </c>
      <c r="H1015" s="81" t="s">
        <v>1690</v>
      </c>
    </row>
    <row r="1016" spans="1:8" x14ac:dyDescent="0.3">
      <c r="A1016" s="81" t="s">
        <v>1913</v>
      </c>
      <c r="B1016" s="81" t="s">
        <v>621</v>
      </c>
      <c r="C1016" s="81" t="s">
        <v>1687</v>
      </c>
      <c r="D1016" s="81" t="s">
        <v>3781</v>
      </c>
      <c r="E1016" s="81" t="s">
        <v>16</v>
      </c>
      <c r="F1016" s="81" t="s">
        <v>368</v>
      </c>
      <c r="G1016" s="81" t="s">
        <v>3546</v>
      </c>
      <c r="H1016" s="81" t="s">
        <v>3547</v>
      </c>
    </row>
    <row r="1017" spans="1:8" x14ac:dyDescent="0.3">
      <c r="A1017" s="81" t="s">
        <v>1914</v>
      </c>
      <c r="B1017" s="81" t="s">
        <v>621</v>
      </c>
      <c r="C1017" s="81" t="s">
        <v>1687</v>
      </c>
      <c r="D1017" s="81" t="s">
        <v>3781</v>
      </c>
      <c r="E1017" s="81" t="s">
        <v>16</v>
      </c>
      <c r="F1017" s="81" t="s">
        <v>369</v>
      </c>
      <c r="G1017" s="81" t="s">
        <v>3548</v>
      </c>
      <c r="H1017" s="81" t="s">
        <v>3549</v>
      </c>
    </row>
    <row r="1018" spans="1:8" x14ac:dyDescent="0.3">
      <c r="A1018" s="81" t="s">
        <v>1915</v>
      </c>
      <c r="B1018" s="81" t="s">
        <v>621</v>
      </c>
      <c r="C1018" s="81" t="s">
        <v>1687</v>
      </c>
      <c r="D1018" s="81" t="s">
        <v>3781</v>
      </c>
      <c r="E1018" s="81" t="s">
        <v>16</v>
      </c>
      <c r="F1018" s="81" t="s">
        <v>370</v>
      </c>
      <c r="G1018" s="81" t="s">
        <v>3550</v>
      </c>
      <c r="H1018" s="81" t="s">
        <v>3551</v>
      </c>
    </row>
    <row r="1019" spans="1:8" x14ac:dyDescent="0.3">
      <c r="A1019" s="81" t="s">
        <v>1916</v>
      </c>
      <c r="B1019" s="81" t="s">
        <v>621</v>
      </c>
      <c r="C1019" s="81" t="s">
        <v>1687</v>
      </c>
      <c r="D1019" s="81" t="s">
        <v>3781</v>
      </c>
      <c r="E1019" s="81" t="s">
        <v>16</v>
      </c>
      <c r="F1019" s="81" t="s">
        <v>371</v>
      </c>
      <c r="G1019" s="81" t="s">
        <v>3552</v>
      </c>
      <c r="H1019" s="81" t="s">
        <v>3553</v>
      </c>
    </row>
    <row r="1020" spans="1:8" x14ac:dyDescent="0.3">
      <c r="A1020" s="81" t="s">
        <v>1917</v>
      </c>
      <c r="B1020" s="81" t="s">
        <v>621</v>
      </c>
      <c r="C1020" s="81" t="s">
        <v>1687</v>
      </c>
      <c r="D1020" s="81" t="s">
        <v>3781</v>
      </c>
      <c r="E1020" s="81" t="s">
        <v>16</v>
      </c>
      <c r="F1020" s="81" t="s">
        <v>372</v>
      </c>
      <c r="G1020" s="81" t="s">
        <v>3554</v>
      </c>
      <c r="H1020" s="81" t="s">
        <v>3555</v>
      </c>
    </row>
    <row r="1021" spans="1:8" x14ac:dyDescent="0.3">
      <c r="A1021" s="81" t="s">
        <v>1918</v>
      </c>
      <c r="B1021" s="81" t="s">
        <v>621</v>
      </c>
      <c r="C1021" s="81" t="s">
        <v>1687</v>
      </c>
      <c r="D1021" s="81" t="s">
        <v>3781</v>
      </c>
      <c r="E1021" s="81" t="s">
        <v>16</v>
      </c>
      <c r="F1021" s="81" t="s">
        <v>373</v>
      </c>
      <c r="G1021" s="81" t="s">
        <v>3556</v>
      </c>
      <c r="H1021" s="81" t="s">
        <v>3557</v>
      </c>
    </row>
    <row r="1022" spans="1:8" x14ac:dyDescent="0.3">
      <c r="A1022" s="81" t="s">
        <v>1919</v>
      </c>
      <c r="B1022" s="81" t="s">
        <v>621</v>
      </c>
      <c r="C1022" s="81" t="s">
        <v>1687</v>
      </c>
      <c r="D1022" s="81" t="s">
        <v>3781</v>
      </c>
      <c r="E1022" s="81" t="s">
        <v>16</v>
      </c>
      <c r="F1022" s="81" t="s">
        <v>374</v>
      </c>
      <c r="G1022" s="81" t="s">
        <v>3558</v>
      </c>
      <c r="H1022" s="81" t="s">
        <v>3559</v>
      </c>
    </row>
    <row r="1023" spans="1:8" x14ac:dyDescent="0.3">
      <c r="A1023" s="81" t="s">
        <v>1920</v>
      </c>
      <c r="B1023" s="81" t="s">
        <v>621</v>
      </c>
      <c r="C1023" s="81" t="s">
        <v>1687</v>
      </c>
      <c r="D1023" s="81" t="s">
        <v>3781</v>
      </c>
      <c r="E1023" s="81" t="s">
        <v>16</v>
      </c>
      <c r="F1023" s="81" t="s">
        <v>375</v>
      </c>
      <c r="G1023" s="81" t="s">
        <v>3560</v>
      </c>
      <c r="H1023" s="81" t="s">
        <v>3561</v>
      </c>
    </row>
    <row r="1024" spans="1:8" x14ac:dyDescent="0.3">
      <c r="A1024" s="81" t="s">
        <v>1921</v>
      </c>
      <c r="B1024" s="81" t="s">
        <v>621</v>
      </c>
      <c r="C1024" s="81" t="s">
        <v>1687</v>
      </c>
      <c r="D1024" s="81" t="s">
        <v>3781</v>
      </c>
      <c r="E1024" s="81" t="s">
        <v>16</v>
      </c>
      <c r="F1024" s="81" t="s">
        <v>376</v>
      </c>
      <c r="G1024" s="81" t="s">
        <v>3562</v>
      </c>
      <c r="H1024" s="81" t="s">
        <v>3563</v>
      </c>
    </row>
    <row r="1025" spans="1:8" x14ac:dyDescent="0.3">
      <c r="A1025" s="81" t="s">
        <v>1922</v>
      </c>
      <c r="B1025" s="81" t="s">
        <v>621</v>
      </c>
      <c r="C1025" s="81" t="s">
        <v>1687</v>
      </c>
      <c r="D1025" s="81" t="s">
        <v>3781</v>
      </c>
      <c r="E1025" s="81" t="s">
        <v>16</v>
      </c>
      <c r="F1025" s="81" t="s">
        <v>377</v>
      </c>
      <c r="G1025" s="81" t="s">
        <v>3564</v>
      </c>
      <c r="H1025" s="81" t="s">
        <v>3565</v>
      </c>
    </row>
    <row r="1026" spans="1:8" x14ac:dyDescent="0.3">
      <c r="A1026" s="81" t="s">
        <v>1923</v>
      </c>
      <c r="B1026" s="81" t="s">
        <v>621</v>
      </c>
      <c r="C1026" s="81" t="s">
        <v>1687</v>
      </c>
      <c r="D1026" s="81" t="s">
        <v>3781</v>
      </c>
      <c r="E1026" s="81" t="s">
        <v>16</v>
      </c>
      <c r="F1026" s="81" t="s">
        <v>378</v>
      </c>
      <c r="G1026" s="81" t="s">
        <v>3566</v>
      </c>
      <c r="H1026" s="81" t="s">
        <v>3567</v>
      </c>
    </row>
    <row r="1027" spans="1:8" x14ac:dyDescent="0.3">
      <c r="A1027" s="81" t="s">
        <v>1924</v>
      </c>
      <c r="B1027" s="81" t="s">
        <v>621</v>
      </c>
      <c r="C1027" s="81" t="s">
        <v>1687</v>
      </c>
      <c r="D1027" s="81" t="s">
        <v>3781</v>
      </c>
      <c r="E1027" s="81" t="s">
        <v>16</v>
      </c>
      <c r="F1027" s="81" t="s">
        <v>379</v>
      </c>
      <c r="G1027" s="81" t="s">
        <v>3568</v>
      </c>
      <c r="H1027" s="81" t="s">
        <v>3569</v>
      </c>
    </row>
    <row r="1028" spans="1:8" x14ac:dyDescent="0.3">
      <c r="A1028" s="81" t="s">
        <v>1925</v>
      </c>
      <c r="B1028" s="81" t="s">
        <v>621</v>
      </c>
      <c r="C1028" s="81" t="s">
        <v>1687</v>
      </c>
      <c r="D1028" s="81" t="s">
        <v>3781</v>
      </c>
      <c r="E1028" s="81" t="s">
        <v>16</v>
      </c>
      <c r="F1028" s="81" t="s">
        <v>380</v>
      </c>
      <c r="G1028" s="81" t="s">
        <v>3570</v>
      </c>
      <c r="H1028" s="81" t="s">
        <v>3571</v>
      </c>
    </row>
    <row r="1029" spans="1:8" x14ac:dyDescent="0.3">
      <c r="A1029" s="81" t="s">
        <v>1926</v>
      </c>
      <c r="B1029" s="81" t="s">
        <v>621</v>
      </c>
      <c r="C1029" s="81" t="s">
        <v>1687</v>
      </c>
      <c r="D1029" s="81" t="s">
        <v>3781</v>
      </c>
      <c r="E1029" s="81" t="s">
        <v>16</v>
      </c>
      <c r="F1029" s="81" t="s">
        <v>381</v>
      </c>
      <c r="G1029" s="81" t="s">
        <v>3572</v>
      </c>
      <c r="H1029" s="81" t="s">
        <v>3573</v>
      </c>
    </row>
    <row r="1030" spans="1:8" x14ac:dyDescent="0.3">
      <c r="A1030" s="81" t="s">
        <v>1927</v>
      </c>
      <c r="B1030" s="81" t="s">
        <v>621</v>
      </c>
      <c r="C1030" s="81" t="s">
        <v>1687</v>
      </c>
      <c r="D1030" s="81" t="s">
        <v>3781</v>
      </c>
      <c r="E1030" s="81" t="s">
        <v>16</v>
      </c>
      <c r="F1030" s="81" t="s">
        <v>382</v>
      </c>
      <c r="G1030" s="81" t="s">
        <v>3574</v>
      </c>
      <c r="H1030" s="81" t="s">
        <v>3575</v>
      </c>
    </row>
    <row r="1031" spans="1:8" x14ac:dyDescent="0.3">
      <c r="A1031" s="81" t="s">
        <v>1928</v>
      </c>
      <c r="B1031" s="81" t="s">
        <v>621</v>
      </c>
      <c r="C1031" s="81" t="s">
        <v>1687</v>
      </c>
      <c r="D1031" s="81" t="s">
        <v>3781</v>
      </c>
      <c r="E1031" s="81" t="s">
        <v>16</v>
      </c>
      <c r="F1031" s="81" t="s">
        <v>383</v>
      </c>
      <c r="G1031" s="81" t="s">
        <v>3576</v>
      </c>
      <c r="H1031" s="81" t="s">
        <v>3577</v>
      </c>
    </row>
    <row r="1032" spans="1:8" x14ac:dyDescent="0.3">
      <c r="A1032" s="81" t="s">
        <v>1929</v>
      </c>
      <c r="B1032" s="81" t="s">
        <v>621</v>
      </c>
      <c r="C1032" s="81" t="s">
        <v>1684</v>
      </c>
      <c r="D1032" s="81" t="s">
        <v>3781</v>
      </c>
      <c r="E1032" s="81" t="s">
        <v>20</v>
      </c>
      <c r="F1032" s="81" t="s">
        <v>15</v>
      </c>
      <c r="G1032" s="81" t="s">
        <v>3578</v>
      </c>
      <c r="H1032" s="81" t="s">
        <v>1683</v>
      </c>
    </row>
    <row r="1033" spans="1:8" x14ac:dyDescent="0.3">
      <c r="A1033" s="81" t="s">
        <v>1930</v>
      </c>
      <c r="B1033" s="81" t="s">
        <v>621</v>
      </c>
      <c r="C1033" s="81" t="s">
        <v>1684</v>
      </c>
      <c r="D1033" s="81" t="s">
        <v>3781</v>
      </c>
      <c r="E1033" s="81" t="s">
        <v>16</v>
      </c>
      <c r="F1033" s="81" t="s">
        <v>368</v>
      </c>
      <c r="G1033" s="81" t="s">
        <v>3579</v>
      </c>
      <c r="H1033" s="81" t="s">
        <v>3481</v>
      </c>
    </row>
    <row r="1034" spans="1:8" x14ac:dyDescent="0.3">
      <c r="A1034" s="81" t="s">
        <v>1931</v>
      </c>
      <c r="B1034" s="81" t="s">
        <v>621</v>
      </c>
      <c r="C1034" s="81" t="s">
        <v>1684</v>
      </c>
      <c r="D1034" s="81" t="s">
        <v>3781</v>
      </c>
      <c r="E1034" s="81" t="s">
        <v>16</v>
      </c>
      <c r="F1034" s="81" t="s">
        <v>369</v>
      </c>
      <c r="G1034" s="81" t="s">
        <v>3580</v>
      </c>
      <c r="H1034" s="81" t="s">
        <v>3483</v>
      </c>
    </row>
    <row r="1035" spans="1:8" x14ac:dyDescent="0.3">
      <c r="A1035" s="81" t="s">
        <v>1932</v>
      </c>
      <c r="B1035" s="81" t="s">
        <v>621</v>
      </c>
      <c r="C1035" s="81" t="s">
        <v>1684</v>
      </c>
      <c r="D1035" s="81" t="s">
        <v>3781</v>
      </c>
      <c r="E1035" s="81" t="s">
        <v>16</v>
      </c>
      <c r="F1035" s="81" t="s">
        <v>370</v>
      </c>
      <c r="G1035" s="81" t="s">
        <v>3581</v>
      </c>
      <c r="H1035" s="81" t="s">
        <v>3485</v>
      </c>
    </row>
    <row r="1036" spans="1:8" x14ac:dyDescent="0.3">
      <c r="A1036" s="81" t="s">
        <v>1933</v>
      </c>
      <c r="B1036" s="81" t="s">
        <v>621</v>
      </c>
      <c r="C1036" s="81" t="s">
        <v>1684</v>
      </c>
      <c r="D1036" s="81" t="s">
        <v>3781</v>
      </c>
      <c r="E1036" s="81" t="s">
        <v>16</v>
      </c>
      <c r="F1036" s="81" t="s">
        <v>371</v>
      </c>
      <c r="G1036" s="81" t="s">
        <v>3582</v>
      </c>
      <c r="H1036" s="81" t="s">
        <v>3487</v>
      </c>
    </row>
    <row r="1037" spans="1:8" x14ac:dyDescent="0.3">
      <c r="A1037" s="81" t="s">
        <v>1934</v>
      </c>
      <c r="B1037" s="81" t="s">
        <v>621</v>
      </c>
      <c r="C1037" s="81" t="s">
        <v>1684</v>
      </c>
      <c r="D1037" s="81" t="s">
        <v>3781</v>
      </c>
      <c r="E1037" s="81" t="s">
        <v>16</v>
      </c>
      <c r="F1037" s="81" t="s">
        <v>372</v>
      </c>
      <c r="G1037" s="81" t="s">
        <v>3583</v>
      </c>
      <c r="H1037" s="81" t="s">
        <v>3489</v>
      </c>
    </row>
    <row r="1038" spans="1:8" x14ac:dyDescent="0.3">
      <c r="A1038" s="81" t="s">
        <v>1935</v>
      </c>
      <c r="B1038" s="81" t="s">
        <v>621</v>
      </c>
      <c r="C1038" s="81" t="s">
        <v>1684</v>
      </c>
      <c r="D1038" s="81" t="s">
        <v>3781</v>
      </c>
      <c r="E1038" s="81" t="s">
        <v>16</v>
      </c>
      <c r="F1038" s="81" t="s">
        <v>373</v>
      </c>
      <c r="G1038" s="81" t="s">
        <v>3584</v>
      </c>
      <c r="H1038" s="81" t="s">
        <v>3491</v>
      </c>
    </row>
    <row r="1039" spans="1:8" x14ac:dyDescent="0.3">
      <c r="A1039" s="81" t="s">
        <v>1936</v>
      </c>
      <c r="B1039" s="81" t="s">
        <v>621</v>
      </c>
      <c r="C1039" s="81" t="s">
        <v>1684</v>
      </c>
      <c r="D1039" s="81" t="s">
        <v>3781</v>
      </c>
      <c r="E1039" s="81" t="s">
        <v>16</v>
      </c>
      <c r="F1039" s="81" t="s">
        <v>374</v>
      </c>
      <c r="G1039" s="81" t="s">
        <v>3585</v>
      </c>
      <c r="H1039" s="81" t="s">
        <v>3493</v>
      </c>
    </row>
    <row r="1040" spans="1:8" x14ac:dyDescent="0.3">
      <c r="A1040" s="81" t="s">
        <v>1937</v>
      </c>
      <c r="B1040" s="81" t="s">
        <v>621</v>
      </c>
      <c r="C1040" s="81" t="s">
        <v>1684</v>
      </c>
      <c r="D1040" s="81" t="s">
        <v>3781</v>
      </c>
      <c r="E1040" s="81" t="s">
        <v>16</v>
      </c>
      <c r="F1040" s="81" t="s">
        <v>375</v>
      </c>
      <c r="G1040" s="81" t="s">
        <v>3586</v>
      </c>
      <c r="H1040" s="81" t="s">
        <v>3495</v>
      </c>
    </row>
    <row r="1041" spans="1:8" x14ac:dyDescent="0.3">
      <c r="A1041" s="81" t="s">
        <v>1938</v>
      </c>
      <c r="B1041" s="81" t="s">
        <v>621</v>
      </c>
      <c r="C1041" s="81" t="s">
        <v>1684</v>
      </c>
      <c r="D1041" s="81" t="s">
        <v>3781</v>
      </c>
      <c r="E1041" s="81" t="s">
        <v>16</v>
      </c>
      <c r="F1041" s="81" t="s">
        <v>376</v>
      </c>
      <c r="G1041" s="81" t="s">
        <v>3587</v>
      </c>
      <c r="H1041" s="81" t="s">
        <v>3497</v>
      </c>
    </row>
    <row r="1042" spans="1:8" x14ac:dyDescent="0.3">
      <c r="A1042" s="81" t="s">
        <v>1939</v>
      </c>
      <c r="B1042" s="81" t="s">
        <v>621</v>
      </c>
      <c r="C1042" s="81" t="s">
        <v>1684</v>
      </c>
      <c r="D1042" s="81" t="s">
        <v>3781</v>
      </c>
      <c r="E1042" s="81" t="s">
        <v>16</v>
      </c>
      <c r="F1042" s="81" t="s">
        <v>377</v>
      </c>
      <c r="G1042" s="81" t="s">
        <v>3588</v>
      </c>
      <c r="H1042" s="81" t="s">
        <v>3499</v>
      </c>
    </row>
    <row r="1043" spans="1:8" x14ac:dyDescent="0.3">
      <c r="A1043" s="81" t="s">
        <v>1940</v>
      </c>
      <c r="B1043" s="81" t="s">
        <v>621</v>
      </c>
      <c r="C1043" s="81" t="s">
        <v>1684</v>
      </c>
      <c r="D1043" s="81" t="s">
        <v>3781</v>
      </c>
      <c r="E1043" s="81" t="s">
        <v>16</v>
      </c>
      <c r="F1043" s="81" t="s">
        <v>378</v>
      </c>
      <c r="G1043" s="81" t="s">
        <v>3589</v>
      </c>
      <c r="H1043" s="81" t="s">
        <v>3501</v>
      </c>
    </row>
    <row r="1044" spans="1:8" x14ac:dyDescent="0.3">
      <c r="A1044" s="81" t="s">
        <v>1941</v>
      </c>
      <c r="B1044" s="81" t="s">
        <v>621</v>
      </c>
      <c r="C1044" s="81" t="s">
        <v>1684</v>
      </c>
      <c r="D1044" s="81" t="s">
        <v>3781</v>
      </c>
      <c r="E1044" s="81" t="s">
        <v>16</v>
      </c>
      <c r="F1044" s="81" t="s">
        <v>379</v>
      </c>
      <c r="G1044" s="81" t="s">
        <v>3590</v>
      </c>
      <c r="H1044" s="81" t="s">
        <v>3503</v>
      </c>
    </row>
    <row r="1045" spans="1:8" x14ac:dyDescent="0.3">
      <c r="A1045" s="81" t="s">
        <v>1942</v>
      </c>
      <c r="B1045" s="81" t="s">
        <v>621</v>
      </c>
      <c r="C1045" s="81" t="s">
        <v>1684</v>
      </c>
      <c r="D1045" s="81" t="s">
        <v>3781</v>
      </c>
      <c r="E1045" s="81" t="s">
        <v>16</v>
      </c>
      <c r="F1045" s="81" t="s">
        <v>380</v>
      </c>
      <c r="G1045" s="81" t="s">
        <v>3591</v>
      </c>
      <c r="H1045" s="81" t="s">
        <v>3505</v>
      </c>
    </row>
    <row r="1046" spans="1:8" x14ac:dyDescent="0.3">
      <c r="A1046" s="81" t="s">
        <v>1943</v>
      </c>
      <c r="B1046" s="81" t="s">
        <v>621</v>
      </c>
      <c r="C1046" s="81" t="s">
        <v>1684</v>
      </c>
      <c r="D1046" s="81" t="s">
        <v>3781</v>
      </c>
      <c r="E1046" s="81" t="s">
        <v>16</v>
      </c>
      <c r="F1046" s="81" t="s">
        <v>381</v>
      </c>
      <c r="G1046" s="81" t="s">
        <v>3592</v>
      </c>
      <c r="H1046" s="81" t="s">
        <v>3507</v>
      </c>
    </row>
    <row r="1047" spans="1:8" x14ac:dyDescent="0.3">
      <c r="A1047" s="81" t="s">
        <v>1944</v>
      </c>
      <c r="B1047" s="81" t="s">
        <v>621</v>
      </c>
      <c r="C1047" s="81" t="s">
        <v>1684</v>
      </c>
      <c r="D1047" s="81" t="s">
        <v>3781</v>
      </c>
      <c r="E1047" s="81" t="s">
        <v>16</v>
      </c>
      <c r="F1047" s="81" t="s">
        <v>382</v>
      </c>
      <c r="G1047" s="81" t="s">
        <v>3593</v>
      </c>
      <c r="H1047" s="81" t="s">
        <v>3509</v>
      </c>
    </row>
    <row r="1048" spans="1:8" x14ac:dyDescent="0.3">
      <c r="A1048" s="81" t="s">
        <v>1945</v>
      </c>
      <c r="B1048" s="81" t="s">
        <v>621</v>
      </c>
      <c r="C1048" s="81" t="s">
        <v>1684</v>
      </c>
      <c r="D1048" s="81" t="s">
        <v>3781</v>
      </c>
      <c r="E1048" s="81" t="s">
        <v>16</v>
      </c>
      <c r="F1048" s="81" t="s">
        <v>383</v>
      </c>
      <c r="G1048" s="81" t="s">
        <v>3594</v>
      </c>
      <c r="H1048" s="81" t="s">
        <v>3511</v>
      </c>
    </row>
    <row r="1049" spans="1:8" x14ac:dyDescent="0.3">
      <c r="A1049" s="81" t="s">
        <v>1946</v>
      </c>
      <c r="B1049" s="81" t="s">
        <v>621</v>
      </c>
      <c r="C1049" s="81" t="s">
        <v>1694</v>
      </c>
      <c r="D1049" s="81" t="s">
        <v>3781</v>
      </c>
      <c r="E1049" s="81" t="s">
        <v>20</v>
      </c>
      <c r="F1049" s="81" t="s">
        <v>15</v>
      </c>
      <c r="G1049" s="81" t="s">
        <v>3595</v>
      </c>
      <c r="H1049" s="81" t="s">
        <v>1693</v>
      </c>
    </row>
    <row r="1050" spans="1:8" x14ac:dyDescent="0.3">
      <c r="A1050" s="81" t="s">
        <v>1947</v>
      </c>
      <c r="B1050" s="81" t="s">
        <v>621</v>
      </c>
      <c r="C1050" s="81" t="s">
        <v>1694</v>
      </c>
      <c r="D1050" s="81" t="s">
        <v>3781</v>
      </c>
      <c r="E1050" s="81" t="s">
        <v>16</v>
      </c>
      <c r="F1050" s="81" t="s">
        <v>368</v>
      </c>
      <c r="G1050" s="81" t="s">
        <v>3596</v>
      </c>
      <c r="H1050" s="81" t="s">
        <v>3597</v>
      </c>
    </row>
    <row r="1051" spans="1:8" x14ac:dyDescent="0.3">
      <c r="A1051" s="81" t="s">
        <v>1948</v>
      </c>
      <c r="B1051" s="81" t="s">
        <v>621</v>
      </c>
      <c r="C1051" s="81" t="s">
        <v>1694</v>
      </c>
      <c r="D1051" s="81" t="s">
        <v>3781</v>
      </c>
      <c r="E1051" s="81" t="s">
        <v>16</v>
      </c>
      <c r="F1051" s="81" t="s">
        <v>369</v>
      </c>
      <c r="G1051" s="81" t="s">
        <v>3598</v>
      </c>
      <c r="H1051" s="81" t="s">
        <v>3599</v>
      </c>
    </row>
    <row r="1052" spans="1:8" x14ac:dyDescent="0.3">
      <c r="A1052" s="81" t="s">
        <v>1949</v>
      </c>
      <c r="B1052" s="81" t="s">
        <v>621</v>
      </c>
      <c r="C1052" s="81" t="s">
        <v>1694</v>
      </c>
      <c r="D1052" s="81" t="s">
        <v>3781</v>
      </c>
      <c r="E1052" s="81" t="s">
        <v>16</v>
      </c>
      <c r="F1052" s="81" t="s">
        <v>370</v>
      </c>
      <c r="G1052" s="81" t="s">
        <v>3600</v>
      </c>
      <c r="H1052" s="81" t="s">
        <v>3601</v>
      </c>
    </row>
    <row r="1053" spans="1:8" x14ac:dyDescent="0.3">
      <c r="A1053" s="81" t="s">
        <v>1950</v>
      </c>
      <c r="B1053" s="81" t="s">
        <v>621</v>
      </c>
      <c r="C1053" s="81" t="s">
        <v>1694</v>
      </c>
      <c r="D1053" s="81" t="s">
        <v>3781</v>
      </c>
      <c r="E1053" s="81" t="s">
        <v>16</v>
      </c>
      <c r="F1053" s="81" t="s">
        <v>371</v>
      </c>
      <c r="G1053" s="81" t="s">
        <v>3602</v>
      </c>
      <c r="H1053" s="81" t="s">
        <v>3603</v>
      </c>
    </row>
    <row r="1054" spans="1:8" x14ac:dyDescent="0.3">
      <c r="A1054" s="81" t="s">
        <v>1951</v>
      </c>
      <c r="B1054" s="81" t="s">
        <v>621</v>
      </c>
      <c r="C1054" s="81" t="s">
        <v>1694</v>
      </c>
      <c r="D1054" s="81" t="s">
        <v>3781</v>
      </c>
      <c r="E1054" s="81" t="s">
        <v>16</v>
      </c>
      <c r="F1054" s="81" t="s">
        <v>372</v>
      </c>
      <c r="G1054" s="81" t="s">
        <v>3604</v>
      </c>
      <c r="H1054" s="81" t="s">
        <v>3605</v>
      </c>
    </row>
    <row r="1055" spans="1:8" x14ac:dyDescent="0.3">
      <c r="A1055" s="81" t="s">
        <v>1952</v>
      </c>
      <c r="B1055" s="81" t="s">
        <v>621</v>
      </c>
      <c r="C1055" s="81" t="s">
        <v>1694</v>
      </c>
      <c r="D1055" s="81" t="s">
        <v>3781</v>
      </c>
      <c r="E1055" s="81" t="s">
        <v>16</v>
      </c>
      <c r="F1055" s="81" t="s">
        <v>373</v>
      </c>
      <c r="G1055" s="81" t="s">
        <v>3606</v>
      </c>
      <c r="H1055" s="81" t="s">
        <v>3607</v>
      </c>
    </row>
    <row r="1056" spans="1:8" x14ac:dyDescent="0.3">
      <c r="A1056" s="81" t="s">
        <v>1953</v>
      </c>
      <c r="B1056" s="81" t="s">
        <v>621</v>
      </c>
      <c r="C1056" s="81" t="s">
        <v>1694</v>
      </c>
      <c r="D1056" s="81" t="s">
        <v>3781</v>
      </c>
      <c r="E1056" s="81" t="s">
        <v>16</v>
      </c>
      <c r="F1056" s="81" t="s">
        <v>374</v>
      </c>
      <c r="G1056" s="81" t="s">
        <v>3608</v>
      </c>
      <c r="H1056" s="81" t="s">
        <v>3609</v>
      </c>
    </row>
    <row r="1057" spans="1:8" x14ac:dyDescent="0.3">
      <c r="A1057" s="81" t="s">
        <v>1954</v>
      </c>
      <c r="B1057" s="81" t="s">
        <v>621</v>
      </c>
      <c r="C1057" s="81" t="s">
        <v>1694</v>
      </c>
      <c r="D1057" s="81" t="s">
        <v>3781</v>
      </c>
      <c r="E1057" s="81" t="s">
        <v>16</v>
      </c>
      <c r="F1057" s="81" t="s">
        <v>375</v>
      </c>
      <c r="G1057" s="81" t="s">
        <v>3610</v>
      </c>
      <c r="H1057" s="81" t="s">
        <v>3611</v>
      </c>
    </row>
    <row r="1058" spans="1:8" x14ac:dyDescent="0.3">
      <c r="A1058" s="81" t="s">
        <v>1955</v>
      </c>
      <c r="B1058" s="81" t="s">
        <v>621</v>
      </c>
      <c r="C1058" s="81" t="s">
        <v>1694</v>
      </c>
      <c r="D1058" s="81" t="s">
        <v>3781</v>
      </c>
      <c r="E1058" s="81" t="s">
        <v>16</v>
      </c>
      <c r="F1058" s="81" t="s">
        <v>376</v>
      </c>
      <c r="G1058" s="81" t="s">
        <v>3612</v>
      </c>
      <c r="H1058" s="81" t="s">
        <v>3613</v>
      </c>
    </row>
    <row r="1059" spans="1:8" x14ac:dyDescent="0.3">
      <c r="A1059" s="81" t="s">
        <v>1956</v>
      </c>
      <c r="B1059" s="81" t="s">
        <v>621</v>
      </c>
      <c r="C1059" s="81" t="s">
        <v>1694</v>
      </c>
      <c r="D1059" s="81" t="s">
        <v>3781</v>
      </c>
      <c r="E1059" s="81" t="s">
        <v>16</v>
      </c>
      <c r="F1059" s="81" t="s">
        <v>377</v>
      </c>
      <c r="G1059" s="81" t="s">
        <v>3614</v>
      </c>
      <c r="H1059" s="81" t="s">
        <v>3615</v>
      </c>
    </row>
    <row r="1060" spans="1:8" x14ac:dyDescent="0.3">
      <c r="A1060" s="81" t="s">
        <v>1957</v>
      </c>
      <c r="B1060" s="81" t="s">
        <v>621</v>
      </c>
      <c r="C1060" s="81" t="s">
        <v>1694</v>
      </c>
      <c r="D1060" s="81" t="s">
        <v>3781</v>
      </c>
      <c r="E1060" s="81" t="s">
        <v>16</v>
      </c>
      <c r="F1060" s="81" t="s">
        <v>378</v>
      </c>
      <c r="G1060" s="81" t="s">
        <v>3616</v>
      </c>
      <c r="H1060" s="81" t="s">
        <v>3617</v>
      </c>
    </row>
    <row r="1061" spans="1:8" x14ac:dyDescent="0.3">
      <c r="A1061" s="81" t="s">
        <v>1958</v>
      </c>
      <c r="B1061" s="81" t="s">
        <v>621</v>
      </c>
      <c r="C1061" s="81" t="s">
        <v>1694</v>
      </c>
      <c r="D1061" s="81" t="s">
        <v>3781</v>
      </c>
      <c r="E1061" s="81" t="s">
        <v>16</v>
      </c>
      <c r="F1061" s="81" t="s">
        <v>379</v>
      </c>
      <c r="G1061" s="81" t="s">
        <v>3618</v>
      </c>
      <c r="H1061" s="81" t="s">
        <v>3619</v>
      </c>
    </row>
    <row r="1062" spans="1:8" x14ac:dyDescent="0.3">
      <c r="A1062" s="81" t="s">
        <v>1959</v>
      </c>
      <c r="B1062" s="81" t="s">
        <v>621</v>
      </c>
      <c r="C1062" s="81" t="s">
        <v>1694</v>
      </c>
      <c r="D1062" s="81" t="s">
        <v>3781</v>
      </c>
      <c r="E1062" s="81" t="s">
        <v>16</v>
      </c>
      <c r="F1062" s="81" t="s">
        <v>380</v>
      </c>
      <c r="G1062" s="81" t="s">
        <v>3620</v>
      </c>
      <c r="H1062" s="81" t="s">
        <v>3621</v>
      </c>
    </row>
    <row r="1063" spans="1:8" x14ac:dyDescent="0.3">
      <c r="A1063" s="81" t="s">
        <v>1960</v>
      </c>
      <c r="B1063" s="81" t="s">
        <v>621</v>
      </c>
      <c r="C1063" s="81" t="s">
        <v>1694</v>
      </c>
      <c r="D1063" s="81" t="s">
        <v>3781</v>
      </c>
      <c r="E1063" s="81" t="s">
        <v>16</v>
      </c>
      <c r="F1063" s="81" t="s">
        <v>381</v>
      </c>
      <c r="G1063" s="81" t="s">
        <v>3622</v>
      </c>
      <c r="H1063" s="81" t="s">
        <v>3623</v>
      </c>
    </row>
    <row r="1064" spans="1:8" x14ac:dyDescent="0.3">
      <c r="A1064" s="81" t="s">
        <v>1961</v>
      </c>
      <c r="B1064" s="81" t="s">
        <v>621</v>
      </c>
      <c r="C1064" s="81" t="s">
        <v>1694</v>
      </c>
      <c r="D1064" s="81" t="s">
        <v>3781</v>
      </c>
      <c r="E1064" s="81" t="s">
        <v>16</v>
      </c>
      <c r="F1064" s="81" t="s">
        <v>382</v>
      </c>
      <c r="G1064" s="81" t="s">
        <v>3624</v>
      </c>
      <c r="H1064" s="81" t="s">
        <v>3625</v>
      </c>
    </row>
    <row r="1065" spans="1:8" x14ac:dyDescent="0.3">
      <c r="A1065" s="81" t="s">
        <v>1962</v>
      </c>
      <c r="B1065" s="81" t="s">
        <v>621</v>
      </c>
      <c r="C1065" s="81" t="s">
        <v>1694</v>
      </c>
      <c r="D1065" s="81" t="s">
        <v>3781</v>
      </c>
      <c r="E1065" s="81" t="s">
        <v>16</v>
      </c>
      <c r="F1065" s="81" t="s">
        <v>383</v>
      </c>
      <c r="G1065" s="81" t="s">
        <v>3626</v>
      </c>
      <c r="H1065" s="81" t="s">
        <v>3627</v>
      </c>
    </row>
    <row r="1066" spans="1:8" x14ac:dyDescent="0.3">
      <c r="A1066" s="81" t="s">
        <v>1963</v>
      </c>
      <c r="B1066" s="81" t="s">
        <v>621</v>
      </c>
      <c r="C1066" s="81" t="s">
        <v>1695</v>
      </c>
      <c r="D1066" s="81" t="s">
        <v>3781</v>
      </c>
      <c r="E1066" s="81" t="s">
        <v>20</v>
      </c>
      <c r="F1066" s="81" t="s">
        <v>15</v>
      </c>
      <c r="G1066" s="81" t="s">
        <v>3628</v>
      </c>
      <c r="H1066" s="81" t="s">
        <v>6253</v>
      </c>
    </row>
    <row r="1067" spans="1:8" x14ac:dyDescent="0.3">
      <c r="A1067" s="81" t="s">
        <v>1964</v>
      </c>
      <c r="B1067" s="81" t="s">
        <v>621</v>
      </c>
      <c r="C1067" s="81" t="s">
        <v>1695</v>
      </c>
      <c r="D1067" s="81" t="s">
        <v>3781</v>
      </c>
      <c r="E1067" s="81" t="s">
        <v>16</v>
      </c>
      <c r="F1067" s="81" t="s">
        <v>368</v>
      </c>
      <c r="G1067" s="81" t="s">
        <v>3629</v>
      </c>
      <c r="H1067" s="81" t="s">
        <v>7354</v>
      </c>
    </row>
    <row r="1068" spans="1:8" x14ac:dyDescent="0.3">
      <c r="A1068" s="81" t="s">
        <v>1965</v>
      </c>
      <c r="B1068" s="81" t="s">
        <v>621</v>
      </c>
      <c r="C1068" s="81" t="s">
        <v>1695</v>
      </c>
      <c r="D1068" s="81" t="s">
        <v>3781</v>
      </c>
      <c r="E1068" s="81" t="s">
        <v>16</v>
      </c>
      <c r="F1068" s="81" t="s">
        <v>369</v>
      </c>
      <c r="G1068" s="81" t="s">
        <v>3630</v>
      </c>
      <c r="H1068" s="81" t="s">
        <v>7355</v>
      </c>
    </row>
    <row r="1069" spans="1:8" x14ac:dyDescent="0.3">
      <c r="A1069" s="81" t="s">
        <v>1966</v>
      </c>
      <c r="B1069" s="81" t="s">
        <v>621</v>
      </c>
      <c r="C1069" s="81" t="s">
        <v>1695</v>
      </c>
      <c r="D1069" s="81" t="s">
        <v>3781</v>
      </c>
      <c r="E1069" s="81" t="s">
        <v>16</v>
      </c>
      <c r="F1069" s="81" t="s">
        <v>370</v>
      </c>
      <c r="G1069" s="81" t="s">
        <v>3631</v>
      </c>
      <c r="H1069" s="81" t="s">
        <v>7356</v>
      </c>
    </row>
    <row r="1070" spans="1:8" x14ac:dyDescent="0.3">
      <c r="A1070" s="81" t="s">
        <v>1967</v>
      </c>
      <c r="B1070" s="81" t="s">
        <v>621</v>
      </c>
      <c r="C1070" s="81" t="s">
        <v>1695</v>
      </c>
      <c r="D1070" s="81" t="s">
        <v>3781</v>
      </c>
      <c r="E1070" s="81" t="s">
        <v>16</v>
      </c>
      <c r="F1070" s="81" t="s">
        <v>371</v>
      </c>
      <c r="G1070" s="81" t="s">
        <v>3632</v>
      </c>
      <c r="H1070" s="81" t="s">
        <v>7357</v>
      </c>
    </row>
    <row r="1071" spans="1:8" x14ac:dyDescent="0.3">
      <c r="A1071" s="81" t="s">
        <v>1968</v>
      </c>
      <c r="B1071" s="81" t="s">
        <v>621</v>
      </c>
      <c r="C1071" s="81" t="s">
        <v>1695</v>
      </c>
      <c r="D1071" s="81" t="s">
        <v>3781</v>
      </c>
      <c r="E1071" s="81" t="s">
        <v>16</v>
      </c>
      <c r="F1071" s="81" t="s">
        <v>372</v>
      </c>
      <c r="G1071" s="81" t="s">
        <v>3633</v>
      </c>
      <c r="H1071" s="81" t="s">
        <v>7358</v>
      </c>
    </row>
    <row r="1072" spans="1:8" x14ac:dyDescent="0.3">
      <c r="A1072" s="81" t="s">
        <v>1969</v>
      </c>
      <c r="B1072" s="81" t="s">
        <v>621</v>
      </c>
      <c r="C1072" s="81" t="s">
        <v>1695</v>
      </c>
      <c r="D1072" s="81" t="s">
        <v>3781</v>
      </c>
      <c r="E1072" s="81" t="s">
        <v>16</v>
      </c>
      <c r="F1072" s="81" t="s">
        <v>373</v>
      </c>
      <c r="G1072" s="81" t="s">
        <v>3634</v>
      </c>
      <c r="H1072" s="81" t="s">
        <v>7359</v>
      </c>
    </row>
    <row r="1073" spans="1:8" x14ac:dyDescent="0.3">
      <c r="A1073" s="81" t="s">
        <v>1970</v>
      </c>
      <c r="B1073" s="81" t="s">
        <v>621</v>
      </c>
      <c r="C1073" s="81" t="s">
        <v>1695</v>
      </c>
      <c r="D1073" s="81" t="s">
        <v>3781</v>
      </c>
      <c r="E1073" s="81" t="s">
        <v>16</v>
      </c>
      <c r="F1073" s="81" t="s">
        <v>374</v>
      </c>
      <c r="G1073" s="81" t="s">
        <v>3635</v>
      </c>
      <c r="H1073" s="81" t="s">
        <v>7360</v>
      </c>
    </row>
    <row r="1074" spans="1:8" x14ac:dyDescent="0.3">
      <c r="A1074" s="81" t="s">
        <v>1971</v>
      </c>
      <c r="B1074" s="81" t="s">
        <v>621</v>
      </c>
      <c r="C1074" s="81" t="s">
        <v>1695</v>
      </c>
      <c r="D1074" s="81" t="s">
        <v>3781</v>
      </c>
      <c r="E1074" s="81" t="s">
        <v>16</v>
      </c>
      <c r="F1074" s="81" t="s">
        <v>375</v>
      </c>
      <c r="G1074" s="81" t="s">
        <v>3636</v>
      </c>
      <c r="H1074" s="81" t="s">
        <v>7361</v>
      </c>
    </row>
    <row r="1075" spans="1:8" x14ac:dyDescent="0.3">
      <c r="A1075" s="81" t="s">
        <v>1972</v>
      </c>
      <c r="B1075" s="81" t="s">
        <v>621</v>
      </c>
      <c r="C1075" s="81" t="s">
        <v>1695</v>
      </c>
      <c r="D1075" s="81" t="s">
        <v>3781</v>
      </c>
      <c r="E1075" s="81" t="s">
        <v>16</v>
      </c>
      <c r="F1075" s="81" t="s">
        <v>376</v>
      </c>
      <c r="G1075" s="81" t="s">
        <v>3637</v>
      </c>
      <c r="H1075" s="81" t="s">
        <v>7362</v>
      </c>
    </row>
    <row r="1076" spans="1:8" x14ac:dyDescent="0.3">
      <c r="A1076" s="81" t="s">
        <v>1973</v>
      </c>
      <c r="B1076" s="81" t="s">
        <v>621</v>
      </c>
      <c r="C1076" s="81" t="s">
        <v>1695</v>
      </c>
      <c r="D1076" s="81" t="s">
        <v>3781</v>
      </c>
      <c r="E1076" s="81" t="s">
        <v>16</v>
      </c>
      <c r="F1076" s="81" t="s">
        <v>377</v>
      </c>
      <c r="G1076" s="81" t="s">
        <v>3638</v>
      </c>
      <c r="H1076" s="81" t="s">
        <v>7363</v>
      </c>
    </row>
    <row r="1077" spans="1:8" x14ac:dyDescent="0.3">
      <c r="A1077" s="81" t="s">
        <v>1974</v>
      </c>
      <c r="B1077" s="81" t="s">
        <v>621</v>
      </c>
      <c r="C1077" s="81" t="s">
        <v>1695</v>
      </c>
      <c r="D1077" s="81" t="s">
        <v>3781</v>
      </c>
      <c r="E1077" s="81" t="s">
        <v>16</v>
      </c>
      <c r="F1077" s="81" t="s">
        <v>378</v>
      </c>
      <c r="G1077" s="81" t="s">
        <v>3639</v>
      </c>
      <c r="H1077" s="81" t="s">
        <v>7364</v>
      </c>
    </row>
    <row r="1078" spans="1:8" x14ac:dyDescent="0.3">
      <c r="A1078" s="81" t="s">
        <v>1975</v>
      </c>
      <c r="B1078" s="81" t="s">
        <v>621</v>
      </c>
      <c r="C1078" s="81" t="s">
        <v>1695</v>
      </c>
      <c r="D1078" s="81" t="s">
        <v>3781</v>
      </c>
      <c r="E1078" s="81" t="s">
        <v>16</v>
      </c>
      <c r="F1078" s="81" t="s">
        <v>379</v>
      </c>
      <c r="G1078" s="81" t="s">
        <v>3640</v>
      </c>
      <c r="H1078" s="81" t="s">
        <v>7365</v>
      </c>
    </row>
    <row r="1079" spans="1:8" x14ac:dyDescent="0.3">
      <c r="A1079" s="81" t="s">
        <v>1976</v>
      </c>
      <c r="B1079" s="81" t="s">
        <v>621</v>
      </c>
      <c r="C1079" s="81" t="s">
        <v>1695</v>
      </c>
      <c r="D1079" s="81" t="s">
        <v>3781</v>
      </c>
      <c r="E1079" s="81" t="s">
        <v>16</v>
      </c>
      <c r="F1079" s="81" t="s">
        <v>380</v>
      </c>
      <c r="G1079" s="81" t="s">
        <v>3641</v>
      </c>
      <c r="H1079" s="81" t="s">
        <v>7366</v>
      </c>
    </row>
    <row r="1080" spans="1:8" x14ac:dyDescent="0.3">
      <c r="A1080" s="81" t="s">
        <v>1977</v>
      </c>
      <c r="B1080" s="81" t="s">
        <v>621</v>
      </c>
      <c r="C1080" s="81" t="s">
        <v>1695</v>
      </c>
      <c r="D1080" s="81" t="s">
        <v>3781</v>
      </c>
      <c r="E1080" s="81" t="s">
        <v>16</v>
      </c>
      <c r="F1080" s="81" t="s">
        <v>381</v>
      </c>
      <c r="G1080" s="81" t="s">
        <v>3642</v>
      </c>
      <c r="H1080" s="81" t="s">
        <v>7367</v>
      </c>
    </row>
    <row r="1081" spans="1:8" x14ac:dyDescent="0.3">
      <c r="A1081" s="81" t="s">
        <v>1978</v>
      </c>
      <c r="B1081" s="81" t="s">
        <v>621</v>
      </c>
      <c r="C1081" s="81" t="s">
        <v>1695</v>
      </c>
      <c r="D1081" s="81" t="s">
        <v>3781</v>
      </c>
      <c r="E1081" s="81" t="s">
        <v>16</v>
      </c>
      <c r="F1081" s="81" t="s">
        <v>382</v>
      </c>
      <c r="G1081" s="81" t="s">
        <v>3643</v>
      </c>
      <c r="H1081" s="81" t="s">
        <v>7368</v>
      </c>
    </row>
    <row r="1082" spans="1:8" x14ac:dyDescent="0.3">
      <c r="A1082" s="81" t="s">
        <v>1979</v>
      </c>
      <c r="B1082" s="81" t="s">
        <v>621</v>
      </c>
      <c r="C1082" s="81" t="s">
        <v>1695</v>
      </c>
      <c r="D1082" s="81" t="s">
        <v>3781</v>
      </c>
      <c r="E1082" s="81" t="s">
        <v>16</v>
      </c>
      <c r="F1082" s="81" t="s">
        <v>383</v>
      </c>
      <c r="G1082" s="81" t="s">
        <v>3644</v>
      </c>
      <c r="H1082" s="81" t="s">
        <v>7369</v>
      </c>
    </row>
    <row r="1083" spans="1:8" x14ac:dyDescent="0.3">
      <c r="A1083" s="81" t="s">
        <v>1980</v>
      </c>
      <c r="B1083" s="81" t="s">
        <v>462</v>
      </c>
      <c r="C1083" s="81" t="s">
        <v>1018</v>
      </c>
      <c r="D1083" s="81" t="s">
        <v>3783</v>
      </c>
      <c r="E1083" s="81" t="s">
        <v>20</v>
      </c>
      <c r="F1083" s="81" t="s">
        <v>15</v>
      </c>
      <c r="G1083" s="81" t="s">
        <v>3645</v>
      </c>
      <c r="H1083" s="81" t="s">
        <v>1723</v>
      </c>
    </row>
    <row r="1084" spans="1:8" x14ac:dyDescent="0.3">
      <c r="A1084" s="81" t="s">
        <v>1981</v>
      </c>
      <c r="B1084" s="81" t="s">
        <v>462</v>
      </c>
      <c r="C1084" s="81" t="s">
        <v>1018</v>
      </c>
      <c r="D1084" s="81" t="s">
        <v>3783</v>
      </c>
      <c r="E1084" s="81" t="s">
        <v>16</v>
      </c>
      <c r="F1084" s="81" t="s">
        <v>368</v>
      </c>
      <c r="G1084" s="81" t="s">
        <v>3646</v>
      </c>
      <c r="H1084" s="81" t="s">
        <v>3647</v>
      </c>
    </row>
    <row r="1085" spans="1:8" x14ac:dyDescent="0.3">
      <c r="A1085" s="81" t="s">
        <v>1982</v>
      </c>
      <c r="B1085" s="81" t="s">
        <v>462</v>
      </c>
      <c r="C1085" s="81" t="s">
        <v>1018</v>
      </c>
      <c r="D1085" s="81" t="s">
        <v>3783</v>
      </c>
      <c r="E1085" s="81" t="s">
        <v>16</v>
      </c>
      <c r="F1085" s="81" t="s">
        <v>369</v>
      </c>
      <c r="G1085" s="81" t="s">
        <v>3648</v>
      </c>
      <c r="H1085" s="81" t="s">
        <v>3649</v>
      </c>
    </row>
    <row r="1086" spans="1:8" x14ac:dyDescent="0.3">
      <c r="A1086" s="81" t="s">
        <v>1983</v>
      </c>
      <c r="B1086" s="81" t="s">
        <v>462</v>
      </c>
      <c r="C1086" s="81" t="s">
        <v>1018</v>
      </c>
      <c r="D1086" s="81" t="s">
        <v>3783</v>
      </c>
      <c r="E1086" s="81" t="s">
        <v>16</v>
      </c>
      <c r="F1086" s="81" t="s">
        <v>370</v>
      </c>
      <c r="G1086" s="81" t="s">
        <v>3650</v>
      </c>
      <c r="H1086" s="81" t="s">
        <v>3651</v>
      </c>
    </row>
    <row r="1087" spans="1:8" x14ac:dyDescent="0.3">
      <c r="A1087" s="81" t="s">
        <v>1984</v>
      </c>
      <c r="B1087" s="81" t="s">
        <v>462</v>
      </c>
      <c r="C1087" s="81" t="s">
        <v>1018</v>
      </c>
      <c r="D1087" s="81" t="s">
        <v>3783</v>
      </c>
      <c r="E1087" s="81" t="s">
        <v>16</v>
      </c>
      <c r="F1087" s="81" t="s">
        <v>371</v>
      </c>
      <c r="G1087" s="81" t="s">
        <v>3652</v>
      </c>
      <c r="H1087" s="81" t="s">
        <v>3653</v>
      </c>
    </row>
    <row r="1088" spans="1:8" x14ac:dyDescent="0.3">
      <c r="A1088" s="81" t="s">
        <v>1985</v>
      </c>
      <c r="B1088" s="81" t="s">
        <v>462</v>
      </c>
      <c r="C1088" s="81" t="s">
        <v>1018</v>
      </c>
      <c r="D1088" s="81" t="s">
        <v>3783</v>
      </c>
      <c r="E1088" s="81" t="s">
        <v>16</v>
      </c>
      <c r="F1088" s="81" t="s">
        <v>372</v>
      </c>
      <c r="G1088" s="81" t="s">
        <v>3654</v>
      </c>
      <c r="H1088" s="81" t="s">
        <v>3655</v>
      </c>
    </row>
    <row r="1089" spans="1:8" x14ac:dyDescent="0.3">
      <c r="A1089" s="81" t="s">
        <v>1986</v>
      </c>
      <c r="B1089" s="81" t="s">
        <v>462</v>
      </c>
      <c r="C1089" s="81" t="s">
        <v>1018</v>
      </c>
      <c r="D1089" s="81" t="s">
        <v>3783</v>
      </c>
      <c r="E1089" s="81" t="s">
        <v>16</v>
      </c>
      <c r="F1089" s="81" t="s">
        <v>373</v>
      </c>
      <c r="G1089" s="81" t="s">
        <v>3656</v>
      </c>
      <c r="H1089" s="81" t="s">
        <v>3657</v>
      </c>
    </row>
    <row r="1090" spans="1:8" x14ac:dyDescent="0.3">
      <c r="A1090" s="81" t="s">
        <v>1987</v>
      </c>
      <c r="B1090" s="81" t="s">
        <v>462</v>
      </c>
      <c r="C1090" s="81" t="s">
        <v>1018</v>
      </c>
      <c r="D1090" s="81" t="s">
        <v>3783</v>
      </c>
      <c r="E1090" s="81" t="s">
        <v>16</v>
      </c>
      <c r="F1090" s="81" t="s">
        <v>374</v>
      </c>
      <c r="G1090" s="81" t="s">
        <v>3658</v>
      </c>
      <c r="H1090" s="81" t="s">
        <v>3659</v>
      </c>
    </row>
    <row r="1091" spans="1:8" x14ac:dyDescent="0.3">
      <c r="A1091" s="81" t="s">
        <v>1988</v>
      </c>
      <c r="B1091" s="81" t="s">
        <v>462</v>
      </c>
      <c r="C1091" s="81" t="s">
        <v>1018</v>
      </c>
      <c r="D1091" s="81" t="s">
        <v>3783</v>
      </c>
      <c r="E1091" s="81" t="s">
        <v>16</v>
      </c>
      <c r="F1091" s="81" t="s">
        <v>375</v>
      </c>
      <c r="G1091" s="81" t="s">
        <v>3660</v>
      </c>
      <c r="H1091" s="81" t="s">
        <v>3661</v>
      </c>
    </row>
    <row r="1092" spans="1:8" x14ac:dyDescent="0.3">
      <c r="A1092" s="81" t="s">
        <v>1989</v>
      </c>
      <c r="B1092" s="81" t="s">
        <v>462</v>
      </c>
      <c r="C1092" s="81" t="s">
        <v>1018</v>
      </c>
      <c r="D1092" s="81" t="s">
        <v>3783</v>
      </c>
      <c r="E1092" s="81" t="s">
        <v>16</v>
      </c>
      <c r="F1092" s="81" t="s">
        <v>376</v>
      </c>
      <c r="G1092" s="81" t="s">
        <v>3662</v>
      </c>
      <c r="H1092" s="81" t="s">
        <v>3663</v>
      </c>
    </row>
    <row r="1093" spans="1:8" x14ac:dyDescent="0.3">
      <c r="A1093" s="81" t="s">
        <v>1990</v>
      </c>
      <c r="B1093" s="81" t="s">
        <v>462</v>
      </c>
      <c r="C1093" s="81" t="s">
        <v>1018</v>
      </c>
      <c r="D1093" s="81" t="s">
        <v>3783</v>
      </c>
      <c r="E1093" s="81" t="s">
        <v>16</v>
      </c>
      <c r="F1093" s="81" t="s">
        <v>377</v>
      </c>
      <c r="G1093" s="81" t="s">
        <v>3664</v>
      </c>
      <c r="H1093" s="81" t="s">
        <v>3665</v>
      </c>
    </row>
    <row r="1094" spans="1:8" x14ac:dyDescent="0.3">
      <c r="A1094" s="81" t="s">
        <v>1991</v>
      </c>
      <c r="B1094" s="81" t="s">
        <v>462</v>
      </c>
      <c r="C1094" s="81" t="s">
        <v>1018</v>
      </c>
      <c r="D1094" s="81" t="s">
        <v>3783</v>
      </c>
      <c r="E1094" s="81" t="s">
        <v>16</v>
      </c>
      <c r="F1094" s="81" t="s">
        <v>378</v>
      </c>
      <c r="G1094" s="81" t="s">
        <v>3666</v>
      </c>
      <c r="H1094" s="81" t="s">
        <v>3667</v>
      </c>
    </row>
    <row r="1095" spans="1:8" x14ac:dyDescent="0.3">
      <c r="A1095" s="81" t="s">
        <v>1992</v>
      </c>
      <c r="B1095" s="81" t="s">
        <v>462</v>
      </c>
      <c r="C1095" s="81" t="s">
        <v>1018</v>
      </c>
      <c r="D1095" s="81" t="s">
        <v>3783</v>
      </c>
      <c r="E1095" s="81" t="s">
        <v>16</v>
      </c>
      <c r="F1095" s="81" t="s">
        <v>379</v>
      </c>
      <c r="G1095" s="81" t="s">
        <v>3668</v>
      </c>
      <c r="H1095" s="81" t="s">
        <v>3669</v>
      </c>
    </row>
    <row r="1096" spans="1:8" x14ac:dyDescent="0.3">
      <c r="A1096" s="81" t="s">
        <v>1993</v>
      </c>
      <c r="B1096" s="81" t="s">
        <v>462</v>
      </c>
      <c r="C1096" s="81" t="s">
        <v>1018</v>
      </c>
      <c r="D1096" s="81" t="s">
        <v>3783</v>
      </c>
      <c r="E1096" s="81" t="s">
        <v>16</v>
      </c>
      <c r="F1096" s="81" t="s">
        <v>380</v>
      </c>
      <c r="G1096" s="81" t="s">
        <v>3670</v>
      </c>
      <c r="H1096" s="81" t="s">
        <v>3671</v>
      </c>
    </row>
    <row r="1097" spans="1:8" x14ac:dyDescent="0.3">
      <c r="A1097" s="81" t="s">
        <v>1994</v>
      </c>
      <c r="B1097" s="81" t="s">
        <v>462</v>
      </c>
      <c r="C1097" s="81" t="s">
        <v>1018</v>
      </c>
      <c r="D1097" s="81" t="s">
        <v>3783</v>
      </c>
      <c r="E1097" s="81" t="s">
        <v>16</v>
      </c>
      <c r="F1097" s="81" t="s">
        <v>381</v>
      </c>
      <c r="G1097" s="81" t="s">
        <v>3672</v>
      </c>
      <c r="H1097" s="81" t="s">
        <v>3673</v>
      </c>
    </row>
    <row r="1098" spans="1:8" x14ac:dyDescent="0.3">
      <c r="A1098" s="81" t="s">
        <v>1995</v>
      </c>
      <c r="B1098" s="81" t="s">
        <v>462</v>
      </c>
      <c r="C1098" s="81" t="s">
        <v>1018</v>
      </c>
      <c r="D1098" s="81" t="s">
        <v>3783</v>
      </c>
      <c r="E1098" s="81" t="s">
        <v>16</v>
      </c>
      <c r="F1098" s="81" t="s">
        <v>382</v>
      </c>
      <c r="G1098" s="81" t="s">
        <v>3674</v>
      </c>
      <c r="H1098" s="81" t="s">
        <v>3675</v>
      </c>
    </row>
    <row r="1099" spans="1:8" x14ac:dyDescent="0.3">
      <c r="A1099" s="81" t="s">
        <v>1996</v>
      </c>
      <c r="B1099" s="81" t="s">
        <v>462</v>
      </c>
      <c r="C1099" s="81" t="s">
        <v>1018</v>
      </c>
      <c r="D1099" s="81" t="s">
        <v>3783</v>
      </c>
      <c r="E1099" s="81" t="s">
        <v>16</v>
      </c>
      <c r="F1099" s="81" t="s">
        <v>383</v>
      </c>
      <c r="G1099" s="81" t="s">
        <v>3676</v>
      </c>
      <c r="H1099" s="81" t="s">
        <v>3677</v>
      </c>
    </row>
    <row r="1100" spans="1:8" x14ac:dyDescent="0.3">
      <c r="A1100" s="81" t="s">
        <v>1997</v>
      </c>
      <c r="B1100" s="81" t="s">
        <v>462</v>
      </c>
      <c r="C1100" s="81" t="s">
        <v>1018</v>
      </c>
      <c r="D1100" s="81" t="s">
        <v>3783</v>
      </c>
      <c r="E1100" s="81" t="s">
        <v>20</v>
      </c>
      <c r="F1100" s="81" t="s">
        <v>15</v>
      </c>
      <c r="G1100" s="81" t="s">
        <v>3678</v>
      </c>
      <c r="H1100" s="81" t="s">
        <v>2011</v>
      </c>
    </row>
    <row r="1101" spans="1:8" x14ac:dyDescent="0.3">
      <c r="A1101" s="81" t="s">
        <v>1998</v>
      </c>
      <c r="B1101" s="81" t="s">
        <v>462</v>
      </c>
      <c r="C1101" s="81" t="s">
        <v>1018</v>
      </c>
      <c r="D1101" s="81" t="s">
        <v>3783</v>
      </c>
      <c r="E1101" s="81" t="s">
        <v>16</v>
      </c>
      <c r="F1101" s="81" t="s">
        <v>368</v>
      </c>
      <c r="G1101" s="81" t="s">
        <v>3680</v>
      </c>
      <c r="H1101" s="81" t="s">
        <v>3681</v>
      </c>
    </row>
    <row r="1102" spans="1:8" x14ac:dyDescent="0.3">
      <c r="A1102" s="81" t="s">
        <v>1999</v>
      </c>
      <c r="B1102" s="81" t="s">
        <v>462</v>
      </c>
      <c r="C1102" s="81" t="s">
        <v>1018</v>
      </c>
      <c r="D1102" s="81" t="s">
        <v>3783</v>
      </c>
      <c r="E1102" s="81" t="s">
        <v>16</v>
      </c>
      <c r="F1102" s="81" t="s">
        <v>369</v>
      </c>
      <c r="G1102" s="81" t="s">
        <v>3683</v>
      </c>
      <c r="H1102" s="81" t="s">
        <v>3684</v>
      </c>
    </row>
    <row r="1103" spans="1:8" x14ac:dyDescent="0.3">
      <c r="A1103" s="81" t="s">
        <v>2000</v>
      </c>
      <c r="B1103" s="81" t="s">
        <v>462</v>
      </c>
      <c r="C1103" s="81" t="s">
        <v>1018</v>
      </c>
      <c r="D1103" s="81" t="s">
        <v>3783</v>
      </c>
      <c r="E1103" s="81" t="s">
        <v>16</v>
      </c>
      <c r="F1103" s="81" t="s">
        <v>370</v>
      </c>
      <c r="G1103" s="81" t="s">
        <v>3686</v>
      </c>
      <c r="H1103" s="81" t="s">
        <v>3687</v>
      </c>
    </row>
    <row r="1104" spans="1:8" x14ac:dyDescent="0.3">
      <c r="A1104" s="81" t="s">
        <v>2001</v>
      </c>
      <c r="B1104" s="81" t="s">
        <v>462</v>
      </c>
      <c r="C1104" s="81" t="s">
        <v>1018</v>
      </c>
      <c r="D1104" s="81" t="s">
        <v>3783</v>
      </c>
      <c r="E1104" s="81" t="s">
        <v>16</v>
      </c>
      <c r="F1104" s="81" t="s">
        <v>371</v>
      </c>
      <c r="G1104" s="81" t="s">
        <v>3689</v>
      </c>
      <c r="H1104" s="81" t="s">
        <v>3690</v>
      </c>
    </row>
    <row r="1105" spans="1:8" x14ac:dyDescent="0.3">
      <c r="A1105" s="81" t="s">
        <v>2002</v>
      </c>
      <c r="B1105" s="81" t="s">
        <v>462</v>
      </c>
      <c r="C1105" s="81" t="s">
        <v>1018</v>
      </c>
      <c r="D1105" s="81" t="s">
        <v>3783</v>
      </c>
      <c r="E1105" s="81" t="s">
        <v>16</v>
      </c>
      <c r="F1105" s="81" t="s">
        <v>372</v>
      </c>
      <c r="G1105" s="81" t="s">
        <v>3692</v>
      </c>
      <c r="H1105" s="81" t="s">
        <v>3693</v>
      </c>
    </row>
    <row r="1106" spans="1:8" x14ac:dyDescent="0.3">
      <c r="A1106" s="81" t="s">
        <v>2003</v>
      </c>
      <c r="B1106" s="81" t="s">
        <v>462</v>
      </c>
      <c r="C1106" s="81" t="s">
        <v>1018</v>
      </c>
      <c r="D1106" s="81" t="s">
        <v>3783</v>
      </c>
      <c r="E1106" s="81" t="s">
        <v>16</v>
      </c>
      <c r="F1106" s="81" t="s">
        <v>373</v>
      </c>
      <c r="G1106" s="81" t="s">
        <v>3695</v>
      </c>
      <c r="H1106" s="81" t="s">
        <v>3696</v>
      </c>
    </row>
    <row r="1107" spans="1:8" x14ac:dyDescent="0.3">
      <c r="A1107" s="81" t="s">
        <v>2004</v>
      </c>
      <c r="B1107" s="81" t="s">
        <v>462</v>
      </c>
      <c r="C1107" s="81" t="s">
        <v>1018</v>
      </c>
      <c r="D1107" s="81" t="s">
        <v>3783</v>
      </c>
      <c r="E1107" s="81" t="s">
        <v>16</v>
      </c>
      <c r="F1107" s="81" t="s">
        <v>374</v>
      </c>
      <c r="G1107" s="81" t="s">
        <v>3698</v>
      </c>
      <c r="H1107" s="81" t="s">
        <v>3699</v>
      </c>
    </row>
    <row r="1108" spans="1:8" x14ac:dyDescent="0.3">
      <c r="A1108" s="81" t="s">
        <v>2005</v>
      </c>
      <c r="B1108" s="81" t="s">
        <v>462</v>
      </c>
      <c r="C1108" s="81" t="s">
        <v>1018</v>
      </c>
      <c r="D1108" s="81" t="s">
        <v>3783</v>
      </c>
      <c r="E1108" s="81" t="s">
        <v>16</v>
      </c>
      <c r="F1108" s="81" t="s">
        <v>375</v>
      </c>
      <c r="G1108" s="81" t="s">
        <v>3701</v>
      </c>
      <c r="H1108" s="81" t="s">
        <v>3702</v>
      </c>
    </row>
    <row r="1109" spans="1:8" x14ac:dyDescent="0.3">
      <c r="A1109" s="81" t="s">
        <v>2006</v>
      </c>
      <c r="B1109" s="81" t="s">
        <v>462</v>
      </c>
      <c r="C1109" s="81" t="s">
        <v>1018</v>
      </c>
      <c r="D1109" s="81" t="s">
        <v>3783</v>
      </c>
      <c r="E1109" s="81" t="s">
        <v>16</v>
      </c>
      <c r="F1109" s="81" t="s">
        <v>376</v>
      </c>
      <c r="G1109" s="81" t="s">
        <v>3704</v>
      </c>
      <c r="H1109" s="81" t="s">
        <v>3705</v>
      </c>
    </row>
    <row r="1110" spans="1:8" x14ac:dyDescent="0.3">
      <c r="A1110" s="81" t="s">
        <v>2007</v>
      </c>
      <c r="B1110" s="81" t="s">
        <v>462</v>
      </c>
      <c r="C1110" s="81" t="s">
        <v>1018</v>
      </c>
      <c r="D1110" s="81" t="s">
        <v>3783</v>
      </c>
      <c r="E1110" s="81" t="s">
        <v>16</v>
      </c>
      <c r="F1110" s="81" t="s">
        <v>377</v>
      </c>
      <c r="G1110" s="81" t="s">
        <v>3707</v>
      </c>
      <c r="H1110" s="81" t="s">
        <v>3708</v>
      </c>
    </row>
    <row r="1111" spans="1:8" x14ac:dyDescent="0.3">
      <c r="A1111" s="81" t="s">
        <v>2008</v>
      </c>
      <c r="B1111" s="81" t="s">
        <v>462</v>
      </c>
      <c r="C1111" s="81" t="s">
        <v>1018</v>
      </c>
      <c r="D1111" s="81" t="s">
        <v>3783</v>
      </c>
      <c r="E1111" s="81" t="s">
        <v>16</v>
      </c>
      <c r="F1111" s="81" t="s">
        <v>378</v>
      </c>
      <c r="G1111" s="81" t="s">
        <v>3710</v>
      </c>
      <c r="H1111" s="81" t="s">
        <v>3711</v>
      </c>
    </row>
    <row r="1112" spans="1:8" x14ac:dyDescent="0.3">
      <c r="A1112" s="81" t="s">
        <v>2009</v>
      </c>
      <c r="B1112" s="81" t="s">
        <v>462</v>
      </c>
      <c r="C1112" s="81" t="s">
        <v>1018</v>
      </c>
      <c r="D1112" s="81" t="s">
        <v>3783</v>
      </c>
      <c r="E1112" s="81" t="s">
        <v>16</v>
      </c>
      <c r="F1112" s="81" t="s">
        <v>379</v>
      </c>
      <c r="G1112" s="81" t="s">
        <v>3713</v>
      </c>
      <c r="H1112" s="81" t="s">
        <v>3714</v>
      </c>
    </row>
    <row r="1113" spans="1:8" x14ac:dyDescent="0.3">
      <c r="A1113" s="81" t="s">
        <v>1451</v>
      </c>
      <c r="B1113" s="81" t="s">
        <v>462</v>
      </c>
      <c r="C1113" s="81" t="s">
        <v>1018</v>
      </c>
      <c r="D1113" s="81" t="s">
        <v>3783</v>
      </c>
      <c r="E1113" s="81" t="s">
        <v>16</v>
      </c>
      <c r="F1113" s="81" t="s">
        <v>380</v>
      </c>
      <c r="G1113" s="81" t="s">
        <v>3716</v>
      </c>
      <c r="H1113" s="81" t="s">
        <v>3717</v>
      </c>
    </row>
    <row r="1114" spans="1:8" x14ac:dyDescent="0.3">
      <c r="A1114" s="81" t="s">
        <v>1452</v>
      </c>
      <c r="B1114" s="81" t="s">
        <v>462</v>
      </c>
      <c r="C1114" s="81" t="s">
        <v>1018</v>
      </c>
      <c r="D1114" s="81" t="s">
        <v>3783</v>
      </c>
      <c r="E1114" s="81" t="s">
        <v>16</v>
      </c>
      <c r="F1114" s="81" t="s">
        <v>381</v>
      </c>
      <c r="G1114" s="81" t="s">
        <v>3719</v>
      </c>
      <c r="H1114" s="81" t="s">
        <v>3720</v>
      </c>
    </row>
    <row r="1115" spans="1:8" x14ac:dyDescent="0.3">
      <c r="A1115" s="81" t="s">
        <v>1453</v>
      </c>
      <c r="B1115" s="81" t="s">
        <v>462</v>
      </c>
      <c r="C1115" s="81" t="s">
        <v>1018</v>
      </c>
      <c r="D1115" s="81" t="s">
        <v>3783</v>
      </c>
      <c r="E1115" s="81" t="s">
        <v>16</v>
      </c>
      <c r="F1115" s="81" t="s">
        <v>382</v>
      </c>
      <c r="G1115" s="81" t="s">
        <v>3722</v>
      </c>
      <c r="H1115" s="81" t="s">
        <v>3723</v>
      </c>
    </row>
    <row r="1116" spans="1:8" x14ac:dyDescent="0.3">
      <c r="A1116" s="81" t="s">
        <v>1454</v>
      </c>
      <c r="B1116" s="81" t="s">
        <v>462</v>
      </c>
      <c r="C1116" s="81" t="s">
        <v>1018</v>
      </c>
      <c r="D1116" s="81" t="s">
        <v>3783</v>
      </c>
      <c r="E1116" s="81" t="s">
        <v>16</v>
      </c>
      <c r="F1116" s="81" t="s">
        <v>383</v>
      </c>
      <c r="G1116" s="81" t="s">
        <v>3725</v>
      </c>
      <c r="H1116" s="81" t="s">
        <v>3726</v>
      </c>
    </row>
    <row r="1117" spans="1:8" x14ac:dyDescent="0.3">
      <c r="A1117" s="81" t="s">
        <v>1455</v>
      </c>
      <c r="B1117" s="81" t="s">
        <v>508</v>
      </c>
      <c r="C1117" s="81" t="s">
        <v>5298</v>
      </c>
      <c r="D1117" s="81" t="s">
        <v>3795</v>
      </c>
      <c r="E1117" s="81" t="s">
        <v>20</v>
      </c>
      <c r="F1117" s="81" t="s">
        <v>15</v>
      </c>
      <c r="G1117" s="81" t="s">
        <v>4278</v>
      </c>
      <c r="H1117" s="81" t="s">
        <v>3796</v>
      </c>
    </row>
    <row r="1118" spans="1:8" x14ac:dyDescent="0.3">
      <c r="A1118" s="81" t="s">
        <v>3801</v>
      </c>
      <c r="B1118" s="81" t="s">
        <v>574</v>
      </c>
      <c r="C1118" s="81" t="s">
        <v>1021</v>
      </c>
      <c r="D1118" s="81" t="s">
        <v>3784</v>
      </c>
      <c r="E1118" s="81" t="s">
        <v>16</v>
      </c>
      <c r="F1118" s="81" t="s">
        <v>368</v>
      </c>
      <c r="G1118" s="81" t="s">
        <v>3682</v>
      </c>
      <c r="H1118" s="81" t="s">
        <v>3681</v>
      </c>
    </row>
    <row r="1119" spans="1:8" x14ac:dyDescent="0.3">
      <c r="A1119" s="81" t="s">
        <v>3807</v>
      </c>
      <c r="B1119" s="81" t="s">
        <v>574</v>
      </c>
      <c r="C1119" s="81" t="s">
        <v>1021</v>
      </c>
      <c r="D1119" s="81" t="s">
        <v>3784</v>
      </c>
      <c r="E1119" s="81" t="s">
        <v>16</v>
      </c>
      <c r="F1119" s="81" t="s">
        <v>369</v>
      </c>
      <c r="G1119" s="81" t="s">
        <v>3685</v>
      </c>
      <c r="H1119" s="81" t="s">
        <v>3684</v>
      </c>
    </row>
    <row r="1120" spans="1:8" x14ac:dyDescent="0.3">
      <c r="A1120" s="81" t="s">
        <v>3808</v>
      </c>
      <c r="B1120" s="81" t="s">
        <v>574</v>
      </c>
      <c r="C1120" s="81" t="s">
        <v>1021</v>
      </c>
      <c r="D1120" s="81" t="s">
        <v>3784</v>
      </c>
      <c r="E1120" s="81" t="s">
        <v>16</v>
      </c>
      <c r="F1120" s="81" t="s">
        <v>370</v>
      </c>
      <c r="G1120" s="81" t="s">
        <v>3688</v>
      </c>
      <c r="H1120" s="81" t="s">
        <v>3687</v>
      </c>
    </row>
    <row r="1121" spans="1:8" x14ac:dyDescent="0.3">
      <c r="A1121" s="81" t="s">
        <v>3809</v>
      </c>
      <c r="B1121" s="81" t="s">
        <v>574</v>
      </c>
      <c r="C1121" s="81" t="s">
        <v>1021</v>
      </c>
      <c r="D1121" s="81" t="s">
        <v>3784</v>
      </c>
      <c r="E1121" s="81" t="s">
        <v>16</v>
      </c>
      <c r="F1121" s="81" t="s">
        <v>371</v>
      </c>
      <c r="G1121" s="81" t="s">
        <v>3691</v>
      </c>
      <c r="H1121" s="81" t="s">
        <v>3690</v>
      </c>
    </row>
    <row r="1122" spans="1:8" x14ac:dyDescent="0.3">
      <c r="A1122" s="81" t="s">
        <v>3810</v>
      </c>
      <c r="B1122" s="81" t="s">
        <v>574</v>
      </c>
      <c r="C1122" s="81" t="s">
        <v>1021</v>
      </c>
      <c r="D1122" s="81" t="s">
        <v>3784</v>
      </c>
      <c r="E1122" s="81" t="s">
        <v>16</v>
      </c>
      <c r="F1122" s="81" t="s">
        <v>372</v>
      </c>
      <c r="G1122" s="81" t="s">
        <v>3694</v>
      </c>
      <c r="H1122" s="81" t="s">
        <v>3693</v>
      </c>
    </row>
    <row r="1123" spans="1:8" x14ac:dyDescent="0.3">
      <c r="A1123" s="81" t="s">
        <v>3811</v>
      </c>
      <c r="B1123" s="81" t="s">
        <v>574</v>
      </c>
      <c r="C1123" s="81" t="s">
        <v>1021</v>
      </c>
      <c r="D1123" s="81" t="s">
        <v>3784</v>
      </c>
      <c r="E1123" s="81" t="s">
        <v>16</v>
      </c>
      <c r="F1123" s="81" t="s">
        <v>373</v>
      </c>
      <c r="G1123" s="81" t="s">
        <v>3697</v>
      </c>
      <c r="H1123" s="81" t="s">
        <v>3696</v>
      </c>
    </row>
    <row r="1124" spans="1:8" x14ac:dyDescent="0.3">
      <c r="A1124" s="81" t="s">
        <v>3812</v>
      </c>
      <c r="B1124" s="81" t="s">
        <v>574</v>
      </c>
      <c r="C1124" s="81" t="s">
        <v>1021</v>
      </c>
      <c r="D1124" s="81" t="s">
        <v>3784</v>
      </c>
      <c r="E1124" s="81" t="s">
        <v>16</v>
      </c>
      <c r="F1124" s="81" t="s">
        <v>374</v>
      </c>
      <c r="G1124" s="81" t="s">
        <v>3700</v>
      </c>
      <c r="H1124" s="81" t="s">
        <v>3699</v>
      </c>
    </row>
    <row r="1125" spans="1:8" x14ac:dyDescent="0.3">
      <c r="A1125" s="81" t="s">
        <v>3813</v>
      </c>
      <c r="B1125" s="81" t="s">
        <v>574</v>
      </c>
      <c r="C1125" s="81" t="s">
        <v>1021</v>
      </c>
      <c r="D1125" s="81" t="s">
        <v>3784</v>
      </c>
      <c r="E1125" s="81" t="s">
        <v>16</v>
      </c>
      <c r="F1125" s="81" t="s">
        <v>375</v>
      </c>
      <c r="G1125" s="81" t="s">
        <v>3703</v>
      </c>
      <c r="H1125" s="81" t="s">
        <v>3702</v>
      </c>
    </row>
    <row r="1126" spans="1:8" x14ac:dyDescent="0.3">
      <c r="A1126" s="81" t="s">
        <v>3814</v>
      </c>
      <c r="B1126" s="81" t="s">
        <v>574</v>
      </c>
      <c r="C1126" s="81" t="s">
        <v>1021</v>
      </c>
      <c r="D1126" s="81" t="s">
        <v>3784</v>
      </c>
      <c r="E1126" s="81" t="s">
        <v>16</v>
      </c>
      <c r="F1126" s="81" t="s">
        <v>376</v>
      </c>
      <c r="G1126" s="81" t="s">
        <v>3706</v>
      </c>
      <c r="H1126" s="81" t="s">
        <v>3705</v>
      </c>
    </row>
    <row r="1127" spans="1:8" x14ac:dyDescent="0.3">
      <c r="A1127" s="81" t="s">
        <v>3815</v>
      </c>
      <c r="B1127" s="81" t="s">
        <v>574</v>
      </c>
      <c r="C1127" s="81" t="s">
        <v>1021</v>
      </c>
      <c r="D1127" s="81" t="s">
        <v>3784</v>
      </c>
      <c r="E1127" s="81" t="s">
        <v>16</v>
      </c>
      <c r="F1127" s="81" t="s">
        <v>377</v>
      </c>
      <c r="G1127" s="81" t="s">
        <v>3709</v>
      </c>
      <c r="H1127" s="81" t="s">
        <v>3708</v>
      </c>
    </row>
    <row r="1128" spans="1:8" x14ac:dyDescent="0.3">
      <c r="A1128" s="81" t="s">
        <v>3816</v>
      </c>
      <c r="B1128" s="81" t="s">
        <v>574</v>
      </c>
      <c r="C1128" s="81" t="s">
        <v>1021</v>
      </c>
      <c r="D1128" s="81" t="s">
        <v>3784</v>
      </c>
      <c r="E1128" s="81" t="s">
        <v>16</v>
      </c>
      <c r="F1128" s="81" t="s">
        <v>378</v>
      </c>
      <c r="G1128" s="81" t="s">
        <v>3712</v>
      </c>
      <c r="H1128" s="81" t="s">
        <v>3711</v>
      </c>
    </row>
    <row r="1129" spans="1:8" x14ac:dyDescent="0.3">
      <c r="A1129" s="81" t="s">
        <v>3817</v>
      </c>
      <c r="B1129" s="81" t="s">
        <v>574</v>
      </c>
      <c r="C1129" s="81" t="s">
        <v>1021</v>
      </c>
      <c r="D1129" s="81" t="s">
        <v>3784</v>
      </c>
      <c r="E1129" s="81" t="s">
        <v>16</v>
      </c>
      <c r="F1129" s="81" t="s">
        <v>379</v>
      </c>
      <c r="G1129" s="81" t="s">
        <v>3715</v>
      </c>
      <c r="H1129" s="81" t="s">
        <v>3714</v>
      </c>
    </row>
    <row r="1130" spans="1:8" x14ac:dyDescent="0.3">
      <c r="A1130" s="81" t="s">
        <v>3818</v>
      </c>
      <c r="B1130" s="81" t="s">
        <v>574</v>
      </c>
      <c r="C1130" s="81" t="s">
        <v>1021</v>
      </c>
      <c r="D1130" s="81" t="s">
        <v>3784</v>
      </c>
      <c r="E1130" s="81" t="s">
        <v>16</v>
      </c>
      <c r="F1130" s="81" t="s">
        <v>380</v>
      </c>
      <c r="G1130" s="81" t="s">
        <v>3718</v>
      </c>
      <c r="H1130" s="81" t="s">
        <v>3717</v>
      </c>
    </row>
    <row r="1131" spans="1:8" x14ac:dyDescent="0.3">
      <c r="A1131" s="81" t="s">
        <v>3819</v>
      </c>
      <c r="B1131" s="81" t="s">
        <v>574</v>
      </c>
      <c r="C1131" s="81" t="s">
        <v>1021</v>
      </c>
      <c r="D1131" s="81" t="s">
        <v>3784</v>
      </c>
      <c r="E1131" s="81" t="s">
        <v>16</v>
      </c>
      <c r="F1131" s="81" t="s">
        <v>381</v>
      </c>
      <c r="G1131" s="81" t="s">
        <v>3721</v>
      </c>
      <c r="H1131" s="81" t="s">
        <v>3720</v>
      </c>
    </row>
    <row r="1132" spans="1:8" x14ac:dyDescent="0.3">
      <c r="A1132" s="81" t="s">
        <v>3820</v>
      </c>
      <c r="B1132" s="81" t="s">
        <v>574</v>
      </c>
      <c r="C1132" s="81" t="s">
        <v>1021</v>
      </c>
      <c r="D1132" s="81" t="s">
        <v>3784</v>
      </c>
      <c r="E1132" s="81" t="s">
        <v>16</v>
      </c>
      <c r="F1132" s="81" t="s">
        <v>382</v>
      </c>
      <c r="G1132" s="81" t="s">
        <v>3724</v>
      </c>
      <c r="H1132" s="81" t="s">
        <v>3723</v>
      </c>
    </row>
    <row r="1133" spans="1:8" x14ac:dyDescent="0.3">
      <c r="A1133" s="81" t="s">
        <v>3821</v>
      </c>
      <c r="B1133" s="81" t="s">
        <v>574</v>
      </c>
      <c r="C1133" s="81" t="s">
        <v>1021</v>
      </c>
      <c r="D1133" s="81" t="s">
        <v>3784</v>
      </c>
      <c r="E1133" s="81" t="s">
        <v>16</v>
      </c>
      <c r="F1133" s="81" t="s">
        <v>383</v>
      </c>
      <c r="G1133" s="81" t="s">
        <v>3727</v>
      </c>
      <c r="H1133" s="81" t="s">
        <v>3726</v>
      </c>
    </row>
    <row r="1134" spans="1:8" x14ac:dyDescent="0.3">
      <c r="A1134" s="81" t="s">
        <v>3822</v>
      </c>
      <c r="B1134" s="81" t="s">
        <v>508</v>
      </c>
      <c r="C1134" s="81" t="s">
        <v>5298</v>
      </c>
      <c r="D1134" s="81" t="s">
        <v>3795</v>
      </c>
      <c r="E1134" s="81" t="s">
        <v>16</v>
      </c>
      <c r="F1134" s="81" t="s">
        <v>368</v>
      </c>
      <c r="G1134" s="81" t="s">
        <v>4279</v>
      </c>
      <c r="H1134" s="81" t="s">
        <v>4280</v>
      </c>
    </row>
    <row r="1135" spans="1:8" x14ac:dyDescent="0.3">
      <c r="A1135" s="81" t="s">
        <v>3828</v>
      </c>
      <c r="B1135" s="81" t="s">
        <v>508</v>
      </c>
      <c r="C1135" s="81" t="s">
        <v>5298</v>
      </c>
      <c r="D1135" s="81" t="s">
        <v>3795</v>
      </c>
      <c r="E1135" s="81" t="s">
        <v>16</v>
      </c>
      <c r="F1135" s="81" t="s">
        <v>369</v>
      </c>
      <c r="G1135" s="81" t="s">
        <v>4281</v>
      </c>
      <c r="H1135" s="81" t="s">
        <v>4282</v>
      </c>
    </row>
    <row r="1136" spans="1:8" x14ac:dyDescent="0.3">
      <c r="A1136" s="81" t="s">
        <v>3829</v>
      </c>
      <c r="B1136" s="81" t="s">
        <v>508</v>
      </c>
      <c r="C1136" s="81" t="s">
        <v>5298</v>
      </c>
      <c r="D1136" s="81" t="s">
        <v>3795</v>
      </c>
      <c r="E1136" s="81" t="s">
        <v>16</v>
      </c>
      <c r="F1136" s="81" t="s">
        <v>370</v>
      </c>
      <c r="G1136" s="81" t="s">
        <v>4283</v>
      </c>
      <c r="H1136" s="81" t="s">
        <v>4284</v>
      </c>
    </row>
    <row r="1137" spans="1:8" x14ac:dyDescent="0.3">
      <c r="A1137" s="81" t="s">
        <v>3830</v>
      </c>
      <c r="B1137" s="81" t="s">
        <v>508</v>
      </c>
      <c r="C1137" s="81" t="s">
        <v>5298</v>
      </c>
      <c r="D1137" s="81" t="s">
        <v>3795</v>
      </c>
      <c r="E1137" s="81" t="s">
        <v>16</v>
      </c>
      <c r="F1137" s="81" t="s">
        <v>371</v>
      </c>
      <c r="G1137" s="81" t="s">
        <v>4285</v>
      </c>
      <c r="H1137" s="81" t="s">
        <v>4286</v>
      </c>
    </row>
    <row r="1138" spans="1:8" x14ac:dyDescent="0.3">
      <c r="A1138" s="81" t="s">
        <v>3831</v>
      </c>
      <c r="B1138" s="81" t="s">
        <v>508</v>
      </c>
      <c r="C1138" s="81" t="s">
        <v>5298</v>
      </c>
      <c r="D1138" s="81" t="s">
        <v>3795</v>
      </c>
      <c r="E1138" s="81" t="s">
        <v>16</v>
      </c>
      <c r="F1138" s="81" t="s">
        <v>372</v>
      </c>
      <c r="G1138" s="81" t="s">
        <v>4287</v>
      </c>
      <c r="H1138" s="81" t="s">
        <v>4288</v>
      </c>
    </row>
    <row r="1139" spans="1:8" x14ac:dyDescent="0.3">
      <c r="A1139" s="81" t="s">
        <v>3832</v>
      </c>
      <c r="B1139" s="81" t="s">
        <v>508</v>
      </c>
      <c r="C1139" s="81" t="s">
        <v>5298</v>
      </c>
      <c r="D1139" s="81" t="s">
        <v>3795</v>
      </c>
      <c r="E1139" s="81" t="s">
        <v>16</v>
      </c>
      <c r="F1139" s="81" t="s">
        <v>373</v>
      </c>
      <c r="G1139" s="81" t="s">
        <v>4289</v>
      </c>
      <c r="H1139" s="81" t="s">
        <v>4290</v>
      </c>
    </row>
    <row r="1140" spans="1:8" x14ac:dyDescent="0.3">
      <c r="A1140" s="81" t="s">
        <v>3833</v>
      </c>
      <c r="B1140" s="81" t="s">
        <v>508</v>
      </c>
      <c r="C1140" s="81" t="s">
        <v>5298</v>
      </c>
      <c r="D1140" s="81" t="s">
        <v>3795</v>
      </c>
      <c r="E1140" s="81" t="s">
        <v>16</v>
      </c>
      <c r="F1140" s="81" t="s">
        <v>374</v>
      </c>
      <c r="G1140" s="81" t="s">
        <v>4291</v>
      </c>
      <c r="H1140" s="81" t="s">
        <v>4292</v>
      </c>
    </row>
    <row r="1141" spans="1:8" x14ac:dyDescent="0.3">
      <c r="A1141" s="81" t="s">
        <v>3834</v>
      </c>
      <c r="B1141" s="81" t="s">
        <v>508</v>
      </c>
      <c r="C1141" s="81" t="s">
        <v>5298</v>
      </c>
      <c r="D1141" s="81" t="s">
        <v>3795</v>
      </c>
      <c r="E1141" s="81" t="s">
        <v>16</v>
      </c>
      <c r="F1141" s="81" t="s">
        <v>375</v>
      </c>
      <c r="G1141" s="81" t="s">
        <v>4293</v>
      </c>
      <c r="H1141" s="81" t="s">
        <v>4294</v>
      </c>
    </row>
    <row r="1142" spans="1:8" x14ac:dyDescent="0.3">
      <c r="A1142" s="81" t="s">
        <v>3835</v>
      </c>
      <c r="B1142" s="81" t="s">
        <v>508</v>
      </c>
      <c r="C1142" s="81" t="s">
        <v>5298</v>
      </c>
      <c r="D1142" s="81" t="s">
        <v>3795</v>
      </c>
      <c r="E1142" s="81" t="s">
        <v>16</v>
      </c>
      <c r="F1142" s="81" t="s">
        <v>376</v>
      </c>
      <c r="G1142" s="81" t="s">
        <v>4295</v>
      </c>
      <c r="H1142" s="81" t="s">
        <v>4296</v>
      </c>
    </row>
    <row r="1143" spans="1:8" x14ac:dyDescent="0.3">
      <c r="A1143" s="81" t="s">
        <v>3836</v>
      </c>
      <c r="B1143" s="81" t="s">
        <v>508</v>
      </c>
      <c r="C1143" s="81" t="s">
        <v>5298</v>
      </c>
      <c r="D1143" s="81" t="s">
        <v>3795</v>
      </c>
      <c r="E1143" s="81" t="s">
        <v>16</v>
      </c>
      <c r="F1143" s="81" t="s">
        <v>377</v>
      </c>
      <c r="G1143" s="81" t="s">
        <v>4297</v>
      </c>
      <c r="H1143" s="81" t="s">
        <v>4298</v>
      </c>
    </row>
    <row r="1144" spans="1:8" x14ac:dyDescent="0.3">
      <c r="A1144" s="81" t="s">
        <v>3837</v>
      </c>
      <c r="B1144" s="81" t="s">
        <v>508</v>
      </c>
      <c r="C1144" s="81" t="s">
        <v>5298</v>
      </c>
      <c r="D1144" s="81" t="s">
        <v>3795</v>
      </c>
      <c r="E1144" s="81" t="s">
        <v>16</v>
      </c>
      <c r="F1144" s="81" t="s">
        <v>378</v>
      </c>
      <c r="G1144" s="81" t="s">
        <v>4299</v>
      </c>
      <c r="H1144" s="81" t="s">
        <v>4300</v>
      </c>
    </row>
    <row r="1145" spans="1:8" x14ac:dyDescent="0.3">
      <c r="A1145" s="81" t="s">
        <v>3838</v>
      </c>
      <c r="B1145" s="81" t="s">
        <v>508</v>
      </c>
      <c r="C1145" s="81" t="s">
        <v>5298</v>
      </c>
      <c r="D1145" s="81" t="s">
        <v>3795</v>
      </c>
      <c r="E1145" s="81" t="s">
        <v>16</v>
      </c>
      <c r="F1145" s="81" t="s">
        <v>379</v>
      </c>
      <c r="G1145" s="81" t="s">
        <v>4301</v>
      </c>
      <c r="H1145" s="81" t="s">
        <v>4302</v>
      </c>
    </row>
    <row r="1146" spans="1:8" x14ac:dyDescent="0.3">
      <c r="A1146" s="81" t="s">
        <v>3839</v>
      </c>
      <c r="B1146" s="81" t="s">
        <v>508</v>
      </c>
      <c r="C1146" s="81" t="s">
        <v>5298</v>
      </c>
      <c r="D1146" s="81" t="s">
        <v>3795</v>
      </c>
      <c r="E1146" s="81" t="s">
        <v>16</v>
      </c>
      <c r="F1146" s="81" t="s">
        <v>380</v>
      </c>
      <c r="G1146" s="81" t="s">
        <v>4303</v>
      </c>
      <c r="H1146" s="81" t="s">
        <v>4304</v>
      </c>
    </row>
    <row r="1147" spans="1:8" x14ac:dyDescent="0.3">
      <c r="A1147" s="81" t="s">
        <v>3840</v>
      </c>
      <c r="B1147" s="81" t="s">
        <v>508</v>
      </c>
      <c r="C1147" s="81" t="s">
        <v>5298</v>
      </c>
      <c r="D1147" s="81" t="s">
        <v>3795</v>
      </c>
      <c r="E1147" s="81" t="s">
        <v>16</v>
      </c>
      <c r="F1147" s="81" t="s">
        <v>381</v>
      </c>
      <c r="G1147" s="81" t="s">
        <v>4305</v>
      </c>
      <c r="H1147" s="81" t="s">
        <v>4306</v>
      </c>
    </row>
    <row r="1148" spans="1:8" x14ac:dyDescent="0.3">
      <c r="A1148" s="81" t="s">
        <v>3841</v>
      </c>
      <c r="B1148" s="81" t="s">
        <v>508</v>
      </c>
      <c r="C1148" s="81" t="s">
        <v>5298</v>
      </c>
      <c r="D1148" s="81" t="s">
        <v>3795</v>
      </c>
      <c r="E1148" s="81" t="s">
        <v>16</v>
      </c>
      <c r="F1148" s="81" t="s">
        <v>382</v>
      </c>
      <c r="G1148" s="81" t="s">
        <v>4307</v>
      </c>
      <c r="H1148" s="81" t="s">
        <v>4308</v>
      </c>
    </row>
    <row r="1149" spans="1:8" x14ac:dyDescent="0.3">
      <c r="A1149" s="81" t="s">
        <v>3842</v>
      </c>
      <c r="B1149" s="81" t="s">
        <v>508</v>
      </c>
      <c r="C1149" s="81" t="s">
        <v>5298</v>
      </c>
      <c r="D1149" s="81" t="s">
        <v>3795</v>
      </c>
      <c r="E1149" s="81" t="s">
        <v>16</v>
      </c>
      <c r="F1149" s="81" t="s">
        <v>383</v>
      </c>
      <c r="G1149" s="81" t="s">
        <v>4309</v>
      </c>
      <c r="H1149" s="81" t="s">
        <v>4310</v>
      </c>
    </row>
    <row r="1150" spans="1:8" x14ac:dyDescent="0.3">
      <c r="A1150" s="81" t="s">
        <v>3843</v>
      </c>
      <c r="B1150" s="81" t="s">
        <v>574</v>
      </c>
      <c r="C1150" s="81" t="s">
        <v>3802</v>
      </c>
      <c r="D1150" s="81" t="s">
        <v>3802</v>
      </c>
      <c r="E1150" s="81" t="s">
        <v>20</v>
      </c>
      <c r="F1150" s="81" t="s">
        <v>15</v>
      </c>
      <c r="G1150" s="81" t="s">
        <v>4686</v>
      </c>
      <c r="H1150" s="81" t="s">
        <v>3806</v>
      </c>
    </row>
    <row r="1151" spans="1:8" x14ac:dyDescent="0.3">
      <c r="A1151" s="81" t="s">
        <v>3844</v>
      </c>
      <c r="B1151" s="81" t="s">
        <v>574</v>
      </c>
      <c r="C1151" s="81" t="s">
        <v>3802</v>
      </c>
      <c r="D1151" s="81" t="s">
        <v>3802</v>
      </c>
      <c r="E1151" s="81" t="s">
        <v>16</v>
      </c>
      <c r="F1151" s="81" t="s">
        <v>368</v>
      </c>
      <c r="G1151" s="81" t="s">
        <v>4313</v>
      </c>
      <c r="H1151" s="81" t="s">
        <v>4314</v>
      </c>
    </row>
    <row r="1152" spans="1:8" x14ac:dyDescent="0.3">
      <c r="A1152" s="81" t="s">
        <v>3848</v>
      </c>
      <c r="B1152" s="81" t="s">
        <v>574</v>
      </c>
      <c r="C1152" s="81" t="s">
        <v>3802</v>
      </c>
      <c r="D1152" s="81" t="s">
        <v>3802</v>
      </c>
      <c r="E1152" s="81" t="s">
        <v>16</v>
      </c>
      <c r="F1152" s="81" t="s">
        <v>369</v>
      </c>
      <c r="G1152" s="81" t="s">
        <v>4315</v>
      </c>
      <c r="H1152" s="81" t="s">
        <v>4316</v>
      </c>
    </row>
    <row r="1153" spans="1:8" x14ac:dyDescent="0.3">
      <c r="A1153" s="81" t="s">
        <v>3849</v>
      </c>
      <c r="B1153" s="81" t="s">
        <v>574</v>
      </c>
      <c r="C1153" s="81" t="s">
        <v>3802</v>
      </c>
      <c r="D1153" s="81" t="s">
        <v>3802</v>
      </c>
      <c r="E1153" s="81" t="s">
        <v>16</v>
      </c>
      <c r="F1153" s="81" t="s">
        <v>370</v>
      </c>
      <c r="G1153" s="81" t="s">
        <v>4317</v>
      </c>
      <c r="H1153" s="81" t="s">
        <v>4318</v>
      </c>
    </row>
    <row r="1154" spans="1:8" x14ac:dyDescent="0.3">
      <c r="A1154" s="81" t="s">
        <v>3850</v>
      </c>
      <c r="B1154" s="81" t="s">
        <v>574</v>
      </c>
      <c r="C1154" s="81" t="s">
        <v>3802</v>
      </c>
      <c r="D1154" s="81" t="s">
        <v>3802</v>
      </c>
      <c r="E1154" s="81" t="s">
        <v>16</v>
      </c>
      <c r="F1154" s="81" t="s">
        <v>371</v>
      </c>
      <c r="G1154" s="81" t="s">
        <v>4319</v>
      </c>
      <c r="H1154" s="81" t="s">
        <v>4320</v>
      </c>
    </row>
    <row r="1155" spans="1:8" x14ac:dyDescent="0.3">
      <c r="A1155" s="81" t="s">
        <v>3851</v>
      </c>
      <c r="B1155" s="81" t="s">
        <v>574</v>
      </c>
      <c r="C1155" s="81" t="s">
        <v>3802</v>
      </c>
      <c r="D1155" s="81" t="s">
        <v>3802</v>
      </c>
      <c r="E1155" s="81" t="s">
        <v>16</v>
      </c>
      <c r="F1155" s="81" t="s">
        <v>372</v>
      </c>
      <c r="G1155" s="81" t="s">
        <v>4321</v>
      </c>
      <c r="H1155" s="81" t="s">
        <v>4322</v>
      </c>
    </row>
    <row r="1156" spans="1:8" x14ac:dyDescent="0.3">
      <c r="A1156" s="81" t="s">
        <v>3852</v>
      </c>
      <c r="B1156" s="81" t="s">
        <v>574</v>
      </c>
      <c r="C1156" s="81" t="s">
        <v>3802</v>
      </c>
      <c r="D1156" s="81" t="s">
        <v>3802</v>
      </c>
      <c r="E1156" s="81" t="s">
        <v>16</v>
      </c>
      <c r="F1156" s="81" t="s">
        <v>373</v>
      </c>
      <c r="G1156" s="81" t="s">
        <v>4323</v>
      </c>
      <c r="H1156" s="81" t="s">
        <v>4324</v>
      </c>
    </row>
    <row r="1157" spans="1:8" x14ac:dyDescent="0.3">
      <c r="A1157" s="81" t="s">
        <v>3853</v>
      </c>
      <c r="B1157" s="81" t="s">
        <v>574</v>
      </c>
      <c r="C1157" s="81" t="s">
        <v>3802</v>
      </c>
      <c r="D1157" s="81" t="s">
        <v>3802</v>
      </c>
      <c r="E1157" s="81" t="s">
        <v>16</v>
      </c>
      <c r="F1157" s="81" t="s">
        <v>374</v>
      </c>
      <c r="G1157" s="81" t="s">
        <v>4325</v>
      </c>
      <c r="H1157" s="81" t="s">
        <v>4326</v>
      </c>
    </row>
    <row r="1158" spans="1:8" x14ac:dyDescent="0.3">
      <c r="A1158" s="81" t="s">
        <v>3854</v>
      </c>
      <c r="B1158" s="81" t="s">
        <v>574</v>
      </c>
      <c r="C1158" s="81" t="s">
        <v>3802</v>
      </c>
      <c r="D1158" s="81" t="s">
        <v>3802</v>
      </c>
      <c r="E1158" s="81" t="s">
        <v>16</v>
      </c>
      <c r="F1158" s="81" t="s">
        <v>375</v>
      </c>
      <c r="G1158" s="81" t="s">
        <v>4327</v>
      </c>
      <c r="H1158" s="81" t="s">
        <v>4328</v>
      </c>
    </row>
    <row r="1159" spans="1:8" x14ac:dyDescent="0.3">
      <c r="A1159" s="81" t="s">
        <v>3855</v>
      </c>
      <c r="B1159" s="81" t="s">
        <v>574</v>
      </c>
      <c r="C1159" s="81" t="s">
        <v>3802</v>
      </c>
      <c r="D1159" s="81" t="s">
        <v>3802</v>
      </c>
      <c r="E1159" s="81" t="s">
        <v>16</v>
      </c>
      <c r="F1159" s="81" t="s">
        <v>376</v>
      </c>
      <c r="G1159" s="81" t="s">
        <v>4329</v>
      </c>
      <c r="H1159" s="81" t="s">
        <v>4330</v>
      </c>
    </row>
    <row r="1160" spans="1:8" x14ac:dyDescent="0.3">
      <c r="A1160" s="81" t="s">
        <v>3856</v>
      </c>
      <c r="B1160" s="81" t="s">
        <v>574</v>
      </c>
      <c r="C1160" s="81" t="s">
        <v>3802</v>
      </c>
      <c r="D1160" s="81" t="s">
        <v>3802</v>
      </c>
      <c r="E1160" s="81" t="s">
        <v>16</v>
      </c>
      <c r="F1160" s="81" t="s">
        <v>377</v>
      </c>
      <c r="G1160" s="81" t="s">
        <v>4331</v>
      </c>
      <c r="H1160" s="81" t="s">
        <v>4332</v>
      </c>
    </row>
    <row r="1161" spans="1:8" x14ac:dyDescent="0.3">
      <c r="A1161" s="81" t="s">
        <v>3857</v>
      </c>
      <c r="B1161" s="81" t="s">
        <v>574</v>
      </c>
      <c r="C1161" s="81" t="s">
        <v>3802</v>
      </c>
      <c r="D1161" s="81" t="s">
        <v>3802</v>
      </c>
      <c r="E1161" s="81" t="s">
        <v>16</v>
      </c>
      <c r="F1161" s="81" t="s">
        <v>378</v>
      </c>
      <c r="G1161" s="81" t="s">
        <v>4333</v>
      </c>
      <c r="H1161" s="81" t="s">
        <v>4334</v>
      </c>
    </row>
    <row r="1162" spans="1:8" x14ac:dyDescent="0.3">
      <c r="A1162" s="81" t="s">
        <v>3858</v>
      </c>
      <c r="B1162" s="81" t="s">
        <v>574</v>
      </c>
      <c r="C1162" s="81" t="s">
        <v>3802</v>
      </c>
      <c r="D1162" s="81" t="s">
        <v>3802</v>
      </c>
      <c r="E1162" s="81" t="s">
        <v>16</v>
      </c>
      <c r="F1162" s="81" t="s">
        <v>379</v>
      </c>
      <c r="G1162" s="81" t="s">
        <v>4335</v>
      </c>
      <c r="H1162" s="81" t="s">
        <v>4336</v>
      </c>
    </row>
    <row r="1163" spans="1:8" x14ac:dyDescent="0.3">
      <c r="A1163" s="81" t="s">
        <v>3859</v>
      </c>
      <c r="B1163" s="81" t="s">
        <v>574</v>
      </c>
      <c r="C1163" s="81" t="s">
        <v>3802</v>
      </c>
      <c r="D1163" s="81" t="s">
        <v>3802</v>
      </c>
      <c r="E1163" s="81" t="s">
        <v>16</v>
      </c>
      <c r="F1163" s="81" t="s">
        <v>380</v>
      </c>
      <c r="G1163" s="81" t="s">
        <v>4337</v>
      </c>
      <c r="H1163" s="81" t="s">
        <v>4338</v>
      </c>
    </row>
    <row r="1164" spans="1:8" x14ac:dyDescent="0.3">
      <c r="A1164" s="81" t="s">
        <v>3860</v>
      </c>
      <c r="B1164" s="81" t="s">
        <v>574</v>
      </c>
      <c r="C1164" s="81" t="s">
        <v>3802</v>
      </c>
      <c r="D1164" s="81" t="s">
        <v>3802</v>
      </c>
      <c r="E1164" s="81" t="s">
        <v>16</v>
      </c>
      <c r="F1164" s="81" t="s">
        <v>381</v>
      </c>
      <c r="G1164" s="81" t="s">
        <v>4339</v>
      </c>
      <c r="H1164" s="81" t="s">
        <v>4340</v>
      </c>
    </row>
    <row r="1165" spans="1:8" x14ac:dyDescent="0.3">
      <c r="A1165" s="81" t="s">
        <v>3861</v>
      </c>
      <c r="B1165" s="81" t="s">
        <v>574</v>
      </c>
      <c r="C1165" s="81" t="s">
        <v>3802</v>
      </c>
      <c r="D1165" s="81" t="s">
        <v>3802</v>
      </c>
      <c r="E1165" s="81" t="s">
        <v>16</v>
      </c>
      <c r="F1165" s="81" t="s">
        <v>382</v>
      </c>
      <c r="G1165" s="81" t="s">
        <v>4311</v>
      </c>
      <c r="H1165" s="81" t="s">
        <v>4312</v>
      </c>
    </row>
    <row r="1166" spans="1:8" x14ac:dyDescent="0.3">
      <c r="A1166" s="81" t="s">
        <v>3862</v>
      </c>
      <c r="B1166" s="81" t="s">
        <v>574</v>
      </c>
      <c r="C1166" s="81" t="s">
        <v>3802</v>
      </c>
      <c r="D1166" s="81" t="s">
        <v>3802</v>
      </c>
      <c r="E1166" s="81" t="s">
        <v>16</v>
      </c>
      <c r="F1166" s="81" t="s">
        <v>383</v>
      </c>
      <c r="G1166" s="81" t="s">
        <v>4703</v>
      </c>
      <c r="H1166" s="81" t="s">
        <v>4705</v>
      </c>
    </row>
    <row r="1167" spans="1:8" x14ac:dyDescent="0.3">
      <c r="A1167" s="81" t="s">
        <v>3863</v>
      </c>
      <c r="B1167" s="81" t="s">
        <v>574</v>
      </c>
      <c r="C1167" s="81" t="s">
        <v>3802</v>
      </c>
      <c r="D1167" s="81" t="s">
        <v>3802</v>
      </c>
      <c r="E1167" s="81" t="s">
        <v>20</v>
      </c>
      <c r="F1167" s="81" t="s">
        <v>15</v>
      </c>
      <c r="G1167" s="81" t="s">
        <v>4706</v>
      </c>
      <c r="H1167" s="81" t="s">
        <v>3827</v>
      </c>
    </row>
    <row r="1168" spans="1:8" x14ac:dyDescent="0.3">
      <c r="A1168" s="81" t="s">
        <v>3864</v>
      </c>
      <c r="B1168" s="81" t="s">
        <v>574</v>
      </c>
      <c r="C1168" s="81" t="s">
        <v>3802</v>
      </c>
      <c r="D1168" s="81" t="s">
        <v>3802</v>
      </c>
      <c r="E1168" s="81" t="s">
        <v>16</v>
      </c>
      <c r="F1168" s="81" t="s">
        <v>368</v>
      </c>
      <c r="G1168" s="81" t="s">
        <v>4341</v>
      </c>
      <c r="H1168" s="81" t="s">
        <v>4342</v>
      </c>
    </row>
    <row r="1169" spans="1:8" x14ac:dyDescent="0.3">
      <c r="A1169" s="81" t="s">
        <v>3868</v>
      </c>
      <c r="B1169" s="81" t="s">
        <v>574</v>
      </c>
      <c r="C1169" s="81" t="s">
        <v>3802</v>
      </c>
      <c r="D1169" s="81" t="s">
        <v>3802</v>
      </c>
      <c r="E1169" s="81" t="s">
        <v>16</v>
      </c>
      <c r="F1169" s="81" t="s">
        <v>369</v>
      </c>
      <c r="G1169" s="81" t="s">
        <v>4343</v>
      </c>
      <c r="H1169" s="81" t="s">
        <v>4344</v>
      </c>
    </row>
    <row r="1170" spans="1:8" x14ac:dyDescent="0.3">
      <c r="A1170" s="81" t="s">
        <v>3870</v>
      </c>
      <c r="B1170" s="81" t="s">
        <v>574</v>
      </c>
      <c r="C1170" s="81" t="s">
        <v>3802</v>
      </c>
      <c r="D1170" s="81" t="s">
        <v>3802</v>
      </c>
      <c r="E1170" s="81" t="s">
        <v>16</v>
      </c>
      <c r="F1170" s="81" t="s">
        <v>370</v>
      </c>
      <c r="G1170" s="81" t="s">
        <v>4345</v>
      </c>
      <c r="H1170" s="81" t="s">
        <v>4346</v>
      </c>
    </row>
    <row r="1171" spans="1:8" x14ac:dyDescent="0.3">
      <c r="A1171" s="81" t="s">
        <v>3871</v>
      </c>
      <c r="B1171" s="81" t="s">
        <v>574</v>
      </c>
      <c r="C1171" s="81" t="s">
        <v>3802</v>
      </c>
      <c r="D1171" s="81" t="s">
        <v>3802</v>
      </c>
      <c r="E1171" s="81" t="s">
        <v>16</v>
      </c>
      <c r="F1171" s="81" t="s">
        <v>371</v>
      </c>
      <c r="G1171" s="81" t="s">
        <v>4347</v>
      </c>
      <c r="H1171" s="81" t="s">
        <v>4348</v>
      </c>
    </row>
    <row r="1172" spans="1:8" x14ac:dyDescent="0.3">
      <c r="A1172" s="81" t="s">
        <v>3872</v>
      </c>
      <c r="B1172" s="81" t="s">
        <v>574</v>
      </c>
      <c r="C1172" s="81" t="s">
        <v>3802</v>
      </c>
      <c r="D1172" s="81" t="s">
        <v>3802</v>
      </c>
      <c r="E1172" s="81" t="s">
        <v>16</v>
      </c>
      <c r="F1172" s="81" t="s">
        <v>372</v>
      </c>
      <c r="G1172" s="81" t="s">
        <v>4349</v>
      </c>
      <c r="H1172" s="81" t="s">
        <v>4350</v>
      </c>
    </row>
    <row r="1173" spans="1:8" x14ac:dyDescent="0.3">
      <c r="A1173" s="81" t="s">
        <v>3873</v>
      </c>
      <c r="B1173" s="81" t="s">
        <v>574</v>
      </c>
      <c r="C1173" s="81" t="s">
        <v>3802</v>
      </c>
      <c r="D1173" s="81" t="s">
        <v>3802</v>
      </c>
      <c r="E1173" s="81" t="s">
        <v>16</v>
      </c>
      <c r="F1173" s="81" t="s">
        <v>373</v>
      </c>
      <c r="G1173" s="81" t="s">
        <v>4351</v>
      </c>
      <c r="H1173" s="81" t="s">
        <v>4352</v>
      </c>
    </row>
    <row r="1174" spans="1:8" x14ac:dyDescent="0.3">
      <c r="A1174" s="81" t="s">
        <v>3874</v>
      </c>
      <c r="B1174" s="81" t="s">
        <v>574</v>
      </c>
      <c r="C1174" s="81" t="s">
        <v>3802</v>
      </c>
      <c r="D1174" s="81" t="s">
        <v>3802</v>
      </c>
      <c r="E1174" s="81" t="s">
        <v>16</v>
      </c>
      <c r="F1174" s="81" t="s">
        <v>374</v>
      </c>
      <c r="G1174" s="81" t="s">
        <v>4353</v>
      </c>
      <c r="H1174" s="81" t="s">
        <v>4354</v>
      </c>
    </row>
    <row r="1175" spans="1:8" x14ac:dyDescent="0.3">
      <c r="A1175" s="81" t="s">
        <v>3875</v>
      </c>
      <c r="B1175" s="81" t="s">
        <v>574</v>
      </c>
      <c r="C1175" s="81" t="s">
        <v>3802</v>
      </c>
      <c r="D1175" s="81" t="s">
        <v>3802</v>
      </c>
      <c r="E1175" s="81" t="s">
        <v>16</v>
      </c>
      <c r="F1175" s="81" t="s">
        <v>375</v>
      </c>
      <c r="G1175" s="81" t="s">
        <v>4355</v>
      </c>
      <c r="H1175" s="81" t="s">
        <v>4356</v>
      </c>
    </row>
    <row r="1176" spans="1:8" x14ac:dyDescent="0.3">
      <c r="A1176" s="81" t="s">
        <v>3876</v>
      </c>
      <c r="B1176" s="81" t="s">
        <v>574</v>
      </c>
      <c r="C1176" s="81" t="s">
        <v>3802</v>
      </c>
      <c r="D1176" s="81" t="s">
        <v>3802</v>
      </c>
      <c r="E1176" s="81" t="s">
        <v>16</v>
      </c>
      <c r="F1176" s="81" t="s">
        <v>376</v>
      </c>
      <c r="G1176" s="81" t="s">
        <v>4357</v>
      </c>
      <c r="H1176" s="81" t="s">
        <v>4358</v>
      </c>
    </row>
    <row r="1177" spans="1:8" x14ac:dyDescent="0.3">
      <c r="A1177" s="81" t="s">
        <v>3877</v>
      </c>
      <c r="B1177" s="81" t="s">
        <v>574</v>
      </c>
      <c r="C1177" s="81" t="s">
        <v>3802</v>
      </c>
      <c r="D1177" s="81" t="s">
        <v>3802</v>
      </c>
      <c r="E1177" s="81" t="s">
        <v>16</v>
      </c>
      <c r="F1177" s="81" t="s">
        <v>377</v>
      </c>
      <c r="G1177" s="81" t="s">
        <v>4359</v>
      </c>
      <c r="H1177" s="81" t="s">
        <v>4360</v>
      </c>
    </row>
    <row r="1178" spans="1:8" x14ac:dyDescent="0.3">
      <c r="A1178" s="81" t="s">
        <v>3878</v>
      </c>
      <c r="B1178" s="81" t="s">
        <v>574</v>
      </c>
      <c r="C1178" s="81" t="s">
        <v>3802</v>
      </c>
      <c r="D1178" s="81" t="s">
        <v>3802</v>
      </c>
      <c r="E1178" s="81" t="s">
        <v>16</v>
      </c>
      <c r="F1178" s="81" t="s">
        <v>378</v>
      </c>
      <c r="G1178" s="81" t="s">
        <v>4361</v>
      </c>
      <c r="H1178" s="81" t="s">
        <v>4362</v>
      </c>
    </row>
    <row r="1179" spans="1:8" x14ac:dyDescent="0.3">
      <c r="A1179" s="81" t="s">
        <v>3879</v>
      </c>
      <c r="B1179" s="81" t="s">
        <v>574</v>
      </c>
      <c r="C1179" s="81" t="s">
        <v>3802</v>
      </c>
      <c r="D1179" s="81" t="s">
        <v>3802</v>
      </c>
      <c r="E1179" s="81" t="s">
        <v>16</v>
      </c>
      <c r="F1179" s="81" t="s">
        <v>379</v>
      </c>
      <c r="G1179" s="81" t="s">
        <v>4363</v>
      </c>
      <c r="H1179" s="81" t="s">
        <v>4364</v>
      </c>
    </row>
    <row r="1180" spans="1:8" x14ac:dyDescent="0.3">
      <c r="A1180" s="81" t="s">
        <v>3880</v>
      </c>
      <c r="B1180" s="81" t="s">
        <v>574</v>
      </c>
      <c r="C1180" s="81" t="s">
        <v>3802</v>
      </c>
      <c r="D1180" s="81" t="s">
        <v>3802</v>
      </c>
      <c r="E1180" s="81" t="s">
        <v>16</v>
      </c>
      <c r="F1180" s="81" t="s">
        <v>380</v>
      </c>
      <c r="G1180" s="81" t="s">
        <v>4365</v>
      </c>
      <c r="H1180" s="81" t="s">
        <v>4366</v>
      </c>
    </row>
    <row r="1181" spans="1:8" x14ac:dyDescent="0.3">
      <c r="A1181" s="81" t="s">
        <v>3881</v>
      </c>
      <c r="B1181" s="81" t="s">
        <v>574</v>
      </c>
      <c r="C1181" s="81" t="s">
        <v>3802</v>
      </c>
      <c r="D1181" s="81" t="s">
        <v>3802</v>
      </c>
      <c r="E1181" s="81" t="s">
        <v>16</v>
      </c>
      <c r="F1181" s="81" t="s">
        <v>381</v>
      </c>
      <c r="G1181" s="81" t="s">
        <v>4367</v>
      </c>
      <c r="H1181" s="81" t="s">
        <v>4368</v>
      </c>
    </row>
    <row r="1182" spans="1:8" x14ac:dyDescent="0.3">
      <c r="A1182" s="81" t="s">
        <v>3882</v>
      </c>
      <c r="B1182" s="81" t="s">
        <v>574</v>
      </c>
      <c r="C1182" s="81" t="s">
        <v>3802</v>
      </c>
      <c r="D1182" s="81" t="s">
        <v>3802</v>
      </c>
      <c r="E1182" s="81" t="s">
        <v>16</v>
      </c>
      <c r="F1182" s="81" t="s">
        <v>382</v>
      </c>
      <c r="G1182" s="81" t="s">
        <v>4369</v>
      </c>
      <c r="H1182" s="81" t="s">
        <v>4370</v>
      </c>
    </row>
    <row r="1183" spans="1:8" x14ac:dyDescent="0.3">
      <c r="A1183" s="81" t="s">
        <v>3883</v>
      </c>
      <c r="B1183" s="81" t="s">
        <v>574</v>
      </c>
      <c r="C1183" s="81" t="s">
        <v>3802</v>
      </c>
      <c r="D1183" s="81" t="s">
        <v>3802</v>
      </c>
      <c r="E1183" s="81" t="s">
        <v>16</v>
      </c>
      <c r="F1183" s="81" t="s">
        <v>383</v>
      </c>
      <c r="G1183" s="81" t="s">
        <v>4723</v>
      </c>
      <c r="H1183" s="81" t="s">
        <v>4725</v>
      </c>
    </row>
    <row r="1184" spans="1:8" x14ac:dyDescent="0.3">
      <c r="A1184" s="81" t="s">
        <v>3884</v>
      </c>
      <c r="B1184" s="81" t="s">
        <v>574</v>
      </c>
      <c r="C1184" s="81" t="s">
        <v>3802</v>
      </c>
      <c r="D1184" s="81" t="s">
        <v>3802</v>
      </c>
      <c r="E1184" s="81" t="s">
        <v>20</v>
      </c>
      <c r="F1184" s="81" t="s">
        <v>15</v>
      </c>
      <c r="G1184" s="81" t="s">
        <v>4726</v>
      </c>
      <c r="H1184" s="81" t="s">
        <v>3847</v>
      </c>
    </row>
    <row r="1185" spans="1:8" x14ac:dyDescent="0.3">
      <c r="A1185" s="81" t="s">
        <v>3885</v>
      </c>
      <c r="B1185" s="81" t="s">
        <v>574</v>
      </c>
      <c r="C1185" s="81" t="s">
        <v>3802</v>
      </c>
      <c r="D1185" s="81" t="s">
        <v>3802</v>
      </c>
      <c r="E1185" s="81" t="s">
        <v>16</v>
      </c>
      <c r="F1185" s="81" t="s">
        <v>368</v>
      </c>
      <c r="G1185" s="81" t="s">
        <v>4727</v>
      </c>
      <c r="H1185" s="81" t="s">
        <v>4371</v>
      </c>
    </row>
    <row r="1186" spans="1:8" x14ac:dyDescent="0.3">
      <c r="A1186" s="81" t="s">
        <v>3888</v>
      </c>
      <c r="B1186" s="81" t="s">
        <v>574</v>
      </c>
      <c r="C1186" s="81" t="s">
        <v>3802</v>
      </c>
      <c r="D1186" s="81" t="s">
        <v>3802</v>
      </c>
      <c r="E1186" s="81" t="s">
        <v>16</v>
      </c>
      <c r="F1186" s="81" t="s">
        <v>369</v>
      </c>
      <c r="G1186" s="81" t="s">
        <v>4729</v>
      </c>
      <c r="H1186" s="81" t="s">
        <v>4372</v>
      </c>
    </row>
    <row r="1187" spans="1:8" x14ac:dyDescent="0.3">
      <c r="A1187" s="81" t="s">
        <v>3889</v>
      </c>
      <c r="B1187" s="81" t="s">
        <v>574</v>
      </c>
      <c r="C1187" s="81" t="s">
        <v>3802</v>
      </c>
      <c r="D1187" s="81" t="s">
        <v>3802</v>
      </c>
      <c r="E1187" s="81" t="s">
        <v>16</v>
      </c>
      <c r="F1187" s="81" t="s">
        <v>370</v>
      </c>
      <c r="G1187" s="81" t="s">
        <v>4731</v>
      </c>
      <c r="H1187" s="81" t="s">
        <v>4373</v>
      </c>
    </row>
    <row r="1188" spans="1:8" x14ac:dyDescent="0.3">
      <c r="A1188" s="81" t="s">
        <v>3890</v>
      </c>
      <c r="B1188" s="81" t="s">
        <v>574</v>
      </c>
      <c r="C1188" s="81" t="s">
        <v>3802</v>
      </c>
      <c r="D1188" s="81" t="s">
        <v>3802</v>
      </c>
      <c r="E1188" s="81" t="s">
        <v>16</v>
      </c>
      <c r="F1188" s="81" t="s">
        <v>371</v>
      </c>
      <c r="G1188" s="81" t="s">
        <v>4733</v>
      </c>
      <c r="H1188" s="81" t="s">
        <v>4374</v>
      </c>
    </row>
    <row r="1189" spans="1:8" x14ac:dyDescent="0.3">
      <c r="A1189" s="81" t="s">
        <v>3891</v>
      </c>
      <c r="B1189" s="81" t="s">
        <v>574</v>
      </c>
      <c r="C1189" s="81" t="s">
        <v>3802</v>
      </c>
      <c r="D1189" s="81" t="s">
        <v>3802</v>
      </c>
      <c r="E1189" s="81" t="s">
        <v>16</v>
      </c>
      <c r="F1189" s="81" t="s">
        <v>372</v>
      </c>
      <c r="G1189" s="81" t="s">
        <v>4735</v>
      </c>
      <c r="H1189" s="81" t="s">
        <v>4375</v>
      </c>
    </row>
    <row r="1190" spans="1:8" x14ac:dyDescent="0.3">
      <c r="A1190" s="81" t="s">
        <v>3892</v>
      </c>
      <c r="B1190" s="81" t="s">
        <v>574</v>
      </c>
      <c r="C1190" s="81" t="s">
        <v>3802</v>
      </c>
      <c r="D1190" s="81" t="s">
        <v>3802</v>
      </c>
      <c r="E1190" s="81" t="s">
        <v>16</v>
      </c>
      <c r="F1190" s="81" t="s">
        <v>373</v>
      </c>
      <c r="G1190" s="81" t="s">
        <v>4737</v>
      </c>
      <c r="H1190" s="81" t="s">
        <v>4376</v>
      </c>
    </row>
    <row r="1191" spans="1:8" x14ac:dyDescent="0.3">
      <c r="A1191" s="81" t="s">
        <v>3893</v>
      </c>
      <c r="B1191" s="81" t="s">
        <v>574</v>
      </c>
      <c r="C1191" s="81" t="s">
        <v>3802</v>
      </c>
      <c r="D1191" s="81" t="s">
        <v>3802</v>
      </c>
      <c r="E1191" s="81" t="s">
        <v>16</v>
      </c>
      <c r="F1191" s="81" t="s">
        <v>374</v>
      </c>
      <c r="G1191" s="81" t="s">
        <v>4739</v>
      </c>
      <c r="H1191" s="81" t="s">
        <v>4377</v>
      </c>
    </row>
    <row r="1192" spans="1:8" x14ac:dyDescent="0.3">
      <c r="A1192" s="81" t="s">
        <v>3894</v>
      </c>
      <c r="B1192" s="81" t="s">
        <v>574</v>
      </c>
      <c r="C1192" s="81" t="s">
        <v>3802</v>
      </c>
      <c r="D1192" s="81" t="s">
        <v>3802</v>
      </c>
      <c r="E1192" s="81" t="s">
        <v>16</v>
      </c>
      <c r="F1192" s="81" t="s">
        <v>375</v>
      </c>
      <c r="G1192" s="81" t="s">
        <v>4741</v>
      </c>
      <c r="H1192" s="81" t="s">
        <v>4378</v>
      </c>
    </row>
    <row r="1193" spans="1:8" x14ac:dyDescent="0.3">
      <c r="A1193" s="81" t="s">
        <v>3895</v>
      </c>
      <c r="B1193" s="81" t="s">
        <v>574</v>
      </c>
      <c r="C1193" s="81" t="s">
        <v>3802</v>
      </c>
      <c r="D1193" s="81" t="s">
        <v>3802</v>
      </c>
      <c r="E1193" s="81" t="s">
        <v>16</v>
      </c>
      <c r="F1193" s="81" t="s">
        <v>376</v>
      </c>
      <c r="G1193" s="81" t="s">
        <v>4743</v>
      </c>
      <c r="H1193" s="81" t="s">
        <v>4379</v>
      </c>
    </row>
    <row r="1194" spans="1:8" x14ac:dyDescent="0.3">
      <c r="A1194" s="81" t="s">
        <v>3896</v>
      </c>
      <c r="B1194" s="81" t="s">
        <v>574</v>
      </c>
      <c r="C1194" s="81" t="s">
        <v>3802</v>
      </c>
      <c r="D1194" s="81" t="s">
        <v>3802</v>
      </c>
      <c r="E1194" s="81" t="s">
        <v>16</v>
      </c>
      <c r="F1194" s="81" t="s">
        <v>377</v>
      </c>
      <c r="G1194" s="81" t="s">
        <v>4745</v>
      </c>
      <c r="H1194" s="81" t="s">
        <v>4380</v>
      </c>
    </row>
    <row r="1195" spans="1:8" x14ac:dyDescent="0.3">
      <c r="A1195" s="81" t="s">
        <v>3897</v>
      </c>
      <c r="B1195" s="81" t="s">
        <v>574</v>
      </c>
      <c r="C1195" s="81" t="s">
        <v>3802</v>
      </c>
      <c r="D1195" s="81" t="s">
        <v>3802</v>
      </c>
      <c r="E1195" s="81" t="s">
        <v>16</v>
      </c>
      <c r="F1195" s="81" t="s">
        <v>378</v>
      </c>
      <c r="G1195" s="81" t="s">
        <v>4747</v>
      </c>
      <c r="H1195" s="81" t="s">
        <v>4381</v>
      </c>
    </row>
    <row r="1196" spans="1:8" x14ac:dyDescent="0.3">
      <c r="A1196" s="81" t="s">
        <v>3898</v>
      </c>
      <c r="B1196" s="81" t="s">
        <v>574</v>
      </c>
      <c r="C1196" s="81" t="s">
        <v>3802</v>
      </c>
      <c r="D1196" s="81" t="s">
        <v>3802</v>
      </c>
      <c r="E1196" s="81" t="s">
        <v>16</v>
      </c>
      <c r="F1196" s="81" t="s">
        <v>379</v>
      </c>
      <c r="G1196" s="81" t="s">
        <v>4749</v>
      </c>
      <c r="H1196" s="81" t="s">
        <v>4382</v>
      </c>
    </row>
    <row r="1197" spans="1:8" x14ac:dyDescent="0.3">
      <c r="A1197" s="81" t="s">
        <v>3899</v>
      </c>
      <c r="B1197" s="81" t="s">
        <v>574</v>
      </c>
      <c r="C1197" s="81" t="s">
        <v>3802</v>
      </c>
      <c r="D1197" s="81" t="s">
        <v>3802</v>
      </c>
      <c r="E1197" s="81" t="s">
        <v>16</v>
      </c>
      <c r="F1197" s="81" t="s">
        <v>380</v>
      </c>
      <c r="G1197" s="81" t="s">
        <v>4751</v>
      </c>
      <c r="H1197" s="81" t="s">
        <v>4383</v>
      </c>
    </row>
    <row r="1198" spans="1:8" x14ac:dyDescent="0.3">
      <c r="A1198" s="81" t="s">
        <v>3900</v>
      </c>
      <c r="B1198" s="81" t="s">
        <v>574</v>
      </c>
      <c r="C1198" s="81" t="s">
        <v>3802</v>
      </c>
      <c r="D1198" s="81" t="s">
        <v>3802</v>
      </c>
      <c r="E1198" s="81" t="s">
        <v>16</v>
      </c>
      <c r="F1198" s="81" t="s">
        <v>381</v>
      </c>
      <c r="G1198" s="81" t="s">
        <v>4753</v>
      </c>
      <c r="H1198" s="81" t="s">
        <v>4384</v>
      </c>
    </row>
    <row r="1199" spans="1:8" x14ac:dyDescent="0.3">
      <c r="A1199" s="81" t="s">
        <v>3901</v>
      </c>
      <c r="B1199" s="81" t="s">
        <v>574</v>
      </c>
      <c r="C1199" s="81" t="s">
        <v>3802</v>
      </c>
      <c r="D1199" s="81" t="s">
        <v>3802</v>
      </c>
      <c r="E1199" s="81" t="s">
        <v>16</v>
      </c>
      <c r="F1199" s="81" t="s">
        <v>382</v>
      </c>
      <c r="G1199" s="81" t="s">
        <v>4755</v>
      </c>
      <c r="H1199" s="81" t="s">
        <v>4385</v>
      </c>
    </row>
    <row r="1200" spans="1:8" x14ac:dyDescent="0.3">
      <c r="A1200" s="81" t="s">
        <v>3902</v>
      </c>
      <c r="B1200" s="81" t="s">
        <v>574</v>
      </c>
      <c r="C1200" s="81" t="s">
        <v>3802</v>
      </c>
      <c r="D1200" s="81" t="s">
        <v>3802</v>
      </c>
      <c r="E1200" s="81" t="s">
        <v>16</v>
      </c>
      <c r="F1200" s="81" t="s">
        <v>383</v>
      </c>
      <c r="G1200" s="81" t="s">
        <v>4757</v>
      </c>
      <c r="H1200" s="81" t="s">
        <v>4759</v>
      </c>
    </row>
    <row r="1201" spans="1:8" x14ac:dyDescent="0.3">
      <c r="A1201" s="81" t="s">
        <v>3903</v>
      </c>
      <c r="B1201" s="81" t="s">
        <v>462</v>
      </c>
      <c r="C1201" s="81" t="s">
        <v>906</v>
      </c>
      <c r="D1201" s="81" t="s">
        <v>3762</v>
      </c>
      <c r="E1201" s="81" t="s">
        <v>20</v>
      </c>
      <c r="F1201" s="81" t="s">
        <v>15</v>
      </c>
      <c r="G1201" s="81" t="s">
        <v>4760</v>
      </c>
      <c r="H1201" s="81" t="s">
        <v>3867</v>
      </c>
    </row>
    <row r="1202" spans="1:8" x14ac:dyDescent="0.3">
      <c r="A1202" s="81" t="s">
        <v>3904</v>
      </c>
      <c r="B1202" s="81" t="s">
        <v>462</v>
      </c>
      <c r="C1202" s="81" t="s">
        <v>906</v>
      </c>
      <c r="D1202" s="81" t="s">
        <v>3762</v>
      </c>
      <c r="E1202" s="81" t="s">
        <v>16</v>
      </c>
      <c r="F1202" s="81" t="s">
        <v>368</v>
      </c>
      <c r="G1202" s="81" t="s">
        <v>4762</v>
      </c>
      <c r="H1202" s="81" t="s">
        <v>4386</v>
      </c>
    </row>
    <row r="1203" spans="1:8" x14ac:dyDescent="0.3">
      <c r="A1203" s="81" t="s">
        <v>3913</v>
      </c>
      <c r="B1203" s="81" t="s">
        <v>462</v>
      </c>
      <c r="C1203" s="81" t="s">
        <v>906</v>
      </c>
      <c r="D1203" s="81" t="s">
        <v>3762</v>
      </c>
      <c r="E1203" s="81" t="s">
        <v>16</v>
      </c>
      <c r="F1203" s="81" t="s">
        <v>369</v>
      </c>
      <c r="G1203" s="81" t="s">
        <v>4764</v>
      </c>
      <c r="H1203" s="81" t="s">
        <v>4387</v>
      </c>
    </row>
    <row r="1204" spans="1:8" x14ac:dyDescent="0.3">
      <c r="A1204" s="81" t="s">
        <v>3914</v>
      </c>
      <c r="B1204" s="81" t="s">
        <v>462</v>
      </c>
      <c r="C1204" s="81" t="s">
        <v>906</v>
      </c>
      <c r="D1204" s="81" t="s">
        <v>3762</v>
      </c>
      <c r="E1204" s="81" t="s">
        <v>16</v>
      </c>
      <c r="F1204" s="81" t="s">
        <v>370</v>
      </c>
      <c r="G1204" s="81" t="s">
        <v>4766</v>
      </c>
      <c r="H1204" s="81" t="s">
        <v>4388</v>
      </c>
    </row>
    <row r="1205" spans="1:8" x14ac:dyDescent="0.3">
      <c r="A1205" s="81" t="s">
        <v>3915</v>
      </c>
      <c r="B1205" s="81" t="s">
        <v>462</v>
      </c>
      <c r="C1205" s="81" t="s">
        <v>906</v>
      </c>
      <c r="D1205" s="81" t="s">
        <v>3762</v>
      </c>
      <c r="E1205" s="81" t="s">
        <v>16</v>
      </c>
      <c r="F1205" s="81" t="s">
        <v>371</v>
      </c>
      <c r="G1205" s="81" t="s">
        <v>4768</v>
      </c>
      <c r="H1205" s="81" t="s">
        <v>4389</v>
      </c>
    </row>
    <row r="1206" spans="1:8" x14ac:dyDescent="0.3">
      <c r="A1206" s="81" t="s">
        <v>3916</v>
      </c>
      <c r="B1206" s="81" t="s">
        <v>462</v>
      </c>
      <c r="C1206" s="81" t="s">
        <v>906</v>
      </c>
      <c r="D1206" s="81" t="s">
        <v>3762</v>
      </c>
      <c r="E1206" s="81" t="s">
        <v>16</v>
      </c>
      <c r="F1206" s="81" t="s">
        <v>372</v>
      </c>
      <c r="G1206" s="81" t="s">
        <v>4770</v>
      </c>
      <c r="H1206" s="81" t="s">
        <v>4390</v>
      </c>
    </row>
    <row r="1207" spans="1:8" x14ac:dyDescent="0.3">
      <c r="A1207" s="81" t="s">
        <v>3917</v>
      </c>
      <c r="B1207" s="81" t="s">
        <v>462</v>
      </c>
      <c r="C1207" s="81" t="s">
        <v>906</v>
      </c>
      <c r="D1207" s="81" t="s">
        <v>3762</v>
      </c>
      <c r="E1207" s="81" t="s">
        <v>16</v>
      </c>
      <c r="F1207" s="81" t="s">
        <v>373</v>
      </c>
      <c r="G1207" s="81" t="s">
        <v>4772</v>
      </c>
      <c r="H1207" s="81" t="s">
        <v>4391</v>
      </c>
    </row>
    <row r="1208" spans="1:8" x14ac:dyDescent="0.3">
      <c r="A1208" s="81" t="s">
        <v>3918</v>
      </c>
      <c r="B1208" s="81" t="s">
        <v>462</v>
      </c>
      <c r="C1208" s="81" t="s">
        <v>906</v>
      </c>
      <c r="D1208" s="81" t="s">
        <v>3762</v>
      </c>
      <c r="E1208" s="81" t="s">
        <v>16</v>
      </c>
      <c r="F1208" s="81" t="s">
        <v>374</v>
      </c>
      <c r="G1208" s="81" t="s">
        <v>4774</v>
      </c>
      <c r="H1208" s="81" t="s">
        <v>4392</v>
      </c>
    </row>
    <row r="1209" spans="1:8" x14ac:dyDescent="0.3">
      <c r="A1209" s="81" t="s">
        <v>3919</v>
      </c>
      <c r="B1209" s="81" t="s">
        <v>462</v>
      </c>
      <c r="C1209" s="81" t="s">
        <v>906</v>
      </c>
      <c r="D1209" s="81" t="s">
        <v>3762</v>
      </c>
      <c r="E1209" s="81" t="s">
        <v>16</v>
      </c>
      <c r="F1209" s="81" t="s">
        <v>375</v>
      </c>
      <c r="G1209" s="81" t="s">
        <v>4776</v>
      </c>
      <c r="H1209" s="81" t="s">
        <v>4393</v>
      </c>
    </row>
    <row r="1210" spans="1:8" x14ac:dyDescent="0.3">
      <c r="A1210" s="81" t="s">
        <v>3920</v>
      </c>
      <c r="B1210" s="81" t="s">
        <v>462</v>
      </c>
      <c r="C1210" s="81" t="s">
        <v>906</v>
      </c>
      <c r="D1210" s="81" t="s">
        <v>3762</v>
      </c>
      <c r="E1210" s="81" t="s">
        <v>16</v>
      </c>
      <c r="F1210" s="81" t="s">
        <v>376</v>
      </c>
      <c r="G1210" s="81" t="s">
        <v>4778</v>
      </c>
      <c r="H1210" s="81" t="s">
        <v>4394</v>
      </c>
    </row>
    <row r="1211" spans="1:8" x14ac:dyDescent="0.3">
      <c r="A1211" s="81" t="s">
        <v>3921</v>
      </c>
      <c r="B1211" s="81" t="s">
        <v>462</v>
      </c>
      <c r="C1211" s="81" t="s">
        <v>906</v>
      </c>
      <c r="D1211" s="81" t="s">
        <v>3762</v>
      </c>
      <c r="E1211" s="81" t="s">
        <v>16</v>
      </c>
      <c r="F1211" s="81" t="s">
        <v>377</v>
      </c>
      <c r="G1211" s="81" t="s">
        <v>4780</v>
      </c>
      <c r="H1211" s="81" t="s">
        <v>4395</v>
      </c>
    </row>
    <row r="1212" spans="1:8" x14ac:dyDescent="0.3">
      <c r="A1212" s="81" t="s">
        <v>3922</v>
      </c>
      <c r="B1212" s="81" t="s">
        <v>462</v>
      </c>
      <c r="C1212" s="81" t="s">
        <v>906</v>
      </c>
      <c r="D1212" s="81" t="s">
        <v>3762</v>
      </c>
      <c r="E1212" s="81" t="s">
        <v>16</v>
      </c>
      <c r="F1212" s="81" t="s">
        <v>378</v>
      </c>
      <c r="G1212" s="81" t="s">
        <v>4782</v>
      </c>
      <c r="H1212" s="81" t="s">
        <v>4396</v>
      </c>
    </row>
    <row r="1213" spans="1:8" x14ac:dyDescent="0.3">
      <c r="A1213" s="81" t="s">
        <v>3923</v>
      </c>
      <c r="B1213" s="81" t="s">
        <v>462</v>
      </c>
      <c r="C1213" s="81" t="s">
        <v>906</v>
      </c>
      <c r="D1213" s="81" t="s">
        <v>3762</v>
      </c>
      <c r="E1213" s="81" t="s">
        <v>16</v>
      </c>
      <c r="F1213" s="81" t="s">
        <v>379</v>
      </c>
      <c r="G1213" s="81" t="s">
        <v>4784</v>
      </c>
      <c r="H1213" s="81" t="s">
        <v>4397</v>
      </c>
    </row>
    <row r="1214" spans="1:8" x14ac:dyDescent="0.3">
      <c r="A1214" s="81" t="s">
        <v>3924</v>
      </c>
      <c r="B1214" s="81" t="s">
        <v>462</v>
      </c>
      <c r="C1214" s="81" t="s">
        <v>906</v>
      </c>
      <c r="D1214" s="81" t="s">
        <v>3762</v>
      </c>
      <c r="E1214" s="81" t="s">
        <v>16</v>
      </c>
      <c r="F1214" s="81" t="s">
        <v>380</v>
      </c>
      <c r="G1214" s="81" t="s">
        <v>4786</v>
      </c>
      <c r="H1214" s="81" t="s">
        <v>4398</v>
      </c>
    </row>
    <row r="1215" spans="1:8" x14ac:dyDescent="0.3">
      <c r="A1215" s="81" t="s">
        <v>3925</v>
      </c>
      <c r="B1215" s="81" t="s">
        <v>462</v>
      </c>
      <c r="C1215" s="81" t="s">
        <v>906</v>
      </c>
      <c r="D1215" s="81" t="s">
        <v>3762</v>
      </c>
      <c r="E1215" s="81" t="s">
        <v>16</v>
      </c>
      <c r="F1215" s="81" t="s">
        <v>381</v>
      </c>
      <c r="G1215" s="81" t="s">
        <v>4788</v>
      </c>
      <c r="H1215" s="81" t="s">
        <v>4399</v>
      </c>
    </row>
    <row r="1216" spans="1:8" x14ac:dyDescent="0.3">
      <c r="A1216" s="81" t="s">
        <v>3926</v>
      </c>
      <c r="B1216" s="81" t="s">
        <v>462</v>
      </c>
      <c r="C1216" s="81" t="s">
        <v>906</v>
      </c>
      <c r="D1216" s="81" t="s">
        <v>3762</v>
      </c>
      <c r="E1216" s="81" t="s">
        <v>16</v>
      </c>
      <c r="F1216" s="81" t="s">
        <v>382</v>
      </c>
      <c r="G1216" s="81" t="s">
        <v>4790</v>
      </c>
      <c r="H1216" s="81" t="s">
        <v>4400</v>
      </c>
    </row>
    <row r="1217" spans="1:8" x14ac:dyDescent="0.3">
      <c r="A1217" s="81" t="s">
        <v>3927</v>
      </c>
      <c r="B1217" s="81" t="s">
        <v>462</v>
      </c>
      <c r="C1217" s="81" t="s">
        <v>906</v>
      </c>
      <c r="D1217" s="81" t="s">
        <v>3762</v>
      </c>
      <c r="E1217" s="81" t="s">
        <v>16</v>
      </c>
      <c r="F1217" s="81" t="s">
        <v>383</v>
      </c>
      <c r="G1217" s="81" t="s">
        <v>4792</v>
      </c>
      <c r="H1217" s="81" t="s">
        <v>4794</v>
      </c>
    </row>
    <row r="1218" spans="1:8" x14ac:dyDescent="0.3">
      <c r="A1218" s="81" t="s">
        <v>3928</v>
      </c>
      <c r="B1218" s="81" t="s">
        <v>574</v>
      </c>
      <c r="C1218" s="81" t="s">
        <v>3802</v>
      </c>
      <c r="D1218" s="81" t="s">
        <v>3802</v>
      </c>
      <c r="E1218" s="81" t="s">
        <v>20</v>
      </c>
      <c r="F1218" s="81" t="s">
        <v>15</v>
      </c>
      <c r="G1218" s="81" t="s">
        <v>4795</v>
      </c>
      <c r="H1218" s="81" t="s">
        <v>3887</v>
      </c>
    </row>
    <row r="1219" spans="1:8" x14ac:dyDescent="0.3">
      <c r="A1219" s="81" t="s">
        <v>3929</v>
      </c>
      <c r="B1219" s="81" t="s">
        <v>574</v>
      </c>
      <c r="C1219" s="81" t="s">
        <v>3802</v>
      </c>
      <c r="D1219" s="81" t="s">
        <v>3802</v>
      </c>
      <c r="E1219" s="81" t="s">
        <v>16</v>
      </c>
      <c r="F1219" s="81" t="s">
        <v>368</v>
      </c>
      <c r="G1219" s="81" t="s">
        <v>4797</v>
      </c>
      <c r="H1219" s="81" t="s">
        <v>4401</v>
      </c>
    </row>
    <row r="1220" spans="1:8" x14ac:dyDescent="0.3">
      <c r="A1220" s="81" t="s">
        <v>3932</v>
      </c>
      <c r="B1220" s="81" t="s">
        <v>574</v>
      </c>
      <c r="C1220" s="81" t="s">
        <v>3802</v>
      </c>
      <c r="D1220" s="81" t="s">
        <v>3802</v>
      </c>
      <c r="E1220" s="81" t="s">
        <v>16</v>
      </c>
      <c r="F1220" s="81" t="s">
        <v>369</v>
      </c>
      <c r="G1220" s="81" t="s">
        <v>4799</v>
      </c>
      <c r="H1220" s="81" t="s">
        <v>4402</v>
      </c>
    </row>
    <row r="1221" spans="1:8" x14ac:dyDescent="0.3">
      <c r="A1221" s="81" t="s">
        <v>3933</v>
      </c>
      <c r="B1221" s="81" t="s">
        <v>574</v>
      </c>
      <c r="C1221" s="81" t="s">
        <v>3802</v>
      </c>
      <c r="D1221" s="81" t="s">
        <v>3802</v>
      </c>
      <c r="E1221" s="81" t="s">
        <v>16</v>
      </c>
      <c r="F1221" s="81" t="s">
        <v>370</v>
      </c>
      <c r="G1221" s="81" t="s">
        <v>4801</v>
      </c>
      <c r="H1221" s="81" t="s">
        <v>4403</v>
      </c>
    </row>
    <row r="1222" spans="1:8" x14ac:dyDescent="0.3">
      <c r="A1222" s="81" t="s">
        <v>3934</v>
      </c>
      <c r="B1222" s="81" t="s">
        <v>574</v>
      </c>
      <c r="C1222" s="81" t="s">
        <v>3802</v>
      </c>
      <c r="D1222" s="81" t="s">
        <v>3802</v>
      </c>
      <c r="E1222" s="81" t="s">
        <v>16</v>
      </c>
      <c r="F1222" s="81" t="s">
        <v>371</v>
      </c>
      <c r="G1222" s="81" t="s">
        <v>4803</v>
      </c>
      <c r="H1222" s="81" t="s">
        <v>4404</v>
      </c>
    </row>
    <row r="1223" spans="1:8" x14ac:dyDescent="0.3">
      <c r="A1223" s="81" t="s">
        <v>3935</v>
      </c>
      <c r="B1223" s="81" t="s">
        <v>574</v>
      </c>
      <c r="C1223" s="81" t="s">
        <v>3802</v>
      </c>
      <c r="D1223" s="81" t="s">
        <v>3802</v>
      </c>
      <c r="E1223" s="81" t="s">
        <v>16</v>
      </c>
      <c r="F1223" s="81" t="s">
        <v>372</v>
      </c>
      <c r="G1223" s="81" t="s">
        <v>4805</v>
      </c>
      <c r="H1223" s="81" t="s">
        <v>4405</v>
      </c>
    </row>
    <row r="1224" spans="1:8" x14ac:dyDescent="0.3">
      <c r="A1224" s="81" t="s">
        <v>3936</v>
      </c>
      <c r="B1224" s="81" t="s">
        <v>574</v>
      </c>
      <c r="C1224" s="81" t="s">
        <v>3802</v>
      </c>
      <c r="D1224" s="81" t="s">
        <v>3802</v>
      </c>
      <c r="E1224" s="81" t="s">
        <v>16</v>
      </c>
      <c r="F1224" s="81" t="s">
        <v>373</v>
      </c>
      <c r="G1224" s="81" t="s">
        <v>4807</v>
      </c>
      <c r="H1224" s="81" t="s">
        <v>4406</v>
      </c>
    </row>
    <row r="1225" spans="1:8" x14ac:dyDescent="0.3">
      <c r="A1225" s="81" t="s">
        <v>3937</v>
      </c>
      <c r="B1225" s="81" t="s">
        <v>574</v>
      </c>
      <c r="C1225" s="81" t="s">
        <v>3802</v>
      </c>
      <c r="D1225" s="81" t="s">
        <v>3802</v>
      </c>
      <c r="E1225" s="81" t="s">
        <v>16</v>
      </c>
      <c r="F1225" s="81" t="s">
        <v>374</v>
      </c>
      <c r="G1225" s="81" t="s">
        <v>4809</v>
      </c>
      <c r="H1225" s="81" t="s">
        <v>4407</v>
      </c>
    </row>
    <row r="1226" spans="1:8" x14ac:dyDescent="0.3">
      <c r="A1226" s="81" t="s">
        <v>3938</v>
      </c>
      <c r="B1226" s="81" t="s">
        <v>574</v>
      </c>
      <c r="C1226" s="81" t="s">
        <v>3802</v>
      </c>
      <c r="D1226" s="81" t="s">
        <v>3802</v>
      </c>
      <c r="E1226" s="81" t="s">
        <v>16</v>
      </c>
      <c r="F1226" s="81" t="s">
        <v>375</v>
      </c>
      <c r="G1226" s="81" t="s">
        <v>4811</v>
      </c>
      <c r="H1226" s="81" t="s">
        <v>4408</v>
      </c>
    </row>
    <row r="1227" spans="1:8" x14ac:dyDescent="0.3">
      <c r="A1227" s="81" t="s">
        <v>3939</v>
      </c>
      <c r="B1227" s="81" t="s">
        <v>574</v>
      </c>
      <c r="C1227" s="81" t="s">
        <v>3802</v>
      </c>
      <c r="D1227" s="81" t="s">
        <v>3802</v>
      </c>
      <c r="E1227" s="81" t="s">
        <v>16</v>
      </c>
      <c r="F1227" s="81" t="s">
        <v>376</v>
      </c>
      <c r="G1227" s="81" t="s">
        <v>4813</v>
      </c>
      <c r="H1227" s="81" t="s">
        <v>4409</v>
      </c>
    </row>
    <row r="1228" spans="1:8" x14ac:dyDescent="0.3">
      <c r="A1228" s="81" t="s">
        <v>3940</v>
      </c>
      <c r="B1228" s="81" t="s">
        <v>574</v>
      </c>
      <c r="C1228" s="81" t="s">
        <v>3802</v>
      </c>
      <c r="D1228" s="81" t="s">
        <v>3802</v>
      </c>
      <c r="E1228" s="81" t="s">
        <v>16</v>
      </c>
      <c r="F1228" s="81" t="s">
        <v>377</v>
      </c>
      <c r="G1228" s="81" t="s">
        <v>4815</v>
      </c>
      <c r="H1228" s="81" t="s">
        <v>4410</v>
      </c>
    </row>
    <row r="1229" spans="1:8" x14ac:dyDescent="0.3">
      <c r="A1229" s="81" t="s">
        <v>3941</v>
      </c>
      <c r="B1229" s="81" t="s">
        <v>574</v>
      </c>
      <c r="C1229" s="81" t="s">
        <v>3802</v>
      </c>
      <c r="D1229" s="81" t="s">
        <v>3802</v>
      </c>
      <c r="E1229" s="81" t="s">
        <v>16</v>
      </c>
      <c r="F1229" s="81" t="s">
        <v>378</v>
      </c>
      <c r="G1229" s="81" t="s">
        <v>4817</v>
      </c>
      <c r="H1229" s="81" t="s">
        <v>4411</v>
      </c>
    </row>
    <row r="1230" spans="1:8" x14ac:dyDescent="0.3">
      <c r="A1230" s="81" t="s">
        <v>3942</v>
      </c>
      <c r="B1230" s="81" t="s">
        <v>574</v>
      </c>
      <c r="C1230" s="81" t="s">
        <v>3802</v>
      </c>
      <c r="D1230" s="81" t="s">
        <v>3802</v>
      </c>
      <c r="E1230" s="81" t="s">
        <v>16</v>
      </c>
      <c r="F1230" s="81" t="s">
        <v>379</v>
      </c>
      <c r="G1230" s="81" t="s">
        <v>4819</v>
      </c>
      <c r="H1230" s="81" t="s">
        <v>4412</v>
      </c>
    </row>
    <row r="1231" spans="1:8" x14ac:dyDescent="0.3">
      <c r="A1231" s="81" t="s">
        <v>3943</v>
      </c>
      <c r="B1231" s="81" t="s">
        <v>574</v>
      </c>
      <c r="C1231" s="81" t="s">
        <v>3802</v>
      </c>
      <c r="D1231" s="81" t="s">
        <v>3802</v>
      </c>
      <c r="E1231" s="81" t="s">
        <v>16</v>
      </c>
      <c r="F1231" s="81" t="s">
        <v>380</v>
      </c>
      <c r="G1231" s="81" t="s">
        <v>4821</v>
      </c>
      <c r="H1231" s="81" t="s">
        <v>4413</v>
      </c>
    </row>
    <row r="1232" spans="1:8" x14ac:dyDescent="0.3">
      <c r="A1232" s="81" t="s">
        <v>3944</v>
      </c>
      <c r="B1232" s="81" t="s">
        <v>574</v>
      </c>
      <c r="C1232" s="81" t="s">
        <v>3802</v>
      </c>
      <c r="D1232" s="81" t="s">
        <v>3802</v>
      </c>
      <c r="E1232" s="81" t="s">
        <v>16</v>
      </c>
      <c r="F1232" s="81" t="s">
        <v>381</v>
      </c>
      <c r="G1232" s="81" t="s">
        <v>4823</v>
      </c>
      <c r="H1232" s="81" t="s">
        <v>4414</v>
      </c>
    </row>
    <row r="1233" spans="1:8" x14ac:dyDescent="0.3">
      <c r="A1233" s="81" t="s">
        <v>3946</v>
      </c>
      <c r="B1233" s="81" t="s">
        <v>574</v>
      </c>
      <c r="C1233" s="81" t="s">
        <v>3802</v>
      </c>
      <c r="D1233" s="81" t="s">
        <v>3802</v>
      </c>
      <c r="E1233" s="81" t="s">
        <v>16</v>
      </c>
      <c r="F1233" s="81" t="s">
        <v>382</v>
      </c>
      <c r="G1233" s="81" t="s">
        <v>4825</v>
      </c>
      <c r="H1233" s="81" t="s">
        <v>4415</v>
      </c>
    </row>
    <row r="1234" spans="1:8" x14ac:dyDescent="0.3">
      <c r="A1234" s="81" t="s">
        <v>3947</v>
      </c>
      <c r="B1234" s="81" t="s">
        <v>574</v>
      </c>
      <c r="C1234" s="81" t="s">
        <v>3802</v>
      </c>
      <c r="D1234" s="81" t="s">
        <v>3802</v>
      </c>
      <c r="E1234" s="81" t="s">
        <v>16</v>
      </c>
      <c r="F1234" s="81" t="s">
        <v>383</v>
      </c>
      <c r="G1234" s="81" t="s">
        <v>4827</v>
      </c>
      <c r="H1234" s="81" t="s">
        <v>4829</v>
      </c>
    </row>
    <row r="1235" spans="1:8" x14ac:dyDescent="0.3">
      <c r="A1235" s="81" t="s">
        <v>3948</v>
      </c>
      <c r="B1235" s="81" t="s">
        <v>1467</v>
      </c>
      <c r="C1235" s="81" t="s">
        <v>3906</v>
      </c>
      <c r="D1235" s="81" t="s">
        <v>4685</v>
      </c>
      <c r="E1235" s="81" t="s">
        <v>20</v>
      </c>
      <c r="F1235" s="81" t="s">
        <v>15</v>
      </c>
      <c r="G1235" s="81" t="s">
        <v>4830</v>
      </c>
      <c r="H1235" s="81" t="s">
        <v>3912</v>
      </c>
    </row>
    <row r="1236" spans="1:8" x14ac:dyDescent="0.3">
      <c r="A1236" s="81" t="s">
        <v>3949</v>
      </c>
      <c r="B1236" s="81" t="s">
        <v>1467</v>
      </c>
      <c r="C1236" s="81" t="s">
        <v>3906</v>
      </c>
      <c r="D1236" s="81" t="s">
        <v>4685</v>
      </c>
      <c r="E1236" s="81" t="s">
        <v>16</v>
      </c>
      <c r="F1236" s="81" t="s">
        <v>368</v>
      </c>
      <c r="G1236" s="81" t="s">
        <v>4832</v>
      </c>
      <c r="H1236" s="81" t="s">
        <v>4416</v>
      </c>
    </row>
    <row r="1237" spans="1:8" x14ac:dyDescent="0.3">
      <c r="A1237" s="81" t="s">
        <v>3953</v>
      </c>
      <c r="B1237" s="81" t="s">
        <v>1467</v>
      </c>
      <c r="C1237" s="81" t="s">
        <v>3906</v>
      </c>
      <c r="D1237" s="81" t="s">
        <v>4685</v>
      </c>
      <c r="E1237" s="81" t="s">
        <v>16</v>
      </c>
      <c r="F1237" s="81" t="s">
        <v>369</v>
      </c>
      <c r="G1237" s="81" t="s">
        <v>4834</v>
      </c>
      <c r="H1237" s="81" t="s">
        <v>4417</v>
      </c>
    </row>
    <row r="1238" spans="1:8" x14ac:dyDescent="0.3">
      <c r="A1238" s="81" t="s">
        <v>3954</v>
      </c>
      <c r="B1238" s="81" t="s">
        <v>1467</v>
      </c>
      <c r="C1238" s="81" t="s">
        <v>3906</v>
      </c>
      <c r="D1238" s="81" t="s">
        <v>4685</v>
      </c>
      <c r="E1238" s="81" t="s">
        <v>16</v>
      </c>
      <c r="F1238" s="81" t="s">
        <v>370</v>
      </c>
      <c r="G1238" s="81" t="s">
        <v>4836</v>
      </c>
      <c r="H1238" s="81" t="s">
        <v>4418</v>
      </c>
    </row>
    <row r="1239" spans="1:8" x14ac:dyDescent="0.3">
      <c r="A1239" s="81" t="s">
        <v>3955</v>
      </c>
      <c r="B1239" s="81" t="s">
        <v>1467</v>
      </c>
      <c r="C1239" s="81" t="s">
        <v>3906</v>
      </c>
      <c r="D1239" s="81" t="s">
        <v>4685</v>
      </c>
      <c r="E1239" s="81" t="s">
        <v>16</v>
      </c>
      <c r="F1239" s="81" t="s">
        <v>371</v>
      </c>
      <c r="G1239" s="81" t="s">
        <v>4838</v>
      </c>
      <c r="H1239" s="81" t="s">
        <v>4419</v>
      </c>
    </row>
    <row r="1240" spans="1:8" x14ac:dyDescent="0.3">
      <c r="A1240" s="81" t="s">
        <v>3956</v>
      </c>
      <c r="B1240" s="81" t="s">
        <v>1467</v>
      </c>
      <c r="C1240" s="81" t="s">
        <v>3906</v>
      </c>
      <c r="D1240" s="81" t="s">
        <v>4685</v>
      </c>
      <c r="E1240" s="81" t="s">
        <v>16</v>
      </c>
      <c r="F1240" s="81" t="s">
        <v>372</v>
      </c>
      <c r="G1240" s="81" t="s">
        <v>4840</v>
      </c>
      <c r="H1240" s="81" t="s">
        <v>4420</v>
      </c>
    </row>
    <row r="1241" spans="1:8" x14ac:dyDescent="0.3">
      <c r="A1241" s="81" t="s">
        <v>3957</v>
      </c>
      <c r="B1241" s="81" t="s">
        <v>1467</v>
      </c>
      <c r="C1241" s="81" t="s">
        <v>3906</v>
      </c>
      <c r="D1241" s="81" t="s">
        <v>4685</v>
      </c>
      <c r="E1241" s="81" t="s">
        <v>16</v>
      </c>
      <c r="F1241" s="81" t="s">
        <v>373</v>
      </c>
      <c r="G1241" s="81" t="s">
        <v>4842</v>
      </c>
      <c r="H1241" s="81" t="s">
        <v>4421</v>
      </c>
    </row>
    <row r="1242" spans="1:8" x14ac:dyDescent="0.3">
      <c r="A1242" s="81" t="s">
        <v>3958</v>
      </c>
      <c r="B1242" s="81" t="s">
        <v>1467</v>
      </c>
      <c r="C1242" s="81" t="s">
        <v>3906</v>
      </c>
      <c r="D1242" s="81" t="s">
        <v>4685</v>
      </c>
      <c r="E1242" s="81" t="s">
        <v>16</v>
      </c>
      <c r="F1242" s="81" t="s">
        <v>374</v>
      </c>
      <c r="G1242" s="81" t="s">
        <v>4844</v>
      </c>
      <c r="H1242" s="81" t="s">
        <v>4422</v>
      </c>
    </row>
    <row r="1243" spans="1:8" x14ac:dyDescent="0.3">
      <c r="A1243" s="81" t="s">
        <v>3959</v>
      </c>
      <c r="B1243" s="81" t="s">
        <v>1467</v>
      </c>
      <c r="C1243" s="81" t="s">
        <v>3906</v>
      </c>
      <c r="D1243" s="81" t="s">
        <v>4685</v>
      </c>
      <c r="E1243" s="81" t="s">
        <v>16</v>
      </c>
      <c r="F1243" s="81" t="s">
        <v>375</v>
      </c>
      <c r="G1243" s="81" t="s">
        <v>4846</v>
      </c>
      <c r="H1243" s="81" t="s">
        <v>4423</v>
      </c>
    </row>
    <row r="1244" spans="1:8" x14ac:dyDescent="0.3">
      <c r="A1244" s="81" t="s">
        <v>3960</v>
      </c>
      <c r="B1244" s="81" t="s">
        <v>1467</v>
      </c>
      <c r="C1244" s="81" t="s">
        <v>3906</v>
      </c>
      <c r="D1244" s="81" t="s">
        <v>4685</v>
      </c>
      <c r="E1244" s="81" t="s">
        <v>16</v>
      </c>
      <c r="F1244" s="81" t="s">
        <v>376</v>
      </c>
      <c r="G1244" s="81" t="s">
        <v>4848</v>
      </c>
      <c r="H1244" s="81" t="s">
        <v>4424</v>
      </c>
    </row>
    <row r="1245" spans="1:8" x14ac:dyDescent="0.3">
      <c r="A1245" s="81" t="s">
        <v>3961</v>
      </c>
      <c r="B1245" s="81" t="s">
        <v>1467</v>
      </c>
      <c r="C1245" s="81" t="s">
        <v>3906</v>
      </c>
      <c r="D1245" s="81" t="s">
        <v>4685</v>
      </c>
      <c r="E1245" s="81" t="s">
        <v>16</v>
      </c>
      <c r="F1245" s="81" t="s">
        <v>377</v>
      </c>
      <c r="G1245" s="81" t="s">
        <v>4850</v>
      </c>
      <c r="H1245" s="81" t="s">
        <v>4425</v>
      </c>
    </row>
    <row r="1246" spans="1:8" x14ac:dyDescent="0.3">
      <c r="A1246" s="81" t="s">
        <v>3962</v>
      </c>
      <c r="B1246" s="81" t="s">
        <v>1467</v>
      </c>
      <c r="C1246" s="81" t="s">
        <v>3906</v>
      </c>
      <c r="D1246" s="81" t="s">
        <v>4685</v>
      </c>
      <c r="E1246" s="81" t="s">
        <v>16</v>
      </c>
      <c r="F1246" s="81" t="s">
        <v>378</v>
      </c>
      <c r="G1246" s="81" t="s">
        <v>4852</v>
      </c>
      <c r="H1246" s="81" t="s">
        <v>4426</v>
      </c>
    </row>
    <row r="1247" spans="1:8" x14ac:dyDescent="0.3">
      <c r="A1247" s="81" t="s">
        <v>3963</v>
      </c>
      <c r="B1247" s="81" t="s">
        <v>1467</v>
      </c>
      <c r="C1247" s="81" t="s">
        <v>3906</v>
      </c>
      <c r="D1247" s="81" t="s">
        <v>4685</v>
      </c>
      <c r="E1247" s="81" t="s">
        <v>16</v>
      </c>
      <c r="F1247" s="81" t="s">
        <v>379</v>
      </c>
      <c r="G1247" s="81" t="s">
        <v>4854</v>
      </c>
      <c r="H1247" s="81" t="s">
        <v>4427</v>
      </c>
    </row>
    <row r="1248" spans="1:8" x14ac:dyDescent="0.3">
      <c r="A1248" s="81" t="s">
        <v>3964</v>
      </c>
      <c r="B1248" s="81" t="s">
        <v>1467</v>
      </c>
      <c r="C1248" s="81" t="s">
        <v>3906</v>
      </c>
      <c r="D1248" s="81" t="s">
        <v>4685</v>
      </c>
      <c r="E1248" s="81" t="s">
        <v>16</v>
      </c>
      <c r="F1248" s="81" t="s">
        <v>380</v>
      </c>
      <c r="G1248" s="81" t="s">
        <v>4856</v>
      </c>
      <c r="H1248" s="81" t="s">
        <v>4428</v>
      </c>
    </row>
    <row r="1249" spans="1:8" x14ac:dyDescent="0.3">
      <c r="A1249" s="81" t="s">
        <v>3965</v>
      </c>
      <c r="B1249" s="81" t="s">
        <v>1467</v>
      </c>
      <c r="C1249" s="81" t="s">
        <v>3906</v>
      </c>
      <c r="D1249" s="81" t="s">
        <v>4685</v>
      </c>
      <c r="E1249" s="81" t="s">
        <v>16</v>
      </c>
      <c r="F1249" s="81" t="s">
        <v>381</v>
      </c>
      <c r="G1249" s="81" t="s">
        <v>4858</v>
      </c>
      <c r="H1249" s="81" t="s">
        <v>4429</v>
      </c>
    </row>
    <row r="1250" spans="1:8" x14ac:dyDescent="0.3">
      <c r="A1250" s="81" t="s">
        <v>3966</v>
      </c>
      <c r="B1250" s="81" t="s">
        <v>1467</v>
      </c>
      <c r="C1250" s="81" t="s">
        <v>3906</v>
      </c>
      <c r="D1250" s="81" t="s">
        <v>4685</v>
      </c>
      <c r="E1250" s="81" t="s">
        <v>16</v>
      </c>
      <c r="F1250" s="81" t="s">
        <v>382</v>
      </c>
      <c r="G1250" s="81" t="s">
        <v>4860</v>
      </c>
      <c r="H1250" s="81" t="s">
        <v>4430</v>
      </c>
    </row>
    <row r="1251" spans="1:8" x14ac:dyDescent="0.3">
      <c r="A1251" s="81" t="s">
        <v>3968</v>
      </c>
      <c r="B1251" s="81" t="s">
        <v>1467</v>
      </c>
      <c r="C1251" s="81" t="s">
        <v>3906</v>
      </c>
      <c r="D1251" s="81" t="s">
        <v>4685</v>
      </c>
      <c r="E1251" s="81" t="s">
        <v>16</v>
      </c>
      <c r="F1251" s="81" t="s">
        <v>383</v>
      </c>
      <c r="G1251" s="81" t="s">
        <v>4862</v>
      </c>
      <c r="H1251" s="81" t="s">
        <v>4864</v>
      </c>
    </row>
    <row r="1252" spans="1:8" x14ac:dyDescent="0.3">
      <c r="A1252" s="81" t="s">
        <v>3969</v>
      </c>
      <c r="B1252" s="81" t="s">
        <v>1467</v>
      </c>
      <c r="C1252" s="81" t="s">
        <v>1468</v>
      </c>
      <c r="D1252" s="81" t="s">
        <v>4685</v>
      </c>
      <c r="E1252" s="81" t="s">
        <v>20</v>
      </c>
      <c r="F1252" s="81" t="s">
        <v>15</v>
      </c>
      <c r="G1252" s="81" t="s">
        <v>4865</v>
      </c>
      <c r="H1252" s="81" t="s">
        <v>3931</v>
      </c>
    </row>
    <row r="1253" spans="1:8" x14ac:dyDescent="0.3">
      <c r="A1253" s="81" t="s">
        <v>3970</v>
      </c>
      <c r="B1253" s="81" t="s">
        <v>1467</v>
      </c>
      <c r="C1253" s="81" t="s">
        <v>1468</v>
      </c>
      <c r="D1253" s="81" t="s">
        <v>4685</v>
      </c>
      <c r="E1253" s="81" t="s">
        <v>16</v>
      </c>
      <c r="F1253" s="81" t="s">
        <v>368</v>
      </c>
      <c r="G1253" s="81" t="s">
        <v>4867</v>
      </c>
      <c r="H1253" s="81" t="s">
        <v>4431</v>
      </c>
    </row>
    <row r="1254" spans="1:8" x14ac:dyDescent="0.3">
      <c r="A1254" s="81" t="s">
        <v>3973</v>
      </c>
      <c r="B1254" s="81" t="s">
        <v>1467</v>
      </c>
      <c r="C1254" s="81" t="s">
        <v>1468</v>
      </c>
      <c r="D1254" s="81" t="s">
        <v>4685</v>
      </c>
      <c r="E1254" s="81" t="s">
        <v>16</v>
      </c>
      <c r="F1254" s="81" t="s">
        <v>369</v>
      </c>
      <c r="G1254" s="81" t="s">
        <v>4869</v>
      </c>
      <c r="H1254" s="81" t="s">
        <v>4432</v>
      </c>
    </row>
    <row r="1255" spans="1:8" x14ac:dyDescent="0.3">
      <c r="A1255" s="81" t="s">
        <v>3975</v>
      </c>
      <c r="B1255" s="81" t="s">
        <v>1467</v>
      </c>
      <c r="C1255" s="81" t="s">
        <v>1468</v>
      </c>
      <c r="D1255" s="81" t="s">
        <v>4685</v>
      </c>
      <c r="E1255" s="81" t="s">
        <v>16</v>
      </c>
      <c r="F1255" s="81" t="s">
        <v>370</v>
      </c>
      <c r="G1255" s="81" t="s">
        <v>4871</v>
      </c>
      <c r="H1255" s="81" t="s">
        <v>4433</v>
      </c>
    </row>
    <row r="1256" spans="1:8" x14ac:dyDescent="0.3">
      <c r="A1256" s="81" t="s">
        <v>3977</v>
      </c>
      <c r="B1256" s="81" t="s">
        <v>1467</v>
      </c>
      <c r="C1256" s="81" t="s">
        <v>1468</v>
      </c>
      <c r="D1256" s="81" t="s">
        <v>4685</v>
      </c>
      <c r="E1256" s="81" t="s">
        <v>16</v>
      </c>
      <c r="F1256" s="81" t="s">
        <v>371</v>
      </c>
      <c r="G1256" s="81" t="s">
        <v>4873</v>
      </c>
      <c r="H1256" s="81" t="s">
        <v>4434</v>
      </c>
    </row>
    <row r="1257" spans="1:8" x14ac:dyDescent="0.3">
      <c r="A1257" s="81" t="s">
        <v>3978</v>
      </c>
      <c r="B1257" s="81" t="s">
        <v>1467</v>
      </c>
      <c r="C1257" s="81" t="s">
        <v>1468</v>
      </c>
      <c r="D1257" s="81" t="s">
        <v>4685</v>
      </c>
      <c r="E1257" s="81" t="s">
        <v>16</v>
      </c>
      <c r="F1257" s="81" t="s">
        <v>372</v>
      </c>
      <c r="G1257" s="81" t="s">
        <v>4875</v>
      </c>
      <c r="H1257" s="81" t="s">
        <v>4435</v>
      </c>
    </row>
    <row r="1258" spans="1:8" x14ac:dyDescent="0.3">
      <c r="A1258" s="81" t="s">
        <v>3979</v>
      </c>
      <c r="B1258" s="81" t="s">
        <v>1467</v>
      </c>
      <c r="C1258" s="81" t="s">
        <v>1468</v>
      </c>
      <c r="D1258" s="81" t="s">
        <v>4685</v>
      </c>
      <c r="E1258" s="81" t="s">
        <v>16</v>
      </c>
      <c r="F1258" s="81" t="s">
        <v>373</v>
      </c>
      <c r="G1258" s="81" t="s">
        <v>4877</v>
      </c>
      <c r="H1258" s="81" t="s">
        <v>4436</v>
      </c>
    </row>
    <row r="1259" spans="1:8" x14ac:dyDescent="0.3">
      <c r="A1259" s="81" t="s">
        <v>3980</v>
      </c>
      <c r="B1259" s="81" t="s">
        <v>1467</v>
      </c>
      <c r="C1259" s="81" t="s">
        <v>1468</v>
      </c>
      <c r="D1259" s="81" t="s">
        <v>4685</v>
      </c>
      <c r="E1259" s="81" t="s">
        <v>16</v>
      </c>
      <c r="F1259" s="81" t="s">
        <v>374</v>
      </c>
      <c r="G1259" s="81" t="s">
        <v>4879</v>
      </c>
      <c r="H1259" s="81" t="s">
        <v>4437</v>
      </c>
    </row>
    <row r="1260" spans="1:8" x14ac:dyDescent="0.3">
      <c r="A1260" s="81" t="s">
        <v>3981</v>
      </c>
      <c r="B1260" s="81" t="s">
        <v>1467</v>
      </c>
      <c r="C1260" s="81" t="s">
        <v>1468</v>
      </c>
      <c r="D1260" s="81" t="s">
        <v>4685</v>
      </c>
      <c r="E1260" s="81" t="s">
        <v>16</v>
      </c>
      <c r="F1260" s="81" t="s">
        <v>375</v>
      </c>
      <c r="G1260" s="81" t="s">
        <v>4881</v>
      </c>
      <c r="H1260" s="81" t="s">
        <v>4438</v>
      </c>
    </row>
    <row r="1261" spans="1:8" x14ac:dyDescent="0.3">
      <c r="A1261" s="81" t="s">
        <v>3982</v>
      </c>
      <c r="B1261" s="81" t="s">
        <v>1467</v>
      </c>
      <c r="C1261" s="81" t="s">
        <v>1468</v>
      </c>
      <c r="D1261" s="81" t="s">
        <v>4685</v>
      </c>
      <c r="E1261" s="81" t="s">
        <v>16</v>
      </c>
      <c r="F1261" s="81" t="s">
        <v>376</v>
      </c>
      <c r="G1261" s="81" t="s">
        <v>4883</v>
      </c>
      <c r="H1261" s="81" t="s">
        <v>4439</v>
      </c>
    </row>
    <row r="1262" spans="1:8" x14ac:dyDescent="0.3">
      <c r="A1262" s="81" t="s">
        <v>3983</v>
      </c>
      <c r="B1262" s="81" t="s">
        <v>1467</v>
      </c>
      <c r="C1262" s="81" t="s">
        <v>1468</v>
      </c>
      <c r="D1262" s="81" t="s">
        <v>4685</v>
      </c>
      <c r="E1262" s="81" t="s">
        <v>16</v>
      </c>
      <c r="F1262" s="81" t="s">
        <v>377</v>
      </c>
      <c r="G1262" s="81" t="s">
        <v>4885</v>
      </c>
      <c r="H1262" s="81" t="s">
        <v>4440</v>
      </c>
    </row>
    <row r="1263" spans="1:8" x14ac:dyDescent="0.3">
      <c r="A1263" s="81" t="s">
        <v>3984</v>
      </c>
      <c r="B1263" s="81" t="s">
        <v>1467</v>
      </c>
      <c r="C1263" s="81" t="s">
        <v>1468</v>
      </c>
      <c r="D1263" s="81" t="s">
        <v>4685</v>
      </c>
      <c r="E1263" s="81" t="s">
        <v>16</v>
      </c>
      <c r="F1263" s="81" t="s">
        <v>378</v>
      </c>
      <c r="G1263" s="81" t="s">
        <v>4887</v>
      </c>
      <c r="H1263" s="81" t="s">
        <v>4441</v>
      </c>
    </row>
    <row r="1264" spans="1:8" x14ac:dyDescent="0.3">
      <c r="A1264" s="81" t="s">
        <v>3985</v>
      </c>
      <c r="B1264" s="81" t="s">
        <v>1467</v>
      </c>
      <c r="C1264" s="81" t="s">
        <v>1468</v>
      </c>
      <c r="D1264" s="81" t="s">
        <v>4685</v>
      </c>
      <c r="E1264" s="81" t="s">
        <v>16</v>
      </c>
      <c r="F1264" s="81" t="s">
        <v>379</v>
      </c>
      <c r="G1264" s="81" t="s">
        <v>4889</v>
      </c>
      <c r="H1264" s="81" t="s">
        <v>4442</v>
      </c>
    </row>
    <row r="1265" spans="1:8" x14ac:dyDescent="0.3">
      <c r="A1265" s="81" t="s">
        <v>3986</v>
      </c>
      <c r="B1265" s="81" t="s">
        <v>1467</v>
      </c>
      <c r="C1265" s="81" t="s">
        <v>1468</v>
      </c>
      <c r="D1265" s="81" t="s">
        <v>4685</v>
      </c>
      <c r="E1265" s="81" t="s">
        <v>16</v>
      </c>
      <c r="F1265" s="81" t="s">
        <v>380</v>
      </c>
      <c r="G1265" s="81" t="s">
        <v>4891</v>
      </c>
      <c r="H1265" s="81" t="s">
        <v>4443</v>
      </c>
    </row>
    <row r="1266" spans="1:8" x14ac:dyDescent="0.3">
      <c r="A1266" s="81" t="s">
        <v>3987</v>
      </c>
      <c r="B1266" s="81" t="s">
        <v>1467</v>
      </c>
      <c r="C1266" s="81" t="s">
        <v>1468</v>
      </c>
      <c r="D1266" s="81" t="s">
        <v>4685</v>
      </c>
      <c r="E1266" s="81" t="s">
        <v>16</v>
      </c>
      <c r="F1266" s="81" t="s">
        <v>381</v>
      </c>
      <c r="G1266" s="81" t="s">
        <v>4893</v>
      </c>
      <c r="H1266" s="81" t="s">
        <v>4444</v>
      </c>
    </row>
    <row r="1267" spans="1:8" x14ac:dyDescent="0.3">
      <c r="A1267" s="81" t="s">
        <v>3988</v>
      </c>
      <c r="B1267" s="81" t="s">
        <v>1467</v>
      </c>
      <c r="C1267" s="81" t="s">
        <v>1468</v>
      </c>
      <c r="D1267" s="81" t="s">
        <v>4685</v>
      </c>
      <c r="E1267" s="81" t="s">
        <v>16</v>
      </c>
      <c r="F1267" s="81" t="s">
        <v>382</v>
      </c>
      <c r="G1267" s="81" t="s">
        <v>4895</v>
      </c>
      <c r="H1267" s="81" t="s">
        <v>4445</v>
      </c>
    </row>
    <row r="1268" spans="1:8" x14ac:dyDescent="0.3">
      <c r="A1268" s="81" t="s">
        <v>3989</v>
      </c>
      <c r="B1268" s="81" t="s">
        <v>1467</v>
      </c>
      <c r="C1268" s="81" t="s">
        <v>1468</v>
      </c>
      <c r="D1268" s="81" t="s">
        <v>4685</v>
      </c>
      <c r="E1268" s="81" t="s">
        <v>16</v>
      </c>
      <c r="F1268" s="81" t="s">
        <v>383</v>
      </c>
      <c r="G1268" s="81" t="s">
        <v>4897</v>
      </c>
      <c r="H1268" s="81" t="s">
        <v>4899</v>
      </c>
    </row>
    <row r="1269" spans="1:8" x14ac:dyDescent="0.3">
      <c r="A1269" s="81" t="s">
        <v>3990</v>
      </c>
      <c r="B1269" s="81" t="s">
        <v>1467</v>
      </c>
      <c r="C1269" s="81" t="s">
        <v>3907</v>
      </c>
      <c r="D1269" s="81" t="s">
        <v>4685</v>
      </c>
      <c r="E1269" s="81" t="s">
        <v>20</v>
      </c>
      <c r="F1269" s="81" t="s">
        <v>15</v>
      </c>
      <c r="G1269" s="81" t="s">
        <v>4900</v>
      </c>
      <c r="H1269" s="81" t="s">
        <v>3952</v>
      </c>
    </row>
    <row r="1270" spans="1:8" x14ac:dyDescent="0.3">
      <c r="A1270" s="81" t="s">
        <v>3991</v>
      </c>
      <c r="B1270" s="81" t="s">
        <v>1467</v>
      </c>
      <c r="C1270" s="81" t="s">
        <v>3907</v>
      </c>
      <c r="D1270" s="81" t="s">
        <v>4685</v>
      </c>
      <c r="E1270" s="81" t="s">
        <v>16</v>
      </c>
      <c r="F1270" s="81" t="s">
        <v>368</v>
      </c>
      <c r="G1270" s="81" t="s">
        <v>4902</v>
      </c>
      <c r="H1270" s="81" t="s">
        <v>4446</v>
      </c>
    </row>
    <row r="1271" spans="1:8" x14ac:dyDescent="0.3">
      <c r="A1271" s="81" t="s">
        <v>3993</v>
      </c>
      <c r="B1271" s="81" t="s">
        <v>1467</v>
      </c>
      <c r="C1271" s="81" t="s">
        <v>3907</v>
      </c>
      <c r="D1271" s="81" t="s">
        <v>4685</v>
      </c>
      <c r="E1271" s="81" t="s">
        <v>16</v>
      </c>
      <c r="F1271" s="81" t="s">
        <v>369</v>
      </c>
      <c r="G1271" s="81" t="s">
        <v>4904</v>
      </c>
      <c r="H1271" s="81" t="s">
        <v>4447</v>
      </c>
    </row>
    <row r="1272" spans="1:8" x14ac:dyDescent="0.3">
      <c r="A1272" s="81" t="s">
        <v>3994</v>
      </c>
      <c r="B1272" s="81" t="s">
        <v>1467</v>
      </c>
      <c r="C1272" s="81" t="s">
        <v>3907</v>
      </c>
      <c r="D1272" s="81" t="s">
        <v>4685</v>
      </c>
      <c r="E1272" s="81" t="s">
        <v>16</v>
      </c>
      <c r="F1272" s="81" t="s">
        <v>370</v>
      </c>
      <c r="G1272" s="81" t="s">
        <v>4906</v>
      </c>
      <c r="H1272" s="81" t="s">
        <v>4448</v>
      </c>
    </row>
    <row r="1273" spans="1:8" x14ac:dyDescent="0.3">
      <c r="A1273" s="81" t="s">
        <v>3995</v>
      </c>
      <c r="B1273" s="81" t="s">
        <v>1467</v>
      </c>
      <c r="C1273" s="81" t="s">
        <v>3907</v>
      </c>
      <c r="D1273" s="81" t="s">
        <v>4685</v>
      </c>
      <c r="E1273" s="81" t="s">
        <v>16</v>
      </c>
      <c r="F1273" s="81" t="s">
        <v>371</v>
      </c>
      <c r="G1273" s="81" t="s">
        <v>4908</v>
      </c>
      <c r="H1273" s="81" t="s">
        <v>4449</v>
      </c>
    </row>
    <row r="1274" spans="1:8" x14ac:dyDescent="0.3">
      <c r="A1274" s="81" t="s">
        <v>3996</v>
      </c>
      <c r="B1274" s="81" t="s">
        <v>1467</v>
      </c>
      <c r="C1274" s="81" t="s">
        <v>3907</v>
      </c>
      <c r="D1274" s="81" t="s">
        <v>4685</v>
      </c>
      <c r="E1274" s="81" t="s">
        <v>16</v>
      </c>
      <c r="F1274" s="81" t="s">
        <v>372</v>
      </c>
      <c r="G1274" s="81" t="s">
        <v>4910</v>
      </c>
      <c r="H1274" s="81" t="s">
        <v>4450</v>
      </c>
    </row>
    <row r="1275" spans="1:8" x14ac:dyDescent="0.3">
      <c r="A1275" s="81" t="s">
        <v>3998</v>
      </c>
      <c r="B1275" s="81" t="s">
        <v>1467</v>
      </c>
      <c r="C1275" s="81" t="s">
        <v>3907</v>
      </c>
      <c r="D1275" s="81" t="s">
        <v>4685</v>
      </c>
      <c r="E1275" s="81" t="s">
        <v>16</v>
      </c>
      <c r="F1275" s="81" t="s">
        <v>373</v>
      </c>
      <c r="G1275" s="81" t="s">
        <v>4912</v>
      </c>
      <c r="H1275" s="81" t="s">
        <v>4451</v>
      </c>
    </row>
    <row r="1276" spans="1:8" x14ac:dyDescent="0.3">
      <c r="A1276" s="81" t="s">
        <v>3999</v>
      </c>
      <c r="B1276" s="81" t="s">
        <v>1467</v>
      </c>
      <c r="C1276" s="81" t="s">
        <v>3907</v>
      </c>
      <c r="D1276" s="81" t="s">
        <v>4685</v>
      </c>
      <c r="E1276" s="81" t="s">
        <v>16</v>
      </c>
      <c r="F1276" s="81" t="s">
        <v>374</v>
      </c>
      <c r="G1276" s="81" t="s">
        <v>4914</v>
      </c>
      <c r="H1276" s="81" t="s">
        <v>4452</v>
      </c>
    </row>
    <row r="1277" spans="1:8" x14ac:dyDescent="0.3">
      <c r="A1277" s="81" t="s">
        <v>4000</v>
      </c>
      <c r="B1277" s="81" t="s">
        <v>1467</v>
      </c>
      <c r="C1277" s="81" t="s">
        <v>3907</v>
      </c>
      <c r="D1277" s="81" t="s">
        <v>4685</v>
      </c>
      <c r="E1277" s="81" t="s">
        <v>16</v>
      </c>
      <c r="F1277" s="81" t="s">
        <v>375</v>
      </c>
      <c r="G1277" s="81" t="s">
        <v>4916</v>
      </c>
      <c r="H1277" s="81" t="s">
        <v>4453</v>
      </c>
    </row>
    <row r="1278" spans="1:8" x14ac:dyDescent="0.3">
      <c r="A1278" s="81" t="s">
        <v>4001</v>
      </c>
      <c r="B1278" s="81" t="s">
        <v>1467</v>
      </c>
      <c r="C1278" s="81" t="s">
        <v>3907</v>
      </c>
      <c r="D1278" s="81" t="s">
        <v>4685</v>
      </c>
      <c r="E1278" s="81" t="s">
        <v>16</v>
      </c>
      <c r="F1278" s="81" t="s">
        <v>376</v>
      </c>
      <c r="G1278" s="81" t="s">
        <v>4918</v>
      </c>
      <c r="H1278" s="81" t="s">
        <v>4454</v>
      </c>
    </row>
    <row r="1279" spans="1:8" x14ac:dyDescent="0.3">
      <c r="A1279" s="81" t="s">
        <v>4002</v>
      </c>
      <c r="B1279" s="81" t="s">
        <v>1467</v>
      </c>
      <c r="C1279" s="81" t="s">
        <v>3907</v>
      </c>
      <c r="D1279" s="81" t="s">
        <v>4685</v>
      </c>
      <c r="E1279" s="81" t="s">
        <v>16</v>
      </c>
      <c r="F1279" s="81" t="s">
        <v>377</v>
      </c>
      <c r="G1279" s="81" t="s">
        <v>4920</v>
      </c>
      <c r="H1279" s="81" t="s">
        <v>4455</v>
      </c>
    </row>
    <row r="1280" spans="1:8" x14ac:dyDescent="0.3">
      <c r="A1280" s="81" t="s">
        <v>4003</v>
      </c>
      <c r="B1280" s="81" t="s">
        <v>1467</v>
      </c>
      <c r="C1280" s="81" t="s">
        <v>3907</v>
      </c>
      <c r="D1280" s="81" t="s">
        <v>4685</v>
      </c>
      <c r="E1280" s="81" t="s">
        <v>16</v>
      </c>
      <c r="F1280" s="81" t="s">
        <v>378</v>
      </c>
      <c r="G1280" s="81" t="s">
        <v>4922</v>
      </c>
      <c r="H1280" s="81" t="s">
        <v>4456</v>
      </c>
    </row>
    <row r="1281" spans="1:8" x14ac:dyDescent="0.3">
      <c r="A1281" s="81" t="s">
        <v>4004</v>
      </c>
      <c r="B1281" s="81" t="s">
        <v>1467</v>
      </c>
      <c r="C1281" s="81" t="s">
        <v>3907</v>
      </c>
      <c r="D1281" s="81" t="s">
        <v>4685</v>
      </c>
      <c r="E1281" s="81" t="s">
        <v>16</v>
      </c>
      <c r="F1281" s="81" t="s">
        <v>379</v>
      </c>
      <c r="G1281" s="81" t="s">
        <v>4924</v>
      </c>
      <c r="H1281" s="81" t="s">
        <v>4457</v>
      </c>
    </row>
    <row r="1282" spans="1:8" x14ac:dyDescent="0.3">
      <c r="A1282" s="81" t="s">
        <v>4005</v>
      </c>
      <c r="B1282" s="81" t="s">
        <v>1467</v>
      </c>
      <c r="C1282" s="81" t="s">
        <v>3907</v>
      </c>
      <c r="D1282" s="81" t="s">
        <v>4685</v>
      </c>
      <c r="E1282" s="81" t="s">
        <v>16</v>
      </c>
      <c r="F1282" s="81" t="s">
        <v>380</v>
      </c>
      <c r="G1282" s="81" t="s">
        <v>4926</v>
      </c>
      <c r="H1282" s="81" t="s">
        <v>4458</v>
      </c>
    </row>
    <row r="1283" spans="1:8" x14ac:dyDescent="0.3">
      <c r="A1283" s="81" t="s">
        <v>4006</v>
      </c>
      <c r="B1283" s="81" t="s">
        <v>1467</v>
      </c>
      <c r="C1283" s="81" t="s">
        <v>3907</v>
      </c>
      <c r="D1283" s="81" t="s">
        <v>4685</v>
      </c>
      <c r="E1283" s="81" t="s">
        <v>16</v>
      </c>
      <c r="F1283" s="81" t="s">
        <v>381</v>
      </c>
      <c r="G1283" s="81" t="s">
        <v>4928</v>
      </c>
      <c r="H1283" s="81" t="s">
        <v>4459</v>
      </c>
    </row>
    <row r="1284" spans="1:8" x14ac:dyDescent="0.3">
      <c r="A1284" s="81" t="s">
        <v>4007</v>
      </c>
      <c r="B1284" s="81" t="s">
        <v>1467</v>
      </c>
      <c r="C1284" s="81" t="s">
        <v>3907</v>
      </c>
      <c r="D1284" s="81" t="s">
        <v>4685</v>
      </c>
      <c r="E1284" s="81" t="s">
        <v>16</v>
      </c>
      <c r="F1284" s="81" t="s">
        <v>382</v>
      </c>
      <c r="G1284" s="81" t="s">
        <v>4930</v>
      </c>
      <c r="H1284" s="81" t="s">
        <v>4460</v>
      </c>
    </row>
    <row r="1285" spans="1:8" x14ac:dyDescent="0.3">
      <c r="A1285" s="81" t="s">
        <v>4008</v>
      </c>
      <c r="B1285" s="81" t="s">
        <v>1467</v>
      </c>
      <c r="C1285" s="81" t="s">
        <v>3907</v>
      </c>
      <c r="D1285" s="81" t="s">
        <v>4685</v>
      </c>
      <c r="E1285" s="81" t="s">
        <v>16</v>
      </c>
      <c r="F1285" s="81" t="s">
        <v>383</v>
      </c>
      <c r="G1285" s="81" t="s">
        <v>4932</v>
      </c>
      <c r="H1285" s="81" t="s">
        <v>4934</v>
      </c>
    </row>
    <row r="1286" spans="1:8" x14ac:dyDescent="0.3">
      <c r="A1286" s="81" t="s">
        <v>4009</v>
      </c>
      <c r="B1286" s="81" t="s">
        <v>1467</v>
      </c>
      <c r="C1286" s="81" t="s">
        <v>1468</v>
      </c>
      <c r="D1286" s="81" t="s">
        <v>4685</v>
      </c>
      <c r="E1286" s="81" t="s">
        <v>20</v>
      </c>
      <c r="F1286" s="81" t="s">
        <v>15</v>
      </c>
      <c r="G1286" s="81" t="s">
        <v>4935</v>
      </c>
      <c r="H1286" s="81" t="s">
        <v>3972</v>
      </c>
    </row>
    <row r="1287" spans="1:8" x14ac:dyDescent="0.3">
      <c r="A1287" s="81" t="s">
        <v>4010</v>
      </c>
      <c r="B1287" s="81" t="s">
        <v>1467</v>
      </c>
      <c r="C1287" s="81" t="s">
        <v>1468</v>
      </c>
      <c r="D1287" s="81" t="s">
        <v>4685</v>
      </c>
      <c r="E1287" s="81" t="s">
        <v>16</v>
      </c>
      <c r="F1287" s="81" t="s">
        <v>368</v>
      </c>
      <c r="G1287" s="81" t="s">
        <v>4937</v>
      </c>
      <c r="H1287" s="81" t="s">
        <v>4461</v>
      </c>
    </row>
    <row r="1288" spans="1:8" x14ac:dyDescent="0.3">
      <c r="A1288" s="81" t="s">
        <v>4014</v>
      </c>
      <c r="B1288" s="81" t="s">
        <v>1467</v>
      </c>
      <c r="C1288" s="81" t="s">
        <v>1468</v>
      </c>
      <c r="D1288" s="81" t="s">
        <v>4685</v>
      </c>
      <c r="E1288" s="81" t="s">
        <v>16</v>
      </c>
      <c r="F1288" s="81" t="s">
        <v>369</v>
      </c>
      <c r="G1288" s="81" t="s">
        <v>4939</v>
      </c>
      <c r="H1288" s="81" t="s">
        <v>4462</v>
      </c>
    </row>
    <row r="1289" spans="1:8" x14ac:dyDescent="0.3">
      <c r="A1289" s="81" t="s">
        <v>4015</v>
      </c>
      <c r="B1289" s="81" t="s">
        <v>1467</v>
      </c>
      <c r="C1289" s="81" t="s">
        <v>1468</v>
      </c>
      <c r="D1289" s="81" t="s">
        <v>4685</v>
      </c>
      <c r="E1289" s="81" t="s">
        <v>16</v>
      </c>
      <c r="F1289" s="81" t="s">
        <v>370</v>
      </c>
      <c r="G1289" s="81" t="s">
        <v>4941</v>
      </c>
      <c r="H1289" s="81" t="s">
        <v>4463</v>
      </c>
    </row>
    <row r="1290" spans="1:8" x14ac:dyDescent="0.3">
      <c r="A1290" s="81" t="s">
        <v>4016</v>
      </c>
      <c r="B1290" s="81" t="s">
        <v>1467</v>
      </c>
      <c r="C1290" s="81" t="s">
        <v>1468</v>
      </c>
      <c r="D1290" s="81" t="s">
        <v>4685</v>
      </c>
      <c r="E1290" s="81" t="s">
        <v>16</v>
      </c>
      <c r="F1290" s="81" t="s">
        <v>371</v>
      </c>
      <c r="G1290" s="81" t="s">
        <v>4943</v>
      </c>
      <c r="H1290" s="81" t="s">
        <v>4464</v>
      </c>
    </row>
    <row r="1291" spans="1:8" x14ac:dyDescent="0.3">
      <c r="A1291" s="81" t="s">
        <v>4017</v>
      </c>
      <c r="B1291" s="81" t="s">
        <v>1467</v>
      </c>
      <c r="C1291" s="81" t="s">
        <v>1468</v>
      </c>
      <c r="D1291" s="81" t="s">
        <v>4685</v>
      </c>
      <c r="E1291" s="81" t="s">
        <v>16</v>
      </c>
      <c r="F1291" s="81" t="s">
        <v>372</v>
      </c>
      <c r="G1291" s="81" t="s">
        <v>4945</v>
      </c>
      <c r="H1291" s="81" t="s">
        <v>4465</v>
      </c>
    </row>
    <row r="1292" spans="1:8" x14ac:dyDescent="0.3">
      <c r="A1292" s="81" t="s">
        <v>4018</v>
      </c>
      <c r="B1292" s="81" t="s">
        <v>1467</v>
      </c>
      <c r="C1292" s="81" t="s">
        <v>1468</v>
      </c>
      <c r="D1292" s="81" t="s">
        <v>4685</v>
      </c>
      <c r="E1292" s="81" t="s">
        <v>16</v>
      </c>
      <c r="F1292" s="81" t="s">
        <v>373</v>
      </c>
      <c r="G1292" s="81" t="s">
        <v>4947</v>
      </c>
      <c r="H1292" s="81" t="s">
        <v>4466</v>
      </c>
    </row>
    <row r="1293" spans="1:8" x14ac:dyDescent="0.3">
      <c r="A1293" s="81" t="s">
        <v>4019</v>
      </c>
      <c r="B1293" s="81" t="s">
        <v>1467</v>
      </c>
      <c r="C1293" s="81" t="s">
        <v>1468</v>
      </c>
      <c r="D1293" s="81" t="s">
        <v>4685</v>
      </c>
      <c r="E1293" s="81" t="s">
        <v>16</v>
      </c>
      <c r="F1293" s="81" t="s">
        <v>374</v>
      </c>
      <c r="G1293" s="81" t="s">
        <v>4949</v>
      </c>
      <c r="H1293" s="81" t="s">
        <v>4467</v>
      </c>
    </row>
    <row r="1294" spans="1:8" x14ac:dyDescent="0.3">
      <c r="A1294" s="81" t="s">
        <v>4020</v>
      </c>
      <c r="B1294" s="81" t="s">
        <v>1467</v>
      </c>
      <c r="C1294" s="81" t="s">
        <v>1468</v>
      </c>
      <c r="D1294" s="81" t="s">
        <v>4685</v>
      </c>
      <c r="E1294" s="81" t="s">
        <v>16</v>
      </c>
      <c r="F1294" s="81" t="s">
        <v>375</v>
      </c>
      <c r="G1294" s="81" t="s">
        <v>4951</v>
      </c>
      <c r="H1294" s="81" t="s">
        <v>4468</v>
      </c>
    </row>
    <row r="1295" spans="1:8" x14ac:dyDescent="0.3">
      <c r="A1295" s="81" t="s">
        <v>4021</v>
      </c>
      <c r="B1295" s="81" t="s">
        <v>1467</v>
      </c>
      <c r="C1295" s="81" t="s">
        <v>1468</v>
      </c>
      <c r="D1295" s="81" t="s">
        <v>4685</v>
      </c>
      <c r="E1295" s="81" t="s">
        <v>16</v>
      </c>
      <c r="F1295" s="81" t="s">
        <v>376</v>
      </c>
      <c r="G1295" s="81" t="s">
        <v>4953</v>
      </c>
      <c r="H1295" s="81" t="s">
        <v>4469</v>
      </c>
    </row>
    <row r="1296" spans="1:8" x14ac:dyDescent="0.3">
      <c r="A1296" s="81" t="s">
        <v>4022</v>
      </c>
      <c r="B1296" s="81" t="s">
        <v>1467</v>
      </c>
      <c r="C1296" s="81" t="s">
        <v>1468</v>
      </c>
      <c r="D1296" s="81" t="s">
        <v>4685</v>
      </c>
      <c r="E1296" s="81" t="s">
        <v>16</v>
      </c>
      <c r="F1296" s="81" t="s">
        <v>377</v>
      </c>
      <c r="G1296" s="81" t="s">
        <v>4955</v>
      </c>
      <c r="H1296" s="81" t="s">
        <v>4470</v>
      </c>
    </row>
    <row r="1297" spans="1:8" x14ac:dyDescent="0.3">
      <c r="A1297" s="81" t="s">
        <v>4023</v>
      </c>
      <c r="B1297" s="81" t="s">
        <v>1467</v>
      </c>
      <c r="C1297" s="81" t="s">
        <v>1468</v>
      </c>
      <c r="D1297" s="81" t="s">
        <v>4685</v>
      </c>
      <c r="E1297" s="81" t="s">
        <v>16</v>
      </c>
      <c r="F1297" s="81" t="s">
        <v>378</v>
      </c>
      <c r="G1297" s="81" t="s">
        <v>4957</v>
      </c>
      <c r="H1297" s="81" t="s">
        <v>4471</v>
      </c>
    </row>
    <row r="1298" spans="1:8" x14ac:dyDescent="0.3">
      <c r="A1298" s="81" t="s">
        <v>4024</v>
      </c>
      <c r="B1298" s="81" t="s">
        <v>1467</v>
      </c>
      <c r="C1298" s="81" t="s">
        <v>1468</v>
      </c>
      <c r="D1298" s="81" t="s">
        <v>4685</v>
      </c>
      <c r="E1298" s="81" t="s">
        <v>16</v>
      </c>
      <c r="F1298" s="81" t="s">
        <v>379</v>
      </c>
      <c r="G1298" s="81" t="s">
        <v>4959</v>
      </c>
      <c r="H1298" s="81" t="s">
        <v>4472</v>
      </c>
    </row>
    <row r="1299" spans="1:8" x14ac:dyDescent="0.3">
      <c r="A1299" s="81" t="s">
        <v>4025</v>
      </c>
      <c r="B1299" s="81" t="s">
        <v>1467</v>
      </c>
      <c r="C1299" s="81" t="s">
        <v>1468</v>
      </c>
      <c r="D1299" s="81" t="s">
        <v>4685</v>
      </c>
      <c r="E1299" s="81" t="s">
        <v>16</v>
      </c>
      <c r="F1299" s="81" t="s">
        <v>380</v>
      </c>
      <c r="G1299" s="81" t="s">
        <v>4961</v>
      </c>
      <c r="H1299" s="81" t="s">
        <v>4473</v>
      </c>
    </row>
    <row r="1300" spans="1:8" x14ac:dyDescent="0.3">
      <c r="A1300" s="81" t="s">
        <v>4026</v>
      </c>
      <c r="B1300" s="81" t="s">
        <v>1467</v>
      </c>
      <c r="C1300" s="81" t="s">
        <v>1468</v>
      </c>
      <c r="D1300" s="81" t="s">
        <v>4685</v>
      </c>
      <c r="E1300" s="81" t="s">
        <v>16</v>
      </c>
      <c r="F1300" s="81" t="s">
        <v>381</v>
      </c>
      <c r="G1300" s="81" t="s">
        <v>4963</v>
      </c>
      <c r="H1300" s="81" t="s">
        <v>4474</v>
      </c>
    </row>
    <row r="1301" spans="1:8" x14ac:dyDescent="0.3">
      <c r="A1301" s="81" t="s">
        <v>4027</v>
      </c>
      <c r="B1301" s="81" t="s">
        <v>1467</v>
      </c>
      <c r="C1301" s="81" t="s">
        <v>1468</v>
      </c>
      <c r="D1301" s="81" t="s">
        <v>4685</v>
      </c>
      <c r="E1301" s="81" t="s">
        <v>16</v>
      </c>
      <c r="F1301" s="81" t="s">
        <v>382</v>
      </c>
      <c r="G1301" s="81" t="s">
        <v>4965</v>
      </c>
      <c r="H1301" s="81" t="s">
        <v>4475</v>
      </c>
    </row>
    <row r="1302" spans="1:8" x14ac:dyDescent="0.3">
      <c r="A1302" s="81" t="s">
        <v>4028</v>
      </c>
      <c r="B1302" s="81" t="s">
        <v>1467</v>
      </c>
      <c r="C1302" s="81" t="s">
        <v>1468</v>
      </c>
      <c r="D1302" s="81" t="s">
        <v>4685</v>
      </c>
      <c r="E1302" s="81" t="s">
        <v>16</v>
      </c>
      <c r="F1302" s="81" t="s">
        <v>383</v>
      </c>
      <c r="G1302" s="81" t="s">
        <v>4967</v>
      </c>
      <c r="H1302" s="81" t="s">
        <v>4969</v>
      </c>
    </row>
    <row r="1303" spans="1:8" x14ac:dyDescent="0.3">
      <c r="A1303" s="81" t="s">
        <v>4029</v>
      </c>
      <c r="B1303" s="81" t="s">
        <v>1467</v>
      </c>
      <c r="C1303" s="81" t="s">
        <v>3907</v>
      </c>
      <c r="D1303" s="81" t="s">
        <v>4685</v>
      </c>
      <c r="E1303" s="81" t="s">
        <v>20</v>
      </c>
      <c r="F1303" s="81" t="s">
        <v>15</v>
      </c>
      <c r="G1303" s="81" t="s">
        <v>4970</v>
      </c>
      <c r="H1303" s="81" t="s">
        <v>3992</v>
      </c>
    </row>
    <row r="1304" spans="1:8" x14ac:dyDescent="0.3">
      <c r="A1304" s="81" t="s">
        <v>4030</v>
      </c>
      <c r="B1304" s="81" t="s">
        <v>1467</v>
      </c>
      <c r="C1304" s="81" t="s">
        <v>3907</v>
      </c>
      <c r="D1304" s="81" t="s">
        <v>4685</v>
      </c>
      <c r="E1304" s="81" t="s">
        <v>16</v>
      </c>
      <c r="F1304" s="81" t="s">
        <v>368</v>
      </c>
      <c r="G1304" s="81" t="s">
        <v>4972</v>
      </c>
      <c r="H1304" s="81" t="s">
        <v>4476</v>
      </c>
    </row>
    <row r="1305" spans="1:8" x14ac:dyDescent="0.3">
      <c r="A1305" s="81" t="s">
        <v>4034</v>
      </c>
      <c r="B1305" s="81" t="s">
        <v>1467</v>
      </c>
      <c r="C1305" s="81" t="s">
        <v>3907</v>
      </c>
      <c r="D1305" s="81" t="s">
        <v>4685</v>
      </c>
      <c r="E1305" s="81" t="s">
        <v>16</v>
      </c>
      <c r="F1305" s="81" t="s">
        <v>369</v>
      </c>
      <c r="G1305" s="81" t="s">
        <v>4974</v>
      </c>
      <c r="H1305" s="81" t="s">
        <v>4477</v>
      </c>
    </row>
    <row r="1306" spans="1:8" x14ac:dyDescent="0.3">
      <c r="A1306" s="81" t="s">
        <v>4039</v>
      </c>
      <c r="B1306" s="81" t="s">
        <v>1467</v>
      </c>
      <c r="C1306" s="81" t="s">
        <v>3907</v>
      </c>
      <c r="D1306" s="81" t="s">
        <v>4685</v>
      </c>
      <c r="E1306" s="81" t="s">
        <v>16</v>
      </c>
      <c r="F1306" s="81" t="s">
        <v>370</v>
      </c>
      <c r="G1306" s="81" t="s">
        <v>4976</v>
      </c>
      <c r="H1306" s="81" t="s">
        <v>4478</v>
      </c>
    </row>
    <row r="1307" spans="1:8" x14ac:dyDescent="0.3">
      <c r="A1307" s="81" t="s">
        <v>4043</v>
      </c>
      <c r="B1307" s="81" t="s">
        <v>1467</v>
      </c>
      <c r="C1307" s="81" t="s">
        <v>3907</v>
      </c>
      <c r="D1307" s="81" t="s">
        <v>4685</v>
      </c>
      <c r="E1307" s="81" t="s">
        <v>16</v>
      </c>
      <c r="F1307" s="81" t="s">
        <v>371</v>
      </c>
      <c r="G1307" s="81" t="s">
        <v>4978</v>
      </c>
      <c r="H1307" s="81" t="s">
        <v>4479</v>
      </c>
    </row>
    <row r="1308" spans="1:8" x14ac:dyDescent="0.3">
      <c r="A1308" s="81" t="s">
        <v>4044</v>
      </c>
      <c r="B1308" s="81" t="s">
        <v>1467</v>
      </c>
      <c r="C1308" s="81" t="s">
        <v>3907</v>
      </c>
      <c r="D1308" s="81" t="s">
        <v>4685</v>
      </c>
      <c r="E1308" s="81" t="s">
        <v>16</v>
      </c>
      <c r="F1308" s="81" t="s">
        <v>372</v>
      </c>
      <c r="G1308" s="81" t="s">
        <v>4980</v>
      </c>
      <c r="H1308" s="81" t="s">
        <v>4480</v>
      </c>
    </row>
    <row r="1309" spans="1:8" x14ac:dyDescent="0.3">
      <c r="A1309" s="81" t="s">
        <v>4045</v>
      </c>
      <c r="B1309" s="81" t="s">
        <v>1467</v>
      </c>
      <c r="C1309" s="81" t="s">
        <v>3907</v>
      </c>
      <c r="D1309" s="81" t="s">
        <v>4685</v>
      </c>
      <c r="E1309" s="81" t="s">
        <v>16</v>
      </c>
      <c r="F1309" s="81" t="s">
        <v>373</v>
      </c>
      <c r="G1309" s="81" t="s">
        <v>4982</v>
      </c>
      <c r="H1309" s="81" t="s">
        <v>4481</v>
      </c>
    </row>
    <row r="1310" spans="1:8" x14ac:dyDescent="0.3">
      <c r="A1310" s="81" t="s">
        <v>4046</v>
      </c>
      <c r="B1310" s="81" t="s">
        <v>1467</v>
      </c>
      <c r="C1310" s="81" t="s">
        <v>3907</v>
      </c>
      <c r="D1310" s="81" t="s">
        <v>4685</v>
      </c>
      <c r="E1310" s="81" t="s">
        <v>16</v>
      </c>
      <c r="F1310" s="81" t="s">
        <v>374</v>
      </c>
      <c r="G1310" s="81" t="s">
        <v>4984</v>
      </c>
      <c r="H1310" s="81" t="s">
        <v>4482</v>
      </c>
    </row>
    <row r="1311" spans="1:8" x14ac:dyDescent="0.3">
      <c r="A1311" s="81" t="s">
        <v>4047</v>
      </c>
      <c r="B1311" s="81" t="s">
        <v>1467</v>
      </c>
      <c r="C1311" s="81" t="s">
        <v>3907</v>
      </c>
      <c r="D1311" s="81" t="s">
        <v>4685</v>
      </c>
      <c r="E1311" s="81" t="s">
        <v>16</v>
      </c>
      <c r="F1311" s="81" t="s">
        <v>375</v>
      </c>
      <c r="G1311" s="81" t="s">
        <v>4986</v>
      </c>
      <c r="H1311" s="81" t="s">
        <v>4483</v>
      </c>
    </row>
    <row r="1312" spans="1:8" x14ac:dyDescent="0.3">
      <c r="A1312" s="81" t="s">
        <v>4048</v>
      </c>
      <c r="B1312" s="81" t="s">
        <v>1467</v>
      </c>
      <c r="C1312" s="81" t="s">
        <v>3907</v>
      </c>
      <c r="D1312" s="81" t="s">
        <v>4685</v>
      </c>
      <c r="E1312" s="81" t="s">
        <v>16</v>
      </c>
      <c r="F1312" s="81" t="s">
        <v>376</v>
      </c>
      <c r="G1312" s="81" t="s">
        <v>4988</v>
      </c>
      <c r="H1312" s="81" t="s">
        <v>4484</v>
      </c>
    </row>
    <row r="1313" spans="1:8" x14ac:dyDescent="0.3">
      <c r="A1313" s="81" t="s">
        <v>4049</v>
      </c>
      <c r="B1313" s="81" t="s">
        <v>1467</v>
      </c>
      <c r="C1313" s="81" t="s">
        <v>3907</v>
      </c>
      <c r="D1313" s="81" t="s">
        <v>4685</v>
      </c>
      <c r="E1313" s="81" t="s">
        <v>16</v>
      </c>
      <c r="F1313" s="81" t="s">
        <v>377</v>
      </c>
      <c r="G1313" s="81" t="s">
        <v>4990</v>
      </c>
      <c r="H1313" s="81" t="s">
        <v>4485</v>
      </c>
    </row>
    <row r="1314" spans="1:8" x14ac:dyDescent="0.3">
      <c r="A1314" s="81" t="s">
        <v>4050</v>
      </c>
      <c r="B1314" s="81" t="s">
        <v>1467</v>
      </c>
      <c r="C1314" s="81" t="s">
        <v>3907</v>
      </c>
      <c r="D1314" s="81" t="s">
        <v>4685</v>
      </c>
      <c r="E1314" s="81" t="s">
        <v>16</v>
      </c>
      <c r="F1314" s="81" t="s">
        <v>378</v>
      </c>
      <c r="G1314" s="81" t="s">
        <v>4992</v>
      </c>
      <c r="H1314" s="81" t="s">
        <v>4486</v>
      </c>
    </row>
    <row r="1315" spans="1:8" x14ac:dyDescent="0.3">
      <c r="A1315" s="81" t="s">
        <v>4051</v>
      </c>
      <c r="B1315" s="81" t="s">
        <v>1467</v>
      </c>
      <c r="C1315" s="81" t="s">
        <v>3907</v>
      </c>
      <c r="D1315" s="81" t="s">
        <v>4685</v>
      </c>
      <c r="E1315" s="81" t="s">
        <v>16</v>
      </c>
      <c r="F1315" s="81" t="s">
        <v>379</v>
      </c>
      <c r="G1315" s="81" t="s">
        <v>4994</v>
      </c>
      <c r="H1315" s="81" t="s">
        <v>4487</v>
      </c>
    </row>
    <row r="1316" spans="1:8" x14ac:dyDescent="0.3">
      <c r="A1316" s="81" t="s">
        <v>4052</v>
      </c>
      <c r="B1316" s="81" t="s">
        <v>1467</v>
      </c>
      <c r="C1316" s="81" t="s">
        <v>3907</v>
      </c>
      <c r="D1316" s="81" t="s">
        <v>4685</v>
      </c>
      <c r="E1316" s="81" t="s">
        <v>16</v>
      </c>
      <c r="F1316" s="81" t="s">
        <v>380</v>
      </c>
      <c r="G1316" s="81" t="s">
        <v>4996</v>
      </c>
      <c r="H1316" s="81" t="s">
        <v>4488</v>
      </c>
    </row>
    <row r="1317" spans="1:8" x14ac:dyDescent="0.3">
      <c r="A1317" s="81" t="s">
        <v>4053</v>
      </c>
      <c r="B1317" s="81" t="s">
        <v>1467</v>
      </c>
      <c r="C1317" s="81" t="s">
        <v>3907</v>
      </c>
      <c r="D1317" s="81" t="s">
        <v>4685</v>
      </c>
      <c r="E1317" s="81" t="s">
        <v>16</v>
      </c>
      <c r="F1317" s="81" t="s">
        <v>381</v>
      </c>
      <c r="G1317" s="81" t="s">
        <v>4998</v>
      </c>
      <c r="H1317" s="81" t="s">
        <v>4489</v>
      </c>
    </row>
    <row r="1318" spans="1:8" x14ac:dyDescent="0.3">
      <c r="A1318" s="81" t="s">
        <v>4054</v>
      </c>
      <c r="B1318" s="81" t="s">
        <v>1467</v>
      </c>
      <c r="C1318" s="81" t="s">
        <v>3907</v>
      </c>
      <c r="D1318" s="81" t="s">
        <v>4685</v>
      </c>
      <c r="E1318" s="81" t="s">
        <v>16</v>
      </c>
      <c r="F1318" s="81" t="s">
        <v>382</v>
      </c>
      <c r="G1318" s="81" t="s">
        <v>5000</v>
      </c>
      <c r="H1318" s="81" t="s">
        <v>4490</v>
      </c>
    </row>
    <row r="1319" spans="1:8" x14ac:dyDescent="0.3">
      <c r="A1319" s="81" t="s">
        <v>4055</v>
      </c>
      <c r="B1319" s="81" t="s">
        <v>1467</v>
      </c>
      <c r="C1319" s="81" t="s">
        <v>3907</v>
      </c>
      <c r="D1319" s="81" t="s">
        <v>4685</v>
      </c>
      <c r="E1319" s="81" t="s">
        <v>16</v>
      </c>
      <c r="F1319" s="81" t="s">
        <v>383</v>
      </c>
      <c r="G1319" s="81" t="s">
        <v>5002</v>
      </c>
      <c r="H1319" s="81" t="s">
        <v>5004</v>
      </c>
    </row>
    <row r="1320" spans="1:8" x14ac:dyDescent="0.3">
      <c r="A1320" s="81" t="s">
        <v>4056</v>
      </c>
      <c r="B1320" s="81" t="s">
        <v>933</v>
      </c>
      <c r="C1320" s="81" t="s">
        <v>1521</v>
      </c>
      <c r="D1320" s="81" t="s">
        <v>933</v>
      </c>
      <c r="E1320" s="81" t="s">
        <v>20</v>
      </c>
      <c r="F1320" s="81" t="s">
        <v>15</v>
      </c>
      <c r="G1320" s="81" t="s">
        <v>5005</v>
      </c>
      <c r="H1320" s="81" t="s">
        <v>4013</v>
      </c>
    </row>
    <row r="1321" spans="1:8" x14ac:dyDescent="0.3">
      <c r="A1321" s="81" t="s">
        <v>4057</v>
      </c>
      <c r="B1321" s="81" t="s">
        <v>933</v>
      </c>
      <c r="C1321" s="81" t="s">
        <v>1521</v>
      </c>
      <c r="D1321" s="81" t="s">
        <v>933</v>
      </c>
      <c r="E1321" s="81" t="s">
        <v>16</v>
      </c>
      <c r="F1321" s="81" t="s">
        <v>368</v>
      </c>
      <c r="G1321" s="81" t="s">
        <v>4491</v>
      </c>
      <c r="H1321" s="81" t="s">
        <v>4492</v>
      </c>
    </row>
    <row r="1322" spans="1:8" x14ac:dyDescent="0.3">
      <c r="A1322" s="81" t="s">
        <v>4058</v>
      </c>
      <c r="B1322" s="81" t="s">
        <v>933</v>
      </c>
      <c r="C1322" s="81" t="s">
        <v>1521</v>
      </c>
      <c r="D1322" s="81" t="s">
        <v>933</v>
      </c>
      <c r="E1322" s="81" t="s">
        <v>16</v>
      </c>
      <c r="F1322" s="81" t="s">
        <v>369</v>
      </c>
      <c r="G1322" s="81" t="s">
        <v>4493</v>
      </c>
      <c r="H1322" s="81" t="s">
        <v>4494</v>
      </c>
    </row>
    <row r="1323" spans="1:8" x14ac:dyDescent="0.3">
      <c r="A1323" s="81" t="s">
        <v>4059</v>
      </c>
      <c r="B1323" s="81" t="s">
        <v>933</v>
      </c>
      <c r="C1323" s="81" t="s">
        <v>1521</v>
      </c>
      <c r="D1323" s="81" t="s">
        <v>933</v>
      </c>
      <c r="E1323" s="81" t="s">
        <v>16</v>
      </c>
      <c r="F1323" s="81" t="s">
        <v>370</v>
      </c>
      <c r="G1323" s="81" t="s">
        <v>4495</v>
      </c>
      <c r="H1323" s="81" t="s">
        <v>4496</v>
      </c>
    </row>
    <row r="1324" spans="1:8" x14ac:dyDescent="0.3">
      <c r="A1324" s="81" t="s">
        <v>4063</v>
      </c>
      <c r="B1324" s="81" t="s">
        <v>933</v>
      </c>
      <c r="C1324" s="81" t="s">
        <v>1521</v>
      </c>
      <c r="D1324" s="81" t="s">
        <v>933</v>
      </c>
      <c r="E1324" s="81" t="s">
        <v>16</v>
      </c>
      <c r="F1324" s="81" t="s">
        <v>371</v>
      </c>
      <c r="G1324" s="81" t="s">
        <v>4497</v>
      </c>
      <c r="H1324" s="81" t="s">
        <v>4498</v>
      </c>
    </row>
    <row r="1325" spans="1:8" x14ac:dyDescent="0.3">
      <c r="A1325" s="81" t="s">
        <v>4070</v>
      </c>
      <c r="B1325" s="81" t="s">
        <v>933</v>
      </c>
      <c r="C1325" s="81" t="s">
        <v>1521</v>
      </c>
      <c r="D1325" s="81" t="s">
        <v>933</v>
      </c>
      <c r="E1325" s="81" t="s">
        <v>16</v>
      </c>
      <c r="F1325" s="81" t="s">
        <v>372</v>
      </c>
      <c r="G1325" s="81" t="s">
        <v>4499</v>
      </c>
      <c r="H1325" s="81" t="s">
        <v>4500</v>
      </c>
    </row>
    <row r="1326" spans="1:8" x14ac:dyDescent="0.3">
      <c r="A1326" s="81" t="s">
        <v>4074</v>
      </c>
      <c r="B1326" s="81" t="s">
        <v>933</v>
      </c>
      <c r="C1326" s="81" t="s">
        <v>1521</v>
      </c>
      <c r="D1326" s="81" t="s">
        <v>933</v>
      </c>
      <c r="E1326" s="81" t="s">
        <v>16</v>
      </c>
      <c r="F1326" s="81" t="s">
        <v>373</v>
      </c>
      <c r="G1326" s="81" t="s">
        <v>4501</v>
      </c>
      <c r="H1326" s="81" t="s">
        <v>4502</v>
      </c>
    </row>
    <row r="1327" spans="1:8" x14ac:dyDescent="0.3">
      <c r="A1327" s="81" t="s">
        <v>4078</v>
      </c>
      <c r="B1327" s="81" t="s">
        <v>933</v>
      </c>
      <c r="C1327" s="81" t="s">
        <v>1521</v>
      </c>
      <c r="D1327" s="81" t="s">
        <v>933</v>
      </c>
      <c r="E1327" s="81" t="s">
        <v>16</v>
      </c>
      <c r="F1327" s="81" t="s">
        <v>374</v>
      </c>
      <c r="G1327" s="81" t="s">
        <v>4503</v>
      </c>
      <c r="H1327" s="81" t="s">
        <v>4504</v>
      </c>
    </row>
    <row r="1328" spans="1:8" x14ac:dyDescent="0.3">
      <c r="A1328" s="81" t="s">
        <v>4079</v>
      </c>
      <c r="B1328" s="81" t="s">
        <v>933</v>
      </c>
      <c r="C1328" s="81" t="s">
        <v>1521</v>
      </c>
      <c r="D1328" s="81" t="s">
        <v>933</v>
      </c>
      <c r="E1328" s="81" t="s">
        <v>16</v>
      </c>
      <c r="F1328" s="81" t="s">
        <v>375</v>
      </c>
      <c r="G1328" s="81" t="s">
        <v>4505</v>
      </c>
      <c r="H1328" s="81" t="s">
        <v>4506</v>
      </c>
    </row>
    <row r="1329" spans="1:8" x14ac:dyDescent="0.3">
      <c r="A1329" s="81" t="s">
        <v>4080</v>
      </c>
      <c r="B1329" s="81" t="s">
        <v>933</v>
      </c>
      <c r="C1329" s="81" t="s">
        <v>1521</v>
      </c>
      <c r="D1329" s="81" t="s">
        <v>933</v>
      </c>
      <c r="E1329" s="81" t="s">
        <v>16</v>
      </c>
      <c r="F1329" s="81" t="s">
        <v>376</v>
      </c>
      <c r="G1329" s="81" t="s">
        <v>4507</v>
      </c>
      <c r="H1329" s="81" t="s">
        <v>4508</v>
      </c>
    </row>
    <row r="1330" spans="1:8" x14ac:dyDescent="0.3">
      <c r="A1330" s="81" t="s">
        <v>4081</v>
      </c>
      <c r="B1330" s="81" t="s">
        <v>933</v>
      </c>
      <c r="C1330" s="81" t="s">
        <v>1521</v>
      </c>
      <c r="D1330" s="81" t="s">
        <v>933</v>
      </c>
      <c r="E1330" s="81" t="s">
        <v>16</v>
      </c>
      <c r="F1330" s="81" t="s">
        <v>377</v>
      </c>
      <c r="G1330" s="81" t="s">
        <v>4509</v>
      </c>
      <c r="H1330" s="81" t="s">
        <v>4510</v>
      </c>
    </row>
    <row r="1331" spans="1:8" x14ac:dyDescent="0.3">
      <c r="A1331" s="81" t="s">
        <v>4082</v>
      </c>
      <c r="B1331" s="81" t="s">
        <v>933</v>
      </c>
      <c r="C1331" s="81" t="s">
        <v>1521</v>
      </c>
      <c r="D1331" s="81" t="s">
        <v>933</v>
      </c>
      <c r="E1331" s="81" t="s">
        <v>16</v>
      </c>
      <c r="F1331" s="81" t="s">
        <v>378</v>
      </c>
      <c r="G1331" s="81" t="s">
        <v>4511</v>
      </c>
      <c r="H1331" s="81" t="s">
        <v>4512</v>
      </c>
    </row>
    <row r="1332" spans="1:8" x14ac:dyDescent="0.3">
      <c r="A1332" s="81" t="s">
        <v>4083</v>
      </c>
      <c r="B1332" s="81" t="s">
        <v>933</v>
      </c>
      <c r="C1332" s="81" t="s">
        <v>1521</v>
      </c>
      <c r="D1332" s="81" t="s">
        <v>933</v>
      </c>
      <c r="E1332" s="81" t="s">
        <v>16</v>
      </c>
      <c r="F1332" s="81" t="s">
        <v>379</v>
      </c>
      <c r="G1332" s="81" t="s">
        <v>4513</v>
      </c>
      <c r="H1332" s="81" t="s">
        <v>4514</v>
      </c>
    </row>
    <row r="1333" spans="1:8" x14ac:dyDescent="0.3">
      <c r="A1333" s="81" t="s">
        <v>4084</v>
      </c>
      <c r="B1333" s="81" t="s">
        <v>933</v>
      </c>
      <c r="C1333" s="81" t="s">
        <v>1521</v>
      </c>
      <c r="D1333" s="81" t="s">
        <v>933</v>
      </c>
      <c r="E1333" s="81" t="s">
        <v>16</v>
      </c>
      <c r="F1333" s="81" t="s">
        <v>380</v>
      </c>
      <c r="G1333" s="81" t="s">
        <v>4515</v>
      </c>
      <c r="H1333" s="81" t="s">
        <v>4516</v>
      </c>
    </row>
    <row r="1334" spans="1:8" x14ac:dyDescent="0.3">
      <c r="A1334" s="81" t="s">
        <v>4085</v>
      </c>
      <c r="B1334" s="81" t="s">
        <v>933</v>
      </c>
      <c r="C1334" s="81" t="s">
        <v>1521</v>
      </c>
      <c r="D1334" s="81" t="s">
        <v>933</v>
      </c>
      <c r="E1334" s="81" t="s">
        <v>16</v>
      </c>
      <c r="F1334" s="81" t="s">
        <v>381</v>
      </c>
      <c r="G1334" s="81" t="s">
        <v>5020</v>
      </c>
      <c r="H1334" s="81" t="s">
        <v>5022</v>
      </c>
    </row>
    <row r="1335" spans="1:8" x14ac:dyDescent="0.3">
      <c r="A1335" s="81" t="s">
        <v>4086</v>
      </c>
      <c r="B1335" s="81" t="s">
        <v>933</v>
      </c>
      <c r="C1335" s="81" t="s">
        <v>1521</v>
      </c>
      <c r="D1335" s="81" t="s">
        <v>933</v>
      </c>
      <c r="E1335" s="81" t="s">
        <v>16</v>
      </c>
      <c r="F1335" s="81" t="s">
        <v>382</v>
      </c>
      <c r="G1335" s="81" t="s">
        <v>5023</v>
      </c>
      <c r="H1335" s="81" t="s">
        <v>5025</v>
      </c>
    </row>
    <row r="1336" spans="1:8" x14ac:dyDescent="0.3">
      <c r="A1336" s="81" t="s">
        <v>4087</v>
      </c>
      <c r="B1336" s="81" t="s">
        <v>933</v>
      </c>
      <c r="C1336" s="81" t="s">
        <v>1521</v>
      </c>
      <c r="D1336" s="81" t="s">
        <v>933</v>
      </c>
      <c r="E1336" s="81" t="s">
        <v>16</v>
      </c>
      <c r="F1336" s="81" t="s">
        <v>383</v>
      </c>
      <c r="G1336" s="81" t="s">
        <v>5026</v>
      </c>
      <c r="H1336" s="81" t="s">
        <v>5028</v>
      </c>
    </row>
    <row r="1337" spans="1:8" x14ac:dyDescent="0.3">
      <c r="A1337" s="81" t="s">
        <v>4088</v>
      </c>
      <c r="B1337" s="81" t="s">
        <v>933</v>
      </c>
      <c r="C1337" s="81" t="s">
        <v>5296</v>
      </c>
      <c r="D1337" s="81" t="s">
        <v>933</v>
      </c>
      <c r="E1337" s="81" t="s">
        <v>20</v>
      </c>
      <c r="F1337" s="81" t="s">
        <v>15</v>
      </c>
      <c r="G1337" s="81" t="s">
        <v>5029</v>
      </c>
      <c r="H1337" s="81" t="s">
        <v>4033</v>
      </c>
    </row>
    <row r="1338" spans="1:8" x14ac:dyDescent="0.3">
      <c r="A1338" s="81" t="s">
        <v>4089</v>
      </c>
      <c r="B1338" s="81" t="s">
        <v>933</v>
      </c>
      <c r="C1338" s="81" t="s">
        <v>5295</v>
      </c>
      <c r="D1338" s="81" t="s">
        <v>933</v>
      </c>
      <c r="E1338" s="81" t="s">
        <v>20</v>
      </c>
      <c r="F1338" s="81" t="s">
        <v>15</v>
      </c>
      <c r="G1338" s="81" t="s">
        <v>5031</v>
      </c>
      <c r="H1338" s="81" t="s">
        <v>4038</v>
      </c>
    </row>
    <row r="1339" spans="1:8" x14ac:dyDescent="0.3">
      <c r="A1339" s="81" t="s">
        <v>4090</v>
      </c>
      <c r="B1339" s="81" t="s">
        <v>933</v>
      </c>
      <c r="C1339" s="81" t="s">
        <v>4040</v>
      </c>
      <c r="D1339" s="81" t="s">
        <v>933</v>
      </c>
      <c r="E1339" s="81" t="s">
        <v>20</v>
      </c>
      <c r="F1339" s="81" t="s">
        <v>15</v>
      </c>
      <c r="G1339" s="81" t="s">
        <v>5031</v>
      </c>
      <c r="H1339" s="81" t="s">
        <v>4042</v>
      </c>
    </row>
    <row r="1340" spans="1:8" x14ac:dyDescent="0.3">
      <c r="A1340" s="81" t="s">
        <v>4091</v>
      </c>
      <c r="B1340" s="81" t="s">
        <v>933</v>
      </c>
      <c r="C1340" s="81" t="s">
        <v>4040</v>
      </c>
      <c r="D1340" s="81" t="s">
        <v>933</v>
      </c>
      <c r="E1340" s="81" t="s">
        <v>16</v>
      </c>
      <c r="F1340" s="81" t="s">
        <v>368</v>
      </c>
      <c r="G1340" s="81" t="s">
        <v>4517</v>
      </c>
      <c r="H1340" s="81" t="s">
        <v>4518</v>
      </c>
    </row>
    <row r="1341" spans="1:8" x14ac:dyDescent="0.3">
      <c r="A1341" s="81" t="s">
        <v>4092</v>
      </c>
      <c r="B1341" s="81" t="s">
        <v>933</v>
      </c>
      <c r="C1341" s="81" t="s">
        <v>4040</v>
      </c>
      <c r="D1341" s="81" t="s">
        <v>933</v>
      </c>
      <c r="E1341" s="81" t="s">
        <v>16</v>
      </c>
      <c r="F1341" s="81" t="s">
        <v>369</v>
      </c>
      <c r="G1341" s="81" t="s">
        <v>4519</v>
      </c>
      <c r="H1341" s="81" t="s">
        <v>4520</v>
      </c>
    </row>
    <row r="1342" spans="1:8" x14ac:dyDescent="0.3">
      <c r="A1342" s="81" t="s">
        <v>4093</v>
      </c>
      <c r="B1342" s="81" t="s">
        <v>933</v>
      </c>
      <c r="C1342" s="81" t="s">
        <v>4040</v>
      </c>
      <c r="D1342" s="81" t="s">
        <v>933</v>
      </c>
      <c r="E1342" s="81" t="s">
        <v>16</v>
      </c>
      <c r="F1342" s="81" t="s">
        <v>370</v>
      </c>
      <c r="G1342" s="81" t="s">
        <v>4521</v>
      </c>
      <c r="H1342" s="81" t="s">
        <v>4522</v>
      </c>
    </row>
    <row r="1343" spans="1:8" x14ac:dyDescent="0.3">
      <c r="A1343" s="81" t="s">
        <v>4094</v>
      </c>
      <c r="B1343" s="81" t="s">
        <v>933</v>
      </c>
      <c r="C1343" s="81" t="s">
        <v>4040</v>
      </c>
      <c r="D1343" s="81" t="s">
        <v>933</v>
      </c>
      <c r="E1343" s="81" t="s">
        <v>16</v>
      </c>
      <c r="F1343" s="81" t="s">
        <v>371</v>
      </c>
      <c r="G1343" s="81" t="s">
        <v>4523</v>
      </c>
      <c r="H1343" s="81" t="s">
        <v>4524</v>
      </c>
    </row>
    <row r="1344" spans="1:8" x14ac:dyDescent="0.3">
      <c r="A1344" s="81" t="s">
        <v>4098</v>
      </c>
      <c r="B1344" s="81" t="s">
        <v>933</v>
      </c>
      <c r="C1344" s="81" t="s">
        <v>4040</v>
      </c>
      <c r="D1344" s="81" t="s">
        <v>933</v>
      </c>
      <c r="E1344" s="81" t="s">
        <v>16</v>
      </c>
      <c r="F1344" s="81" t="s">
        <v>372</v>
      </c>
      <c r="G1344" s="81" t="s">
        <v>4525</v>
      </c>
      <c r="H1344" s="81" t="s">
        <v>4526</v>
      </c>
    </row>
    <row r="1345" spans="1:8" x14ac:dyDescent="0.3">
      <c r="A1345" s="81" t="s">
        <v>4105</v>
      </c>
      <c r="B1345" s="81" t="s">
        <v>933</v>
      </c>
      <c r="C1345" s="81" t="s">
        <v>4040</v>
      </c>
      <c r="D1345" s="81" t="s">
        <v>933</v>
      </c>
      <c r="E1345" s="81" t="s">
        <v>16</v>
      </c>
      <c r="F1345" s="81" t="s">
        <v>373</v>
      </c>
      <c r="G1345" s="81" t="s">
        <v>4527</v>
      </c>
      <c r="H1345" s="81" t="s">
        <v>4528</v>
      </c>
    </row>
    <row r="1346" spans="1:8" x14ac:dyDescent="0.3">
      <c r="A1346" s="81" t="s">
        <v>4111</v>
      </c>
      <c r="B1346" s="81" t="s">
        <v>933</v>
      </c>
      <c r="C1346" s="81" t="s">
        <v>4040</v>
      </c>
      <c r="D1346" s="81" t="s">
        <v>933</v>
      </c>
      <c r="E1346" s="81" t="s">
        <v>16</v>
      </c>
      <c r="F1346" s="81" t="s">
        <v>374</v>
      </c>
      <c r="G1346" s="81" t="s">
        <v>4529</v>
      </c>
      <c r="H1346" s="81" t="s">
        <v>4530</v>
      </c>
    </row>
    <row r="1347" spans="1:8" x14ac:dyDescent="0.3">
      <c r="A1347" s="81" t="s">
        <v>4115</v>
      </c>
      <c r="B1347" s="81" t="s">
        <v>933</v>
      </c>
      <c r="C1347" s="81" t="s">
        <v>4040</v>
      </c>
      <c r="D1347" s="81" t="s">
        <v>933</v>
      </c>
      <c r="E1347" s="81" t="s">
        <v>16</v>
      </c>
      <c r="F1347" s="81" t="s">
        <v>375</v>
      </c>
      <c r="G1347" s="81" t="s">
        <v>4531</v>
      </c>
      <c r="H1347" s="81" t="s">
        <v>4532</v>
      </c>
    </row>
    <row r="1348" spans="1:8" x14ac:dyDescent="0.3">
      <c r="A1348" s="81" t="s">
        <v>4119</v>
      </c>
      <c r="B1348" s="81" t="s">
        <v>933</v>
      </c>
      <c r="C1348" s="81" t="s">
        <v>4040</v>
      </c>
      <c r="D1348" s="81" t="s">
        <v>933</v>
      </c>
      <c r="E1348" s="81" t="s">
        <v>16</v>
      </c>
      <c r="F1348" s="81" t="s">
        <v>376</v>
      </c>
      <c r="G1348" s="81" t="s">
        <v>4533</v>
      </c>
      <c r="H1348" s="81" t="s">
        <v>4534</v>
      </c>
    </row>
    <row r="1349" spans="1:8" x14ac:dyDescent="0.3">
      <c r="A1349" s="81" t="s">
        <v>4120</v>
      </c>
      <c r="B1349" s="81" t="s">
        <v>933</v>
      </c>
      <c r="C1349" s="81" t="s">
        <v>4040</v>
      </c>
      <c r="D1349" s="81" t="s">
        <v>933</v>
      </c>
      <c r="E1349" s="81" t="s">
        <v>16</v>
      </c>
      <c r="F1349" s="81" t="s">
        <v>377</v>
      </c>
      <c r="G1349" s="81" t="s">
        <v>4535</v>
      </c>
      <c r="H1349" s="81" t="s">
        <v>4536</v>
      </c>
    </row>
    <row r="1350" spans="1:8" x14ac:dyDescent="0.3">
      <c r="A1350" s="81" t="s">
        <v>4121</v>
      </c>
      <c r="B1350" s="81" t="s">
        <v>933</v>
      </c>
      <c r="C1350" s="81" t="s">
        <v>4040</v>
      </c>
      <c r="D1350" s="81" t="s">
        <v>933</v>
      </c>
      <c r="E1350" s="81" t="s">
        <v>16</v>
      </c>
      <c r="F1350" s="81" t="s">
        <v>378</v>
      </c>
      <c r="G1350" s="81" t="s">
        <v>4537</v>
      </c>
      <c r="H1350" s="81" t="s">
        <v>4538</v>
      </c>
    </row>
    <row r="1351" spans="1:8" x14ac:dyDescent="0.3">
      <c r="A1351" s="81" t="s">
        <v>4122</v>
      </c>
      <c r="B1351" s="81" t="s">
        <v>933</v>
      </c>
      <c r="C1351" s="81" t="s">
        <v>4040</v>
      </c>
      <c r="D1351" s="81" t="s">
        <v>933</v>
      </c>
      <c r="E1351" s="81" t="s">
        <v>16</v>
      </c>
      <c r="F1351" s="81" t="s">
        <v>379</v>
      </c>
      <c r="G1351" s="81" t="s">
        <v>4539</v>
      </c>
      <c r="H1351" s="81" t="s">
        <v>4540</v>
      </c>
    </row>
    <row r="1352" spans="1:8" x14ac:dyDescent="0.3">
      <c r="A1352" s="81" t="s">
        <v>4123</v>
      </c>
      <c r="B1352" s="81" t="s">
        <v>933</v>
      </c>
      <c r="C1352" s="81" t="s">
        <v>4040</v>
      </c>
      <c r="D1352" s="81" t="s">
        <v>933</v>
      </c>
      <c r="E1352" s="81" t="s">
        <v>16</v>
      </c>
      <c r="F1352" s="81" t="s">
        <v>380</v>
      </c>
      <c r="G1352" s="81" t="s">
        <v>5046</v>
      </c>
      <c r="H1352" s="81" t="s">
        <v>5048</v>
      </c>
    </row>
    <row r="1353" spans="1:8" x14ac:dyDescent="0.3">
      <c r="A1353" s="81" t="s">
        <v>4124</v>
      </c>
      <c r="B1353" s="81" t="s">
        <v>933</v>
      </c>
      <c r="C1353" s="81" t="s">
        <v>4040</v>
      </c>
      <c r="D1353" s="81" t="s">
        <v>933</v>
      </c>
      <c r="E1353" s="81" t="s">
        <v>16</v>
      </c>
      <c r="F1353" s="81" t="s">
        <v>381</v>
      </c>
      <c r="G1353" s="81" t="s">
        <v>5049</v>
      </c>
      <c r="H1353" s="81" t="s">
        <v>5051</v>
      </c>
    </row>
    <row r="1354" spans="1:8" x14ac:dyDescent="0.3">
      <c r="A1354" s="81" t="s">
        <v>4125</v>
      </c>
      <c r="B1354" s="81" t="s">
        <v>933</v>
      </c>
      <c r="C1354" s="81" t="s">
        <v>4040</v>
      </c>
      <c r="D1354" s="81" t="s">
        <v>933</v>
      </c>
      <c r="E1354" s="81" t="s">
        <v>16</v>
      </c>
      <c r="F1354" s="81" t="s">
        <v>382</v>
      </c>
      <c r="G1354" s="81" t="s">
        <v>5052</v>
      </c>
      <c r="H1354" s="81" t="s">
        <v>5054</v>
      </c>
    </row>
    <row r="1355" spans="1:8" x14ac:dyDescent="0.3">
      <c r="A1355" s="81" t="s">
        <v>4126</v>
      </c>
      <c r="B1355" s="81" t="s">
        <v>933</v>
      </c>
      <c r="C1355" s="81" t="s">
        <v>4040</v>
      </c>
      <c r="D1355" s="81" t="s">
        <v>933</v>
      </c>
      <c r="E1355" s="81" t="s">
        <v>16</v>
      </c>
      <c r="F1355" s="81" t="s">
        <v>383</v>
      </c>
      <c r="G1355" s="81" t="s">
        <v>5055</v>
      </c>
      <c r="H1355" s="81" t="s">
        <v>5057</v>
      </c>
    </row>
    <row r="1356" spans="1:8" x14ac:dyDescent="0.3">
      <c r="A1356" s="81" t="s">
        <v>4127</v>
      </c>
      <c r="B1356" s="81" t="s">
        <v>933</v>
      </c>
      <c r="C1356" s="81" t="s">
        <v>1521</v>
      </c>
      <c r="D1356" s="81" t="s">
        <v>933</v>
      </c>
      <c r="E1356" s="81" t="s">
        <v>20</v>
      </c>
      <c r="F1356" s="81" t="s">
        <v>15</v>
      </c>
      <c r="G1356" s="81" t="s">
        <v>5058</v>
      </c>
      <c r="H1356" s="81" t="s">
        <v>4062</v>
      </c>
    </row>
    <row r="1357" spans="1:8" x14ac:dyDescent="0.3">
      <c r="A1357" s="81" t="s">
        <v>4128</v>
      </c>
      <c r="B1357" s="81" t="s">
        <v>574</v>
      </c>
      <c r="C1357" s="81" t="s">
        <v>4064</v>
      </c>
      <c r="D1357" s="81" t="s">
        <v>3802</v>
      </c>
      <c r="E1357" s="81" t="s">
        <v>20</v>
      </c>
      <c r="F1357" s="81" t="s">
        <v>15</v>
      </c>
      <c r="G1357" s="81" t="s">
        <v>5060</v>
      </c>
      <c r="H1357" s="81" t="s">
        <v>4069</v>
      </c>
    </row>
    <row r="1358" spans="1:8" x14ac:dyDescent="0.3">
      <c r="A1358" s="81" t="s">
        <v>4129</v>
      </c>
      <c r="B1358" s="81" t="s">
        <v>574</v>
      </c>
      <c r="C1358" s="81" t="s">
        <v>4064</v>
      </c>
      <c r="D1358" s="81" t="s">
        <v>3802</v>
      </c>
      <c r="E1358" s="81" t="s">
        <v>20</v>
      </c>
      <c r="F1358" s="81" t="s">
        <v>15</v>
      </c>
      <c r="G1358" s="81" t="s">
        <v>5062</v>
      </c>
      <c r="H1358" s="81" t="s">
        <v>4073</v>
      </c>
    </row>
    <row r="1359" spans="1:8" x14ac:dyDescent="0.3">
      <c r="A1359" s="81" t="s">
        <v>4130</v>
      </c>
      <c r="B1359" s="81" t="s">
        <v>574</v>
      </c>
      <c r="C1359" s="81" t="s">
        <v>4064</v>
      </c>
      <c r="D1359" s="81" t="s">
        <v>3802</v>
      </c>
      <c r="E1359" s="81" t="s">
        <v>20</v>
      </c>
      <c r="F1359" s="81" t="s">
        <v>15</v>
      </c>
      <c r="G1359" s="81" t="s">
        <v>5064</v>
      </c>
      <c r="H1359" s="81" t="s">
        <v>4077</v>
      </c>
    </row>
    <row r="1360" spans="1:8" x14ac:dyDescent="0.3">
      <c r="A1360" s="81" t="s">
        <v>4131</v>
      </c>
      <c r="B1360" s="81" t="s">
        <v>574</v>
      </c>
      <c r="C1360" s="81" t="s">
        <v>4064</v>
      </c>
      <c r="D1360" s="81" t="s">
        <v>3802</v>
      </c>
      <c r="E1360" s="81" t="s">
        <v>16</v>
      </c>
      <c r="F1360" s="81" t="s">
        <v>368</v>
      </c>
      <c r="G1360" s="81" t="s">
        <v>5066</v>
      </c>
      <c r="H1360" s="81" t="s">
        <v>4541</v>
      </c>
    </row>
    <row r="1361" spans="1:8" x14ac:dyDescent="0.3">
      <c r="A1361" s="81" t="s">
        <v>4132</v>
      </c>
      <c r="B1361" s="81" t="s">
        <v>574</v>
      </c>
      <c r="C1361" s="81" t="s">
        <v>4064</v>
      </c>
      <c r="D1361" s="81" t="s">
        <v>3802</v>
      </c>
      <c r="E1361" s="81" t="s">
        <v>16</v>
      </c>
      <c r="F1361" s="81" t="s">
        <v>369</v>
      </c>
      <c r="G1361" s="81" t="s">
        <v>5068</v>
      </c>
      <c r="H1361" s="81" t="s">
        <v>4542</v>
      </c>
    </row>
    <row r="1362" spans="1:8" x14ac:dyDescent="0.3">
      <c r="A1362" s="81" t="s">
        <v>4133</v>
      </c>
      <c r="B1362" s="81" t="s">
        <v>574</v>
      </c>
      <c r="C1362" s="81" t="s">
        <v>4064</v>
      </c>
      <c r="D1362" s="81" t="s">
        <v>3802</v>
      </c>
      <c r="E1362" s="81" t="s">
        <v>16</v>
      </c>
      <c r="F1362" s="81" t="s">
        <v>370</v>
      </c>
      <c r="G1362" s="81" t="s">
        <v>5070</v>
      </c>
      <c r="H1362" s="81" t="s">
        <v>4543</v>
      </c>
    </row>
    <row r="1363" spans="1:8" x14ac:dyDescent="0.3">
      <c r="A1363" s="81" t="s">
        <v>4134</v>
      </c>
      <c r="B1363" s="81" t="s">
        <v>574</v>
      </c>
      <c r="C1363" s="81" t="s">
        <v>4064</v>
      </c>
      <c r="D1363" s="81" t="s">
        <v>3802</v>
      </c>
      <c r="E1363" s="81" t="s">
        <v>16</v>
      </c>
      <c r="F1363" s="81" t="s">
        <v>371</v>
      </c>
      <c r="G1363" s="81" t="s">
        <v>5072</v>
      </c>
      <c r="H1363" s="81" t="s">
        <v>4544</v>
      </c>
    </row>
    <row r="1364" spans="1:8" x14ac:dyDescent="0.3">
      <c r="A1364" s="81" t="s">
        <v>4138</v>
      </c>
      <c r="B1364" s="81" t="s">
        <v>574</v>
      </c>
      <c r="C1364" s="81" t="s">
        <v>4064</v>
      </c>
      <c r="D1364" s="81" t="s">
        <v>3802</v>
      </c>
      <c r="E1364" s="81" t="s">
        <v>16</v>
      </c>
      <c r="F1364" s="81" t="s">
        <v>372</v>
      </c>
      <c r="G1364" s="81" t="s">
        <v>5074</v>
      </c>
      <c r="H1364" s="81" t="s">
        <v>4545</v>
      </c>
    </row>
    <row r="1365" spans="1:8" x14ac:dyDescent="0.3">
      <c r="A1365" s="81" t="s">
        <v>4139</v>
      </c>
      <c r="B1365" s="81" t="s">
        <v>574</v>
      </c>
      <c r="C1365" s="81" t="s">
        <v>4064</v>
      </c>
      <c r="D1365" s="81" t="s">
        <v>3802</v>
      </c>
      <c r="E1365" s="81" t="s">
        <v>16</v>
      </c>
      <c r="F1365" s="81" t="s">
        <v>373</v>
      </c>
      <c r="G1365" s="81" t="s">
        <v>5076</v>
      </c>
      <c r="H1365" s="81" t="s">
        <v>4546</v>
      </c>
    </row>
    <row r="1366" spans="1:8" x14ac:dyDescent="0.3">
      <c r="A1366" s="81" t="s">
        <v>4140</v>
      </c>
      <c r="B1366" s="81" t="s">
        <v>574</v>
      </c>
      <c r="C1366" s="81" t="s">
        <v>4064</v>
      </c>
      <c r="D1366" s="81" t="s">
        <v>3802</v>
      </c>
      <c r="E1366" s="81" t="s">
        <v>16</v>
      </c>
      <c r="F1366" s="81" t="s">
        <v>374</v>
      </c>
      <c r="G1366" s="81" t="s">
        <v>5078</v>
      </c>
      <c r="H1366" s="81" t="s">
        <v>4547</v>
      </c>
    </row>
    <row r="1367" spans="1:8" x14ac:dyDescent="0.3">
      <c r="A1367" s="81" t="s">
        <v>4141</v>
      </c>
      <c r="B1367" s="81" t="s">
        <v>574</v>
      </c>
      <c r="C1367" s="81" t="s">
        <v>4064</v>
      </c>
      <c r="D1367" s="81" t="s">
        <v>3802</v>
      </c>
      <c r="E1367" s="81" t="s">
        <v>16</v>
      </c>
      <c r="F1367" s="81" t="s">
        <v>375</v>
      </c>
      <c r="G1367" s="81" t="s">
        <v>5080</v>
      </c>
      <c r="H1367" s="81" t="s">
        <v>4548</v>
      </c>
    </row>
    <row r="1368" spans="1:8" x14ac:dyDescent="0.3">
      <c r="A1368" s="81" t="s">
        <v>4142</v>
      </c>
      <c r="B1368" s="81" t="s">
        <v>574</v>
      </c>
      <c r="C1368" s="81" t="s">
        <v>4064</v>
      </c>
      <c r="D1368" s="81" t="s">
        <v>3802</v>
      </c>
      <c r="E1368" s="81" t="s">
        <v>16</v>
      </c>
      <c r="F1368" s="81" t="s">
        <v>376</v>
      </c>
      <c r="G1368" s="81" t="s">
        <v>5082</v>
      </c>
      <c r="H1368" s="81" t="s">
        <v>4549</v>
      </c>
    </row>
    <row r="1369" spans="1:8" x14ac:dyDescent="0.3">
      <c r="A1369" s="81" t="s">
        <v>4143</v>
      </c>
      <c r="B1369" s="81" t="s">
        <v>574</v>
      </c>
      <c r="C1369" s="81" t="s">
        <v>4064</v>
      </c>
      <c r="D1369" s="81" t="s">
        <v>3802</v>
      </c>
      <c r="E1369" s="81" t="s">
        <v>16</v>
      </c>
      <c r="F1369" s="81" t="s">
        <v>377</v>
      </c>
      <c r="G1369" s="81" t="s">
        <v>5084</v>
      </c>
      <c r="H1369" s="81" t="s">
        <v>4550</v>
      </c>
    </row>
    <row r="1370" spans="1:8" x14ac:dyDescent="0.3">
      <c r="A1370" s="81" t="s">
        <v>4144</v>
      </c>
      <c r="B1370" s="81" t="s">
        <v>574</v>
      </c>
      <c r="C1370" s="81" t="s">
        <v>4064</v>
      </c>
      <c r="D1370" s="81" t="s">
        <v>3802</v>
      </c>
      <c r="E1370" s="81" t="s">
        <v>16</v>
      </c>
      <c r="F1370" s="81" t="s">
        <v>378</v>
      </c>
      <c r="G1370" s="81" t="s">
        <v>5086</v>
      </c>
      <c r="H1370" s="81" t="s">
        <v>4551</v>
      </c>
    </row>
    <row r="1371" spans="1:8" x14ac:dyDescent="0.3">
      <c r="A1371" s="81" t="s">
        <v>4145</v>
      </c>
      <c r="B1371" s="81" t="s">
        <v>574</v>
      </c>
      <c r="C1371" s="81" t="s">
        <v>4064</v>
      </c>
      <c r="D1371" s="81" t="s">
        <v>3802</v>
      </c>
      <c r="E1371" s="81" t="s">
        <v>16</v>
      </c>
      <c r="F1371" s="81" t="s">
        <v>379</v>
      </c>
      <c r="G1371" s="81" t="s">
        <v>5088</v>
      </c>
      <c r="H1371" s="81" t="s">
        <v>5090</v>
      </c>
    </row>
    <row r="1372" spans="1:8" x14ac:dyDescent="0.3">
      <c r="A1372" s="81" t="s">
        <v>4146</v>
      </c>
      <c r="B1372" s="81" t="s">
        <v>574</v>
      </c>
      <c r="C1372" s="81" t="s">
        <v>4064</v>
      </c>
      <c r="D1372" s="81" t="s">
        <v>3802</v>
      </c>
      <c r="E1372" s="81" t="s">
        <v>16</v>
      </c>
      <c r="F1372" s="81" t="s">
        <v>380</v>
      </c>
      <c r="G1372" s="81" t="s">
        <v>5091</v>
      </c>
      <c r="H1372" s="81" t="s">
        <v>5093</v>
      </c>
    </row>
    <row r="1373" spans="1:8" x14ac:dyDescent="0.3">
      <c r="A1373" s="81" t="s">
        <v>4147</v>
      </c>
      <c r="B1373" s="81" t="s">
        <v>574</v>
      </c>
      <c r="C1373" s="81" t="s">
        <v>4064</v>
      </c>
      <c r="D1373" s="81" t="s">
        <v>3802</v>
      </c>
      <c r="E1373" s="81" t="s">
        <v>16</v>
      </c>
      <c r="F1373" s="81" t="s">
        <v>381</v>
      </c>
      <c r="G1373" s="81" t="s">
        <v>5094</v>
      </c>
      <c r="H1373" s="81" t="s">
        <v>5096</v>
      </c>
    </row>
    <row r="1374" spans="1:8" x14ac:dyDescent="0.3">
      <c r="A1374" s="81" t="s">
        <v>4148</v>
      </c>
      <c r="B1374" s="81" t="s">
        <v>574</v>
      </c>
      <c r="C1374" s="81" t="s">
        <v>4064</v>
      </c>
      <c r="D1374" s="81" t="s">
        <v>3802</v>
      </c>
      <c r="E1374" s="81" t="s">
        <v>16</v>
      </c>
      <c r="F1374" s="81" t="s">
        <v>382</v>
      </c>
      <c r="G1374" s="81" t="s">
        <v>5097</v>
      </c>
      <c r="H1374" s="81" t="s">
        <v>5099</v>
      </c>
    </row>
    <row r="1375" spans="1:8" x14ac:dyDescent="0.3">
      <c r="A1375" s="81" t="s">
        <v>4149</v>
      </c>
      <c r="B1375" s="81" t="s">
        <v>574</v>
      </c>
      <c r="C1375" s="81" t="s">
        <v>4064</v>
      </c>
      <c r="D1375" s="81" t="s">
        <v>3802</v>
      </c>
      <c r="E1375" s="81" t="s">
        <v>16</v>
      </c>
      <c r="F1375" s="81" t="s">
        <v>383</v>
      </c>
      <c r="G1375" s="81" t="s">
        <v>5100</v>
      </c>
      <c r="H1375" s="81" t="s">
        <v>5102</v>
      </c>
    </row>
    <row r="1376" spans="1:8" x14ac:dyDescent="0.3">
      <c r="A1376" s="81" t="s">
        <v>4150</v>
      </c>
      <c r="B1376" s="81" t="s">
        <v>574</v>
      </c>
      <c r="C1376" s="81" t="s">
        <v>4064</v>
      </c>
      <c r="D1376" s="81" t="s">
        <v>3802</v>
      </c>
      <c r="E1376" s="81" t="s">
        <v>20</v>
      </c>
      <c r="F1376" s="81" t="s">
        <v>15</v>
      </c>
      <c r="G1376" s="81" t="s">
        <v>5103</v>
      </c>
      <c r="H1376" s="81" t="s">
        <v>4097</v>
      </c>
    </row>
    <row r="1377" spans="1:8" x14ac:dyDescent="0.3">
      <c r="A1377" s="81" t="s">
        <v>4151</v>
      </c>
      <c r="B1377" s="81" t="s">
        <v>881</v>
      </c>
      <c r="C1377" s="81" t="s">
        <v>579</v>
      </c>
      <c r="D1377" s="81" t="s">
        <v>4099</v>
      </c>
      <c r="E1377" s="81" t="s">
        <v>20</v>
      </c>
      <c r="F1377" s="81" t="s">
        <v>15</v>
      </c>
      <c r="G1377" s="81" t="s">
        <v>5105</v>
      </c>
      <c r="H1377" s="81" t="s">
        <v>4104</v>
      </c>
    </row>
    <row r="1378" spans="1:8" x14ac:dyDescent="0.3">
      <c r="A1378" s="81" t="s">
        <v>4152</v>
      </c>
      <c r="B1378" s="81" t="s">
        <v>881</v>
      </c>
      <c r="C1378" s="81" t="s">
        <v>579</v>
      </c>
      <c r="D1378" s="81" t="s">
        <v>4099</v>
      </c>
      <c r="E1378" s="81" t="s">
        <v>20</v>
      </c>
      <c r="F1378" s="81" t="s">
        <v>15</v>
      </c>
      <c r="G1378" s="81" t="s">
        <v>5106</v>
      </c>
      <c r="H1378" s="81" t="s">
        <v>4110</v>
      </c>
    </row>
    <row r="1379" spans="1:8" x14ac:dyDescent="0.3">
      <c r="A1379" s="81" t="s">
        <v>4153</v>
      </c>
      <c r="B1379" s="81" t="s">
        <v>881</v>
      </c>
      <c r="C1379" s="81" t="s">
        <v>1010</v>
      </c>
      <c r="D1379" s="81" t="s">
        <v>4099</v>
      </c>
      <c r="E1379" s="81" t="s">
        <v>20</v>
      </c>
      <c r="F1379" s="81" t="s">
        <v>15</v>
      </c>
      <c r="G1379" s="81" t="s">
        <v>5108</v>
      </c>
      <c r="H1379" s="81" t="s">
        <v>4114</v>
      </c>
    </row>
    <row r="1380" spans="1:8" x14ac:dyDescent="0.3">
      <c r="A1380" s="81" t="s">
        <v>4157</v>
      </c>
      <c r="B1380" s="81" t="s">
        <v>881</v>
      </c>
      <c r="C1380" s="81" t="s">
        <v>1010</v>
      </c>
      <c r="D1380" s="81" t="s">
        <v>4099</v>
      </c>
      <c r="E1380" s="81" t="s">
        <v>20</v>
      </c>
      <c r="F1380" s="81" t="s">
        <v>15</v>
      </c>
      <c r="G1380" s="81" t="s">
        <v>4552</v>
      </c>
      <c r="H1380" s="81" t="s">
        <v>4118</v>
      </c>
    </row>
    <row r="1381" spans="1:8" x14ac:dyDescent="0.3">
      <c r="A1381" s="81" t="s">
        <v>4162</v>
      </c>
      <c r="B1381" s="81" t="s">
        <v>881</v>
      </c>
      <c r="C1381" s="81" t="s">
        <v>1010</v>
      </c>
      <c r="D1381" s="81" t="s">
        <v>4099</v>
      </c>
      <c r="E1381" s="81" t="s">
        <v>16</v>
      </c>
      <c r="F1381" s="81" t="s">
        <v>368</v>
      </c>
      <c r="G1381" s="81" t="s">
        <v>4553</v>
      </c>
      <c r="H1381" s="81" t="s">
        <v>4554</v>
      </c>
    </row>
    <row r="1382" spans="1:8" x14ac:dyDescent="0.3">
      <c r="A1382" s="81" t="s">
        <v>4163</v>
      </c>
      <c r="B1382" s="81" t="s">
        <v>881</v>
      </c>
      <c r="C1382" s="81" t="s">
        <v>1010</v>
      </c>
      <c r="D1382" s="81" t="s">
        <v>4099</v>
      </c>
      <c r="E1382" s="81" t="s">
        <v>16</v>
      </c>
      <c r="F1382" s="81" t="s">
        <v>369</v>
      </c>
      <c r="G1382" s="81" t="s">
        <v>4555</v>
      </c>
      <c r="H1382" s="81" t="s">
        <v>4556</v>
      </c>
    </row>
    <row r="1383" spans="1:8" x14ac:dyDescent="0.3">
      <c r="A1383" s="81" t="s">
        <v>4164</v>
      </c>
      <c r="B1383" s="81" t="s">
        <v>881</v>
      </c>
      <c r="C1383" s="81" t="s">
        <v>1010</v>
      </c>
      <c r="D1383" s="81" t="s">
        <v>4099</v>
      </c>
      <c r="E1383" s="81" t="s">
        <v>16</v>
      </c>
      <c r="F1383" s="81" t="s">
        <v>370</v>
      </c>
      <c r="G1383" s="81" t="s">
        <v>4557</v>
      </c>
      <c r="H1383" s="81" t="s">
        <v>4558</v>
      </c>
    </row>
    <row r="1384" spans="1:8" x14ac:dyDescent="0.3">
      <c r="A1384" s="81" t="s">
        <v>4165</v>
      </c>
      <c r="B1384" s="81" t="s">
        <v>881</v>
      </c>
      <c r="C1384" s="81" t="s">
        <v>1010</v>
      </c>
      <c r="D1384" s="81" t="s">
        <v>4099</v>
      </c>
      <c r="E1384" s="81" t="s">
        <v>16</v>
      </c>
      <c r="F1384" s="81" t="s">
        <v>371</v>
      </c>
      <c r="G1384" s="81" t="s">
        <v>4559</v>
      </c>
      <c r="H1384" s="81" t="s">
        <v>4560</v>
      </c>
    </row>
    <row r="1385" spans="1:8" x14ac:dyDescent="0.3">
      <c r="A1385" s="81" t="s">
        <v>4166</v>
      </c>
      <c r="B1385" s="81" t="s">
        <v>881</v>
      </c>
      <c r="C1385" s="81" t="s">
        <v>1010</v>
      </c>
      <c r="D1385" s="81" t="s">
        <v>4099</v>
      </c>
      <c r="E1385" s="81" t="s">
        <v>16</v>
      </c>
      <c r="F1385" s="81" t="s">
        <v>372</v>
      </c>
      <c r="G1385" s="81" t="s">
        <v>4561</v>
      </c>
      <c r="H1385" s="81" t="s">
        <v>4562</v>
      </c>
    </row>
    <row r="1386" spans="1:8" x14ac:dyDescent="0.3">
      <c r="A1386" s="81" t="s">
        <v>4167</v>
      </c>
      <c r="B1386" s="81" t="s">
        <v>881</v>
      </c>
      <c r="C1386" s="81" t="s">
        <v>1010</v>
      </c>
      <c r="D1386" s="81" t="s">
        <v>4099</v>
      </c>
      <c r="E1386" s="81" t="s">
        <v>16</v>
      </c>
      <c r="F1386" s="81" t="s">
        <v>373</v>
      </c>
      <c r="G1386" s="81" t="s">
        <v>4563</v>
      </c>
      <c r="H1386" s="81" t="s">
        <v>4564</v>
      </c>
    </row>
    <row r="1387" spans="1:8" x14ac:dyDescent="0.3">
      <c r="A1387" s="81" t="s">
        <v>4168</v>
      </c>
      <c r="B1387" s="81" t="s">
        <v>881</v>
      </c>
      <c r="C1387" s="81" t="s">
        <v>1010</v>
      </c>
      <c r="D1387" s="81" t="s">
        <v>4099</v>
      </c>
      <c r="E1387" s="81" t="s">
        <v>16</v>
      </c>
      <c r="F1387" s="81" t="s">
        <v>374</v>
      </c>
      <c r="G1387" s="81" t="s">
        <v>4565</v>
      </c>
      <c r="H1387" s="81" t="s">
        <v>4566</v>
      </c>
    </row>
    <row r="1388" spans="1:8" x14ac:dyDescent="0.3">
      <c r="A1388" s="81" t="s">
        <v>4169</v>
      </c>
      <c r="B1388" s="81" t="s">
        <v>881</v>
      </c>
      <c r="C1388" s="81" t="s">
        <v>1010</v>
      </c>
      <c r="D1388" s="81" t="s">
        <v>4099</v>
      </c>
      <c r="E1388" s="81" t="s">
        <v>16</v>
      </c>
      <c r="F1388" s="81" t="s">
        <v>375</v>
      </c>
      <c r="G1388" s="81" t="s">
        <v>4567</v>
      </c>
      <c r="H1388" s="81" t="s">
        <v>4568</v>
      </c>
    </row>
    <row r="1389" spans="1:8" x14ac:dyDescent="0.3">
      <c r="A1389" s="81" t="s">
        <v>4170</v>
      </c>
      <c r="B1389" s="81" t="s">
        <v>881</v>
      </c>
      <c r="C1389" s="81" t="s">
        <v>1010</v>
      </c>
      <c r="D1389" s="81" t="s">
        <v>4099</v>
      </c>
      <c r="E1389" s="81" t="s">
        <v>16</v>
      </c>
      <c r="F1389" s="81" t="s">
        <v>376</v>
      </c>
      <c r="G1389" s="81" t="s">
        <v>4569</v>
      </c>
      <c r="H1389" s="81" t="s">
        <v>4570</v>
      </c>
    </row>
    <row r="1390" spans="1:8" x14ac:dyDescent="0.3">
      <c r="A1390" s="81" t="s">
        <v>4171</v>
      </c>
      <c r="B1390" s="81" t="s">
        <v>881</v>
      </c>
      <c r="C1390" s="81" t="s">
        <v>1010</v>
      </c>
      <c r="D1390" s="81" t="s">
        <v>4099</v>
      </c>
      <c r="E1390" s="81" t="s">
        <v>16</v>
      </c>
      <c r="F1390" s="81" t="s">
        <v>377</v>
      </c>
      <c r="G1390" s="81" t="s">
        <v>4571</v>
      </c>
      <c r="H1390" s="81" t="s">
        <v>4572</v>
      </c>
    </row>
    <row r="1391" spans="1:8" x14ac:dyDescent="0.3">
      <c r="A1391" s="81" t="s">
        <v>4172</v>
      </c>
      <c r="B1391" s="81" t="s">
        <v>881</v>
      </c>
      <c r="C1391" s="81" t="s">
        <v>1010</v>
      </c>
      <c r="D1391" s="81" t="s">
        <v>4099</v>
      </c>
      <c r="E1391" s="81" t="s">
        <v>16</v>
      </c>
      <c r="F1391" s="81" t="s">
        <v>378</v>
      </c>
      <c r="G1391" s="81" t="s">
        <v>4573</v>
      </c>
      <c r="H1391" s="81" t="s">
        <v>4574</v>
      </c>
    </row>
    <row r="1392" spans="1:8" x14ac:dyDescent="0.3">
      <c r="A1392" s="81" t="s">
        <v>4173</v>
      </c>
      <c r="B1392" s="81" t="s">
        <v>881</v>
      </c>
      <c r="C1392" s="81" t="s">
        <v>1010</v>
      </c>
      <c r="D1392" s="81" t="s">
        <v>4099</v>
      </c>
      <c r="E1392" s="81" t="s">
        <v>16</v>
      </c>
      <c r="F1392" s="81" t="s">
        <v>379</v>
      </c>
      <c r="G1392" s="81" t="s">
        <v>4575</v>
      </c>
      <c r="H1392" s="81" t="s">
        <v>4576</v>
      </c>
    </row>
    <row r="1393" spans="1:8" x14ac:dyDescent="0.3">
      <c r="A1393" s="81" t="s">
        <v>4174</v>
      </c>
      <c r="B1393" s="81" t="s">
        <v>881</v>
      </c>
      <c r="C1393" s="81" t="s">
        <v>1010</v>
      </c>
      <c r="D1393" s="81" t="s">
        <v>4099</v>
      </c>
      <c r="E1393" s="81" t="s">
        <v>16</v>
      </c>
      <c r="F1393" s="81" t="s">
        <v>380</v>
      </c>
      <c r="G1393" s="81" t="s">
        <v>4577</v>
      </c>
      <c r="H1393" s="81" t="s">
        <v>4578</v>
      </c>
    </row>
    <row r="1394" spans="1:8" x14ac:dyDescent="0.3">
      <c r="A1394" s="81" t="s">
        <v>4175</v>
      </c>
      <c r="B1394" s="81" t="s">
        <v>881</v>
      </c>
      <c r="C1394" s="81" t="s">
        <v>1010</v>
      </c>
      <c r="D1394" s="81" t="s">
        <v>4099</v>
      </c>
      <c r="E1394" s="81" t="s">
        <v>16</v>
      </c>
      <c r="F1394" s="81" t="s">
        <v>381</v>
      </c>
      <c r="G1394" s="81" t="s">
        <v>4579</v>
      </c>
      <c r="H1394" s="81" t="s">
        <v>4580</v>
      </c>
    </row>
    <row r="1395" spans="1:8" x14ac:dyDescent="0.3">
      <c r="A1395" s="81" t="s">
        <v>4176</v>
      </c>
      <c r="B1395" s="81" t="s">
        <v>881</v>
      </c>
      <c r="C1395" s="81" t="s">
        <v>1010</v>
      </c>
      <c r="D1395" s="81" t="s">
        <v>4099</v>
      </c>
      <c r="E1395" s="81" t="s">
        <v>16</v>
      </c>
      <c r="F1395" s="81" t="s">
        <v>382</v>
      </c>
      <c r="G1395" s="81" t="s">
        <v>4581</v>
      </c>
      <c r="H1395" s="81" t="s">
        <v>4582</v>
      </c>
    </row>
    <row r="1396" spans="1:8" x14ac:dyDescent="0.3">
      <c r="A1396" s="81" t="s">
        <v>4177</v>
      </c>
      <c r="B1396" s="81" t="s">
        <v>881</v>
      </c>
      <c r="C1396" s="81" t="s">
        <v>579</v>
      </c>
      <c r="D1396" s="81" t="s">
        <v>4099</v>
      </c>
      <c r="E1396" s="81" t="s">
        <v>20</v>
      </c>
      <c r="F1396" s="81" t="s">
        <v>15</v>
      </c>
      <c r="G1396" s="81" t="s">
        <v>4583</v>
      </c>
      <c r="H1396" s="81" t="s">
        <v>4137</v>
      </c>
    </row>
    <row r="1397" spans="1:8" x14ac:dyDescent="0.3">
      <c r="A1397" s="81" t="s">
        <v>4184</v>
      </c>
      <c r="B1397" s="81" t="s">
        <v>881</v>
      </c>
      <c r="C1397" s="81" t="s">
        <v>579</v>
      </c>
      <c r="D1397" s="81" t="s">
        <v>4099</v>
      </c>
      <c r="E1397" s="81" t="s">
        <v>16</v>
      </c>
      <c r="F1397" s="81" t="s">
        <v>368</v>
      </c>
      <c r="G1397" s="81" t="s">
        <v>4584</v>
      </c>
      <c r="H1397" s="81" t="s">
        <v>4585</v>
      </c>
    </row>
    <row r="1398" spans="1:8" x14ac:dyDescent="0.3">
      <c r="A1398" s="81" t="s">
        <v>4185</v>
      </c>
      <c r="B1398" s="81" t="s">
        <v>881</v>
      </c>
      <c r="C1398" s="81" t="s">
        <v>579</v>
      </c>
      <c r="D1398" s="81" t="s">
        <v>4099</v>
      </c>
      <c r="E1398" s="81" t="s">
        <v>16</v>
      </c>
      <c r="F1398" s="81" t="s">
        <v>369</v>
      </c>
      <c r="G1398" s="81" t="s">
        <v>4586</v>
      </c>
      <c r="H1398" s="81" t="s">
        <v>4587</v>
      </c>
    </row>
    <row r="1399" spans="1:8" x14ac:dyDescent="0.3">
      <c r="A1399" s="81" t="s">
        <v>4186</v>
      </c>
      <c r="B1399" s="81" t="s">
        <v>881</v>
      </c>
      <c r="C1399" s="81" t="s">
        <v>579</v>
      </c>
      <c r="D1399" s="81" t="s">
        <v>4099</v>
      </c>
      <c r="E1399" s="81" t="s">
        <v>16</v>
      </c>
      <c r="F1399" s="81" t="s">
        <v>370</v>
      </c>
      <c r="G1399" s="81" t="s">
        <v>4588</v>
      </c>
      <c r="H1399" s="81" t="s">
        <v>4589</v>
      </c>
    </row>
    <row r="1400" spans="1:8" x14ac:dyDescent="0.3">
      <c r="A1400" s="81" t="s">
        <v>4187</v>
      </c>
      <c r="B1400" s="81" t="s">
        <v>881</v>
      </c>
      <c r="C1400" s="81" t="s">
        <v>579</v>
      </c>
      <c r="D1400" s="81" t="s">
        <v>4099</v>
      </c>
      <c r="E1400" s="81" t="s">
        <v>16</v>
      </c>
      <c r="F1400" s="81" t="s">
        <v>371</v>
      </c>
      <c r="G1400" s="81" t="s">
        <v>4590</v>
      </c>
      <c r="H1400" s="81" t="s">
        <v>4591</v>
      </c>
    </row>
    <row r="1401" spans="1:8" x14ac:dyDescent="0.3">
      <c r="A1401" s="81" t="s">
        <v>4188</v>
      </c>
      <c r="B1401" s="81" t="s">
        <v>881</v>
      </c>
      <c r="C1401" s="81" t="s">
        <v>579</v>
      </c>
      <c r="D1401" s="81" t="s">
        <v>4099</v>
      </c>
      <c r="E1401" s="81" t="s">
        <v>16</v>
      </c>
      <c r="F1401" s="81" t="s">
        <v>372</v>
      </c>
      <c r="G1401" s="81" t="s">
        <v>4592</v>
      </c>
      <c r="H1401" s="81" t="s">
        <v>4593</v>
      </c>
    </row>
    <row r="1402" spans="1:8" x14ac:dyDescent="0.3">
      <c r="A1402" s="81" t="s">
        <v>4189</v>
      </c>
      <c r="B1402" s="81" t="s">
        <v>881</v>
      </c>
      <c r="C1402" s="81" t="s">
        <v>579</v>
      </c>
      <c r="D1402" s="81" t="s">
        <v>4099</v>
      </c>
      <c r="E1402" s="81" t="s">
        <v>16</v>
      </c>
      <c r="F1402" s="81" t="s">
        <v>373</v>
      </c>
      <c r="G1402" s="81" t="s">
        <v>4594</v>
      </c>
      <c r="H1402" s="81" t="s">
        <v>4595</v>
      </c>
    </row>
    <row r="1403" spans="1:8" x14ac:dyDescent="0.3">
      <c r="A1403" s="81" t="s">
        <v>4190</v>
      </c>
      <c r="B1403" s="81" t="s">
        <v>881</v>
      </c>
      <c r="C1403" s="81" t="s">
        <v>579</v>
      </c>
      <c r="D1403" s="81" t="s">
        <v>4099</v>
      </c>
      <c r="E1403" s="81" t="s">
        <v>16</v>
      </c>
      <c r="F1403" s="81" t="s">
        <v>374</v>
      </c>
      <c r="G1403" s="81" t="s">
        <v>4596</v>
      </c>
      <c r="H1403" s="81" t="s">
        <v>4597</v>
      </c>
    </row>
    <row r="1404" spans="1:8" x14ac:dyDescent="0.3">
      <c r="A1404" s="81" t="s">
        <v>4191</v>
      </c>
      <c r="B1404" s="81" t="s">
        <v>881</v>
      </c>
      <c r="C1404" s="81" t="s">
        <v>579</v>
      </c>
      <c r="D1404" s="81" t="s">
        <v>4099</v>
      </c>
      <c r="E1404" s="81" t="s">
        <v>16</v>
      </c>
      <c r="F1404" s="81" t="s">
        <v>375</v>
      </c>
      <c r="G1404" s="81" t="s">
        <v>4598</v>
      </c>
      <c r="H1404" s="81" t="s">
        <v>4599</v>
      </c>
    </row>
    <row r="1405" spans="1:8" x14ac:dyDescent="0.3">
      <c r="A1405" s="81" t="s">
        <v>4192</v>
      </c>
      <c r="B1405" s="81" t="s">
        <v>881</v>
      </c>
      <c r="C1405" s="81" t="s">
        <v>579</v>
      </c>
      <c r="D1405" s="81" t="s">
        <v>4099</v>
      </c>
      <c r="E1405" s="81" t="s">
        <v>16</v>
      </c>
      <c r="F1405" s="81" t="s">
        <v>376</v>
      </c>
      <c r="G1405" s="81" t="s">
        <v>4600</v>
      </c>
      <c r="H1405" s="81" t="s">
        <v>4601</v>
      </c>
    </row>
    <row r="1406" spans="1:8" x14ac:dyDescent="0.3">
      <c r="A1406" s="81" t="s">
        <v>4193</v>
      </c>
      <c r="B1406" s="81" t="s">
        <v>881</v>
      </c>
      <c r="C1406" s="81" t="s">
        <v>579</v>
      </c>
      <c r="D1406" s="81" t="s">
        <v>4099</v>
      </c>
      <c r="E1406" s="81" t="s">
        <v>16</v>
      </c>
      <c r="F1406" s="81" t="s">
        <v>377</v>
      </c>
      <c r="G1406" s="81" t="s">
        <v>4602</v>
      </c>
      <c r="H1406" s="81" t="s">
        <v>4603</v>
      </c>
    </row>
    <row r="1407" spans="1:8" x14ac:dyDescent="0.3">
      <c r="A1407" s="81" t="s">
        <v>4194</v>
      </c>
      <c r="B1407" s="81" t="s">
        <v>881</v>
      </c>
      <c r="C1407" s="81" t="s">
        <v>579</v>
      </c>
      <c r="D1407" s="81" t="s">
        <v>4099</v>
      </c>
      <c r="E1407" s="81" t="s">
        <v>16</v>
      </c>
      <c r="F1407" s="81" t="s">
        <v>378</v>
      </c>
      <c r="G1407" s="81" t="s">
        <v>4604</v>
      </c>
      <c r="H1407" s="81" t="s">
        <v>4605</v>
      </c>
    </row>
    <row r="1408" spans="1:8" x14ac:dyDescent="0.3">
      <c r="A1408" s="81" t="s">
        <v>4195</v>
      </c>
      <c r="B1408" s="81" t="s">
        <v>881</v>
      </c>
      <c r="C1408" s="81" t="s">
        <v>579</v>
      </c>
      <c r="D1408" s="81" t="s">
        <v>4099</v>
      </c>
      <c r="E1408" s="81" t="s">
        <v>16</v>
      </c>
      <c r="F1408" s="81" t="s">
        <v>379</v>
      </c>
      <c r="G1408" s="81" t="s">
        <v>4606</v>
      </c>
      <c r="H1408" s="81" t="s">
        <v>4607</v>
      </c>
    </row>
    <row r="1409" spans="1:8" x14ac:dyDescent="0.3">
      <c r="A1409" s="81" t="s">
        <v>4196</v>
      </c>
      <c r="B1409" s="81" t="s">
        <v>881</v>
      </c>
      <c r="C1409" s="81" t="s">
        <v>579</v>
      </c>
      <c r="D1409" s="81" t="s">
        <v>4099</v>
      </c>
      <c r="E1409" s="81" t="s">
        <v>16</v>
      </c>
      <c r="F1409" s="81" t="s">
        <v>380</v>
      </c>
      <c r="G1409" s="81" t="s">
        <v>4608</v>
      </c>
      <c r="H1409" s="81" t="s">
        <v>4609</v>
      </c>
    </row>
    <row r="1410" spans="1:8" x14ac:dyDescent="0.3">
      <c r="A1410" s="81" t="s">
        <v>4197</v>
      </c>
      <c r="B1410" s="81" t="s">
        <v>881</v>
      </c>
      <c r="C1410" s="81" t="s">
        <v>579</v>
      </c>
      <c r="D1410" s="81" t="s">
        <v>4099</v>
      </c>
      <c r="E1410" s="81" t="s">
        <v>16</v>
      </c>
      <c r="F1410" s="81" t="s">
        <v>381</v>
      </c>
      <c r="G1410" s="81" t="s">
        <v>4610</v>
      </c>
      <c r="H1410" s="81" t="s">
        <v>4611</v>
      </c>
    </row>
    <row r="1411" spans="1:8" x14ac:dyDescent="0.3">
      <c r="A1411" s="81" t="s">
        <v>4198</v>
      </c>
      <c r="B1411" s="81" t="s">
        <v>881</v>
      </c>
      <c r="C1411" s="81" t="s">
        <v>579</v>
      </c>
      <c r="D1411" s="81" t="s">
        <v>4099</v>
      </c>
      <c r="E1411" s="81" t="s">
        <v>16</v>
      </c>
      <c r="F1411" s="81" t="s">
        <v>382</v>
      </c>
      <c r="G1411" s="81" t="s">
        <v>5141</v>
      </c>
      <c r="H1411" s="81" t="s">
        <v>5143</v>
      </c>
    </row>
    <row r="1412" spans="1:8" x14ac:dyDescent="0.3">
      <c r="A1412" s="81" t="s">
        <v>4199</v>
      </c>
      <c r="B1412" s="81" t="s">
        <v>881</v>
      </c>
      <c r="C1412" s="81" t="s">
        <v>579</v>
      </c>
      <c r="D1412" s="81" t="s">
        <v>4099</v>
      </c>
      <c r="E1412" s="81" t="s">
        <v>20</v>
      </c>
      <c r="F1412" s="81" t="s">
        <v>15</v>
      </c>
      <c r="G1412" s="81" t="s">
        <v>5144</v>
      </c>
      <c r="H1412" s="81" t="s">
        <v>4156</v>
      </c>
    </row>
    <row r="1413" spans="1:8" x14ac:dyDescent="0.3">
      <c r="A1413" s="81" t="s">
        <v>4200</v>
      </c>
      <c r="B1413" s="81" t="s">
        <v>881</v>
      </c>
      <c r="C1413" s="81" t="s">
        <v>4158</v>
      </c>
      <c r="D1413" s="81" t="s">
        <v>4099</v>
      </c>
      <c r="E1413" s="81" t="s">
        <v>20</v>
      </c>
      <c r="F1413" s="81" t="s">
        <v>15</v>
      </c>
      <c r="G1413" s="81" t="s">
        <v>5146</v>
      </c>
      <c r="H1413" s="81" t="s">
        <v>4161</v>
      </c>
    </row>
    <row r="1414" spans="1:8" x14ac:dyDescent="0.3">
      <c r="A1414" s="81" t="s">
        <v>4206</v>
      </c>
      <c r="B1414" s="81" t="s">
        <v>881</v>
      </c>
      <c r="C1414" s="81" t="s">
        <v>4158</v>
      </c>
      <c r="D1414" s="81" t="s">
        <v>4099</v>
      </c>
      <c r="E1414" s="81" t="s">
        <v>16</v>
      </c>
      <c r="F1414" s="81" t="s">
        <v>368</v>
      </c>
      <c r="G1414" s="81" t="s">
        <v>5148</v>
      </c>
      <c r="H1414" s="81" t="s">
        <v>4612</v>
      </c>
    </row>
    <row r="1415" spans="1:8" x14ac:dyDescent="0.3">
      <c r="A1415" s="81" t="s">
        <v>4207</v>
      </c>
      <c r="B1415" s="81" t="s">
        <v>881</v>
      </c>
      <c r="C1415" s="81" t="s">
        <v>4158</v>
      </c>
      <c r="D1415" s="81" t="s">
        <v>4099</v>
      </c>
      <c r="E1415" s="81" t="s">
        <v>16</v>
      </c>
      <c r="F1415" s="81" t="s">
        <v>369</v>
      </c>
      <c r="G1415" s="81" t="s">
        <v>5150</v>
      </c>
      <c r="H1415" s="81" t="s">
        <v>4613</v>
      </c>
    </row>
    <row r="1416" spans="1:8" x14ac:dyDescent="0.3">
      <c r="A1416" s="81" t="s">
        <v>4208</v>
      </c>
      <c r="B1416" s="81" t="s">
        <v>881</v>
      </c>
      <c r="C1416" s="81" t="s">
        <v>4158</v>
      </c>
      <c r="D1416" s="81" t="s">
        <v>4099</v>
      </c>
      <c r="E1416" s="81" t="s">
        <v>16</v>
      </c>
      <c r="F1416" s="81" t="s">
        <v>370</v>
      </c>
      <c r="G1416" s="81" t="s">
        <v>5152</v>
      </c>
      <c r="H1416" s="81" t="s">
        <v>4614</v>
      </c>
    </row>
    <row r="1417" spans="1:8" x14ac:dyDescent="0.3">
      <c r="A1417" s="81" t="s">
        <v>4209</v>
      </c>
      <c r="B1417" s="81" t="s">
        <v>881</v>
      </c>
      <c r="C1417" s="81" t="s">
        <v>4158</v>
      </c>
      <c r="D1417" s="81" t="s">
        <v>4099</v>
      </c>
      <c r="E1417" s="81" t="s">
        <v>16</v>
      </c>
      <c r="F1417" s="81" t="s">
        <v>371</v>
      </c>
      <c r="G1417" s="81" t="s">
        <v>5154</v>
      </c>
      <c r="H1417" s="81" t="s">
        <v>4615</v>
      </c>
    </row>
    <row r="1418" spans="1:8" x14ac:dyDescent="0.3">
      <c r="A1418" s="81" t="s">
        <v>4210</v>
      </c>
      <c r="B1418" s="81" t="s">
        <v>881</v>
      </c>
      <c r="C1418" s="81" t="s">
        <v>4158</v>
      </c>
      <c r="D1418" s="81" t="s">
        <v>4099</v>
      </c>
      <c r="E1418" s="81" t="s">
        <v>16</v>
      </c>
      <c r="F1418" s="81" t="s">
        <v>372</v>
      </c>
      <c r="G1418" s="81" t="s">
        <v>5156</v>
      </c>
      <c r="H1418" s="81" t="s">
        <v>4616</v>
      </c>
    </row>
    <row r="1419" spans="1:8" x14ac:dyDescent="0.3">
      <c r="A1419" s="81" t="s">
        <v>4211</v>
      </c>
      <c r="B1419" s="81" t="s">
        <v>881</v>
      </c>
      <c r="C1419" s="81" t="s">
        <v>4158</v>
      </c>
      <c r="D1419" s="81" t="s">
        <v>4099</v>
      </c>
      <c r="E1419" s="81" t="s">
        <v>16</v>
      </c>
      <c r="F1419" s="81" t="s">
        <v>373</v>
      </c>
      <c r="G1419" s="81" t="s">
        <v>5158</v>
      </c>
      <c r="H1419" s="81" t="s">
        <v>4617</v>
      </c>
    </row>
    <row r="1420" spans="1:8" x14ac:dyDescent="0.3">
      <c r="A1420" s="81" t="s">
        <v>4212</v>
      </c>
      <c r="B1420" s="81" t="s">
        <v>881</v>
      </c>
      <c r="C1420" s="81" t="s">
        <v>4158</v>
      </c>
      <c r="D1420" s="81" t="s">
        <v>4099</v>
      </c>
      <c r="E1420" s="81" t="s">
        <v>16</v>
      </c>
      <c r="F1420" s="81" t="s">
        <v>374</v>
      </c>
      <c r="G1420" s="81" t="s">
        <v>5160</v>
      </c>
      <c r="H1420" s="81" t="s">
        <v>4618</v>
      </c>
    </row>
    <row r="1421" spans="1:8" x14ac:dyDescent="0.3">
      <c r="A1421" s="81" t="s">
        <v>4213</v>
      </c>
      <c r="B1421" s="81" t="s">
        <v>881</v>
      </c>
      <c r="C1421" s="81" t="s">
        <v>4158</v>
      </c>
      <c r="D1421" s="81" t="s">
        <v>4099</v>
      </c>
      <c r="E1421" s="81" t="s">
        <v>16</v>
      </c>
      <c r="F1421" s="81" t="s">
        <v>375</v>
      </c>
      <c r="G1421" s="81" t="s">
        <v>5162</v>
      </c>
      <c r="H1421" s="81" t="s">
        <v>4619</v>
      </c>
    </row>
    <row r="1422" spans="1:8" x14ac:dyDescent="0.3">
      <c r="A1422" s="81" t="s">
        <v>4214</v>
      </c>
      <c r="B1422" s="81" t="s">
        <v>881</v>
      </c>
      <c r="C1422" s="81" t="s">
        <v>4158</v>
      </c>
      <c r="D1422" s="81" t="s">
        <v>4099</v>
      </c>
      <c r="E1422" s="81" t="s">
        <v>16</v>
      </c>
      <c r="F1422" s="81" t="s">
        <v>376</v>
      </c>
      <c r="G1422" s="81" t="s">
        <v>5164</v>
      </c>
      <c r="H1422" s="81" t="s">
        <v>4620</v>
      </c>
    </row>
    <row r="1423" spans="1:8" x14ac:dyDescent="0.3">
      <c r="A1423" s="81" t="s">
        <v>4215</v>
      </c>
      <c r="B1423" s="81" t="s">
        <v>881</v>
      </c>
      <c r="C1423" s="81" t="s">
        <v>4158</v>
      </c>
      <c r="D1423" s="81" t="s">
        <v>4099</v>
      </c>
      <c r="E1423" s="81" t="s">
        <v>16</v>
      </c>
      <c r="F1423" s="81" t="s">
        <v>377</v>
      </c>
      <c r="G1423" s="81" t="s">
        <v>5166</v>
      </c>
      <c r="H1423" s="81" t="s">
        <v>4621</v>
      </c>
    </row>
    <row r="1424" spans="1:8" x14ac:dyDescent="0.3">
      <c r="A1424" s="81" t="s">
        <v>4216</v>
      </c>
      <c r="B1424" s="81" t="s">
        <v>881</v>
      </c>
      <c r="C1424" s="81" t="s">
        <v>4158</v>
      </c>
      <c r="D1424" s="81" t="s">
        <v>4099</v>
      </c>
      <c r="E1424" s="81" t="s">
        <v>16</v>
      </c>
      <c r="F1424" s="81" t="s">
        <v>378</v>
      </c>
      <c r="G1424" s="81" t="s">
        <v>5168</v>
      </c>
      <c r="H1424" s="81" t="s">
        <v>4622</v>
      </c>
    </row>
    <row r="1425" spans="1:8" x14ac:dyDescent="0.3">
      <c r="A1425" s="81" t="s">
        <v>4217</v>
      </c>
      <c r="B1425" s="81" t="s">
        <v>881</v>
      </c>
      <c r="C1425" s="81" t="s">
        <v>4158</v>
      </c>
      <c r="D1425" s="81" t="s">
        <v>4099</v>
      </c>
      <c r="E1425" s="81" t="s">
        <v>16</v>
      </c>
      <c r="F1425" s="81" t="s">
        <v>379</v>
      </c>
      <c r="G1425" s="81" t="s">
        <v>5170</v>
      </c>
      <c r="H1425" s="81" t="s">
        <v>4623</v>
      </c>
    </row>
    <row r="1426" spans="1:8" x14ac:dyDescent="0.3">
      <c r="A1426" s="81" t="s">
        <v>4218</v>
      </c>
      <c r="B1426" s="81" t="s">
        <v>881</v>
      </c>
      <c r="C1426" s="81" t="s">
        <v>4158</v>
      </c>
      <c r="D1426" s="81" t="s">
        <v>4099</v>
      </c>
      <c r="E1426" s="81" t="s">
        <v>16</v>
      </c>
      <c r="F1426" s="81" t="s">
        <v>380</v>
      </c>
      <c r="G1426" s="81" t="s">
        <v>5172</v>
      </c>
      <c r="H1426" s="81" t="s">
        <v>4624</v>
      </c>
    </row>
    <row r="1427" spans="1:8" x14ac:dyDescent="0.3">
      <c r="A1427" s="81" t="s">
        <v>4219</v>
      </c>
      <c r="B1427" s="81" t="s">
        <v>881</v>
      </c>
      <c r="C1427" s="81" t="s">
        <v>4158</v>
      </c>
      <c r="D1427" s="81" t="s">
        <v>4099</v>
      </c>
      <c r="E1427" s="81" t="s">
        <v>16</v>
      </c>
      <c r="F1427" s="81" t="s">
        <v>381</v>
      </c>
      <c r="G1427" s="81" t="s">
        <v>5174</v>
      </c>
      <c r="H1427" s="81" t="s">
        <v>4625</v>
      </c>
    </row>
    <row r="1428" spans="1:8" x14ac:dyDescent="0.3">
      <c r="A1428" s="81" t="s">
        <v>4220</v>
      </c>
      <c r="B1428" s="81" t="s">
        <v>881</v>
      </c>
      <c r="C1428" s="81" t="s">
        <v>4158</v>
      </c>
      <c r="D1428" s="81" t="s">
        <v>4099</v>
      </c>
      <c r="E1428" s="81" t="s">
        <v>16</v>
      </c>
      <c r="F1428" s="81" t="s">
        <v>382</v>
      </c>
      <c r="G1428" s="81" t="s">
        <v>5176</v>
      </c>
      <c r="H1428" s="81" t="s">
        <v>4626</v>
      </c>
    </row>
    <row r="1429" spans="1:8" x14ac:dyDescent="0.3">
      <c r="A1429" s="81" t="s">
        <v>4221</v>
      </c>
      <c r="B1429" s="81" t="s">
        <v>508</v>
      </c>
      <c r="C1429" s="81" t="s">
        <v>4179</v>
      </c>
      <c r="D1429" s="81" t="s">
        <v>3795</v>
      </c>
      <c r="E1429" s="81" t="s">
        <v>20</v>
      </c>
      <c r="F1429" s="81" t="s">
        <v>15</v>
      </c>
      <c r="G1429" s="81" t="s">
        <v>5178</v>
      </c>
      <c r="H1429" s="81" t="s">
        <v>4183</v>
      </c>
    </row>
    <row r="1430" spans="1:8" x14ac:dyDescent="0.3">
      <c r="A1430" s="81" t="s">
        <v>4222</v>
      </c>
      <c r="B1430" s="81" t="s">
        <v>508</v>
      </c>
      <c r="C1430" s="81" t="s">
        <v>4179</v>
      </c>
      <c r="D1430" s="81" t="s">
        <v>3795</v>
      </c>
      <c r="E1430" s="81" t="s">
        <v>16</v>
      </c>
      <c r="F1430" s="81" t="s">
        <v>368</v>
      </c>
      <c r="G1430" s="81" t="s">
        <v>4627</v>
      </c>
      <c r="H1430" s="81" t="s">
        <v>4628</v>
      </c>
    </row>
    <row r="1431" spans="1:8" x14ac:dyDescent="0.3">
      <c r="A1431" s="81" t="s">
        <v>4227</v>
      </c>
      <c r="B1431" s="81" t="s">
        <v>508</v>
      </c>
      <c r="C1431" s="81" t="s">
        <v>4179</v>
      </c>
      <c r="D1431" s="81" t="s">
        <v>3795</v>
      </c>
      <c r="E1431" s="81" t="s">
        <v>16</v>
      </c>
      <c r="F1431" s="81" t="s">
        <v>369</v>
      </c>
      <c r="G1431" s="81" t="s">
        <v>4629</v>
      </c>
      <c r="H1431" s="81" t="s">
        <v>4630</v>
      </c>
    </row>
    <row r="1432" spans="1:8" x14ac:dyDescent="0.3">
      <c r="A1432" s="81" t="s">
        <v>4228</v>
      </c>
      <c r="B1432" s="81" t="s">
        <v>508</v>
      </c>
      <c r="C1432" s="81" t="s">
        <v>4179</v>
      </c>
      <c r="D1432" s="81" t="s">
        <v>3795</v>
      </c>
      <c r="E1432" s="81" t="s">
        <v>16</v>
      </c>
      <c r="F1432" s="81" t="s">
        <v>370</v>
      </c>
      <c r="G1432" s="81" t="s">
        <v>4631</v>
      </c>
      <c r="H1432" s="81" t="s">
        <v>4632</v>
      </c>
    </row>
    <row r="1433" spans="1:8" x14ac:dyDescent="0.3">
      <c r="A1433" s="81" t="s">
        <v>4229</v>
      </c>
      <c r="B1433" s="81" t="s">
        <v>508</v>
      </c>
      <c r="C1433" s="81" t="s">
        <v>4179</v>
      </c>
      <c r="D1433" s="81" t="s">
        <v>3795</v>
      </c>
      <c r="E1433" s="81" t="s">
        <v>16</v>
      </c>
      <c r="F1433" s="81" t="s">
        <v>371</v>
      </c>
      <c r="G1433" s="81" t="s">
        <v>4633</v>
      </c>
      <c r="H1433" s="81" t="s">
        <v>4634</v>
      </c>
    </row>
    <row r="1434" spans="1:8" x14ac:dyDescent="0.3">
      <c r="A1434" s="81" t="s">
        <v>4230</v>
      </c>
      <c r="B1434" s="81" t="s">
        <v>508</v>
      </c>
      <c r="C1434" s="81" t="s">
        <v>4179</v>
      </c>
      <c r="D1434" s="81" t="s">
        <v>3795</v>
      </c>
      <c r="E1434" s="81" t="s">
        <v>16</v>
      </c>
      <c r="F1434" s="81" t="s">
        <v>372</v>
      </c>
      <c r="G1434" s="81" t="s">
        <v>4635</v>
      </c>
      <c r="H1434" s="81" t="s">
        <v>4636</v>
      </c>
    </row>
    <row r="1435" spans="1:8" x14ac:dyDescent="0.3">
      <c r="A1435" s="81" t="s">
        <v>4231</v>
      </c>
      <c r="B1435" s="81" t="s">
        <v>508</v>
      </c>
      <c r="C1435" s="81" t="s">
        <v>4179</v>
      </c>
      <c r="D1435" s="81" t="s">
        <v>3795</v>
      </c>
      <c r="E1435" s="81" t="s">
        <v>16</v>
      </c>
      <c r="F1435" s="81" t="s">
        <v>373</v>
      </c>
      <c r="G1435" s="81" t="s">
        <v>4637</v>
      </c>
      <c r="H1435" s="81" t="s">
        <v>4638</v>
      </c>
    </row>
    <row r="1436" spans="1:8" x14ac:dyDescent="0.3">
      <c r="A1436" s="81" t="s">
        <v>4232</v>
      </c>
      <c r="B1436" s="81" t="s">
        <v>508</v>
      </c>
      <c r="C1436" s="81" t="s">
        <v>4179</v>
      </c>
      <c r="D1436" s="81" t="s">
        <v>3795</v>
      </c>
      <c r="E1436" s="81" t="s">
        <v>16</v>
      </c>
      <c r="F1436" s="81" t="s">
        <v>374</v>
      </c>
      <c r="G1436" s="81" t="s">
        <v>4639</v>
      </c>
      <c r="H1436" s="81" t="s">
        <v>4640</v>
      </c>
    </row>
    <row r="1437" spans="1:8" x14ac:dyDescent="0.3">
      <c r="A1437" s="81" t="s">
        <v>4233</v>
      </c>
      <c r="B1437" s="81" t="s">
        <v>508</v>
      </c>
      <c r="C1437" s="81" t="s">
        <v>4179</v>
      </c>
      <c r="D1437" s="81" t="s">
        <v>3795</v>
      </c>
      <c r="E1437" s="81" t="s">
        <v>16</v>
      </c>
      <c r="F1437" s="81" t="s">
        <v>375</v>
      </c>
      <c r="G1437" s="81" t="s">
        <v>4641</v>
      </c>
      <c r="H1437" s="81" t="s">
        <v>4642</v>
      </c>
    </row>
    <row r="1438" spans="1:8" x14ac:dyDescent="0.3">
      <c r="A1438" s="81" t="s">
        <v>4234</v>
      </c>
      <c r="B1438" s="81" t="s">
        <v>508</v>
      </c>
      <c r="C1438" s="81" t="s">
        <v>4179</v>
      </c>
      <c r="D1438" s="81" t="s">
        <v>3795</v>
      </c>
      <c r="E1438" s="81" t="s">
        <v>16</v>
      </c>
      <c r="F1438" s="81" t="s">
        <v>376</v>
      </c>
      <c r="G1438" s="81" t="s">
        <v>4643</v>
      </c>
      <c r="H1438" s="81" t="s">
        <v>4644</v>
      </c>
    </row>
    <row r="1439" spans="1:8" x14ac:dyDescent="0.3">
      <c r="A1439" s="81" t="s">
        <v>4235</v>
      </c>
      <c r="B1439" s="81" t="s">
        <v>508</v>
      </c>
      <c r="C1439" s="81" t="s">
        <v>4179</v>
      </c>
      <c r="D1439" s="81" t="s">
        <v>3795</v>
      </c>
      <c r="E1439" s="81" t="s">
        <v>16</v>
      </c>
      <c r="F1439" s="81" t="s">
        <v>377</v>
      </c>
      <c r="G1439" s="81" t="s">
        <v>4645</v>
      </c>
      <c r="H1439" s="81" t="s">
        <v>4646</v>
      </c>
    </row>
    <row r="1440" spans="1:8" x14ac:dyDescent="0.3">
      <c r="A1440" s="81" t="s">
        <v>4236</v>
      </c>
      <c r="B1440" s="81" t="s">
        <v>508</v>
      </c>
      <c r="C1440" s="81" t="s">
        <v>4179</v>
      </c>
      <c r="D1440" s="81" t="s">
        <v>3795</v>
      </c>
      <c r="E1440" s="81" t="s">
        <v>16</v>
      </c>
      <c r="F1440" s="81" t="s">
        <v>378</v>
      </c>
      <c r="G1440" s="81" t="s">
        <v>4647</v>
      </c>
      <c r="H1440" s="81" t="s">
        <v>4648</v>
      </c>
    </row>
    <row r="1441" spans="1:8" x14ac:dyDescent="0.3">
      <c r="A1441" s="81" t="s">
        <v>4237</v>
      </c>
      <c r="B1441" s="81" t="s">
        <v>508</v>
      </c>
      <c r="C1441" s="81" t="s">
        <v>4179</v>
      </c>
      <c r="D1441" s="81" t="s">
        <v>3795</v>
      </c>
      <c r="E1441" s="81" t="s">
        <v>16</v>
      </c>
      <c r="F1441" s="81" t="s">
        <v>379</v>
      </c>
      <c r="G1441" s="81" t="s">
        <v>4649</v>
      </c>
      <c r="H1441" s="81" t="s">
        <v>4650</v>
      </c>
    </row>
    <row r="1442" spans="1:8" x14ac:dyDescent="0.3">
      <c r="A1442" s="81" t="s">
        <v>4238</v>
      </c>
      <c r="B1442" s="81" t="s">
        <v>508</v>
      </c>
      <c r="C1442" s="81" t="s">
        <v>4179</v>
      </c>
      <c r="D1442" s="81" t="s">
        <v>3795</v>
      </c>
      <c r="E1442" s="81" t="s">
        <v>16</v>
      </c>
      <c r="F1442" s="81" t="s">
        <v>380</v>
      </c>
      <c r="G1442" s="81" t="s">
        <v>4651</v>
      </c>
      <c r="H1442" s="81" t="s">
        <v>4652</v>
      </c>
    </row>
    <row r="1443" spans="1:8" x14ac:dyDescent="0.3">
      <c r="A1443" s="81" t="s">
        <v>4239</v>
      </c>
      <c r="B1443" s="81" t="s">
        <v>508</v>
      </c>
      <c r="C1443" s="81" t="s">
        <v>4179</v>
      </c>
      <c r="D1443" s="81" t="s">
        <v>3795</v>
      </c>
      <c r="E1443" s="81" t="s">
        <v>16</v>
      </c>
      <c r="F1443" s="81" t="s">
        <v>381</v>
      </c>
      <c r="G1443" s="81" t="s">
        <v>4653</v>
      </c>
      <c r="H1443" s="81" t="s">
        <v>4654</v>
      </c>
    </row>
    <row r="1444" spans="1:8" x14ac:dyDescent="0.3">
      <c r="A1444" s="81" t="s">
        <v>4240</v>
      </c>
      <c r="B1444" s="81" t="s">
        <v>508</v>
      </c>
      <c r="C1444" s="81" t="s">
        <v>4179</v>
      </c>
      <c r="D1444" s="81" t="s">
        <v>3795</v>
      </c>
      <c r="E1444" s="81" t="s">
        <v>16</v>
      </c>
      <c r="F1444" s="81" t="s">
        <v>382</v>
      </c>
      <c r="G1444" s="81" t="s">
        <v>4655</v>
      </c>
      <c r="H1444" s="81" t="s">
        <v>4656</v>
      </c>
    </row>
    <row r="1445" spans="1:8" x14ac:dyDescent="0.3">
      <c r="A1445" s="81" t="s">
        <v>4241</v>
      </c>
      <c r="B1445" s="81" t="s">
        <v>508</v>
      </c>
      <c r="C1445" s="81" t="s">
        <v>4179</v>
      </c>
      <c r="D1445" s="81" t="s">
        <v>3795</v>
      </c>
      <c r="E1445" s="81" t="s">
        <v>16</v>
      </c>
      <c r="F1445" s="81" t="s">
        <v>383</v>
      </c>
      <c r="G1445" s="81" t="s">
        <v>5180</v>
      </c>
      <c r="H1445" s="81" t="s">
        <v>5181</v>
      </c>
    </row>
    <row r="1446" spans="1:8" x14ac:dyDescent="0.3">
      <c r="A1446" s="81" t="s">
        <v>4242</v>
      </c>
      <c r="B1446" s="81" t="s">
        <v>508</v>
      </c>
      <c r="C1446" s="81" t="s">
        <v>4201</v>
      </c>
      <c r="D1446" s="81" t="s">
        <v>3795</v>
      </c>
      <c r="E1446" s="81" t="s">
        <v>20</v>
      </c>
      <c r="F1446" s="81" t="s">
        <v>15</v>
      </c>
      <c r="G1446" s="81" t="s">
        <v>5182</v>
      </c>
      <c r="H1446" s="81" t="s">
        <v>4205</v>
      </c>
    </row>
    <row r="1447" spans="1:8" x14ac:dyDescent="0.3">
      <c r="A1447" s="81" t="s">
        <v>4243</v>
      </c>
      <c r="B1447" s="81" t="s">
        <v>508</v>
      </c>
      <c r="C1447" s="81" t="s">
        <v>4201</v>
      </c>
      <c r="D1447" s="81" t="s">
        <v>3795</v>
      </c>
      <c r="E1447" s="81" t="s">
        <v>16</v>
      </c>
      <c r="F1447" s="81" t="s">
        <v>368</v>
      </c>
      <c r="G1447" s="81" t="s">
        <v>5184</v>
      </c>
      <c r="H1447" s="81" t="s">
        <v>4657</v>
      </c>
    </row>
    <row r="1448" spans="1:8" x14ac:dyDescent="0.3">
      <c r="A1448" s="81" t="s">
        <v>4250</v>
      </c>
      <c r="B1448" s="81" t="s">
        <v>508</v>
      </c>
      <c r="C1448" s="81" t="s">
        <v>4201</v>
      </c>
      <c r="D1448" s="81" t="s">
        <v>3795</v>
      </c>
      <c r="E1448" s="81" t="s">
        <v>16</v>
      </c>
      <c r="F1448" s="81" t="s">
        <v>369</v>
      </c>
      <c r="G1448" s="81" t="s">
        <v>5186</v>
      </c>
      <c r="H1448" s="81" t="s">
        <v>4658</v>
      </c>
    </row>
    <row r="1449" spans="1:8" x14ac:dyDescent="0.3">
      <c r="A1449" s="81" t="s">
        <v>4255</v>
      </c>
      <c r="B1449" s="81" t="s">
        <v>508</v>
      </c>
      <c r="C1449" s="81" t="s">
        <v>4201</v>
      </c>
      <c r="D1449" s="81" t="s">
        <v>3795</v>
      </c>
      <c r="E1449" s="81" t="s">
        <v>16</v>
      </c>
      <c r="F1449" s="81" t="s">
        <v>370</v>
      </c>
      <c r="G1449" s="81" t="s">
        <v>5188</v>
      </c>
      <c r="H1449" s="81" t="s">
        <v>4659</v>
      </c>
    </row>
    <row r="1450" spans="1:8" x14ac:dyDescent="0.3">
      <c r="A1450" s="81" t="s">
        <v>4258</v>
      </c>
      <c r="B1450" s="81" t="s">
        <v>508</v>
      </c>
      <c r="C1450" s="81" t="s">
        <v>4201</v>
      </c>
      <c r="D1450" s="81" t="s">
        <v>3795</v>
      </c>
      <c r="E1450" s="81" t="s">
        <v>16</v>
      </c>
      <c r="F1450" s="81" t="s">
        <v>371</v>
      </c>
      <c r="G1450" s="81" t="s">
        <v>5190</v>
      </c>
      <c r="H1450" s="81" t="s">
        <v>4660</v>
      </c>
    </row>
    <row r="1451" spans="1:8" x14ac:dyDescent="0.3">
      <c r="A1451" s="81" t="s">
        <v>4259</v>
      </c>
      <c r="B1451" s="81" t="s">
        <v>508</v>
      </c>
      <c r="C1451" s="81" t="s">
        <v>4201</v>
      </c>
      <c r="D1451" s="81" t="s">
        <v>3795</v>
      </c>
      <c r="E1451" s="81" t="s">
        <v>16</v>
      </c>
      <c r="F1451" s="81" t="s">
        <v>372</v>
      </c>
      <c r="G1451" s="81" t="s">
        <v>5192</v>
      </c>
      <c r="H1451" s="81" t="s">
        <v>4661</v>
      </c>
    </row>
    <row r="1452" spans="1:8" x14ac:dyDescent="0.3">
      <c r="A1452" s="81" t="s">
        <v>4260</v>
      </c>
      <c r="B1452" s="81" t="s">
        <v>508</v>
      </c>
      <c r="C1452" s="81" t="s">
        <v>4201</v>
      </c>
      <c r="D1452" s="81" t="s">
        <v>3795</v>
      </c>
      <c r="E1452" s="81" t="s">
        <v>16</v>
      </c>
      <c r="F1452" s="81" t="s">
        <v>373</v>
      </c>
      <c r="G1452" s="81" t="s">
        <v>5194</v>
      </c>
      <c r="H1452" s="81" t="s">
        <v>4662</v>
      </c>
    </row>
    <row r="1453" spans="1:8" x14ac:dyDescent="0.3">
      <c r="A1453" s="81" t="s">
        <v>4261</v>
      </c>
      <c r="B1453" s="81" t="s">
        <v>508</v>
      </c>
      <c r="C1453" s="81" t="s">
        <v>4201</v>
      </c>
      <c r="D1453" s="81" t="s">
        <v>3795</v>
      </c>
      <c r="E1453" s="81" t="s">
        <v>16</v>
      </c>
      <c r="F1453" s="81" t="s">
        <v>374</v>
      </c>
      <c r="G1453" s="81" t="s">
        <v>5196</v>
      </c>
      <c r="H1453" s="81" t="s">
        <v>4663</v>
      </c>
    </row>
    <row r="1454" spans="1:8" x14ac:dyDescent="0.3">
      <c r="A1454" s="81" t="s">
        <v>4262</v>
      </c>
      <c r="B1454" s="81" t="s">
        <v>508</v>
      </c>
      <c r="C1454" s="81" t="s">
        <v>4201</v>
      </c>
      <c r="D1454" s="81" t="s">
        <v>3795</v>
      </c>
      <c r="E1454" s="81" t="s">
        <v>16</v>
      </c>
      <c r="F1454" s="81" t="s">
        <v>375</v>
      </c>
      <c r="G1454" s="81" t="s">
        <v>5198</v>
      </c>
      <c r="H1454" s="81" t="s">
        <v>4664</v>
      </c>
    </row>
    <row r="1455" spans="1:8" x14ac:dyDescent="0.3">
      <c r="A1455" s="81" t="s">
        <v>4263</v>
      </c>
      <c r="B1455" s="81" t="s">
        <v>508</v>
      </c>
      <c r="C1455" s="81" t="s">
        <v>4201</v>
      </c>
      <c r="D1455" s="81" t="s">
        <v>3795</v>
      </c>
      <c r="E1455" s="81" t="s">
        <v>16</v>
      </c>
      <c r="F1455" s="81" t="s">
        <v>376</v>
      </c>
      <c r="G1455" s="81" t="s">
        <v>5200</v>
      </c>
      <c r="H1455" s="81" t="s">
        <v>4665</v>
      </c>
    </row>
    <row r="1456" spans="1:8" x14ac:dyDescent="0.3">
      <c r="A1456" s="81" t="s">
        <v>4264</v>
      </c>
      <c r="B1456" s="81" t="s">
        <v>508</v>
      </c>
      <c r="C1456" s="81" t="s">
        <v>4201</v>
      </c>
      <c r="D1456" s="81" t="s">
        <v>3795</v>
      </c>
      <c r="E1456" s="81" t="s">
        <v>16</v>
      </c>
      <c r="F1456" s="81" t="s">
        <v>377</v>
      </c>
      <c r="G1456" s="81" t="s">
        <v>5202</v>
      </c>
      <c r="H1456" s="81" t="s">
        <v>4666</v>
      </c>
    </row>
    <row r="1457" spans="1:8" x14ac:dyDescent="0.3">
      <c r="A1457" s="81" t="s">
        <v>4265</v>
      </c>
      <c r="B1457" s="81" t="s">
        <v>508</v>
      </c>
      <c r="C1457" s="81" t="s">
        <v>4201</v>
      </c>
      <c r="D1457" s="81" t="s">
        <v>3795</v>
      </c>
      <c r="E1457" s="81" t="s">
        <v>16</v>
      </c>
      <c r="F1457" s="81" t="s">
        <v>378</v>
      </c>
      <c r="G1457" s="81" t="s">
        <v>5204</v>
      </c>
      <c r="H1457" s="81" t="s">
        <v>4667</v>
      </c>
    </row>
    <row r="1458" spans="1:8" x14ac:dyDescent="0.3">
      <c r="A1458" s="81" t="s">
        <v>4266</v>
      </c>
      <c r="B1458" s="81" t="s">
        <v>508</v>
      </c>
      <c r="C1458" s="81" t="s">
        <v>4201</v>
      </c>
      <c r="D1458" s="81" t="s">
        <v>3795</v>
      </c>
      <c r="E1458" s="81" t="s">
        <v>16</v>
      </c>
      <c r="F1458" s="81" t="s">
        <v>379</v>
      </c>
      <c r="G1458" s="81" t="s">
        <v>5206</v>
      </c>
      <c r="H1458" s="81" t="s">
        <v>4668</v>
      </c>
    </row>
    <row r="1459" spans="1:8" x14ac:dyDescent="0.3">
      <c r="A1459" s="81" t="s">
        <v>4267</v>
      </c>
      <c r="B1459" s="81" t="s">
        <v>508</v>
      </c>
      <c r="C1459" s="81" t="s">
        <v>4201</v>
      </c>
      <c r="D1459" s="81" t="s">
        <v>3795</v>
      </c>
      <c r="E1459" s="81" t="s">
        <v>16</v>
      </c>
      <c r="F1459" s="81" t="s">
        <v>380</v>
      </c>
      <c r="G1459" s="81" t="s">
        <v>5208</v>
      </c>
      <c r="H1459" s="81" t="s">
        <v>4669</v>
      </c>
    </row>
    <row r="1460" spans="1:8" x14ac:dyDescent="0.3">
      <c r="A1460" s="81" t="s">
        <v>4268</v>
      </c>
      <c r="B1460" s="81" t="s">
        <v>508</v>
      </c>
      <c r="C1460" s="81" t="s">
        <v>4201</v>
      </c>
      <c r="D1460" s="81" t="s">
        <v>3795</v>
      </c>
      <c r="E1460" s="81" t="s">
        <v>16</v>
      </c>
      <c r="F1460" s="81" t="s">
        <v>381</v>
      </c>
      <c r="G1460" s="81" t="s">
        <v>5210</v>
      </c>
      <c r="H1460" s="81" t="s">
        <v>4670</v>
      </c>
    </row>
    <row r="1461" spans="1:8" x14ac:dyDescent="0.3">
      <c r="A1461" s="81" t="s">
        <v>4269</v>
      </c>
      <c r="B1461" s="81" t="s">
        <v>508</v>
      </c>
      <c r="C1461" s="81" t="s">
        <v>4201</v>
      </c>
      <c r="D1461" s="81" t="s">
        <v>3795</v>
      </c>
      <c r="E1461" s="81" t="s">
        <v>16</v>
      </c>
      <c r="F1461" s="81" t="s">
        <v>382</v>
      </c>
      <c r="G1461" s="81" t="s">
        <v>5212</v>
      </c>
      <c r="H1461" s="81" t="s">
        <v>4671</v>
      </c>
    </row>
    <row r="1462" spans="1:8" x14ac:dyDescent="0.3">
      <c r="A1462" s="81" t="s">
        <v>4270</v>
      </c>
      <c r="B1462" s="81" t="s">
        <v>508</v>
      </c>
      <c r="C1462" s="81" t="s">
        <v>4201</v>
      </c>
      <c r="D1462" s="81" t="s">
        <v>3795</v>
      </c>
      <c r="E1462" s="81" t="s">
        <v>16</v>
      </c>
      <c r="F1462" s="81" t="s">
        <v>383</v>
      </c>
      <c r="G1462" s="81" t="s">
        <v>5214</v>
      </c>
      <c r="H1462" s="81" t="s">
        <v>5216</v>
      </c>
    </row>
    <row r="1463" spans="1:8" x14ac:dyDescent="0.3">
      <c r="A1463" s="81" t="s">
        <v>4271</v>
      </c>
      <c r="B1463" s="81" t="s">
        <v>508</v>
      </c>
      <c r="C1463" s="81" t="s">
        <v>5297</v>
      </c>
      <c r="D1463" s="81" t="s">
        <v>3795</v>
      </c>
      <c r="E1463" s="81" t="s">
        <v>20</v>
      </c>
      <c r="F1463" s="81" t="s">
        <v>15</v>
      </c>
      <c r="G1463" s="81" t="s">
        <v>5217</v>
      </c>
      <c r="H1463" s="81" t="s">
        <v>4226</v>
      </c>
    </row>
    <row r="1464" spans="1:8" x14ac:dyDescent="0.3">
      <c r="A1464" s="81" t="s">
        <v>4272</v>
      </c>
      <c r="B1464" s="81" t="s">
        <v>508</v>
      </c>
      <c r="C1464" s="81" t="s">
        <v>5297</v>
      </c>
      <c r="D1464" s="81" t="s">
        <v>3795</v>
      </c>
      <c r="E1464" s="81" t="s">
        <v>16</v>
      </c>
      <c r="F1464" s="81" t="s">
        <v>368</v>
      </c>
      <c r="G1464" s="81" t="s">
        <v>5219</v>
      </c>
      <c r="H1464" s="81" t="s">
        <v>4672</v>
      </c>
    </row>
    <row r="1465" spans="1:8" x14ac:dyDescent="0.3">
      <c r="A1465" s="81" t="s">
        <v>4273</v>
      </c>
      <c r="B1465" s="81" t="s">
        <v>508</v>
      </c>
      <c r="C1465" s="81" t="s">
        <v>5297</v>
      </c>
      <c r="D1465" s="81" t="s">
        <v>3795</v>
      </c>
      <c r="E1465" s="81" t="s">
        <v>16</v>
      </c>
      <c r="F1465" s="81" t="s">
        <v>369</v>
      </c>
      <c r="G1465" s="81" t="s">
        <v>5220</v>
      </c>
      <c r="H1465" s="81" t="s">
        <v>4673</v>
      </c>
    </row>
    <row r="1466" spans="1:8" x14ac:dyDescent="0.3">
      <c r="A1466" s="81" t="s">
        <v>6248</v>
      </c>
      <c r="B1466" s="81" t="s">
        <v>574</v>
      </c>
      <c r="C1466" s="81" t="s">
        <v>1021</v>
      </c>
      <c r="D1466" s="81" t="s">
        <v>3784</v>
      </c>
      <c r="E1466" s="81" t="s">
        <v>20</v>
      </c>
      <c r="F1466" s="81" t="s">
        <v>15</v>
      </c>
      <c r="G1466" s="81" t="s">
        <v>3679</v>
      </c>
      <c r="H1466" s="81" t="s">
        <v>2013</v>
      </c>
    </row>
    <row r="1467" spans="1:8" x14ac:dyDescent="0.3">
      <c r="A1467" s="81" t="s">
        <v>5938</v>
      </c>
      <c r="B1467" s="81" t="s">
        <v>508</v>
      </c>
      <c r="C1467" s="81" t="s">
        <v>5297</v>
      </c>
      <c r="D1467" s="81" t="s">
        <v>3795</v>
      </c>
      <c r="E1467" s="81" t="s">
        <v>16</v>
      </c>
      <c r="F1467" s="81" t="s">
        <v>370</v>
      </c>
      <c r="G1467" s="81" t="s">
        <v>5221</v>
      </c>
      <c r="H1467" s="81" t="s">
        <v>4674</v>
      </c>
    </row>
    <row r="1468" spans="1:8" x14ac:dyDescent="0.3">
      <c r="A1468" s="81" t="s">
        <v>5939</v>
      </c>
      <c r="B1468" s="81" t="s">
        <v>508</v>
      </c>
      <c r="C1468" s="81" t="s">
        <v>5297</v>
      </c>
      <c r="D1468" s="81" t="s">
        <v>3795</v>
      </c>
      <c r="E1468" s="81" t="s">
        <v>16</v>
      </c>
      <c r="F1468" s="81" t="s">
        <v>371</v>
      </c>
      <c r="G1468" s="81" t="s">
        <v>5222</v>
      </c>
      <c r="H1468" s="81" t="s">
        <v>4675</v>
      </c>
    </row>
    <row r="1469" spans="1:8" x14ac:dyDescent="0.3">
      <c r="A1469" s="81" t="s">
        <v>5940</v>
      </c>
      <c r="B1469" s="81" t="s">
        <v>508</v>
      </c>
      <c r="C1469" s="81" t="s">
        <v>5297</v>
      </c>
      <c r="D1469" s="81" t="s">
        <v>3795</v>
      </c>
      <c r="E1469" s="81" t="s">
        <v>16</v>
      </c>
      <c r="F1469" s="81" t="s">
        <v>372</v>
      </c>
      <c r="G1469" s="81" t="s">
        <v>5223</v>
      </c>
      <c r="H1469" s="81" t="s">
        <v>4676</v>
      </c>
    </row>
    <row r="1470" spans="1:8" x14ac:dyDescent="0.3">
      <c r="A1470" s="81" t="s">
        <v>5941</v>
      </c>
      <c r="B1470" s="81" t="s">
        <v>508</v>
      </c>
      <c r="C1470" s="81" t="s">
        <v>5297</v>
      </c>
      <c r="D1470" s="81" t="s">
        <v>3795</v>
      </c>
      <c r="E1470" s="81" t="s">
        <v>16</v>
      </c>
      <c r="F1470" s="81" t="s">
        <v>373</v>
      </c>
      <c r="G1470" s="81" t="s">
        <v>5224</v>
      </c>
      <c r="H1470" s="81" t="s">
        <v>4677</v>
      </c>
    </row>
    <row r="1471" spans="1:8" x14ac:dyDescent="0.3">
      <c r="A1471" s="81" t="s">
        <v>5942</v>
      </c>
      <c r="B1471" s="81" t="s">
        <v>508</v>
      </c>
      <c r="C1471" s="81" t="s">
        <v>5297</v>
      </c>
      <c r="D1471" s="81" t="s">
        <v>3795</v>
      </c>
      <c r="E1471" s="81" t="s">
        <v>16</v>
      </c>
      <c r="F1471" s="81" t="s">
        <v>374</v>
      </c>
      <c r="G1471" s="81" t="s">
        <v>5225</v>
      </c>
      <c r="H1471" s="81" t="s">
        <v>4678</v>
      </c>
    </row>
    <row r="1472" spans="1:8" x14ac:dyDescent="0.3">
      <c r="A1472" s="81" t="s">
        <v>5943</v>
      </c>
      <c r="B1472" s="81" t="s">
        <v>508</v>
      </c>
      <c r="C1472" s="81" t="s">
        <v>5297</v>
      </c>
      <c r="D1472" s="81" t="s">
        <v>3795</v>
      </c>
      <c r="E1472" s="81" t="s">
        <v>16</v>
      </c>
      <c r="F1472" s="81" t="s">
        <v>375</v>
      </c>
      <c r="G1472" s="81" t="s">
        <v>5226</v>
      </c>
      <c r="H1472" s="81" t="s">
        <v>4679</v>
      </c>
    </row>
    <row r="1473" spans="1:8" x14ac:dyDescent="0.3">
      <c r="A1473" s="81" t="s">
        <v>5944</v>
      </c>
      <c r="B1473" s="81" t="s">
        <v>508</v>
      </c>
      <c r="C1473" s="81" t="s">
        <v>5297</v>
      </c>
      <c r="D1473" s="81" t="s">
        <v>3795</v>
      </c>
      <c r="E1473" s="81" t="s">
        <v>16</v>
      </c>
      <c r="F1473" s="81" t="s">
        <v>376</v>
      </c>
      <c r="G1473" s="81" t="s">
        <v>5227</v>
      </c>
      <c r="H1473" s="81" t="s">
        <v>4680</v>
      </c>
    </row>
    <row r="1474" spans="1:8" x14ac:dyDescent="0.3">
      <c r="A1474" s="81" t="s">
        <v>5945</v>
      </c>
      <c r="B1474" s="81" t="s">
        <v>508</v>
      </c>
      <c r="C1474" s="81" t="s">
        <v>5297</v>
      </c>
      <c r="D1474" s="81" t="s">
        <v>3795</v>
      </c>
      <c r="E1474" s="81" t="s">
        <v>16</v>
      </c>
      <c r="F1474" s="81" t="s">
        <v>377</v>
      </c>
      <c r="G1474" s="81" t="s">
        <v>5228</v>
      </c>
      <c r="H1474" s="81" t="s">
        <v>4681</v>
      </c>
    </row>
    <row r="1475" spans="1:8" x14ac:dyDescent="0.3">
      <c r="A1475" s="81" t="s">
        <v>5946</v>
      </c>
      <c r="B1475" s="81" t="s">
        <v>508</v>
      </c>
      <c r="C1475" s="81" t="s">
        <v>5297</v>
      </c>
      <c r="D1475" s="81" t="s">
        <v>3795</v>
      </c>
      <c r="E1475" s="81" t="s">
        <v>16</v>
      </c>
      <c r="F1475" s="81" t="s">
        <v>378</v>
      </c>
      <c r="G1475" s="81" t="s">
        <v>5229</v>
      </c>
      <c r="H1475" s="81" t="s">
        <v>4682</v>
      </c>
    </row>
    <row r="1476" spans="1:8" x14ac:dyDescent="0.3">
      <c r="A1476" s="81" t="s">
        <v>5947</v>
      </c>
      <c r="B1476" s="81" t="s">
        <v>508</v>
      </c>
      <c r="C1476" s="81" t="s">
        <v>5297</v>
      </c>
      <c r="D1476" s="81" t="s">
        <v>3795</v>
      </c>
      <c r="E1476" s="81" t="s">
        <v>16</v>
      </c>
      <c r="F1476" s="81" t="s">
        <v>379</v>
      </c>
      <c r="G1476" s="81" t="s">
        <v>5230</v>
      </c>
      <c r="H1476" s="81" t="s">
        <v>4683</v>
      </c>
    </row>
    <row r="1477" spans="1:8" x14ac:dyDescent="0.3">
      <c r="A1477" s="81" t="s">
        <v>5948</v>
      </c>
      <c r="B1477" s="81" t="s">
        <v>508</v>
      </c>
      <c r="C1477" s="81" t="s">
        <v>5297</v>
      </c>
      <c r="D1477" s="81" t="s">
        <v>3795</v>
      </c>
      <c r="E1477" s="81" t="s">
        <v>16</v>
      </c>
      <c r="F1477" s="81" t="s">
        <v>380</v>
      </c>
      <c r="G1477" s="81" t="s">
        <v>5231</v>
      </c>
      <c r="H1477" s="81" t="s">
        <v>4684</v>
      </c>
    </row>
    <row r="1478" spans="1:8" x14ac:dyDescent="0.3">
      <c r="A1478" s="81" t="s">
        <v>5949</v>
      </c>
      <c r="B1478" s="81" t="s">
        <v>508</v>
      </c>
      <c r="C1478" s="81" t="s">
        <v>5297</v>
      </c>
      <c r="D1478" s="81" t="s">
        <v>3795</v>
      </c>
      <c r="E1478" s="81" t="s">
        <v>16</v>
      </c>
      <c r="F1478" s="81" t="s">
        <v>381</v>
      </c>
      <c r="G1478" s="81" t="s">
        <v>5232</v>
      </c>
      <c r="H1478" s="81" t="s">
        <v>5233</v>
      </c>
    </row>
    <row r="1479" spans="1:8" x14ac:dyDescent="0.3">
      <c r="A1479" s="81" t="s">
        <v>5950</v>
      </c>
      <c r="B1479" s="81" t="s">
        <v>508</v>
      </c>
      <c r="C1479" s="81" t="s">
        <v>5297</v>
      </c>
      <c r="D1479" s="81" t="s">
        <v>3795</v>
      </c>
      <c r="E1479" s="81" t="s">
        <v>16</v>
      </c>
      <c r="F1479" s="81" t="s">
        <v>382</v>
      </c>
      <c r="G1479" s="81" t="s">
        <v>5234</v>
      </c>
      <c r="H1479" s="81" t="s">
        <v>5235</v>
      </c>
    </row>
    <row r="1480" spans="1:8" x14ac:dyDescent="0.3">
      <c r="A1480" s="81" t="s">
        <v>5951</v>
      </c>
      <c r="B1480" s="81" t="s">
        <v>508</v>
      </c>
      <c r="C1480" s="81" t="s">
        <v>5297</v>
      </c>
      <c r="D1480" s="81" t="s">
        <v>3795</v>
      </c>
      <c r="E1480" s="81" t="s">
        <v>16</v>
      </c>
      <c r="F1480" s="81" t="s">
        <v>383</v>
      </c>
      <c r="G1480" s="81" t="s">
        <v>5236</v>
      </c>
      <c r="H1480" s="81" t="s">
        <v>5237</v>
      </c>
    </row>
    <row r="1481" spans="1:8" x14ac:dyDescent="0.3">
      <c r="A1481" s="81" t="s">
        <v>5952</v>
      </c>
      <c r="B1481" s="81" t="s">
        <v>574</v>
      </c>
      <c r="C1481" s="81" t="s">
        <v>4244</v>
      </c>
      <c r="D1481" s="81" t="s">
        <v>5300</v>
      </c>
      <c r="E1481" s="81" t="s">
        <v>20</v>
      </c>
      <c r="F1481" s="81" t="s">
        <v>15</v>
      </c>
      <c r="G1481" s="81" t="s">
        <v>5238</v>
      </c>
      <c r="H1481" s="81" t="s">
        <v>4249</v>
      </c>
    </row>
    <row r="1482" spans="1:8" x14ac:dyDescent="0.3">
      <c r="A1482" s="81" t="s">
        <v>5953</v>
      </c>
      <c r="B1482" s="81" t="s">
        <v>574</v>
      </c>
      <c r="C1482" s="81" t="s">
        <v>4244</v>
      </c>
      <c r="D1482" s="81" t="s">
        <v>5300</v>
      </c>
      <c r="E1482" s="81" t="s">
        <v>20</v>
      </c>
      <c r="F1482" s="81" t="s">
        <v>15</v>
      </c>
      <c r="G1482" s="81" t="s">
        <v>5240</v>
      </c>
      <c r="H1482" s="81" t="s">
        <v>4254</v>
      </c>
    </row>
    <row r="1483" spans="1:8" x14ac:dyDescent="0.3">
      <c r="A1483" s="81" t="s">
        <v>5954</v>
      </c>
      <c r="B1483" s="81" t="s">
        <v>574</v>
      </c>
      <c r="C1483" s="81" t="s">
        <v>4244</v>
      </c>
      <c r="D1483" s="81" t="s">
        <v>5300</v>
      </c>
      <c r="E1483" s="81" t="s">
        <v>20</v>
      </c>
      <c r="F1483" s="81" t="s">
        <v>15</v>
      </c>
      <c r="G1483" s="81" t="s">
        <v>5242</v>
      </c>
      <c r="H1483" s="81" t="s">
        <v>4257</v>
      </c>
    </row>
    <row r="1484" spans="1:8" x14ac:dyDescent="0.3">
      <c r="A1484" s="81" t="s">
        <v>5955</v>
      </c>
      <c r="B1484" s="81" t="s">
        <v>574</v>
      </c>
      <c r="C1484" s="81" t="s">
        <v>4244</v>
      </c>
      <c r="D1484" s="81" t="s">
        <v>5300</v>
      </c>
      <c r="E1484" s="81" t="s">
        <v>16</v>
      </c>
      <c r="F1484" s="81" t="s">
        <v>368</v>
      </c>
      <c r="G1484" s="81" t="s">
        <v>5244</v>
      </c>
      <c r="H1484" s="81" t="s">
        <v>5246</v>
      </c>
    </row>
    <row r="1485" spans="1:8" x14ac:dyDescent="0.3">
      <c r="A1485" s="81" t="s">
        <v>5956</v>
      </c>
      <c r="B1485" s="81" t="s">
        <v>574</v>
      </c>
      <c r="C1485" s="81" t="s">
        <v>4244</v>
      </c>
      <c r="D1485" s="81" t="s">
        <v>5300</v>
      </c>
      <c r="E1485" s="81" t="s">
        <v>16</v>
      </c>
      <c r="F1485" s="81" t="s">
        <v>369</v>
      </c>
      <c r="G1485" s="81" t="s">
        <v>5247</v>
      </c>
      <c r="H1485" s="81" t="s">
        <v>5249</v>
      </c>
    </row>
    <row r="1486" spans="1:8" x14ac:dyDescent="0.3">
      <c r="A1486" s="81" t="s">
        <v>5957</v>
      </c>
      <c r="B1486" s="81" t="s">
        <v>574</v>
      </c>
      <c r="C1486" s="81" t="s">
        <v>4244</v>
      </c>
      <c r="D1486" s="81" t="s">
        <v>5300</v>
      </c>
      <c r="E1486" s="81" t="s">
        <v>16</v>
      </c>
      <c r="F1486" s="81" t="s">
        <v>370</v>
      </c>
      <c r="G1486" s="81" t="s">
        <v>5250</v>
      </c>
      <c r="H1486" s="81" t="s">
        <v>5252</v>
      </c>
    </row>
    <row r="1487" spans="1:8" x14ac:dyDescent="0.3">
      <c r="A1487" s="81" t="s">
        <v>5958</v>
      </c>
      <c r="B1487" s="81" t="s">
        <v>574</v>
      </c>
      <c r="C1487" s="81" t="s">
        <v>4244</v>
      </c>
      <c r="D1487" s="81" t="s">
        <v>5300</v>
      </c>
      <c r="E1487" s="81" t="s">
        <v>16</v>
      </c>
      <c r="F1487" s="81" t="s">
        <v>371</v>
      </c>
      <c r="G1487" s="81" t="s">
        <v>5253</v>
      </c>
      <c r="H1487" s="81" t="s">
        <v>5255</v>
      </c>
    </row>
    <row r="1488" spans="1:8" x14ac:dyDescent="0.3">
      <c r="A1488" s="81" t="s">
        <v>5959</v>
      </c>
      <c r="B1488" s="81" t="s">
        <v>574</v>
      </c>
      <c r="C1488" s="81" t="s">
        <v>4244</v>
      </c>
      <c r="D1488" s="81" t="s">
        <v>5300</v>
      </c>
      <c r="E1488" s="81" t="s">
        <v>16</v>
      </c>
      <c r="F1488" s="81" t="s">
        <v>372</v>
      </c>
      <c r="G1488" s="81" t="s">
        <v>5256</v>
      </c>
      <c r="H1488" s="81" t="s">
        <v>5258</v>
      </c>
    </row>
    <row r="1489" spans="1:8" x14ac:dyDescent="0.3">
      <c r="A1489" s="81" t="s">
        <v>5960</v>
      </c>
      <c r="B1489" s="81" t="s">
        <v>574</v>
      </c>
      <c r="C1489" s="81" t="s">
        <v>4244</v>
      </c>
      <c r="D1489" s="81" t="s">
        <v>5300</v>
      </c>
      <c r="E1489" s="81" t="s">
        <v>16</v>
      </c>
      <c r="F1489" s="81" t="s">
        <v>373</v>
      </c>
      <c r="G1489" s="81" t="s">
        <v>5259</v>
      </c>
      <c r="H1489" s="81" t="s">
        <v>5261</v>
      </c>
    </row>
    <row r="1490" spans="1:8" x14ac:dyDescent="0.3">
      <c r="A1490" s="81" t="s">
        <v>5961</v>
      </c>
      <c r="B1490" s="81" t="s">
        <v>574</v>
      </c>
      <c r="C1490" s="81" t="s">
        <v>4244</v>
      </c>
      <c r="D1490" s="81" t="s">
        <v>5300</v>
      </c>
      <c r="E1490" s="81" t="s">
        <v>16</v>
      </c>
      <c r="F1490" s="81" t="s">
        <v>374</v>
      </c>
      <c r="G1490" s="81" t="s">
        <v>5262</v>
      </c>
      <c r="H1490" s="81" t="s">
        <v>5264</v>
      </c>
    </row>
    <row r="1491" spans="1:8" x14ac:dyDescent="0.3">
      <c r="A1491" s="81" t="s">
        <v>5962</v>
      </c>
      <c r="B1491" s="81" t="s">
        <v>574</v>
      </c>
      <c r="C1491" s="81" t="s">
        <v>4244</v>
      </c>
      <c r="D1491" s="81" t="s">
        <v>5300</v>
      </c>
      <c r="E1491" s="81" t="s">
        <v>16</v>
      </c>
      <c r="F1491" s="81" t="s">
        <v>375</v>
      </c>
      <c r="G1491" s="81" t="s">
        <v>5265</v>
      </c>
      <c r="H1491" s="81" t="s">
        <v>5267</v>
      </c>
    </row>
    <row r="1492" spans="1:8" x14ac:dyDescent="0.3">
      <c r="A1492" s="81" t="s">
        <v>5963</v>
      </c>
      <c r="B1492" s="81" t="s">
        <v>574</v>
      </c>
      <c r="C1492" s="81" t="s">
        <v>4244</v>
      </c>
      <c r="D1492" s="81" t="s">
        <v>5300</v>
      </c>
      <c r="E1492" s="81" t="s">
        <v>16</v>
      </c>
      <c r="F1492" s="81" t="s">
        <v>376</v>
      </c>
      <c r="G1492" s="81" t="s">
        <v>5268</v>
      </c>
      <c r="H1492" s="81" t="s">
        <v>5270</v>
      </c>
    </row>
    <row r="1493" spans="1:8" x14ac:dyDescent="0.3">
      <c r="A1493" s="81" t="s">
        <v>5964</v>
      </c>
      <c r="B1493" s="81" t="s">
        <v>574</v>
      </c>
      <c r="C1493" s="81" t="s">
        <v>4244</v>
      </c>
      <c r="D1493" s="81" t="s">
        <v>5300</v>
      </c>
      <c r="E1493" s="81" t="s">
        <v>16</v>
      </c>
      <c r="F1493" s="81" t="s">
        <v>377</v>
      </c>
      <c r="G1493" s="81" t="s">
        <v>5271</v>
      </c>
      <c r="H1493" s="81" t="s">
        <v>5273</v>
      </c>
    </row>
    <row r="1494" spans="1:8" x14ac:dyDescent="0.3">
      <c r="A1494" s="81" t="s">
        <v>5965</v>
      </c>
      <c r="B1494" s="81" t="s">
        <v>574</v>
      </c>
      <c r="C1494" s="81" t="s">
        <v>4244</v>
      </c>
      <c r="D1494" s="81" t="s">
        <v>5300</v>
      </c>
      <c r="E1494" s="81" t="s">
        <v>16</v>
      </c>
      <c r="F1494" s="81" t="s">
        <v>378</v>
      </c>
      <c r="G1494" s="81" t="s">
        <v>5274</v>
      </c>
      <c r="H1494" s="81" t="s">
        <v>5276</v>
      </c>
    </row>
    <row r="1495" spans="1:8" x14ac:dyDescent="0.3">
      <c r="A1495" s="81" t="s">
        <v>5966</v>
      </c>
      <c r="B1495" s="81" t="s">
        <v>574</v>
      </c>
      <c r="C1495" s="81" t="s">
        <v>4244</v>
      </c>
      <c r="D1495" s="81" t="s">
        <v>5300</v>
      </c>
      <c r="E1495" s="81" t="s">
        <v>16</v>
      </c>
      <c r="F1495" s="81" t="s">
        <v>379</v>
      </c>
      <c r="G1495" s="81" t="s">
        <v>5277</v>
      </c>
      <c r="H1495" s="81" t="s">
        <v>5279</v>
      </c>
    </row>
    <row r="1496" spans="1:8" x14ac:dyDescent="0.3">
      <c r="A1496" s="81" t="s">
        <v>5967</v>
      </c>
      <c r="B1496" s="81" t="s">
        <v>574</v>
      </c>
      <c r="C1496" s="81" t="s">
        <v>4244</v>
      </c>
      <c r="D1496" s="81" t="s">
        <v>5300</v>
      </c>
      <c r="E1496" s="81" t="s">
        <v>16</v>
      </c>
      <c r="F1496" s="81" t="s">
        <v>380</v>
      </c>
      <c r="G1496" s="81" t="s">
        <v>5280</v>
      </c>
      <c r="H1496" s="81" t="s">
        <v>5282</v>
      </c>
    </row>
    <row r="1497" spans="1:8" x14ac:dyDescent="0.3">
      <c r="A1497" s="81" t="s">
        <v>5968</v>
      </c>
      <c r="B1497" s="81" t="s">
        <v>574</v>
      </c>
      <c r="C1497" s="81" t="s">
        <v>4244</v>
      </c>
      <c r="D1497" s="81" t="s">
        <v>5300</v>
      </c>
      <c r="E1497" s="81" t="s">
        <v>16</v>
      </c>
      <c r="F1497" s="81" t="s">
        <v>381</v>
      </c>
      <c r="G1497" s="81" t="s">
        <v>5283</v>
      </c>
      <c r="H1497" s="81" t="s">
        <v>5285</v>
      </c>
    </row>
    <row r="1498" spans="1:8" x14ac:dyDescent="0.3">
      <c r="A1498" s="81" t="s">
        <v>5969</v>
      </c>
      <c r="B1498" s="81" t="s">
        <v>574</v>
      </c>
      <c r="C1498" s="81" t="s">
        <v>4244</v>
      </c>
      <c r="D1498" s="81" t="s">
        <v>5300</v>
      </c>
      <c r="E1498" s="81" t="s">
        <v>16</v>
      </c>
      <c r="F1498" s="81" t="s">
        <v>382</v>
      </c>
      <c r="G1498" s="81" t="s">
        <v>5286</v>
      </c>
      <c r="H1498" s="81" t="s">
        <v>5288</v>
      </c>
    </row>
    <row r="1499" spans="1:8" x14ac:dyDescent="0.3">
      <c r="A1499" s="81" t="s">
        <v>5970</v>
      </c>
      <c r="B1499" s="81" t="s">
        <v>574</v>
      </c>
      <c r="C1499" s="81" t="s">
        <v>4244</v>
      </c>
      <c r="D1499" s="81" t="s">
        <v>5300</v>
      </c>
      <c r="E1499" s="81" t="s">
        <v>16</v>
      </c>
      <c r="F1499" s="81" t="s">
        <v>383</v>
      </c>
      <c r="G1499" s="81" t="s">
        <v>5289</v>
      </c>
      <c r="H1499" s="81" t="s">
        <v>5291</v>
      </c>
    </row>
    <row r="1500" spans="1:8" x14ac:dyDescent="0.3">
      <c r="A1500" s="81" t="s">
        <v>5971</v>
      </c>
      <c r="B1500" s="81" t="s">
        <v>5302</v>
      </c>
      <c r="C1500" s="81" t="s">
        <v>5303</v>
      </c>
      <c r="D1500" s="81" t="s">
        <v>5304</v>
      </c>
      <c r="E1500" s="81" t="s">
        <v>20</v>
      </c>
      <c r="F1500" s="81" t="s">
        <v>15</v>
      </c>
      <c r="G1500" s="81" t="s">
        <v>7370</v>
      </c>
      <c r="H1500" s="81" t="s">
        <v>5310</v>
      </c>
    </row>
    <row r="1501" spans="1:8" x14ac:dyDescent="0.3">
      <c r="A1501" s="81" t="s">
        <v>5972</v>
      </c>
      <c r="B1501" s="81" t="s">
        <v>5302</v>
      </c>
      <c r="C1501" s="81" t="s">
        <v>5303</v>
      </c>
      <c r="D1501" s="81" t="s">
        <v>5304</v>
      </c>
      <c r="E1501" s="81" t="s">
        <v>20</v>
      </c>
      <c r="F1501" s="81" t="s">
        <v>15</v>
      </c>
      <c r="G1501" s="81" t="s">
        <v>5311</v>
      </c>
      <c r="H1501" s="81" t="s">
        <v>5313</v>
      </c>
    </row>
    <row r="1502" spans="1:8" x14ac:dyDescent="0.3">
      <c r="A1502" s="81" t="s">
        <v>5973</v>
      </c>
      <c r="B1502" s="81" t="s">
        <v>5302</v>
      </c>
      <c r="C1502" s="81" t="s">
        <v>5303</v>
      </c>
      <c r="D1502" s="81" t="s">
        <v>5304</v>
      </c>
      <c r="E1502" s="81" t="s">
        <v>16</v>
      </c>
      <c r="F1502" s="81" t="s">
        <v>368</v>
      </c>
      <c r="G1502" s="81" t="s">
        <v>7371</v>
      </c>
      <c r="H1502" s="81" t="s">
        <v>5314</v>
      </c>
    </row>
    <row r="1503" spans="1:8" x14ac:dyDescent="0.3">
      <c r="A1503" s="81" t="s">
        <v>5974</v>
      </c>
      <c r="B1503" s="81" t="s">
        <v>5302</v>
      </c>
      <c r="C1503" s="81" t="s">
        <v>5303</v>
      </c>
      <c r="D1503" s="81" t="s">
        <v>5304</v>
      </c>
      <c r="E1503" s="81" t="s">
        <v>16</v>
      </c>
      <c r="F1503" s="81" t="s">
        <v>369</v>
      </c>
      <c r="G1503" s="81" t="s">
        <v>7372</v>
      </c>
      <c r="H1503" s="81" t="s">
        <v>5315</v>
      </c>
    </row>
    <row r="1504" spans="1:8" x14ac:dyDescent="0.3">
      <c r="A1504" s="81" t="s">
        <v>5975</v>
      </c>
      <c r="B1504" s="81" t="s">
        <v>5302</v>
      </c>
      <c r="C1504" s="81" t="s">
        <v>5303</v>
      </c>
      <c r="D1504" s="81" t="s">
        <v>5304</v>
      </c>
      <c r="E1504" s="81" t="s">
        <v>16</v>
      </c>
      <c r="F1504" s="81" t="s">
        <v>370</v>
      </c>
      <c r="G1504" s="81" t="s">
        <v>7373</v>
      </c>
      <c r="H1504" s="81" t="s">
        <v>5316</v>
      </c>
    </row>
    <row r="1505" spans="1:8" x14ac:dyDescent="0.3">
      <c r="A1505" s="81" t="s">
        <v>5976</v>
      </c>
      <c r="B1505" s="81" t="s">
        <v>5302</v>
      </c>
      <c r="C1505" s="81" t="s">
        <v>5303</v>
      </c>
      <c r="D1505" s="81" t="s">
        <v>5304</v>
      </c>
      <c r="E1505" s="81" t="s">
        <v>16</v>
      </c>
      <c r="F1505" s="81" t="s">
        <v>371</v>
      </c>
      <c r="G1505" s="81" t="s">
        <v>7374</v>
      </c>
      <c r="H1505" s="81" t="s">
        <v>5317</v>
      </c>
    </row>
    <row r="1506" spans="1:8" x14ac:dyDescent="0.3">
      <c r="A1506" s="81" t="s">
        <v>5977</v>
      </c>
      <c r="B1506" s="81" t="s">
        <v>5302</v>
      </c>
      <c r="C1506" s="81" t="s">
        <v>5303</v>
      </c>
      <c r="D1506" s="81" t="s">
        <v>5304</v>
      </c>
      <c r="E1506" s="81" t="s">
        <v>16</v>
      </c>
      <c r="F1506" s="81" t="s">
        <v>372</v>
      </c>
      <c r="G1506" s="81" t="s">
        <v>7375</v>
      </c>
      <c r="H1506" s="81" t="s">
        <v>5318</v>
      </c>
    </row>
    <row r="1507" spans="1:8" x14ac:dyDescent="0.3">
      <c r="A1507" s="81" t="s">
        <v>5978</v>
      </c>
      <c r="B1507" s="81" t="s">
        <v>5302</v>
      </c>
      <c r="C1507" s="81" t="s">
        <v>5303</v>
      </c>
      <c r="D1507" s="81" t="s">
        <v>5304</v>
      </c>
      <c r="E1507" s="81" t="s">
        <v>16</v>
      </c>
      <c r="F1507" s="81" t="s">
        <v>373</v>
      </c>
      <c r="G1507" s="81" t="s">
        <v>7376</v>
      </c>
      <c r="H1507" s="81" t="s">
        <v>5319</v>
      </c>
    </row>
    <row r="1508" spans="1:8" x14ac:dyDescent="0.3">
      <c r="A1508" s="81" t="s">
        <v>5979</v>
      </c>
      <c r="B1508" s="81" t="s">
        <v>5302</v>
      </c>
      <c r="C1508" s="81" t="s">
        <v>5303</v>
      </c>
      <c r="D1508" s="81" t="s">
        <v>5304</v>
      </c>
      <c r="E1508" s="81" t="s">
        <v>16</v>
      </c>
      <c r="F1508" s="81" t="s">
        <v>374</v>
      </c>
      <c r="G1508" s="81" t="s">
        <v>7377</v>
      </c>
      <c r="H1508" s="81" t="s">
        <v>5320</v>
      </c>
    </row>
    <row r="1509" spans="1:8" x14ac:dyDescent="0.3">
      <c r="A1509" s="81" t="s">
        <v>5980</v>
      </c>
      <c r="B1509" s="81" t="s">
        <v>5302</v>
      </c>
      <c r="C1509" s="81" t="s">
        <v>5303</v>
      </c>
      <c r="D1509" s="81" t="s">
        <v>5304</v>
      </c>
      <c r="E1509" s="81" t="s">
        <v>16</v>
      </c>
      <c r="F1509" s="81" t="s">
        <v>375</v>
      </c>
      <c r="G1509" s="81" t="s">
        <v>7378</v>
      </c>
      <c r="H1509" s="81" t="s">
        <v>5321</v>
      </c>
    </row>
    <row r="1510" spans="1:8" x14ac:dyDescent="0.3">
      <c r="A1510" s="81" t="s">
        <v>5981</v>
      </c>
      <c r="B1510" s="81" t="s">
        <v>5302</v>
      </c>
      <c r="C1510" s="81" t="s">
        <v>5303</v>
      </c>
      <c r="D1510" s="81" t="s">
        <v>5304</v>
      </c>
      <c r="E1510" s="81" t="s">
        <v>16</v>
      </c>
      <c r="F1510" s="81" t="s">
        <v>376</v>
      </c>
      <c r="G1510" s="81" t="s">
        <v>7379</v>
      </c>
      <c r="H1510" s="81" t="s">
        <v>5322</v>
      </c>
    </row>
    <row r="1511" spans="1:8" x14ac:dyDescent="0.3">
      <c r="A1511" s="81" t="s">
        <v>5982</v>
      </c>
      <c r="B1511" s="81" t="s">
        <v>5302</v>
      </c>
      <c r="C1511" s="81" t="s">
        <v>5303</v>
      </c>
      <c r="D1511" s="81" t="s">
        <v>5304</v>
      </c>
      <c r="E1511" s="81" t="s">
        <v>16</v>
      </c>
      <c r="F1511" s="81" t="s">
        <v>377</v>
      </c>
      <c r="G1511" s="81" t="s">
        <v>7380</v>
      </c>
      <c r="H1511" s="81" t="s">
        <v>5323</v>
      </c>
    </row>
    <row r="1512" spans="1:8" x14ac:dyDescent="0.3">
      <c r="A1512" s="81" t="s">
        <v>5983</v>
      </c>
      <c r="B1512" s="81" t="s">
        <v>5302</v>
      </c>
      <c r="C1512" s="81" t="s">
        <v>5303</v>
      </c>
      <c r="D1512" s="81" t="s">
        <v>5304</v>
      </c>
      <c r="E1512" s="81" t="s">
        <v>16</v>
      </c>
      <c r="F1512" s="81" t="s">
        <v>378</v>
      </c>
      <c r="G1512" s="81" t="s">
        <v>7381</v>
      </c>
      <c r="H1512" s="81" t="s">
        <v>5324</v>
      </c>
    </row>
    <row r="1513" spans="1:8" x14ac:dyDescent="0.3">
      <c r="A1513" s="81" t="s">
        <v>5984</v>
      </c>
      <c r="B1513" s="81" t="s">
        <v>5302</v>
      </c>
      <c r="C1513" s="81" t="s">
        <v>5303</v>
      </c>
      <c r="D1513" s="81" t="s">
        <v>5304</v>
      </c>
      <c r="E1513" s="81" t="s">
        <v>16</v>
      </c>
      <c r="F1513" s="81" t="s">
        <v>379</v>
      </c>
      <c r="G1513" s="81" t="s">
        <v>7382</v>
      </c>
      <c r="H1513" s="81" t="s">
        <v>5325</v>
      </c>
    </row>
    <row r="1514" spans="1:8" x14ac:dyDescent="0.3">
      <c r="A1514" s="81" t="s">
        <v>5985</v>
      </c>
      <c r="B1514" s="81" t="s">
        <v>5302</v>
      </c>
      <c r="C1514" s="81" t="s">
        <v>5303</v>
      </c>
      <c r="D1514" s="81" t="s">
        <v>5304</v>
      </c>
      <c r="E1514" s="81" t="s">
        <v>16</v>
      </c>
      <c r="F1514" s="81" t="s">
        <v>380</v>
      </c>
      <c r="G1514" s="81" t="s">
        <v>7383</v>
      </c>
      <c r="H1514" s="81" t="s">
        <v>5326</v>
      </c>
    </row>
    <row r="1515" spans="1:8" x14ac:dyDescent="0.3">
      <c r="A1515" s="81" t="s">
        <v>5986</v>
      </c>
      <c r="B1515" s="81" t="s">
        <v>5302</v>
      </c>
      <c r="C1515" s="81" t="s">
        <v>5303</v>
      </c>
      <c r="D1515" s="81" t="s">
        <v>5304</v>
      </c>
      <c r="E1515" s="81" t="s">
        <v>16</v>
      </c>
      <c r="F1515" s="81" t="s">
        <v>381</v>
      </c>
      <c r="G1515" s="81" t="s">
        <v>7384</v>
      </c>
      <c r="H1515" s="81" t="s">
        <v>5327</v>
      </c>
    </row>
    <row r="1516" spans="1:8" x14ac:dyDescent="0.3">
      <c r="A1516" s="81" t="s">
        <v>5987</v>
      </c>
      <c r="B1516" s="81" t="s">
        <v>5302</v>
      </c>
      <c r="C1516" s="81" t="s">
        <v>5303</v>
      </c>
      <c r="D1516" s="81" t="s">
        <v>5304</v>
      </c>
      <c r="E1516" s="81" t="s">
        <v>16</v>
      </c>
      <c r="F1516" s="81" t="s">
        <v>382</v>
      </c>
      <c r="G1516" s="81" t="s">
        <v>7385</v>
      </c>
      <c r="H1516" s="81" t="s">
        <v>5328</v>
      </c>
    </row>
    <row r="1517" spans="1:8" x14ac:dyDescent="0.3">
      <c r="A1517" s="81" t="s">
        <v>5988</v>
      </c>
      <c r="B1517" s="81" t="s">
        <v>5302</v>
      </c>
      <c r="C1517" s="81" t="s">
        <v>5303</v>
      </c>
      <c r="D1517" s="81" t="s">
        <v>5304</v>
      </c>
      <c r="E1517" s="81" t="s">
        <v>16</v>
      </c>
      <c r="F1517" s="81" t="s">
        <v>383</v>
      </c>
      <c r="G1517" s="81" t="s">
        <v>7386</v>
      </c>
      <c r="H1517" s="81" t="s">
        <v>5329</v>
      </c>
    </row>
    <row r="1518" spans="1:8" x14ac:dyDescent="0.3">
      <c r="A1518" s="81" t="s">
        <v>5989</v>
      </c>
      <c r="B1518" s="81" t="s">
        <v>5302</v>
      </c>
      <c r="C1518" s="81" t="s">
        <v>5330</v>
      </c>
      <c r="D1518" s="81" t="s">
        <v>5331</v>
      </c>
      <c r="E1518" s="81" t="s">
        <v>20</v>
      </c>
      <c r="F1518" s="81" t="s">
        <v>15</v>
      </c>
      <c r="G1518" s="81" t="s">
        <v>7387</v>
      </c>
      <c r="H1518" s="81" t="s">
        <v>5334</v>
      </c>
    </row>
    <row r="1519" spans="1:8" x14ac:dyDescent="0.3">
      <c r="A1519" s="81" t="s">
        <v>5990</v>
      </c>
      <c r="B1519" s="81" t="s">
        <v>5302</v>
      </c>
      <c r="C1519" s="81" t="s">
        <v>5330</v>
      </c>
      <c r="D1519" s="81" t="s">
        <v>5331</v>
      </c>
      <c r="E1519" s="81" t="s">
        <v>16</v>
      </c>
      <c r="F1519" s="81" t="s">
        <v>368</v>
      </c>
      <c r="G1519" s="81" t="s">
        <v>7388</v>
      </c>
      <c r="H1519" s="81" t="s">
        <v>5337</v>
      </c>
    </row>
    <row r="1520" spans="1:8" x14ac:dyDescent="0.3">
      <c r="A1520" s="81" t="s">
        <v>5991</v>
      </c>
      <c r="B1520" s="81" t="s">
        <v>5302</v>
      </c>
      <c r="C1520" s="81" t="s">
        <v>5330</v>
      </c>
      <c r="D1520" s="81" t="s">
        <v>5331</v>
      </c>
      <c r="E1520" s="81" t="s">
        <v>16</v>
      </c>
      <c r="F1520" s="81" t="s">
        <v>369</v>
      </c>
      <c r="G1520" s="81" t="s">
        <v>7389</v>
      </c>
      <c r="H1520" s="81" t="s">
        <v>5339</v>
      </c>
    </row>
    <row r="1521" spans="1:8" x14ac:dyDescent="0.3">
      <c r="A1521" s="81" t="s">
        <v>5992</v>
      </c>
      <c r="B1521" s="81" t="s">
        <v>5302</v>
      </c>
      <c r="C1521" s="81" t="s">
        <v>5330</v>
      </c>
      <c r="D1521" s="81" t="s">
        <v>5331</v>
      </c>
      <c r="E1521" s="81" t="s">
        <v>16</v>
      </c>
      <c r="F1521" s="81" t="s">
        <v>370</v>
      </c>
      <c r="G1521" s="81" t="s">
        <v>7390</v>
      </c>
      <c r="H1521" s="81" t="s">
        <v>5341</v>
      </c>
    </row>
    <row r="1522" spans="1:8" x14ac:dyDescent="0.3">
      <c r="A1522" s="81" t="s">
        <v>5993</v>
      </c>
      <c r="B1522" s="81" t="s">
        <v>5302</v>
      </c>
      <c r="C1522" s="81" t="s">
        <v>5330</v>
      </c>
      <c r="D1522" s="81" t="s">
        <v>5331</v>
      </c>
      <c r="E1522" s="81" t="s">
        <v>16</v>
      </c>
      <c r="F1522" s="81" t="s">
        <v>371</v>
      </c>
      <c r="G1522" s="81" t="s">
        <v>7391</v>
      </c>
      <c r="H1522" s="81" t="s">
        <v>5343</v>
      </c>
    </row>
    <row r="1523" spans="1:8" x14ac:dyDescent="0.3">
      <c r="A1523" s="81" t="s">
        <v>5994</v>
      </c>
      <c r="B1523" s="81" t="s">
        <v>5302</v>
      </c>
      <c r="C1523" s="81" t="s">
        <v>5330</v>
      </c>
      <c r="D1523" s="81" t="s">
        <v>5331</v>
      </c>
      <c r="E1523" s="81" t="s">
        <v>16</v>
      </c>
      <c r="F1523" s="81" t="s">
        <v>372</v>
      </c>
      <c r="G1523" s="81" t="s">
        <v>7392</v>
      </c>
      <c r="H1523" s="81" t="s">
        <v>5345</v>
      </c>
    </row>
    <row r="1524" spans="1:8" x14ac:dyDescent="0.3">
      <c r="A1524" s="81" t="s">
        <v>5995</v>
      </c>
      <c r="B1524" s="81" t="s">
        <v>5302</v>
      </c>
      <c r="C1524" s="81" t="s">
        <v>5330</v>
      </c>
      <c r="D1524" s="81" t="s">
        <v>5331</v>
      </c>
      <c r="E1524" s="81" t="s">
        <v>16</v>
      </c>
      <c r="F1524" s="81" t="s">
        <v>373</v>
      </c>
      <c r="G1524" s="81" t="s">
        <v>7393</v>
      </c>
      <c r="H1524" s="81" t="s">
        <v>5347</v>
      </c>
    </row>
    <row r="1525" spans="1:8" x14ac:dyDescent="0.3">
      <c r="A1525" s="81" t="s">
        <v>5996</v>
      </c>
      <c r="B1525" s="81" t="s">
        <v>5302</v>
      </c>
      <c r="C1525" s="81" t="s">
        <v>5330</v>
      </c>
      <c r="D1525" s="81" t="s">
        <v>5331</v>
      </c>
      <c r="E1525" s="81" t="s">
        <v>16</v>
      </c>
      <c r="F1525" s="81" t="s">
        <v>374</v>
      </c>
      <c r="G1525" s="81" t="s">
        <v>7394</v>
      </c>
      <c r="H1525" s="81" t="s">
        <v>5349</v>
      </c>
    </row>
    <row r="1526" spans="1:8" x14ac:dyDescent="0.3">
      <c r="A1526" s="81" t="s">
        <v>5997</v>
      </c>
      <c r="B1526" s="81" t="s">
        <v>5302</v>
      </c>
      <c r="C1526" s="81" t="s">
        <v>5330</v>
      </c>
      <c r="D1526" s="81" t="s">
        <v>5331</v>
      </c>
      <c r="E1526" s="81" t="s">
        <v>16</v>
      </c>
      <c r="F1526" s="81" t="s">
        <v>375</v>
      </c>
      <c r="G1526" s="81" t="s">
        <v>7395</v>
      </c>
      <c r="H1526" s="81" t="s">
        <v>5351</v>
      </c>
    </row>
    <row r="1527" spans="1:8" x14ac:dyDescent="0.3">
      <c r="A1527" s="81" t="s">
        <v>5998</v>
      </c>
      <c r="B1527" s="81" t="s">
        <v>5302</v>
      </c>
      <c r="C1527" s="81" t="s">
        <v>5330</v>
      </c>
      <c r="D1527" s="81" t="s">
        <v>5331</v>
      </c>
      <c r="E1527" s="81" t="s">
        <v>16</v>
      </c>
      <c r="F1527" s="81" t="s">
        <v>376</v>
      </c>
      <c r="G1527" s="81" t="s">
        <v>7396</v>
      </c>
      <c r="H1527" s="81" t="s">
        <v>5353</v>
      </c>
    </row>
    <row r="1528" spans="1:8" x14ac:dyDescent="0.3">
      <c r="A1528" s="81" t="s">
        <v>5999</v>
      </c>
      <c r="B1528" s="81" t="s">
        <v>5302</v>
      </c>
      <c r="C1528" s="81" t="s">
        <v>5330</v>
      </c>
      <c r="D1528" s="81" t="s">
        <v>5331</v>
      </c>
      <c r="E1528" s="81" t="s">
        <v>16</v>
      </c>
      <c r="F1528" s="81" t="s">
        <v>377</v>
      </c>
      <c r="G1528" s="81" t="s">
        <v>7397</v>
      </c>
      <c r="H1528" s="81" t="s">
        <v>5355</v>
      </c>
    </row>
    <row r="1529" spans="1:8" x14ac:dyDescent="0.3">
      <c r="A1529" s="81" t="s">
        <v>6000</v>
      </c>
      <c r="B1529" s="81" t="s">
        <v>5302</v>
      </c>
      <c r="C1529" s="81" t="s">
        <v>5330</v>
      </c>
      <c r="D1529" s="81" t="s">
        <v>5331</v>
      </c>
      <c r="E1529" s="81" t="s">
        <v>16</v>
      </c>
      <c r="F1529" s="81" t="s">
        <v>378</v>
      </c>
      <c r="G1529" s="81" t="s">
        <v>7398</v>
      </c>
      <c r="H1529" s="81" t="s">
        <v>5357</v>
      </c>
    </row>
    <row r="1530" spans="1:8" x14ac:dyDescent="0.3">
      <c r="A1530" s="81" t="s">
        <v>6001</v>
      </c>
      <c r="B1530" s="81" t="s">
        <v>5302</v>
      </c>
      <c r="C1530" s="81" t="s">
        <v>5330</v>
      </c>
      <c r="D1530" s="81" t="s">
        <v>5331</v>
      </c>
      <c r="E1530" s="81" t="s">
        <v>16</v>
      </c>
      <c r="F1530" s="81" t="s">
        <v>379</v>
      </c>
      <c r="G1530" s="81" t="s">
        <v>7399</v>
      </c>
      <c r="H1530" s="81" t="s">
        <v>5359</v>
      </c>
    </row>
    <row r="1531" spans="1:8" x14ac:dyDescent="0.3">
      <c r="A1531" s="81" t="s">
        <v>6002</v>
      </c>
      <c r="B1531" s="81" t="s">
        <v>5302</v>
      </c>
      <c r="C1531" s="81" t="s">
        <v>5330</v>
      </c>
      <c r="D1531" s="81" t="s">
        <v>5331</v>
      </c>
      <c r="E1531" s="81" t="s">
        <v>16</v>
      </c>
      <c r="F1531" s="81" t="s">
        <v>380</v>
      </c>
      <c r="G1531" s="81" t="s">
        <v>7400</v>
      </c>
      <c r="H1531" s="81" t="s">
        <v>5361</v>
      </c>
    </row>
    <row r="1532" spans="1:8" x14ac:dyDescent="0.3">
      <c r="A1532" s="81" t="s">
        <v>6003</v>
      </c>
      <c r="B1532" s="81" t="s">
        <v>5302</v>
      </c>
      <c r="C1532" s="81" t="s">
        <v>5330</v>
      </c>
      <c r="D1532" s="81" t="s">
        <v>5331</v>
      </c>
      <c r="E1532" s="81" t="s">
        <v>16</v>
      </c>
      <c r="F1532" s="81" t="s">
        <v>381</v>
      </c>
      <c r="G1532" s="81" t="s">
        <v>7401</v>
      </c>
      <c r="H1532" s="81" t="s">
        <v>5363</v>
      </c>
    </row>
    <row r="1533" spans="1:8" x14ac:dyDescent="0.3">
      <c r="A1533" s="81" t="s">
        <v>6004</v>
      </c>
      <c r="B1533" s="81" t="s">
        <v>5302</v>
      </c>
      <c r="C1533" s="81" t="s">
        <v>5330</v>
      </c>
      <c r="D1533" s="81" t="s">
        <v>5331</v>
      </c>
      <c r="E1533" s="81" t="s">
        <v>16</v>
      </c>
      <c r="F1533" s="81" t="s">
        <v>382</v>
      </c>
      <c r="G1533" s="81" t="s">
        <v>7402</v>
      </c>
      <c r="H1533" s="81" t="s">
        <v>5365</v>
      </c>
    </row>
    <row r="1534" spans="1:8" x14ac:dyDescent="0.3">
      <c r="A1534" s="81" t="s">
        <v>6005</v>
      </c>
      <c r="B1534" s="81" t="s">
        <v>5302</v>
      </c>
      <c r="C1534" s="81" t="s">
        <v>5330</v>
      </c>
      <c r="D1534" s="81" t="s">
        <v>5331</v>
      </c>
      <c r="E1534" s="81" t="s">
        <v>16</v>
      </c>
      <c r="F1534" s="81" t="s">
        <v>383</v>
      </c>
      <c r="G1534" s="81" t="s">
        <v>7403</v>
      </c>
      <c r="H1534" s="81" t="s">
        <v>5367</v>
      </c>
    </row>
    <row r="1535" spans="1:8" x14ac:dyDescent="0.3">
      <c r="A1535" s="81" t="s">
        <v>6006</v>
      </c>
      <c r="B1535" s="81" t="s">
        <v>5302</v>
      </c>
      <c r="C1535" s="81" t="s">
        <v>5330</v>
      </c>
      <c r="D1535" s="81" t="s">
        <v>5331</v>
      </c>
      <c r="E1535" s="81" t="s">
        <v>20</v>
      </c>
      <c r="F1535" s="81" t="s">
        <v>15</v>
      </c>
      <c r="G1535" s="81" t="s">
        <v>5368</v>
      </c>
      <c r="H1535" s="81" t="s">
        <v>5371</v>
      </c>
    </row>
    <row r="1536" spans="1:8" x14ac:dyDescent="0.3">
      <c r="A1536" s="81" t="s">
        <v>6007</v>
      </c>
      <c r="B1536" s="81" t="s">
        <v>5302</v>
      </c>
      <c r="C1536" s="81" t="s">
        <v>5330</v>
      </c>
      <c r="D1536" s="81" t="s">
        <v>5331</v>
      </c>
      <c r="E1536" s="81" t="s">
        <v>16</v>
      </c>
      <c r="F1536" s="81" t="s">
        <v>368</v>
      </c>
      <c r="G1536" s="81" t="s">
        <v>5372</v>
      </c>
      <c r="H1536" s="81" t="s">
        <v>5374</v>
      </c>
    </row>
    <row r="1537" spans="1:8" x14ac:dyDescent="0.3">
      <c r="A1537" s="81" t="s">
        <v>6008</v>
      </c>
      <c r="B1537" s="81" t="s">
        <v>5302</v>
      </c>
      <c r="C1537" s="81" t="s">
        <v>5330</v>
      </c>
      <c r="D1537" s="81" t="s">
        <v>5331</v>
      </c>
      <c r="E1537" s="81" t="s">
        <v>16</v>
      </c>
      <c r="F1537" s="81" t="s">
        <v>369</v>
      </c>
      <c r="G1537" s="81" t="s">
        <v>5375</v>
      </c>
      <c r="H1537" s="81" t="s">
        <v>5377</v>
      </c>
    </row>
    <row r="1538" spans="1:8" x14ac:dyDescent="0.3">
      <c r="A1538" s="81" t="s">
        <v>6009</v>
      </c>
      <c r="B1538" s="81" t="s">
        <v>5302</v>
      </c>
      <c r="C1538" s="81" t="s">
        <v>5330</v>
      </c>
      <c r="D1538" s="81" t="s">
        <v>5331</v>
      </c>
      <c r="E1538" s="81" t="s">
        <v>16</v>
      </c>
      <c r="F1538" s="81" t="s">
        <v>370</v>
      </c>
      <c r="G1538" s="81" t="s">
        <v>5378</v>
      </c>
      <c r="H1538" s="81" t="s">
        <v>5380</v>
      </c>
    </row>
    <row r="1539" spans="1:8" x14ac:dyDescent="0.3">
      <c r="A1539" s="81" t="s">
        <v>6010</v>
      </c>
      <c r="B1539" s="81" t="s">
        <v>5302</v>
      </c>
      <c r="C1539" s="81" t="s">
        <v>5330</v>
      </c>
      <c r="D1539" s="81" t="s">
        <v>5331</v>
      </c>
      <c r="E1539" s="81" t="s">
        <v>16</v>
      </c>
      <c r="F1539" s="81" t="s">
        <v>371</v>
      </c>
      <c r="G1539" s="81" t="s">
        <v>5381</v>
      </c>
      <c r="H1539" s="81" t="s">
        <v>5383</v>
      </c>
    </row>
    <row r="1540" spans="1:8" x14ac:dyDescent="0.3">
      <c r="A1540" s="81" t="s">
        <v>6011</v>
      </c>
      <c r="B1540" s="81" t="s">
        <v>5302</v>
      </c>
      <c r="C1540" s="81" t="s">
        <v>5330</v>
      </c>
      <c r="D1540" s="81" t="s">
        <v>5331</v>
      </c>
      <c r="E1540" s="81" t="s">
        <v>16</v>
      </c>
      <c r="F1540" s="81" t="s">
        <v>372</v>
      </c>
      <c r="G1540" s="81" t="s">
        <v>5384</v>
      </c>
      <c r="H1540" s="81" t="s">
        <v>5386</v>
      </c>
    </row>
    <row r="1541" spans="1:8" x14ac:dyDescent="0.3">
      <c r="A1541" s="81" t="s">
        <v>6012</v>
      </c>
      <c r="B1541" s="81" t="s">
        <v>5302</v>
      </c>
      <c r="C1541" s="81" t="s">
        <v>5330</v>
      </c>
      <c r="D1541" s="81" t="s">
        <v>5331</v>
      </c>
      <c r="E1541" s="81" t="s">
        <v>16</v>
      </c>
      <c r="F1541" s="81" t="s">
        <v>373</v>
      </c>
      <c r="G1541" s="81" t="s">
        <v>5387</v>
      </c>
      <c r="H1541" s="81" t="s">
        <v>5389</v>
      </c>
    </row>
    <row r="1542" spans="1:8" x14ac:dyDescent="0.3">
      <c r="A1542" s="81" t="s">
        <v>6013</v>
      </c>
      <c r="B1542" s="81" t="s">
        <v>5302</v>
      </c>
      <c r="C1542" s="81" t="s">
        <v>5330</v>
      </c>
      <c r="D1542" s="81" t="s">
        <v>5331</v>
      </c>
      <c r="E1542" s="81" t="s">
        <v>16</v>
      </c>
      <c r="F1542" s="81" t="s">
        <v>374</v>
      </c>
      <c r="G1542" s="81" t="s">
        <v>5390</v>
      </c>
      <c r="H1542" s="81" t="s">
        <v>5392</v>
      </c>
    </row>
    <row r="1543" spans="1:8" x14ac:dyDescent="0.3">
      <c r="A1543" s="81" t="s">
        <v>6014</v>
      </c>
      <c r="B1543" s="81" t="s">
        <v>5302</v>
      </c>
      <c r="C1543" s="81" t="s">
        <v>5330</v>
      </c>
      <c r="D1543" s="81" t="s">
        <v>5331</v>
      </c>
      <c r="E1543" s="81" t="s">
        <v>16</v>
      </c>
      <c r="F1543" s="81" t="s">
        <v>375</v>
      </c>
      <c r="G1543" s="81" t="s">
        <v>5393</v>
      </c>
      <c r="H1543" s="81" t="s">
        <v>5395</v>
      </c>
    </row>
    <row r="1544" spans="1:8" x14ac:dyDescent="0.3">
      <c r="A1544" s="81" t="s">
        <v>6015</v>
      </c>
      <c r="B1544" s="81" t="s">
        <v>5302</v>
      </c>
      <c r="C1544" s="81" t="s">
        <v>5330</v>
      </c>
      <c r="D1544" s="81" t="s">
        <v>5331</v>
      </c>
      <c r="E1544" s="81" t="s">
        <v>16</v>
      </c>
      <c r="F1544" s="81" t="s">
        <v>376</v>
      </c>
      <c r="G1544" s="81" t="s">
        <v>5396</v>
      </c>
      <c r="H1544" s="81" t="s">
        <v>5398</v>
      </c>
    </row>
    <row r="1545" spans="1:8" x14ac:dyDescent="0.3">
      <c r="A1545" s="81" t="s">
        <v>6016</v>
      </c>
      <c r="B1545" s="81" t="s">
        <v>5302</v>
      </c>
      <c r="C1545" s="81" t="s">
        <v>5330</v>
      </c>
      <c r="D1545" s="81" t="s">
        <v>5331</v>
      </c>
      <c r="E1545" s="81" t="s">
        <v>16</v>
      </c>
      <c r="F1545" s="81" t="s">
        <v>377</v>
      </c>
      <c r="G1545" s="81" t="s">
        <v>5399</v>
      </c>
      <c r="H1545" s="81" t="s">
        <v>5401</v>
      </c>
    </row>
    <row r="1546" spans="1:8" x14ac:dyDescent="0.3">
      <c r="A1546" s="81" t="s">
        <v>6017</v>
      </c>
      <c r="B1546" s="81" t="s">
        <v>5302</v>
      </c>
      <c r="C1546" s="81" t="s">
        <v>5330</v>
      </c>
      <c r="D1546" s="81" t="s">
        <v>5331</v>
      </c>
      <c r="E1546" s="81" t="s">
        <v>16</v>
      </c>
      <c r="F1546" s="81" t="s">
        <v>378</v>
      </c>
      <c r="G1546" s="81" t="s">
        <v>5402</v>
      </c>
      <c r="H1546" s="81" t="s">
        <v>5404</v>
      </c>
    </row>
    <row r="1547" spans="1:8" x14ac:dyDescent="0.3">
      <c r="A1547" s="81" t="s">
        <v>6018</v>
      </c>
      <c r="B1547" s="81" t="s">
        <v>5302</v>
      </c>
      <c r="C1547" s="81" t="s">
        <v>5330</v>
      </c>
      <c r="D1547" s="81" t="s">
        <v>5331</v>
      </c>
      <c r="E1547" s="81" t="s">
        <v>16</v>
      </c>
      <c r="F1547" s="81" t="s">
        <v>379</v>
      </c>
      <c r="G1547" s="81" t="s">
        <v>5405</v>
      </c>
      <c r="H1547" s="81" t="s">
        <v>5407</v>
      </c>
    </row>
    <row r="1548" spans="1:8" x14ac:dyDescent="0.3">
      <c r="A1548" s="81" t="s">
        <v>6019</v>
      </c>
      <c r="B1548" s="81" t="s">
        <v>5302</v>
      </c>
      <c r="C1548" s="81" t="s">
        <v>5330</v>
      </c>
      <c r="D1548" s="81" t="s">
        <v>5331</v>
      </c>
      <c r="E1548" s="81" t="s">
        <v>16</v>
      </c>
      <c r="F1548" s="81" t="s">
        <v>380</v>
      </c>
      <c r="G1548" s="81" t="s">
        <v>5408</v>
      </c>
      <c r="H1548" s="81" t="s">
        <v>5410</v>
      </c>
    </row>
    <row r="1549" spans="1:8" x14ac:dyDescent="0.3">
      <c r="A1549" s="81" t="s">
        <v>6020</v>
      </c>
      <c r="B1549" s="81" t="s">
        <v>5302</v>
      </c>
      <c r="C1549" s="81" t="s">
        <v>5330</v>
      </c>
      <c r="D1549" s="81" t="s">
        <v>5331</v>
      </c>
      <c r="E1549" s="81" t="s">
        <v>16</v>
      </c>
      <c r="F1549" s="81" t="s">
        <v>381</v>
      </c>
      <c r="G1549" s="81" t="s">
        <v>5411</v>
      </c>
      <c r="H1549" s="81" t="s">
        <v>5413</v>
      </c>
    </row>
    <row r="1550" spans="1:8" x14ac:dyDescent="0.3">
      <c r="A1550" s="81" t="s">
        <v>6021</v>
      </c>
      <c r="B1550" s="81" t="s">
        <v>5302</v>
      </c>
      <c r="C1550" s="81" t="s">
        <v>5330</v>
      </c>
      <c r="D1550" s="81" t="s">
        <v>5331</v>
      </c>
      <c r="E1550" s="81" t="s">
        <v>16</v>
      </c>
      <c r="F1550" s="81" t="s">
        <v>382</v>
      </c>
      <c r="G1550" s="81" t="s">
        <v>5414</v>
      </c>
      <c r="H1550" s="81" t="s">
        <v>5416</v>
      </c>
    </row>
    <row r="1551" spans="1:8" x14ac:dyDescent="0.3">
      <c r="A1551" s="81" t="s">
        <v>6022</v>
      </c>
      <c r="B1551" s="81" t="s">
        <v>5302</v>
      </c>
      <c r="C1551" s="81" t="s">
        <v>5330</v>
      </c>
      <c r="D1551" s="81" t="s">
        <v>5331</v>
      </c>
      <c r="E1551" s="81" t="s">
        <v>16</v>
      </c>
      <c r="F1551" s="81" t="s">
        <v>383</v>
      </c>
      <c r="G1551" s="81" t="s">
        <v>5417</v>
      </c>
      <c r="H1551" s="81" t="s">
        <v>5419</v>
      </c>
    </row>
    <row r="1552" spans="1:8" x14ac:dyDescent="0.3">
      <c r="A1552" s="81" t="s">
        <v>6023</v>
      </c>
      <c r="B1552" s="81" t="s">
        <v>822</v>
      </c>
      <c r="C1552" s="81" t="s">
        <v>5420</v>
      </c>
      <c r="D1552" s="81" t="s">
        <v>3793</v>
      </c>
      <c r="E1552" s="81" t="s">
        <v>20</v>
      </c>
      <c r="F1552" s="81" t="s">
        <v>15</v>
      </c>
      <c r="G1552" s="81" t="s">
        <v>5424</v>
      </c>
      <c r="H1552" s="81" t="s">
        <v>5426</v>
      </c>
    </row>
    <row r="1553" spans="1:8" x14ac:dyDescent="0.3">
      <c r="A1553" s="81" t="s">
        <v>6024</v>
      </c>
      <c r="B1553" s="81" t="s">
        <v>822</v>
      </c>
      <c r="C1553" s="81" t="s">
        <v>5420</v>
      </c>
      <c r="D1553" s="81" t="s">
        <v>3793</v>
      </c>
      <c r="E1553" s="81" t="s">
        <v>16</v>
      </c>
      <c r="F1553" s="81" t="s">
        <v>368</v>
      </c>
      <c r="G1553" s="81" t="s">
        <v>5428</v>
      </c>
      <c r="H1553" s="81" t="s">
        <v>5430</v>
      </c>
    </row>
    <row r="1554" spans="1:8" x14ac:dyDescent="0.3">
      <c r="A1554" s="81" t="s">
        <v>6025</v>
      </c>
      <c r="B1554" s="81" t="s">
        <v>822</v>
      </c>
      <c r="C1554" s="81" t="s">
        <v>5420</v>
      </c>
      <c r="D1554" s="81" t="s">
        <v>3793</v>
      </c>
      <c r="E1554" s="81" t="s">
        <v>16</v>
      </c>
      <c r="F1554" s="81" t="s">
        <v>369</v>
      </c>
      <c r="G1554" s="81" t="s">
        <v>5431</v>
      </c>
      <c r="H1554" s="81" t="s">
        <v>5433</v>
      </c>
    </row>
    <row r="1555" spans="1:8" x14ac:dyDescent="0.3">
      <c r="A1555" s="81" t="s">
        <v>6026</v>
      </c>
      <c r="B1555" s="81" t="s">
        <v>822</v>
      </c>
      <c r="C1555" s="81" t="s">
        <v>5420</v>
      </c>
      <c r="D1555" s="81" t="s">
        <v>3793</v>
      </c>
      <c r="E1555" s="81" t="s">
        <v>16</v>
      </c>
      <c r="F1555" s="81" t="s">
        <v>370</v>
      </c>
      <c r="G1555" s="81" t="s">
        <v>5434</v>
      </c>
      <c r="H1555" s="81" t="s">
        <v>5436</v>
      </c>
    </row>
    <row r="1556" spans="1:8" x14ac:dyDescent="0.3">
      <c r="A1556" s="81" t="s">
        <v>6027</v>
      </c>
      <c r="B1556" s="81" t="s">
        <v>822</v>
      </c>
      <c r="C1556" s="81" t="s">
        <v>5420</v>
      </c>
      <c r="D1556" s="81" t="s">
        <v>3793</v>
      </c>
      <c r="E1556" s="81" t="s">
        <v>16</v>
      </c>
      <c r="F1556" s="81" t="s">
        <v>371</v>
      </c>
      <c r="G1556" s="81" t="s">
        <v>5437</v>
      </c>
      <c r="H1556" s="81" t="s">
        <v>5439</v>
      </c>
    </row>
    <row r="1557" spans="1:8" x14ac:dyDescent="0.3">
      <c r="A1557" s="81" t="s">
        <v>6028</v>
      </c>
      <c r="B1557" s="81" t="s">
        <v>822</v>
      </c>
      <c r="C1557" s="81" t="s">
        <v>5420</v>
      </c>
      <c r="D1557" s="81" t="s">
        <v>3793</v>
      </c>
      <c r="E1557" s="81" t="s">
        <v>16</v>
      </c>
      <c r="F1557" s="81" t="s">
        <v>372</v>
      </c>
      <c r="G1557" s="81" t="s">
        <v>5440</v>
      </c>
      <c r="H1557" s="81" t="s">
        <v>5442</v>
      </c>
    </row>
    <row r="1558" spans="1:8" x14ac:dyDescent="0.3">
      <c r="A1558" s="81" t="s">
        <v>6029</v>
      </c>
      <c r="B1558" s="81" t="s">
        <v>822</v>
      </c>
      <c r="C1558" s="81" t="s">
        <v>5420</v>
      </c>
      <c r="D1558" s="81" t="s">
        <v>3793</v>
      </c>
      <c r="E1558" s="81" t="s">
        <v>16</v>
      </c>
      <c r="F1558" s="81" t="s">
        <v>373</v>
      </c>
      <c r="G1558" s="81" t="s">
        <v>5443</v>
      </c>
      <c r="H1558" s="81" t="s">
        <v>5445</v>
      </c>
    </row>
    <row r="1559" spans="1:8" x14ac:dyDescent="0.3">
      <c r="A1559" s="81" t="s">
        <v>6030</v>
      </c>
      <c r="B1559" s="81" t="s">
        <v>822</v>
      </c>
      <c r="C1559" s="81" t="s">
        <v>5420</v>
      </c>
      <c r="D1559" s="81" t="s">
        <v>3793</v>
      </c>
      <c r="E1559" s="81" t="s">
        <v>16</v>
      </c>
      <c r="F1559" s="81" t="s">
        <v>374</v>
      </c>
      <c r="G1559" s="81" t="s">
        <v>5446</v>
      </c>
      <c r="H1559" s="81" t="s">
        <v>5448</v>
      </c>
    </row>
    <row r="1560" spans="1:8" x14ac:dyDescent="0.3">
      <c r="A1560" s="81" t="s">
        <v>6031</v>
      </c>
      <c r="B1560" s="81" t="s">
        <v>822</v>
      </c>
      <c r="C1560" s="81" t="s">
        <v>5420</v>
      </c>
      <c r="D1560" s="81" t="s">
        <v>3793</v>
      </c>
      <c r="E1560" s="81" t="s">
        <v>16</v>
      </c>
      <c r="F1560" s="81" t="s">
        <v>375</v>
      </c>
      <c r="G1560" s="81" t="s">
        <v>5449</v>
      </c>
      <c r="H1560" s="81" t="s">
        <v>5451</v>
      </c>
    </row>
    <row r="1561" spans="1:8" x14ac:dyDescent="0.3">
      <c r="A1561" s="81" t="s">
        <v>6032</v>
      </c>
      <c r="B1561" s="81" t="s">
        <v>822</v>
      </c>
      <c r="C1561" s="81" t="s">
        <v>5420</v>
      </c>
      <c r="D1561" s="81" t="s">
        <v>3793</v>
      </c>
      <c r="E1561" s="81" t="s">
        <v>16</v>
      </c>
      <c r="F1561" s="81" t="s">
        <v>376</v>
      </c>
      <c r="G1561" s="81" t="s">
        <v>5452</v>
      </c>
      <c r="H1561" s="81" t="s">
        <v>5454</v>
      </c>
    </row>
    <row r="1562" spans="1:8" x14ac:dyDescent="0.3">
      <c r="A1562" s="81" t="s">
        <v>6033</v>
      </c>
      <c r="B1562" s="81" t="s">
        <v>822</v>
      </c>
      <c r="C1562" s="81" t="s">
        <v>5420</v>
      </c>
      <c r="D1562" s="81" t="s">
        <v>3793</v>
      </c>
      <c r="E1562" s="81" t="s">
        <v>16</v>
      </c>
      <c r="F1562" s="81" t="s">
        <v>377</v>
      </c>
      <c r="G1562" s="81" t="s">
        <v>5455</v>
      </c>
      <c r="H1562" s="81" t="s">
        <v>5457</v>
      </c>
    </row>
    <row r="1563" spans="1:8" x14ac:dyDescent="0.3">
      <c r="A1563" s="81" t="s">
        <v>6034</v>
      </c>
      <c r="B1563" s="81" t="s">
        <v>822</v>
      </c>
      <c r="C1563" s="81" t="s">
        <v>5420</v>
      </c>
      <c r="D1563" s="81" t="s">
        <v>3793</v>
      </c>
      <c r="E1563" s="81" t="s">
        <v>16</v>
      </c>
      <c r="F1563" s="81" t="s">
        <v>378</v>
      </c>
      <c r="G1563" s="81" t="s">
        <v>5458</v>
      </c>
      <c r="H1563" s="81" t="s">
        <v>5460</v>
      </c>
    </row>
    <row r="1564" spans="1:8" x14ac:dyDescent="0.3">
      <c r="A1564" s="81" t="s">
        <v>6035</v>
      </c>
      <c r="B1564" s="81" t="s">
        <v>822</v>
      </c>
      <c r="C1564" s="81" t="s">
        <v>5420</v>
      </c>
      <c r="D1564" s="81" t="s">
        <v>3793</v>
      </c>
      <c r="E1564" s="81" t="s">
        <v>16</v>
      </c>
      <c r="F1564" s="81" t="s">
        <v>379</v>
      </c>
      <c r="G1564" s="81" t="s">
        <v>5461</v>
      </c>
      <c r="H1564" s="81" t="s">
        <v>5463</v>
      </c>
    </row>
    <row r="1565" spans="1:8" x14ac:dyDescent="0.3">
      <c r="A1565" s="81" t="s">
        <v>6036</v>
      </c>
      <c r="B1565" s="81" t="s">
        <v>822</v>
      </c>
      <c r="C1565" s="81" t="s">
        <v>5420</v>
      </c>
      <c r="D1565" s="81" t="s">
        <v>3793</v>
      </c>
      <c r="E1565" s="81" t="s">
        <v>16</v>
      </c>
      <c r="F1565" s="81" t="s">
        <v>380</v>
      </c>
      <c r="G1565" s="81" t="s">
        <v>5464</v>
      </c>
      <c r="H1565" s="81" t="s">
        <v>5466</v>
      </c>
    </row>
    <row r="1566" spans="1:8" x14ac:dyDescent="0.3">
      <c r="A1566" s="81" t="s">
        <v>6037</v>
      </c>
      <c r="B1566" s="81" t="s">
        <v>822</v>
      </c>
      <c r="C1566" s="81" t="s">
        <v>5420</v>
      </c>
      <c r="D1566" s="81" t="s">
        <v>3793</v>
      </c>
      <c r="E1566" s="81" t="s">
        <v>16</v>
      </c>
      <c r="F1566" s="81" t="s">
        <v>381</v>
      </c>
      <c r="G1566" s="81" t="s">
        <v>5467</v>
      </c>
      <c r="H1566" s="81" t="s">
        <v>5469</v>
      </c>
    </row>
    <row r="1567" spans="1:8" x14ac:dyDescent="0.3">
      <c r="A1567" s="81" t="s">
        <v>6038</v>
      </c>
      <c r="B1567" s="81" t="s">
        <v>822</v>
      </c>
      <c r="C1567" s="81" t="s">
        <v>5420</v>
      </c>
      <c r="D1567" s="81" t="s">
        <v>3793</v>
      </c>
      <c r="E1567" s="81" t="s">
        <v>16</v>
      </c>
      <c r="F1567" s="81" t="s">
        <v>382</v>
      </c>
      <c r="G1567" s="81" t="s">
        <v>5470</v>
      </c>
      <c r="H1567" s="81" t="s">
        <v>5472</v>
      </c>
    </row>
    <row r="1568" spans="1:8" x14ac:dyDescent="0.3">
      <c r="A1568" s="81" t="s">
        <v>6039</v>
      </c>
      <c r="B1568" s="81" t="s">
        <v>822</v>
      </c>
      <c r="C1568" s="81" t="s">
        <v>5420</v>
      </c>
      <c r="D1568" s="81" t="s">
        <v>3793</v>
      </c>
      <c r="E1568" s="81" t="s">
        <v>16</v>
      </c>
      <c r="F1568" s="81" t="s">
        <v>383</v>
      </c>
      <c r="G1568" s="81" t="s">
        <v>5473</v>
      </c>
      <c r="H1568" s="81" t="s">
        <v>5475</v>
      </c>
    </row>
    <row r="1569" spans="1:8" x14ac:dyDescent="0.3">
      <c r="A1569" s="81" t="s">
        <v>6040</v>
      </c>
      <c r="B1569" s="81" t="s">
        <v>822</v>
      </c>
      <c r="C1569" s="81" t="s">
        <v>5420</v>
      </c>
      <c r="D1569" s="81" t="s">
        <v>3793</v>
      </c>
      <c r="E1569" s="81" t="s">
        <v>20</v>
      </c>
      <c r="F1569" s="81" t="s">
        <v>15</v>
      </c>
      <c r="G1569" s="81" t="s">
        <v>5477</v>
      </c>
      <c r="H1569" s="81" t="s">
        <v>5479</v>
      </c>
    </row>
    <row r="1570" spans="1:8" x14ac:dyDescent="0.3">
      <c r="A1570" s="81" t="s">
        <v>6041</v>
      </c>
      <c r="B1570" s="81" t="s">
        <v>822</v>
      </c>
      <c r="C1570" s="81" t="s">
        <v>5420</v>
      </c>
      <c r="D1570" s="81" t="s">
        <v>3793</v>
      </c>
      <c r="E1570" s="81" t="s">
        <v>16</v>
      </c>
      <c r="F1570" s="81" t="s">
        <v>368</v>
      </c>
      <c r="G1570" s="81" t="s">
        <v>5481</v>
      </c>
      <c r="H1570" s="81" t="s">
        <v>5483</v>
      </c>
    </row>
    <row r="1571" spans="1:8" x14ac:dyDescent="0.3">
      <c r="A1571" s="81" t="s">
        <v>6042</v>
      </c>
      <c r="B1571" s="81" t="s">
        <v>822</v>
      </c>
      <c r="C1571" s="81" t="s">
        <v>5420</v>
      </c>
      <c r="D1571" s="81" t="s">
        <v>3793</v>
      </c>
      <c r="E1571" s="81" t="s">
        <v>16</v>
      </c>
      <c r="F1571" s="81" t="s">
        <v>369</v>
      </c>
      <c r="G1571" s="81" t="s">
        <v>5481</v>
      </c>
      <c r="H1571" s="81" t="s">
        <v>5485</v>
      </c>
    </row>
    <row r="1572" spans="1:8" x14ac:dyDescent="0.3">
      <c r="A1572" s="81" t="s">
        <v>6043</v>
      </c>
      <c r="B1572" s="81" t="s">
        <v>822</v>
      </c>
      <c r="C1572" s="81" t="s">
        <v>5420</v>
      </c>
      <c r="D1572" s="81" t="s">
        <v>3793</v>
      </c>
      <c r="E1572" s="81" t="s">
        <v>16</v>
      </c>
      <c r="F1572" s="81" t="s">
        <v>370</v>
      </c>
      <c r="G1572" s="81" t="s">
        <v>5481</v>
      </c>
      <c r="H1572" s="81" t="s">
        <v>5487</v>
      </c>
    </row>
    <row r="1573" spans="1:8" x14ac:dyDescent="0.3">
      <c r="A1573" s="81" t="s">
        <v>6044</v>
      </c>
      <c r="B1573" s="81" t="s">
        <v>822</v>
      </c>
      <c r="C1573" s="81" t="s">
        <v>5420</v>
      </c>
      <c r="D1573" s="81" t="s">
        <v>3793</v>
      </c>
      <c r="E1573" s="81" t="s">
        <v>16</v>
      </c>
      <c r="F1573" s="81" t="s">
        <v>371</v>
      </c>
      <c r="G1573" s="81" t="s">
        <v>5481</v>
      </c>
      <c r="H1573" s="81" t="s">
        <v>5489</v>
      </c>
    </row>
    <row r="1574" spans="1:8" x14ac:dyDescent="0.3">
      <c r="A1574" s="81" t="s">
        <v>6045</v>
      </c>
      <c r="B1574" s="81" t="s">
        <v>822</v>
      </c>
      <c r="C1574" s="81" t="s">
        <v>5420</v>
      </c>
      <c r="D1574" s="81" t="s">
        <v>3793</v>
      </c>
      <c r="E1574" s="81" t="s">
        <v>16</v>
      </c>
      <c r="F1574" s="81" t="s">
        <v>372</v>
      </c>
      <c r="G1574" s="81" t="s">
        <v>5481</v>
      </c>
      <c r="H1574" s="81" t="s">
        <v>5491</v>
      </c>
    </row>
    <row r="1575" spans="1:8" x14ac:dyDescent="0.3">
      <c r="A1575" s="81" t="s">
        <v>6046</v>
      </c>
      <c r="B1575" s="81" t="s">
        <v>822</v>
      </c>
      <c r="C1575" s="81" t="s">
        <v>5420</v>
      </c>
      <c r="D1575" s="81" t="s">
        <v>3793</v>
      </c>
      <c r="E1575" s="81" t="s">
        <v>16</v>
      </c>
      <c r="F1575" s="81" t="s">
        <v>373</v>
      </c>
      <c r="G1575" s="81" t="s">
        <v>5481</v>
      </c>
      <c r="H1575" s="81" t="s">
        <v>5493</v>
      </c>
    </row>
    <row r="1576" spans="1:8" x14ac:dyDescent="0.3">
      <c r="A1576" s="81" t="s">
        <v>6047</v>
      </c>
      <c r="B1576" s="81" t="s">
        <v>822</v>
      </c>
      <c r="C1576" s="81" t="s">
        <v>5420</v>
      </c>
      <c r="D1576" s="81" t="s">
        <v>3793</v>
      </c>
      <c r="E1576" s="81" t="s">
        <v>16</v>
      </c>
      <c r="F1576" s="81" t="s">
        <v>374</v>
      </c>
      <c r="G1576" s="81" t="s">
        <v>5481</v>
      </c>
      <c r="H1576" s="81" t="s">
        <v>5495</v>
      </c>
    </row>
    <row r="1577" spans="1:8" x14ac:dyDescent="0.3">
      <c r="A1577" s="81" t="s">
        <v>6048</v>
      </c>
      <c r="B1577" s="81" t="s">
        <v>822</v>
      </c>
      <c r="C1577" s="81" t="s">
        <v>5420</v>
      </c>
      <c r="D1577" s="81" t="s">
        <v>3793</v>
      </c>
      <c r="E1577" s="81" t="s">
        <v>16</v>
      </c>
      <c r="F1577" s="81" t="s">
        <v>375</v>
      </c>
      <c r="G1577" s="81" t="s">
        <v>5481</v>
      </c>
      <c r="H1577" s="81" t="s">
        <v>5497</v>
      </c>
    </row>
    <row r="1578" spans="1:8" x14ac:dyDescent="0.3">
      <c r="A1578" s="81" t="s">
        <v>6049</v>
      </c>
      <c r="B1578" s="81" t="s">
        <v>822</v>
      </c>
      <c r="C1578" s="81" t="s">
        <v>5420</v>
      </c>
      <c r="D1578" s="81" t="s">
        <v>3793</v>
      </c>
      <c r="E1578" s="81" t="s">
        <v>16</v>
      </c>
      <c r="F1578" s="81" t="s">
        <v>376</v>
      </c>
      <c r="G1578" s="81" t="s">
        <v>5481</v>
      </c>
      <c r="H1578" s="81" t="s">
        <v>5499</v>
      </c>
    </row>
    <row r="1579" spans="1:8" x14ac:dyDescent="0.3">
      <c r="A1579" s="81" t="s">
        <v>6050</v>
      </c>
      <c r="B1579" s="81" t="s">
        <v>822</v>
      </c>
      <c r="C1579" s="81" t="s">
        <v>5420</v>
      </c>
      <c r="D1579" s="81" t="s">
        <v>3793</v>
      </c>
      <c r="E1579" s="81" t="s">
        <v>16</v>
      </c>
      <c r="F1579" s="81" t="s">
        <v>377</v>
      </c>
      <c r="G1579" s="81" t="s">
        <v>5481</v>
      </c>
      <c r="H1579" s="81" t="s">
        <v>5501</v>
      </c>
    </row>
    <row r="1580" spans="1:8" x14ac:dyDescent="0.3">
      <c r="A1580" s="81" t="s">
        <v>6051</v>
      </c>
      <c r="B1580" s="81" t="s">
        <v>822</v>
      </c>
      <c r="C1580" s="81" t="s">
        <v>5420</v>
      </c>
      <c r="D1580" s="81" t="s">
        <v>3793</v>
      </c>
      <c r="E1580" s="81" t="s">
        <v>16</v>
      </c>
      <c r="F1580" s="81" t="s">
        <v>378</v>
      </c>
      <c r="G1580" s="81" t="s">
        <v>5481</v>
      </c>
      <c r="H1580" s="81" t="s">
        <v>5503</v>
      </c>
    </row>
    <row r="1581" spans="1:8" x14ac:dyDescent="0.3">
      <c r="A1581" s="81" t="s">
        <v>6052</v>
      </c>
      <c r="B1581" s="81" t="s">
        <v>822</v>
      </c>
      <c r="C1581" s="81" t="s">
        <v>5420</v>
      </c>
      <c r="D1581" s="81" t="s">
        <v>3793</v>
      </c>
      <c r="E1581" s="81" t="s">
        <v>16</v>
      </c>
      <c r="F1581" s="81" t="s">
        <v>379</v>
      </c>
      <c r="G1581" s="81" t="s">
        <v>5481</v>
      </c>
      <c r="H1581" s="81" t="s">
        <v>5505</v>
      </c>
    </row>
    <row r="1582" spans="1:8" x14ac:dyDescent="0.3">
      <c r="A1582" s="81" t="s">
        <v>6053</v>
      </c>
      <c r="B1582" s="81" t="s">
        <v>822</v>
      </c>
      <c r="C1582" s="81" t="s">
        <v>5420</v>
      </c>
      <c r="D1582" s="81" t="s">
        <v>3793</v>
      </c>
      <c r="E1582" s="81" t="s">
        <v>16</v>
      </c>
      <c r="F1582" s="81" t="s">
        <v>380</v>
      </c>
      <c r="G1582" s="81" t="s">
        <v>5481</v>
      </c>
      <c r="H1582" s="81" t="s">
        <v>5507</v>
      </c>
    </row>
    <row r="1583" spans="1:8" x14ac:dyDescent="0.3">
      <c r="A1583" s="81" t="s">
        <v>6054</v>
      </c>
      <c r="B1583" s="81" t="s">
        <v>822</v>
      </c>
      <c r="C1583" s="81" t="s">
        <v>5420</v>
      </c>
      <c r="D1583" s="81" t="s">
        <v>3793</v>
      </c>
      <c r="E1583" s="81" t="s">
        <v>16</v>
      </c>
      <c r="F1583" s="81" t="s">
        <v>381</v>
      </c>
      <c r="G1583" s="81" t="s">
        <v>5481</v>
      </c>
      <c r="H1583" s="81" t="s">
        <v>5509</v>
      </c>
    </row>
    <row r="1584" spans="1:8" x14ac:dyDescent="0.3">
      <c r="A1584" s="81" t="s">
        <v>6055</v>
      </c>
      <c r="B1584" s="81" t="s">
        <v>822</v>
      </c>
      <c r="C1584" s="81" t="s">
        <v>5420</v>
      </c>
      <c r="D1584" s="81" t="s">
        <v>3793</v>
      </c>
      <c r="E1584" s="81" t="s">
        <v>16</v>
      </c>
      <c r="F1584" s="81" t="s">
        <v>382</v>
      </c>
      <c r="G1584" s="81" t="s">
        <v>5481</v>
      </c>
      <c r="H1584" s="81" t="s">
        <v>5511</v>
      </c>
    </row>
    <row r="1585" spans="1:8" x14ac:dyDescent="0.3">
      <c r="A1585" s="81" t="s">
        <v>6056</v>
      </c>
      <c r="B1585" s="81" t="s">
        <v>822</v>
      </c>
      <c r="C1585" s="81" t="s">
        <v>5420</v>
      </c>
      <c r="D1585" s="81" t="s">
        <v>3793</v>
      </c>
      <c r="E1585" s="81" t="s">
        <v>16</v>
      </c>
      <c r="F1585" s="81" t="s">
        <v>383</v>
      </c>
      <c r="G1585" s="81" t="s">
        <v>5481</v>
      </c>
      <c r="H1585" s="81" t="s">
        <v>5513</v>
      </c>
    </row>
    <row r="1586" spans="1:8" x14ac:dyDescent="0.3">
      <c r="A1586" s="81" t="s">
        <v>6057</v>
      </c>
      <c r="B1586" s="81" t="s">
        <v>822</v>
      </c>
      <c r="C1586" s="81" t="s">
        <v>5420</v>
      </c>
      <c r="D1586" s="81" t="s">
        <v>3793</v>
      </c>
      <c r="E1586" s="81" t="s">
        <v>20</v>
      </c>
      <c r="F1586" s="81" t="s">
        <v>15</v>
      </c>
      <c r="G1586" s="81" t="s">
        <v>5515</v>
      </c>
      <c r="H1586" s="81" t="s">
        <v>5516</v>
      </c>
    </row>
    <row r="1587" spans="1:8" x14ac:dyDescent="0.3">
      <c r="A1587" s="81" t="s">
        <v>6058</v>
      </c>
      <c r="B1587" s="81" t="s">
        <v>822</v>
      </c>
      <c r="C1587" s="81" t="s">
        <v>5420</v>
      </c>
      <c r="D1587" s="81" t="s">
        <v>3793</v>
      </c>
      <c r="E1587" s="81" t="s">
        <v>20</v>
      </c>
      <c r="F1587" s="81" t="s">
        <v>15</v>
      </c>
      <c r="G1587" s="81" t="s">
        <v>5518</v>
      </c>
      <c r="H1587" s="81" t="s">
        <v>5520</v>
      </c>
    </row>
    <row r="1588" spans="1:8" x14ac:dyDescent="0.3">
      <c r="A1588" s="81" t="s">
        <v>6059</v>
      </c>
      <c r="B1588" s="81" t="s">
        <v>822</v>
      </c>
      <c r="C1588" s="81" t="s">
        <v>5420</v>
      </c>
      <c r="D1588" s="81" t="s">
        <v>3793</v>
      </c>
      <c r="E1588" s="81" t="s">
        <v>16</v>
      </c>
      <c r="F1588" s="81" t="s">
        <v>368</v>
      </c>
      <c r="G1588" s="81" t="s">
        <v>5521</v>
      </c>
      <c r="H1588" s="81" t="s">
        <v>5523</v>
      </c>
    </row>
    <row r="1589" spans="1:8" x14ac:dyDescent="0.3">
      <c r="A1589" s="81" t="s">
        <v>6060</v>
      </c>
      <c r="B1589" s="81" t="s">
        <v>822</v>
      </c>
      <c r="C1589" s="81" t="s">
        <v>5420</v>
      </c>
      <c r="D1589" s="81" t="s">
        <v>3793</v>
      </c>
      <c r="E1589" s="81" t="s">
        <v>16</v>
      </c>
      <c r="F1589" s="81" t="s">
        <v>369</v>
      </c>
      <c r="G1589" s="81" t="s">
        <v>5524</v>
      </c>
      <c r="H1589" s="81" t="s">
        <v>5526</v>
      </c>
    </row>
    <row r="1590" spans="1:8" x14ac:dyDescent="0.3">
      <c r="A1590" s="81" t="s">
        <v>6061</v>
      </c>
      <c r="B1590" s="81" t="s">
        <v>822</v>
      </c>
      <c r="C1590" s="81" t="s">
        <v>5420</v>
      </c>
      <c r="D1590" s="81" t="s">
        <v>3793</v>
      </c>
      <c r="E1590" s="81" t="s">
        <v>16</v>
      </c>
      <c r="F1590" s="81" t="s">
        <v>370</v>
      </c>
      <c r="G1590" s="81" t="s">
        <v>5527</v>
      </c>
      <c r="H1590" s="81" t="s">
        <v>5529</v>
      </c>
    </row>
    <row r="1591" spans="1:8" x14ac:dyDescent="0.3">
      <c r="A1591" s="81" t="s">
        <v>6062</v>
      </c>
      <c r="B1591" s="81" t="s">
        <v>822</v>
      </c>
      <c r="C1591" s="81" t="s">
        <v>5420</v>
      </c>
      <c r="D1591" s="81" t="s">
        <v>3793</v>
      </c>
      <c r="E1591" s="81" t="s">
        <v>16</v>
      </c>
      <c r="F1591" s="81" t="s">
        <v>371</v>
      </c>
      <c r="G1591" s="81" t="s">
        <v>5530</v>
      </c>
      <c r="H1591" s="81" t="s">
        <v>5532</v>
      </c>
    </row>
    <row r="1592" spans="1:8" x14ac:dyDescent="0.3">
      <c r="A1592" s="81" t="s">
        <v>6063</v>
      </c>
      <c r="B1592" s="81" t="s">
        <v>822</v>
      </c>
      <c r="C1592" s="81" t="s">
        <v>5420</v>
      </c>
      <c r="D1592" s="81" t="s">
        <v>3793</v>
      </c>
      <c r="E1592" s="81" t="s">
        <v>16</v>
      </c>
      <c r="F1592" s="81" t="s">
        <v>372</v>
      </c>
      <c r="G1592" s="81" t="s">
        <v>5533</v>
      </c>
      <c r="H1592" s="81" t="s">
        <v>5535</v>
      </c>
    </row>
    <row r="1593" spans="1:8" x14ac:dyDescent="0.3">
      <c r="A1593" s="81" t="s">
        <v>6064</v>
      </c>
      <c r="B1593" s="81" t="s">
        <v>822</v>
      </c>
      <c r="C1593" s="81" t="s">
        <v>5420</v>
      </c>
      <c r="D1593" s="81" t="s">
        <v>3793</v>
      </c>
      <c r="E1593" s="81" t="s">
        <v>16</v>
      </c>
      <c r="F1593" s="81" t="s">
        <v>373</v>
      </c>
      <c r="G1593" s="81" t="s">
        <v>5536</v>
      </c>
      <c r="H1593" s="81" t="s">
        <v>5538</v>
      </c>
    </row>
    <row r="1594" spans="1:8" x14ac:dyDescent="0.3">
      <c r="A1594" s="81" t="s">
        <v>6065</v>
      </c>
      <c r="B1594" s="81" t="s">
        <v>822</v>
      </c>
      <c r="C1594" s="81" t="s">
        <v>5420</v>
      </c>
      <c r="D1594" s="81" t="s">
        <v>3793</v>
      </c>
      <c r="E1594" s="81" t="s">
        <v>16</v>
      </c>
      <c r="F1594" s="81" t="s">
        <v>374</v>
      </c>
      <c r="G1594" s="81" t="s">
        <v>5539</v>
      </c>
      <c r="H1594" s="81" t="s">
        <v>5541</v>
      </c>
    </row>
    <row r="1595" spans="1:8" x14ac:dyDescent="0.3">
      <c r="A1595" s="81" t="s">
        <v>6066</v>
      </c>
      <c r="B1595" s="81" t="s">
        <v>822</v>
      </c>
      <c r="C1595" s="81" t="s">
        <v>5420</v>
      </c>
      <c r="D1595" s="81" t="s">
        <v>3793</v>
      </c>
      <c r="E1595" s="81" t="s">
        <v>16</v>
      </c>
      <c r="F1595" s="81" t="s">
        <v>375</v>
      </c>
      <c r="G1595" s="81" t="s">
        <v>5542</v>
      </c>
      <c r="H1595" s="81" t="s">
        <v>5544</v>
      </c>
    </row>
    <row r="1596" spans="1:8" x14ac:dyDescent="0.3">
      <c r="A1596" s="81" t="s">
        <v>6067</v>
      </c>
      <c r="B1596" s="81" t="s">
        <v>822</v>
      </c>
      <c r="C1596" s="81" t="s">
        <v>5420</v>
      </c>
      <c r="D1596" s="81" t="s">
        <v>3793</v>
      </c>
      <c r="E1596" s="81" t="s">
        <v>16</v>
      </c>
      <c r="F1596" s="81" t="s">
        <v>376</v>
      </c>
      <c r="G1596" s="81" t="s">
        <v>5545</v>
      </c>
      <c r="H1596" s="81" t="s">
        <v>5547</v>
      </c>
    </row>
    <row r="1597" spans="1:8" x14ac:dyDescent="0.3">
      <c r="A1597" s="81" t="s">
        <v>6068</v>
      </c>
      <c r="B1597" s="81" t="s">
        <v>822</v>
      </c>
      <c r="C1597" s="81" t="s">
        <v>5420</v>
      </c>
      <c r="D1597" s="81" t="s">
        <v>3793</v>
      </c>
      <c r="E1597" s="81" t="s">
        <v>16</v>
      </c>
      <c r="F1597" s="81" t="s">
        <v>377</v>
      </c>
      <c r="G1597" s="81" t="s">
        <v>5548</v>
      </c>
      <c r="H1597" s="81" t="s">
        <v>5550</v>
      </c>
    </row>
    <row r="1598" spans="1:8" x14ac:dyDescent="0.3">
      <c r="A1598" s="81" t="s">
        <v>6069</v>
      </c>
      <c r="B1598" s="81" t="s">
        <v>822</v>
      </c>
      <c r="C1598" s="81" t="s">
        <v>5420</v>
      </c>
      <c r="D1598" s="81" t="s">
        <v>3793</v>
      </c>
      <c r="E1598" s="81" t="s">
        <v>16</v>
      </c>
      <c r="F1598" s="81" t="s">
        <v>378</v>
      </c>
      <c r="G1598" s="81" t="s">
        <v>5551</v>
      </c>
      <c r="H1598" s="81" t="s">
        <v>5553</v>
      </c>
    </row>
    <row r="1599" spans="1:8" x14ac:dyDescent="0.3">
      <c r="A1599" s="81" t="s">
        <v>6070</v>
      </c>
      <c r="B1599" s="81" t="s">
        <v>822</v>
      </c>
      <c r="C1599" s="81" t="s">
        <v>5420</v>
      </c>
      <c r="D1599" s="81" t="s">
        <v>3793</v>
      </c>
      <c r="E1599" s="81" t="s">
        <v>16</v>
      </c>
      <c r="F1599" s="81" t="s">
        <v>379</v>
      </c>
      <c r="G1599" s="81" t="s">
        <v>5554</v>
      </c>
      <c r="H1599" s="81" t="s">
        <v>5556</v>
      </c>
    </row>
    <row r="1600" spans="1:8" x14ac:dyDescent="0.3">
      <c r="A1600" s="81" t="s">
        <v>6071</v>
      </c>
      <c r="B1600" s="81" t="s">
        <v>822</v>
      </c>
      <c r="C1600" s="81" t="s">
        <v>5420</v>
      </c>
      <c r="D1600" s="81" t="s">
        <v>3793</v>
      </c>
      <c r="E1600" s="81" t="s">
        <v>16</v>
      </c>
      <c r="F1600" s="81" t="s">
        <v>380</v>
      </c>
      <c r="G1600" s="81" t="s">
        <v>5557</v>
      </c>
      <c r="H1600" s="81" t="s">
        <v>5559</v>
      </c>
    </row>
    <row r="1601" spans="1:8" x14ac:dyDescent="0.3">
      <c r="A1601" s="81" t="s">
        <v>6072</v>
      </c>
      <c r="B1601" s="81" t="s">
        <v>822</v>
      </c>
      <c r="C1601" s="81" t="s">
        <v>5420</v>
      </c>
      <c r="D1601" s="81" t="s">
        <v>3793</v>
      </c>
      <c r="E1601" s="81" t="s">
        <v>16</v>
      </c>
      <c r="F1601" s="81" t="s">
        <v>381</v>
      </c>
      <c r="G1601" s="81" t="s">
        <v>5560</v>
      </c>
      <c r="H1601" s="81" t="s">
        <v>5562</v>
      </c>
    </row>
    <row r="1602" spans="1:8" x14ac:dyDescent="0.3">
      <c r="A1602" s="81" t="s">
        <v>6073</v>
      </c>
      <c r="B1602" s="81" t="s">
        <v>822</v>
      </c>
      <c r="C1602" s="81" t="s">
        <v>5420</v>
      </c>
      <c r="D1602" s="81" t="s">
        <v>3793</v>
      </c>
      <c r="E1602" s="81" t="s">
        <v>16</v>
      </c>
      <c r="F1602" s="81" t="s">
        <v>382</v>
      </c>
      <c r="G1602" s="81" t="s">
        <v>5563</v>
      </c>
      <c r="H1602" s="81" t="s">
        <v>5565</v>
      </c>
    </row>
    <row r="1603" spans="1:8" x14ac:dyDescent="0.3">
      <c r="A1603" s="81" t="s">
        <v>6074</v>
      </c>
      <c r="B1603" s="81" t="s">
        <v>822</v>
      </c>
      <c r="C1603" s="81" t="s">
        <v>5420</v>
      </c>
      <c r="D1603" s="81" t="s">
        <v>3793</v>
      </c>
      <c r="E1603" s="81" t="s">
        <v>16</v>
      </c>
      <c r="F1603" s="81" t="s">
        <v>383</v>
      </c>
      <c r="G1603" s="81" t="s">
        <v>5566</v>
      </c>
      <c r="H1603" s="81" t="s">
        <v>5568</v>
      </c>
    </row>
    <row r="1604" spans="1:8" x14ac:dyDescent="0.3">
      <c r="A1604" s="81" t="s">
        <v>6075</v>
      </c>
      <c r="B1604" s="81" t="s">
        <v>822</v>
      </c>
      <c r="C1604" s="81" t="s">
        <v>5420</v>
      </c>
      <c r="D1604" s="81" t="s">
        <v>3793</v>
      </c>
      <c r="E1604" s="81" t="s">
        <v>20</v>
      </c>
      <c r="F1604" s="81" t="s">
        <v>15</v>
      </c>
      <c r="G1604" s="81" t="s">
        <v>5570</v>
      </c>
      <c r="H1604" s="81" t="s">
        <v>5572</v>
      </c>
    </row>
    <row r="1605" spans="1:8" x14ac:dyDescent="0.3">
      <c r="A1605" s="81" t="s">
        <v>6076</v>
      </c>
      <c r="B1605" s="81" t="s">
        <v>822</v>
      </c>
      <c r="C1605" s="81" t="s">
        <v>5420</v>
      </c>
      <c r="D1605" s="81" t="s">
        <v>3793</v>
      </c>
      <c r="E1605" s="81" t="s">
        <v>16</v>
      </c>
      <c r="F1605" s="81" t="s">
        <v>368</v>
      </c>
      <c r="G1605" s="81" t="s">
        <v>5765</v>
      </c>
      <c r="H1605" s="81" t="s">
        <v>5573</v>
      </c>
    </row>
    <row r="1606" spans="1:8" x14ac:dyDescent="0.3">
      <c r="A1606" s="81" t="s">
        <v>6077</v>
      </c>
      <c r="B1606" s="81" t="s">
        <v>822</v>
      </c>
      <c r="C1606" s="81" t="s">
        <v>5420</v>
      </c>
      <c r="D1606" s="81" t="s">
        <v>3793</v>
      </c>
      <c r="E1606" s="81" t="s">
        <v>16</v>
      </c>
      <c r="F1606" s="81" t="s">
        <v>369</v>
      </c>
      <c r="G1606" s="81" t="s">
        <v>5767</v>
      </c>
      <c r="H1606" s="81" t="s">
        <v>5574</v>
      </c>
    </row>
    <row r="1607" spans="1:8" x14ac:dyDescent="0.3">
      <c r="A1607" s="81" t="s">
        <v>6078</v>
      </c>
      <c r="B1607" s="81" t="s">
        <v>822</v>
      </c>
      <c r="C1607" s="81" t="s">
        <v>5420</v>
      </c>
      <c r="D1607" s="81" t="s">
        <v>3793</v>
      </c>
      <c r="E1607" s="81" t="s">
        <v>16</v>
      </c>
      <c r="F1607" s="81" t="s">
        <v>370</v>
      </c>
      <c r="G1607" s="81" t="s">
        <v>5769</v>
      </c>
      <c r="H1607" s="81" t="s">
        <v>5575</v>
      </c>
    </row>
    <row r="1608" spans="1:8" x14ac:dyDescent="0.3">
      <c r="A1608" s="81" t="s">
        <v>6079</v>
      </c>
      <c r="B1608" s="81" t="s">
        <v>822</v>
      </c>
      <c r="C1608" s="81" t="s">
        <v>5420</v>
      </c>
      <c r="D1608" s="81" t="s">
        <v>3793</v>
      </c>
      <c r="E1608" s="81" t="s">
        <v>16</v>
      </c>
      <c r="F1608" s="81" t="s">
        <v>371</v>
      </c>
      <c r="G1608" s="81" t="s">
        <v>5771</v>
      </c>
      <c r="H1608" s="81" t="s">
        <v>5576</v>
      </c>
    </row>
    <row r="1609" spans="1:8" x14ac:dyDescent="0.3">
      <c r="A1609" s="81" t="s">
        <v>6080</v>
      </c>
      <c r="B1609" s="81" t="s">
        <v>822</v>
      </c>
      <c r="C1609" s="81" t="s">
        <v>5420</v>
      </c>
      <c r="D1609" s="81" t="s">
        <v>3793</v>
      </c>
      <c r="E1609" s="81" t="s">
        <v>16</v>
      </c>
      <c r="F1609" s="81" t="s">
        <v>372</v>
      </c>
      <c r="G1609" s="81" t="s">
        <v>5773</v>
      </c>
      <c r="H1609" s="81" t="s">
        <v>5577</v>
      </c>
    </row>
    <row r="1610" spans="1:8" x14ac:dyDescent="0.3">
      <c r="A1610" s="81" t="s">
        <v>6081</v>
      </c>
      <c r="B1610" s="81" t="s">
        <v>822</v>
      </c>
      <c r="C1610" s="81" t="s">
        <v>5420</v>
      </c>
      <c r="D1610" s="81" t="s">
        <v>3793</v>
      </c>
      <c r="E1610" s="81" t="s">
        <v>16</v>
      </c>
      <c r="F1610" s="81" t="s">
        <v>373</v>
      </c>
      <c r="G1610" s="81" t="s">
        <v>5775</v>
      </c>
      <c r="H1610" s="81" t="s">
        <v>5578</v>
      </c>
    </row>
    <row r="1611" spans="1:8" x14ac:dyDescent="0.3">
      <c r="A1611" s="81" t="s">
        <v>6082</v>
      </c>
      <c r="B1611" s="81" t="s">
        <v>822</v>
      </c>
      <c r="C1611" s="81" t="s">
        <v>5420</v>
      </c>
      <c r="D1611" s="81" t="s">
        <v>3793</v>
      </c>
      <c r="E1611" s="81" t="s">
        <v>16</v>
      </c>
      <c r="F1611" s="81" t="s">
        <v>374</v>
      </c>
      <c r="G1611" s="81" t="s">
        <v>5777</v>
      </c>
      <c r="H1611" s="81" t="s">
        <v>5579</v>
      </c>
    </row>
    <row r="1612" spans="1:8" x14ac:dyDescent="0.3">
      <c r="A1612" s="81" t="s">
        <v>6083</v>
      </c>
      <c r="B1612" s="81" t="s">
        <v>822</v>
      </c>
      <c r="C1612" s="81" t="s">
        <v>5420</v>
      </c>
      <c r="D1612" s="81" t="s">
        <v>3793</v>
      </c>
      <c r="E1612" s="81" t="s">
        <v>16</v>
      </c>
      <c r="F1612" s="81" t="s">
        <v>375</v>
      </c>
      <c r="G1612" s="81" t="s">
        <v>5779</v>
      </c>
      <c r="H1612" s="81" t="s">
        <v>5580</v>
      </c>
    </row>
    <row r="1613" spans="1:8" x14ac:dyDescent="0.3">
      <c r="A1613" s="81" t="s">
        <v>6084</v>
      </c>
      <c r="B1613" s="81" t="s">
        <v>822</v>
      </c>
      <c r="C1613" s="81" t="s">
        <v>5420</v>
      </c>
      <c r="D1613" s="81" t="s">
        <v>3793</v>
      </c>
      <c r="E1613" s="81" t="s">
        <v>16</v>
      </c>
      <c r="F1613" s="81" t="s">
        <v>376</v>
      </c>
      <c r="G1613" s="81" t="s">
        <v>5781</v>
      </c>
      <c r="H1613" s="81" t="s">
        <v>5581</v>
      </c>
    </row>
    <row r="1614" spans="1:8" x14ac:dyDescent="0.3">
      <c r="A1614" s="81" t="s">
        <v>6085</v>
      </c>
      <c r="B1614" s="81" t="s">
        <v>822</v>
      </c>
      <c r="C1614" s="81" t="s">
        <v>5420</v>
      </c>
      <c r="D1614" s="81" t="s">
        <v>3793</v>
      </c>
      <c r="E1614" s="81" t="s">
        <v>16</v>
      </c>
      <c r="F1614" s="81" t="s">
        <v>377</v>
      </c>
      <c r="G1614" s="81" t="s">
        <v>5783</v>
      </c>
      <c r="H1614" s="81" t="s">
        <v>5582</v>
      </c>
    </row>
    <row r="1615" spans="1:8" x14ac:dyDescent="0.3">
      <c r="A1615" s="81" t="s">
        <v>6086</v>
      </c>
      <c r="B1615" s="81" t="s">
        <v>822</v>
      </c>
      <c r="C1615" s="81" t="s">
        <v>5420</v>
      </c>
      <c r="D1615" s="81" t="s">
        <v>3793</v>
      </c>
      <c r="E1615" s="81" t="s">
        <v>16</v>
      </c>
      <c r="F1615" s="81" t="s">
        <v>378</v>
      </c>
      <c r="G1615" s="81" t="s">
        <v>5785</v>
      </c>
      <c r="H1615" s="81" t="s">
        <v>5583</v>
      </c>
    </row>
    <row r="1616" spans="1:8" x14ac:dyDescent="0.3">
      <c r="A1616" s="81" t="s">
        <v>6087</v>
      </c>
      <c r="B1616" s="81" t="s">
        <v>822</v>
      </c>
      <c r="C1616" s="81" t="s">
        <v>5420</v>
      </c>
      <c r="D1616" s="81" t="s">
        <v>3793</v>
      </c>
      <c r="E1616" s="81" t="s">
        <v>16</v>
      </c>
      <c r="F1616" s="81" t="s">
        <v>379</v>
      </c>
      <c r="G1616" s="81" t="s">
        <v>5787</v>
      </c>
      <c r="H1616" s="81" t="s">
        <v>5584</v>
      </c>
    </row>
    <row r="1617" spans="1:8" x14ac:dyDescent="0.3">
      <c r="A1617" s="81" t="s">
        <v>6088</v>
      </c>
      <c r="B1617" s="81" t="s">
        <v>822</v>
      </c>
      <c r="C1617" s="81" t="s">
        <v>5420</v>
      </c>
      <c r="D1617" s="81" t="s">
        <v>3793</v>
      </c>
      <c r="E1617" s="81" t="s">
        <v>16</v>
      </c>
      <c r="F1617" s="81" t="s">
        <v>380</v>
      </c>
      <c r="G1617" s="81" t="s">
        <v>5789</v>
      </c>
      <c r="H1617" s="81" t="s">
        <v>5585</v>
      </c>
    </row>
    <row r="1618" spans="1:8" x14ac:dyDescent="0.3">
      <c r="A1618" s="81" t="s">
        <v>6089</v>
      </c>
      <c r="B1618" s="81" t="s">
        <v>822</v>
      </c>
      <c r="C1618" s="81" t="s">
        <v>5420</v>
      </c>
      <c r="D1618" s="81" t="s">
        <v>3793</v>
      </c>
      <c r="E1618" s="81" t="s">
        <v>16</v>
      </c>
      <c r="F1618" s="81" t="s">
        <v>381</v>
      </c>
      <c r="G1618" s="81" t="s">
        <v>5791</v>
      </c>
      <c r="H1618" s="81" t="s">
        <v>5586</v>
      </c>
    </row>
    <row r="1619" spans="1:8" x14ac:dyDescent="0.3">
      <c r="A1619" s="81" t="s">
        <v>6090</v>
      </c>
      <c r="B1619" s="81" t="s">
        <v>822</v>
      </c>
      <c r="C1619" s="81" t="s">
        <v>5420</v>
      </c>
      <c r="D1619" s="81" t="s">
        <v>3793</v>
      </c>
      <c r="E1619" s="81" t="s">
        <v>16</v>
      </c>
      <c r="F1619" s="81" t="s">
        <v>382</v>
      </c>
      <c r="G1619" s="81" t="s">
        <v>5793</v>
      </c>
      <c r="H1619" s="81" t="s">
        <v>5587</v>
      </c>
    </row>
    <row r="1620" spans="1:8" x14ac:dyDescent="0.3">
      <c r="A1620" s="81" t="s">
        <v>6091</v>
      </c>
      <c r="B1620" s="81" t="s">
        <v>822</v>
      </c>
      <c r="C1620" s="81" t="s">
        <v>5420</v>
      </c>
      <c r="D1620" s="81" t="s">
        <v>3793</v>
      </c>
      <c r="E1620" s="81" t="s">
        <v>16</v>
      </c>
      <c r="F1620" s="81" t="s">
        <v>383</v>
      </c>
      <c r="G1620" s="81" t="s">
        <v>5795</v>
      </c>
      <c r="H1620" s="81" t="s">
        <v>5588</v>
      </c>
    </row>
    <row r="1621" spans="1:8" x14ac:dyDescent="0.3">
      <c r="A1621" s="81" t="s">
        <v>6092</v>
      </c>
      <c r="B1621" s="81" t="s">
        <v>405</v>
      </c>
      <c r="C1621" s="81" t="s">
        <v>5589</v>
      </c>
      <c r="D1621" s="81" t="s">
        <v>3769</v>
      </c>
      <c r="E1621" s="81" t="s">
        <v>20</v>
      </c>
      <c r="F1621" s="81" t="s">
        <v>15</v>
      </c>
      <c r="G1621" s="81" t="s">
        <v>5595</v>
      </c>
      <c r="H1621" s="81" t="s">
        <v>5598</v>
      </c>
    </row>
    <row r="1622" spans="1:8" x14ac:dyDescent="0.3">
      <c r="A1622" s="81" t="s">
        <v>6093</v>
      </c>
      <c r="B1622" s="81" t="s">
        <v>405</v>
      </c>
      <c r="C1622" s="81" t="s">
        <v>5599</v>
      </c>
      <c r="D1622" s="81" t="s">
        <v>3769</v>
      </c>
      <c r="E1622" s="81" t="s">
        <v>20</v>
      </c>
      <c r="F1622" s="81" t="s">
        <v>15</v>
      </c>
      <c r="G1622" s="81" t="s">
        <v>5600</v>
      </c>
      <c r="H1622" s="81" t="s">
        <v>5602</v>
      </c>
    </row>
    <row r="1623" spans="1:8" x14ac:dyDescent="0.3">
      <c r="A1623" s="81" t="s">
        <v>6094</v>
      </c>
      <c r="B1623" s="81" t="s">
        <v>405</v>
      </c>
      <c r="C1623" s="81" t="s">
        <v>5603</v>
      </c>
      <c r="D1623" s="81" t="s">
        <v>3769</v>
      </c>
      <c r="E1623" s="81" t="s">
        <v>20</v>
      </c>
      <c r="F1623" s="81" t="s">
        <v>15</v>
      </c>
      <c r="G1623" s="81" t="s">
        <v>5605</v>
      </c>
      <c r="H1623" s="81" t="s">
        <v>5607</v>
      </c>
    </row>
    <row r="1624" spans="1:8" x14ac:dyDescent="0.3">
      <c r="A1624" s="81" t="s">
        <v>6095</v>
      </c>
      <c r="B1624" s="81" t="s">
        <v>881</v>
      </c>
      <c r="C1624" s="81" t="s">
        <v>5608</v>
      </c>
      <c r="D1624" s="81" t="s">
        <v>5609</v>
      </c>
      <c r="E1624" s="81" t="s">
        <v>20</v>
      </c>
      <c r="F1624" s="81" t="s">
        <v>15</v>
      </c>
      <c r="G1624" s="81" t="s">
        <v>5613</v>
      </c>
      <c r="H1624" s="81" t="s">
        <v>5615</v>
      </c>
    </row>
    <row r="1625" spans="1:8" x14ac:dyDescent="0.3">
      <c r="A1625" s="81" t="s">
        <v>6096</v>
      </c>
      <c r="B1625" s="81" t="s">
        <v>881</v>
      </c>
      <c r="C1625" s="81" t="s">
        <v>5608</v>
      </c>
      <c r="D1625" s="81" t="s">
        <v>5609</v>
      </c>
      <c r="E1625" s="81" t="s">
        <v>16</v>
      </c>
      <c r="F1625" s="81" t="s">
        <v>368</v>
      </c>
      <c r="G1625" s="81" t="s">
        <v>5797</v>
      </c>
      <c r="H1625" s="81" t="s">
        <v>5616</v>
      </c>
    </row>
    <row r="1626" spans="1:8" x14ac:dyDescent="0.3">
      <c r="A1626" s="81" t="s">
        <v>6097</v>
      </c>
      <c r="B1626" s="81" t="s">
        <v>881</v>
      </c>
      <c r="C1626" s="81" t="s">
        <v>5608</v>
      </c>
      <c r="D1626" s="81" t="s">
        <v>5609</v>
      </c>
      <c r="E1626" s="81" t="s">
        <v>16</v>
      </c>
      <c r="F1626" s="81" t="s">
        <v>369</v>
      </c>
      <c r="G1626" s="81" t="s">
        <v>5799</v>
      </c>
      <c r="H1626" s="81" t="s">
        <v>5617</v>
      </c>
    </row>
    <row r="1627" spans="1:8" x14ac:dyDescent="0.3">
      <c r="A1627" s="81" t="s">
        <v>6098</v>
      </c>
      <c r="B1627" s="81" t="s">
        <v>881</v>
      </c>
      <c r="C1627" s="81" t="s">
        <v>5608</v>
      </c>
      <c r="D1627" s="81" t="s">
        <v>5609</v>
      </c>
      <c r="E1627" s="81" t="s">
        <v>16</v>
      </c>
      <c r="F1627" s="81" t="s">
        <v>370</v>
      </c>
      <c r="G1627" s="81" t="s">
        <v>5801</v>
      </c>
      <c r="H1627" s="81" t="s">
        <v>5618</v>
      </c>
    </row>
    <row r="1628" spans="1:8" x14ac:dyDescent="0.3">
      <c r="A1628" s="81" t="s">
        <v>6099</v>
      </c>
      <c r="B1628" s="81" t="s">
        <v>881</v>
      </c>
      <c r="C1628" s="81" t="s">
        <v>5608</v>
      </c>
      <c r="D1628" s="81" t="s">
        <v>5609</v>
      </c>
      <c r="E1628" s="81" t="s">
        <v>16</v>
      </c>
      <c r="F1628" s="81" t="s">
        <v>371</v>
      </c>
      <c r="G1628" s="81" t="s">
        <v>5803</v>
      </c>
      <c r="H1628" s="81" t="s">
        <v>5619</v>
      </c>
    </row>
    <row r="1629" spans="1:8" x14ac:dyDescent="0.3">
      <c r="A1629" s="81" t="s">
        <v>6100</v>
      </c>
      <c r="B1629" s="81" t="s">
        <v>881</v>
      </c>
      <c r="C1629" s="81" t="s">
        <v>5608</v>
      </c>
      <c r="D1629" s="81" t="s">
        <v>5609</v>
      </c>
      <c r="E1629" s="81" t="s">
        <v>20</v>
      </c>
      <c r="F1629" s="81" t="s">
        <v>15</v>
      </c>
      <c r="G1629" s="81" t="s">
        <v>5621</v>
      </c>
      <c r="H1629" s="81" t="s">
        <v>5623</v>
      </c>
    </row>
    <row r="1630" spans="1:8" x14ac:dyDescent="0.3">
      <c r="A1630" s="81" t="s">
        <v>6101</v>
      </c>
      <c r="B1630" s="81" t="s">
        <v>881</v>
      </c>
      <c r="C1630" s="81" t="s">
        <v>5608</v>
      </c>
      <c r="D1630" s="81" t="s">
        <v>5609</v>
      </c>
      <c r="E1630" s="81" t="s">
        <v>16</v>
      </c>
      <c r="F1630" s="81" t="s">
        <v>368</v>
      </c>
      <c r="G1630" s="81" t="s">
        <v>5624</v>
      </c>
      <c r="H1630" s="81" t="s">
        <v>5625</v>
      </c>
    </row>
    <row r="1631" spans="1:8" x14ac:dyDescent="0.3">
      <c r="A1631" s="81" t="s">
        <v>6102</v>
      </c>
      <c r="B1631" s="81" t="s">
        <v>881</v>
      </c>
      <c r="C1631" s="81" t="s">
        <v>5608</v>
      </c>
      <c r="D1631" s="81" t="s">
        <v>5609</v>
      </c>
      <c r="E1631" s="81" t="s">
        <v>16</v>
      </c>
      <c r="F1631" s="81" t="s">
        <v>369</v>
      </c>
      <c r="G1631" s="81" t="s">
        <v>5626</v>
      </c>
      <c r="H1631" s="81" t="s">
        <v>5627</v>
      </c>
    </row>
    <row r="1632" spans="1:8" x14ac:dyDescent="0.3">
      <c r="A1632" s="81" t="s">
        <v>6103</v>
      </c>
      <c r="B1632" s="81" t="s">
        <v>881</v>
      </c>
      <c r="C1632" s="81" t="s">
        <v>5608</v>
      </c>
      <c r="D1632" s="81" t="s">
        <v>5609</v>
      </c>
      <c r="E1632" s="81" t="s">
        <v>16</v>
      </c>
      <c r="F1632" s="81" t="s">
        <v>370</v>
      </c>
      <c r="G1632" s="81" t="s">
        <v>5628</v>
      </c>
      <c r="H1632" s="81" t="s">
        <v>5629</v>
      </c>
    </row>
    <row r="1633" spans="1:8" x14ac:dyDescent="0.3">
      <c r="A1633" s="81" t="s">
        <v>6104</v>
      </c>
      <c r="B1633" s="81" t="s">
        <v>881</v>
      </c>
      <c r="C1633" s="81" t="s">
        <v>5608</v>
      </c>
      <c r="D1633" s="81" t="s">
        <v>5609</v>
      </c>
      <c r="E1633" s="81" t="s">
        <v>16</v>
      </c>
      <c r="F1633" s="81" t="s">
        <v>371</v>
      </c>
      <c r="G1633" s="81" t="s">
        <v>5621</v>
      </c>
      <c r="H1633" s="81" t="s">
        <v>5630</v>
      </c>
    </row>
    <row r="1634" spans="1:8" x14ac:dyDescent="0.3">
      <c r="A1634" s="81" t="s">
        <v>6105</v>
      </c>
      <c r="B1634" s="81" t="s">
        <v>881</v>
      </c>
      <c r="C1634" s="81" t="s">
        <v>5608</v>
      </c>
      <c r="D1634" s="81" t="s">
        <v>5609</v>
      </c>
      <c r="E1634" s="81" t="s">
        <v>16</v>
      </c>
      <c r="F1634" s="81" t="s">
        <v>372</v>
      </c>
      <c r="G1634" s="81" t="s">
        <v>5631</v>
      </c>
      <c r="H1634" s="81" t="s">
        <v>5632</v>
      </c>
    </row>
    <row r="1635" spans="1:8" x14ac:dyDescent="0.3">
      <c r="A1635" s="81" t="s">
        <v>6106</v>
      </c>
      <c r="B1635" s="81" t="s">
        <v>881</v>
      </c>
      <c r="C1635" s="81" t="s">
        <v>5608</v>
      </c>
      <c r="D1635" s="81" t="s">
        <v>5609</v>
      </c>
      <c r="E1635" s="81" t="s">
        <v>20</v>
      </c>
      <c r="F1635" s="81" t="s">
        <v>15</v>
      </c>
      <c r="G1635" s="81" t="s">
        <v>5634</v>
      </c>
      <c r="H1635" s="81" t="s">
        <v>5636</v>
      </c>
    </row>
    <row r="1636" spans="1:8" x14ac:dyDescent="0.3">
      <c r="A1636" s="81" t="s">
        <v>6107</v>
      </c>
      <c r="B1636" s="81" t="s">
        <v>881</v>
      </c>
      <c r="C1636" s="81" t="s">
        <v>5608</v>
      </c>
      <c r="D1636" s="81" t="s">
        <v>5609</v>
      </c>
      <c r="E1636" s="81" t="s">
        <v>20</v>
      </c>
      <c r="F1636" s="81" t="s">
        <v>15</v>
      </c>
      <c r="G1636" s="81" t="s">
        <v>5638</v>
      </c>
      <c r="H1636" s="81" t="s">
        <v>5640</v>
      </c>
    </row>
    <row r="1637" spans="1:8" x14ac:dyDescent="0.3">
      <c r="A1637" s="81" t="s">
        <v>6108</v>
      </c>
      <c r="B1637" s="81" t="s">
        <v>5641</v>
      </c>
      <c r="C1637" s="81" t="s">
        <v>5642</v>
      </c>
      <c r="D1637" s="81" t="s">
        <v>5641</v>
      </c>
      <c r="E1637" s="81" t="s">
        <v>20</v>
      </c>
      <c r="F1637" s="81" t="s">
        <v>15</v>
      </c>
      <c r="G1637" s="81" t="s">
        <v>5645</v>
      </c>
      <c r="H1637" s="81" t="s">
        <v>5647</v>
      </c>
    </row>
    <row r="1638" spans="1:8" x14ac:dyDescent="0.3">
      <c r="A1638" s="81" t="s">
        <v>6109</v>
      </c>
      <c r="B1638" s="81" t="s">
        <v>5641</v>
      </c>
      <c r="C1638" s="81" t="s">
        <v>5642</v>
      </c>
      <c r="D1638" s="81" t="s">
        <v>5641</v>
      </c>
      <c r="E1638" s="81" t="s">
        <v>16</v>
      </c>
      <c r="F1638" s="81" t="s">
        <v>368</v>
      </c>
      <c r="G1638" s="81" t="s">
        <v>5805</v>
      </c>
      <c r="H1638" s="81" t="s">
        <v>5648</v>
      </c>
    </row>
    <row r="1639" spans="1:8" x14ac:dyDescent="0.3">
      <c r="A1639" s="81" t="s">
        <v>6110</v>
      </c>
      <c r="B1639" s="81" t="s">
        <v>5641</v>
      </c>
      <c r="C1639" s="81" t="s">
        <v>5642</v>
      </c>
      <c r="D1639" s="81" t="s">
        <v>5641</v>
      </c>
      <c r="E1639" s="81" t="s">
        <v>16</v>
      </c>
      <c r="F1639" s="81" t="s">
        <v>369</v>
      </c>
      <c r="G1639" s="81" t="s">
        <v>5807</v>
      </c>
      <c r="H1639" s="81" t="s">
        <v>5649</v>
      </c>
    </row>
    <row r="1640" spans="1:8" x14ac:dyDescent="0.3">
      <c r="A1640" s="81" t="s">
        <v>6111</v>
      </c>
      <c r="B1640" s="81" t="s">
        <v>5641</v>
      </c>
      <c r="C1640" s="81" t="s">
        <v>5642</v>
      </c>
      <c r="D1640" s="81" t="s">
        <v>5641</v>
      </c>
      <c r="E1640" s="81" t="s">
        <v>16</v>
      </c>
      <c r="F1640" s="81" t="s">
        <v>370</v>
      </c>
      <c r="G1640" s="81" t="s">
        <v>5809</v>
      </c>
      <c r="H1640" s="81" t="s">
        <v>5650</v>
      </c>
    </row>
    <row r="1641" spans="1:8" x14ac:dyDescent="0.3">
      <c r="A1641" s="81" t="s">
        <v>6112</v>
      </c>
      <c r="B1641" s="81" t="s">
        <v>5641</v>
      </c>
      <c r="C1641" s="81" t="s">
        <v>5642</v>
      </c>
      <c r="D1641" s="81" t="s">
        <v>5641</v>
      </c>
      <c r="E1641" s="81" t="s">
        <v>16</v>
      </c>
      <c r="F1641" s="81" t="s">
        <v>371</v>
      </c>
      <c r="G1641" s="81" t="s">
        <v>5811</v>
      </c>
      <c r="H1641" s="81" t="s">
        <v>5651</v>
      </c>
    </row>
    <row r="1642" spans="1:8" x14ac:dyDescent="0.3">
      <c r="A1642" s="81" t="s">
        <v>6113</v>
      </c>
      <c r="B1642" s="81" t="s">
        <v>5641</v>
      </c>
      <c r="C1642" s="81" t="s">
        <v>5642</v>
      </c>
      <c r="D1642" s="81" t="s">
        <v>5641</v>
      </c>
      <c r="E1642" s="81" t="s">
        <v>16</v>
      </c>
      <c r="F1642" s="81" t="s">
        <v>372</v>
      </c>
      <c r="G1642" s="81" t="s">
        <v>5813</v>
      </c>
      <c r="H1642" s="81" t="s">
        <v>5652</v>
      </c>
    </row>
    <row r="1643" spans="1:8" x14ac:dyDescent="0.3">
      <c r="A1643" s="81" t="s">
        <v>6114</v>
      </c>
      <c r="B1643" s="81" t="s">
        <v>5641</v>
      </c>
      <c r="C1643" s="81" t="s">
        <v>5642</v>
      </c>
      <c r="D1643" s="81" t="s">
        <v>5641</v>
      </c>
      <c r="E1643" s="81" t="s">
        <v>16</v>
      </c>
      <c r="F1643" s="81" t="s">
        <v>373</v>
      </c>
      <c r="G1643" s="81" t="s">
        <v>5815</v>
      </c>
      <c r="H1643" s="81" t="s">
        <v>5653</v>
      </c>
    </row>
    <row r="1644" spans="1:8" x14ac:dyDescent="0.3">
      <c r="A1644" s="81" t="s">
        <v>6115</v>
      </c>
      <c r="B1644" s="81" t="s">
        <v>5641</v>
      </c>
      <c r="C1644" s="81" t="s">
        <v>5642</v>
      </c>
      <c r="D1644" s="81" t="s">
        <v>5641</v>
      </c>
      <c r="E1644" s="81" t="s">
        <v>16</v>
      </c>
      <c r="F1644" s="81" t="s">
        <v>374</v>
      </c>
      <c r="G1644" s="81" t="s">
        <v>5817</v>
      </c>
      <c r="H1644" s="81" t="s">
        <v>5654</v>
      </c>
    </row>
    <row r="1645" spans="1:8" x14ac:dyDescent="0.3">
      <c r="A1645" s="81" t="s">
        <v>6116</v>
      </c>
      <c r="B1645" s="81" t="s">
        <v>5641</v>
      </c>
      <c r="C1645" s="81" t="s">
        <v>5642</v>
      </c>
      <c r="D1645" s="81" t="s">
        <v>5641</v>
      </c>
      <c r="E1645" s="81" t="s">
        <v>16</v>
      </c>
      <c r="F1645" s="81" t="s">
        <v>375</v>
      </c>
      <c r="G1645" s="81" t="s">
        <v>5819</v>
      </c>
      <c r="H1645" s="81" t="s">
        <v>5655</v>
      </c>
    </row>
    <row r="1646" spans="1:8" x14ac:dyDescent="0.3">
      <c r="A1646" s="81" t="s">
        <v>6117</v>
      </c>
      <c r="B1646" s="81" t="s">
        <v>5641</v>
      </c>
      <c r="C1646" s="81" t="s">
        <v>5642</v>
      </c>
      <c r="D1646" s="81" t="s">
        <v>5641</v>
      </c>
      <c r="E1646" s="81" t="s">
        <v>16</v>
      </c>
      <c r="F1646" s="81" t="s">
        <v>376</v>
      </c>
      <c r="G1646" s="81" t="s">
        <v>5821</v>
      </c>
      <c r="H1646" s="81" t="s">
        <v>5656</v>
      </c>
    </row>
    <row r="1647" spans="1:8" x14ac:dyDescent="0.3">
      <c r="A1647" s="81" t="s">
        <v>6118</v>
      </c>
      <c r="B1647" s="81" t="s">
        <v>5641</v>
      </c>
      <c r="C1647" s="81" t="s">
        <v>5642</v>
      </c>
      <c r="D1647" s="81" t="s">
        <v>5641</v>
      </c>
      <c r="E1647" s="81" t="s">
        <v>16</v>
      </c>
      <c r="F1647" s="81" t="s">
        <v>377</v>
      </c>
      <c r="G1647" s="81" t="s">
        <v>5823</v>
      </c>
      <c r="H1647" s="81" t="s">
        <v>5657</v>
      </c>
    </row>
    <row r="1648" spans="1:8" x14ac:dyDescent="0.3">
      <c r="A1648" s="81" t="s">
        <v>6119</v>
      </c>
      <c r="B1648" s="81" t="s">
        <v>5641</v>
      </c>
      <c r="C1648" s="81" t="s">
        <v>5642</v>
      </c>
      <c r="D1648" s="81" t="s">
        <v>5641</v>
      </c>
      <c r="E1648" s="81" t="s">
        <v>16</v>
      </c>
      <c r="F1648" s="81" t="s">
        <v>378</v>
      </c>
      <c r="G1648" s="81" t="s">
        <v>5825</v>
      </c>
      <c r="H1648" s="81" t="s">
        <v>5658</v>
      </c>
    </row>
    <row r="1649" spans="1:8" x14ac:dyDescent="0.3">
      <c r="A1649" s="81" t="s">
        <v>6120</v>
      </c>
      <c r="B1649" s="81" t="s">
        <v>5641</v>
      </c>
      <c r="C1649" s="81" t="s">
        <v>5642</v>
      </c>
      <c r="D1649" s="81" t="s">
        <v>5641</v>
      </c>
      <c r="E1649" s="81" t="s">
        <v>16</v>
      </c>
      <c r="F1649" s="81" t="s">
        <v>379</v>
      </c>
      <c r="G1649" s="81" t="s">
        <v>5827</v>
      </c>
      <c r="H1649" s="81" t="s">
        <v>5659</v>
      </c>
    </row>
    <row r="1650" spans="1:8" x14ac:dyDescent="0.3">
      <c r="A1650" s="81" t="s">
        <v>6121</v>
      </c>
      <c r="B1650" s="81" t="s">
        <v>5641</v>
      </c>
      <c r="C1650" s="81" t="s">
        <v>5642</v>
      </c>
      <c r="D1650" s="81" t="s">
        <v>5641</v>
      </c>
      <c r="E1650" s="81" t="s">
        <v>16</v>
      </c>
      <c r="F1650" s="81" t="s">
        <v>380</v>
      </c>
      <c r="G1650" s="81" t="s">
        <v>5829</v>
      </c>
      <c r="H1650" s="81" t="s">
        <v>5660</v>
      </c>
    </row>
    <row r="1651" spans="1:8" x14ac:dyDescent="0.3">
      <c r="A1651" s="81" t="s">
        <v>6122</v>
      </c>
      <c r="B1651" s="81" t="s">
        <v>5641</v>
      </c>
      <c r="C1651" s="81" t="s">
        <v>5642</v>
      </c>
      <c r="D1651" s="81" t="s">
        <v>5641</v>
      </c>
      <c r="E1651" s="81" t="s">
        <v>16</v>
      </c>
      <c r="F1651" s="81" t="s">
        <v>381</v>
      </c>
      <c r="G1651" s="81" t="s">
        <v>5831</v>
      </c>
      <c r="H1651" s="81" t="s">
        <v>5661</v>
      </c>
    </row>
    <row r="1652" spans="1:8" x14ac:dyDescent="0.3">
      <c r="A1652" s="81" t="s">
        <v>6123</v>
      </c>
      <c r="B1652" s="81" t="s">
        <v>5641</v>
      </c>
      <c r="C1652" s="81" t="s">
        <v>5642</v>
      </c>
      <c r="D1652" s="81" t="s">
        <v>5641</v>
      </c>
      <c r="E1652" s="81" t="s">
        <v>16</v>
      </c>
      <c r="F1652" s="81" t="s">
        <v>382</v>
      </c>
      <c r="G1652" s="81" t="s">
        <v>5833</v>
      </c>
      <c r="H1652" s="81" t="s">
        <v>5662</v>
      </c>
    </row>
    <row r="1653" spans="1:8" x14ac:dyDescent="0.3">
      <c r="A1653" s="81" t="s">
        <v>6124</v>
      </c>
      <c r="B1653" s="81" t="s">
        <v>5641</v>
      </c>
      <c r="C1653" s="81" t="s">
        <v>5642</v>
      </c>
      <c r="D1653" s="81" t="s">
        <v>5641</v>
      </c>
      <c r="E1653" s="81" t="s">
        <v>16</v>
      </c>
      <c r="F1653" s="81" t="s">
        <v>383</v>
      </c>
      <c r="G1653" s="81" t="s">
        <v>5835</v>
      </c>
      <c r="H1653" s="81" t="s">
        <v>5663</v>
      </c>
    </row>
    <row r="1654" spans="1:8" x14ac:dyDescent="0.3">
      <c r="A1654" s="81" t="s">
        <v>6125</v>
      </c>
      <c r="B1654" s="81" t="s">
        <v>5641</v>
      </c>
      <c r="C1654" s="81" t="s">
        <v>5664</v>
      </c>
      <c r="D1654" s="81" t="s">
        <v>5641</v>
      </c>
      <c r="E1654" s="81" t="s">
        <v>20</v>
      </c>
      <c r="F1654" s="81" t="s">
        <v>15</v>
      </c>
      <c r="G1654" s="81" t="s">
        <v>5666</v>
      </c>
      <c r="H1654" s="81" t="s">
        <v>5669</v>
      </c>
    </row>
    <row r="1655" spans="1:8" x14ac:dyDescent="0.3">
      <c r="A1655" s="81" t="s">
        <v>6126</v>
      </c>
      <c r="B1655" s="81" t="s">
        <v>5641</v>
      </c>
      <c r="C1655" s="81" t="s">
        <v>5664</v>
      </c>
      <c r="D1655" s="81" t="s">
        <v>5641</v>
      </c>
      <c r="E1655" s="81" t="s">
        <v>16</v>
      </c>
      <c r="F1655" s="81" t="s">
        <v>368</v>
      </c>
      <c r="G1655" s="81" t="s">
        <v>5837</v>
      </c>
      <c r="H1655" s="81" t="s">
        <v>5670</v>
      </c>
    </row>
    <row r="1656" spans="1:8" x14ac:dyDescent="0.3">
      <c r="A1656" s="81" t="s">
        <v>6127</v>
      </c>
      <c r="B1656" s="81" t="s">
        <v>5641</v>
      </c>
      <c r="C1656" s="81" t="s">
        <v>5664</v>
      </c>
      <c r="D1656" s="81" t="s">
        <v>5641</v>
      </c>
      <c r="E1656" s="81" t="s">
        <v>16</v>
      </c>
      <c r="F1656" s="81" t="s">
        <v>369</v>
      </c>
      <c r="G1656" s="81" t="s">
        <v>5839</v>
      </c>
      <c r="H1656" s="81" t="s">
        <v>5671</v>
      </c>
    </row>
    <row r="1657" spans="1:8" x14ac:dyDescent="0.3">
      <c r="A1657" s="81" t="s">
        <v>6128</v>
      </c>
      <c r="B1657" s="81" t="s">
        <v>5641</v>
      </c>
      <c r="C1657" s="81" t="s">
        <v>5664</v>
      </c>
      <c r="D1657" s="81" t="s">
        <v>5641</v>
      </c>
      <c r="E1657" s="81" t="s">
        <v>16</v>
      </c>
      <c r="F1657" s="81" t="s">
        <v>370</v>
      </c>
      <c r="G1657" s="81" t="s">
        <v>5841</v>
      </c>
      <c r="H1657" s="81" t="s">
        <v>5672</v>
      </c>
    </row>
    <row r="1658" spans="1:8" x14ac:dyDescent="0.3">
      <c r="A1658" s="81" t="s">
        <v>6129</v>
      </c>
      <c r="B1658" s="81" t="s">
        <v>5641</v>
      </c>
      <c r="C1658" s="81" t="s">
        <v>5664</v>
      </c>
      <c r="D1658" s="81" t="s">
        <v>5641</v>
      </c>
      <c r="E1658" s="81" t="s">
        <v>16</v>
      </c>
      <c r="F1658" s="81" t="s">
        <v>371</v>
      </c>
      <c r="G1658" s="81" t="s">
        <v>5843</v>
      </c>
      <c r="H1658" s="81" t="s">
        <v>5673</v>
      </c>
    </row>
    <row r="1659" spans="1:8" x14ac:dyDescent="0.3">
      <c r="A1659" s="81" t="s">
        <v>6130</v>
      </c>
      <c r="B1659" s="81" t="s">
        <v>5641</v>
      </c>
      <c r="C1659" s="81" t="s">
        <v>5664</v>
      </c>
      <c r="D1659" s="81" t="s">
        <v>5641</v>
      </c>
      <c r="E1659" s="81" t="s">
        <v>16</v>
      </c>
      <c r="F1659" s="81" t="s">
        <v>372</v>
      </c>
      <c r="G1659" s="81" t="s">
        <v>5845</v>
      </c>
      <c r="H1659" s="81" t="s">
        <v>5674</v>
      </c>
    </row>
    <row r="1660" spans="1:8" x14ac:dyDescent="0.3">
      <c r="A1660" s="81" t="s">
        <v>6131</v>
      </c>
      <c r="B1660" s="81" t="s">
        <v>5641</v>
      </c>
      <c r="C1660" s="81" t="s">
        <v>5664</v>
      </c>
      <c r="D1660" s="81" t="s">
        <v>5641</v>
      </c>
      <c r="E1660" s="81" t="s">
        <v>16</v>
      </c>
      <c r="F1660" s="81" t="s">
        <v>373</v>
      </c>
      <c r="G1660" s="81" t="s">
        <v>5847</v>
      </c>
      <c r="H1660" s="81" t="s">
        <v>5675</v>
      </c>
    </row>
    <row r="1661" spans="1:8" x14ac:dyDescent="0.3">
      <c r="A1661" s="81" t="s">
        <v>6132</v>
      </c>
      <c r="B1661" s="81" t="s">
        <v>5641</v>
      </c>
      <c r="C1661" s="81" t="s">
        <v>5664</v>
      </c>
      <c r="D1661" s="81" t="s">
        <v>5641</v>
      </c>
      <c r="E1661" s="81" t="s">
        <v>16</v>
      </c>
      <c r="F1661" s="81" t="s">
        <v>374</v>
      </c>
      <c r="G1661" s="81" t="s">
        <v>5849</v>
      </c>
      <c r="H1661" s="81" t="s">
        <v>5676</v>
      </c>
    </row>
    <row r="1662" spans="1:8" x14ac:dyDescent="0.3">
      <c r="A1662" s="81" t="s">
        <v>6133</v>
      </c>
      <c r="B1662" s="81" t="s">
        <v>5641</v>
      </c>
      <c r="C1662" s="81" t="s">
        <v>5664</v>
      </c>
      <c r="D1662" s="81" t="s">
        <v>5641</v>
      </c>
      <c r="E1662" s="81" t="s">
        <v>16</v>
      </c>
      <c r="F1662" s="81" t="s">
        <v>375</v>
      </c>
      <c r="G1662" s="81" t="s">
        <v>5851</v>
      </c>
      <c r="H1662" s="81" t="s">
        <v>5677</v>
      </c>
    </row>
    <row r="1663" spans="1:8" x14ac:dyDescent="0.3">
      <c r="A1663" s="81" t="s">
        <v>6134</v>
      </c>
      <c r="B1663" s="81" t="s">
        <v>5641</v>
      </c>
      <c r="C1663" s="81" t="s">
        <v>5664</v>
      </c>
      <c r="D1663" s="81" t="s">
        <v>5641</v>
      </c>
      <c r="E1663" s="81" t="s">
        <v>16</v>
      </c>
      <c r="F1663" s="81" t="s">
        <v>376</v>
      </c>
      <c r="G1663" s="81" t="s">
        <v>5853</v>
      </c>
      <c r="H1663" s="81" t="s">
        <v>5678</v>
      </c>
    </row>
    <row r="1664" spans="1:8" x14ac:dyDescent="0.3">
      <c r="A1664" s="81" t="s">
        <v>6135</v>
      </c>
      <c r="B1664" s="81" t="s">
        <v>5641</v>
      </c>
      <c r="C1664" s="81" t="s">
        <v>5664</v>
      </c>
      <c r="D1664" s="81" t="s">
        <v>5641</v>
      </c>
      <c r="E1664" s="81" t="s">
        <v>16</v>
      </c>
      <c r="F1664" s="81" t="s">
        <v>377</v>
      </c>
      <c r="G1664" s="81" t="s">
        <v>5855</v>
      </c>
      <c r="H1664" s="81" t="s">
        <v>5679</v>
      </c>
    </row>
    <row r="1665" spans="1:8" x14ac:dyDescent="0.3">
      <c r="A1665" s="81" t="s">
        <v>6136</v>
      </c>
      <c r="B1665" s="81" t="s">
        <v>5641</v>
      </c>
      <c r="C1665" s="81" t="s">
        <v>5664</v>
      </c>
      <c r="D1665" s="81" t="s">
        <v>5641</v>
      </c>
      <c r="E1665" s="81" t="s">
        <v>16</v>
      </c>
      <c r="F1665" s="81" t="s">
        <v>378</v>
      </c>
      <c r="G1665" s="81" t="s">
        <v>5857</v>
      </c>
      <c r="H1665" s="81" t="s">
        <v>5680</v>
      </c>
    </row>
    <row r="1666" spans="1:8" x14ac:dyDescent="0.3">
      <c r="A1666" s="81" t="s">
        <v>6137</v>
      </c>
      <c r="B1666" s="81" t="s">
        <v>5641</v>
      </c>
      <c r="C1666" s="81" t="s">
        <v>5664</v>
      </c>
      <c r="D1666" s="81" t="s">
        <v>5641</v>
      </c>
      <c r="E1666" s="81" t="s">
        <v>16</v>
      </c>
      <c r="F1666" s="81" t="s">
        <v>379</v>
      </c>
      <c r="G1666" s="81" t="s">
        <v>5859</v>
      </c>
      <c r="H1666" s="81" t="s">
        <v>5681</v>
      </c>
    </row>
    <row r="1667" spans="1:8" x14ac:dyDescent="0.3">
      <c r="A1667" s="81" t="s">
        <v>6138</v>
      </c>
      <c r="B1667" s="81" t="s">
        <v>5641</v>
      </c>
      <c r="C1667" s="81" t="s">
        <v>5664</v>
      </c>
      <c r="D1667" s="81" t="s">
        <v>5641</v>
      </c>
      <c r="E1667" s="81" t="s">
        <v>16</v>
      </c>
      <c r="F1667" s="81" t="s">
        <v>380</v>
      </c>
      <c r="G1667" s="81" t="s">
        <v>5861</v>
      </c>
      <c r="H1667" s="81" t="s">
        <v>5682</v>
      </c>
    </row>
    <row r="1668" spans="1:8" x14ac:dyDescent="0.3">
      <c r="A1668" s="81" t="s">
        <v>6139</v>
      </c>
      <c r="B1668" s="81" t="s">
        <v>5641</v>
      </c>
      <c r="C1668" s="81" t="s">
        <v>5664</v>
      </c>
      <c r="D1668" s="81" t="s">
        <v>5641</v>
      </c>
      <c r="E1668" s="81" t="s">
        <v>16</v>
      </c>
      <c r="F1668" s="81" t="s">
        <v>381</v>
      </c>
      <c r="G1668" s="81" t="s">
        <v>5863</v>
      </c>
      <c r="H1668" s="81" t="s">
        <v>5683</v>
      </c>
    </row>
    <row r="1669" spans="1:8" x14ac:dyDescent="0.3">
      <c r="A1669" s="81" t="s">
        <v>6140</v>
      </c>
      <c r="B1669" s="81" t="s">
        <v>5641</v>
      </c>
      <c r="C1669" s="81" t="s">
        <v>5664</v>
      </c>
      <c r="D1669" s="81" t="s">
        <v>5641</v>
      </c>
      <c r="E1669" s="81" t="s">
        <v>16</v>
      </c>
      <c r="F1669" s="81" t="s">
        <v>382</v>
      </c>
      <c r="G1669" s="81" t="s">
        <v>5865</v>
      </c>
      <c r="H1669" s="81" t="s">
        <v>5684</v>
      </c>
    </row>
    <row r="1670" spans="1:8" x14ac:dyDescent="0.3">
      <c r="A1670" s="81" t="s">
        <v>6141</v>
      </c>
      <c r="B1670" s="81" t="s">
        <v>5641</v>
      </c>
      <c r="C1670" s="81" t="s">
        <v>5664</v>
      </c>
      <c r="D1670" s="81" t="s">
        <v>5641</v>
      </c>
      <c r="E1670" s="81" t="s">
        <v>16</v>
      </c>
      <c r="F1670" s="81" t="s">
        <v>383</v>
      </c>
      <c r="G1670" s="81" t="s">
        <v>5867</v>
      </c>
      <c r="H1670" s="81" t="s">
        <v>5685</v>
      </c>
    </row>
    <row r="1671" spans="1:8" x14ac:dyDescent="0.3">
      <c r="A1671" s="81" t="s">
        <v>6142</v>
      </c>
      <c r="B1671" s="81" t="s">
        <v>578</v>
      </c>
      <c r="C1671" s="81" t="s">
        <v>5686</v>
      </c>
      <c r="D1671" s="81" t="s">
        <v>7428</v>
      </c>
      <c r="E1671" s="81" t="s">
        <v>20</v>
      </c>
      <c r="F1671" s="81" t="s">
        <v>15</v>
      </c>
      <c r="G1671" s="81" t="s">
        <v>5688</v>
      </c>
      <c r="H1671" s="81" t="s">
        <v>5690</v>
      </c>
    </row>
    <row r="1672" spans="1:8" x14ac:dyDescent="0.3">
      <c r="A1672" s="81" t="s">
        <v>6143</v>
      </c>
      <c r="B1672" s="81" t="s">
        <v>578</v>
      </c>
      <c r="C1672" s="81" t="s">
        <v>5691</v>
      </c>
      <c r="D1672" s="81" t="s">
        <v>7428</v>
      </c>
      <c r="E1672" s="81" t="s">
        <v>20</v>
      </c>
      <c r="F1672" s="81" t="s">
        <v>15</v>
      </c>
      <c r="G1672" s="81" t="s">
        <v>5693</v>
      </c>
      <c r="H1672" s="81" t="s">
        <v>5695</v>
      </c>
    </row>
    <row r="1673" spans="1:8" x14ac:dyDescent="0.3">
      <c r="A1673" s="81" t="s">
        <v>6144</v>
      </c>
      <c r="B1673" s="81" t="s">
        <v>578</v>
      </c>
      <c r="C1673" s="81" t="s">
        <v>5696</v>
      </c>
      <c r="D1673" s="81" t="s">
        <v>7428</v>
      </c>
      <c r="E1673" s="81" t="s">
        <v>20</v>
      </c>
      <c r="F1673" s="81" t="s">
        <v>15</v>
      </c>
      <c r="G1673" s="81" t="s">
        <v>5698</v>
      </c>
      <c r="H1673" s="81" t="s">
        <v>5700</v>
      </c>
    </row>
    <row r="1674" spans="1:8" x14ac:dyDescent="0.3">
      <c r="A1674" s="81" t="s">
        <v>6145</v>
      </c>
      <c r="B1674" s="81" t="s">
        <v>508</v>
      </c>
      <c r="C1674" s="81" t="s">
        <v>4179</v>
      </c>
      <c r="D1674" s="81" t="s">
        <v>3795</v>
      </c>
      <c r="E1674" s="81" t="s">
        <v>20</v>
      </c>
      <c r="F1674" s="81" t="s">
        <v>15</v>
      </c>
      <c r="G1674" s="81" t="s">
        <v>5703</v>
      </c>
      <c r="H1674" s="81" t="s">
        <v>5705</v>
      </c>
    </row>
    <row r="1675" spans="1:8" x14ac:dyDescent="0.3">
      <c r="A1675" s="81" t="s">
        <v>6146</v>
      </c>
      <c r="B1675" s="81" t="s">
        <v>508</v>
      </c>
      <c r="C1675" s="81" t="s">
        <v>4179</v>
      </c>
      <c r="D1675" s="81" t="s">
        <v>3795</v>
      </c>
      <c r="E1675" s="81" t="s">
        <v>16</v>
      </c>
      <c r="F1675" s="81" t="s">
        <v>368</v>
      </c>
      <c r="G1675" s="81" t="s">
        <v>5869</v>
      </c>
      <c r="H1675" s="81" t="s">
        <v>5706</v>
      </c>
    </row>
    <row r="1676" spans="1:8" x14ac:dyDescent="0.3">
      <c r="A1676" s="81" t="s">
        <v>6147</v>
      </c>
      <c r="B1676" s="81" t="s">
        <v>508</v>
      </c>
      <c r="C1676" s="81" t="s">
        <v>4179</v>
      </c>
      <c r="D1676" s="81" t="s">
        <v>3795</v>
      </c>
      <c r="E1676" s="81" t="s">
        <v>16</v>
      </c>
      <c r="F1676" s="81" t="s">
        <v>369</v>
      </c>
      <c r="G1676" s="81" t="s">
        <v>5871</v>
      </c>
      <c r="H1676" s="81" t="s">
        <v>5707</v>
      </c>
    </row>
    <row r="1677" spans="1:8" x14ac:dyDescent="0.3">
      <c r="A1677" s="81" t="s">
        <v>6148</v>
      </c>
      <c r="B1677" s="81" t="s">
        <v>508</v>
      </c>
      <c r="C1677" s="81" t="s">
        <v>4179</v>
      </c>
      <c r="D1677" s="81" t="s">
        <v>3795</v>
      </c>
      <c r="E1677" s="81" t="s">
        <v>16</v>
      </c>
      <c r="F1677" s="81" t="s">
        <v>370</v>
      </c>
      <c r="G1677" s="81" t="s">
        <v>5873</v>
      </c>
      <c r="H1677" s="81" t="s">
        <v>5708</v>
      </c>
    </row>
    <row r="1678" spans="1:8" x14ac:dyDescent="0.3">
      <c r="A1678" s="81" t="s">
        <v>6149</v>
      </c>
      <c r="B1678" s="81" t="s">
        <v>508</v>
      </c>
      <c r="C1678" s="81" t="s">
        <v>4179</v>
      </c>
      <c r="D1678" s="81" t="s">
        <v>3795</v>
      </c>
      <c r="E1678" s="81" t="s">
        <v>16</v>
      </c>
      <c r="F1678" s="81" t="s">
        <v>371</v>
      </c>
      <c r="G1678" s="81" t="s">
        <v>5875</v>
      </c>
      <c r="H1678" s="81" t="s">
        <v>5709</v>
      </c>
    </row>
    <row r="1679" spans="1:8" x14ac:dyDescent="0.3">
      <c r="A1679" s="81" t="s">
        <v>6150</v>
      </c>
      <c r="B1679" s="81" t="s">
        <v>508</v>
      </c>
      <c r="C1679" s="81" t="s">
        <v>4179</v>
      </c>
      <c r="D1679" s="81" t="s">
        <v>3795</v>
      </c>
      <c r="E1679" s="81" t="s">
        <v>16</v>
      </c>
      <c r="F1679" s="81" t="s">
        <v>372</v>
      </c>
      <c r="G1679" s="81" t="s">
        <v>5877</v>
      </c>
      <c r="H1679" s="81" t="s">
        <v>5710</v>
      </c>
    </row>
    <row r="1680" spans="1:8" x14ac:dyDescent="0.3">
      <c r="A1680" s="81" t="s">
        <v>6151</v>
      </c>
      <c r="B1680" s="81" t="s">
        <v>508</v>
      </c>
      <c r="C1680" s="81" t="s">
        <v>4179</v>
      </c>
      <c r="D1680" s="81" t="s">
        <v>3795</v>
      </c>
      <c r="E1680" s="81" t="s">
        <v>16</v>
      </c>
      <c r="F1680" s="81" t="s">
        <v>373</v>
      </c>
      <c r="G1680" s="81" t="s">
        <v>5879</v>
      </c>
      <c r="H1680" s="81" t="s">
        <v>5711</v>
      </c>
    </row>
    <row r="1681" spans="1:8" x14ac:dyDescent="0.3">
      <c r="A1681" s="81" t="s">
        <v>6152</v>
      </c>
      <c r="B1681" s="81" t="s">
        <v>508</v>
      </c>
      <c r="C1681" s="81" t="s">
        <v>4179</v>
      </c>
      <c r="D1681" s="81" t="s">
        <v>3795</v>
      </c>
      <c r="E1681" s="81" t="s">
        <v>16</v>
      </c>
      <c r="F1681" s="81" t="s">
        <v>374</v>
      </c>
      <c r="G1681" s="81" t="s">
        <v>5881</v>
      </c>
      <c r="H1681" s="81" t="s">
        <v>5712</v>
      </c>
    </row>
    <row r="1682" spans="1:8" x14ac:dyDescent="0.3">
      <c r="A1682" s="81" t="s">
        <v>6153</v>
      </c>
      <c r="B1682" s="81" t="s">
        <v>508</v>
      </c>
      <c r="C1682" s="81" t="s">
        <v>4179</v>
      </c>
      <c r="D1682" s="81" t="s">
        <v>3795</v>
      </c>
      <c r="E1682" s="81" t="s">
        <v>16</v>
      </c>
      <c r="F1682" s="81" t="s">
        <v>375</v>
      </c>
      <c r="G1682" s="81" t="s">
        <v>5883</v>
      </c>
      <c r="H1682" s="81" t="s">
        <v>5713</v>
      </c>
    </row>
    <row r="1683" spans="1:8" x14ac:dyDescent="0.3">
      <c r="A1683" s="81" t="s">
        <v>6154</v>
      </c>
      <c r="B1683" s="81" t="s">
        <v>508</v>
      </c>
      <c r="C1683" s="81" t="s">
        <v>4179</v>
      </c>
      <c r="D1683" s="81" t="s">
        <v>3795</v>
      </c>
      <c r="E1683" s="81" t="s">
        <v>16</v>
      </c>
      <c r="F1683" s="81" t="s">
        <v>376</v>
      </c>
      <c r="G1683" s="81" t="s">
        <v>5885</v>
      </c>
      <c r="H1683" s="81" t="s">
        <v>5714</v>
      </c>
    </row>
    <row r="1684" spans="1:8" x14ac:dyDescent="0.3">
      <c r="A1684" s="81" t="s">
        <v>6155</v>
      </c>
      <c r="B1684" s="81" t="s">
        <v>508</v>
      </c>
      <c r="C1684" s="81" t="s">
        <v>4179</v>
      </c>
      <c r="D1684" s="81" t="s">
        <v>3795</v>
      </c>
      <c r="E1684" s="81" t="s">
        <v>16</v>
      </c>
      <c r="F1684" s="81" t="s">
        <v>377</v>
      </c>
      <c r="G1684" s="81" t="s">
        <v>5887</v>
      </c>
      <c r="H1684" s="81" t="s">
        <v>5715</v>
      </c>
    </row>
    <row r="1685" spans="1:8" x14ac:dyDescent="0.3">
      <c r="A1685" s="81" t="s">
        <v>6156</v>
      </c>
      <c r="B1685" s="81" t="s">
        <v>508</v>
      </c>
      <c r="C1685" s="81" t="s">
        <v>4179</v>
      </c>
      <c r="D1685" s="81" t="s">
        <v>3795</v>
      </c>
      <c r="E1685" s="81" t="s">
        <v>16</v>
      </c>
      <c r="F1685" s="81" t="s">
        <v>378</v>
      </c>
      <c r="G1685" s="81" t="s">
        <v>5889</v>
      </c>
      <c r="H1685" s="81" t="s">
        <v>5716</v>
      </c>
    </row>
    <row r="1686" spans="1:8" x14ac:dyDescent="0.3">
      <c r="A1686" s="81" t="s">
        <v>6157</v>
      </c>
      <c r="B1686" s="81" t="s">
        <v>508</v>
      </c>
      <c r="C1686" s="81" t="s">
        <v>4179</v>
      </c>
      <c r="D1686" s="81" t="s">
        <v>3795</v>
      </c>
      <c r="E1686" s="81" t="s">
        <v>16</v>
      </c>
      <c r="F1686" s="81" t="s">
        <v>379</v>
      </c>
      <c r="G1686" s="81" t="s">
        <v>5891</v>
      </c>
      <c r="H1686" s="81" t="s">
        <v>5717</v>
      </c>
    </row>
    <row r="1687" spans="1:8" x14ac:dyDescent="0.3">
      <c r="A1687" s="81" t="s">
        <v>6158</v>
      </c>
      <c r="B1687" s="81" t="s">
        <v>508</v>
      </c>
      <c r="C1687" s="81" t="s">
        <v>4179</v>
      </c>
      <c r="D1687" s="81" t="s">
        <v>3795</v>
      </c>
      <c r="E1687" s="81" t="s">
        <v>16</v>
      </c>
      <c r="F1687" s="81" t="s">
        <v>380</v>
      </c>
      <c r="G1687" s="81" t="s">
        <v>5893</v>
      </c>
      <c r="H1687" s="81" t="s">
        <v>5718</v>
      </c>
    </row>
    <row r="1688" spans="1:8" x14ac:dyDescent="0.3">
      <c r="A1688" s="81" t="s">
        <v>6159</v>
      </c>
      <c r="B1688" s="81" t="s">
        <v>508</v>
      </c>
      <c r="C1688" s="81" t="s">
        <v>4179</v>
      </c>
      <c r="D1688" s="81" t="s">
        <v>3795</v>
      </c>
      <c r="E1688" s="81" t="s">
        <v>16</v>
      </c>
      <c r="F1688" s="81" t="s">
        <v>381</v>
      </c>
      <c r="G1688" s="81" t="s">
        <v>5895</v>
      </c>
      <c r="H1688" s="81" t="s">
        <v>5719</v>
      </c>
    </row>
    <row r="1689" spans="1:8" x14ac:dyDescent="0.3">
      <c r="A1689" s="81" t="s">
        <v>6160</v>
      </c>
      <c r="B1689" s="81" t="s">
        <v>508</v>
      </c>
      <c r="C1689" s="81" t="s">
        <v>4179</v>
      </c>
      <c r="D1689" s="81" t="s">
        <v>3795</v>
      </c>
      <c r="E1689" s="81" t="s">
        <v>16</v>
      </c>
      <c r="F1689" s="81" t="s">
        <v>382</v>
      </c>
      <c r="G1689" s="81" t="s">
        <v>5897</v>
      </c>
      <c r="H1689" s="81" t="s">
        <v>5720</v>
      </c>
    </row>
    <row r="1690" spans="1:8" x14ac:dyDescent="0.3">
      <c r="A1690" s="81" t="s">
        <v>6161</v>
      </c>
      <c r="B1690" s="81" t="s">
        <v>508</v>
      </c>
      <c r="C1690" s="81" t="s">
        <v>4179</v>
      </c>
      <c r="D1690" s="81" t="s">
        <v>3795</v>
      </c>
      <c r="E1690" s="81" t="s">
        <v>16</v>
      </c>
      <c r="F1690" s="81" t="s">
        <v>383</v>
      </c>
      <c r="G1690" s="81" t="s">
        <v>5899</v>
      </c>
      <c r="H1690" s="81" t="s">
        <v>5721</v>
      </c>
    </row>
    <row r="1691" spans="1:8" x14ac:dyDescent="0.3">
      <c r="A1691" s="81" t="s">
        <v>6162</v>
      </c>
      <c r="B1691" s="81" t="s">
        <v>508</v>
      </c>
      <c r="C1691" s="81" t="s">
        <v>4201</v>
      </c>
      <c r="D1691" s="81" t="s">
        <v>3795</v>
      </c>
      <c r="E1691" s="81" t="s">
        <v>20</v>
      </c>
      <c r="F1691" s="81" t="s">
        <v>15</v>
      </c>
      <c r="G1691" s="81" t="s">
        <v>5901</v>
      </c>
      <c r="H1691" s="81" t="s">
        <v>5725</v>
      </c>
    </row>
    <row r="1692" spans="1:8" x14ac:dyDescent="0.3">
      <c r="A1692" s="81" t="s">
        <v>6163</v>
      </c>
      <c r="B1692" s="81" t="s">
        <v>508</v>
      </c>
      <c r="C1692" s="81" t="s">
        <v>4201</v>
      </c>
      <c r="D1692" s="81" t="s">
        <v>3795</v>
      </c>
      <c r="E1692" s="81" t="s">
        <v>16</v>
      </c>
      <c r="F1692" s="81" t="s">
        <v>368</v>
      </c>
      <c r="G1692" s="81" t="s">
        <v>5902</v>
      </c>
      <c r="H1692" s="81" t="s">
        <v>5726</v>
      </c>
    </row>
    <row r="1693" spans="1:8" x14ac:dyDescent="0.3">
      <c r="A1693" s="81" t="s">
        <v>6164</v>
      </c>
      <c r="B1693" s="81" t="s">
        <v>508</v>
      </c>
      <c r="C1693" s="81" t="s">
        <v>4201</v>
      </c>
      <c r="D1693" s="81" t="s">
        <v>3795</v>
      </c>
      <c r="E1693" s="81" t="s">
        <v>16</v>
      </c>
      <c r="F1693" s="81" t="s">
        <v>369</v>
      </c>
      <c r="G1693" s="81" t="s">
        <v>5904</v>
      </c>
      <c r="H1693" s="81" t="s">
        <v>5727</v>
      </c>
    </row>
    <row r="1694" spans="1:8" x14ac:dyDescent="0.3">
      <c r="A1694" s="81" t="s">
        <v>6165</v>
      </c>
      <c r="B1694" s="81" t="s">
        <v>508</v>
      </c>
      <c r="C1694" s="81" t="s">
        <v>4201</v>
      </c>
      <c r="D1694" s="81" t="s">
        <v>3795</v>
      </c>
      <c r="E1694" s="81" t="s">
        <v>16</v>
      </c>
      <c r="F1694" s="81" t="s">
        <v>370</v>
      </c>
      <c r="G1694" s="81" t="s">
        <v>5906</v>
      </c>
      <c r="H1694" s="81" t="s">
        <v>5728</v>
      </c>
    </row>
    <row r="1695" spans="1:8" x14ac:dyDescent="0.3">
      <c r="A1695" s="81" t="s">
        <v>6166</v>
      </c>
      <c r="B1695" s="81" t="s">
        <v>508</v>
      </c>
      <c r="C1695" s="81" t="s">
        <v>4201</v>
      </c>
      <c r="D1695" s="81" t="s">
        <v>3795</v>
      </c>
      <c r="E1695" s="81" t="s">
        <v>16</v>
      </c>
      <c r="F1695" s="81" t="s">
        <v>371</v>
      </c>
      <c r="G1695" s="81" t="s">
        <v>5908</v>
      </c>
      <c r="H1695" s="81" t="s">
        <v>5729</v>
      </c>
    </row>
    <row r="1696" spans="1:8" x14ac:dyDescent="0.3">
      <c r="A1696" s="81" t="s">
        <v>6167</v>
      </c>
      <c r="B1696" s="81" t="s">
        <v>508</v>
      </c>
      <c r="C1696" s="81" t="s">
        <v>4201</v>
      </c>
      <c r="D1696" s="81" t="s">
        <v>3795</v>
      </c>
      <c r="E1696" s="81" t="s">
        <v>16</v>
      </c>
      <c r="F1696" s="81" t="s">
        <v>372</v>
      </c>
      <c r="G1696" s="81" t="s">
        <v>5910</v>
      </c>
      <c r="H1696" s="81" t="s">
        <v>5730</v>
      </c>
    </row>
    <row r="1697" spans="1:8" x14ac:dyDescent="0.3">
      <c r="A1697" s="81" t="s">
        <v>6168</v>
      </c>
      <c r="B1697" s="81" t="s">
        <v>508</v>
      </c>
      <c r="C1697" s="81" t="s">
        <v>4201</v>
      </c>
      <c r="D1697" s="81" t="s">
        <v>3795</v>
      </c>
      <c r="E1697" s="81" t="s">
        <v>16</v>
      </c>
      <c r="F1697" s="81" t="s">
        <v>373</v>
      </c>
      <c r="G1697" s="81" t="s">
        <v>5912</v>
      </c>
      <c r="H1697" s="81" t="s">
        <v>5731</v>
      </c>
    </row>
    <row r="1698" spans="1:8" x14ac:dyDescent="0.3">
      <c r="A1698" s="81" t="s">
        <v>6169</v>
      </c>
      <c r="B1698" s="81" t="s">
        <v>508</v>
      </c>
      <c r="C1698" s="81" t="s">
        <v>4201</v>
      </c>
      <c r="D1698" s="81" t="s">
        <v>3795</v>
      </c>
      <c r="E1698" s="81" t="s">
        <v>16</v>
      </c>
      <c r="F1698" s="81" t="s">
        <v>374</v>
      </c>
      <c r="G1698" s="81" t="s">
        <v>5914</v>
      </c>
      <c r="H1698" s="81" t="s">
        <v>5732</v>
      </c>
    </row>
    <row r="1699" spans="1:8" x14ac:dyDescent="0.3">
      <c r="A1699" s="81" t="s">
        <v>6170</v>
      </c>
      <c r="B1699" s="81" t="s">
        <v>508</v>
      </c>
      <c r="C1699" s="81" t="s">
        <v>4201</v>
      </c>
      <c r="D1699" s="81" t="s">
        <v>3795</v>
      </c>
      <c r="E1699" s="81" t="s">
        <v>16</v>
      </c>
      <c r="F1699" s="81" t="s">
        <v>375</v>
      </c>
      <c r="G1699" s="81" t="s">
        <v>5916</v>
      </c>
      <c r="H1699" s="81" t="s">
        <v>5733</v>
      </c>
    </row>
    <row r="1700" spans="1:8" x14ac:dyDescent="0.3">
      <c r="A1700" s="81" t="s">
        <v>6171</v>
      </c>
      <c r="B1700" s="81" t="s">
        <v>508</v>
      </c>
      <c r="C1700" s="81" t="s">
        <v>4201</v>
      </c>
      <c r="D1700" s="81" t="s">
        <v>3795</v>
      </c>
      <c r="E1700" s="81" t="s">
        <v>16</v>
      </c>
      <c r="F1700" s="81" t="s">
        <v>376</v>
      </c>
      <c r="G1700" s="81" t="s">
        <v>5918</v>
      </c>
      <c r="H1700" s="81" t="s">
        <v>5734</v>
      </c>
    </row>
    <row r="1701" spans="1:8" x14ac:dyDescent="0.3">
      <c r="A1701" s="81" t="s">
        <v>6172</v>
      </c>
      <c r="B1701" s="81" t="s">
        <v>508</v>
      </c>
      <c r="C1701" s="81" t="s">
        <v>4201</v>
      </c>
      <c r="D1701" s="81" t="s">
        <v>3795</v>
      </c>
      <c r="E1701" s="81" t="s">
        <v>16</v>
      </c>
      <c r="F1701" s="81" t="s">
        <v>377</v>
      </c>
      <c r="G1701" s="81" t="s">
        <v>5920</v>
      </c>
      <c r="H1701" s="81" t="s">
        <v>5735</v>
      </c>
    </row>
    <row r="1702" spans="1:8" x14ac:dyDescent="0.3">
      <c r="A1702" s="81" t="s">
        <v>6173</v>
      </c>
      <c r="B1702" s="81" t="s">
        <v>508</v>
      </c>
      <c r="C1702" s="81" t="s">
        <v>4201</v>
      </c>
      <c r="D1702" s="81" t="s">
        <v>3795</v>
      </c>
      <c r="E1702" s="81" t="s">
        <v>16</v>
      </c>
      <c r="F1702" s="81" t="s">
        <v>378</v>
      </c>
      <c r="G1702" s="81" t="s">
        <v>5922</v>
      </c>
      <c r="H1702" s="81" t="s">
        <v>5736</v>
      </c>
    </row>
    <row r="1703" spans="1:8" x14ac:dyDescent="0.3">
      <c r="A1703" s="81" t="s">
        <v>6174</v>
      </c>
      <c r="B1703" s="81" t="s">
        <v>508</v>
      </c>
      <c r="C1703" s="81" t="s">
        <v>4201</v>
      </c>
      <c r="D1703" s="81" t="s">
        <v>3795</v>
      </c>
      <c r="E1703" s="81" t="s">
        <v>16</v>
      </c>
      <c r="F1703" s="81" t="s">
        <v>379</v>
      </c>
      <c r="G1703" s="81" t="s">
        <v>5924</v>
      </c>
      <c r="H1703" s="81" t="s">
        <v>5737</v>
      </c>
    </row>
    <row r="1704" spans="1:8" x14ac:dyDescent="0.3">
      <c r="A1704" s="81" t="s">
        <v>6175</v>
      </c>
      <c r="B1704" s="81" t="s">
        <v>508</v>
      </c>
      <c r="C1704" s="81" t="s">
        <v>4201</v>
      </c>
      <c r="D1704" s="81" t="s">
        <v>3795</v>
      </c>
      <c r="E1704" s="81" t="s">
        <v>16</v>
      </c>
      <c r="F1704" s="81" t="s">
        <v>380</v>
      </c>
      <c r="G1704" s="81" t="s">
        <v>5926</v>
      </c>
      <c r="H1704" s="81" t="s">
        <v>5738</v>
      </c>
    </row>
    <row r="1705" spans="1:8" x14ac:dyDescent="0.3">
      <c r="A1705" s="81" t="s">
        <v>6176</v>
      </c>
      <c r="B1705" s="81" t="s">
        <v>508</v>
      </c>
      <c r="C1705" s="81" t="s">
        <v>4201</v>
      </c>
      <c r="D1705" s="81" t="s">
        <v>3795</v>
      </c>
      <c r="E1705" s="81" t="s">
        <v>16</v>
      </c>
      <c r="F1705" s="81" t="s">
        <v>381</v>
      </c>
      <c r="G1705" s="81" t="s">
        <v>5928</v>
      </c>
      <c r="H1705" s="81" t="s">
        <v>5739</v>
      </c>
    </row>
    <row r="1706" spans="1:8" x14ac:dyDescent="0.3">
      <c r="A1706" s="81" t="s">
        <v>6177</v>
      </c>
      <c r="B1706" s="81" t="s">
        <v>508</v>
      </c>
      <c r="C1706" s="81" t="s">
        <v>4201</v>
      </c>
      <c r="D1706" s="81" t="s">
        <v>3795</v>
      </c>
      <c r="E1706" s="81" t="s">
        <v>16</v>
      </c>
      <c r="F1706" s="81" t="s">
        <v>382</v>
      </c>
      <c r="G1706" s="81" t="s">
        <v>5930</v>
      </c>
      <c r="H1706" s="81" t="s">
        <v>5740</v>
      </c>
    </row>
    <row r="1707" spans="1:8" x14ac:dyDescent="0.3">
      <c r="A1707" s="81" t="s">
        <v>6178</v>
      </c>
      <c r="B1707" s="81" t="s">
        <v>508</v>
      </c>
      <c r="C1707" s="81" t="s">
        <v>4201</v>
      </c>
      <c r="D1707" s="81" t="s">
        <v>3795</v>
      </c>
      <c r="E1707" s="81" t="s">
        <v>16</v>
      </c>
      <c r="F1707" s="81" t="s">
        <v>383</v>
      </c>
      <c r="G1707" s="81" t="s">
        <v>387</v>
      </c>
      <c r="H1707" s="81" t="s">
        <v>5741</v>
      </c>
    </row>
    <row r="1708" spans="1:8" x14ac:dyDescent="0.3">
      <c r="A1708" s="81" t="s">
        <v>6179</v>
      </c>
      <c r="B1708" s="81" t="s">
        <v>881</v>
      </c>
      <c r="C1708" s="81" t="s">
        <v>1010</v>
      </c>
      <c r="D1708" s="81" t="s">
        <v>4099</v>
      </c>
      <c r="E1708" s="81" t="s">
        <v>20</v>
      </c>
      <c r="F1708" s="81" t="s">
        <v>15</v>
      </c>
      <c r="G1708" s="81" t="s">
        <v>5744</v>
      </c>
      <c r="H1708" s="81" t="s">
        <v>5746</v>
      </c>
    </row>
    <row r="1709" spans="1:8" x14ac:dyDescent="0.3">
      <c r="A1709" s="81" t="s">
        <v>6180</v>
      </c>
      <c r="B1709" s="81" t="s">
        <v>881</v>
      </c>
      <c r="C1709" s="81" t="s">
        <v>5747</v>
      </c>
      <c r="D1709" s="81" t="s">
        <v>4099</v>
      </c>
      <c r="E1709" s="81" t="s">
        <v>20</v>
      </c>
      <c r="F1709" s="81" t="s">
        <v>15</v>
      </c>
      <c r="G1709" s="81" t="s">
        <v>5749</v>
      </c>
      <c r="H1709" s="81" t="s">
        <v>5751</v>
      </c>
    </row>
    <row r="1710" spans="1:8" x14ac:dyDescent="0.3">
      <c r="A1710" s="81" t="s">
        <v>6181</v>
      </c>
      <c r="B1710" s="81" t="s">
        <v>881</v>
      </c>
      <c r="C1710" s="81" t="s">
        <v>579</v>
      </c>
      <c r="D1710" s="81" t="s">
        <v>4099</v>
      </c>
      <c r="E1710" s="81" t="s">
        <v>20</v>
      </c>
      <c r="F1710" s="81" t="s">
        <v>15</v>
      </c>
      <c r="G1710" s="81" t="s">
        <v>5754</v>
      </c>
      <c r="H1710" s="81" t="s">
        <v>5756</v>
      </c>
    </row>
    <row r="1711" spans="1:8" x14ac:dyDescent="0.3">
      <c r="A1711" s="81" t="s">
        <v>6182</v>
      </c>
      <c r="B1711" s="81" t="s">
        <v>881</v>
      </c>
      <c r="C1711" s="81" t="s">
        <v>1010</v>
      </c>
      <c r="D1711" s="81" t="s">
        <v>4099</v>
      </c>
      <c r="E1711" s="81" t="s">
        <v>20</v>
      </c>
      <c r="F1711" s="81" t="s">
        <v>15</v>
      </c>
      <c r="G1711" s="81" t="s">
        <v>5758</v>
      </c>
      <c r="H1711" s="81" t="s">
        <v>5760</v>
      </c>
    </row>
    <row r="1712" spans="1:8" x14ac:dyDescent="0.3">
      <c r="A1712" s="81" t="s">
        <v>6183</v>
      </c>
      <c r="B1712" s="81" t="s">
        <v>881</v>
      </c>
      <c r="C1712" s="81" t="s">
        <v>579</v>
      </c>
      <c r="D1712" s="81" t="s">
        <v>4099</v>
      </c>
      <c r="E1712" s="81" t="s">
        <v>20</v>
      </c>
      <c r="F1712" s="81" t="s">
        <v>15</v>
      </c>
      <c r="G1712" s="81" t="s">
        <v>5762</v>
      </c>
      <c r="H1712" s="81" t="s">
        <v>5764</v>
      </c>
    </row>
    <row r="1713" spans="1:8" x14ac:dyDescent="0.3">
      <c r="A1713" s="81" t="s">
        <v>6184</v>
      </c>
      <c r="B1713" s="81" t="s">
        <v>387</v>
      </c>
      <c r="C1713" s="81" t="s">
        <v>387</v>
      </c>
      <c r="D1713" s="81" t="s">
        <v>387</v>
      </c>
      <c r="E1713" s="81" t="s">
        <v>387</v>
      </c>
      <c r="F1713" s="81" t="s">
        <v>387</v>
      </c>
      <c r="G1713" s="81" t="s">
        <v>3728</v>
      </c>
      <c r="H1713" s="81" t="s">
        <v>387</v>
      </c>
    </row>
    <row r="1714" spans="1:8" x14ac:dyDescent="0.3">
      <c r="A1714" s="81" t="s">
        <v>6185</v>
      </c>
      <c r="B1714" s="81" t="s">
        <v>387</v>
      </c>
      <c r="C1714" s="81" t="s">
        <v>387</v>
      </c>
      <c r="D1714" s="81" t="s">
        <v>387</v>
      </c>
      <c r="E1714" s="81" t="s">
        <v>387</v>
      </c>
      <c r="F1714" s="81" t="s">
        <v>387</v>
      </c>
      <c r="G1714" s="81" t="s">
        <v>3728</v>
      </c>
      <c r="H1714" s="81" t="s">
        <v>387</v>
      </c>
    </row>
    <row r="1715" spans="1:8" x14ac:dyDescent="0.3">
      <c r="A1715" s="81" t="s">
        <v>6186</v>
      </c>
      <c r="B1715" s="81" t="s">
        <v>387</v>
      </c>
      <c r="C1715" s="81" t="s">
        <v>387</v>
      </c>
      <c r="D1715" s="81" t="s">
        <v>387</v>
      </c>
      <c r="E1715" s="81" t="s">
        <v>387</v>
      </c>
      <c r="F1715" s="81" t="s">
        <v>387</v>
      </c>
      <c r="G1715" s="81" t="s">
        <v>3728</v>
      </c>
      <c r="H1715" s="81" t="s">
        <v>387</v>
      </c>
    </row>
    <row r="1716" spans="1:8" x14ac:dyDescent="0.3">
      <c r="A1716" s="81" t="s">
        <v>6187</v>
      </c>
      <c r="B1716" s="81" t="s">
        <v>387</v>
      </c>
      <c r="C1716" s="81" t="s">
        <v>387</v>
      </c>
      <c r="D1716" s="81" t="s">
        <v>387</v>
      </c>
      <c r="E1716" s="81" t="s">
        <v>387</v>
      </c>
      <c r="F1716" s="81" t="s">
        <v>387</v>
      </c>
      <c r="G1716" s="81" t="s">
        <v>3728</v>
      </c>
      <c r="H1716" s="81" t="s">
        <v>387</v>
      </c>
    </row>
    <row r="1717" spans="1:8" x14ac:dyDescent="0.3">
      <c r="A1717" s="81" t="s">
        <v>6188</v>
      </c>
      <c r="B1717" s="81" t="s">
        <v>387</v>
      </c>
      <c r="C1717" s="81" t="s">
        <v>387</v>
      </c>
      <c r="D1717" s="81" t="s">
        <v>387</v>
      </c>
      <c r="E1717" s="81" t="s">
        <v>387</v>
      </c>
      <c r="F1717" s="81" t="s">
        <v>387</v>
      </c>
      <c r="G1717" s="81" t="s">
        <v>3728</v>
      </c>
      <c r="H1717" s="81" t="s">
        <v>387</v>
      </c>
    </row>
    <row r="1718" spans="1:8" x14ac:dyDescent="0.3">
      <c r="A1718" s="81" t="s">
        <v>6189</v>
      </c>
      <c r="B1718" s="81" t="s">
        <v>387</v>
      </c>
      <c r="C1718" s="81" t="s">
        <v>387</v>
      </c>
      <c r="D1718" s="81" t="s">
        <v>387</v>
      </c>
      <c r="E1718" s="81" t="s">
        <v>387</v>
      </c>
      <c r="F1718" s="81" t="s">
        <v>387</v>
      </c>
      <c r="G1718" s="81" t="s">
        <v>3728</v>
      </c>
      <c r="H1718" s="81" t="s">
        <v>387</v>
      </c>
    </row>
    <row r="1719" spans="1:8" x14ac:dyDescent="0.3">
      <c r="A1719" s="81" t="s">
        <v>6190</v>
      </c>
      <c r="B1719" s="81" t="s">
        <v>387</v>
      </c>
      <c r="C1719" s="81" t="s">
        <v>387</v>
      </c>
      <c r="D1719" s="81" t="s">
        <v>387</v>
      </c>
      <c r="E1719" s="81" t="s">
        <v>387</v>
      </c>
      <c r="F1719" s="81" t="s">
        <v>387</v>
      </c>
      <c r="G1719" s="81" t="s">
        <v>3728</v>
      </c>
      <c r="H1719" s="81" t="s">
        <v>387</v>
      </c>
    </row>
    <row r="1720" spans="1:8" x14ac:dyDescent="0.3">
      <c r="A1720" s="81" t="s">
        <v>6191</v>
      </c>
      <c r="B1720" s="81" t="s">
        <v>387</v>
      </c>
      <c r="C1720" s="81" t="s">
        <v>387</v>
      </c>
      <c r="D1720" s="81" t="s">
        <v>387</v>
      </c>
      <c r="E1720" s="81" t="s">
        <v>387</v>
      </c>
      <c r="F1720" s="81" t="s">
        <v>387</v>
      </c>
      <c r="G1720" s="81" t="s">
        <v>3728</v>
      </c>
      <c r="H1720" s="81" t="s">
        <v>387</v>
      </c>
    </row>
    <row r="1721" spans="1:8" x14ac:dyDescent="0.3">
      <c r="A1721" s="81" t="s">
        <v>6192</v>
      </c>
      <c r="B1721" s="81" t="s">
        <v>387</v>
      </c>
      <c r="C1721" s="81" t="s">
        <v>387</v>
      </c>
      <c r="D1721" s="81" t="s">
        <v>387</v>
      </c>
      <c r="E1721" s="81" t="s">
        <v>387</v>
      </c>
      <c r="F1721" s="81" t="s">
        <v>387</v>
      </c>
      <c r="G1721" s="81" t="s">
        <v>3728</v>
      </c>
      <c r="H1721" s="81" t="s">
        <v>387</v>
      </c>
    </row>
    <row r="1722" spans="1:8" x14ac:dyDescent="0.3">
      <c r="A1722" s="81" t="s">
        <v>6193</v>
      </c>
      <c r="B1722" s="81" t="s">
        <v>387</v>
      </c>
      <c r="C1722" s="81" t="s">
        <v>387</v>
      </c>
      <c r="D1722" s="81" t="s">
        <v>387</v>
      </c>
      <c r="E1722" s="81" t="s">
        <v>387</v>
      </c>
      <c r="F1722" s="81" t="s">
        <v>387</v>
      </c>
      <c r="G1722" s="81" t="s">
        <v>3728</v>
      </c>
      <c r="H1722" s="81" t="s">
        <v>387</v>
      </c>
    </row>
    <row r="1723" spans="1:8" x14ac:dyDescent="0.3">
      <c r="A1723" s="81" t="s">
        <v>6194</v>
      </c>
      <c r="B1723" s="81" t="s">
        <v>387</v>
      </c>
      <c r="C1723" s="81" t="s">
        <v>387</v>
      </c>
      <c r="D1723" s="81" t="s">
        <v>387</v>
      </c>
      <c r="E1723" s="81" t="s">
        <v>387</v>
      </c>
      <c r="F1723" s="81" t="s">
        <v>387</v>
      </c>
      <c r="G1723" s="81" t="s">
        <v>3728</v>
      </c>
      <c r="H1723" s="81" t="s">
        <v>387</v>
      </c>
    </row>
    <row r="1724" spans="1:8" x14ac:dyDescent="0.3">
      <c r="A1724" s="81" t="s">
        <v>6195</v>
      </c>
      <c r="B1724" s="81" t="s">
        <v>387</v>
      </c>
      <c r="C1724" s="81" t="s">
        <v>387</v>
      </c>
      <c r="D1724" s="81" t="s">
        <v>387</v>
      </c>
      <c r="E1724" s="81" t="s">
        <v>387</v>
      </c>
      <c r="F1724" s="81" t="s">
        <v>387</v>
      </c>
      <c r="G1724" s="81" t="s">
        <v>3728</v>
      </c>
      <c r="H1724" s="81" t="s">
        <v>387</v>
      </c>
    </row>
    <row r="1725" spans="1:8" x14ac:dyDescent="0.3">
      <c r="A1725" s="81" t="s">
        <v>6196</v>
      </c>
      <c r="B1725" s="81" t="s">
        <v>387</v>
      </c>
      <c r="C1725" s="81" t="s">
        <v>387</v>
      </c>
      <c r="D1725" s="81" t="s">
        <v>387</v>
      </c>
      <c r="E1725" s="81" t="s">
        <v>387</v>
      </c>
      <c r="F1725" s="81" t="s">
        <v>387</v>
      </c>
      <c r="G1725" s="81" t="s">
        <v>3728</v>
      </c>
      <c r="H1725" s="81" t="s">
        <v>387</v>
      </c>
    </row>
    <row r="1726" spans="1:8" x14ac:dyDescent="0.3">
      <c r="A1726" s="81" t="s">
        <v>6197</v>
      </c>
      <c r="B1726" s="81" t="s">
        <v>387</v>
      </c>
      <c r="C1726" s="81" t="s">
        <v>387</v>
      </c>
      <c r="D1726" s="81" t="s">
        <v>387</v>
      </c>
      <c r="E1726" s="81" t="s">
        <v>387</v>
      </c>
      <c r="F1726" s="81" t="s">
        <v>387</v>
      </c>
      <c r="G1726" s="81" t="s">
        <v>3728</v>
      </c>
      <c r="H1726" s="81" t="s">
        <v>387</v>
      </c>
    </row>
    <row r="1727" spans="1:8" x14ac:dyDescent="0.3">
      <c r="A1727" s="81" t="s">
        <v>6198</v>
      </c>
      <c r="B1727" s="81" t="s">
        <v>387</v>
      </c>
      <c r="C1727" s="81" t="s">
        <v>387</v>
      </c>
      <c r="D1727" s="81" t="s">
        <v>387</v>
      </c>
      <c r="E1727" s="81" t="s">
        <v>387</v>
      </c>
      <c r="F1727" s="81" t="s">
        <v>387</v>
      </c>
      <c r="G1727" s="81" t="s">
        <v>3728</v>
      </c>
      <c r="H1727" s="81" t="s">
        <v>387</v>
      </c>
    </row>
    <row r="1728" spans="1:8" x14ac:dyDescent="0.3">
      <c r="A1728" s="81" t="s">
        <v>6199</v>
      </c>
      <c r="B1728" s="81" t="s">
        <v>387</v>
      </c>
      <c r="C1728" s="81" t="s">
        <v>387</v>
      </c>
      <c r="D1728" s="81" t="s">
        <v>387</v>
      </c>
      <c r="E1728" s="81" t="s">
        <v>387</v>
      </c>
      <c r="F1728" s="81" t="s">
        <v>387</v>
      </c>
      <c r="G1728" s="81" t="s">
        <v>3728</v>
      </c>
      <c r="H1728" s="81" t="s">
        <v>387</v>
      </c>
    </row>
    <row r="1729" spans="1:8" x14ac:dyDescent="0.3">
      <c r="A1729" s="81" t="s">
        <v>6200</v>
      </c>
      <c r="B1729" s="81" t="s">
        <v>387</v>
      </c>
      <c r="C1729" s="81" t="s">
        <v>387</v>
      </c>
      <c r="D1729" s="81" t="s">
        <v>387</v>
      </c>
      <c r="E1729" s="81" t="s">
        <v>387</v>
      </c>
      <c r="F1729" s="81" t="s">
        <v>387</v>
      </c>
      <c r="G1729" s="81" t="s">
        <v>3728</v>
      </c>
      <c r="H1729" s="81" t="s">
        <v>387</v>
      </c>
    </row>
    <row r="1730" spans="1:8" x14ac:dyDescent="0.3">
      <c r="A1730" s="81" t="s">
        <v>6201</v>
      </c>
      <c r="B1730" s="81" t="s">
        <v>387</v>
      </c>
      <c r="C1730" s="81" t="s">
        <v>387</v>
      </c>
      <c r="D1730" s="81" t="s">
        <v>387</v>
      </c>
      <c r="E1730" s="81" t="s">
        <v>387</v>
      </c>
      <c r="F1730" s="81" t="s">
        <v>387</v>
      </c>
      <c r="G1730" s="81" t="s">
        <v>3728</v>
      </c>
      <c r="H1730" s="81" t="s">
        <v>387</v>
      </c>
    </row>
    <row r="1731" spans="1:8" x14ac:dyDescent="0.3">
      <c r="A1731" s="81" t="s">
        <v>6202</v>
      </c>
      <c r="B1731" s="81" t="s">
        <v>387</v>
      </c>
      <c r="C1731" s="81" t="s">
        <v>387</v>
      </c>
      <c r="D1731" s="81" t="s">
        <v>387</v>
      </c>
      <c r="E1731" s="81" t="s">
        <v>387</v>
      </c>
      <c r="F1731" s="81" t="s">
        <v>387</v>
      </c>
      <c r="G1731" s="81" t="s">
        <v>3728</v>
      </c>
      <c r="H1731" s="81" t="s">
        <v>387</v>
      </c>
    </row>
    <row r="1732" spans="1:8" x14ac:dyDescent="0.3">
      <c r="A1732" s="81" t="s">
        <v>6203</v>
      </c>
      <c r="B1732" s="81" t="s">
        <v>387</v>
      </c>
      <c r="C1732" s="81" t="s">
        <v>387</v>
      </c>
      <c r="D1732" s="81" t="s">
        <v>387</v>
      </c>
      <c r="E1732" s="81" t="s">
        <v>387</v>
      </c>
      <c r="F1732" s="81" t="s">
        <v>387</v>
      </c>
      <c r="G1732" s="81" t="s">
        <v>3728</v>
      </c>
      <c r="H1732" s="81" t="s">
        <v>387</v>
      </c>
    </row>
    <row r="1733" spans="1:8" x14ac:dyDescent="0.3">
      <c r="A1733" s="81" t="s">
        <v>6204</v>
      </c>
      <c r="B1733" s="81" t="s">
        <v>387</v>
      </c>
      <c r="C1733" s="81" t="s">
        <v>387</v>
      </c>
      <c r="D1733" s="81" t="s">
        <v>387</v>
      </c>
      <c r="E1733" s="81" t="s">
        <v>387</v>
      </c>
      <c r="F1733" s="81" t="s">
        <v>387</v>
      </c>
      <c r="G1733" s="81" t="s">
        <v>3728</v>
      </c>
      <c r="H1733" s="81" t="s">
        <v>387</v>
      </c>
    </row>
    <row r="1734" spans="1:8" x14ac:dyDescent="0.3">
      <c r="A1734" s="81" t="s">
        <v>6205</v>
      </c>
      <c r="B1734" s="81" t="s">
        <v>387</v>
      </c>
      <c r="C1734" s="81" t="s">
        <v>387</v>
      </c>
      <c r="D1734" s="81" t="s">
        <v>387</v>
      </c>
      <c r="E1734" s="81" t="s">
        <v>387</v>
      </c>
      <c r="F1734" s="81" t="s">
        <v>387</v>
      </c>
      <c r="G1734" s="81" t="s">
        <v>3728</v>
      </c>
      <c r="H1734" s="81" t="s">
        <v>387</v>
      </c>
    </row>
    <row r="1735" spans="1:8" x14ac:dyDescent="0.3">
      <c r="A1735" s="81" t="s">
        <v>6206</v>
      </c>
      <c r="B1735" s="81" t="s">
        <v>387</v>
      </c>
      <c r="C1735" s="81" t="s">
        <v>387</v>
      </c>
      <c r="D1735" s="81" t="s">
        <v>387</v>
      </c>
      <c r="E1735" s="81" t="s">
        <v>387</v>
      </c>
      <c r="F1735" s="81" t="s">
        <v>387</v>
      </c>
      <c r="G1735" s="81" t="s">
        <v>3728</v>
      </c>
      <c r="H1735" s="81" t="s">
        <v>387</v>
      </c>
    </row>
    <row r="1736" spans="1:8" x14ac:dyDescent="0.3">
      <c r="A1736" s="81" t="s">
        <v>6207</v>
      </c>
      <c r="B1736" s="81" t="s">
        <v>387</v>
      </c>
      <c r="C1736" s="81" t="s">
        <v>387</v>
      </c>
      <c r="D1736" s="81" t="s">
        <v>387</v>
      </c>
      <c r="E1736" s="81" t="s">
        <v>387</v>
      </c>
      <c r="F1736" s="81" t="s">
        <v>387</v>
      </c>
      <c r="G1736" s="81" t="s">
        <v>3728</v>
      </c>
      <c r="H1736" s="81" t="s">
        <v>387</v>
      </c>
    </row>
    <row r="1737" spans="1:8" x14ac:dyDescent="0.3">
      <c r="A1737" s="81" t="s">
        <v>6208</v>
      </c>
      <c r="B1737" s="81" t="s">
        <v>387</v>
      </c>
      <c r="C1737" s="81" t="s">
        <v>387</v>
      </c>
      <c r="D1737" s="81" t="s">
        <v>387</v>
      </c>
      <c r="E1737" s="81" t="s">
        <v>387</v>
      </c>
      <c r="F1737" s="81" t="s">
        <v>387</v>
      </c>
      <c r="G1737" s="81" t="s">
        <v>3728</v>
      </c>
      <c r="H1737" s="81" t="s">
        <v>387</v>
      </c>
    </row>
    <row r="1738" spans="1:8" x14ac:dyDescent="0.3">
      <c r="A1738" s="81" t="s">
        <v>6209</v>
      </c>
      <c r="B1738" s="81" t="s">
        <v>387</v>
      </c>
      <c r="C1738" s="81" t="s">
        <v>387</v>
      </c>
      <c r="D1738" s="81" t="s">
        <v>387</v>
      </c>
      <c r="E1738" s="81" t="s">
        <v>387</v>
      </c>
      <c r="F1738" s="81" t="s">
        <v>387</v>
      </c>
      <c r="G1738" s="81" t="s">
        <v>3728</v>
      </c>
      <c r="H1738" s="81" t="s">
        <v>387</v>
      </c>
    </row>
    <row r="1739" spans="1:8" x14ac:dyDescent="0.3">
      <c r="A1739" s="81" t="s">
        <v>6210</v>
      </c>
      <c r="B1739" s="81" t="s">
        <v>387</v>
      </c>
      <c r="C1739" s="81" t="s">
        <v>387</v>
      </c>
      <c r="D1739" s="81" t="s">
        <v>387</v>
      </c>
      <c r="E1739" s="81" t="s">
        <v>387</v>
      </c>
      <c r="F1739" s="81" t="s">
        <v>387</v>
      </c>
      <c r="G1739" s="81" t="s">
        <v>3728</v>
      </c>
      <c r="H1739" s="81" t="s">
        <v>387</v>
      </c>
    </row>
    <row r="1740" spans="1:8" x14ac:dyDescent="0.3">
      <c r="A1740" s="81" t="s">
        <v>6211</v>
      </c>
      <c r="B1740" s="81" t="s">
        <v>387</v>
      </c>
      <c r="C1740" s="81" t="s">
        <v>387</v>
      </c>
      <c r="D1740" s="81" t="s">
        <v>387</v>
      </c>
      <c r="E1740" s="81" t="s">
        <v>387</v>
      </c>
      <c r="F1740" s="81" t="s">
        <v>387</v>
      </c>
      <c r="G1740" s="81" t="s">
        <v>3728</v>
      </c>
      <c r="H1740" s="81" t="s">
        <v>387</v>
      </c>
    </row>
    <row r="1741" spans="1:8" x14ac:dyDescent="0.3">
      <c r="A1741" s="81" t="s">
        <v>6212</v>
      </c>
      <c r="B1741" s="81" t="s">
        <v>387</v>
      </c>
      <c r="C1741" s="81" t="s">
        <v>387</v>
      </c>
      <c r="D1741" s="81" t="s">
        <v>387</v>
      </c>
      <c r="E1741" s="81" t="s">
        <v>387</v>
      </c>
      <c r="F1741" s="81" t="s">
        <v>387</v>
      </c>
      <c r="G1741" s="81" t="s">
        <v>3728</v>
      </c>
      <c r="H1741" s="81" t="s">
        <v>387</v>
      </c>
    </row>
    <row r="1742" spans="1:8" x14ac:dyDescent="0.3">
      <c r="A1742" s="81" t="s">
        <v>6213</v>
      </c>
      <c r="B1742" s="81" t="s">
        <v>387</v>
      </c>
      <c r="C1742" s="81" t="s">
        <v>387</v>
      </c>
      <c r="D1742" s="81" t="s">
        <v>387</v>
      </c>
      <c r="E1742" s="81" t="s">
        <v>387</v>
      </c>
      <c r="F1742" s="81" t="s">
        <v>387</v>
      </c>
      <c r="G1742" s="81" t="s">
        <v>3728</v>
      </c>
      <c r="H1742" s="81" t="s">
        <v>387</v>
      </c>
    </row>
    <row r="1743" spans="1:8" x14ac:dyDescent="0.3">
      <c r="A1743" s="81" t="s">
        <v>6214</v>
      </c>
      <c r="B1743" s="81" t="s">
        <v>387</v>
      </c>
      <c r="C1743" s="81" t="s">
        <v>387</v>
      </c>
      <c r="D1743" s="81" t="s">
        <v>387</v>
      </c>
      <c r="E1743" s="81" t="s">
        <v>387</v>
      </c>
      <c r="F1743" s="81" t="s">
        <v>387</v>
      </c>
      <c r="G1743" s="81" t="s">
        <v>3728</v>
      </c>
      <c r="H1743" s="81" t="s">
        <v>387</v>
      </c>
    </row>
    <row r="1744" spans="1:8" x14ac:dyDescent="0.3">
      <c r="A1744" s="81" t="s">
        <v>6215</v>
      </c>
      <c r="B1744" s="81" t="s">
        <v>387</v>
      </c>
      <c r="C1744" s="81" t="s">
        <v>387</v>
      </c>
      <c r="D1744" s="81" t="s">
        <v>387</v>
      </c>
      <c r="E1744" s="81" t="s">
        <v>387</v>
      </c>
      <c r="F1744" s="81" t="s">
        <v>387</v>
      </c>
      <c r="G1744" s="81" t="s">
        <v>3728</v>
      </c>
      <c r="H1744" s="81" t="s">
        <v>387</v>
      </c>
    </row>
    <row r="1745" spans="1:8" x14ac:dyDescent="0.3">
      <c r="A1745" s="81" t="s">
        <v>6216</v>
      </c>
      <c r="B1745" s="81" t="s">
        <v>387</v>
      </c>
      <c r="C1745" s="81" t="s">
        <v>387</v>
      </c>
      <c r="D1745" s="81" t="s">
        <v>387</v>
      </c>
      <c r="E1745" s="81" t="s">
        <v>387</v>
      </c>
      <c r="F1745" s="81" t="s">
        <v>387</v>
      </c>
      <c r="G1745" s="81" t="s">
        <v>3728</v>
      </c>
      <c r="H1745" s="81" t="s">
        <v>387</v>
      </c>
    </row>
    <row r="1746" spans="1:8" x14ac:dyDescent="0.3">
      <c r="A1746" s="81" t="s">
        <v>6217</v>
      </c>
      <c r="B1746" s="81" t="s">
        <v>387</v>
      </c>
      <c r="C1746" s="81" t="s">
        <v>387</v>
      </c>
      <c r="D1746" s="81" t="s">
        <v>387</v>
      </c>
      <c r="E1746" s="81" t="s">
        <v>387</v>
      </c>
      <c r="F1746" s="81" t="s">
        <v>387</v>
      </c>
      <c r="G1746" s="81" t="s">
        <v>3728</v>
      </c>
      <c r="H1746" s="81" t="s">
        <v>387</v>
      </c>
    </row>
    <row r="1747" spans="1:8" x14ac:dyDescent="0.3">
      <c r="A1747" s="81" t="s">
        <v>6218</v>
      </c>
      <c r="B1747" s="81" t="s">
        <v>387</v>
      </c>
      <c r="C1747" s="81" t="s">
        <v>387</v>
      </c>
      <c r="D1747" s="81" t="s">
        <v>387</v>
      </c>
      <c r="E1747" s="81" t="s">
        <v>387</v>
      </c>
      <c r="F1747" s="81" t="s">
        <v>387</v>
      </c>
      <c r="G1747" s="81" t="s">
        <v>3728</v>
      </c>
      <c r="H1747" s="81" t="s">
        <v>387</v>
      </c>
    </row>
    <row r="1748" spans="1:8" x14ac:dyDescent="0.3">
      <c r="A1748" s="81" t="s">
        <v>6219</v>
      </c>
      <c r="B1748" s="81" t="s">
        <v>387</v>
      </c>
      <c r="C1748" s="81" t="s">
        <v>387</v>
      </c>
      <c r="D1748" s="81" t="s">
        <v>387</v>
      </c>
      <c r="E1748" s="81" t="s">
        <v>387</v>
      </c>
      <c r="F1748" s="81" t="s">
        <v>387</v>
      </c>
      <c r="G1748" s="81" t="s">
        <v>3728</v>
      </c>
      <c r="H1748" s="81" t="s">
        <v>387</v>
      </c>
    </row>
    <row r="1749" spans="1:8" x14ac:dyDescent="0.3">
      <c r="A1749" s="81" t="s">
        <v>6220</v>
      </c>
      <c r="B1749" s="81" t="s">
        <v>387</v>
      </c>
      <c r="C1749" s="81" t="s">
        <v>387</v>
      </c>
      <c r="D1749" s="81" t="s">
        <v>387</v>
      </c>
      <c r="E1749" s="81" t="s">
        <v>387</v>
      </c>
      <c r="F1749" s="81" t="s">
        <v>387</v>
      </c>
      <c r="G1749" s="81" t="s">
        <v>3728</v>
      </c>
      <c r="H1749" s="81" t="s">
        <v>387</v>
      </c>
    </row>
    <row r="1750" spans="1:8" x14ac:dyDescent="0.3">
      <c r="A1750" s="81" t="s">
        <v>6221</v>
      </c>
      <c r="B1750" s="81" t="s">
        <v>387</v>
      </c>
      <c r="C1750" s="81" t="s">
        <v>387</v>
      </c>
      <c r="D1750" s="81" t="s">
        <v>387</v>
      </c>
      <c r="E1750" s="81" t="s">
        <v>387</v>
      </c>
      <c r="F1750" s="81" t="s">
        <v>387</v>
      </c>
      <c r="G1750" s="81" t="s">
        <v>3728</v>
      </c>
      <c r="H1750" s="81" t="s">
        <v>387</v>
      </c>
    </row>
    <row r="1751" spans="1:8" x14ac:dyDescent="0.3">
      <c r="A1751" s="81" t="s">
        <v>6222</v>
      </c>
      <c r="B1751" s="81" t="s">
        <v>387</v>
      </c>
      <c r="C1751" s="81" t="s">
        <v>387</v>
      </c>
      <c r="D1751" s="81" t="s">
        <v>387</v>
      </c>
      <c r="E1751" s="81" t="s">
        <v>387</v>
      </c>
      <c r="F1751" s="81" t="s">
        <v>387</v>
      </c>
      <c r="G1751" s="81" t="s">
        <v>3728</v>
      </c>
      <c r="H1751" s="81" t="s">
        <v>387</v>
      </c>
    </row>
    <row r="1752" spans="1:8" x14ac:dyDescent="0.3">
      <c r="A1752" s="81" t="s">
        <v>6223</v>
      </c>
      <c r="B1752" s="81" t="s">
        <v>387</v>
      </c>
      <c r="C1752" s="81" t="s">
        <v>387</v>
      </c>
      <c r="D1752" s="81" t="s">
        <v>387</v>
      </c>
      <c r="E1752" s="81" t="s">
        <v>387</v>
      </c>
      <c r="F1752" s="81" t="s">
        <v>387</v>
      </c>
      <c r="G1752" s="81" t="s">
        <v>3728</v>
      </c>
      <c r="H1752" s="81" t="s">
        <v>387</v>
      </c>
    </row>
    <row r="1753" spans="1:8" x14ac:dyDescent="0.3">
      <c r="A1753" s="81" t="s">
        <v>6224</v>
      </c>
      <c r="B1753" s="81" t="s">
        <v>387</v>
      </c>
      <c r="C1753" s="81" t="s">
        <v>387</v>
      </c>
      <c r="D1753" s="81" t="s">
        <v>387</v>
      </c>
      <c r="E1753" s="81" t="s">
        <v>387</v>
      </c>
      <c r="F1753" s="81" t="s">
        <v>387</v>
      </c>
      <c r="G1753" s="81" t="s">
        <v>3728</v>
      </c>
      <c r="H1753" s="81" t="s">
        <v>387</v>
      </c>
    </row>
    <row r="1754" spans="1:8" x14ac:dyDescent="0.3">
      <c r="A1754" s="81" t="s">
        <v>6225</v>
      </c>
      <c r="B1754" s="81" t="s">
        <v>387</v>
      </c>
      <c r="C1754" s="81" t="s">
        <v>387</v>
      </c>
      <c r="D1754" s="81" t="s">
        <v>387</v>
      </c>
      <c r="E1754" s="81" t="s">
        <v>387</v>
      </c>
      <c r="F1754" s="81" t="s">
        <v>387</v>
      </c>
      <c r="G1754" s="81" t="s">
        <v>3728</v>
      </c>
      <c r="H1754" s="81" t="s">
        <v>387</v>
      </c>
    </row>
    <row r="1755" spans="1:8" x14ac:dyDescent="0.3">
      <c r="A1755" s="81" t="s">
        <v>6226</v>
      </c>
      <c r="B1755" s="81" t="s">
        <v>387</v>
      </c>
      <c r="C1755" s="81" t="s">
        <v>387</v>
      </c>
      <c r="D1755" s="81" t="s">
        <v>387</v>
      </c>
      <c r="E1755" s="81" t="s">
        <v>387</v>
      </c>
      <c r="F1755" s="81" t="s">
        <v>387</v>
      </c>
      <c r="G1755" s="81" t="s">
        <v>3728</v>
      </c>
      <c r="H1755" s="81" t="s">
        <v>387</v>
      </c>
    </row>
    <row r="1756" spans="1:8" x14ac:dyDescent="0.3">
      <c r="A1756" s="81" t="s">
        <v>6227</v>
      </c>
      <c r="B1756" s="81" t="s">
        <v>387</v>
      </c>
      <c r="C1756" s="81" t="s">
        <v>387</v>
      </c>
      <c r="D1756" s="81" t="s">
        <v>387</v>
      </c>
      <c r="E1756" s="81" t="s">
        <v>387</v>
      </c>
      <c r="F1756" s="81" t="s">
        <v>387</v>
      </c>
      <c r="G1756" s="81" t="s">
        <v>3728</v>
      </c>
      <c r="H1756" s="81" t="s">
        <v>387</v>
      </c>
    </row>
    <row r="1757" spans="1:8" x14ac:dyDescent="0.3">
      <c r="A1757" s="81" t="s">
        <v>6228</v>
      </c>
      <c r="B1757" s="81" t="s">
        <v>387</v>
      </c>
      <c r="C1757" s="81" t="s">
        <v>387</v>
      </c>
      <c r="D1757" s="81" t="s">
        <v>387</v>
      </c>
      <c r="E1757" s="81" t="s">
        <v>387</v>
      </c>
      <c r="F1757" s="81" t="s">
        <v>387</v>
      </c>
      <c r="G1757" s="81" t="s">
        <v>3728</v>
      </c>
      <c r="H1757" s="81" t="s">
        <v>387</v>
      </c>
    </row>
    <row r="1758" spans="1:8" x14ac:dyDescent="0.3">
      <c r="A1758" s="81" t="s">
        <v>6229</v>
      </c>
      <c r="B1758" s="81" t="s">
        <v>387</v>
      </c>
      <c r="C1758" s="81" t="s">
        <v>387</v>
      </c>
      <c r="D1758" s="81" t="s">
        <v>387</v>
      </c>
      <c r="E1758" s="81" t="s">
        <v>387</v>
      </c>
      <c r="F1758" s="81" t="s">
        <v>387</v>
      </c>
      <c r="G1758" s="81" t="s">
        <v>3728</v>
      </c>
      <c r="H1758" s="81" t="s">
        <v>387</v>
      </c>
    </row>
    <row r="1759" spans="1:8" x14ac:dyDescent="0.3">
      <c r="A1759" s="81" t="s">
        <v>6230</v>
      </c>
      <c r="B1759" s="81" t="s">
        <v>387</v>
      </c>
      <c r="C1759" s="81" t="s">
        <v>387</v>
      </c>
      <c r="D1759" s="81" t="s">
        <v>387</v>
      </c>
      <c r="E1759" s="81" t="s">
        <v>387</v>
      </c>
      <c r="F1759" s="81" t="s">
        <v>387</v>
      </c>
      <c r="G1759" s="81" t="s">
        <v>3728</v>
      </c>
      <c r="H1759" s="81" t="s">
        <v>387</v>
      </c>
    </row>
    <row r="1760" spans="1:8" x14ac:dyDescent="0.3">
      <c r="A1760" s="81" t="s">
        <v>6231</v>
      </c>
      <c r="B1760" s="81" t="s">
        <v>387</v>
      </c>
      <c r="C1760" s="81" t="s">
        <v>387</v>
      </c>
      <c r="D1760" s="81" t="s">
        <v>387</v>
      </c>
      <c r="E1760" s="81" t="s">
        <v>387</v>
      </c>
      <c r="F1760" s="81" t="s">
        <v>387</v>
      </c>
      <c r="G1760" s="81" t="s">
        <v>3728</v>
      </c>
      <c r="H1760" s="81" t="s">
        <v>387</v>
      </c>
    </row>
    <row r="1761" spans="1:8" x14ac:dyDescent="0.3">
      <c r="A1761" s="81" t="s">
        <v>6232</v>
      </c>
      <c r="B1761" s="81" t="s">
        <v>387</v>
      </c>
      <c r="C1761" s="81" t="s">
        <v>387</v>
      </c>
      <c r="D1761" s="81" t="s">
        <v>387</v>
      </c>
      <c r="E1761" s="81" t="s">
        <v>387</v>
      </c>
      <c r="F1761" s="81" t="s">
        <v>387</v>
      </c>
      <c r="G1761" s="81" t="s">
        <v>3728</v>
      </c>
      <c r="H1761" s="81" t="s">
        <v>387</v>
      </c>
    </row>
    <row r="1762" spans="1:8" x14ac:dyDescent="0.3">
      <c r="A1762" s="81" t="s">
        <v>6233</v>
      </c>
      <c r="B1762" s="81" t="s">
        <v>387</v>
      </c>
      <c r="C1762" s="81" t="s">
        <v>387</v>
      </c>
      <c r="D1762" s="81" t="s">
        <v>387</v>
      </c>
      <c r="E1762" s="81" t="s">
        <v>387</v>
      </c>
      <c r="F1762" s="81" t="s">
        <v>387</v>
      </c>
      <c r="G1762" s="81" t="s">
        <v>3728</v>
      </c>
      <c r="H1762" s="81" t="s">
        <v>387</v>
      </c>
    </row>
    <row r="1763" spans="1:8" x14ac:dyDescent="0.3">
      <c r="A1763" s="81" t="s">
        <v>6234</v>
      </c>
      <c r="B1763" s="81" t="s">
        <v>387</v>
      </c>
      <c r="C1763" s="81" t="s">
        <v>387</v>
      </c>
      <c r="D1763" s="81" t="s">
        <v>387</v>
      </c>
      <c r="E1763" s="81" t="s">
        <v>387</v>
      </c>
      <c r="F1763" s="81" t="s">
        <v>387</v>
      </c>
      <c r="G1763" s="81" t="s">
        <v>3728</v>
      </c>
      <c r="H1763" s="81" t="s">
        <v>387</v>
      </c>
    </row>
    <row r="1764" spans="1:8" x14ac:dyDescent="0.3">
      <c r="A1764" s="81" t="s">
        <v>6235</v>
      </c>
      <c r="B1764" s="81" t="s">
        <v>387</v>
      </c>
      <c r="C1764" s="81" t="s">
        <v>387</v>
      </c>
      <c r="D1764" s="81" t="s">
        <v>387</v>
      </c>
      <c r="E1764" s="81" t="s">
        <v>387</v>
      </c>
      <c r="F1764" s="81" t="s">
        <v>387</v>
      </c>
      <c r="G1764" s="81" t="s">
        <v>3728</v>
      </c>
      <c r="H1764" s="81" t="s">
        <v>387</v>
      </c>
    </row>
    <row r="1765" spans="1:8" x14ac:dyDescent="0.3">
      <c r="A1765" s="81" t="s">
        <v>6236</v>
      </c>
      <c r="B1765" s="81" t="s">
        <v>387</v>
      </c>
      <c r="C1765" s="81" t="s">
        <v>387</v>
      </c>
      <c r="D1765" s="81" t="s">
        <v>387</v>
      </c>
      <c r="E1765" s="81" t="s">
        <v>387</v>
      </c>
      <c r="F1765" s="81" t="s">
        <v>387</v>
      </c>
      <c r="G1765" s="81" t="s">
        <v>3728</v>
      </c>
      <c r="H1765" s="81" t="s">
        <v>387</v>
      </c>
    </row>
    <row r="1766" spans="1:8" x14ac:dyDescent="0.3">
      <c r="A1766" s="81" t="s">
        <v>6237</v>
      </c>
      <c r="B1766" s="81" t="s">
        <v>387</v>
      </c>
      <c r="C1766" s="81" t="s">
        <v>387</v>
      </c>
      <c r="D1766" s="81" t="s">
        <v>387</v>
      </c>
      <c r="E1766" s="81" t="s">
        <v>387</v>
      </c>
      <c r="F1766" s="81" t="s">
        <v>387</v>
      </c>
      <c r="G1766" s="81" t="s">
        <v>3728</v>
      </c>
      <c r="H1766" s="81" t="s">
        <v>387</v>
      </c>
    </row>
    <row r="1767" spans="1:8" x14ac:dyDescent="0.3">
      <c r="A1767" s="81" t="s">
        <v>6238</v>
      </c>
      <c r="B1767" s="81" t="s">
        <v>387</v>
      </c>
      <c r="C1767" s="81" t="s">
        <v>387</v>
      </c>
      <c r="D1767" s="81" t="s">
        <v>387</v>
      </c>
      <c r="E1767" s="81" t="s">
        <v>387</v>
      </c>
      <c r="F1767" s="81" t="s">
        <v>387</v>
      </c>
      <c r="G1767" s="81" t="s">
        <v>3728</v>
      </c>
      <c r="H1767" s="81" t="s">
        <v>387</v>
      </c>
    </row>
    <row r="1768" spans="1:8" x14ac:dyDescent="0.3">
      <c r="A1768" s="81" t="s">
        <v>6239</v>
      </c>
      <c r="B1768" s="81" t="s">
        <v>387</v>
      </c>
      <c r="C1768" s="81" t="s">
        <v>387</v>
      </c>
      <c r="D1768" s="81" t="s">
        <v>387</v>
      </c>
      <c r="E1768" s="81" t="s">
        <v>387</v>
      </c>
      <c r="F1768" s="81" t="s">
        <v>387</v>
      </c>
      <c r="G1768" s="81" t="s">
        <v>3728</v>
      </c>
      <c r="H1768" s="81" t="s">
        <v>387</v>
      </c>
    </row>
    <row r="1769" spans="1:8" x14ac:dyDescent="0.3">
      <c r="A1769" s="81" t="s">
        <v>6240</v>
      </c>
      <c r="B1769" s="81" t="s">
        <v>387</v>
      </c>
      <c r="C1769" s="81" t="s">
        <v>387</v>
      </c>
      <c r="D1769" s="81" t="s">
        <v>387</v>
      </c>
      <c r="E1769" s="81" t="s">
        <v>387</v>
      </c>
      <c r="F1769" s="81" t="s">
        <v>387</v>
      </c>
      <c r="G1769" s="81" t="s">
        <v>3728</v>
      </c>
      <c r="H1769" s="81" t="s">
        <v>387</v>
      </c>
    </row>
    <row r="1770" spans="1:8" x14ac:dyDescent="0.3">
      <c r="A1770" s="81" t="s">
        <v>6241</v>
      </c>
      <c r="B1770" s="81" t="s">
        <v>387</v>
      </c>
      <c r="C1770" s="81" t="s">
        <v>387</v>
      </c>
      <c r="D1770" s="81" t="s">
        <v>387</v>
      </c>
      <c r="E1770" s="81" t="s">
        <v>387</v>
      </c>
      <c r="F1770" s="81" t="s">
        <v>387</v>
      </c>
      <c r="G1770" s="81" t="s">
        <v>3728</v>
      </c>
      <c r="H1770" s="81" t="s">
        <v>387</v>
      </c>
    </row>
    <row r="1771" spans="1:8" x14ac:dyDescent="0.3">
      <c r="A1771" s="81" t="s">
        <v>6242</v>
      </c>
      <c r="B1771" s="81" t="s">
        <v>387</v>
      </c>
      <c r="C1771" s="81" t="s">
        <v>387</v>
      </c>
      <c r="D1771" s="81" t="s">
        <v>387</v>
      </c>
      <c r="E1771" s="81" t="s">
        <v>387</v>
      </c>
      <c r="F1771" s="81" t="s">
        <v>387</v>
      </c>
      <c r="G1771" s="81" t="s">
        <v>3728</v>
      </c>
      <c r="H1771" s="81" t="s">
        <v>387</v>
      </c>
    </row>
    <row r="1772" spans="1:8" x14ac:dyDescent="0.3">
      <c r="A1772" s="81" t="s">
        <v>6243</v>
      </c>
      <c r="B1772" s="81" t="s">
        <v>387</v>
      </c>
      <c r="C1772" s="81" t="s">
        <v>387</v>
      </c>
      <c r="D1772" s="81" t="s">
        <v>387</v>
      </c>
      <c r="E1772" s="81" t="s">
        <v>387</v>
      </c>
      <c r="F1772" s="81" t="s">
        <v>387</v>
      </c>
      <c r="G1772" s="81" t="s">
        <v>3728</v>
      </c>
      <c r="H1772" s="81" t="s">
        <v>387</v>
      </c>
    </row>
    <row r="1773" spans="1:8" x14ac:dyDescent="0.3">
      <c r="A1773" s="81" t="s">
        <v>6244</v>
      </c>
      <c r="B1773" s="81" t="s">
        <v>387</v>
      </c>
      <c r="C1773" s="81" t="s">
        <v>387</v>
      </c>
      <c r="D1773" s="81" t="s">
        <v>387</v>
      </c>
      <c r="E1773" s="81" t="s">
        <v>387</v>
      </c>
      <c r="F1773" s="81" t="s">
        <v>387</v>
      </c>
      <c r="G1773" s="81" t="s">
        <v>3728</v>
      </c>
      <c r="H1773" s="81" t="s">
        <v>387</v>
      </c>
    </row>
    <row r="1774" spans="1:8" x14ac:dyDescent="0.3">
      <c r="A1774" s="81" t="s">
        <v>6245</v>
      </c>
      <c r="B1774" s="81" t="s">
        <v>387</v>
      </c>
      <c r="C1774" s="81" t="s">
        <v>387</v>
      </c>
      <c r="D1774" s="81" t="s">
        <v>387</v>
      </c>
      <c r="E1774" s="81" t="s">
        <v>387</v>
      </c>
      <c r="F1774" s="81" t="s">
        <v>387</v>
      </c>
      <c r="G1774" s="81" t="s">
        <v>3728</v>
      </c>
      <c r="H1774" s="81" t="s">
        <v>387</v>
      </c>
    </row>
    <row r="1775" spans="1:8" x14ac:dyDescent="0.3">
      <c r="A1775" s="81" t="s">
        <v>6246</v>
      </c>
      <c r="B1775" s="81" t="s">
        <v>387</v>
      </c>
      <c r="C1775" s="81" t="s">
        <v>387</v>
      </c>
      <c r="D1775" s="81" t="s">
        <v>387</v>
      </c>
      <c r="E1775" s="81" t="s">
        <v>387</v>
      </c>
      <c r="F1775" s="81" t="s">
        <v>387</v>
      </c>
      <c r="G1775" s="81" t="s">
        <v>3728</v>
      </c>
      <c r="H1775" s="81" t="s">
        <v>387</v>
      </c>
    </row>
    <row r="1776" spans="1:8" x14ac:dyDescent="0.3">
      <c r="A1776" s="81" t="s">
        <v>6247</v>
      </c>
      <c r="B1776" s="81" t="s">
        <v>387</v>
      </c>
      <c r="C1776" s="81" t="s">
        <v>387</v>
      </c>
      <c r="D1776" s="81" t="s">
        <v>387</v>
      </c>
      <c r="E1776" s="81" t="s">
        <v>387</v>
      </c>
      <c r="F1776" s="81" t="s">
        <v>387</v>
      </c>
      <c r="G1776" s="81" t="s">
        <v>3728</v>
      </c>
      <c r="H1776" s="81" t="s">
        <v>387</v>
      </c>
    </row>
    <row r="1777" spans="1:8" x14ac:dyDescent="0.3">
      <c r="A1777" s="81" t="s">
        <v>7981</v>
      </c>
      <c r="B1777" s="81" t="s">
        <v>881</v>
      </c>
      <c r="C1777" s="81" t="s">
        <v>7345</v>
      </c>
      <c r="D1777" s="81" t="s">
        <v>6259</v>
      </c>
      <c r="E1777" s="81" t="s">
        <v>20</v>
      </c>
      <c r="F1777" s="81" t="s">
        <v>15</v>
      </c>
      <c r="G1777" s="81" t="s">
        <v>6261</v>
      </c>
      <c r="H1777" s="81" t="s">
        <v>6264</v>
      </c>
    </row>
    <row r="1778" spans="1:8" x14ac:dyDescent="0.3">
      <c r="A1778" s="81" t="s">
        <v>7982</v>
      </c>
      <c r="B1778" s="81" t="s">
        <v>881</v>
      </c>
      <c r="C1778" s="81" t="s">
        <v>7345</v>
      </c>
      <c r="D1778" s="81" t="s">
        <v>6259</v>
      </c>
      <c r="E1778" s="81" t="s">
        <v>16</v>
      </c>
      <c r="F1778" s="81" t="s">
        <v>372</v>
      </c>
      <c r="G1778" s="81" t="s">
        <v>6265</v>
      </c>
      <c r="H1778" s="81" t="s">
        <v>6268</v>
      </c>
    </row>
    <row r="1779" spans="1:8" x14ac:dyDescent="0.3">
      <c r="A1779" s="81" t="s">
        <v>7983</v>
      </c>
      <c r="B1779" s="81" t="s">
        <v>881</v>
      </c>
      <c r="C1779" s="81" t="s">
        <v>7345</v>
      </c>
      <c r="D1779" s="81" t="s">
        <v>6259</v>
      </c>
      <c r="E1779" s="81" t="s">
        <v>16</v>
      </c>
      <c r="F1779" s="81" t="s">
        <v>373</v>
      </c>
      <c r="G1779" s="81" t="s">
        <v>6269</v>
      </c>
      <c r="H1779" s="81" t="s">
        <v>6272</v>
      </c>
    </row>
    <row r="1780" spans="1:8" x14ac:dyDescent="0.3">
      <c r="A1780" s="81" t="s">
        <v>7984</v>
      </c>
      <c r="B1780" s="81" t="s">
        <v>881</v>
      </c>
      <c r="C1780" s="81" t="s">
        <v>7345</v>
      </c>
      <c r="D1780" s="81" t="s">
        <v>6259</v>
      </c>
      <c r="E1780" s="81" t="s">
        <v>16</v>
      </c>
      <c r="F1780" s="81" t="s">
        <v>375</v>
      </c>
      <c r="G1780" s="81" t="s">
        <v>6273</v>
      </c>
      <c r="H1780" s="81" t="s">
        <v>6276</v>
      </c>
    </row>
    <row r="1781" spans="1:8" x14ac:dyDescent="0.3">
      <c r="A1781" s="81" t="s">
        <v>7985</v>
      </c>
      <c r="B1781" s="81" t="s">
        <v>881</v>
      </c>
      <c r="C1781" s="81" t="s">
        <v>7345</v>
      </c>
      <c r="D1781" s="81" t="s">
        <v>6259</v>
      </c>
      <c r="E1781" s="81" t="s">
        <v>16</v>
      </c>
      <c r="F1781" s="81" t="s">
        <v>376</v>
      </c>
      <c r="G1781" s="81" t="s">
        <v>6277</v>
      </c>
      <c r="H1781" s="81" t="s">
        <v>6280</v>
      </c>
    </row>
    <row r="1782" spans="1:8" x14ac:dyDescent="0.3">
      <c r="A1782" s="81" t="s">
        <v>7986</v>
      </c>
      <c r="B1782" s="81" t="s">
        <v>881</v>
      </c>
      <c r="C1782" s="81" t="s">
        <v>7345</v>
      </c>
      <c r="D1782" s="81" t="s">
        <v>6259</v>
      </c>
      <c r="E1782" s="81" t="s">
        <v>16</v>
      </c>
      <c r="F1782" s="81" t="s">
        <v>381</v>
      </c>
      <c r="G1782" s="81" t="s">
        <v>6281</v>
      </c>
      <c r="H1782" s="81" t="s">
        <v>6284</v>
      </c>
    </row>
    <row r="1783" spans="1:8" x14ac:dyDescent="0.3">
      <c r="A1783" s="81" t="s">
        <v>7987</v>
      </c>
      <c r="B1783" s="81" t="s">
        <v>881</v>
      </c>
      <c r="C1783" s="81" t="s">
        <v>6285</v>
      </c>
      <c r="D1783" s="81" t="s">
        <v>6286</v>
      </c>
      <c r="E1783" s="81" t="s">
        <v>20</v>
      </c>
      <c r="F1783" s="81" t="s">
        <v>15</v>
      </c>
      <c r="G1783" s="81" t="s">
        <v>6289</v>
      </c>
      <c r="H1783" s="81" t="s">
        <v>6292</v>
      </c>
    </row>
    <row r="1784" spans="1:8" x14ac:dyDescent="0.3">
      <c r="A1784" s="81" t="s">
        <v>7988</v>
      </c>
      <c r="B1784" s="81" t="s">
        <v>881</v>
      </c>
      <c r="C1784" s="81" t="s">
        <v>6285</v>
      </c>
      <c r="D1784" s="81" t="s">
        <v>6286</v>
      </c>
      <c r="E1784" s="81" t="s">
        <v>16</v>
      </c>
      <c r="F1784" s="81" t="s">
        <v>368</v>
      </c>
      <c r="G1784" s="81" t="s">
        <v>6293</v>
      </c>
      <c r="H1784" s="81" t="s">
        <v>6296</v>
      </c>
    </row>
    <row r="1785" spans="1:8" x14ac:dyDescent="0.3">
      <c r="A1785" s="81" t="s">
        <v>7989</v>
      </c>
      <c r="B1785" s="81" t="s">
        <v>881</v>
      </c>
      <c r="C1785" s="81" t="s">
        <v>6285</v>
      </c>
      <c r="D1785" s="81" t="s">
        <v>6286</v>
      </c>
      <c r="E1785" s="81" t="s">
        <v>16</v>
      </c>
      <c r="F1785" s="81" t="s">
        <v>369</v>
      </c>
      <c r="G1785" s="81" t="s">
        <v>6297</v>
      </c>
      <c r="H1785" s="81" t="s">
        <v>6300</v>
      </c>
    </row>
    <row r="1786" spans="1:8" x14ac:dyDescent="0.3">
      <c r="A1786" s="81" t="s">
        <v>7990</v>
      </c>
      <c r="B1786" s="81" t="s">
        <v>881</v>
      </c>
      <c r="C1786" s="81" t="s">
        <v>6285</v>
      </c>
      <c r="D1786" s="81" t="s">
        <v>6286</v>
      </c>
      <c r="E1786" s="81" t="s">
        <v>16</v>
      </c>
      <c r="F1786" s="81" t="s">
        <v>370</v>
      </c>
      <c r="G1786" s="81" t="s">
        <v>6301</v>
      </c>
      <c r="H1786" s="81" t="s">
        <v>6304</v>
      </c>
    </row>
    <row r="1787" spans="1:8" x14ac:dyDescent="0.3">
      <c r="A1787" s="81" t="s">
        <v>7991</v>
      </c>
      <c r="B1787" s="81" t="s">
        <v>881</v>
      </c>
      <c r="C1787" s="81" t="s">
        <v>6285</v>
      </c>
      <c r="D1787" s="81" t="s">
        <v>6286</v>
      </c>
      <c r="E1787" s="81" t="s">
        <v>16</v>
      </c>
      <c r="F1787" s="81" t="s">
        <v>371</v>
      </c>
      <c r="G1787" s="81" t="s">
        <v>6305</v>
      </c>
      <c r="H1787" s="81" t="s">
        <v>6308</v>
      </c>
    </row>
    <row r="1788" spans="1:8" x14ac:dyDescent="0.3">
      <c r="A1788" s="81" t="s">
        <v>7992</v>
      </c>
      <c r="B1788" s="81" t="s">
        <v>881</v>
      </c>
      <c r="C1788" s="81" t="s">
        <v>6285</v>
      </c>
      <c r="D1788" s="81" t="s">
        <v>6286</v>
      </c>
      <c r="E1788" s="81" t="s">
        <v>16</v>
      </c>
      <c r="F1788" s="81" t="s">
        <v>372</v>
      </c>
      <c r="G1788" s="81" t="s">
        <v>6309</v>
      </c>
      <c r="H1788" s="81" t="s">
        <v>6312</v>
      </c>
    </row>
    <row r="1789" spans="1:8" x14ac:dyDescent="0.3">
      <c r="A1789" s="81" t="s">
        <v>7993</v>
      </c>
      <c r="B1789" s="81" t="s">
        <v>881</v>
      </c>
      <c r="C1789" s="81" t="s">
        <v>6285</v>
      </c>
      <c r="D1789" s="81" t="s">
        <v>6286</v>
      </c>
      <c r="E1789" s="81" t="s">
        <v>16</v>
      </c>
      <c r="F1789" s="81" t="s">
        <v>373</v>
      </c>
      <c r="G1789" s="81" t="s">
        <v>6313</v>
      </c>
      <c r="H1789" s="81" t="s">
        <v>6316</v>
      </c>
    </row>
    <row r="1790" spans="1:8" x14ac:dyDescent="0.3">
      <c r="A1790" s="81" t="s">
        <v>7994</v>
      </c>
      <c r="B1790" s="81" t="s">
        <v>881</v>
      </c>
      <c r="C1790" s="81" t="s">
        <v>6285</v>
      </c>
      <c r="D1790" s="81" t="s">
        <v>6286</v>
      </c>
      <c r="E1790" s="81" t="s">
        <v>16</v>
      </c>
      <c r="F1790" s="81" t="s">
        <v>374</v>
      </c>
      <c r="G1790" s="81" t="s">
        <v>6317</v>
      </c>
      <c r="H1790" s="81" t="s">
        <v>6320</v>
      </c>
    </row>
    <row r="1791" spans="1:8" x14ac:dyDescent="0.3">
      <c r="A1791" s="81" t="s">
        <v>7995</v>
      </c>
      <c r="B1791" s="81" t="s">
        <v>881</v>
      </c>
      <c r="C1791" s="81" t="s">
        <v>6285</v>
      </c>
      <c r="D1791" s="81" t="s">
        <v>6286</v>
      </c>
      <c r="E1791" s="81" t="s">
        <v>16</v>
      </c>
      <c r="F1791" s="81" t="s">
        <v>375</v>
      </c>
      <c r="G1791" s="81" t="s">
        <v>6321</v>
      </c>
      <c r="H1791" s="81" t="s">
        <v>6324</v>
      </c>
    </row>
    <row r="1792" spans="1:8" x14ac:dyDescent="0.3">
      <c r="A1792" s="81" t="s">
        <v>7996</v>
      </c>
      <c r="B1792" s="81" t="s">
        <v>881</v>
      </c>
      <c r="C1792" s="81" t="s">
        <v>6285</v>
      </c>
      <c r="D1792" s="81" t="s">
        <v>6286</v>
      </c>
      <c r="E1792" s="81" t="s">
        <v>16</v>
      </c>
      <c r="F1792" s="81" t="s">
        <v>376</v>
      </c>
      <c r="G1792" s="81" t="s">
        <v>6325</v>
      </c>
      <c r="H1792" s="81" t="s">
        <v>6328</v>
      </c>
    </row>
    <row r="1793" spans="1:8" x14ac:dyDescent="0.3">
      <c r="A1793" s="81" t="s">
        <v>7997</v>
      </c>
      <c r="B1793" s="81" t="s">
        <v>881</v>
      </c>
      <c r="C1793" s="81" t="s">
        <v>6285</v>
      </c>
      <c r="D1793" s="81" t="s">
        <v>6286</v>
      </c>
      <c r="E1793" s="81" t="s">
        <v>16</v>
      </c>
      <c r="F1793" s="81" t="s">
        <v>377</v>
      </c>
      <c r="G1793" s="81" t="s">
        <v>6329</v>
      </c>
      <c r="H1793" s="81" t="s">
        <v>6332</v>
      </c>
    </row>
    <row r="1794" spans="1:8" x14ac:dyDescent="0.3">
      <c r="A1794" s="81" t="s">
        <v>7998</v>
      </c>
      <c r="B1794" s="81" t="s">
        <v>881</v>
      </c>
      <c r="C1794" s="81" t="s">
        <v>6285</v>
      </c>
      <c r="D1794" s="81" t="s">
        <v>6286</v>
      </c>
      <c r="E1794" s="81" t="s">
        <v>16</v>
      </c>
      <c r="F1794" s="81" t="s">
        <v>378</v>
      </c>
      <c r="G1794" s="81" t="s">
        <v>6333</v>
      </c>
      <c r="H1794" s="81" t="s">
        <v>6336</v>
      </c>
    </row>
    <row r="1795" spans="1:8" x14ac:dyDescent="0.3">
      <c r="A1795" s="81" t="s">
        <v>7999</v>
      </c>
      <c r="B1795" s="81" t="s">
        <v>881</v>
      </c>
      <c r="C1795" s="81" t="s">
        <v>6285</v>
      </c>
      <c r="D1795" s="81" t="s">
        <v>6286</v>
      </c>
      <c r="E1795" s="81" t="s">
        <v>16</v>
      </c>
      <c r="F1795" s="81" t="s">
        <v>379</v>
      </c>
      <c r="G1795" s="81" t="s">
        <v>6337</v>
      </c>
      <c r="H1795" s="81" t="s">
        <v>6340</v>
      </c>
    </row>
    <row r="1796" spans="1:8" x14ac:dyDescent="0.3">
      <c r="A1796" s="81" t="s">
        <v>8000</v>
      </c>
      <c r="B1796" s="81" t="s">
        <v>881</v>
      </c>
      <c r="C1796" s="81" t="s">
        <v>6285</v>
      </c>
      <c r="D1796" s="81" t="s">
        <v>6286</v>
      </c>
      <c r="E1796" s="81" t="s">
        <v>16</v>
      </c>
      <c r="F1796" s="81" t="s">
        <v>380</v>
      </c>
      <c r="G1796" s="81" t="s">
        <v>6341</v>
      </c>
      <c r="H1796" s="81" t="s">
        <v>6344</v>
      </c>
    </row>
    <row r="1797" spans="1:8" x14ac:dyDescent="0.3">
      <c r="A1797" s="81" t="s">
        <v>8001</v>
      </c>
      <c r="B1797" s="81" t="s">
        <v>881</v>
      </c>
      <c r="C1797" s="81" t="s">
        <v>6285</v>
      </c>
      <c r="D1797" s="81" t="s">
        <v>6286</v>
      </c>
      <c r="E1797" s="81" t="s">
        <v>16</v>
      </c>
      <c r="F1797" s="81" t="s">
        <v>381</v>
      </c>
      <c r="G1797" s="81" t="s">
        <v>6345</v>
      </c>
      <c r="H1797" s="81" t="s">
        <v>6348</v>
      </c>
    </row>
    <row r="1798" spans="1:8" x14ac:dyDescent="0.3">
      <c r="A1798" s="81" t="s">
        <v>8002</v>
      </c>
      <c r="B1798" s="81" t="s">
        <v>881</v>
      </c>
      <c r="C1798" s="81" t="s">
        <v>6285</v>
      </c>
      <c r="D1798" s="81" t="s">
        <v>6286</v>
      </c>
      <c r="E1798" s="81" t="s">
        <v>16</v>
      </c>
      <c r="F1798" s="81" t="s">
        <v>382</v>
      </c>
      <c r="G1798" s="81" t="s">
        <v>6349</v>
      </c>
      <c r="H1798" s="81" t="s">
        <v>6352</v>
      </c>
    </row>
    <row r="1799" spans="1:8" x14ac:dyDescent="0.3">
      <c r="A1799" s="81" t="s">
        <v>8003</v>
      </c>
      <c r="B1799" s="81" t="s">
        <v>881</v>
      </c>
      <c r="C1799" s="81" t="s">
        <v>6285</v>
      </c>
      <c r="D1799" s="81" t="s">
        <v>6286</v>
      </c>
      <c r="E1799" s="81" t="s">
        <v>16</v>
      </c>
      <c r="F1799" s="81" t="s">
        <v>383</v>
      </c>
      <c r="G1799" s="81" t="s">
        <v>6353</v>
      </c>
      <c r="H1799" s="81" t="s">
        <v>6356</v>
      </c>
    </row>
    <row r="1800" spans="1:8" x14ac:dyDescent="0.3">
      <c r="A1800" s="81" t="s">
        <v>8004</v>
      </c>
      <c r="B1800" s="81" t="s">
        <v>881</v>
      </c>
      <c r="C1800" s="81" t="s">
        <v>7345</v>
      </c>
      <c r="D1800" s="81" t="s">
        <v>6259</v>
      </c>
      <c r="E1800" s="81" t="s">
        <v>20</v>
      </c>
      <c r="F1800" s="81" t="s">
        <v>15</v>
      </c>
      <c r="G1800" s="81" t="s">
        <v>6358</v>
      </c>
      <c r="H1800" s="81" t="s">
        <v>6361</v>
      </c>
    </row>
    <row r="1801" spans="1:8" x14ac:dyDescent="0.3">
      <c r="A1801" s="81" t="s">
        <v>8005</v>
      </c>
      <c r="B1801" s="81" t="s">
        <v>881</v>
      </c>
      <c r="C1801" s="81" t="s">
        <v>7345</v>
      </c>
      <c r="D1801" s="81" t="s">
        <v>6259</v>
      </c>
      <c r="E1801" s="81" t="s">
        <v>16</v>
      </c>
      <c r="F1801" s="81" t="s">
        <v>372</v>
      </c>
      <c r="G1801" s="81" t="s">
        <v>6362</v>
      </c>
      <c r="H1801" s="81" t="s">
        <v>6365</v>
      </c>
    </row>
    <row r="1802" spans="1:8" x14ac:dyDescent="0.3">
      <c r="A1802" s="81" t="s">
        <v>8006</v>
      </c>
      <c r="B1802" s="81" t="s">
        <v>881</v>
      </c>
      <c r="C1802" s="81" t="s">
        <v>7345</v>
      </c>
      <c r="D1802" s="81" t="s">
        <v>6259</v>
      </c>
      <c r="E1802" s="81" t="s">
        <v>16</v>
      </c>
      <c r="F1802" s="81" t="s">
        <v>373</v>
      </c>
      <c r="G1802" s="81" t="s">
        <v>6366</v>
      </c>
      <c r="H1802" s="81" t="s">
        <v>6369</v>
      </c>
    </row>
    <row r="1803" spans="1:8" x14ac:dyDescent="0.3">
      <c r="A1803" s="81" t="s">
        <v>8007</v>
      </c>
      <c r="B1803" s="81" t="s">
        <v>881</v>
      </c>
      <c r="C1803" s="81" t="s">
        <v>7345</v>
      </c>
      <c r="D1803" s="81" t="s">
        <v>6259</v>
      </c>
      <c r="E1803" s="81" t="s">
        <v>16</v>
      </c>
      <c r="F1803" s="81" t="s">
        <v>375</v>
      </c>
      <c r="G1803" s="81" t="s">
        <v>6370</v>
      </c>
      <c r="H1803" s="81" t="s">
        <v>6373</v>
      </c>
    </row>
    <row r="1804" spans="1:8" x14ac:dyDescent="0.3">
      <c r="A1804" s="81" t="s">
        <v>8008</v>
      </c>
      <c r="B1804" s="81" t="s">
        <v>881</v>
      </c>
      <c r="C1804" s="81" t="s">
        <v>7345</v>
      </c>
      <c r="D1804" s="81" t="s">
        <v>6259</v>
      </c>
      <c r="E1804" s="81" t="s">
        <v>16</v>
      </c>
      <c r="F1804" s="81" t="s">
        <v>381</v>
      </c>
      <c r="G1804" s="81" t="s">
        <v>6374</v>
      </c>
      <c r="H1804" s="81" t="s">
        <v>6377</v>
      </c>
    </row>
    <row r="1805" spans="1:8" x14ac:dyDescent="0.3">
      <c r="A1805" s="81" t="s">
        <v>8009</v>
      </c>
      <c r="B1805" s="81" t="s">
        <v>881</v>
      </c>
      <c r="C1805" s="81" t="s">
        <v>7345</v>
      </c>
      <c r="D1805" s="81" t="s">
        <v>6259</v>
      </c>
      <c r="E1805" s="81" t="s">
        <v>20</v>
      </c>
      <c r="F1805" s="81" t="s">
        <v>15</v>
      </c>
      <c r="G1805" s="81" t="s">
        <v>6379</v>
      </c>
      <c r="H1805" s="81" t="s">
        <v>6382</v>
      </c>
    </row>
    <row r="1806" spans="1:8" x14ac:dyDescent="0.3">
      <c r="A1806" s="81" t="s">
        <v>8010</v>
      </c>
      <c r="B1806" s="81" t="s">
        <v>881</v>
      </c>
      <c r="C1806" s="81" t="s">
        <v>7345</v>
      </c>
      <c r="D1806" s="81" t="s">
        <v>6259</v>
      </c>
      <c r="E1806" s="81" t="s">
        <v>20</v>
      </c>
      <c r="F1806" s="81" t="s">
        <v>15</v>
      </c>
      <c r="G1806" s="81" t="s">
        <v>6384</v>
      </c>
      <c r="H1806" s="81" t="s">
        <v>6387</v>
      </c>
    </row>
    <row r="1807" spans="1:8" x14ac:dyDescent="0.3">
      <c r="A1807" s="81" t="s">
        <v>8011</v>
      </c>
      <c r="B1807" s="81" t="s">
        <v>881</v>
      </c>
      <c r="C1807" s="81" t="s">
        <v>7345</v>
      </c>
      <c r="D1807" s="81" t="s">
        <v>6259</v>
      </c>
      <c r="E1807" s="81" t="s">
        <v>16</v>
      </c>
      <c r="F1807" s="81" t="s">
        <v>372</v>
      </c>
      <c r="G1807" s="81" t="s">
        <v>6388</v>
      </c>
      <c r="H1807" s="81" t="s">
        <v>6391</v>
      </c>
    </row>
    <row r="1808" spans="1:8" x14ac:dyDescent="0.3">
      <c r="A1808" s="81" t="s">
        <v>8012</v>
      </c>
      <c r="B1808" s="81" t="s">
        <v>881</v>
      </c>
      <c r="C1808" s="81" t="s">
        <v>7345</v>
      </c>
      <c r="D1808" s="81" t="s">
        <v>6259</v>
      </c>
      <c r="E1808" s="81" t="s">
        <v>16</v>
      </c>
      <c r="F1808" s="81" t="s">
        <v>373</v>
      </c>
      <c r="G1808" s="81" t="s">
        <v>6392</v>
      </c>
      <c r="H1808" s="81" t="s">
        <v>6395</v>
      </c>
    </row>
    <row r="1809" spans="1:8" x14ac:dyDescent="0.3">
      <c r="A1809" s="81" t="s">
        <v>8013</v>
      </c>
      <c r="B1809" s="81" t="s">
        <v>881</v>
      </c>
      <c r="C1809" s="81" t="s">
        <v>7345</v>
      </c>
      <c r="D1809" s="81" t="s">
        <v>6259</v>
      </c>
      <c r="E1809" s="81" t="s">
        <v>16</v>
      </c>
      <c r="F1809" s="81" t="s">
        <v>375</v>
      </c>
      <c r="G1809" s="81" t="s">
        <v>6396</v>
      </c>
      <c r="H1809" s="81" t="s">
        <v>6399</v>
      </c>
    </row>
    <row r="1810" spans="1:8" x14ac:dyDescent="0.3">
      <c r="A1810" s="81" t="s">
        <v>8014</v>
      </c>
      <c r="B1810" s="81" t="s">
        <v>1467</v>
      </c>
      <c r="C1810" s="81" t="s">
        <v>6400</v>
      </c>
      <c r="D1810" s="81" t="s">
        <v>6401</v>
      </c>
      <c r="E1810" s="81" t="s">
        <v>20</v>
      </c>
      <c r="F1810" s="81" t="s">
        <v>15</v>
      </c>
      <c r="G1810" s="81" t="s">
        <v>6404</v>
      </c>
      <c r="H1810" s="81" t="s">
        <v>6407</v>
      </c>
    </row>
    <row r="1811" spans="1:8" x14ac:dyDescent="0.3">
      <c r="A1811" s="81" t="s">
        <v>8015</v>
      </c>
      <c r="B1811" s="81" t="s">
        <v>1467</v>
      </c>
      <c r="C1811" s="81" t="s">
        <v>6400</v>
      </c>
      <c r="D1811" s="81" t="s">
        <v>6401</v>
      </c>
      <c r="E1811" s="81" t="s">
        <v>16</v>
      </c>
      <c r="F1811" s="81" t="s">
        <v>372</v>
      </c>
      <c r="G1811" s="81" t="s">
        <v>6408</v>
      </c>
      <c r="H1811" s="81" t="s">
        <v>6411</v>
      </c>
    </row>
    <row r="1812" spans="1:8" x14ac:dyDescent="0.3">
      <c r="A1812" s="81" t="s">
        <v>8016</v>
      </c>
      <c r="B1812" s="81" t="s">
        <v>1467</v>
      </c>
      <c r="C1812" s="81" t="s">
        <v>6400</v>
      </c>
      <c r="D1812" s="81" t="s">
        <v>6401</v>
      </c>
      <c r="E1812" s="81" t="s">
        <v>16</v>
      </c>
      <c r="F1812" s="81" t="s">
        <v>375</v>
      </c>
      <c r="G1812" s="81" t="s">
        <v>6412</v>
      </c>
      <c r="H1812" s="81" t="s">
        <v>6415</v>
      </c>
    </row>
    <row r="1813" spans="1:8" x14ac:dyDescent="0.3">
      <c r="A1813" s="81" t="s">
        <v>8017</v>
      </c>
      <c r="B1813" s="81" t="s">
        <v>1467</v>
      </c>
      <c r="C1813" s="81" t="s">
        <v>6400</v>
      </c>
      <c r="D1813" s="81" t="s">
        <v>6401</v>
      </c>
      <c r="E1813" s="81" t="s">
        <v>16</v>
      </c>
      <c r="F1813" s="81" t="s">
        <v>380</v>
      </c>
      <c r="G1813" s="81" t="s">
        <v>6416</v>
      </c>
      <c r="H1813" s="81" t="s">
        <v>6419</v>
      </c>
    </row>
    <row r="1814" spans="1:8" x14ac:dyDescent="0.3">
      <c r="A1814" s="81" t="s">
        <v>8018</v>
      </c>
      <c r="B1814" s="81" t="s">
        <v>1467</v>
      </c>
      <c r="C1814" s="81" t="s">
        <v>6400</v>
      </c>
      <c r="D1814" s="81" t="s">
        <v>6401</v>
      </c>
      <c r="E1814" s="81" t="s">
        <v>16</v>
      </c>
      <c r="F1814" s="81" t="s">
        <v>383</v>
      </c>
      <c r="G1814" s="81" t="s">
        <v>6420</v>
      </c>
      <c r="H1814" s="81" t="s">
        <v>6423</v>
      </c>
    </row>
    <row r="1815" spans="1:8" x14ac:dyDescent="0.3">
      <c r="A1815" s="81" t="s">
        <v>8019</v>
      </c>
      <c r="B1815" s="81" t="s">
        <v>1467</v>
      </c>
      <c r="C1815" s="81" t="s">
        <v>7407</v>
      </c>
      <c r="D1815" s="81" t="s">
        <v>3770</v>
      </c>
      <c r="E1815" s="81" t="s">
        <v>20</v>
      </c>
      <c r="F1815" s="81" t="s">
        <v>15</v>
      </c>
      <c r="G1815" s="81" t="s">
        <v>6425</v>
      </c>
      <c r="H1815" s="81" t="s">
        <v>6428</v>
      </c>
    </row>
    <row r="1816" spans="1:8" x14ac:dyDescent="0.3">
      <c r="A1816" s="81" t="s">
        <v>8020</v>
      </c>
      <c r="B1816" s="81" t="s">
        <v>1467</v>
      </c>
      <c r="C1816" s="81" t="s">
        <v>7407</v>
      </c>
      <c r="D1816" s="81" t="s">
        <v>3770</v>
      </c>
      <c r="E1816" s="81" t="s">
        <v>16</v>
      </c>
      <c r="F1816" s="81" t="s">
        <v>368</v>
      </c>
      <c r="G1816" s="81" t="s">
        <v>6429</v>
      </c>
      <c r="H1816" s="81" t="s">
        <v>6431</v>
      </c>
    </row>
    <row r="1817" spans="1:8" x14ac:dyDescent="0.3">
      <c r="A1817" s="81" t="s">
        <v>8021</v>
      </c>
      <c r="B1817" s="81" t="s">
        <v>1467</v>
      </c>
      <c r="C1817" s="81" t="s">
        <v>7407</v>
      </c>
      <c r="D1817" s="81" t="s">
        <v>3770</v>
      </c>
      <c r="E1817" s="81" t="s">
        <v>16</v>
      </c>
      <c r="F1817" s="81" t="s">
        <v>369</v>
      </c>
      <c r="G1817" s="81" t="s">
        <v>6432</v>
      </c>
      <c r="H1817" s="81" t="s">
        <v>6434</v>
      </c>
    </row>
    <row r="1818" spans="1:8" x14ac:dyDescent="0.3">
      <c r="A1818" s="81" t="s">
        <v>8022</v>
      </c>
      <c r="B1818" s="81" t="s">
        <v>1467</v>
      </c>
      <c r="C1818" s="81" t="s">
        <v>7407</v>
      </c>
      <c r="D1818" s="81" t="s">
        <v>3770</v>
      </c>
      <c r="E1818" s="81" t="s">
        <v>16</v>
      </c>
      <c r="F1818" s="81" t="s">
        <v>370</v>
      </c>
      <c r="G1818" s="81" t="s">
        <v>6435</v>
      </c>
      <c r="H1818" s="81" t="s">
        <v>6437</v>
      </c>
    </row>
    <row r="1819" spans="1:8" x14ac:dyDescent="0.3">
      <c r="A1819" s="81" t="s">
        <v>8023</v>
      </c>
      <c r="B1819" s="81" t="s">
        <v>1467</v>
      </c>
      <c r="C1819" s="81" t="s">
        <v>7407</v>
      </c>
      <c r="D1819" s="81" t="s">
        <v>3770</v>
      </c>
      <c r="E1819" s="81" t="s">
        <v>16</v>
      </c>
      <c r="F1819" s="81" t="s">
        <v>371</v>
      </c>
      <c r="G1819" s="81" t="s">
        <v>6438</v>
      </c>
      <c r="H1819" s="81" t="s">
        <v>6440</v>
      </c>
    </row>
    <row r="1820" spans="1:8" x14ac:dyDescent="0.3">
      <c r="A1820" s="81" t="s">
        <v>8024</v>
      </c>
      <c r="B1820" s="81" t="s">
        <v>1467</v>
      </c>
      <c r="C1820" s="81" t="s">
        <v>7407</v>
      </c>
      <c r="D1820" s="81" t="s">
        <v>3770</v>
      </c>
      <c r="E1820" s="81" t="s">
        <v>16</v>
      </c>
      <c r="F1820" s="81" t="s">
        <v>372</v>
      </c>
      <c r="G1820" s="81" t="s">
        <v>6441</v>
      </c>
      <c r="H1820" s="81" t="s">
        <v>6443</v>
      </c>
    </row>
    <row r="1821" spans="1:8" x14ac:dyDescent="0.3">
      <c r="A1821" s="81" t="s">
        <v>8025</v>
      </c>
      <c r="B1821" s="81" t="s">
        <v>1467</v>
      </c>
      <c r="C1821" s="81" t="s">
        <v>7407</v>
      </c>
      <c r="D1821" s="81" t="s">
        <v>3770</v>
      </c>
      <c r="E1821" s="81" t="s">
        <v>16</v>
      </c>
      <c r="F1821" s="81" t="s">
        <v>373</v>
      </c>
      <c r="G1821" s="81" t="s">
        <v>6444</v>
      </c>
      <c r="H1821" s="81" t="s">
        <v>6446</v>
      </c>
    </row>
    <row r="1822" spans="1:8" x14ac:dyDescent="0.3">
      <c r="A1822" s="81" t="s">
        <v>8026</v>
      </c>
      <c r="B1822" s="81" t="s">
        <v>1467</v>
      </c>
      <c r="C1822" s="81" t="s">
        <v>7407</v>
      </c>
      <c r="D1822" s="81" t="s">
        <v>3770</v>
      </c>
      <c r="E1822" s="81" t="s">
        <v>16</v>
      </c>
      <c r="F1822" s="81" t="s">
        <v>374</v>
      </c>
      <c r="G1822" s="81" t="s">
        <v>6447</v>
      </c>
      <c r="H1822" s="81" t="s">
        <v>6449</v>
      </c>
    </row>
    <row r="1823" spans="1:8" x14ac:dyDescent="0.3">
      <c r="A1823" s="81" t="s">
        <v>8027</v>
      </c>
      <c r="B1823" s="81" t="s">
        <v>1467</v>
      </c>
      <c r="C1823" s="81" t="s">
        <v>7407</v>
      </c>
      <c r="D1823" s="81" t="s">
        <v>3770</v>
      </c>
      <c r="E1823" s="81" t="s">
        <v>16</v>
      </c>
      <c r="F1823" s="81" t="s">
        <v>375</v>
      </c>
      <c r="G1823" s="81" t="s">
        <v>6450</v>
      </c>
      <c r="H1823" s="81" t="s">
        <v>6452</v>
      </c>
    </row>
    <row r="1824" spans="1:8" x14ac:dyDescent="0.3">
      <c r="A1824" s="81" t="s">
        <v>8028</v>
      </c>
      <c r="B1824" s="81" t="s">
        <v>1467</v>
      </c>
      <c r="C1824" s="81" t="s">
        <v>7407</v>
      </c>
      <c r="D1824" s="81" t="s">
        <v>3770</v>
      </c>
      <c r="E1824" s="81" t="s">
        <v>16</v>
      </c>
      <c r="F1824" s="81" t="s">
        <v>376</v>
      </c>
      <c r="G1824" s="81" t="s">
        <v>6453</v>
      </c>
      <c r="H1824" s="81" t="s">
        <v>6455</v>
      </c>
    </row>
    <row r="1825" spans="1:8" x14ac:dyDescent="0.3">
      <c r="A1825" s="81" t="s">
        <v>8029</v>
      </c>
      <c r="B1825" s="81" t="s">
        <v>1467</v>
      </c>
      <c r="C1825" s="81" t="s">
        <v>7407</v>
      </c>
      <c r="D1825" s="81" t="s">
        <v>3770</v>
      </c>
      <c r="E1825" s="81" t="s">
        <v>16</v>
      </c>
      <c r="F1825" s="81" t="s">
        <v>377</v>
      </c>
      <c r="G1825" s="81" t="s">
        <v>6456</v>
      </c>
      <c r="H1825" s="81" t="s">
        <v>6458</v>
      </c>
    </row>
    <row r="1826" spans="1:8" x14ac:dyDescent="0.3">
      <c r="A1826" s="81" t="s">
        <v>8030</v>
      </c>
      <c r="B1826" s="81" t="s">
        <v>1467</v>
      </c>
      <c r="C1826" s="81" t="s">
        <v>7407</v>
      </c>
      <c r="D1826" s="81" t="s">
        <v>3770</v>
      </c>
      <c r="E1826" s="81" t="s">
        <v>16</v>
      </c>
      <c r="F1826" s="81" t="s">
        <v>378</v>
      </c>
      <c r="G1826" s="81" t="s">
        <v>6459</v>
      </c>
      <c r="H1826" s="81" t="s">
        <v>6461</v>
      </c>
    </row>
    <row r="1827" spans="1:8" x14ac:dyDescent="0.3">
      <c r="A1827" s="81" t="s">
        <v>8031</v>
      </c>
      <c r="B1827" s="81" t="s">
        <v>1467</v>
      </c>
      <c r="C1827" s="81" t="s">
        <v>7407</v>
      </c>
      <c r="D1827" s="81" t="s">
        <v>3770</v>
      </c>
      <c r="E1827" s="81" t="s">
        <v>16</v>
      </c>
      <c r="F1827" s="81" t="s">
        <v>379</v>
      </c>
      <c r="G1827" s="81" t="s">
        <v>6462</v>
      </c>
      <c r="H1827" s="81" t="s">
        <v>6464</v>
      </c>
    </row>
    <row r="1828" spans="1:8" x14ac:dyDescent="0.3">
      <c r="A1828" s="81" t="s">
        <v>8032</v>
      </c>
      <c r="B1828" s="81" t="s">
        <v>1467</v>
      </c>
      <c r="C1828" s="81" t="s">
        <v>7407</v>
      </c>
      <c r="D1828" s="81" t="s">
        <v>3770</v>
      </c>
      <c r="E1828" s="81" t="s">
        <v>16</v>
      </c>
      <c r="F1828" s="81" t="s">
        <v>380</v>
      </c>
      <c r="G1828" s="81" t="s">
        <v>6465</v>
      </c>
      <c r="H1828" s="81" t="s">
        <v>6467</v>
      </c>
    </row>
    <row r="1829" spans="1:8" x14ac:dyDescent="0.3">
      <c r="A1829" s="81" t="s">
        <v>8033</v>
      </c>
      <c r="B1829" s="81" t="s">
        <v>1467</v>
      </c>
      <c r="C1829" s="81" t="s">
        <v>7407</v>
      </c>
      <c r="D1829" s="81" t="s">
        <v>3770</v>
      </c>
      <c r="E1829" s="81" t="s">
        <v>16</v>
      </c>
      <c r="F1829" s="81" t="s">
        <v>381</v>
      </c>
      <c r="G1829" s="81" t="s">
        <v>6468</v>
      </c>
      <c r="H1829" s="81" t="s">
        <v>6470</v>
      </c>
    </row>
    <row r="1830" spans="1:8" x14ac:dyDescent="0.3">
      <c r="A1830" s="81" t="s">
        <v>8034</v>
      </c>
      <c r="B1830" s="81" t="s">
        <v>1467</v>
      </c>
      <c r="C1830" s="81" t="s">
        <v>7407</v>
      </c>
      <c r="D1830" s="81" t="s">
        <v>3770</v>
      </c>
      <c r="E1830" s="81" t="s">
        <v>16</v>
      </c>
      <c r="F1830" s="81" t="s">
        <v>382</v>
      </c>
      <c r="G1830" s="81" t="s">
        <v>6471</v>
      </c>
      <c r="H1830" s="81" t="s">
        <v>6473</v>
      </c>
    </row>
    <row r="1831" spans="1:8" x14ac:dyDescent="0.3">
      <c r="A1831" s="81" t="s">
        <v>8035</v>
      </c>
      <c r="B1831" s="81" t="s">
        <v>1467</v>
      </c>
      <c r="C1831" s="81" t="s">
        <v>7407</v>
      </c>
      <c r="D1831" s="81" t="s">
        <v>3770</v>
      </c>
      <c r="E1831" s="81" t="s">
        <v>16</v>
      </c>
      <c r="F1831" s="81" t="s">
        <v>383</v>
      </c>
      <c r="G1831" s="81" t="s">
        <v>6474</v>
      </c>
      <c r="H1831" s="81" t="s">
        <v>6476</v>
      </c>
    </row>
    <row r="1832" spans="1:8" x14ac:dyDescent="0.3">
      <c r="A1832" s="81" t="s">
        <v>8036</v>
      </c>
      <c r="B1832" s="81" t="s">
        <v>1467</v>
      </c>
      <c r="C1832" s="81" t="s">
        <v>6477</v>
      </c>
      <c r="D1832" s="81" t="s">
        <v>6478</v>
      </c>
      <c r="E1832" s="81" t="s">
        <v>20</v>
      </c>
      <c r="F1832" s="81" t="s">
        <v>15</v>
      </c>
      <c r="G1832" s="81" t="s">
        <v>6480</v>
      </c>
      <c r="H1832" s="81" t="s">
        <v>6483</v>
      </c>
    </row>
    <row r="1833" spans="1:8" x14ac:dyDescent="0.3">
      <c r="A1833" s="81" t="s">
        <v>8037</v>
      </c>
      <c r="B1833" s="81" t="s">
        <v>1467</v>
      </c>
      <c r="C1833" s="81" t="s">
        <v>6477</v>
      </c>
      <c r="D1833" s="81" t="s">
        <v>6478</v>
      </c>
      <c r="E1833" s="81" t="s">
        <v>16</v>
      </c>
      <c r="F1833" s="81" t="s">
        <v>368</v>
      </c>
      <c r="G1833" s="81" t="s">
        <v>6484</v>
      </c>
      <c r="H1833" s="81" t="s">
        <v>6486</v>
      </c>
    </row>
    <row r="1834" spans="1:8" x14ac:dyDescent="0.3">
      <c r="A1834" s="81" t="s">
        <v>8038</v>
      </c>
      <c r="B1834" s="81" t="s">
        <v>1467</v>
      </c>
      <c r="C1834" s="81" t="s">
        <v>6477</v>
      </c>
      <c r="D1834" s="81" t="s">
        <v>6478</v>
      </c>
      <c r="E1834" s="81" t="s">
        <v>16</v>
      </c>
      <c r="F1834" s="81" t="s">
        <v>372</v>
      </c>
      <c r="G1834" s="81" t="s">
        <v>6487</v>
      </c>
      <c r="H1834" s="81" t="s">
        <v>6489</v>
      </c>
    </row>
    <row r="1835" spans="1:8" x14ac:dyDescent="0.3">
      <c r="A1835" s="81" t="s">
        <v>8039</v>
      </c>
      <c r="B1835" s="81" t="s">
        <v>1467</v>
      </c>
      <c r="C1835" s="81" t="s">
        <v>6477</v>
      </c>
      <c r="D1835" s="81" t="s">
        <v>6478</v>
      </c>
      <c r="E1835" s="81" t="s">
        <v>16</v>
      </c>
      <c r="F1835" s="81" t="s">
        <v>375</v>
      </c>
      <c r="G1835" s="81" t="s">
        <v>6490</v>
      </c>
      <c r="H1835" s="81" t="s">
        <v>6492</v>
      </c>
    </row>
    <row r="1836" spans="1:8" x14ac:dyDescent="0.3">
      <c r="A1836" s="81" t="s">
        <v>8040</v>
      </c>
      <c r="B1836" s="81" t="s">
        <v>870</v>
      </c>
      <c r="C1836" s="81" t="s">
        <v>6493</v>
      </c>
      <c r="D1836" s="81" t="s">
        <v>870</v>
      </c>
      <c r="E1836" s="81" t="s">
        <v>20</v>
      </c>
      <c r="F1836" s="81" t="s">
        <v>15</v>
      </c>
      <c r="G1836" s="81" t="s">
        <v>6495</v>
      </c>
      <c r="H1836" s="81" t="s">
        <v>6498</v>
      </c>
    </row>
    <row r="1837" spans="1:8" x14ac:dyDescent="0.3">
      <c r="A1837" s="81" t="s">
        <v>8041</v>
      </c>
      <c r="B1837" s="81" t="s">
        <v>870</v>
      </c>
      <c r="C1837" s="81" t="s">
        <v>6493</v>
      </c>
      <c r="D1837" s="81" t="s">
        <v>870</v>
      </c>
      <c r="E1837" s="81" t="s">
        <v>16</v>
      </c>
      <c r="F1837" s="81" t="s">
        <v>368</v>
      </c>
      <c r="G1837" s="81" t="s">
        <v>6499</v>
      </c>
      <c r="H1837" s="81" t="s">
        <v>6501</v>
      </c>
    </row>
    <row r="1838" spans="1:8" x14ac:dyDescent="0.3">
      <c r="A1838" s="81" t="s">
        <v>8042</v>
      </c>
      <c r="B1838" s="81" t="s">
        <v>870</v>
      </c>
      <c r="C1838" s="81" t="s">
        <v>6493</v>
      </c>
      <c r="D1838" s="81" t="s">
        <v>870</v>
      </c>
      <c r="E1838" s="81" t="s">
        <v>16</v>
      </c>
      <c r="F1838" s="81" t="s">
        <v>369</v>
      </c>
      <c r="G1838" s="81" t="s">
        <v>6502</v>
      </c>
      <c r="H1838" s="81" t="s">
        <v>6504</v>
      </c>
    </row>
    <row r="1839" spans="1:8" x14ac:dyDescent="0.3">
      <c r="A1839" s="81" t="s">
        <v>8043</v>
      </c>
      <c r="B1839" s="81" t="s">
        <v>870</v>
      </c>
      <c r="C1839" s="81" t="s">
        <v>6493</v>
      </c>
      <c r="D1839" s="81" t="s">
        <v>870</v>
      </c>
      <c r="E1839" s="81" t="s">
        <v>16</v>
      </c>
      <c r="F1839" s="81" t="s">
        <v>370</v>
      </c>
      <c r="G1839" s="81" t="s">
        <v>6505</v>
      </c>
      <c r="H1839" s="81" t="s">
        <v>6507</v>
      </c>
    </row>
    <row r="1840" spans="1:8" x14ac:dyDescent="0.3">
      <c r="A1840" s="81" t="s">
        <v>8044</v>
      </c>
      <c r="B1840" s="81" t="s">
        <v>870</v>
      </c>
      <c r="C1840" s="81" t="s">
        <v>6493</v>
      </c>
      <c r="D1840" s="81" t="s">
        <v>870</v>
      </c>
      <c r="E1840" s="81" t="s">
        <v>16</v>
      </c>
      <c r="F1840" s="81" t="s">
        <v>371</v>
      </c>
      <c r="G1840" s="81" t="s">
        <v>6508</v>
      </c>
      <c r="H1840" s="81" t="s">
        <v>6510</v>
      </c>
    </row>
    <row r="1841" spans="1:8" x14ac:dyDescent="0.3">
      <c r="A1841" s="81" t="s">
        <v>8045</v>
      </c>
      <c r="B1841" s="81" t="s">
        <v>870</v>
      </c>
      <c r="C1841" s="81" t="s">
        <v>6493</v>
      </c>
      <c r="D1841" s="81" t="s">
        <v>870</v>
      </c>
      <c r="E1841" s="81" t="s">
        <v>16</v>
      </c>
      <c r="F1841" s="81" t="s">
        <v>372</v>
      </c>
      <c r="G1841" s="81" t="s">
        <v>6511</v>
      </c>
      <c r="H1841" s="81" t="s">
        <v>6513</v>
      </c>
    </row>
    <row r="1842" spans="1:8" x14ac:dyDescent="0.3">
      <c r="A1842" s="81" t="s">
        <v>8046</v>
      </c>
      <c r="B1842" s="81" t="s">
        <v>870</v>
      </c>
      <c r="C1842" s="81" t="s">
        <v>6493</v>
      </c>
      <c r="D1842" s="81" t="s">
        <v>870</v>
      </c>
      <c r="E1842" s="81" t="s">
        <v>16</v>
      </c>
      <c r="F1842" s="81" t="s">
        <v>373</v>
      </c>
      <c r="G1842" s="81" t="s">
        <v>6514</v>
      </c>
      <c r="H1842" s="81" t="s">
        <v>6516</v>
      </c>
    </row>
    <row r="1843" spans="1:8" x14ac:dyDescent="0.3">
      <c r="A1843" s="81" t="s">
        <v>8047</v>
      </c>
      <c r="B1843" s="81" t="s">
        <v>870</v>
      </c>
      <c r="C1843" s="81" t="s">
        <v>6493</v>
      </c>
      <c r="D1843" s="81" t="s">
        <v>870</v>
      </c>
      <c r="E1843" s="81" t="s">
        <v>16</v>
      </c>
      <c r="F1843" s="81" t="s">
        <v>374</v>
      </c>
      <c r="G1843" s="81" t="s">
        <v>6517</v>
      </c>
      <c r="H1843" s="81" t="s">
        <v>6519</v>
      </c>
    </row>
    <row r="1844" spans="1:8" x14ac:dyDescent="0.3">
      <c r="A1844" s="81" t="s">
        <v>8048</v>
      </c>
      <c r="B1844" s="81" t="s">
        <v>870</v>
      </c>
      <c r="C1844" s="81" t="s">
        <v>6493</v>
      </c>
      <c r="D1844" s="81" t="s">
        <v>870</v>
      </c>
      <c r="E1844" s="81" t="s">
        <v>16</v>
      </c>
      <c r="F1844" s="81" t="s">
        <v>375</v>
      </c>
      <c r="G1844" s="81" t="s">
        <v>6520</v>
      </c>
      <c r="H1844" s="81" t="s">
        <v>6522</v>
      </c>
    </row>
    <row r="1845" spans="1:8" x14ac:dyDescent="0.3">
      <c r="A1845" s="81" t="s">
        <v>8049</v>
      </c>
      <c r="B1845" s="81" t="s">
        <v>870</v>
      </c>
      <c r="C1845" s="81" t="s">
        <v>6493</v>
      </c>
      <c r="D1845" s="81" t="s">
        <v>870</v>
      </c>
      <c r="E1845" s="81" t="s">
        <v>16</v>
      </c>
      <c r="F1845" s="81" t="s">
        <v>376</v>
      </c>
      <c r="G1845" s="81" t="s">
        <v>6523</v>
      </c>
      <c r="H1845" s="81" t="s">
        <v>6525</v>
      </c>
    </row>
    <row r="1846" spans="1:8" x14ac:dyDescent="0.3">
      <c r="A1846" s="81" t="s">
        <v>8050</v>
      </c>
      <c r="B1846" s="81" t="s">
        <v>870</v>
      </c>
      <c r="C1846" s="81" t="s">
        <v>6493</v>
      </c>
      <c r="D1846" s="81" t="s">
        <v>870</v>
      </c>
      <c r="E1846" s="81" t="s">
        <v>16</v>
      </c>
      <c r="F1846" s="81" t="s">
        <v>377</v>
      </c>
      <c r="G1846" s="81" t="s">
        <v>6526</v>
      </c>
      <c r="H1846" s="81" t="s">
        <v>6528</v>
      </c>
    </row>
    <row r="1847" spans="1:8" x14ac:dyDescent="0.3">
      <c r="A1847" s="81" t="s">
        <v>8051</v>
      </c>
      <c r="B1847" s="81" t="s">
        <v>870</v>
      </c>
      <c r="C1847" s="81" t="s">
        <v>6493</v>
      </c>
      <c r="D1847" s="81" t="s">
        <v>870</v>
      </c>
      <c r="E1847" s="81" t="s">
        <v>16</v>
      </c>
      <c r="F1847" s="81" t="s">
        <v>378</v>
      </c>
      <c r="G1847" s="81" t="s">
        <v>6529</v>
      </c>
      <c r="H1847" s="81" t="s">
        <v>6531</v>
      </c>
    </row>
    <row r="1848" spans="1:8" x14ac:dyDescent="0.3">
      <c r="A1848" s="81" t="s">
        <v>8052</v>
      </c>
      <c r="B1848" s="81" t="s">
        <v>870</v>
      </c>
      <c r="C1848" s="81" t="s">
        <v>6493</v>
      </c>
      <c r="D1848" s="81" t="s">
        <v>870</v>
      </c>
      <c r="E1848" s="81" t="s">
        <v>16</v>
      </c>
      <c r="F1848" s="81" t="s">
        <v>379</v>
      </c>
      <c r="G1848" s="81" t="s">
        <v>6532</v>
      </c>
      <c r="H1848" s="81" t="s">
        <v>6534</v>
      </c>
    </row>
    <row r="1849" spans="1:8" x14ac:dyDescent="0.3">
      <c r="A1849" s="81" t="s">
        <v>8053</v>
      </c>
      <c r="B1849" s="81" t="s">
        <v>870</v>
      </c>
      <c r="C1849" s="81" t="s">
        <v>6493</v>
      </c>
      <c r="D1849" s="81" t="s">
        <v>870</v>
      </c>
      <c r="E1849" s="81" t="s">
        <v>16</v>
      </c>
      <c r="F1849" s="81" t="s">
        <v>380</v>
      </c>
      <c r="G1849" s="81" t="s">
        <v>6535</v>
      </c>
      <c r="H1849" s="81" t="s">
        <v>6537</v>
      </c>
    </row>
    <row r="1850" spans="1:8" x14ac:dyDescent="0.3">
      <c r="A1850" s="81" t="s">
        <v>8054</v>
      </c>
      <c r="B1850" s="81" t="s">
        <v>870</v>
      </c>
      <c r="C1850" s="81" t="s">
        <v>6493</v>
      </c>
      <c r="D1850" s="81" t="s">
        <v>870</v>
      </c>
      <c r="E1850" s="81" t="s">
        <v>16</v>
      </c>
      <c r="F1850" s="81" t="s">
        <v>381</v>
      </c>
      <c r="G1850" s="81" t="s">
        <v>6538</v>
      </c>
      <c r="H1850" s="81" t="s">
        <v>6540</v>
      </c>
    </row>
    <row r="1851" spans="1:8" x14ac:dyDescent="0.3">
      <c r="A1851" s="81" t="s">
        <v>8055</v>
      </c>
      <c r="B1851" s="81" t="s">
        <v>870</v>
      </c>
      <c r="C1851" s="81" t="s">
        <v>6493</v>
      </c>
      <c r="D1851" s="81" t="s">
        <v>870</v>
      </c>
      <c r="E1851" s="81" t="s">
        <v>16</v>
      </c>
      <c r="F1851" s="81" t="s">
        <v>382</v>
      </c>
      <c r="G1851" s="81" t="s">
        <v>6541</v>
      </c>
      <c r="H1851" s="81" t="s">
        <v>6543</v>
      </c>
    </row>
    <row r="1852" spans="1:8" x14ac:dyDescent="0.3">
      <c r="A1852" s="81" t="s">
        <v>8056</v>
      </c>
      <c r="B1852" s="81" t="s">
        <v>870</v>
      </c>
      <c r="C1852" s="81" t="s">
        <v>6493</v>
      </c>
      <c r="D1852" s="81" t="s">
        <v>870</v>
      </c>
      <c r="E1852" s="81" t="s">
        <v>16</v>
      </c>
      <c r="F1852" s="81" t="s">
        <v>383</v>
      </c>
      <c r="G1852" s="81" t="s">
        <v>6544</v>
      </c>
      <c r="H1852" s="81" t="s">
        <v>6546</v>
      </c>
    </row>
    <row r="1853" spans="1:8" x14ac:dyDescent="0.3">
      <c r="A1853" s="81" t="s">
        <v>8057</v>
      </c>
      <c r="B1853" s="81" t="s">
        <v>870</v>
      </c>
      <c r="C1853" s="81" t="s">
        <v>6547</v>
      </c>
      <c r="D1853" s="81" t="s">
        <v>870</v>
      </c>
      <c r="E1853" s="81" t="s">
        <v>20</v>
      </c>
      <c r="F1853" s="81" t="s">
        <v>15</v>
      </c>
      <c r="G1853" s="81" t="s">
        <v>6549</v>
      </c>
      <c r="H1853" s="81" t="s">
        <v>6552</v>
      </c>
    </row>
    <row r="1854" spans="1:8" x14ac:dyDescent="0.3">
      <c r="A1854" s="81" t="s">
        <v>8058</v>
      </c>
      <c r="B1854" s="81" t="s">
        <v>870</v>
      </c>
      <c r="C1854" s="81" t="s">
        <v>6547</v>
      </c>
      <c r="D1854" s="81" t="s">
        <v>870</v>
      </c>
      <c r="E1854" s="81" t="s">
        <v>16</v>
      </c>
      <c r="F1854" s="81" t="s">
        <v>368</v>
      </c>
      <c r="G1854" s="81" t="s">
        <v>6553</v>
      </c>
      <c r="H1854" s="81" t="s">
        <v>6555</v>
      </c>
    </row>
    <row r="1855" spans="1:8" x14ac:dyDescent="0.3">
      <c r="A1855" s="81" t="s">
        <v>8059</v>
      </c>
      <c r="B1855" s="81" t="s">
        <v>870</v>
      </c>
      <c r="C1855" s="81" t="s">
        <v>6547</v>
      </c>
      <c r="D1855" s="81" t="s">
        <v>870</v>
      </c>
      <c r="E1855" s="81" t="s">
        <v>16</v>
      </c>
      <c r="F1855" s="81" t="s">
        <v>369</v>
      </c>
      <c r="G1855" s="81" t="s">
        <v>6556</v>
      </c>
      <c r="H1855" s="81" t="s">
        <v>6558</v>
      </c>
    </row>
    <row r="1856" spans="1:8" x14ac:dyDescent="0.3">
      <c r="A1856" s="81" t="s">
        <v>8060</v>
      </c>
      <c r="B1856" s="81" t="s">
        <v>870</v>
      </c>
      <c r="C1856" s="81" t="s">
        <v>6547</v>
      </c>
      <c r="D1856" s="81" t="s">
        <v>870</v>
      </c>
      <c r="E1856" s="81" t="s">
        <v>16</v>
      </c>
      <c r="F1856" s="81" t="s">
        <v>370</v>
      </c>
      <c r="G1856" s="81" t="s">
        <v>6559</v>
      </c>
      <c r="H1856" s="81" t="s">
        <v>6561</v>
      </c>
    </row>
    <row r="1857" spans="1:8" x14ac:dyDescent="0.3">
      <c r="A1857" s="81" t="s">
        <v>8061</v>
      </c>
      <c r="B1857" s="81" t="s">
        <v>870</v>
      </c>
      <c r="C1857" s="81" t="s">
        <v>6547</v>
      </c>
      <c r="D1857" s="81" t="s">
        <v>870</v>
      </c>
      <c r="E1857" s="81" t="s">
        <v>16</v>
      </c>
      <c r="F1857" s="81" t="s">
        <v>371</v>
      </c>
      <c r="G1857" s="81" t="s">
        <v>6562</v>
      </c>
      <c r="H1857" s="81" t="s">
        <v>6564</v>
      </c>
    </row>
    <row r="1858" spans="1:8" x14ac:dyDescent="0.3">
      <c r="A1858" s="81" t="s">
        <v>8062</v>
      </c>
      <c r="B1858" s="81" t="s">
        <v>870</v>
      </c>
      <c r="C1858" s="81" t="s">
        <v>6547</v>
      </c>
      <c r="D1858" s="81" t="s">
        <v>870</v>
      </c>
      <c r="E1858" s="81" t="s">
        <v>16</v>
      </c>
      <c r="F1858" s="81" t="s">
        <v>372</v>
      </c>
      <c r="G1858" s="81" t="s">
        <v>6565</v>
      </c>
      <c r="H1858" s="81" t="s">
        <v>6567</v>
      </c>
    </row>
    <row r="1859" spans="1:8" x14ac:dyDescent="0.3">
      <c r="A1859" s="81" t="s">
        <v>8063</v>
      </c>
      <c r="B1859" s="81" t="s">
        <v>870</v>
      </c>
      <c r="C1859" s="81" t="s">
        <v>6547</v>
      </c>
      <c r="D1859" s="81" t="s">
        <v>870</v>
      </c>
      <c r="E1859" s="81" t="s">
        <v>16</v>
      </c>
      <c r="F1859" s="81" t="s">
        <v>373</v>
      </c>
      <c r="G1859" s="81" t="s">
        <v>6568</v>
      </c>
      <c r="H1859" s="81" t="s">
        <v>6570</v>
      </c>
    </row>
    <row r="1860" spans="1:8" x14ac:dyDescent="0.3">
      <c r="A1860" s="81" t="s">
        <v>8064</v>
      </c>
      <c r="B1860" s="81" t="s">
        <v>870</v>
      </c>
      <c r="C1860" s="81" t="s">
        <v>6547</v>
      </c>
      <c r="D1860" s="81" t="s">
        <v>870</v>
      </c>
      <c r="E1860" s="81" t="s">
        <v>16</v>
      </c>
      <c r="F1860" s="81" t="s">
        <v>374</v>
      </c>
      <c r="G1860" s="81" t="s">
        <v>6571</v>
      </c>
      <c r="H1860" s="81" t="s">
        <v>6573</v>
      </c>
    </row>
    <row r="1861" spans="1:8" x14ac:dyDescent="0.3">
      <c r="A1861" s="81" t="s">
        <v>8065</v>
      </c>
      <c r="B1861" s="81" t="s">
        <v>870</v>
      </c>
      <c r="C1861" s="81" t="s">
        <v>6547</v>
      </c>
      <c r="D1861" s="81" t="s">
        <v>870</v>
      </c>
      <c r="E1861" s="81" t="s">
        <v>16</v>
      </c>
      <c r="F1861" s="81" t="s">
        <v>375</v>
      </c>
      <c r="G1861" s="81" t="s">
        <v>6574</v>
      </c>
      <c r="H1861" s="81" t="s">
        <v>6576</v>
      </c>
    </row>
    <row r="1862" spans="1:8" x14ac:dyDescent="0.3">
      <c r="A1862" s="81" t="s">
        <v>8066</v>
      </c>
      <c r="B1862" s="81" t="s">
        <v>870</v>
      </c>
      <c r="C1862" s="81" t="s">
        <v>6547</v>
      </c>
      <c r="D1862" s="81" t="s">
        <v>870</v>
      </c>
      <c r="E1862" s="81" t="s">
        <v>16</v>
      </c>
      <c r="F1862" s="81" t="s">
        <v>376</v>
      </c>
      <c r="G1862" s="81" t="s">
        <v>6577</v>
      </c>
      <c r="H1862" s="81" t="s">
        <v>6579</v>
      </c>
    </row>
    <row r="1863" spans="1:8" x14ac:dyDescent="0.3">
      <c r="A1863" s="81" t="s">
        <v>8067</v>
      </c>
      <c r="B1863" s="81" t="s">
        <v>870</v>
      </c>
      <c r="C1863" s="81" t="s">
        <v>6547</v>
      </c>
      <c r="D1863" s="81" t="s">
        <v>870</v>
      </c>
      <c r="E1863" s="81" t="s">
        <v>16</v>
      </c>
      <c r="F1863" s="81" t="s">
        <v>377</v>
      </c>
      <c r="G1863" s="81" t="s">
        <v>6580</v>
      </c>
      <c r="H1863" s="81" t="s">
        <v>6582</v>
      </c>
    </row>
    <row r="1864" spans="1:8" x14ac:dyDescent="0.3">
      <c r="A1864" s="81" t="s">
        <v>8068</v>
      </c>
      <c r="B1864" s="81" t="s">
        <v>870</v>
      </c>
      <c r="C1864" s="81" t="s">
        <v>6547</v>
      </c>
      <c r="D1864" s="81" t="s">
        <v>870</v>
      </c>
      <c r="E1864" s="81" t="s">
        <v>16</v>
      </c>
      <c r="F1864" s="81" t="s">
        <v>378</v>
      </c>
      <c r="G1864" s="81" t="s">
        <v>6583</v>
      </c>
      <c r="H1864" s="81" t="s">
        <v>6585</v>
      </c>
    </row>
    <row r="1865" spans="1:8" x14ac:dyDescent="0.3">
      <c r="A1865" s="81" t="s">
        <v>8069</v>
      </c>
      <c r="B1865" s="81" t="s">
        <v>870</v>
      </c>
      <c r="C1865" s="81" t="s">
        <v>6547</v>
      </c>
      <c r="D1865" s="81" t="s">
        <v>870</v>
      </c>
      <c r="E1865" s="81" t="s">
        <v>16</v>
      </c>
      <c r="F1865" s="81" t="s">
        <v>379</v>
      </c>
      <c r="G1865" s="81" t="s">
        <v>6586</v>
      </c>
      <c r="H1865" s="81" t="s">
        <v>6588</v>
      </c>
    </row>
    <row r="1866" spans="1:8" x14ac:dyDescent="0.3">
      <c r="A1866" s="81" t="s">
        <v>8070</v>
      </c>
      <c r="B1866" s="81" t="s">
        <v>870</v>
      </c>
      <c r="C1866" s="81" t="s">
        <v>6547</v>
      </c>
      <c r="D1866" s="81" t="s">
        <v>870</v>
      </c>
      <c r="E1866" s="81" t="s">
        <v>16</v>
      </c>
      <c r="F1866" s="81" t="s">
        <v>380</v>
      </c>
      <c r="G1866" s="81" t="s">
        <v>6589</v>
      </c>
      <c r="H1866" s="81" t="s">
        <v>6591</v>
      </c>
    </row>
    <row r="1867" spans="1:8" x14ac:dyDescent="0.3">
      <c r="A1867" s="81" t="s">
        <v>8071</v>
      </c>
      <c r="B1867" s="81" t="s">
        <v>870</v>
      </c>
      <c r="C1867" s="81" t="s">
        <v>6547</v>
      </c>
      <c r="D1867" s="81" t="s">
        <v>870</v>
      </c>
      <c r="E1867" s="81" t="s">
        <v>16</v>
      </c>
      <c r="F1867" s="81" t="s">
        <v>381</v>
      </c>
      <c r="G1867" s="81" t="s">
        <v>6592</v>
      </c>
      <c r="H1867" s="81" t="s">
        <v>6594</v>
      </c>
    </row>
    <row r="1868" spans="1:8" x14ac:dyDescent="0.3">
      <c r="A1868" s="81" t="s">
        <v>8072</v>
      </c>
      <c r="B1868" s="81" t="s">
        <v>870</v>
      </c>
      <c r="C1868" s="81" t="s">
        <v>6547</v>
      </c>
      <c r="D1868" s="81" t="s">
        <v>870</v>
      </c>
      <c r="E1868" s="81" t="s">
        <v>16</v>
      </c>
      <c r="F1868" s="81" t="s">
        <v>382</v>
      </c>
      <c r="G1868" s="81" t="s">
        <v>6595</v>
      </c>
      <c r="H1868" s="81" t="s">
        <v>6597</v>
      </c>
    </row>
    <row r="1869" spans="1:8" x14ac:dyDescent="0.3">
      <c r="A1869" s="81" t="s">
        <v>8073</v>
      </c>
      <c r="B1869" s="81" t="s">
        <v>870</v>
      </c>
      <c r="C1869" s="81" t="s">
        <v>6547</v>
      </c>
      <c r="D1869" s="81" t="s">
        <v>870</v>
      </c>
      <c r="E1869" s="81" t="s">
        <v>16</v>
      </c>
      <c r="F1869" s="81" t="s">
        <v>383</v>
      </c>
      <c r="G1869" s="81" t="s">
        <v>6598</v>
      </c>
      <c r="H1869" s="81" t="s">
        <v>6600</v>
      </c>
    </row>
    <row r="1870" spans="1:8" x14ac:dyDescent="0.3">
      <c r="A1870" s="81" t="s">
        <v>8074</v>
      </c>
      <c r="B1870" s="81" t="s">
        <v>870</v>
      </c>
      <c r="C1870" s="81" t="s">
        <v>6601</v>
      </c>
      <c r="D1870" s="81" t="s">
        <v>870</v>
      </c>
      <c r="E1870" s="81" t="s">
        <v>20</v>
      </c>
      <c r="F1870" s="81" t="s">
        <v>15</v>
      </c>
      <c r="G1870" s="81" t="s">
        <v>6603</v>
      </c>
      <c r="H1870" s="81" t="s">
        <v>6606</v>
      </c>
    </row>
    <row r="1871" spans="1:8" x14ac:dyDescent="0.3">
      <c r="A1871" s="81" t="s">
        <v>8075</v>
      </c>
      <c r="B1871" s="81" t="s">
        <v>870</v>
      </c>
      <c r="C1871" s="81" t="s">
        <v>6601</v>
      </c>
      <c r="D1871" s="81" t="s">
        <v>870</v>
      </c>
      <c r="E1871" s="81" t="s">
        <v>16</v>
      </c>
      <c r="F1871" s="81" t="s">
        <v>368</v>
      </c>
      <c r="G1871" s="81" t="s">
        <v>6607</v>
      </c>
      <c r="H1871" s="81" t="s">
        <v>6609</v>
      </c>
    </row>
    <row r="1872" spans="1:8" x14ac:dyDescent="0.3">
      <c r="A1872" s="81" t="s">
        <v>8076</v>
      </c>
      <c r="B1872" s="81" t="s">
        <v>870</v>
      </c>
      <c r="C1872" s="81" t="s">
        <v>6601</v>
      </c>
      <c r="D1872" s="81" t="s">
        <v>870</v>
      </c>
      <c r="E1872" s="81" t="s">
        <v>16</v>
      </c>
      <c r="F1872" s="81" t="s">
        <v>369</v>
      </c>
      <c r="G1872" s="81" t="s">
        <v>6610</v>
      </c>
      <c r="H1872" s="81" t="s">
        <v>6612</v>
      </c>
    </row>
    <row r="1873" spans="1:8" x14ac:dyDescent="0.3">
      <c r="A1873" s="81" t="s">
        <v>8077</v>
      </c>
      <c r="B1873" s="81" t="s">
        <v>870</v>
      </c>
      <c r="C1873" s="81" t="s">
        <v>6601</v>
      </c>
      <c r="D1873" s="81" t="s">
        <v>870</v>
      </c>
      <c r="E1873" s="81" t="s">
        <v>16</v>
      </c>
      <c r="F1873" s="81" t="s">
        <v>370</v>
      </c>
      <c r="G1873" s="81" t="s">
        <v>6613</v>
      </c>
      <c r="H1873" s="81" t="s">
        <v>6615</v>
      </c>
    </row>
    <row r="1874" spans="1:8" x14ac:dyDescent="0.3">
      <c r="A1874" s="81" t="s">
        <v>8078</v>
      </c>
      <c r="B1874" s="81" t="s">
        <v>870</v>
      </c>
      <c r="C1874" s="81" t="s">
        <v>6601</v>
      </c>
      <c r="D1874" s="81" t="s">
        <v>870</v>
      </c>
      <c r="E1874" s="81" t="s">
        <v>16</v>
      </c>
      <c r="F1874" s="81" t="s">
        <v>371</v>
      </c>
      <c r="G1874" s="81" t="s">
        <v>6616</v>
      </c>
      <c r="H1874" s="81" t="s">
        <v>6618</v>
      </c>
    </row>
    <row r="1875" spans="1:8" x14ac:dyDescent="0.3">
      <c r="A1875" s="81" t="s">
        <v>8079</v>
      </c>
      <c r="B1875" s="81" t="s">
        <v>870</v>
      </c>
      <c r="C1875" s="81" t="s">
        <v>6601</v>
      </c>
      <c r="D1875" s="81" t="s">
        <v>870</v>
      </c>
      <c r="E1875" s="81" t="s">
        <v>16</v>
      </c>
      <c r="F1875" s="81" t="s">
        <v>372</v>
      </c>
      <c r="G1875" s="81" t="s">
        <v>6619</v>
      </c>
      <c r="H1875" s="81" t="s">
        <v>6621</v>
      </c>
    </row>
    <row r="1876" spans="1:8" x14ac:dyDescent="0.3">
      <c r="A1876" s="81" t="s">
        <v>8080</v>
      </c>
      <c r="B1876" s="81" t="s">
        <v>870</v>
      </c>
      <c r="C1876" s="81" t="s">
        <v>6601</v>
      </c>
      <c r="D1876" s="81" t="s">
        <v>870</v>
      </c>
      <c r="E1876" s="81" t="s">
        <v>16</v>
      </c>
      <c r="F1876" s="81" t="s">
        <v>373</v>
      </c>
      <c r="G1876" s="81" t="s">
        <v>6622</v>
      </c>
      <c r="H1876" s="81" t="s">
        <v>6624</v>
      </c>
    </row>
    <row r="1877" spans="1:8" x14ac:dyDescent="0.3">
      <c r="A1877" s="81" t="s">
        <v>8081</v>
      </c>
      <c r="B1877" s="81" t="s">
        <v>870</v>
      </c>
      <c r="C1877" s="81" t="s">
        <v>6601</v>
      </c>
      <c r="D1877" s="81" t="s">
        <v>870</v>
      </c>
      <c r="E1877" s="81" t="s">
        <v>16</v>
      </c>
      <c r="F1877" s="81" t="s">
        <v>374</v>
      </c>
      <c r="G1877" s="81" t="s">
        <v>6625</v>
      </c>
      <c r="H1877" s="81" t="s">
        <v>6627</v>
      </c>
    </row>
    <row r="1878" spans="1:8" x14ac:dyDescent="0.3">
      <c r="A1878" s="81" t="s">
        <v>8082</v>
      </c>
      <c r="B1878" s="81" t="s">
        <v>870</v>
      </c>
      <c r="C1878" s="81" t="s">
        <v>6601</v>
      </c>
      <c r="D1878" s="81" t="s">
        <v>870</v>
      </c>
      <c r="E1878" s="81" t="s">
        <v>16</v>
      </c>
      <c r="F1878" s="81" t="s">
        <v>375</v>
      </c>
      <c r="G1878" s="81" t="s">
        <v>6628</v>
      </c>
      <c r="H1878" s="81" t="s">
        <v>6630</v>
      </c>
    </row>
    <row r="1879" spans="1:8" x14ac:dyDescent="0.3">
      <c r="A1879" s="81" t="s">
        <v>8083</v>
      </c>
      <c r="B1879" s="81" t="s">
        <v>870</v>
      </c>
      <c r="C1879" s="81" t="s">
        <v>6601</v>
      </c>
      <c r="D1879" s="81" t="s">
        <v>870</v>
      </c>
      <c r="E1879" s="81" t="s">
        <v>16</v>
      </c>
      <c r="F1879" s="81" t="s">
        <v>376</v>
      </c>
      <c r="G1879" s="81" t="s">
        <v>6631</v>
      </c>
      <c r="H1879" s="81" t="s">
        <v>6633</v>
      </c>
    </row>
    <row r="1880" spans="1:8" x14ac:dyDescent="0.3">
      <c r="A1880" s="81" t="s">
        <v>8084</v>
      </c>
      <c r="B1880" s="81" t="s">
        <v>870</v>
      </c>
      <c r="C1880" s="81" t="s">
        <v>6601</v>
      </c>
      <c r="D1880" s="81" t="s">
        <v>870</v>
      </c>
      <c r="E1880" s="81" t="s">
        <v>16</v>
      </c>
      <c r="F1880" s="81" t="s">
        <v>377</v>
      </c>
      <c r="G1880" s="81" t="s">
        <v>6634</v>
      </c>
      <c r="H1880" s="81" t="s">
        <v>6636</v>
      </c>
    </row>
    <row r="1881" spans="1:8" x14ac:dyDescent="0.3">
      <c r="A1881" s="81" t="s">
        <v>8085</v>
      </c>
      <c r="B1881" s="81" t="s">
        <v>870</v>
      </c>
      <c r="C1881" s="81" t="s">
        <v>6601</v>
      </c>
      <c r="D1881" s="81" t="s">
        <v>870</v>
      </c>
      <c r="E1881" s="81" t="s">
        <v>16</v>
      </c>
      <c r="F1881" s="81" t="s">
        <v>378</v>
      </c>
      <c r="G1881" s="81" t="s">
        <v>6637</v>
      </c>
      <c r="H1881" s="81" t="s">
        <v>6639</v>
      </c>
    </row>
    <row r="1882" spans="1:8" x14ac:dyDescent="0.3">
      <c r="A1882" s="81" t="s">
        <v>8086</v>
      </c>
      <c r="B1882" s="81" t="s">
        <v>870</v>
      </c>
      <c r="C1882" s="81" t="s">
        <v>6601</v>
      </c>
      <c r="D1882" s="81" t="s">
        <v>870</v>
      </c>
      <c r="E1882" s="81" t="s">
        <v>16</v>
      </c>
      <c r="F1882" s="81" t="s">
        <v>379</v>
      </c>
      <c r="G1882" s="81" t="s">
        <v>6640</v>
      </c>
      <c r="H1882" s="81" t="s">
        <v>6642</v>
      </c>
    </row>
    <row r="1883" spans="1:8" x14ac:dyDescent="0.3">
      <c r="A1883" s="81" t="s">
        <v>8087</v>
      </c>
      <c r="B1883" s="81" t="s">
        <v>870</v>
      </c>
      <c r="C1883" s="81" t="s">
        <v>6601</v>
      </c>
      <c r="D1883" s="81" t="s">
        <v>870</v>
      </c>
      <c r="E1883" s="81" t="s">
        <v>16</v>
      </c>
      <c r="F1883" s="81" t="s">
        <v>380</v>
      </c>
      <c r="G1883" s="81" t="s">
        <v>6643</v>
      </c>
      <c r="H1883" s="81" t="s">
        <v>6645</v>
      </c>
    </row>
    <row r="1884" spans="1:8" x14ac:dyDescent="0.3">
      <c r="A1884" s="81" t="s">
        <v>8088</v>
      </c>
      <c r="B1884" s="81" t="s">
        <v>870</v>
      </c>
      <c r="C1884" s="81" t="s">
        <v>6601</v>
      </c>
      <c r="D1884" s="81" t="s">
        <v>870</v>
      </c>
      <c r="E1884" s="81" t="s">
        <v>16</v>
      </c>
      <c r="F1884" s="81" t="s">
        <v>381</v>
      </c>
      <c r="G1884" s="81" t="s">
        <v>6646</v>
      </c>
      <c r="H1884" s="81" t="s">
        <v>6648</v>
      </c>
    </row>
    <row r="1885" spans="1:8" x14ac:dyDescent="0.3">
      <c r="A1885" s="81" t="s">
        <v>8089</v>
      </c>
      <c r="B1885" s="81" t="s">
        <v>870</v>
      </c>
      <c r="C1885" s="81" t="s">
        <v>6601</v>
      </c>
      <c r="D1885" s="81" t="s">
        <v>870</v>
      </c>
      <c r="E1885" s="81" t="s">
        <v>16</v>
      </c>
      <c r="F1885" s="81" t="s">
        <v>382</v>
      </c>
      <c r="G1885" s="81" t="s">
        <v>6649</v>
      </c>
      <c r="H1885" s="81" t="s">
        <v>6651</v>
      </c>
    </row>
    <row r="1886" spans="1:8" x14ac:dyDescent="0.3">
      <c r="A1886" s="81" t="s">
        <v>8090</v>
      </c>
      <c r="B1886" s="81" t="s">
        <v>870</v>
      </c>
      <c r="C1886" s="81" t="s">
        <v>6601</v>
      </c>
      <c r="D1886" s="81" t="s">
        <v>870</v>
      </c>
      <c r="E1886" s="81" t="s">
        <v>16</v>
      </c>
      <c r="F1886" s="81" t="s">
        <v>383</v>
      </c>
      <c r="G1886" s="81" t="s">
        <v>6652</v>
      </c>
      <c r="H1886" s="81" t="s">
        <v>6654</v>
      </c>
    </row>
    <row r="1887" spans="1:8" x14ac:dyDescent="0.3">
      <c r="A1887" s="81" t="s">
        <v>8091</v>
      </c>
      <c r="B1887" s="81" t="s">
        <v>822</v>
      </c>
      <c r="C1887" s="81" t="s">
        <v>7404</v>
      </c>
      <c r="D1887" s="81" t="s">
        <v>3764</v>
      </c>
      <c r="E1887" s="81" t="s">
        <v>20</v>
      </c>
      <c r="F1887" s="81" t="s">
        <v>15</v>
      </c>
      <c r="G1887" s="81" t="s">
        <v>6656</v>
      </c>
      <c r="H1887" s="81" t="s">
        <v>6659</v>
      </c>
    </row>
    <row r="1888" spans="1:8" x14ac:dyDescent="0.3">
      <c r="A1888" s="81" t="s">
        <v>8092</v>
      </c>
      <c r="B1888" s="81" t="s">
        <v>822</v>
      </c>
      <c r="C1888" s="81" t="s">
        <v>7404</v>
      </c>
      <c r="D1888" s="81" t="s">
        <v>3764</v>
      </c>
      <c r="E1888" s="81" t="s">
        <v>16</v>
      </c>
      <c r="F1888" s="81" t="s">
        <v>368</v>
      </c>
      <c r="G1888" s="81" t="s">
        <v>6660</v>
      </c>
      <c r="H1888" s="81" t="s">
        <v>6662</v>
      </c>
    </row>
    <row r="1889" spans="1:8" x14ac:dyDescent="0.3">
      <c r="A1889" s="81" t="s">
        <v>8093</v>
      </c>
      <c r="B1889" s="81" t="s">
        <v>822</v>
      </c>
      <c r="C1889" s="81" t="s">
        <v>7404</v>
      </c>
      <c r="D1889" s="81" t="s">
        <v>3764</v>
      </c>
      <c r="E1889" s="81" t="s">
        <v>16</v>
      </c>
      <c r="F1889" s="81" t="s">
        <v>369</v>
      </c>
      <c r="G1889" s="81" t="s">
        <v>6663</v>
      </c>
      <c r="H1889" s="81" t="s">
        <v>6665</v>
      </c>
    </row>
    <row r="1890" spans="1:8" x14ac:dyDescent="0.3">
      <c r="A1890" s="81" t="s">
        <v>8094</v>
      </c>
      <c r="B1890" s="81" t="s">
        <v>822</v>
      </c>
      <c r="C1890" s="81" t="s">
        <v>7404</v>
      </c>
      <c r="D1890" s="81" t="s">
        <v>3764</v>
      </c>
      <c r="E1890" s="81" t="s">
        <v>16</v>
      </c>
      <c r="F1890" s="81" t="s">
        <v>370</v>
      </c>
      <c r="G1890" s="81" t="s">
        <v>6666</v>
      </c>
      <c r="H1890" s="81" t="s">
        <v>6668</v>
      </c>
    </row>
    <row r="1891" spans="1:8" x14ac:dyDescent="0.3">
      <c r="A1891" s="81" t="s">
        <v>8095</v>
      </c>
      <c r="B1891" s="81" t="s">
        <v>822</v>
      </c>
      <c r="C1891" s="81" t="s">
        <v>7404</v>
      </c>
      <c r="D1891" s="81" t="s">
        <v>3764</v>
      </c>
      <c r="E1891" s="81" t="s">
        <v>16</v>
      </c>
      <c r="F1891" s="81" t="s">
        <v>371</v>
      </c>
      <c r="G1891" s="81" t="s">
        <v>6669</v>
      </c>
      <c r="H1891" s="81" t="s">
        <v>6671</v>
      </c>
    </row>
    <row r="1892" spans="1:8" x14ac:dyDescent="0.3">
      <c r="A1892" s="81" t="s">
        <v>8096</v>
      </c>
      <c r="B1892" s="81" t="s">
        <v>822</v>
      </c>
      <c r="C1892" s="81" t="s">
        <v>7404</v>
      </c>
      <c r="D1892" s="81" t="s">
        <v>3764</v>
      </c>
      <c r="E1892" s="81" t="s">
        <v>16</v>
      </c>
      <c r="F1892" s="81" t="s">
        <v>372</v>
      </c>
      <c r="G1892" s="81" t="s">
        <v>6672</v>
      </c>
      <c r="H1892" s="81" t="s">
        <v>6674</v>
      </c>
    </row>
    <row r="1893" spans="1:8" x14ac:dyDescent="0.3">
      <c r="A1893" s="81" t="s">
        <v>8097</v>
      </c>
      <c r="B1893" s="81" t="s">
        <v>822</v>
      </c>
      <c r="C1893" s="81" t="s">
        <v>7404</v>
      </c>
      <c r="D1893" s="81" t="s">
        <v>3764</v>
      </c>
      <c r="E1893" s="81" t="s">
        <v>16</v>
      </c>
      <c r="F1893" s="81" t="s">
        <v>373</v>
      </c>
      <c r="G1893" s="81" t="s">
        <v>6675</v>
      </c>
      <c r="H1893" s="81" t="s">
        <v>6677</v>
      </c>
    </row>
    <row r="1894" spans="1:8" x14ac:dyDescent="0.3">
      <c r="A1894" s="81" t="s">
        <v>8098</v>
      </c>
      <c r="B1894" s="81" t="s">
        <v>822</v>
      </c>
      <c r="C1894" s="81" t="s">
        <v>7404</v>
      </c>
      <c r="D1894" s="81" t="s">
        <v>3764</v>
      </c>
      <c r="E1894" s="81" t="s">
        <v>16</v>
      </c>
      <c r="F1894" s="81" t="s">
        <v>374</v>
      </c>
      <c r="G1894" s="81" t="s">
        <v>6678</v>
      </c>
      <c r="H1894" s="81" t="s">
        <v>6680</v>
      </c>
    </row>
    <row r="1895" spans="1:8" x14ac:dyDescent="0.3">
      <c r="A1895" s="81" t="s">
        <v>8099</v>
      </c>
      <c r="B1895" s="81" t="s">
        <v>822</v>
      </c>
      <c r="C1895" s="81" t="s">
        <v>7404</v>
      </c>
      <c r="D1895" s="81" t="s">
        <v>3764</v>
      </c>
      <c r="E1895" s="81" t="s">
        <v>16</v>
      </c>
      <c r="F1895" s="81" t="s">
        <v>375</v>
      </c>
      <c r="G1895" s="81" t="s">
        <v>6681</v>
      </c>
      <c r="H1895" s="81" t="s">
        <v>6683</v>
      </c>
    </row>
    <row r="1896" spans="1:8" x14ac:dyDescent="0.3">
      <c r="A1896" s="81" t="s">
        <v>8100</v>
      </c>
      <c r="B1896" s="81" t="s">
        <v>822</v>
      </c>
      <c r="C1896" s="81" t="s">
        <v>7404</v>
      </c>
      <c r="D1896" s="81" t="s">
        <v>3764</v>
      </c>
      <c r="E1896" s="81" t="s">
        <v>16</v>
      </c>
      <c r="F1896" s="81" t="s">
        <v>376</v>
      </c>
      <c r="G1896" s="81" t="s">
        <v>6684</v>
      </c>
      <c r="H1896" s="81" t="s">
        <v>6686</v>
      </c>
    </row>
    <row r="1897" spans="1:8" x14ac:dyDescent="0.3">
      <c r="A1897" s="81" t="s">
        <v>8101</v>
      </c>
      <c r="B1897" s="81" t="s">
        <v>822</v>
      </c>
      <c r="C1897" s="81" t="s">
        <v>7404</v>
      </c>
      <c r="D1897" s="81" t="s">
        <v>3764</v>
      </c>
      <c r="E1897" s="81" t="s">
        <v>16</v>
      </c>
      <c r="F1897" s="81" t="s">
        <v>377</v>
      </c>
      <c r="G1897" s="81" t="s">
        <v>6687</v>
      </c>
      <c r="H1897" s="81" t="s">
        <v>6689</v>
      </c>
    </row>
    <row r="1898" spans="1:8" x14ac:dyDescent="0.3">
      <c r="A1898" s="81" t="s">
        <v>8102</v>
      </c>
      <c r="B1898" s="81" t="s">
        <v>822</v>
      </c>
      <c r="C1898" s="81" t="s">
        <v>7404</v>
      </c>
      <c r="D1898" s="81" t="s">
        <v>3764</v>
      </c>
      <c r="E1898" s="81" t="s">
        <v>16</v>
      </c>
      <c r="F1898" s="81" t="s">
        <v>378</v>
      </c>
      <c r="G1898" s="81" t="s">
        <v>6690</v>
      </c>
      <c r="H1898" s="81" t="s">
        <v>6692</v>
      </c>
    </row>
    <row r="1899" spans="1:8" x14ac:dyDescent="0.3">
      <c r="A1899" s="81" t="s">
        <v>8103</v>
      </c>
      <c r="B1899" s="81" t="s">
        <v>822</v>
      </c>
      <c r="C1899" s="81" t="s">
        <v>7404</v>
      </c>
      <c r="D1899" s="81" t="s">
        <v>3764</v>
      </c>
      <c r="E1899" s="81" t="s">
        <v>16</v>
      </c>
      <c r="F1899" s="81" t="s">
        <v>379</v>
      </c>
      <c r="G1899" s="81" t="s">
        <v>6693</v>
      </c>
      <c r="H1899" s="81" t="s">
        <v>6695</v>
      </c>
    </row>
    <row r="1900" spans="1:8" x14ac:dyDescent="0.3">
      <c r="A1900" s="81" t="s">
        <v>8104</v>
      </c>
      <c r="B1900" s="81" t="s">
        <v>822</v>
      </c>
      <c r="C1900" s="81" t="s">
        <v>7404</v>
      </c>
      <c r="D1900" s="81" t="s">
        <v>3764</v>
      </c>
      <c r="E1900" s="81" t="s">
        <v>16</v>
      </c>
      <c r="F1900" s="81" t="s">
        <v>380</v>
      </c>
      <c r="G1900" s="81" t="s">
        <v>6696</v>
      </c>
      <c r="H1900" s="81" t="s">
        <v>6698</v>
      </c>
    </row>
    <row r="1901" spans="1:8" x14ac:dyDescent="0.3">
      <c r="A1901" s="81" t="s">
        <v>8105</v>
      </c>
      <c r="B1901" s="81" t="s">
        <v>822</v>
      </c>
      <c r="C1901" s="81" t="s">
        <v>7404</v>
      </c>
      <c r="D1901" s="81" t="s">
        <v>3764</v>
      </c>
      <c r="E1901" s="81" t="s">
        <v>16</v>
      </c>
      <c r="F1901" s="81" t="s">
        <v>381</v>
      </c>
      <c r="G1901" s="81" t="s">
        <v>6699</v>
      </c>
      <c r="H1901" s="81" t="s">
        <v>6701</v>
      </c>
    </row>
    <row r="1902" spans="1:8" x14ac:dyDescent="0.3">
      <c r="A1902" s="81" t="s">
        <v>8106</v>
      </c>
      <c r="B1902" s="81" t="s">
        <v>822</v>
      </c>
      <c r="C1902" s="81" t="s">
        <v>7404</v>
      </c>
      <c r="D1902" s="81" t="s">
        <v>3764</v>
      </c>
      <c r="E1902" s="81" t="s">
        <v>16</v>
      </c>
      <c r="F1902" s="81" t="s">
        <v>382</v>
      </c>
      <c r="G1902" s="81" t="s">
        <v>6702</v>
      </c>
      <c r="H1902" s="81" t="s">
        <v>6704</v>
      </c>
    </row>
    <row r="1903" spans="1:8" x14ac:dyDescent="0.3">
      <c r="A1903" s="81" t="s">
        <v>8107</v>
      </c>
      <c r="B1903" s="81" t="s">
        <v>822</v>
      </c>
      <c r="C1903" s="81" t="s">
        <v>7404</v>
      </c>
      <c r="D1903" s="81" t="s">
        <v>3764</v>
      </c>
      <c r="E1903" s="81" t="s">
        <v>16</v>
      </c>
      <c r="F1903" s="81" t="s">
        <v>383</v>
      </c>
      <c r="G1903" s="81" t="s">
        <v>6705</v>
      </c>
      <c r="H1903" s="81" t="s">
        <v>6707</v>
      </c>
    </row>
    <row r="1904" spans="1:8" x14ac:dyDescent="0.3">
      <c r="A1904" s="81" t="s">
        <v>8108</v>
      </c>
      <c r="B1904" s="81" t="s">
        <v>822</v>
      </c>
      <c r="C1904" s="81" t="s">
        <v>7405</v>
      </c>
      <c r="D1904" s="81" t="s">
        <v>3764</v>
      </c>
      <c r="E1904" s="81" t="s">
        <v>20</v>
      </c>
      <c r="F1904" s="81" t="s">
        <v>15</v>
      </c>
      <c r="G1904" s="81" t="s">
        <v>6709</v>
      </c>
      <c r="H1904" s="81" t="s">
        <v>6712</v>
      </c>
    </row>
    <row r="1905" spans="1:8" x14ac:dyDescent="0.3">
      <c r="A1905" s="81" t="s">
        <v>8109</v>
      </c>
      <c r="B1905" s="81" t="s">
        <v>822</v>
      </c>
      <c r="C1905" s="81" t="s">
        <v>7405</v>
      </c>
      <c r="D1905" s="81" t="s">
        <v>3764</v>
      </c>
      <c r="E1905" s="81" t="s">
        <v>16</v>
      </c>
      <c r="F1905" s="81" t="s">
        <v>368</v>
      </c>
      <c r="G1905" s="81" t="s">
        <v>6713</v>
      </c>
      <c r="H1905" s="81" t="s">
        <v>6714</v>
      </c>
    </row>
    <row r="1906" spans="1:8" x14ac:dyDescent="0.3">
      <c r="A1906" s="81" t="s">
        <v>8110</v>
      </c>
      <c r="B1906" s="81" t="s">
        <v>822</v>
      </c>
      <c r="C1906" s="81" t="s">
        <v>7405</v>
      </c>
      <c r="D1906" s="81" t="s">
        <v>3764</v>
      </c>
      <c r="E1906" s="81" t="s">
        <v>16</v>
      </c>
      <c r="F1906" s="81" t="s">
        <v>369</v>
      </c>
      <c r="G1906" s="81" t="s">
        <v>6715</v>
      </c>
      <c r="H1906" s="81" t="s">
        <v>6716</v>
      </c>
    </row>
    <row r="1907" spans="1:8" x14ac:dyDescent="0.3">
      <c r="A1907" s="81" t="s">
        <v>8111</v>
      </c>
      <c r="B1907" s="81" t="s">
        <v>822</v>
      </c>
      <c r="C1907" s="81" t="s">
        <v>7405</v>
      </c>
      <c r="D1907" s="81" t="s">
        <v>3764</v>
      </c>
      <c r="E1907" s="81" t="s">
        <v>16</v>
      </c>
      <c r="F1907" s="81" t="s">
        <v>370</v>
      </c>
      <c r="G1907" s="81" t="s">
        <v>6717</v>
      </c>
      <c r="H1907" s="81" t="s">
        <v>6718</v>
      </c>
    </row>
    <row r="1908" spans="1:8" x14ac:dyDescent="0.3">
      <c r="A1908" s="81" t="s">
        <v>8112</v>
      </c>
      <c r="B1908" s="81" t="s">
        <v>822</v>
      </c>
      <c r="C1908" s="81" t="s">
        <v>7405</v>
      </c>
      <c r="D1908" s="81" t="s">
        <v>3764</v>
      </c>
      <c r="E1908" s="81" t="s">
        <v>16</v>
      </c>
      <c r="F1908" s="81" t="s">
        <v>371</v>
      </c>
      <c r="G1908" s="81" t="s">
        <v>6719</v>
      </c>
      <c r="H1908" s="81" t="s">
        <v>6720</v>
      </c>
    </row>
    <row r="1909" spans="1:8" x14ac:dyDescent="0.3">
      <c r="A1909" s="81" t="s">
        <v>8113</v>
      </c>
      <c r="B1909" s="81" t="s">
        <v>822</v>
      </c>
      <c r="C1909" s="81" t="s">
        <v>7405</v>
      </c>
      <c r="D1909" s="81" t="s">
        <v>3764</v>
      </c>
      <c r="E1909" s="81" t="s">
        <v>16</v>
      </c>
      <c r="F1909" s="81" t="s">
        <v>372</v>
      </c>
      <c r="G1909" s="81" t="s">
        <v>6721</v>
      </c>
      <c r="H1909" s="81" t="s">
        <v>6722</v>
      </c>
    </row>
    <row r="1910" spans="1:8" x14ac:dyDescent="0.3">
      <c r="A1910" s="81" t="s">
        <v>8114</v>
      </c>
      <c r="B1910" s="81" t="s">
        <v>822</v>
      </c>
      <c r="C1910" s="81" t="s">
        <v>7405</v>
      </c>
      <c r="D1910" s="81" t="s">
        <v>3764</v>
      </c>
      <c r="E1910" s="81" t="s">
        <v>16</v>
      </c>
      <c r="F1910" s="81" t="s">
        <v>373</v>
      </c>
      <c r="G1910" s="81" t="s">
        <v>6723</v>
      </c>
      <c r="H1910" s="81" t="s">
        <v>6725</v>
      </c>
    </row>
    <row r="1911" spans="1:8" x14ac:dyDescent="0.3">
      <c r="A1911" s="81" t="s">
        <v>8115</v>
      </c>
      <c r="B1911" s="81" t="s">
        <v>822</v>
      </c>
      <c r="C1911" s="81" t="s">
        <v>7405</v>
      </c>
      <c r="D1911" s="81" t="s">
        <v>3764</v>
      </c>
      <c r="E1911" s="81" t="s">
        <v>16</v>
      </c>
      <c r="F1911" s="81" t="s">
        <v>374</v>
      </c>
      <c r="G1911" s="81" t="s">
        <v>6726</v>
      </c>
      <c r="H1911" s="81" t="s">
        <v>6727</v>
      </c>
    </row>
    <row r="1912" spans="1:8" x14ac:dyDescent="0.3">
      <c r="A1912" s="81" t="s">
        <v>8116</v>
      </c>
      <c r="B1912" s="81" t="s">
        <v>822</v>
      </c>
      <c r="C1912" s="81" t="s">
        <v>7405</v>
      </c>
      <c r="D1912" s="81" t="s">
        <v>3764</v>
      </c>
      <c r="E1912" s="81" t="s">
        <v>16</v>
      </c>
      <c r="F1912" s="81" t="s">
        <v>375</v>
      </c>
      <c r="G1912" s="81" t="s">
        <v>6728</v>
      </c>
      <c r="H1912" s="81" t="s">
        <v>6730</v>
      </c>
    </row>
    <row r="1913" spans="1:8" x14ac:dyDescent="0.3">
      <c r="A1913" s="81" t="s">
        <v>8117</v>
      </c>
      <c r="B1913" s="81" t="s">
        <v>822</v>
      </c>
      <c r="C1913" s="81" t="s">
        <v>7405</v>
      </c>
      <c r="D1913" s="81" t="s">
        <v>3764</v>
      </c>
      <c r="E1913" s="81" t="s">
        <v>16</v>
      </c>
      <c r="F1913" s="81" t="s">
        <v>376</v>
      </c>
      <c r="G1913" s="81" t="s">
        <v>6731</v>
      </c>
      <c r="H1913" s="81" t="s">
        <v>6733</v>
      </c>
    </row>
    <row r="1914" spans="1:8" x14ac:dyDescent="0.3">
      <c r="A1914" s="81" t="s">
        <v>8118</v>
      </c>
      <c r="B1914" s="81" t="s">
        <v>822</v>
      </c>
      <c r="C1914" s="81" t="s">
        <v>7405</v>
      </c>
      <c r="D1914" s="81" t="s">
        <v>3764</v>
      </c>
      <c r="E1914" s="81" t="s">
        <v>16</v>
      </c>
      <c r="F1914" s="81" t="s">
        <v>377</v>
      </c>
      <c r="G1914" s="81" t="s">
        <v>6734</v>
      </c>
      <c r="H1914" s="81" t="s">
        <v>6736</v>
      </c>
    </row>
    <row r="1915" spans="1:8" x14ac:dyDescent="0.3">
      <c r="A1915" s="81" t="s">
        <v>8119</v>
      </c>
      <c r="B1915" s="81" t="s">
        <v>822</v>
      </c>
      <c r="C1915" s="81" t="s">
        <v>7405</v>
      </c>
      <c r="D1915" s="81" t="s">
        <v>3764</v>
      </c>
      <c r="E1915" s="81" t="s">
        <v>16</v>
      </c>
      <c r="F1915" s="81" t="s">
        <v>378</v>
      </c>
      <c r="G1915" s="81" t="s">
        <v>6737</v>
      </c>
      <c r="H1915" s="81" t="s">
        <v>6738</v>
      </c>
    </row>
    <row r="1916" spans="1:8" x14ac:dyDescent="0.3">
      <c r="A1916" s="81" t="s">
        <v>8120</v>
      </c>
      <c r="B1916" s="81" t="s">
        <v>822</v>
      </c>
      <c r="C1916" s="81" t="s">
        <v>7405</v>
      </c>
      <c r="D1916" s="81" t="s">
        <v>3764</v>
      </c>
      <c r="E1916" s="81" t="s">
        <v>16</v>
      </c>
      <c r="F1916" s="81" t="s">
        <v>379</v>
      </c>
      <c r="G1916" s="81" t="s">
        <v>6739</v>
      </c>
      <c r="H1916" s="81" t="s">
        <v>6740</v>
      </c>
    </row>
    <row r="1917" spans="1:8" x14ac:dyDescent="0.3">
      <c r="A1917" s="81" t="s">
        <v>8121</v>
      </c>
      <c r="B1917" s="81" t="s">
        <v>822</v>
      </c>
      <c r="C1917" s="81" t="s">
        <v>7405</v>
      </c>
      <c r="D1917" s="81" t="s">
        <v>3764</v>
      </c>
      <c r="E1917" s="81" t="s">
        <v>16</v>
      </c>
      <c r="F1917" s="81" t="s">
        <v>380</v>
      </c>
      <c r="G1917" s="81" t="s">
        <v>6741</v>
      </c>
      <c r="H1917" s="81" t="s">
        <v>6743</v>
      </c>
    </row>
    <row r="1918" spans="1:8" x14ac:dyDescent="0.3">
      <c r="A1918" s="81" t="s">
        <v>8122</v>
      </c>
      <c r="B1918" s="81" t="s">
        <v>822</v>
      </c>
      <c r="C1918" s="81" t="s">
        <v>7405</v>
      </c>
      <c r="D1918" s="81" t="s">
        <v>3764</v>
      </c>
      <c r="E1918" s="81" t="s">
        <v>16</v>
      </c>
      <c r="F1918" s="81" t="s">
        <v>381</v>
      </c>
      <c r="G1918" s="81" t="s">
        <v>6744</v>
      </c>
      <c r="H1918" s="81" t="s">
        <v>6746</v>
      </c>
    </row>
    <row r="1919" spans="1:8" x14ac:dyDescent="0.3">
      <c r="A1919" s="81" t="s">
        <v>8123</v>
      </c>
      <c r="B1919" s="81" t="s">
        <v>822</v>
      </c>
      <c r="C1919" s="81" t="s">
        <v>7405</v>
      </c>
      <c r="D1919" s="81" t="s">
        <v>3764</v>
      </c>
      <c r="E1919" s="81" t="s">
        <v>16</v>
      </c>
      <c r="F1919" s="81" t="s">
        <v>382</v>
      </c>
      <c r="G1919" s="81" t="s">
        <v>6747</v>
      </c>
      <c r="H1919" s="81" t="s">
        <v>6749</v>
      </c>
    </row>
    <row r="1920" spans="1:8" x14ac:dyDescent="0.3">
      <c r="A1920" s="81" t="s">
        <v>8124</v>
      </c>
      <c r="B1920" s="81" t="s">
        <v>822</v>
      </c>
      <c r="C1920" s="81" t="s">
        <v>7405</v>
      </c>
      <c r="D1920" s="81" t="s">
        <v>3764</v>
      </c>
      <c r="E1920" s="81" t="s">
        <v>16</v>
      </c>
      <c r="F1920" s="81" t="s">
        <v>383</v>
      </c>
      <c r="G1920" s="81" t="s">
        <v>6750</v>
      </c>
      <c r="H1920" s="81" t="s">
        <v>6751</v>
      </c>
    </row>
    <row r="1921" spans="1:8" x14ac:dyDescent="0.3">
      <c r="A1921" s="81" t="s">
        <v>8125</v>
      </c>
      <c r="B1921" s="81" t="s">
        <v>822</v>
      </c>
      <c r="C1921" s="81" t="s">
        <v>7406</v>
      </c>
      <c r="D1921" s="81" t="s">
        <v>3764</v>
      </c>
      <c r="E1921" s="81" t="s">
        <v>20</v>
      </c>
      <c r="F1921" s="81" t="s">
        <v>15</v>
      </c>
      <c r="G1921" s="81" t="s">
        <v>6753</v>
      </c>
      <c r="H1921" s="81" t="s">
        <v>6756</v>
      </c>
    </row>
    <row r="1922" spans="1:8" x14ac:dyDescent="0.3">
      <c r="A1922" s="81" t="s">
        <v>8126</v>
      </c>
      <c r="B1922" s="81" t="s">
        <v>822</v>
      </c>
      <c r="C1922" s="81" t="s">
        <v>7406</v>
      </c>
      <c r="D1922" s="81" t="s">
        <v>3764</v>
      </c>
      <c r="E1922" s="81" t="s">
        <v>16</v>
      </c>
      <c r="F1922" s="81" t="s">
        <v>368</v>
      </c>
      <c r="G1922" s="81" t="s">
        <v>6757</v>
      </c>
      <c r="H1922" s="81" t="s">
        <v>6758</v>
      </c>
    </row>
    <row r="1923" spans="1:8" x14ac:dyDescent="0.3">
      <c r="A1923" s="81" t="s">
        <v>8127</v>
      </c>
      <c r="B1923" s="81" t="s">
        <v>822</v>
      </c>
      <c r="C1923" s="81" t="s">
        <v>7406</v>
      </c>
      <c r="D1923" s="81" t="s">
        <v>3764</v>
      </c>
      <c r="E1923" s="81" t="s">
        <v>16</v>
      </c>
      <c r="F1923" s="81" t="s">
        <v>369</v>
      </c>
      <c r="G1923" s="81" t="s">
        <v>6759</v>
      </c>
      <c r="H1923" s="81" t="s">
        <v>6760</v>
      </c>
    </row>
    <row r="1924" spans="1:8" x14ac:dyDescent="0.3">
      <c r="A1924" s="81" t="s">
        <v>8128</v>
      </c>
      <c r="B1924" s="81" t="s">
        <v>822</v>
      </c>
      <c r="C1924" s="81" t="s">
        <v>7406</v>
      </c>
      <c r="D1924" s="81" t="s">
        <v>3764</v>
      </c>
      <c r="E1924" s="81" t="s">
        <v>16</v>
      </c>
      <c r="F1924" s="81" t="s">
        <v>370</v>
      </c>
      <c r="G1924" s="81" t="s">
        <v>6761</v>
      </c>
      <c r="H1924" s="81" t="s">
        <v>6762</v>
      </c>
    </row>
    <row r="1925" spans="1:8" x14ac:dyDescent="0.3">
      <c r="A1925" s="81" t="s">
        <v>8129</v>
      </c>
      <c r="B1925" s="81" t="s">
        <v>822</v>
      </c>
      <c r="C1925" s="81" t="s">
        <v>7406</v>
      </c>
      <c r="D1925" s="81" t="s">
        <v>3764</v>
      </c>
      <c r="E1925" s="81" t="s">
        <v>16</v>
      </c>
      <c r="F1925" s="81" t="s">
        <v>371</v>
      </c>
      <c r="G1925" s="81" t="s">
        <v>6763</v>
      </c>
      <c r="H1925" s="81" t="s">
        <v>6764</v>
      </c>
    </row>
    <row r="1926" spans="1:8" x14ac:dyDescent="0.3">
      <c r="A1926" s="81" t="s">
        <v>8130</v>
      </c>
      <c r="B1926" s="81" t="s">
        <v>822</v>
      </c>
      <c r="C1926" s="81" t="s">
        <v>7406</v>
      </c>
      <c r="D1926" s="81" t="s">
        <v>3764</v>
      </c>
      <c r="E1926" s="81" t="s">
        <v>16</v>
      </c>
      <c r="F1926" s="81" t="s">
        <v>372</v>
      </c>
      <c r="G1926" s="81" t="s">
        <v>6765</v>
      </c>
      <c r="H1926" s="81" t="s">
        <v>6766</v>
      </c>
    </row>
    <row r="1927" spans="1:8" x14ac:dyDescent="0.3">
      <c r="A1927" s="81" t="s">
        <v>8131</v>
      </c>
      <c r="B1927" s="81" t="s">
        <v>822</v>
      </c>
      <c r="C1927" s="81" t="s">
        <v>7406</v>
      </c>
      <c r="D1927" s="81" t="s">
        <v>3764</v>
      </c>
      <c r="E1927" s="81" t="s">
        <v>16</v>
      </c>
      <c r="F1927" s="81" t="s">
        <v>373</v>
      </c>
      <c r="G1927" s="81" t="s">
        <v>6767</v>
      </c>
      <c r="H1927" s="81" t="s">
        <v>6768</v>
      </c>
    </row>
    <row r="1928" spans="1:8" x14ac:dyDescent="0.3">
      <c r="A1928" s="81" t="s">
        <v>8132</v>
      </c>
      <c r="B1928" s="81" t="s">
        <v>822</v>
      </c>
      <c r="C1928" s="81" t="s">
        <v>7406</v>
      </c>
      <c r="D1928" s="81" t="s">
        <v>3764</v>
      </c>
      <c r="E1928" s="81" t="s">
        <v>16</v>
      </c>
      <c r="F1928" s="81" t="s">
        <v>374</v>
      </c>
      <c r="G1928" s="81" t="s">
        <v>6769</v>
      </c>
      <c r="H1928" s="81" t="s">
        <v>6770</v>
      </c>
    </row>
    <row r="1929" spans="1:8" x14ac:dyDescent="0.3">
      <c r="A1929" s="81" t="s">
        <v>8133</v>
      </c>
      <c r="B1929" s="81" t="s">
        <v>822</v>
      </c>
      <c r="C1929" s="81" t="s">
        <v>7406</v>
      </c>
      <c r="D1929" s="81" t="s">
        <v>3764</v>
      </c>
      <c r="E1929" s="81" t="s">
        <v>16</v>
      </c>
      <c r="F1929" s="81" t="s">
        <v>375</v>
      </c>
      <c r="G1929" s="81" t="s">
        <v>6771</v>
      </c>
      <c r="H1929" s="81" t="s">
        <v>6772</v>
      </c>
    </row>
    <row r="1930" spans="1:8" x14ac:dyDescent="0.3">
      <c r="A1930" s="81" t="s">
        <v>8134</v>
      </c>
      <c r="B1930" s="81" t="s">
        <v>822</v>
      </c>
      <c r="C1930" s="81" t="s">
        <v>7406</v>
      </c>
      <c r="D1930" s="81" t="s">
        <v>3764</v>
      </c>
      <c r="E1930" s="81" t="s">
        <v>16</v>
      </c>
      <c r="F1930" s="81" t="s">
        <v>376</v>
      </c>
      <c r="G1930" s="81" t="s">
        <v>6773</v>
      </c>
      <c r="H1930" s="81" t="s">
        <v>6774</v>
      </c>
    </row>
    <row r="1931" spans="1:8" x14ac:dyDescent="0.3">
      <c r="A1931" s="81" t="s">
        <v>8135</v>
      </c>
      <c r="B1931" s="81" t="s">
        <v>822</v>
      </c>
      <c r="C1931" s="81" t="s">
        <v>7406</v>
      </c>
      <c r="D1931" s="81" t="s">
        <v>3764</v>
      </c>
      <c r="E1931" s="81" t="s">
        <v>16</v>
      </c>
      <c r="F1931" s="81" t="s">
        <v>377</v>
      </c>
      <c r="G1931" s="81" t="s">
        <v>6775</v>
      </c>
      <c r="H1931" s="81" t="s">
        <v>6776</v>
      </c>
    </row>
    <row r="1932" spans="1:8" x14ac:dyDescent="0.3">
      <c r="A1932" s="81" t="s">
        <v>8136</v>
      </c>
      <c r="B1932" s="81" t="s">
        <v>822</v>
      </c>
      <c r="C1932" s="81" t="s">
        <v>7406</v>
      </c>
      <c r="D1932" s="81" t="s">
        <v>3764</v>
      </c>
      <c r="E1932" s="81" t="s">
        <v>16</v>
      </c>
      <c r="F1932" s="81" t="s">
        <v>378</v>
      </c>
      <c r="G1932" s="81" t="s">
        <v>6777</v>
      </c>
      <c r="H1932" s="81" t="s">
        <v>6778</v>
      </c>
    </row>
    <row r="1933" spans="1:8" x14ac:dyDescent="0.3">
      <c r="A1933" s="81" t="s">
        <v>8137</v>
      </c>
      <c r="B1933" s="81" t="s">
        <v>822</v>
      </c>
      <c r="C1933" s="81" t="s">
        <v>7406</v>
      </c>
      <c r="D1933" s="81" t="s">
        <v>3764</v>
      </c>
      <c r="E1933" s="81" t="s">
        <v>16</v>
      </c>
      <c r="F1933" s="81" t="s">
        <v>379</v>
      </c>
      <c r="G1933" s="81" t="s">
        <v>6779</v>
      </c>
      <c r="H1933" s="81" t="s">
        <v>6780</v>
      </c>
    </row>
    <row r="1934" spans="1:8" x14ac:dyDescent="0.3">
      <c r="A1934" s="81" t="s">
        <v>8138</v>
      </c>
      <c r="B1934" s="81" t="s">
        <v>822</v>
      </c>
      <c r="C1934" s="81" t="s">
        <v>7406</v>
      </c>
      <c r="D1934" s="81" t="s">
        <v>3764</v>
      </c>
      <c r="E1934" s="81" t="s">
        <v>16</v>
      </c>
      <c r="F1934" s="81" t="s">
        <v>380</v>
      </c>
      <c r="G1934" s="81" t="s">
        <v>6781</v>
      </c>
      <c r="H1934" s="81" t="s">
        <v>6782</v>
      </c>
    </row>
    <row r="1935" spans="1:8" x14ac:dyDescent="0.3">
      <c r="A1935" s="81" t="s">
        <v>8139</v>
      </c>
      <c r="B1935" s="81" t="s">
        <v>822</v>
      </c>
      <c r="C1935" s="81" t="s">
        <v>7406</v>
      </c>
      <c r="D1935" s="81" t="s">
        <v>3764</v>
      </c>
      <c r="E1935" s="81" t="s">
        <v>16</v>
      </c>
      <c r="F1935" s="81" t="s">
        <v>381</v>
      </c>
      <c r="G1935" s="81" t="s">
        <v>6783</v>
      </c>
      <c r="H1935" s="81" t="s">
        <v>6784</v>
      </c>
    </row>
    <row r="1936" spans="1:8" x14ac:dyDescent="0.3">
      <c r="A1936" s="81" t="s">
        <v>8140</v>
      </c>
      <c r="B1936" s="81" t="s">
        <v>822</v>
      </c>
      <c r="C1936" s="81" t="s">
        <v>7406</v>
      </c>
      <c r="D1936" s="81" t="s">
        <v>3764</v>
      </c>
      <c r="E1936" s="81" t="s">
        <v>16</v>
      </c>
      <c r="F1936" s="81" t="s">
        <v>382</v>
      </c>
      <c r="G1936" s="81" t="s">
        <v>6785</v>
      </c>
      <c r="H1936" s="81" t="s">
        <v>6786</v>
      </c>
    </row>
    <row r="1937" spans="1:8" x14ac:dyDescent="0.3">
      <c r="A1937" s="81" t="s">
        <v>8141</v>
      </c>
      <c r="B1937" s="81" t="s">
        <v>822</v>
      </c>
      <c r="C1937" s="81" t="s">
        <v>7406</v>
      </c>
      <c r="D1937" s="81" t="s">
        <v>3764</v>
      </c>
      <c r="E1937" s="81" t="s">
        <v>16</v>
      </c>
      <c r="F1937" s="81" t="s">
        <v>383</v>
      </c>
      <c r="G1937" s="81" t="s">
        <v>6787</v>
      </c>
      <c r="H1937" s="81" t="s">
        <v>6788</v>
      </c>
    </row>
    <row r="1938" spans="1:8" x14ac:dyDescent="0.3">
      <c r="A1938" s="81" t="s">
        <v>8142</v>
      </c>
      <c r="B1938" s="81" t="s">
        <v>405</v>
      </c>
      <c r="C1938" s="81" t="s">
        <v>6789</v>
      </c>
      <c r="D1938" s="81" t="s">
        <v>6790</v>
      </c>
      <c r="E1938" s="81" t="s">
        <v>20</v>
      </c>
      <c r="F1938" s="81" t="s">
        <v>15</v>
      </c>
      <c r="G1938" s="81" t="s">
        <v>6792</v>
      </c>
      <c r="H1938" s="81" t="s">
        <v>6795</v>
      </c>
    </row>
    <row r="1939" spans="1:8" x14ac:dyDescent="0.3">
      <c r="A1939" s="81" t="s">
        <v>8143</v>
      </c>
      <c r="B1939" s="81" t="s">
        <v>405</v>
      </c>
      <c r="C1939" s="81" t="s">
        <v>6789</v>
      </c>
      <c r="D1939" s="81" t="s">
        <v>6790</v>
      </c>
      <c r="E1939" s="81" t="s">
        <v>16</v>
      </c>
      <c r="F1939" s="81" t="s">
        <v>368</v>
      </c>
      <c r="G1939" s="81" t="s">
        <v>6796</v>
      </c>
      <c r="H1939" s="81" t="s">
        <v>6798</v>
      </c>
    </row>
    <row r="1940" spans="1:8" x14ac:dyDescent="0.3">
      <c r="A1940" s="81" t="s">
        <v>8144</v>
      </c>
      <c r="B1940" s="81" t="s">
        <v>405</v>
      </c>
      <c r="C1940" s="81" t="s">
        <v>6789</v>
      </c>
      <c r="D1940" s="81" t="s">
        <v>6790</v>
      </c>
      <c r="E1940" s="81" t="s">
        <v>16</v>
      </c>
      <c r="F1940" s="81" t="s">
        <v>369</v>
      </c>
      <c r="G1940" s="81" t="s">
        <v>6799</v>
      </c>
      <c r="H1940" s="81" t="s">
        <v>6801</v>
      </c>
    </row>
    <row r="1941" spans="1:8" x14ac:dyDescent="0.3">
      <c r="A1941" s="81" t="s">
        <v>8145</v>
      </c>
      <c r="B1941" s="81" t="s">
        <v>405</v>
      </c>
      <c r="C1941" s="81" t="s">
        <v>6789</v>
      </c>
      <c r="D1941" s="81" t="s">
        <v>6790</v>
      </c>
      <c r="E1941" s="81" t="s">
        <v>16</v>
      </c>
      <c r="F1941" s="81" t="s">
        <v>370</v>
      </c>
      <c r="G1941" s="81" t="s">
        <v>6802</v>
      </c>
      <c r="H1941" s="81" t="s">
        <v>6804</v>
      </c>
    </row>
    <row r="1942" spans="1:8" x14ac:dyDescent="0.3">
      <c r="A1942" s="81" t="s">
        <v>8146</v>
      </c>
      <c r="B1942" s="81" t="s">
        <v>405</v>
      </c>
      <c r="C1942" s="81" t="s">
        <v>6789</v>
      </c>
      <c r="D1942" s="81" t="s">
        <v>6790</v>
      </c>
      <c r="E1942" s="81" t="s">
        <v>16</v>
      </c>
      <c r="F1942" s="81" t="s">
        <v>371</v>
      </c>
      <c r="G1942" s="81" t="s">
        <v>6805</v>
      </c>
      <c r="H1942" s="81" t="s">
        <v>6807</v>
      </c>
    </row>
    <row r="1943" spans="1:8" x14ac:dyDescent="0.3">
      <c r="A1943" s="81" t="s">
        <v>8147</v>
      </c>
      <c r="B1943" s="81" t="s">
        <v>405</v>
      </c>
      <c r="C1943" s="81" t="s">
        <v>6789</v>
      </c>
      <c r="D1943" s="81" t="s">
        <v>6790</v>
      </c>
      <c r="E1943" s="81" t="s">
        <v>16</v>
      </c>
      <c r="F1943" s="81" t="s">
        <v>372</v>
      </c>
      <c r="G1943" s="81" t="s">
        <v>6808</v>
      </c>
      <c r="H1943" s="81" t="s">
        <v>6810</v>
      </c>
    </row>
    <row r="1944" spans="1:8" x14ac:dyDescent="0.3">
      <c r="A1944" s="81" t="s">
        <v>8148</v>
      </c>
      <c r="B1944" s="81" t="s">
        <v>405</v>
      </c>
      <c r="C1944" s="81" t="s">
        <v>6789</v>
      </c>
      <c r="D1944" s="81" t="s">
        <v>6790</v>
      </c>
      <c r="E1944" s="81" t="s">
        <v>16</v>
      </c>
      <c r="F1944" s="81" t="s">
        <v>373</v>
      </c>
      <c r="G1944" s="81" t="s">
        <v>6811</v>
      </c>
      <c r="H1944" s="81" t="s">
        <v>6813</v>
      </c>
    </row>
    <row r="1945" spans="1:8" x14ac:dyDescent="0.3">
      <c r="A1945" s="81" t="s">
        <v>8149</v>
      </c>
      <c r="B1945" s="81" t="s">
        <v>405</v>
      </c>
      <c r="C1945" s="81" t="s">
        <v>6789</v>
      </c>
      <c r="D1945" s="81" t="s">
        <v>6790</v>
      </c>
      <c r="E1945" s="81" t="s">
        <v>16</v>
      </c>
      <c r="F1945" s="81" t="s">
        <v>374</v>
      </c>
      <c r="G1945" s="81" t="s">
        <v>6814</v>
      </c>
      <c r="H1945" s="81" t="s">
        <v>6816</v>
      </c>
    </row>
    <row r="1946" spans="1:8" x14ac:dyDescent="0.3">
      <c r="A1946" s="81" t="s">
        <v>8150</v>
      </c>
      <c r="B1946" s="81" t="s">
        <v>405</v>
      </c>
      <c r="C1946" s="81" t="s">
        <v>6789</v>
      </c>
      <c r="D1946" s="81" t="s">
        <v>6790</v>
      </c>
      <c r="E1946" s="81" t="s">
        <v>16</v>
      </c>
      <c r="F1946" s="81" t="s">
        <v>375</v>
      </c>
      <c r="G1946" s="81" t="s">
        <v>6817</v>
      </c>
      <c r="H1946" s="81" t="s">
        <v>6819</v>
      </c>
    </row>
    <row r="1947" spans="1:8" x14ac:dyDescent="0.3">
      <c r="A1947" s="81" t="s">
        <v>8151</v>
      </c>
      <c r="B1947" s="81" t="s">
        <v>405</v>
      </c>
      <c r="C1947" s="81" t="s">
        <v>6789</v>
      </c>
      <c r="D1947" s="81" t="s">
        <v>6790</v>
      </c>
      <c r="E1947" s="81" t="s">
        <v>16</v>
      </c>
      <c r="F1947" s="81" t="s">
        <v>376</v>
      </c>
      <c r="G1947" s="81" t="s">
        <v>6820</v>
      </c>
      <c r="H1947" s="81" t="s">
        <v>6822</v>
      </c>
    </row>
    <row r="1948" spans="1:8" x14ac:dyDescent="0.3">
      <c r="A1948" s="81" t="s">
        <v>8152</v>
      </c>
      <c r="B1948" s="81" t="s">
        <v>405</v>
      </c>
      <c r="C1948" s="81" t="s">
        <v>6789</v>
      </c>
      <c r="D1948" s="81" t="s">
        <v>6790</v>
      </c>
      <c r="E1948" s="81" t="s">
        <v>16</v>
      </c>
      <c r="F1948" s="81" t="s">
        <v>377</v>
      </c>
      <c r="G1948" s="81" t="s">
        <v>6823</v>
      </c>
      <c r="H1948" s="81" t="s">
        <v>6825</v>
      </c>
    </row>
    <row r="1949" spans="1:8" x14ac:dyDescent="0.3">
      <c r="A1949" s="81" t="s">
        <v>8153</v>
      </c>
      <c r="B1949" s="81" t="s">
        <v>405</v>
      </c>
      <c r="C1949" s="81" t="s">
        <v>6789</v>
      </c>
      <c r="D1949" s="81" t="s">
        <v>6790</v>
      </c>
      <c r="E1949" s="81" t="s">
        <v>16</v>
      </c>
      <c r="F1949" s="81" t="s">
        <v>378</v>
      </c>
      <c r="G1949" s="81" t="s">
        <v>6826</v>
      </c>
      <c r="H1949" s="81" t="s">
        <v>6828</v>
      </c>
    </row>
    <row r="1950" spans="1:8" x14ac:dyDescent="0.3">
      <c r="A1950" s="81" t="s">
        <v>8154</v>
      </c>
      <c r="B1950" s="81" t="s">
        <v>405</v>
      </c>
      <c r="C1950" s="81" t="s">
        <v>6789</v>
      </c>
      <c r="D1950" s="81" t="s">
        <v>6790</v>
      </c>
      <c r="E1950" s="81" t="s">
        <v>16</v>
      </c>
      <c r="F1950" s="81" t="s">
        <v>379</v>
      </c>
      <c r="G1950" s="81" t="s">
        <v>6829</v>
      </c>
      <c r="H1950" s="81" t="s">
        <v>6831</v>
      </c>
    </row>
    <row r="1951" spans="1:8" x14ac:dyDescent="0.3">
      <c r="A1951" s="81" t="s">
        <v>8155</v>
      </c>
      <c r="B1951" s="81" t="s">
        <v>405</v>
      </c>
      <c r="C1951" s="81" t="s">
        <v>6789</v>
      </c>
      <c r="D1951" s="81" t="s">
        <v>6790</v>
      </c>
      <c r="E1951" s="81" t="s">
        <v>16</v>
      </c>
      <c r="F1951" s="81" t="s">
        <v>380</v>
      </c>
      <c r="G1951" s="81" t="s">
        <v>6832</v>
      </c>
      <c r="H1951" s="81" t="s">
        <v>6834</v>
      </c>
    </row>
    <row r="1952" spans="1:8" x14ac:dyDescent="0.3">
      <c r="A1952" s="81" t="s">
        <v>8156</v>
      </c>
      <c r="B1952" s="81" t="s">
        <v>405</v>
      </c>
      <c r="C1952" s="81" t="s">
        <v>6789</v>
      </c>
      <c r="D1952" s="81" t="s">
        <v>6790</v>
      </c>
      <c r="E1952" s="81" t="s">
        <v>16</v>
      </c>
      <c r="F1952" s="81" t="s">
        <v>381</v>
      </c>
      <c r="G1952" s="81" t="s">
        <v>6835</v>
      </c>
      <c r="H1952" s="81" t="s">
        <v>6837</v>
      </c>
    </row>
    <row r="1953" spans="1:8" x14ac:dyDescent="0.3">
      <c r="A1953" s="81" t="s">
        <v>8157</v>
      </c>
      <c r="B1953" s="81" t="s">
        <v>405</v>
      </c>
      <c r="C1953" s="81" t="s">
        <v>6789</v>
      </c>
      <c r="D1953" s="81" t="s">
        <v>6790</v>
      </c>
      <c r="E1953" s="81" t="s">
        <v>16</v>
      </c>
      <c r="F1953" s="81" t="s">
        <v>382</v>
      </c>
      <c r="G1953" s="81" t="s">
        <v>6838</v>
      </c>
      <c r="H1953" s="81" t="s">
        <v>6840</v>
      </c>
    </row>
    <row r="1954" spans="1:8" x14ac:dyDescent="0.3">
      <c r="A1954" s="81" t="s">
        <v>8158</v>
      </c>
      <c r="B1954" s="81" t="s">
        <v>405</v>
      </c>
      <c r="C1954" s="81" t="s">
        <v>6789</v>
      </c>
      <c r="D1954" s="81" t="s">
        <v>6790</v>
      </c>
      <c r="E1954" s="81" t="s">
        <v>16</v>
      </c>
      <c r="F1954" s="81" t="s">
        <v>383</v>
      </c>
      <c r="G1954" s="81" t="s">
        <v>6841</v>
      </c>
      <c r="H1954" s="81" t="s">
        <v>6843</v>
      </c>
    </row>
    <row r="1955" spans="1:8" x14ac:dyDescent="0.3">
      <c r="A1955" s="81" t="s">
        <v>8159</v>
      </c>
      <c r="B1955" s="81" t="s">
        <v>405</v>
      </c>
      <c r="C1955" s="81" t="s">
        <v>6789</v>
      </c>
      <c r="D1955" s="81" t="s">
        <v>6790</v>
      </c>
      <c r="E1955" s="81" t="s">
        <v>20</v>
      </c>
      <c r="F1955" s="81" t="s">
        <v>15</v>
      </c>
      <c r="G1955" s="81" t="s">
        <v>6846</v>
      </c>
      <c r="H1955" s="81" t="s">
        <v>6849</v>
      </c>
    </row>
    <row r="1956" spans="1:8" x14ac:dyDescent="0.3">
      <c r="A1956" s="81" t="s">
        <v>8160</v>
      </c>
      <c r="B1956" s="81" t="s">
        <v>405</v>
      </c>
      <c r="C1956" s="81" t="s">
        <v>6789</v>
      </c>
      <c r="D1956" s="81" t="s">
        <v>6790</v>
      </c>
      <c r="E1956" s="81" t="s">
        <v>16</v>
      </c>
      <c r="F1956" s="81" t="s">
        <v>368</v>
      </c>
      <c r="G1956" s="81" t="s">
        <v>6850</v>
      </c>
      <c r="H1956" s="81" t="s">
        <v>6852</v>
      </c>
    </row>
    <row r="1957" spans="1:8" x14ac:dyDescent="0.3">
      <c r="A1957" s="81" t="s">
        <v>8161</v>
      </c>
      <c r="B1957" s="81" t="s">
        <v>405</v>
      </c>
      <c r="C1957" s="81" t="s">
        <v>6789</v>
      </c>
      <c r="D1957" s="81" t="s">
        <v>6790</v>
      </c>
      <c r="E1957" s="81" t="s">
        <v>16</v>
      </c>
      <c r="F1957" s="81" t="s">
        <v>369</v>
      </c>
      <c r="G1957" s="81" t="s">
        <v>6853</v>
      </c>
      <c r="H1957" s="81" t="s">
        <v>6855</v>
      </c>
    </row>
    <row r="1958" spans="1:8" x14ac:dyDescent="0.3">
      <c r="A1958" s="81" t="s">
        <v>8162</v>
      </c>
      <c r="B1958" s="81" t="s">
        <v>405</v>
      </c>
      <c r="C1958" s="81" t="s">
        <v>6789</v>
      </c>
      <c r="D1958" s="81" t="s">
        <v>6790</v>
      </c>
      <c r="E1958" s="81" t="s">
        <v>16</v>
      </c>
      <c r="F1958" s="81" t="s">
        <v>370</v>
      </c>
      <c r="G1958" s="81" t="s">
        <v>6856</v>
      </c>
      <c r="H1958" s="81" t="s">
        <v>6858</v>
      </c>
    </row>
    <row r="1959" spans="1:8" x14ac:dyDescent="0.3">
      <c r="A1959" s="81" t="s">
        <v>8163</v>
      </c>
      <c r="B1959" s="81" t="s">
        <v>405</v>
      </c>
      <c r="C1959" s="81" t="s">
        <v>6789</v>
      </c>
      <c r="D1959" s="81" t="s">
        <v>6790</v>
      </c>
      <c r="E1959" s="81" t="s">
        <v>16</v>
      </c>
      <c r="F1959" s="81" t="s">
        <v>371</v>
      </c>
      <c r="G1959" s="81" t="s">
        <v>6859</v>
      </c>
      <c r="H1959" s="81" t="s">
        <v>6861</v>
      </c>
    </row>
    <row r="1960" spans="1:8" x14ac:dyDescent="0.3">
      <c r="A1960" s="81" t="s">
        <v>8164</v>
      </c>
      <c r="B1960" s="81" t="s">
        <v>405</v>
      </c>
      <c r="C1960" s="81" t="s">
        <v>6789</v>
      </c>
      <c r="D1960" s="81" t="s">
        <v>6790</v>
      </c>
      <c r="E1960" s="81" t="s">
        <v>16</v>
      </c>
      <c r="F1960" s="81" t="s">
        <v>372</v>
      </c>
      <c r="G1960" s="81" t="s">
        <v>6862</v>
      </c>
      <c r="H1960" s="81" t="s">
        <v>6864</v>
      </c>
    </row>
    <row r="1961" spans="1:8" x14ac:dyDescent="0.3">
      <c r="A1961" s="81" t="s">
        <v>8165</v>
      </c>
      <c r="B1961" s="81" t="s">
        <v>405</v>
      </c>
      <c r="C1961" s="81" t="s">
        <v>6789</v>
      </c>
      <c r="D1961" s="81" t="s">
        <v>6790</v>
      </c>
      <c r="E1961" s="81" t="s">
        <v>16</v>
      </c>
      <c r="F1961" s="81" t="s">
        <v>373</v>
      </c>
      <c r="G1961" s="81" t="s">
        <v>6865</v>
      </c>
      <c r="H1961" s="81" t="s">
        <v>6867</v>
      </c>
    </row>
    <row r="1962" spans="1:8" x14ac:dyDescent="0.3">
      <c r="A1962" s="81" t="s">
        <v>8166</v>
      </c>
      <c r="B1962" s="81" t="s">
        <v>405</v>
      </c>
      <c r="C1962" s="81" t="s">
        <v>6789</v>
      </c>
      <c r="D1962" s="81" t="s">
        <v>6790</v>
      </c>
      <c r="E1962" s="81" t="s">
        <v>16</v>
      </c>
      <c r="F1962" s="81" t="s">
        <v>374</v>
      </c>
      <c r="G1962" s="81" t="s">
        <v>6868</v>
      </c>
      <c r="H1962" s="81" t="s">
        <v>6870</v>
      </c>
    </row>
    <row r="1963" spans="1:8" x14ac:dyDescent="0.3">
      <c r="A1963" s="81" t="s">
        <v>8167</v>
      </c>
      <c r="B1963" s="81" t="s">
        <v>405</v>
      </c>
      <c r="C1963" s="81" t="s">
        <v>6789</v>
      </c>
      <c r="D1963" s="81" t="s">
        <v>6790</v>
      </c>
      <c r="E1963" s="81" t="s">
        <v>16</v>
      </c>
      <c r="F1963" s="81" t="s">
        <v>375</v>
      </c>
      <c r="G1963" s="81" t="s">
        <v>6871</v>
      </c>
      <c r="H1963" s="81" t="s">
        <v>6873</v>
      </c>
    </row>
    <row r="1964" spans="1:8" x14ac:dyDescent="0.3">
      <c r="A1964" s="81" t="s">
        <v>8168</v>
      </c>
      <c r="B1964" s="81" t="s">
        <v>405</v>
      </c>
      <c r="C1964" s="81" t="s">
        <v>6789</v>
      </c>
      <c r="D1964" s="81" t="s">
        <v>6790</v>
      </c>
      <c r="E1964" s="81" t="s">
        <v>16</v>
      </c>
      <c r="F1964" s="81" t="s">
        <v>376</v>
      </c>
      <c r="G1964" s="81" t="s">
        <v>6874</v>
      </c>
      <c r="H1964" s="81" t="s">
        <v>6876</v>
      </c>
    </row>
    <row r="1965" spans="1:8" x14ac:dyDescent="0.3">
      <c r="A1965" s="81" t="s">
        <v>8169</v>
      </c>
      <c r="B1965" s="81" t="s">
        <v>405</v>
      </c>
      <c r="C1965" s="81" t="s">
        <v>6789</v>
      </c>
      <c r="D1965" s="81" t="s">
        <v>6790</v>
      </c>
      <c r="E1965" s="81" t="s">
        <v>16</v>
      </c>
      <c r="F1965" s="81" t="s">
        <v>377</v>
      </c>
      <c r="G1965" s="81" t="s">
        <v>6877</v>
      </c>
      <c r="H1965" s="81" t="s">
        <v>6879</v>
      </c>
    </row>
    <row r="1966" spans="1:8" x14ac:dyDescent="0.3">
      <c r="A1966" s="81" t="s">
        <v>8170</v>
      </c>
      <c r="B1966" s="81" t="s">
        <v>405</v>
      </c>
      <c r="C1966" s="81" t="s">
        <v>6789</v>
      </c>
      <c r="D1966" s="81" t="s">
        <v>6790</v>
      </c>
      <c r="E1966" s="81" t="s">
        <v>16</v>
      </c>
      <c r="F1966" s="81" t="s">
        <v>378</v>
      </c>
      <c r="G1966" s="81" t="s">
        <v>6880</v>
      </c>
      <c r="H1966" s="81" t="s">
        <v>6882</v>
      </c>
    </row>
    <row r="1967" spans="1:8" x14ac:dyDescent="0.3">
      <c r="A1967" s="81" t="s">
        <v>8171</v>
      </c>
      <c r="B1967" s="81" t="s">
        <v>405</v>
      </c>
      <c r="C1967" s="81" t="s">
        <v>6789</v>
      </c>
      <c r="D1967" s="81" t="s">
        <v>6790</v>
      </c>
      <c r="E1967" s="81" t="s">
        <v>16</v>
      </c>
      <c r="F1967" s="81" t="s">
        <v>379</v>
      </c>
      <c r="G1967" s="81" t="s">
        <v>6883</v>
      </c>
      <c r="H1967" s="81" t="s">
        <v>6885</v>
      </c>
    </row>
    <row r="1968" spans="1:8" x14ac:dyDescent="0.3">
      <c r="A1968" s="81" t="s">
        <v>8172</v>
      </c>
      <c r="B1968" s="81" t="s">
        <v>405</v>
      </c>
      <c r="C1968" s="81" t="s">
        <v>6789</v>
      </c>
      <c r="D1968" s="81" t="s">
        <v>6790</v>
      </c>
      <c r="E1968" s="81" t="s">
        <v>16</v>
      </c>
      <c r="F1968" s="81" t="s">
        <v>380</v>
      </c>
      <c r="G1968" s="81" t="s">
        <v>6886</v>
      </c>
      <c r="H1968" s="81" t="s">
        <v>6888</v>
      </c>
    </row>
    <row r="1969" spans="1:8" x14ac:dyDescent="0.3">
      <c r="A1969" s="81" t="s">
        <v>8173</v>
      </c>
      <c r="B1969" s="81" t="s">
        <v>405</v>
      </c>
      <c r="C1969" s="81" t="s">
        <v>6789</v>
      </c>
      <c r="D1969" s="81" t="s">
        <v>6790</v>
      </c>
      <c r="E1969" s="81" t="s">
        <v>16</v>
      </c>
      <c r="F1969" s="81" t="s">
        <v>381</v>
      </c>
      <c r="G1969" s="81" t="s">
        <v>6889</v>
      </c>
      <c r="H1969" s="81" t="s">
        <v>6891</v>
      </c>
    </row>
    <row r="1970" spans="1:8" x14ac:dyDescent="0.3">
      <c r="A1970" s="81" t="s">
        <v>8174</v>
      </c>
      <c r="B1970" s="81" t="s">
        <v>405</v>
      </c>
      <c r="C1970" s="81" t="s">
        <v>6789</v>
      </c>
      <c r="D1970" s="81" t="s">
        <v>6790</v>
      </c>
      <c r="E1970" s="81" t="s">
        <v>16</v>
      </c>
      <c r="F1970" s="81" t="s">
        <v>382</v>
      </c>
      <c r="G1970" s="81" t="s">
        <v>6892</v>
      </c>
      <c r="H1970" s="81" t="s">
        <v>6894</v>
      </c>
    </row>
    <row r="1971" spans="1:8" x14ac:dyDescent="0.3">
      <c r="A1971" s="81" t="s">
        <v>8175</v>
      </c>
      <c r="B1971" s="81" t="s">
        <v>405</v>
      </c>
      <c r="C1971" s="81" t="s">
        <v>6789</v>
      </c>
      <c r="D1971" s="81" t="s">
        <v>6790</v>
      </c>
      <c r="E1971" s="81" t="s">
        <v>16</v>
      </c>
      <c r="F1971" s="81" t="s">
        <v>383</v>
      </c>
      <c r="G1971" s="81" t="s">
        <v>6895</v>
      </c>
      <c r="H1971" s="81" t="s">
        <v>6897</v>
      </c>
    </row>
    <row r="1972" spans="1:8" x14ac:dyDescent="0.3">
      <c r="A1972" s="81" t="s">
        <v>8176</v>
      </c>
      <c r="B1972" s="81" t="s">
        <v>405</v>
      </c>
      <c r="C1972" s="81" t="s">
        <v>6898</v>
      </c>
      <c r="D1972" s="81" t="s">
        <v>6790</v>
      </c>
      <c r="E1972" s="81" t="s">
        <v>20</v>
      </c>
      <c r="F1972" s="81" t="s">
        <v>15</v>
      </c>
      <c r="G1972" s="81" t="s">
        <v>6899</v>
      </c>
      <c r="H1972" s="81" t="s">
        <v>6902</v>
      </c>
    </row>
    <row r="1973" spans="1:8" x14ac:dyDescent="0.3">
      <c r="A1973" s="81" t="s">
        <v>8177</v>
      </c>
      <c r="B1973" s="81" t="s">
        <v>405</v>
      </c>
      <c r="C1973" s="81" t="s">
        <v>6898</v>
      </c>
      <c r="D1973" s="81" t="s">
        <v>6790</v>
      </c>
      <c r="E1973" s="81" t="s">
        <v>16</v>
      </c>
      <c r="F1973" s="81" t="s">
        <v>368</v>
      </c>
      <c r="G1973" s="81" t="s">
        <v>6903</v>
      </c>
      <c r="H1973" s="81" t="s">
        <v>6905</v>
      </c>
    </row>
    <row r="1974" spans="1:8" x14ac:dyDescent="0.3">
      <c r="A1974" s="81" t="s">
        <v>8178</v>
      </c>
      <c r="B1974" s="81" t="s">
        <v>405</v>
      </c>
      <c r="C1974" s="81" t="s">
        <v>6898</v>
      </c>
      <c r="D1974" s="81" t="s">
        <v>6790</v>
      </c>
      <c r="E1974" s="81" t="s">
        <v>16</v>
      </c>
      <c r="F1974" s="81" t="s">
        <v>369</v>
      </c>
      <c r="G1974" s="81" t="s">
        <v>6906</v>
      </c>
      <c r="H1974" s="81" t="s">
        <v>6908</v>
      </c>
    </row>
    <row r="1975" spans="1:8" x14ac:dyDescent="0.3">
      <c r="A1975" s="81" t="s">
        <v>8179</v>
      </c>
      <c r="B1975" s="81" t="s">
        <v>405</v>
      </c>
      <c r="C1975" s="81" t="s">
        <v>6898</v>
      </c>
      <c r="D1975" s="81" t="s">
        <v>6790</v>
      </c>
      <c r="E1975" s="81" t="s">
        <v>16</v>
      </c>
      <c r="F1975" s="81" t="s">
        <v>370</v>
      </c>
      <c r="G1975" s="81" t="s">
        <v>6909</v>
      </c>
      <c r="H1975" s="81" t="s">
        <v>6911</v>
      </c>
    </row>
    <row r="1976" spans="1:8" x14ac:dyDescent="0.3">
      <c r="A1976" s="81" t="s">
        <v>8180</v>
      </c>
      <c r="B1976" s="81" t="s">
        <v>405</v>
      </c>
      <c r="C1976" s="81" t="s">
        <v>6898</v>
      </c>
      <c r="D1976" s="81" t="s">
        <v>6790</v>
      </c>
      <c r="E1976" s="81" t="s">
        <v>16</v>
      </c>
      <c r="F1976" s="81" t="s">
        <v>371</v>
      </c>
      <c r="G1976" s="81" t="s">
        <v>6912</v>
      </c>
      <c r="H1976" s="81" t="s">
        <v>6914</v>
      </c>
    </row>
    <row r="1977" spans="1:8" x14ac:dyDescent="0.3">
      <c r="A1977" s="81" t="s">
        <v>8181</v>
      </c>
      <c r="B1977" s="81" t="s">
        <v>405</v>
      </c>
      <c r="C1977" s="81" t="s">
        <v>6898</v>
      </c>
      <c r="D1977" s="81" t="s">
        <v>6790</v>
      </c>
      <c r="E1977" s="81" t="s">
        <v>16</v>
      </c>
      <c r="F1977" s="81" t="s">
        <v>372</v>
      </c>
      <c r="G1977" s="81" t="s">
        <v>6915</v>
      </c>
      <c r="H1977" s="81" t="s">
        <v>6917</v>
      </c>
    </row>
    <row r="1978" spans="1:8" x14ac:dyDescent="0.3">
      <c r="A1978" s="81" t="s">
        <v>8182</v>
      </c>
      <c r="B1978" s="81" t="s">
        <v>405</v>
      </c>
      <c r="C1978" s="81" t="s">
        <v>6898</v>
      </c>
      <c r="D1978" s="81" t="s">
        <v>6790</v>
      </c>
      <c r="E1978" s="81" t="s">
        <v>16</v>
      </c>
      <c r="F1978" s="81" t="s">
        <v>373</v>
      </c>
      <c r="G1978" s="81" t="s">
        <v>6918</v>
      </c>
      <c r="H1978" s="81" t="s">
        <v>6920</v>
      </c>
    </row>
    <row r="1979" spans="1:8" x14ac:dyDescent="0.3">
      <c r="A1979" s="81" t="s">
        <v>8183</v>
      </c>
      <c r="B1979" s="81" t="s">
        <v>405</v>
      </c>
      <c r="C1979" s="81" t="s">
        <v>6898</v>
      </c>
      <c r="D1979" s="81" t="s">
        <v>6790</v>
      </c>
      <c r="E1979" s="81" t="s">
        <v>16</v>
      </c>
      <c r="F1979" s="81" t="s">
        <v>374</v>
      </c>
      <c r="G1979" s="81" t="s">
        <v>6921</v>
      </c>
      <c r="H1979" s="81" t="s">
        <v>6923</v>
      </c>
    </row>
    <row r="1980" spans="1:8" x14ac:dyDescent="0.3">
      <c r="A1980" s="81" t="s">
        <v>8184</v>
      </c>
      <c r="B1980" s="81" t="s">
        <v>405</v>
      </c>
      <c r="C1980" s="81" t="s">
        <v>6898</v>
      </c>
      <c r="D1980" s="81" t="s">
        <v>6790</v>
      </c>
      <c r="E1980" s="81" t="s">
        <v>16</v>
      </c>
      <c r="F1980" s="81" t="s">
        <v>375</v>
      </c>
      <c r="G1980" s="81" t="s">
        <v>6924</v>
      </c>
      <c r="H1980" s="81" t="s">
        <v>6926</v>
      </c>
    </row>
    <row r="1981" spans="1:8" x14ac:dyDescent="0.3">
      <c r="A1981" s="81" t="s">
        <v>8185</v>
      </c>
      <c r="B1981" s="81" t="s">
        <v>405</v>
      </c>
      <c r="C1981" s="81" t="s">
        <v>6898</v>
      </c>
      <c r="D1981" s="81" t="s">
        <v>6790</v>
      </c>
      <c r="E1981" s="81" t="s">
        <v>16</v>
      </c>
      <c r="F1981" s="81" t="s">
        <v>376</v>
      </c>
      <c r="G1981" s="81" t="s">
        <v>6927</v>
      </c>
      <c r="H1981" s="81" t="s">
        <v>6929</v>
      </c>
    </row>
    <row r="1982" spans="1:8" x14ac:dyDescent="0.3">
      <c r="A1982" s="81" t="s">
        <v>8186</v>
      </c>
      <c r="B1982" s="81" t="s">
        <v>405</v>
      </c>
      <c r="C1982" s="81" t="s">
        <v>6898</v>
      </c>
      <c r="D1982" s="81" t="s">
        <v>6790</v>
      </c>
      <c r="E1982" s="81" t="s">
        <v>16</v>
      </c>
      <c r="F1982" s="81" t="s">
        <v>377</v>
      </c>
      <c r="G1982" s="81" t="s">
        <v>6930</v>
      </c>
      <c r="H1982" s="81" t="s">
        <v>6932</v>
      </c>
    </row>
    <row r="1983" spans="1:8" x14ac:dyDescent="0.3">
      <c r="A1983" s="81" t="s">
        <v>8187</v>
      </c>
      <c r="B1983" s="81" t="s">
        <v>405</v>
      </c>
      <c r="C1983" s="81" t="s">
        <v>6898</v>
      </c>
      <c r="D1983" s="81" t="s">
        <v>6790</v>
      </c>
      <c r="E1983" s="81" t="s">
        <v>16</v>
      </c>
      <c r="F1983" s="81" t="s">
        <v>378</v>
      </c>
      <c r="G1983" s="81" t="s">
        <v>6933</v>
      </c>
      <c r="H1983" s="81" t="s">
        <v>6935</v>
      </c>
    </row>
    <row r="1984" spans="1:8" x14ac:dyDescent="0.3">
      <c r="A1984" s="81" t="s">
        <v>8188</v>
      </c>
      <c r="B1984" s="81" t="s">
        <v>405</v>
      </c>
      <c r="C1984" s="81" t="s">
        <v>6898</v>
      </c>
      <c r="D1984" s="81" t="s">
        <v>6790</v>
      </c>
      <c r="E1984" s="81" t="s">
        <v>16</v>
      </c>
      <c r="F1984" s="81" t="s">
        <v>379</v>
      </c>
      <c r="G1984" s="81" t="s">
        <v>6936</v>
      </c>
      <c r="H1984" s="81" t="s">
        <v>6938</v>
      </c>
    </row>
    <row r="1985" spans="1:8" x14ac:dyDescent="0.3">
      <c r="A1985" s="81" t="s">
        <v>8189</v>
      </c>
      <c r="B1985" s="81" t="s">
        <v>405</v>
      </c>
      <c r="C1985" s="81" t="s">
        <v>6898</v>
      </c>
      <c r="D1985" s="81" t="s">
        <v>6790</v>
      </c>
      <c r="E1985" s="81" t="s">
        <v>16</v>
      </c>
      <c r="F1985" s="81" t="s">
        <v>380</v>
      </c>
      <c r="G1985" s="81" t="s">
        <v>6939</v>
      </c>
      <c r="H1985" s="81" t="s">
        <v>6941</v>
      </c>
    </row>
    <row r="1986" spans="1:8" x14ac:dyDescent="0.3">
      <c r="A1986" s="81" t="s">
        <v>8190</v>
      </c>
      <c r="B1986" s="81" t="s">
        <v>405</v>
      </c>
      <c r="C1986" s="81" t="s">
        <v>6898</v>
      </c>
      <c r="D1986" s="81" t="s">
        <v>6790</v>
      </c>
      <c r="E1986" s="81" t="s">
        <v>16</v>
      </c>
      <c r="F1986" s="81" t="s">
        <v>381</v>
      </c>
      <c r="G1986" s="81" t="s">
        <v>6942</v>
      </c>
      <c r="H1986" s="81" t="s">
        <v>6944</v>
      </c>
    </row>
    <row r="1987" spans="1:8" x14ac:dyDescent="0.3">
      <c r="A1987" s="81" t="s">
        <v>8191</v>
      </c>
      <c r="B1987" s="81" t="s">
        <v>405</v>
      </c>
      <c r="C1987" s="81" t="s">
        <v>6898</v>
      </c>
      <c r="D1987" s="81" t="s">
        <v>6790</v>
      </c>
      <c r="E1987" s="81" t="s">
        <v>16</v>
      </c>
      <c r="F1987" s="81" t="s">
        <v>382</v>
      </c>
      <c r="G1987" s="81" t="s">
        <v>6945</v>
      </c>
      <c r="H1987" s="81" t="s">
        <v>6947</v>
      </c>
    </row>
    <row r="1988" spans="1:8" x14ac:dyDescent="0.3">
      <c r="A1988" s="81" t="s">
        <v>8192</v>
      </c>
      <c r="B1988" s="81" t="s">
        <v>405</v>
      </c>
      <c r="C1988" s="81" t="s">
        <v>6898</v>
      </c>
      <c r="D1988" s="81" t="s">
        <v>6790</v>
      </c>
      <c r="E1988" s="81" t="s">
        <v>16</v>
      </c>
      <c r="F1988" s="81" t="s">
        <v>383</v>
      </c>
      <c r="G1988" s="81" t="s">
        <v>6948</v>
      </c>
      <c r="H1988" s="81" t="s">
        <v>6950</v>
      </c>
    </row>
    <row r="1989" spans="1:8" x14ac:dyDescent="0.3">
      <c r="A1989" s="81" t="s">
        <v>8193</v>
      </c>
      <c r="B1989" s="81" t="s">
        <v>822</v>
      </c>
      <c r="C1989" s="81" t="s">
        <v>6951</v>
      </c>
      <c r="D1989" s="81" t="s">
        <v>6952</v>
      </c>
      <c r="E1989" s="81" t="s">
        <v>20</v>
      </c>
      <c r="F1989" s="81" t="s">
        <v>15</v>
      </c>
      <c r="G1989" s="81" t="s">
        <v>6957</v>
      </c>
      <c r="H1989" s="81" t="s">
        <v>6960</v>
      </c>
    </row>
    <row r="1990" spans="1:8" x14ac:dyDescent="0.3">
      <c r="A1990" s="81" t="s">
        <v>8194</v>
      </c>
      <c r="B1990" s="81" t="s">
        <v>822</v>
      </c>
      <c r="C1990" s="81" t="s">
        <v>6951</v>
      </c>
      <c r="D1990" s="81" t="s">
        <v>6952</v>
      </c>
      <c r="E1990" s="81" t="s">
        <v>20</v>
      </c>
      <c r="F1990" s="81" t="s">
        <v>15</v>
      </c>
      <c r="G1990" s="81" t="s">
        <v>6963</v>
      </c>
      <c r="H1990" s="81" t="s">
        <v>6966</v>
      </c>
    </row>
    <row r="1991" spans="1:8" x14ac:dyDescent="0.3">
      <c r="A1991" s="81" t="s">
        <v>8195</v>
      </c>
      <c r="B1991" s="81" t="s">
        <v>822</v>
      </c>
      <c r="C1991" s="81" t="s">
        <v>6951</v>
      </c>
      <c r="D1991" s="81" t="s">
        <v>6952</v>
      </c>
      <c r="E1991" s="81" t="s">
        <v>20</v>
      </c>
      <c r="F1991" s="81" t="s">
        <v>15</v>
      </c>
      <c r="G1991" s="81" t="s">
        <v>6967</v>
      </c>
      <c r="H1991" s="81" t="s">
        <v>6970</v>
      </c>
    </row>
    <row r="1992" spans="1:8" x14ac:dyDescent="0.3">
      <c r="A1992" s="81" t="s">
        <v>8196</v>
      </c>
      <c r="B1992" s="81" t="s">
        <v>508</v>
      </c>
      <c r="C1992" s="81" t="s">
        <v>6971</v>
      </c>
      <c r="D1992" s="81" t="s">
        <v>3795</v>
      </c>
      <c r="E1992" s="81" t="s">
        <v>20</v>
      </c>
      <c r="F1992" s="81" t="s">
        <v>15</v>
      </c>
      <c r="G1992" s="81" t="s">
        <v>6974</v>
      </c>
      <c r="H1992" s="81" t="s">
        <v>6977</v>
      </c>
    </row>
    <row r="1993" spans="1:8" x14ac:dyDescent="0.3">
      <c r="A1993" s="81" t="s">
        <v>8197</v>
      </c>
      <c r="B1993" s="81" t="s">
        <v>508</v>
      </c>
      <c r="C1993" s="81" t="s">
        <v>6971</v>
      </c>
      <c r="D1993" s="81" t="s">
        <v>3795</v>
      </c>
      <c r="E1993" s="81" t="s">
        <v>16</v>
      </c>
      <c r="F1993" s="81" t="s">
        <v>368</v>
      </c>
      <c r="G1993" s="81" t="s">
        <v>6978</v>
      </c>
      <c r="H1993" s="81" t="s">
        <v>6980</v>
      </c>
    </row>
    <row r="1994" spans="1:8" x14ac:dyDescent="0.3">
      <c r="A1994" s="81" t="s">
        <v>8198</v>
      </c>
      <c r="B1994" s="81" t="s">
        <v>508</v>
      </c>
      <c r="C1994" s="81" t="s">
        <v>6971</v>
      </c>
      <c r="D1994" s="81" t="s">
        <v>3795</v>
      </c>
      <c r="E1994" s="81" t="s">
        <v>16</v>
      </c>
      <c r="F1994" s="81" t="s">
        <v>369</v>
      </c>
      <c r="G1994" s="81" t="s">
        <v>6981</v>
      </c>
      <c r="H1994" s="81" t="s">
        <v>6983</v>
      </c>
    </row>
    <row r="1995" spans="1:8" x14ac:dyDescent="0.3">
      <c r="A1995" s="81" t="s">
        <v>8199</v>
      </c>
      <c r="B1995" s="81" t="s">
        <v>508</v>
      </c>
      <c r="C1995" s="81" t="s">
        <v>6971</v>
      </c>
      <c r="D1995" s="81" t="s">
        <v>3795</v>
      </c>
      <c r="E1995" s="81" t="s">
        <v>16</v>
      </c>
      <c r="F1995" s="81" t="s">
        <v>370</v>
      </c>
      <c r="G1995" s="81" t="s">
        <v>6984</v>
      </c>
      <c r="H1995" s="81" t="s">
        <v>6986</v>
      </c>
    </row>
    <row r="1996" spans="1:8" x14ac:dyDescent="0.3">
      <c r="A1996" s="81" t="s">
        <v>8200</v>
      </c>
      <c r="B1996" s="81" t="s">
        <v>508</v>
      </c>
      <c r="C1996" s="81" t="s">
        <v>6971</v>
      </c>
      <c r="D1996" s="81" t="s">
        <v>3795</v>
      </c>
      <c r="E1996" s="81" t="s">
        <v>16</v>
      </c>
      <c r="F1996" s="81" t="s">
        <v>371</v>
      </c>
      <c r="G1996" s="81" t="s">
        <v>6987</v>
      </c>
      <c r="H1996" s="81" t="s">
        <v>6989</v>
      </c>
    </row>
    <row r="1997" spans="1:8" x14ac:dyDescent="0.3">
      <c r="A1997" s="81" t="s">
        <v>8201</v>
      </c>
      <c r="B1997" s="81" t="s">
        <v>508</v>
      </c>
      <c r="C1997" s="81" t="s">
        <v>6971</v>
      </c>
      <c r="D1997" s="81" t="s">
        <v>3795</v>
      </c>
      <c r="E1997" s="81" t="s">
        <v>16</v>
      </c>
      <c r="F1997" s="81" t="s">
        <v>372</v>
      </c>
      <c r="G1997" s="81" t="s">
        <v>6990</v>
      </c>
      <c r="H1997" s="81" t="s">
        <v>6992</v>
      </c>
    </row>
    <row r="1998" spans="1:8" x14ac:dyDescent="0.3">
      <c r="A1998" s="81" t="s">
        <v>8202</v>
      </c>
      <c r="B1998" s="81" t="s">
        <v>508</v>
      </c>
      <c r="C1998" s="81" t="s">
        <v>6971</v>
      </c>
      <c r="D1998" s="81" t="s">
        <v>3795</v>
      </c>
      <c r="E1998" s="81" t="s">
        <v>16</v>
      </c>
      <c r="F1998" s="81" t="s">
        <v>373</v>
      </c>
      <c r="G1998" s="81" t="s">
        <v>6993</v>
      </c>
      <c r="H1998" s="81" t="s">
        <v>6995</v>
      </c>
    </row>
    <row r="1999" spans="1:8" x14ac:dyDescent="0.3">
      <c r="A1999" s="81" t="s">
        <v>8203</v>
      </c>
      <c r="B1999" s="81" t="s">
        <v>508</v>
      </c>
      <c r="C1999" s="81" t="s">
        <v>6971</v>
      </c>
      <c r="D1999" s="81" t="s">
        <v>3795</v>
      </c>
      <c r="E1999" s="81" t="s">
        <v>16</v>
      </c>
      <c r="F1999" s="81" t="s">
        <v>374</v>
      </c>
      <c r="G1999" s="81" t="s">
        <v>6996</v>
      </c>
      <c r="H1999" s="81" t="s">
        <v>6998</v>
      </c>
    </row>
    <row r="2000" spans="1:8" x14ac:dyDescent="0.3">
      <c r="A2000" s="81" t="s">
        <v>8204</v>
      </c>
      <c r="B2000" s="81" t="s">
        <v>508</v>
      </c>
      <c r="C2000" s="81" t="s">
        <v>6971</v>
      </c>
      <c r="D2000" s="81" t="s">
        <v>3795</v>
      </c>
      <c r="E2000" s="81" t="s">
        <v>16</v>
      </c>
      <c r="F2000" s="81" t="s">
        <v>375</v>
      </c>
      <c r="G2000" s="81" t="s">
        <v>6999</v>
      </c>
      <c r="H2000" s="81" t="s">
        <v>7001</v>
      </c>
    </row>
    <row r="2001" spans="1:8" x14ac:dyDescent="0.3">
      <c r="A2001" s="81" t="s">
        <v>8205</v>
      </c>
      <c r="B2001" s="81" t="s">
        <v>508</v>
      </c>
      <c r="C2001" s="81" t="s">
        <v>6971</v>
      </c>
      <c r="D2001" s="81" t="s">
        <v>3795</v>
      </c>
      <c r="E2001" s="81" t="s">
        <v>16</v>
      </c>
      <c r="F2001" s="81" t="s">
        <v>376</v>
      </c>
      <c r="G2001" s="81" t="s">
        <v>7002</v>
      </c>
      <c r="H2001" s="81" t="s">
        <v>7004</v>
      </c>
    </row>
    <row r="2002" spans="1:8" x14ac:dyDescent="0.3">
      <c r="A2002" s="81" t="s">
        <v>8206</v>
      </c>
      <c r="B2002" s="81" t="s">
        <v>508</v>
      </c>
      <c r="C2002" s="81" t="s">
        <v>6971</v>
      </c>
      <c r="D2002" s="81" t="s">
        <v>3795</v>
      </c>
      <c r="E2002" s="81" t="s">
        <v>16</v>
      </c>
      <c r="F2002" s="81" t="s">
        <v>377</v>
      </c>
      <c r="G2002" s="81" t="s">
        <v>7005</v>
      </c>
      <c r="H2002" s="81" t="s">
        <v>7007</v>
      </c>
    </row>
    <row r="2003" spans="1:8" x14ac:dyDescent="0.3">
      <c r="A2003" s="81" t="s">
        <v>8207</v>
      </c>
      <c r="B2003" s="81" t="s">
        <v>508</v>
      </c>
      <c r="C2003" s="81" t="s">
        <v>6971</v>
      </c>
      <c r="D2003" s="81" t="s">
        <v>3795</v>
      </c>
      <c r="E2003" s="81" t="s">
        <v>16</v>
      </c>
      <c r="F2003" s="81" t="s">
        <v>378</v>
      </c>
      <c r="G2003" s="81" t="s">
        <v>7008</v>
      </c>
      <c r="H2003" s="81" t="s">
        <v>7010</v>
      </c>
    </row>
    <row r="2004" spans="1:8" x14ac:dyDescent="0.3">
      <c r="A2004" s="81" t="s">
        <v>8208</v>
      </c>
      <c r="B2004" s="81" t="s">
        <v>508</v>
      </c>
      <c r="C2004" s="81" t="s">
        <v>6971</v>
      </c>
      <c r="D2004" s="81" t="s">
        <v>3795</v>
      </c>
      <c r="E2004" s="81" t="s">
        <v>16</v>
      </c>
      <c r="F2004" s="81" t="s">
        <v>379</v>
      </c>
      <c r="G2004" s="81" t="s">
        <v>7011</v>
      </c>
      <c r="H2004" s="81" t="s">
        <v>7013</v>
      </c>
    </row>
    <row r="2005" spans="1:8" x14ac:dyDescent="0.3">
      <c r="A2005" s="81" t="s">
        <v>8209</v>
      </c>
      <c r="B2005" s="81" t="s">
        <v>508</v>
      </c>
      <c r="C2005" s="81" t="s">
        <v>6971</v>
      </c>
      <c r="D2005" s="81" t="s">
        <v>3795</v>
      </c>
      <c r="E2005" s="81" t="s">
        <v>16</v>
      </c>
      <c r="F2005" s="81" t="s">
        <v>380</v>
      </c>
      <c r="G2005" s="81" t="s">
        <v>7014</v>
      </c>
      <c r="H2005" s="81" t="s">
        <v>7016</v>
      </c>
    </row>
    <row r="2006" spans="1:8" x14ac:dyDescent="0.3">
      <c r="A2006" s="81" t="s">
        <v>8210</v>
      </c>
      <c r="B2006" s="81" t="s">
        <v>508</v>
      </c>
      <c r="C2006" s="81" t="s">
        <v>6971</v>
      </c>
      <c r="D2006" s="81" t="s">
        <v>3795</v>
      </c>
      <c r="E2006" s="81" t="s">
        <v>16</v>
      </c>
      <c r="F2006" s="81" t="s">
        <v>381</v>
      </c>
      <c r="G2006" s="81" t="s">
        <v>7017</v>
      </c>
      <c r="H2006" s="81" t="s">
        <v>7019</v>
      </c>
    </row>
    <row r="2007" spans="1:8" x14ac:dyDescent="0.3">
      <c r="A2007" s="81" t="s">
        <v>8211</v>
      </c>
      <c r="B2007" s="81" t="s">
        <v>508</v>
      </c>
      <c r="C2007" s="81" t="s">
        <v>6971</v>
      </c>
      <c r="D2007" s="81" t="s">
        <v>3795</v>
      </c>
      <c r="E2007" s="81" t="s">
        <v>16</v>
      </c>
      <c r="F2007" s="81" t="s">
        <v>382</v>
      </c>
      <c r="G2007" s="81" t="s">
        <v>7020</v>
      </c>
      <c r="H2007" s="81" t="s">
        <v>7022</v>
      </c>
    </row>
    <row r="2008" spans="1:8" x14ac:dyDescent="0.3">
      <c r="A2008" s="81" t="s">
        <v>8212</v>
      </c>
      <c r="B2008" s="81" t="s">
        <v>508</v>
      </c>
      <c r="C2008" s="81" t="s">
        <v>6971</v>
      </c>
      <c r="D2008" s="81" t="s">
        <v>3795</v>
      </c>
      <c r="E2008" s="81" t="s">
        <v>16</v>
      </c>
      <c r="F2008" s="81" t="s">
        <v>383</v>
      </c>
      <c r="G2008" s="81" t="s">
        <v>7023</v>
      </c>
      <c r="H2008" s="81" t="s">
        <v>7025</v>
      </c>
    </row>
    <row r="2009" spans="1:8" x14ac:dyDescent="0.3">
      <c r="A2009" s="81" t="s">
        <v>8213</v>
      </c>
      <c r="B2009" s="81" t="s">
        <v>508</v>
      </c>
      <c r="C2009" s="81" t="s">
        <v>7026</v>
      </c>
      <c r="D2009" s="81" t="s">
        <v>3795</v>
      </c>
      <c r="E2009" s="81" t="s">
        <v>20</v>
      </c>
      <c r="F2009" s="81" t="s">
        <v>15</v>
      </c>
      <c r="G2009" s="81" t="s">
        <v>7028</v>
      </c>
      <c r="H2009" s="81" t="s">
        <v>7031</v>
      </c>
    </row>
    <row r="2010" spans="1:8" x14ac:dyDescent="0.3">
      <c r="A2010" s="81" t="s">
        <v>8214</v>
      </c>
      <c r="B2010" s="81" t="s">
        <v>508</v>
      </c>
      <c r="C2010" s="81" t="s">
        <v>7026</v>
      </c>
      <c r="D2010" s="81" t="s">
        <v>3795</v>
      </c>
      <c r="E2010" s="81" t="s">
        <v>16</v>
      </c>
      <c r="F2010" s="81" t="s">
        <v>368</v>
      </c>
      <c r="G2010" s="81" t="s">
        <v>7032</v>
      </c>
      <c r="H2010" s="81" t="s">
        <v>7034</v>
      </c>
    </row>
    <row r="2011" spans="1:8" x14ac:dyDescent="0.3">
      <c r="A2011" s="81" t="s">
        <v>8215</v>
      </c>
      <c r="B2011" s="81" t="s">
        <v>508</v>
      </c>
      <c r="C2011" s="81" t="s">
        <v>7026</v>
      </c>
      <c r="D2011" s="81" t="s">
        <v>3795</v>
      </c>
      <c r="E2011" s="81" t="s">
        <v>16</v>
      </c>
      <c r="F2011" s="81" t="s">
        <v>369</v>
      </c>
      <c r="G2011" s="81" t="s">
        <v>7035</v>
      </c>
      <c r="H2011" s="81" t="s">
        <v>7037</v>
      </c>
    </row>
    <row r="2012" spans="1:8" x14ac:dyDescent="0.3">
      <c r="A2012" s="81" t="s">
        <v>8216</v>
      </c>
      <c r="B2012" s="81" t="s">
        <v>508</v>
      </c>
      <c r="C2012" s="81" t="s">
        <v>7026</v>
      </c>
      <c r="D2012" s="81" t="s">
        <v>3795</v>
      </c>
      <c r="E2012" s="81" t="s">
        <v>16</v>
      </c>
      <c r="F2012" s="81" t="s">
        <v>370</v>
      </c>
      <c r="G2012" s="81" t="s">
        <v>7038</v>
      </c>
      <c r="H2012" s="81" t="s">
        <v>7040</v>
      </c>
    </row>
    <row r="2013" spans="1:8" x14ac:dyDescent="0.3">
      <c r="A2013" s="81" t="s">
        <v>8217</v>
      </c>
      <c r="B2013" s="81" t="s">
        <v>508</v>
      </c>
      <c r="C2013" s="81" t="s">
        <v>7026</v>
      </c>
      <c r="D2013" s="81" t="s">
        <v>3795</v>
      </c>
      <c r="E2013" s="81" t="s">
        <v>16</v>
      </c>
      <c r="F2013" s="81" t="s">
        <v>371</v>
      </c>
      <c r="G2013" s="81" t="s">
        <v>7041</v>
      </c>
      <c r="H2013" s="81" t="s">
        <v>7043</v>
      </c>
    </row>
    <row r="2014" spans="1:8" x14ac:dyDescent="0.3">
      <c r="A2014" s="81" t="s">
        <v>8218</v>
      </c>
      <c r="B2014" s="81" t="s">
        <v>508</v>
      </c>
      <c r="C2014" s="81" t="s">
        <v>7026</v>
      </c>
      <c r="D2014" s="81" t="s">
        <v>3795</v>
      </c>
      <c r="E2014" s="81" t="s">
        <v>16</v>
      </c>
      <c r="F2014" s="81" t="s">
        <v>372</v>
      </c>
      <c r="G2014" s="81" t="s">
        <v>7044</v>
      </c>
      <c r="H2014" s="81" t="s">
        <v>7046</v>
      </c>
    </row>
    <row r="2015" spans="1:8" x14ac:dyDescent="0.3">
      <c r="A2015" s="81" t="s">
        <v>8219</v>
      </c>
      <c r="B2015" s="81" t="s">
        <v>508</v>
      </c>
      <c r="C2015" s="81" t="s">
        <v>7026</v>
      </c>
      <c r="D2015" s="81" t="s">
        <v>3795</v>
      </c>
      <c r="E2015" s="81" t="s">
        <v>16</v>
      </c>
      <c r="F2015" s="81" t="s">
        <v>373</v>
      </c>
      <c r="G2015" s="81" t="s">
        <v>7047</v>
      </c>
      <c r="H2015" s="81" t="s">
        <v>7049</v>
      </c>
    </row>
    <row r="2016" spans="1:8" x14ac:dyDescent="0.3">
      <c r="A2016" s="81" t="s">
        <v>8220</v>
      </c>
      <c r="B2016" s="81" t="s">
        <v>508</v>
      </c>
      <c r="C2016" s="81" t="s">
        <v>7026</v>
      </c>
      <c r="D2016" s="81" t="s">
        <v>3795</v>
      </c>
      <c r="E2016" s="81" t="s">
        <v>16</v>
      </c>
      <c r="F2016" s="81" t="s">
        <v>374</v>
      </c>
      <c r="G2016" s="81" t="s">
        <v>7050</v>
      </c>
      <c r="H2016" s="81" t="s">
        <v>7052</v>
      </c>
    </row>
    <row r="2017" spans="1:8" x14ac:dyDescent="0.3">
      <c r="A2017" s="81" t="s">
        <v>8221</v>
      </c>
      <c r="B2017" s="81" t="s">
        <v>508</v>
      </c>
      <c r="C2017" s="81" t="s">
        <v>7026</v>
      </c>
      <c r="D2017" s="81" t="s">
        <v>3795</v>
      </c>
      <c r="E2017" s="81" t="s">
        <v>16</v>
      </c>
      <c r="F2017" s="81" t="s">
        <v>375</v>
      </c>
      <c r="G2017" s="81" t="s">
        <v>7053</v>
      </c>
      <c r="H2017" s="81" t="s">
        <v>7055</v>
      </c>
    </row>
    <row r="2018" spans="1:8" x14ac:dyDescent="0.3">
      <c r="A2018" s="81" t="s">
        <v>8222</v>
      </c>
      <c r="B2018" s="81" t="s">
        <v>508</v>
      </c>
      <c r="C2018" s="81" t="s">
        <v>7026</v>
      </c>
      <c r="D2018" s="81" t="s">
        <v>3795</v>
      </c>
      <c r="E2018" s="81" t="s">
        <v>16</v>
      </c>
      <c r="F2018" s="81" t="s">
        <v>376</v>
      </c>
      <c r="G2018" s="81" t="s">
        <v>7056</v>
      </c>
      <c r="H2018" s="81" t="s">
        <v>7058</v>
      </c>
    </row>
    <row r="2019" spans="1:8" x14ac:dyDescent="0.3">
      <c r="A2019" s="81" t="s">
        <v>8223</v>
      </c>
      <c r="B2019" s="81" t="s">
        <v>508</v>
      </c>
      <c r="C2019" s="81" t="s">
        <v>7026</v>
      </c>
      <c r="D2019" s="81" t="s">
        <v>3795</v>
      </c>
      <c r="E2019" s="81" t="s">
        <v>16</v>
      </c>
      <c r="F2019" s="81" t="s">
        <v>377</v>
      </c>
      <c r="G2019" s="81" t="s">
        <v>7059</v>
      </c>
      <c r="H2019" s="81" t="s">
        <v>7061</v>
      </c>
    </row>
    <row r="2020" spans="1:8" x14ac:dyDescent="0.3">
      <c r="A2020" s="81" t="s">
        <v>8224</v>
      </c>
      <c r="B2020" s="81" t="s">
        <v>508</v>
      </c>
      <c r="C2020" s="81" t="s">
        <v>7026</v>
      </c>
      <c r="D2020" s="81" t="s">
        <v>3795</v>
      </c>
      <c r="E2020" s="81" t="s">
        <v>16</v>
      </c>
      <c r="F2020" s="81" t="s">
        <v>378</v>
      </c>
      <c r="G2020" s="81" t="s">
        <v>7062</v>
      </c>
      <c r="H2020" s="81" t="s">
        <v>7064</v>
      </c>
    </row>
    <row r="2021" spans="1:8" x14ac:dyDescent="0.3">
      <c r="A2021" s="81" t="s">
        <v>8225</v>
      </c>
      <c r="B2021" s="81" t="s">
        <v>508</v>
      </c>
      <c r="C2021" s="81" t="s">
        <v>7026</v>
      </c>
      <c r="D2021" s="81" t="s">
        <v>3795</v>
      </c>
      <c r="E2021" s="81" t="s">
        <v>16</v>
      </c>
      <c r="F2021" s="81" t="s">
        <v>379</v>
      </c>
      <c r="G2021" s="81" t="s">
        <v>7065</v>
      </c>
      <c r="H2021" s="81" t="s">
        <v>7067</v>
      </c>
    </row>
    <row r="2022" spans="1:8" x14ac:dyDescent="0.3">
      <c r="A2022" s="81" t="s">
        <v>8226</v>
      </c>
      <c r="B2022" s="81" t="s">
        <v>508</v>
      </c>
      <c r="C2022" s="81" t="s">
        <v>7026</v>
      </c>
      <c r="D2022" s="81" t="s">
        <v>3795</v>
      </c>
      <c r="E2022" s="81" t="s">
        <v>16</v>
      </c>
      <c r="F2022" s="81" t="s">
        <v>380</v>
      </c>
      <c r="G2022" s="81" t="s">
        <v>7068</v>
      </c>
      <c r="H2022" s="81" t="s">
        <v>7070</v>
      </c>
    </row>
    <row r="2023" spans="1:8" x14ac:dyDescent="0.3">
      <c r="A2023" s="81" t="s">
        <v>8227</v>
      </c>
      <c r="B2023" s="81" t="s">
        <v>508</v>
      </c>
      <c r="C2023" s="81" t="s">
        <v>7026</v>
      </c>
      <c r="D2023" s="81" t="s">
        <v>3795</v>
      </c>
      <c r="E2023" s="81" t="s">
        <v>16</v>
      </c>
      <c r="F2023" s="81" t="s">
        <v>381</v>
      </c>
      <c r="G2023" s="81" t="s">
        <v>7071</v>
      </c>
      <c r="H2023" s="81" t="s">
        <v>7073</v>
      </c>
    </row>
    <row r="2024" spans="1:8" x14ac:dyDescent="0.3">
      <c r="A2024" s="81" t="s">
        <v>8228</v>
      </c>
      <c r="B2024" s="81" t="s">
        <v>508</v>
      </c>
      <c r="C2024" s="81" t="s">
        <v>7026</v>
      </c>
      <c r="D2024" s="81" t="s">
        <v>3795</v>
      </c>
      <c r="E2024" s="81" t="s">
        <v>16</v>
      </c>
      <c r="F2024" s="81" t="s">
        <v>382</v>
      </c>
      <c r="G2024" s="81" t="s">
        <v>7074</v>
      </c>
      <c r="H2024" s="81" t="s">
        <v>7076</v>
      </c>
    </row>
    <row r="2025" spans="1:8" x14ac:dyDescent="0.3">
      <c r="A2025" s="81" t="s">
        <v>8229</v>
      </c>
      <c r="B2025" s="81" t="s">
        <v>508</v>
      </c>
      <c r="C2025" s="81" t="s">
        <v>7026</v>
      </c>
      <c r="D2025" s="81" t="s">
        <v>3795</v>
      </c>
      <c r="E2025" s="81" t="s">
        <v>16</v>
      </c>
      <c r="F2025" s="81" t="s">
        <v>383</v>
      </c>
      <c r="G2025" s="81" t="s">
        <v>7077</v>
      </c>
      <c r="H2025" s="81" t="s">
        <v>7079</v>
      </c>
    </row>
    <row r="2026" spans="1:8" x14ac:dyDescent="0.3">
      <c r="A2026" s="81" t="s">
        <v>8230</v>
      </c>
      <c r="B2026" s="81" t="s">
        <v>574</v>
      </c>
      <c r="C2026" s="81" t="s">
        <v>1604</v>
      </c>
      <c r="D2026" s="81" t="s">
        <v>3784</v>
      </c>
      <c r="E2026" s="81" t="s">
        <v>20</v>
      </c>
      <c r="F2026" s="81" t="s">
        <v>15</v>
      </c>
      <c r="G2026" s="81" t="s">
        <v>7081</v>
      </c>
      <c r="H2026" s="81" t="s">
        <v>7084</v>
      </c>
    </row>
    <row r="2027" spans="1:8" x14ac:dyDescent="0.3">
      <c r="A2027" s="81" t="s">
        <v>8231</v>
      </c>
      <c r="B2027" s="81" t="s">
        <v>574</v>
      </c>
      <c r="C2027" s="81" t="s">
        <v>1604</v>
      </c>
      <c r="D2027" s="81" t="s">
        <v>3784</v>
      </c>
      <c r="E2027" s="81" t="s">
        <v>20</v>
      </c>
      <c r="F2027" s="81" t="s">
        <v>15</v>
      </c>
      <c r="G2027" s="81" t="s">
        <v>7085</v>
      </c>
      <c r="H2027" s="81" t="s">
        <v>7088</v>
      </c>
    </row>
    <row r="2028" spans="1:8" x14ac:dyDescent="0.3">
      <c r="A2028" s="81" t="s">
        <v>8232</v>
      </c>
      <c r="B2028" s="81" t="s">
        <v>574</v>
      </c>
      <c r="C2028" s="81" t="s">
        <v>1604</v>
      </c>
      <c r="D2028" s="81" t="s">
        <v>3784</v>
      </c>
      <c r="E2028" s="81" t="s">
        <v>16</v>
      </c>
      <c r="F2028" s="81" t="s">
        <v>368</v>
      </c>
      <c r="G2028" s="81" t="s">
        <v>7089</v>
      </c>
      <c r="H2028" s="81" t="s">
        <v>7091</v>
      </c>
    </row>
    <row r="2029" spans="1:8" x14ac:dyDescent="0.3">
      <c r="A2029" s="81" t="s">
        <v>8233</v>
      </c>
      <c r="B2029" s="81" t="s">
        <v>574</v>
      </c>
      <c r="C2029" s="81" t="s">
        <v>1604</v>
      </c>
      <c r="D2029" s="81" t="s">
        <v>3784</v>
      </c>
      <c r="E2029" s="81" t="s">
        <v>16</v>
      </c>
      <c r="F2029" s="81" t="s">
        <v>369</v>
      </c>
      <c r="G2029" s="81" t="s">
        <v>7092</v>
      </c>
      <c r="H2029" s="81" t="s">
        <v>7094</v>
      </c>
    </row>
    <row r="2030" spans="1:8" x14ac:dyDescent="0.3">
      <c r="A2030" s="81" t="s">
        <v>8234</v>
      </c>
      <c r="B2030" s="81" t="s">
        <v>574</v>
      </c>
      <c r="C2030" s="81" t="s">
        <v>1604</v>
      </c>
      <c r="D2030" s="81" t="s">
        <v>3784</v>
      </c>
      <c r="E2030" s="81" t="s">
        <v>16</v>
      </c>
      <c r="F2030" s="81" t="s">
        <v>370</v>
      </c>
      <c r="G2030" s="81" t="s">
        <v>7095</v>
      </c>
      <c r="H2030" s="81" t="s">
        <v>7097</v>
      </c>
    </row>
    <row r="2031" spans="1:8" x14ac:dyDescent="0.3">
      <c r="A2031" s="81" t="s">
        <v>8235</v>
      </c>
      <c r="B2031" s="81" t="s">
        <v>574</v>
      </c>
      <c r="C2031" s="81" t="s">
        <v>1604</v>
      </c>
      <c r="D2031" s="81" t="s">
        <v>3784</v>
      </c>
      <c r="E2031" s="81" t="s">
        <v>16</v>
      </c>
      <c r="F2031" s="81" t="s">
        <v>371</v>
      </c>
      <c r="G2031" s="81" t="s">
        <v>7098</v>
      </c>
      <c r="H2031" s="81" t="s">
        <v>7100</v>
      </c>
    </row>
    <row r="2032" spans="1:8" x14ac:dyDescent="0.3">
      <c r="A2032" s="81" t="s">
        <v>8236</v>
      </c>
      <c r="B2032" s="81" t="s">
        <v>574</v>
      </c>
      <c r="C2032" s="81" t="s">
        <v>1604</v>
      </c>
      <c r="D2032" s="81" t="s">
        <v>3784</v>
      </c>
      <c r="E2032" s="81" t="s">
        <v>16</v>
      </c>
      <c r="F2032" s="81" t="s">
        <v>372</v>
      </c>
      <c r="G2032" s="81" t="s">
        <v>7101</v>
      </c>
      <c r="H2032" s="81" t="s">
        <v>7103</v>
      </c>
    </row>
    <row r="2033" spans="1:8" x14ac:dyDescent="0.3">
      <c r="A2033" s="81" t="s">
        <v>8237</v>
      </c>
      <c r="B2033" s="81" t="s">
        <v>574</v>
      </c>
      <c r="C2033" s="81" t="s">
        <v>1604</v>
      </c>
      <c r="D2033" s="81" t="s">
        <v>3784</v>
      </c>
      <c r="E2033" s="81" t="s">
        <v>16</v>
      </c>
      <c r="F2033" s="81" t="s">
        <v>373</v>
      </c>
      <c r="G2033" s="81" t="s">
        <v>7104</v>
      </c>
      <c r="H2033" s="81" t="s">
        <v>7106</v>
      </c>
    </row>
    <row r="2034" spans="1:8" x14ac:dyDescent="0.3">
      <c r="A2034" s="81" t="s">
        <v>8238</v>
      </c>
      <c r="B2034" s="81" t="s">
        <v>574</v>
      </c>
      <c r="C2034" s="81" t="s">
        <v>1604</v>
      </c>
      <c r="D2034" s="81" t="s">
        <v>3784</v>
      </c>
      <c r="E2034" s="81" t="s">
        <v>16</v>
      </c>
      <c r="F2034" s="81" t="s">
        <v>374</v>
      </c>
      <c r="G2034" s="81" t="s">
        <v>7107</v>
      </c>
      <c r="H2034" s="81" t="s">
        <v>7109</v>
      </c>
    </row>
    <row r="2035" spans="1:8" x14ac:dyDescent="0.3">
      <c r="A2035" s="81" t="s">
        <v>8239</v>
      </c>
      <c r="B2035" s="81" t="s">
        <v>574</v>
      </c>
      <c r="C2035" s="81" t="s">
        <v>1604</v>
      </c>
      <c r="D2035" s="81" t="s">
        <v>3784</v>
      </c>
      <c r="E2035" s="81" t="s">
        <v>16</v>
      </c>
      <c r="F2035" s="81" t="s">
        <v>375</v>
      </c>
      <c r="G2035" s="81" t="s">
        <v>7110</v>
      </c>
      <c r="H2035" s="81" t="s">
        <v>7112</v>
      </c>
    </row>
    <row r="2036" spans="1:8" x14ac:dyDescent="0.3">
      <c r="A2036" s="81" t="s">
        <v>8240</v>
      </c>
      <c r="B2036" s="81" t="s">
        <v>574</v>
      </c>
      <c r="C2036" s="81" t="s">
        <v>1604</v>
      </c>
      <c r="D2036" s="81" t="s">
        <v>3784</v>
      </c>
      <c r="E2036" s="81" t="s">
        <v>16</v>
      </c>
      <c r="F2036" s="81" t="s">
        <v>376</v>
      </c>
      <c r="G2036" s="81" t="s">
        <v>7113</v>
      </c>
      <c r="H2036" s="81" t="s">
        <v>7115</v>
      </c>
    </row>
    <row r="2037" spans="1:8" x14ac:dyDescent="0.3">
      <c r="A2037" s="81" t="s">
        <v>8241</v>
      </c>
      <c r="B2037" s="81" t="s">
        <v>574</v>
      </c>
      <c r="C2037" s="81" t="s">
        <v>1604</v>
      </c>
      <c r="D2037" s="81" t="s">
        <v>3784</v>
      </c>
      <c r="E2037" s="81" t="s">
        <v>16</v>
      </c>
      <c r="F2037" s="81" t="s">
        <v>377</v>
      </c>
      <c r="G2037" s="81" t="s">
        <v>7116</v>
      </c>
      <c r="H2037" s="81" t="s">
        <v>7118</v>
      </c>
    </row>
    <row r="2038" spans="1:8" x14ac:dyDescent="0.3">
      <c r="A2038" s="81" t="s">
        <v>8242</v>
      </c>
      <c r="B2038" s="81" t="s">
        <v>574</v>
      </c>
      <c r="C2038" s="81" t="s">
        <v>1604</v>
      </c>
      <c r="D2038" s="81" t="s">
        <v>3784</v>
      </c>
      <c r="E2038" s="81" t="s">
        <v>16</v>
      </c>
      <c r="F2038" s="81" t="s">
        <v>378</v>
      </c>
      <c r="G2038" s="81" t="s">
        <v>7119</v>
      </c>
      <c r="H2038" s="81" t="s">
        <v>7121</v>
      </c>
    </row>
    <row r="2039" spans="1:8" x14ac:dyDescent="0.3">
      <c r="A2039" s="81" t="s">
        <v>8243</v>
      </c>
      <c r="B2039" s="81" t="s">
        <v>574</v>
      </c>
      <c r="C2039" s="81" t="s">
        <v>1604</v>
      </c>
      <c r="D2039" s="81" t="s">
        <v>3784</v>
      </c>
      <c r="E2039" s="81" t="s">
        <v>16</v>
      </c>
      <c r="F2039" s="81" t="s">
        <v>379</v>
      </c>
      <c r="G2039" s="81" t="s">
        <v>7122</v>
      </c>
      <c r="H2039" s="81" t="s">
        <v>7124</v>
      </c>
    </row>
    <row r="2040" spans="1:8" x14ac:dyDescent="0.3">
      <c r="A2040" s="81" t="s">
        <v>8244</v>
      </c>
      <c r="B2040" s="81" t="s">
        <v>574</v>
      </c>
      <c r="C2040" s="81" t="s">
        <v>1604</v>
      </c>
      <c r="D2040" s="81" t="s">
        <v>3784</v>
      </c>
      <c r="E2040" s="81" t="s">
        <v>16</v>
      </c>
      <c r="F2040" s="81" t="s">
        <v>380</v>
      </c>
      <c r="G2040" s="81" t="s">
        <v>7125</v>
      </c>
      <c r="H2040" s="81" t="s">
        <v>7127</v>
      </c>
    </row>
    <row r="2041" spans="1:8" x14ac:dyDescent="0.3">
      <c r="A2041" s="81" t="s">
        <v>8245</v>
      </c>
      <c r="B2041" s="81" t="s">
        <v>574</v>
      </c>
      <c r="C2041" s="81" t="s">
        <v>1604</v>
      </c>
      <c r="D2041" s="81" t="s">
        <v>3784</v>
      </c>
      <c r="E2041" s="81" t="s">
        <v>16</v>
      </c>
      <c r="F2041" s="81" t="s">
        <v>381</v>
      </c>
      <c r="G2041" s="81" t="s">
        <v>7128</v>
      </c>
      <c r="H2041" s="81" t="s">
        <v>7130</v>
      </c>
    </row>
    <row r="2042" spans="1:8" x14ac:dyDescent="0.3">
      <c r="A2042" s="81" t="s">
        <v>8246</v>
      </c>
      <c r="B2042" s="81" t="s">
        <v>574</v>
      </c>
      <c r="C2042" s="81" t="s">
        <v>1604</v>
      </c>
      <c r="D2042" s="81" t="s">
        <v>3784</v>
      </c>
      <c r="E2042" s="81" t="s">
        <v>16</v>
      </c>
      <c r="F2042" s="81" t="s">
        <v>382</v>
      </c>
      <c r="G2042" s="81" t="s">
        <v>7131</v>
      </c>
      <c r="H2042" s="81" t="s">
        <v>7133</v>
      </c>
    </row>
    <row r="2043" spans="1:8" x14ac:dyDescent="0.3">
      <c r="A2043" s="81" t="s">
        <v>8247</v>
      </c>
      <c r="B2043" s="81" t="s">
        <v>574</v>
      </c>
      <c r="C2043" s="81" t="s">
        <v>1604</v>
      </c>
      <c r="D2043" s="81" t="s">
        <v>3784</v>
      </c>
      <c r="E2043" s="81" t="s">
        <v>16</v>
      </c>
      <c r="F2043" s="81" t="s">
        <v>383</v>
      </c>
      <c r="G2043" s="81" t="s">
        <v>7134</v>
      </c>
      <c r="H2043" s="81" t="s">
        <v>7136</v>
      </c>
    </row>
    <row r="2044" spans="1:8" x14ac:dyDescent="0.3">
      <c r="A2044" s="81" t="s">
        <v>8248</v>
      </c>
      <c r="B2044" s="81" t="s">
        <v>574</v>
      </c>
      <c r="C2044" s="81" t="s">
        <v>1604</v>
      </c>
      <c r="D2044" s="81" t="s">
        <v>3784</v>
      </c>
      <c r="E2044" s="81" t="s">
        <v>20</v>
      </c>
      <c r="F2044" s="81" t="s">
        <v>15</v>
      </c>
      <c r="G2044" s="81" t="s">
        <v>7137</v>
      </c>
      <c r="H2044" s="81" t="s">
        <v>7140</v>
      </c>
    </row>
    <row r="2045" spans="1:8" x14ac:dyDescent="0.3">
      <c r="A2045" s="81" t="s">
        <v>8249</v>
      </c>
      <c r="B2045" s="81" t="s">
        <v>574</v>
      </c>
      <c r="C2045" s="81" t="s">
        <v>1604</v>
      </c>
      <c r="D2045" s="81" t="s">
        <v>3784</v>
      </c>
      <c r="E2045" s="81" t="s">
        <v>16</v>
      </c>
      <c r="F2045" s="81" t="s">
        <v>368</v>
      </c>
      <c r="G2045" s="81" t="s">
        <v>7141</v>
      </c>
      <c r="H2045" s="81" t="s">
        <v>7143</v>
      </c>
    </row>
    <row r="2046" spans="1:8" x14ac:dyDescent="0.3">
      <c r="A2046" s="81" t="s">
        <v>8250</v>
      </c>
      <c r="B2046" s="81" t="s">
        <v>574</v>
      </c>
      <c r="C2046" s="81" t="s">
        <v>1604</v>
      </c>
      <c r="D2046" s="81" t="s">
        <v>3784</v>
      </c>
      <c r="E2046" s="81" t="s">
        <v>16</v>
      </c>
      <c r="F2046" s="81" t="s">
        <v>369</v>
      </c>
      <c r="G2046" s="81" t="s">
        <v>7144</v>
      </c>
      <c r="H2046" s="81" t="s">
        <v>7146</v>
      </c>
    </row>
    <row r="2047" spans="1:8" x14ac:dyDescent="0.3">
      <c r="A2047" s="81" t="s">
        <v>8251</v>
      </c>
      <c r="B2047" s="81" t="s">
        <v>574</v>
      </c>
      <c r="C2047" s="81" t="s">
        <v>1604</v>
      </c>
      <c r="D2047" s="81" t="s">
        <v>3784</v>
      </c>
      <c r="E2047" s="81" t="s">
        <v>16</v>
      </c>
      <c r="F2047" s="81" t="s">
        <v>370</v>
      </c>
      <c r="G2047" s="81" t="s">
        <v>7147</v>
      </c>
      <c r="H2047" s="81" t="s">
        <v>7149</v>
      </c>
    </row>
    <row r="2048" spans="1:8" x14ac:dyDescent="0.3">
      <c r="A2048" s="81" t="s">
        <v>8252</v>
      </c>
      <c r="B2048" s="81" t="s">
        <v>574</v>
      </c>
      <c r="C2048" s="81" t="s">
        <v>1604</v>
      </c>
      <c r="D2048" s="81" t="s">
        <v>3784</v>
      </c>
      <c r="E2048" s="81" t="s">
        <v>16</v>
      </c>
      <c r="F2048" s="81" t="s">
        <v>371</v>
      </c>
      <c r="G2048" s="81" t="s">
        <v>7150</v>
      </c>
      <c r="H2048" s="81" t="s">
        <v>7152</v>
      </c>
    </row>
    <row r="2049" spans="1:8" x14ac:dyDescent="0.3">
      <c r="A2049" s="81" t="s">
        <v>8253</v>
      </c>
      <c r="B2049" s="81" t="s">
        <v>574</v>
      </c>
      <c r="C2049" s="81" t="s">
        <v>1604</v>
      </c>
      <c r="D2049" s="81" t="s">
        <v>3784</v>
      </c>
      <c r="E2049" s="81" t="s">
        <v>16</v>
      </c>
      <c r="F2049" s="81" t="s">
        <v>372</v>
      </c>
      <c r="G2049" s="81" t="s">
        <v>7153</v>
      </c>
      <c r="H2049" s="81" t="s">
        <v>7155</v>
      </c>
    </row>
    <row r="2050" spans="1:8" x14ac:dyDescent="0.3">
      <c r="A2050" s="81" t="s">
        <v>8254</v>
      </c>
      <c r="B2050" s="81" t="s">
        <v>574</v>
      </c>
      <c r="C2050" s="81" t="s">
        <v>1604</v>
      </c>
      <c r="D2050" s="81" t="s">
        <v>3784</v>
      </c>
      <c r="E2050" s="81" t="s">
        <v>16</v>
      </c>
      <c r="F2050" s="81" t="s">
        <v>373</v>
      </c>
      <c r="G2050" s="81" t="s">
        <v>7156</v>
      </c>
      <c r="H2050" s="81" t="s">
        <v>7158</v>
      </c>
    </row>
    <row r="2051" spans="1:8" x14ac:dyDescent="0.3">
      <c r="A2051" s="81" t="s">
        <v>8255</v>
      </c>
      <c r="B2051" s="81" t="s">
        <v>574</v>
      </c>
      <c r="C2051" s="81" t="s">
        <v>1604</v>
      </c>
      <c r="D2051" s="81" t="s">
        <v>3784</v>
      </c>
      <c r="E2051" s="81" t="s">
        <v>16</v>
      </c>
      <c r="F2051" s="81" t="s">
        <v>374</v>
      </c>
      <c r="G2051" s="81" t="s">
        <v>7159</v>
      </c>
      <c r="H2051" s="81" t="s">
        <v>7161</v>
      </c>
    </row>
    <row r="2052" spans="1:8" x14ac:dyDescent="0.3">
      <c r="A2052" s="81" t="s">
        <v>8256</v>
      </c>
      <c r="B2052" s="81" t="s">
        <v>574</v>
      </c>
      <c r="C2052" s="81" t="s">
        <v>1604</v>
      </c>
      <c r="D2052" s="81" t="s">
        <v>3784</v>
      </c>
      <c r="E2052" s="81" t="s">
        <v>16</v>
      </c>
      <c r="F2052" s="81" t="s">
        <v>375</v>
      </c>
      <c r="G2052" s="81" t="s">
        <v>7162</v>
      </c>
      <c r="H2052" s="81" t="s">
        <v>7164</v>
      </c>
    </row>
    <row r="2053" spans="1:8" x14ac:dyDescent="0.3">
      <c r="A2053" s="81" t="s">
        <v>8257</v>
      </c>
      <c r="B2053" s="81" t="s">
        <v>574</v>
      </c>
      <c r="C2053" s="81" t="s">
        <v>1604</v>
      </c>
      <c r="D2053" s="81" t="s">
        <v>3784</v>
      </c>
      <c r="E2053" s="81" t="s">
        <v>16</v>
      </c>
      <c r="F2053" s="81" t="s">
        <v>376</v>
      </c>
      <c r="G2053" s="81" t="s">
        <v>7165</v>
      </c>
      <c r="H2053" s="81" t="s">
        <v>7167</v>
      </c>
    </row>
    <row r="2054" spans="1:8" x14ac:dyDescent="0.3">
      <c r="A2054" s="81" t="s">
        <v>8258</v>
      </c>
      <c r="B2054" s="81" t="s">
        <v>574</v>
      </c>
      <c r="C2054" s="81" t="s">
        <v>1604</v>
      </c>
      <c r="D2054" s="81" t="s">
        <v>3784</v>
      </c>
      <c r="E2054" s="81" t="s">
        <v>16</v>
      </c>
      <c r="F2054" s="81" t="s">
        <v>377</v>
      </c>
      <c r="G2054" s="81" t="s">
        <v>7168</v>
      </c>
      <c r="H2054" s="81" t="s">
        <v>7170</v>
      </c>
    </row>
    <row r="2055" spans="1:8" x14ac:dyDescent="0.3">
      <c r="A2055" s="81" t="s">
        <v>8259</v>
      </c>
      <c r="B2055" s="81" t="s">
        <v>574</v>
      </c>
      <c r="C2055" s="81" t="s">
        <v>1604</v>
      </c>
      <c r="D2055" s="81" t="s">
        <v>3784</v>
      </c>
      <c r="E2055" s="81" t="s">
        <v>16</v>
      </c>
      <c r="F2055" s="81" t="s">
        <v>378</v>
      </c>
      <c r="G2055" s="81" t="s">
        <v>7171</v>
      </c>
      <c r="H2055" s="81" t="s">
        <v>7173</v>
      </c>
    </row>
    <row r="2056" spans="1:8" x14ac:dyDescent="0.3">
      <c r="A2056" s="81" t="s">
        <v>8260</v>
      </c>
      <c r="B2056" s="81" t="s">
        <v>574</v>
      </c>
      <c r="C2056" s="81" t="s">
        <v>1604</v>
      </c>
      <c r="D2056" s="81" t="s">
        <v>3784</v>
      </c>
      <c r="E2056" s="81" t="s">
        <v>16</v>
      </c>
      <c r="F2056" s="81" t="s">
        <v>379</v>
      </c>
      <c r="G2056" s="81" t="s">
        <v>7174</v>
      </c>
      <c r="H2056" s="81" t="s">
        <v>7176</v>
      </c>
    </row>
    <row r="2057" spans="1:8" x14ac:dyDescent="0.3">
      <c r="A2057" s="81" t="s">
        <v>8261</v>
      </c>
      <c r="B2057" s="81" t="s">
        <v>574</v>
      </c>
      <c r="C2057" s="81" t="s">
        <v>1604</v>
      </c>
      <c r="D2057" s="81" t="s">
        <v>3784</v>
      </c>
      <c r="E2057" s="81" t="s">
        <v>16</v>
      </c>
      <c r="F2057" s="81" t="s">
        <v>380</v>
      </c>
      <c r="G2057" s="81" t="s">
        <v>7177</v>
      </c>
      <c r="H2057" s="81" t="s">
        <v>7179</v>
      </c>
    </row>
    <row r="2058" spans="1:8" x14ac:dyDescent="0.3">
      <c r="A2058" s="81" t="s">
        <v>8262</v>
      </c>
      <c r="B2058" s="81" t="s">
        <v>574</v>
      </c>
      <c r="C2058" s="81" t="s">
        <v>1604</v>
      </c>
      <c r="D2058" s="81" t="s">
        <v>3784</v>
      </c>
      <c r="E2058" s="81" t="s">
        <v>16</v>
      </c>
      <c r="F2058" s="81" t="s">
        <v>381</v>
      </c>
      <c r="G2058" s="81" t="s">
        <v>7180</v>
      </c>
      <c r="H2058" s="81" t="s">
        <v>7182</v>
      </c>
    </row>
    <row r="2059" spans="1:8" x14ac:dyDescent="0.3">
      <c r="A2059" s="81" t="s">
        <v>8263</v>
      </c>
      <c r="B2059" s="81" t="s">
        <v>574</v>
      </c>
      <c r="C2059" s="81" t="s">
        <v>1604</v>
      </c>
      <c r="D2059" s="81" t="s">
        <v>3784</v>
      </c>
      <c r="E2059" s="81" t="s">
        <v>16</v>
      </c>
      <c r="F2059" s="81" t="s">
        <v>382</v>
      </c>
      <c r="G2059" s="81" t="s">
        <v>7183</v>
      </c>
      <c r="H2059" s="81" t="s">
        <v>7185</v>
      </c>
    </row>
    <row r="2060" spans="1:8" x14ac:dyDescent="0.3">
      <c r="A2060" s="81" t="s">
        <v>8264</v>
      </c>
      <c r="B2060" s="81" t="s">
        <v>574</v>
      </c>
      <c r="C2060" s="81" t="s">
        <v>1604</v>
      </c>
      <c r="D2060" s="81" t="s">
        <v>3784</v>
      </c>
      <c r="E2060" s="81" t="s">
        <v>16</v>
      </c>
      <c r="F2060" s="81" t="s">
        <v>383</v>
      </c>
      <c r="G2060" s="81" t="s">
        <v>7186</v>
      </c>
      <c r="H2060" s="81" t="s">
        <v>7188</v>
      </c>
    </row>
    <row r="2061" spans="1:8" x14ac:dyDescent="0.3">
      <c r="A2061" s="81" t="s">
        <v>8265</v>
      </c>
      <c r="B2061" s="81" t="s">
        <v>574</v>
      </c>
      <c r="C2061" s="81" t="s">
        <v>1604</v>
      </c>
      <c r="D2061" s="81" t="s">
        <v>3784</v>
      </c>
      <c r="E2061" s="81" t="s">
        <v>20</v>
      </c>
      <c r="F2061" s="81" t="s">
        <v>15</v>
      </c>
      <c r="G2061" s="81" t="s">
        <v>7189</v>
      </c>
      <c r="H2061" s="81" t="s">
        <v>7192</v>
      </c>
    </row>
    <row r="2062" spans="1:8" x14ac:dyDescent="0.3">
      <c r="A2062" s="81" t="s">
        <v>8266</v>
      </c>
      <c r="B2062" s="81" t="s">
        <v>574</v>
      </c>
      <c r="C2062" s="81" t="s">
        <v>1604</v>
      </c>
      <c r="D2062" s="81" t="s">
        <v>3784</v>
      </c>
      <c r="E2062" s="81" t="s">
        <v>16</v>
      </c>
      <c r="F2062" s="81" t="s">
        <v>368</v>
      </c>
      <c r="G2062" s="81" t="s">
        <v>7193</v>
      </c>
      <c r="H2062" s="81" t="s">
        <v>7195</v>
      </c>
    </row>
    <row r="2063" spans="1:8" x14ac:dyDescent="0.3">
      <c r="A2063" s="81" t="s">
        <v>8267</v>
      </c>
      <c r="B2063" s="81" t="s">
        <v>574</v>
      </c>
      <c r="C2063" s="81" t="s">
        <v>1604</v>
      </c>
      <c r="D2063" s="81" t="s">
        <v>3784</v>
      </c>
      <c r="E2063" s="81" t="s">
        <v>16</v>
      </c>
      <c r="F2063" s="81" t="s">
        <v>369</v>
      </c>
      <c r="G2063" s="81" t="s">
        <v>7196</v>
      </c>
      <c r="H2063" s="81" t="s">
        <v>7198</v>
      </c>
    </row>
    <row r="2064" spans="1:8" x14ac:dyDescent="0.3">
      <c r="A2064" s="81" t="s">
        <v>8268</v>
      </c>
      <c r="B2064" s="81" t="s">
        <v>574</v>
      </c>
      <c r="C2064" s="81" t="s">
        <v>1604</v>
      </c>
      <c r="D2064" s="81" t="s">
        <v>3784</v>
      </c>
      <c r="E2064" s="81" t="s">
        <v>16</v>
      </c>
      <c r="F2064" s="81" t="s">
        <v>370</v>
      </c>
      <c r="G2064" s="81" t="s">
        <v>7199</v>
      </c>
      <c r="H2064" s="81" t="s">
        <v>7201</v>
      </c>
    </row>
    <row r="2065" spans="1:8" x14ac:dyDescent="0.3">
      <c r="A2065" s="81" t="s">
        <v>8269</v>
      </c>
      <c r="B2065" s="81" t="s">
        <v>574</v>
      </c>
      <c r="C2065" s="81" t="s">
        <v>1604</v>
      </c>
      <c r="D2065" s="81" t="s">
        <v>3784</v>
      </c>
      <c r="E2065" s="81" t="s">
        <v>16</v>
      </c>
      <c r="F2065" s="81" t="s">
        <v>371</v>
      </c>
      <c r="G2065" s="81" t="s">
        <v>7202</v>
      </c>
      <c r="H2065" s="81" t="s">
        <v>7204</v>
      </c>
    </row>
    <row r="2066" spans="1:8" x14ac:dyDescent="0.3">
      <c r="A2066" s="81" t="s">
        <v>8270</v>
      </c>
      <c r="B2066" s="81" t="s">
        <v>574</v>
      </c>
      <c r="C2066" s="81" t="s">
        <v>1604</v>
      </c>
      <c r="D2066" s="81" t="s">
        <v>3784</v>
      </c>
      <c r="E2066" s="81" t="s">
        <v>16</v>
      </c>
      <c r="F2066" s="81" t="s">
        <v>372</v>
      </c>
      <c r="G2066" s="81" t="s">
        <v>7205</v>
      </c>
      <c r="H2066" s="81" t="s">
        <v>7207</v>
      </c>
    </row>
    <row r="2067" spans="1:8" x14ac:dyDescent="0.3">
      <c r="A2067" s="81" t="s">
        <v>8271</v>
      </c>
      <c r="B2067" s="81" t="s">
        <v>574</v>
      </c>
      <c r="C2067" s="81" t="s">
        <v>1604</v>
      </c>
      <c r="D2067" s="81" t="s">
        <v>3784</v>
      </c>
      <c r="E2067" s="81" t="s">
        <v>16</v>
      </c>
      <c r="F2067" s="81" t="s">
        <v>373</v>
      </c>
      <c r="G2067" s="81" t="s">
        <v>7208</v>
      </c>
      <c r="H2067" s="81" t="s">
        <v>7210</v>
      </c>
    </row>
    <row r="2068" spans="1:8" x14ac:dyDescent="0.3">
      <c r="A2068" s="81" t="s">
        <v>8272</v>
      </c>
      <c r="B2068" s="81" t="s">
        <v>574</v>
      </c>
      <c r="C2068" s="81" t="s">
        <v>1604</v>
      </c>
      <c r="D2068" s="81" t="s">
        <v>3784</v>
      </c>
      <c r="E2068" s="81" t="s">
        <v>16</v>
      </c>
      <c r="F2068" s="81" t="s">
        <v>374</v>
      </c>
      <c r="G2068" s="81" t="s">
        <v>7211</v>
      </c>
      <c r="H2068" s="81" t="s">
        <v>7213</v>
      </c>
    </row>
    <row r="2069" spans="1:8" x14ac:dyDescent="0.3">
      <c r="A2069" s="81" t="s">
        <v>8273</v>
      </c>
      <c r="B2069" s="81" t="s">
        <v>574</v>
      </c>
      <c r="C2069" s="81" t="s">
        <v>1604</v>
      </c>
      <c r="D2069" s="81" t="s">
        <v>3784</v>
      </c>
      <c r="E2069" s="81" t="s">
        <v>16</v>
      </c>
      <c r="F2069" s="81" t="s">
        <v>375</v>
      </c>
      <c r="G2069" s="81" t="s">
        <v>7214</v>
      </c>
      <c r="H2069" s="81" t="s">
        <v>7216</v>
      </c>
    </row>
    <row r="2070" spans="1:8" x14ac:dyDescent="0.3">
      <c r="A2070" s="81" t="s">
        <v>8274</v>
      </c>
      <c r="B2070" s="81" t="s">
        <v>574</v>
      </c>
      <c r="C2070" s="81" t="s">
        <v>1604</v>
      </c>
      <c r="D2070" s="81" t="s">
        <v>3784</v>
      </c>
      <c r="E2070" s="81" t="s">
        <v>16</v>
      </c>
      <c r="F2070" s="81" t="s">
        <v>376</v>
      </c>
      <c r="G2070" s="81" t="s">
        <v>7217</v>
      </c>
      <c r="H2070" s="81" t="s">
        <v>7219</v>
      </c>
    </row>
    <row r="2071" spans="1:8" x14ac:dyDescent="0.3">
      <c r="A2071" s="81" t="s">
        <v>8275</v>
      </c>
      <c r="B2071" s="81" t="s">
        <v>574</v>
      </c>
      <c r="C2071" s="81" t="s">
        <v>1604</v>
      </c>
      <c r="D2071" s="81" t="s">
        <v>3784</v>
      </c>
      <c r="E2071" s="81" t="s">
        <v>16</v>
      </c>
      <c r="F2071" s="81" t="s">
        <v>377</v>
      </c>
      <c r="G2071" s="81" t="s">
        <v>7220</v>
      </c>
      <c r="H2071" s="81" t="s">
        <v>7222</v>
      </c>
    </row>
    <row r="2072" spans="1:8" x14ac:dyDescent="0.3">
      <c r="A2072" s="81" t="s">
        <v>8276</v>
      </c>
      <c r="B2072" s="81" t="s">
        <v>574</v>
      </c>
      <c r="C2072" s="81" t="s">
        <v>1604</v>
      </c>
      <c r="D2072" s="81" t="s">
        <v>3784</v>
      </c>
      <c r="E2072" s="81" t="s">
        <v>16</v>
      </c>
      <c r="F2072" s="81" t="s">
        <v>378</v>
      </c>
      <c r="G2072" s="81" t="s">
        <v>7223</v>
      </c>
      <c r="H2072" s="81" t="s">
        <v>7225</v>
      </c>
    </row>
    <row r="2073" spans="1:8" x14ac:dyDescent="0.3">
      <c r="A2073" s="81" t="s">
        <v>8277</v>
      </c>
      <c r="B2073" s="81" t="s">
        <v>574</v>
      </c>
      <c r="C2073" s="81" t="s">
        <v>1604</v>
      </c>
      <c r="D2073" s="81" t="s">
        <v>3784</v>
      </c>
      <c r="E2073" s="81" t="s">
        <v>16</v>
      </c>
      <c r="F2073" s="81" t="s">
        <v>379</v>
      </c>
      <c r="G2073" s="81" t="s">
        <v>7226</v>
      </c>
      <c r="H2073" s="81" t="s">
        <v>7228</v>
      </c>
    </row>
    <row r="2074" spans="1:8" x14ac:dyDescent="0.3">
      <c r="A2074" s="81" t="s">
        <v>8278</v>
      </c>
      <c r="B2074" s="81" t="s">
        <v>574</v>
      </c>
      <c r="C2074" s="81" t="s">
        <v>1604</v>
      </c>
      <c r="D2074" s="81" t="s">
        <v>3784</v>
      </c>
      <c r="E2074" s="81" t="s">
        <v>16</v>
      </c>
      <c r="F2074" s="81" t="s">
        <v>380</v>
      </c>
      <c r="G2074" s="81" t="s">
        <v>7229</v>
      </c>
      <c r="H2074" s="81" t="s">
        <v>7231</v>
      </c>
    </row>
    <row r="2075" spans="1:8" x14ac:dyDescent="0.3">
      <c r="A2075" s="81" t="s">
        <v>8279</v>
      </c>
      <c r="B2075" s="81" t="s">
        <v>574</v>
      </c>
      <c r="C2075" s="81" t="s">
        <v>1604</v>
      </c>
      <c r="D2075" s="81" t="s">
        <v>3784</v>
      </c>
      <c r="E2075" s="81" t="s">
        <v>16</v>
      </c>
      <c r="F2075" s="81" t="s">
        <v>381</v>
      </c>
      <c r="G2075" s="81" t="s">
        <v>7232</v>
      </c>
      <c r="H2075" s="81" t="s">
        <v>7234</v>
      </c>
    </row>
    <row r="2076" spans="1:8" x14ac:dyDescent="0.3">
      <c r="A2076" s="81" t="s">
        <v>8280</v>
      </c>
      <c r="B2076" s="81" t="s">
        <v>574</v>
      </c>
      <c r="C2076" s="81" t="s">
        <v>1604</v>
      </c>
      <c r="D2076" s="81" t="s">
        <v>3784</v>
      </c>
      <c r="E2076" s="81" t="s">
        <v>16</v>
      </c>
      <c r="F2076" s="81" t="s">
        <v>382</v>
      </c>
      <c r="G2076" s="81" t="s">
        <v>7235</v>
      </c>
      <c r="H2076" s="81" t="s">
        <v>7237</v>
      </c>
    </row>
    <row r="2077" spans="1:8" x14ac:dyDescent="0.3">
      <c r="A2077" s="81" t="s">
        <v>8281</v>
      </c>
      <c r="B2077" s="81" t="s">
        <v>574</v>
      </c>
      <c r="C2077" s="81" t="s">
        <v>1604</v>
      </c>
      <c r="D2077" s="81" t="s">
        <v>3784</v>
      </c>
      <c r="E2077" s="81" t="s">
        <v>16</v>
      </c>
      <c r="F2077" s="81" t="s">
        <v>383</v>
      </c>
      <c r="G2077" s="81" t="s">
        <v>7238</v>
      </c>
      <c r="H2077" s="81" t="s">
        <v>7240</v>
      </c>
    </row>
    <row r="2078" spans="1:8" x14ac:dyDescent="0.3">
      <c r="A2078" s="81" t="s">
        <v>8282</v>
      </c>
      <c r="B2078" s="81" t="s">
        <v>574</v>
      </c>
      <c r="C2078" s="81" t="s">
        <v>1604</v>
      </c>
      <c r="D2078" s="81" t="s">
        <v>3784</v>
      </c>
      <c r="E2078" s="81" t="s">
        <v>20</v>
      </c>
      <c r="F2078" s="81" t="s">
        <v>15</v>
      </c>
      <c r="G2078" s="81" t="s">
        <v>7241</v>
      </c>
      <c r="H2078" s="81" t="s">
        <v>7244</v>
      </c>
    </row>
    <row r="2079" spans="1:8" x14ac:dyDescent="0.3">
      <c r="A2079" s="81" t="s">
        <v>8283</v>
      </c>
      <c r="B2079" s="81" t="s">
        <v>574</v>
      </c>
      <c r="C2079" s="81" t="s">
        <v>1604</v>
      </c>
      <c r="D2079" s="81" t="s">
        <v>3784</v>
      </c>
      <c r="E2079" s="81" t="s">
        <v>16</v>
      </c>
      <c r="F2079" s="81" t="s">
        <v>368</v>
      </c>
      <c r="G2079" s="81" t="s">
        <v>7245</v>
      </c>
      <c r="H2079" s="81" t="s">
        <v>7247</v>
      </c>
    </row>
    <row r="2080" spans="1:8" x14ac:dyDescent="0.3">
      <c r="A2080" s="81" t="s">
        <v>8284</v>
      </c>
      <c r="B2080" s="81" t="s">
        <v>574</v>
      </c>
      <c r="C2080" s="81" t="s">
        <v>1604</v>
      </c>
      <c r="D2080" s="81" t="s">
        <v>3784</v>
      </c>
      <c r="E2080" s="81" t="s">
        <v>16</v>
      </c>
      <c r="F2080" s="81" t="s">
        <v>369</v>
      </c>
      <c r="G2080" s="81" t="s">
        <v>7248</v>
      </c>
      <c r="H2080" s="81" t="s">
        <v>7250</v>
      </c>
    </row>
    <row r="2081" spans="1:8" x14ac:dyDescent="0.3">
      <c r="A2081" s="81" t="s">
        <v>8285</v>
      </c>
      <c r="B2081" s="81" t="s">
        <v>574</v>
      </c>
      <c r="C2081" s="81" t="s">
        <v>1604</v>
      </c>
      <c r="D2081" s="81" t="s">
        <v>3784</v>
      </c>
      <c r="E2081" s="81" t="s">
        <v>16</v>
      </c>
      <c r="F2081" s="81" t="s">
        <v>370</v>
      </c>
      <c r="G2081" s="81" t="s">
        <v>7251</v>
      </c>
      <c r="H2081" s="81" t="s">
        <v>7253</v>
      </c>
    </row>
    <row r="2082" spans="1:8" x14ac:dyDescent="0.3">
      <c r="A2082" s="81" t="s">
        <v>8286</v>
      </c>
      <c r="B2082" s="81" t="s">
        <v>574</v>
      </c>
      <c r="C2082" s="81" t="s">
        <v>1604</v>
      </c>
      <c r="D2082" s="81" t="s">
        <v>3784</v>
      </c>
      <c r="E2082" s="81" t="s">
        <v>16</v>
      </c>
      <c r="F2082" s="81" t="s">
        <v>371</v>
      </c>
      <c r="G2082" s="81" t="s">
        <v>7254</v>
      </c>
      <c r="H2082" s="81" t="s">
        <v>7256</v>
      </c>
    </row>
    <row r="2083" spans="1:8" x14ac:dyDescent="0.3">
      <c r="A2083" s="81" t="s">
        <v>8287</v>
      </c>
      <c r="B2083" s="81" t="s">
        <v>574</v>
      </c>
      <c r="C2083" s="81" t="s">
        <v>1604</v>
      </c>
      <c r="D2083" s="81" t="s">
        <v>3784</v>
      </c>
      <c r="E2083" s="81" t="s">
        <v>16</v>
      </c>
      <c r="F2083" s="81" t="s">
        <v>372</v>
      </c>
      <c r="G2083" s="81" t="s">
        <v>7257</v>
      </c>
      <c r="H2083" s="81" t="s">
        <v>7259</v>
      </c>
    </row>
    <row r="2084" spans="1:8" x14ac:dyDescent="0.3">
      <c r="A2084" s="81" t="s">
        <v>8288</v>
      </c>
      <c r="B2084" s="81" t="s">
        <v>574</v>
      </c>
      <c r="C2084" s="81" t="s">
        <v>1604</v>
      </c>
      <c r="D2084" s="81" t="s">
        <v>3784</v>
      </c>
      <c r="E2084" s="81" t="s">
        <v>16</v>
      </c>
      <c r="F2084" s="81" t="s">
        <v>373</v>
      </c>
      <c r="G2084" s="81" t="s">
        <v>7260</v>
      </c>
      <c r="H2084" s="81" t="s">
        <v>7262</v>
      </c>
    </row>
    <row r="2085" spans="1:8" x14ac:dyDescent="0.3">
      <c r="A2085" s="81" t="s">
        <v>8289</v>
      </c>
      <c r="B2085" s="81" t="s">
        <v>574</v>
      </c>
      <c r="C2085" s="81" t="s">
        <v>1604</v>
      </c>
      <c r="D2085" s="81" t="s">
        <v>3784</v>
      </c>
      <c r="E2085" s="81" t="s">
        <v>16</v>
      </c>
      <c r="F2085" s="81" t="s">
        <v>374</v>
      </c>
      <c r="G2085" s="81" t="s">
        <v>7263</v>
      </c>
      <c r="H2085" s="81" t="s">
        <v>7265</v>
      </c>
    </row>
    <row r="2086" spans="1:8" x14ac:dyDescent="0.3">
      <c r="A2086" s="81" t="s">
        <v>8290</v>
      </c>
      <c r="B2086" s="81" t="s">
        <v>574</v>
      </c>
      <c r="C2086" s="81" t="s">
        <v>1604</v>
      </c>
      <c r="D2086" s="81" t="s">
        <v>3784</v>
      </c>
      <c r="E2086" s="81" t="s">
        <v>16</v>
      </c>
      <c r="F2086" s="81" t="s">
        <v>375</v>
      </c>
      <c r="G2086" s="81" t="s">
        <v>7266</v>
      </c>
      <c r="H2086" s="81" t="s">
        <v>7268</v>
      </c>
    </row>
    <row r="2087" spans="1:8" x14ac:dyDescent="0.3">
      <c r="A2087" s="81" t="s">
        <v>8291</v>
      </c>
      <c r="B2087" s="81" t="s">
        <v>574</v>
      </c>
      <c r="C2087" s="81" t="s">
        <v>1604</v>
      </c>
      <c r="D2087" s="81" t="s">
        <v>3784</v>
      </c>
      <c r="E2087" s="81" t="s">
        <v>16</v>
      </c>
      <c r="F2087" s="81" t="s">
        <v>376</v>
      </c>
      <c r="G2087" s="81" t="s">
        <v>7269</v>
      </c>
      <c r="H2087" s="81" t="s">
        <v>7271</v>
      </c>
    </row>
    <row r="2088" spans="1:8" x14ac:dyDescent="0.3">
      <c r="A2088" s="81" t="s">
        <v>8292</v>
      </c>
      <c r="B2088" s="81" t="s">
        <v>574</v>
      </c>
      <c r="C2088" s="81" t="s">
        <v>1604</v>
      </c>
      <c r="D2088" s="81" t="s">
        <v>3784</v>
      </c>
      <c r="E2088" s="81" t="s">
        <v>16</v>
      </c>
      <c r="F2088" s="81" t="s">
        <v>377</v>
      </c>
      <c r="G2088" s="81" t="s">
        <v>7272</v>
      </c>
      <c r="H2088" s="81" t="s">
        <v>7274</v>
      </c>
    </row>
    <row r="2089" spans="1:8" x14ac:dyDescent="0.3">
      <c r="A2089" s="81" t="s">
        <v>8293</v>
      </c>
      <c r="B2089" s="81" t="s">
        <v>574</v>
      </c>
      <c r="C2089" s="81" t="s">
        <v>1604</v>
      </c>
      <c r="D2089" s="81" t="s">
        <v>3784</v>
      </c>
      <c r="E2089" s="81" t="s">
        <v>16</v>
      </c>
      <c r="F2089" s="81" t="s">
        <v>378</v>
      </c>
      <c r="G2089" s="81" t="s">
        <v>7275</v>
      </c>
      <c r="H2089" s="81" t="s">
        <v>7277</v>
      </c>
    </row>
    <row r="2090" spans="1:8" x14ac:dyDescent="0.3">
      <c r="A2090" s="81" t="s">
        <v>8294</v>
      </c>
      <c r="B2090" s="81" t="s">
        <v>574</v>
      </c>
      <c r="C2090" s="81" t="s">
        <v>1604</v>
      </c>
      <c r="D2090" s="81" t="s">
        <v>3784</v>
      </c>
      <c r="E2090" s="81" t="s">
        <v>16</v>
      </c>
      <c r="F2090" s="81" t="s">
        <v>379</v>
      </c>
      <c r="G2090" s="81" t="s">
        <v>7278</v>
      </c>
      <c r="H2090" s="81" t="s">
        <v>7280</v>
      </c>
    </row>
    <row r="2091" spans="1:8" x14ac:dyDescent="0.3">
      <c r="A2091" s="81" t="s">
        <v>8295</v>
      </c>
      <c r="B2091" s="81" t="s">
        <v>574</v>
      </c>
      <c r="C2091" s="81" t="s">
        <v>1604</v>
      </c>
      <c r="D2091" s="81" t="s">
        <v>3784</v>
      </c>
      <c r="E2091" s="81" t="s">
        <v>16</v>
      </c>
      <c r="F2091" s="81" t="s">
        <v>380</v>
      </c>
      <c r="G2091" s="81" t="s">
        <v>7281</v>
      </c>
      <c r="H2091" s="81" t="s">
        <v>7283</v>
      </c>
    </row>
    <row r="2092" spans="1:8" x14ac:dyDescent="0.3">
      <c r="A2092" s="81" t="s">
        <v>8296</v>
      </c>
      <c r="B2092" s="81" t="s">
        <v>574</v>
      </c>
      <c r="C2092" s="81" t="s">
        <v>1604</v>
      </c>
      <c r="D2092" s="81" t="s">
        <v>3784</v>
      </c>
      <c r="E2092" s="81" t="s">
        <v>16</v>
      </c>
      <c r="F2092" s="81" t="s">
        <v>381</v>
      </c>
      <c r="G2092" s="81" t="s">
        <v>7284</v>
      </c>
      <c r="H2092" s="81" t="s">
        <v>7286</v>
      </c>
    </row>
    <row r="2093" spans="1:8" x14ac:dyDescent="0.3">
      <c r="A2093" s="81" t="s">
        <v>8297</v>
      </c>
      <c r="B2093" s="81" t="s">
        <v>574</v>
      </c>
      <c r="C2093" s="81" t="s">
        <v>1604</v>
      </c>
      <c r="D2093" s="81" t="s">
        <v>3784</v>
      </c>
      <c r="E2093" s="81" t="s">
        <v>16</v>
      </c>
      <c r="F2093" s="81" t="s">
        <v>382</v>
      </c>
      <c r="G2093" s="81" t="s">
        <v>7287</v>
      </c>
      <c r="H2093" s="81" t="s">
        <v>7289</v>
      </c>
    </row>
    <row r="2094" spans="1:8" x14ac:dyDescent="0.3">
      <c r="A2094" s="81" t="s">
        <v>8298</v>
      </c>
      <c r="B2094" s="81" t="s">
        <v>574</v>
      </c>
      <c r="C2094" s="81" t="s">
        <v>1604</v>
      </c>
      <c r="D2094" s="81" t="s">
        <v>3784</v>
      </c>
      <c r="E2094" s="81" t="s">
        <v>16</v>
      </c>
      <c r="F2094" s="81" t="s">
        <v>383</v>
      </c>
      <c r="G2094" s="81" t="s">
        <v>7290</v>
      </c>
      <c r="H2094" s="81" t="s">
        <v>7292</v>
      </c>
    </row>
    <row r="2095" spans="1:8" x14ac:dyDescent="0.3">
      <c r="A2095" s="81" t="s">
        <v>8299</v>
      </c>
      <c r="B2095" s="81" t="s">
        <v>574</v>
      </c>
      <c r="C2095" s="81" t="s">
        <v>1604</v>
      </c>
      <c r="D2095" s="81" t="s">
        <v>3784</v>
      </c>
      <c r="E2095" s="81" t="s">
        <v>20</v>
      </c>
      <c r="F2095" s="81" t="s">
        <v>15</v>
      </c>
      <c r="G2095" s="81" t="s">
        <v>7293</v>
      </c>
      <c r="H2095" s="81" t="s">
        <v>7296</v>
      </c>
    </row>
    <row r="2096" spans="1:8" x14ac:dyDescent="0.3">
      <c r="A2096" s="81" t="s">
        <v>8300</v>
      </c>
      <c r="B2096" s="81" t="s">
        <v>574</v>
      </c>
      <c r="C2096" s="81" t="s">
        <v>1604</v>
      </c>
      <c r="D2096" s="81" t="s">
        <v>3784</v>
      </c>
      <c r="E2096" s="81" t="s">
        <v>16</v>
      </c>
      <c r="F2096" s="81" t="s">
        <v>368</v>
      </c>
      <c r="G2096" s="81" t="s">
        <v>7297</v>
      </c>
      <c r="H2096" s="81" t="s">
        <v>7299</v>
      </c>
    </row>
    <row r="2097" spans="1:8" x14ac:dyDescent="0.3">
      <c r="A2097" s="81" t="s">
        <v>8301</v>
      </c>
      <c r="B2097" s="81" t="s">
        <v>574</v>
      </c>
      <c r="C2097" s="81" t="s">
        <v>1604</v>
      </c>
      <c r="D2097" s="81" t="s">
        <v>3784</v>
      </c>
      <c r="E2097" s="81" t="s">
        <v>16</v>
      </c>
      <c r="F2097" s="81" t="s">
        <v>369</v>
      </c>
      <c r="G2097" s="81" t="s">
        <v>7300</v>
      </c>
      <c r="H2097" s="81" t="s">
        <v>7302</v>
      </c>
    </row>
    <row r="2098" spans="1:8" x14ac:dyDescent="0.3">
      <c r="A2098" s="81" t="s">
        <v>8302</v>
      </c>
      <c r="B2098" s="81" t="s">
        <v>574</v>
      </c>
      <c r="C2098" s="81" t="s">
        <v>1604</v>
      </c>
      <c r="D2098" s="81" t="s">
        <v>3784</v>
      </c>
      <c r="E2098" s="81" t="s">
        <v>16</v>
      </c>
      <c r="F2098" s="81" t="s">
        <v>370</v>
      </c>
      <c r="G2098" s="81" t="s">
        <v>7303</v>
      </c>
      <c r="H2098" s="81" t="s">
        <v>7305</v>
      </c>
    </row>
    <row r="2099" spans="1:8" x14ac:dyDescent="0.3">
      <c r="A2099" s="81" t="s">
        <v>8303</v>
      </c>
      <c r="B2099" s="81" t="s">
        <v>574</v>
      </c>
      <c r="C2099" s="81" t="s">
        <v>1604</v>
      </c>
      <c r="D2099" s="81" t="s">
        <v>3784</v>
      </c>
      <c r="E2099" s="81" t="s">
        <v>16</v>
      </c>
      <c r="F2099" s="81" t="s">
        <v>371</v>
      </c>
      <c r="G2099" s="81" t="s">
        <v>7306</v>
      </c>
      <c r="H2099" s="81" t="s">
        <v>7308</v>
      </c>
    </row>
    <row r="2100" spans="1:8" x14ac:dyDescent="0.3">
      <c r="A2100" s="81" t="s">
        <v>8304</v>
      </c>
      <c r="B2100" s="81" t="s">
        <v>574</v>
      </c>
      <c r="C2100" s="81" t="s">
        <v>1604</v>
      </c>
      <c r="D2100" s="81" t="s">
        <v>3784</v>
      </c>
      <c r="E2100" s="81" t="s">
        <v>16</v>
      </c>
      <c r="F2100" s="81" t="s">
        <v>372</v>
      </c>
      <c r="G2100" s="81" t="s">
        <v>7309</v>
      </c>
      <c r="H2100" s="81" t="s">
        <v>7311</v>
      </c>
    </row>
    <row r="2101" spans="1:8" x14ac:dyDescent="0.3">
      <c r="A2101" s="81" t="s">
        <v>8305</v>
      </c>
      <c r="B2101" s="81" t="s">
        <v>574</v>
      </c>
      <c r="C2101" s="81" t="s">
        <v>1604</v>
      </c>
      <c r="D2101" s="81" t="s">
        <v>3784</v>
      </c>
      <c r="E2101" s="81" t="s">
        <v>16</v>
      </c>
      <c r="F2101" s="81" t="s">
        <v>373</v>
      </c>
      <c r="G2101" s="81" t="s">
        <v>7312</v>
      </c>
      <c r="H2101" s="81" t="s">
        <v>7314</v>
      </c>
    </row>
    <row r="2102" spans="1:8" x14ac:dyDescent="0.3">
      <c r="A2102" s="81" t="s">
        <v>8306</v>
      </c>
      <c r="B2102" s="81" t="s">
        <v>574</v>
      </c>
      <c r="C2102" s="81" t="s">
        <v>1604</v>
      </c>
      <c r="D2102" s="81" t="s">
        <v>3784</v>
      </c>
      <c r="E2102" s="81" t="s">
        <v>16</v>
      </c>
      <c r="F2102" s="81" t="s">
        <v>374</v>
      </c>
      <c r="G2102" s="81" t="s">
        <v>7315</v>
      </c>
      <c r="H2102" s="81" t="s">
        <v>7317</v>
      </c>
    </row>
    <row r="2103" spans="1:8" x14ac:dyDescent="0.3">
      <c r="A2103" s="81" t="s">
        <v>8307</v>
      </c>
      <c r="B2103" s="81" t="s">
        <v>574</v>
      </c>
      <c r="C2103" s="81" t="s">
        <v>1604</v>
      </c>
      <c r="D2103" s="81" t="s">
        <v>3784</v>
      </c>
      <c r="E2103" s="81" t="s">
        <v>16</v>
      </c>
      <c r="F2103" s="81" t="s">
        <v>375</v>
      </c>
      <c r="G2103" s="81" t="s">
        <v>7318</v>
      </c>
      <c r="H2103" s="81" t="s">
        <v>7320</v>
      </c>
    </row>
    <row r="2104" spans="1:8" x14ac:dyDescent="0.3">
      <c r="A2104" s="81" t="s">
        <v>8308</v>
      </c>
      <c r="B2104" s="81" t="s">
        <v>574</v>
      </c>
      <c r="C2104" s="81" t="s">
        <v>1604</v>
      </c>
      <c r="D2104" s="81" t="s">
        <v>3784</v>
      </c>
      <c r="E2104" s="81" t="s">
        <v>16</v>
      </c>
      <c r="F2104" s="81" t="s">
        <v>376</v>
      </c>
      <c r="G2104" s="81" t="s">
        <v>7321</v>
      </c>
      <c r="H2104" s="81" t="s">
        <v>7323</v>
      </c>
    </row>
    <row r="2105" spans="1:8" x14ac:dyDescent="0.3">
      <c r="A2105" s="81" t="s">
        <v>8309</v>
      </c>
      <c r="B2105" s="81" t="s">
        <v>574</v>
      </c>
      <c r="C2105" s="81" t="s">
        <v>1604</v>
      </c>
      <c r="D2105" s="81" t="s">
        <v>3784</v>
      </c>
      <c r="E2105" s="81" t="s">
        <v>16</v>
      </c>
      <c r="F2105" s="81" t="s">
        <v>377</v>
      </c>
      <c r="G2105" s="81" t="s">
        <v>7324</v>
      </c>
      <c r="H2105" s="81" t="s">
        <v>7326</v>
      </c>
    </row>
    <row r="2106" spans="1:8" x14ac:dyDescent="0.3">
      <c r="A2106" s="81" t="s">
        <v>8310</v>
      </c>
      <c r="B2106" s="81" t="s">
        <v>574</v>
      </c>
      <c r="C2106" s="81" t="s">
        <v>1604</v>
      </c>
      <c r="D2106" s="81" t="s">
        <v>3784</v>
      </c>
      <c r="E2106" s="81" t="s">
        <v>16</v>
      </c>
      <c r="F2106" s="81" t="s">
        <v>378</v>
      </c>
      <c r="G2106" s="81" t="s">
        <v>7327</v>
      </c>
      <c r="H2106" s="81" t="s">
        <v>7329</v>
      </c>
    </row>
    <row r="2107" spans="1:8" x14ac:dyDescent="0.3">
      <c r="A2107" s="81" t="s">
        <v>8311</v>
      </c>
      <c r="B2107" s="81" t="s">
        <v>574</v>
      </c>
      <c r="C2107" s="81" t="s">
        <v>1604</v>
      </c>
      <c r="D2107" s="81" t="s">
        <v>3784</v>
      </c>
      <c r="E2107" s="81" t="s">
        <v>16</v>
      </c>
      <c r="F2107" s="81" t="s">
        <v>379</v>
      </c>
      <c r="G2107" s="81" t="s">
        <v>7330</v>
      </c>
      <c r="H2107" s="81" t="s">
        <v>7332</v>
      </c>
    </row>
    <row r="2108" spans="1:8" x14ac:dyDescent="0.3">
      <c r="A2108" s="81" t="s">
        <v>8312</v>
      </c>
      <c r="B2108" s="81" t="s">
        <v>574</v>
      </c>
      <c r="C2108" s="81" t="s">
        <v>1604</v>
      </c>
      <c r="D2108" s="81" t="s">
        <v>3784</v>
      </c>
      <c r="E2108" s="81" t="s">
        <v>16</v>
      </c>
      <c r="F2108" s="81" t="s">
        <v>380</v>
      </c>
      <c r="G2108" s="81" t="s">
        <v>7333</v>
      </c>
      <c r="H2108" s="81" t="s">
        <v>7335</v>
      </c>
    </row>
    <row r="2109" spans="1:8" x14ac:dyDescent="0.3">
      <c r="A2109" s="81" t="s">
        <v>8313</v>
      </c>
      <c r="B2109" s="81" t="s">
        <v>574</v>
      </c>
      <c r="C2109" s="81" t="s">
        <v>1604</v>
      </c>
      <c r="D2109" s="81" t="s">
        <v>3784</v>
      </c>
      <c r="E2109" s="81" t="s">
        <v>16</v>
      </c>
      <c r="F2109" s="81" t="s">
        <v>381</v>
      </c>
      <c r="G2109" s="81" t="s">
        <v>7336</v>
      </c>
      <c r="H2109" s="81" t="s">
        <v>7338</v>
      </c>
    </row>
    <row r="2110" spans="1:8" x14ac:dyDescent="0.3">
      <c r="A2110" s="81" t="s">
        <v>8314</v>
      </c>
      <c r="B2110" s="81" t="s">
        <v>574</v>
      </c>
      <c r="C2110" s="81" t="s">
        <v>1604</v>
      </c>
      <c r="D2110" s="81" t="s">
        <v>3784</v>
      </c>
      <c r="E2110" s="81" t="s">
        <v>16</v>
      </c>
      <c r="F2110" s="81" t="s">
        <v>382</v>
      </c>
      <c r="G2110" s="81" t="s">
        <v>7339</v>
      </c>
      <c r="H2110" s="81" t="s">
        <v>7341</v>
      </c>
    </row>
    <row r="2111" spans="1:8" x14ac:dyDescent="0.3">
      <c r="A2111" s="81" t="s">
        <v>8315</v>
      </c>
      <c r="B2111" s="81" t="s">
        <v>574</v>
      </c>
      <c r="C2111" s="81" t="s">
        <v>1604</v>
      </c>
      <c r="D2111" s="81" t="s">
        <v>3784</v>
      </c>
      <c r="E2111" s="81" t="s">
        <v>16</v>
      </c>
      <c r="F2111" s="81" t="s">
        <v>383</v>
      </c>
      <c r="G2111" s="81" t="s">
        <v>7342</v>
      </c>
      <c r="H2111" s="81" t="s">
        <v>7344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C476-3F9F-4197-BB18-4AEB96A9D3D7}">
  <sheetPr>
    <tabColor rgb="FF00B050"/>
  </sheetPr>
  <dimension ref="A11:AA2048"/>
  <sheetViews>
    <sheetView showGridLines="0" tabSelected="1" zoomScaleNormal="100" workbookViewId="0">
      <pane xSplit="1" ySplit="11" topLeftCell="B12" activePane="bottomRight" state="frozen"/>
      <selection pane="topRight" activeCell="B1" sqref="B1"/>
      <selection pane="bottomLeft" activeCell="A12" sqref="A12"/>
      <selection pane="bottomRight" activeCell="T13" sqref="T13"/>
    </sheetView>
  </sheetViews>
  <sheetFormatPr baseColWidth="10" defaultRowHeight="14.4" x14ac:dyDescent="0.3"/>
  <cols>
    <col min="1" max="1" width="5.33203125" style="2" customWidth="1"/>
    <col min="2" max="2" width="10.109375" customWidth="1"/>
    <col min="3" max="3" width="11.88671875" customWidth="1"/>
    <col min="4" max="4" width="11.109375" customWidth="1"/>
    <col min="5" max="5" width="9.44140625" customWidth="1"/>
    <col min="6" max="6" width="20.5546875" customWidth="1"/>
    <col min="7" max="7" width="23.21875" customWidth="1"/>
    <col min="8" max="8" width="8.21875" customWidth="1"/>
    <col min="9" max="9" width="19" style="2" customWidth="1"/>
    <col min="10" max="10" width="19.77734375" style="77" bestFit="1" customWidth="1"/>
    <col min="11" max="11" width="14.5546875" customWidth="1"/>
    <col min="12" max="12" width="16.5546875" customWidth="1"/>
    <col min="13" max="13" width="16.88671875" customWidth="1"/>
    <col min="14" max="14" width="18.77734375" customWidth="1"/>
    <col min="15" max="15" width="35.44140625" customWidth="1"/>
    <col min="16" max="16" width="34.88671875" customWidth="1"/>
    <col min="17" max="17" width="15.33203125" customWidth="1"/>
    <col min="18" max="18" width="31" customWidth="1"/>
    <col min="19" max="19" width="36.77734375" style="1" customWidth="1"/>
    <col min="20" max="20" width="12.77734375" style="73" bestFit="1" customWidth="1"/>
    <col min="21" max="21" width="6.33203125" bestFit="1" customWidth="1"/>
    <col min="22" max="22" width="12.6640625" customWidth="1"/>
    <col min="23" max="23" width="17.21875" customWidth="1"/>
    <col min="24" max="24" width="10.77734375" customWidth="1"/>
    <col min="25" max="25" width="11.109375" bestFit="1" customWidth="1"/>
    <col min="26" max="26" width="7" bestFit="1" customWidth="1"/>
    <col min="27" max="27" width="10.21875" bestFit="1" customWidth="1"/>
  </cols>
  <sheetData>
    <row r="11" spans="1:27" x14ac:dyDescent="0.3">
      <c r="A11" s="6" t="s">
        <v>0</v>
      </c>
      <c r="B11" s="7" t="s">
        <v>385</v>
      </c>
      <c r="C11" s="7" t="s">
        <v>1</v>
      </c>
      <c r="D11" s="54" t="s">
        <v>2</v>
      </c>
      <c r="E11" s="7" t="s">
        <v>367</v>
      </c>
      <c r="F11" s="53" t="s">
        <v>3</v>
      </c>
      <c r="G11" s="52" t="s">
        <v>4</v>
      </c>
      <c r="H11" s="6" t="s">
        <v>5</v>
      </c>
      <c r="I11" s="6" t="s">
        <v>6</v>
      </c>
      <c r="J11" s="78" t="s">
        <v>24</v>
      </c>
      <c r="K11" s="55" t="s">
        <v>25</v>
      </c>
      <c r="L11" s="7" t="s">
        <v>7</v>
      </c>
      <c r="M11" s="7" t="s">
        <v>8</v>
      </c>
      <c r="N11" s="7" t="s">
        <v>9</v>
      </c>
      <c r="O11" s="7" t="s">
        <v>10</v>
      </c>
      <c r="P11" s="7" t="s">
        <v>11</v>
      </c>
      <c r="Q11" s="7" t="s">
        <v>12</v>
      </c>
      <c r="R11" s="7" t="s">
        <v>13</v>
      </c>
      <c r="S11" s="7" t="s">
        <v>21</v>
      </c>
      <c r="T11" s="8" t="s">
        <v>384</v>
      </c>
      <c r="U11" s="3" t="s">
        <v>386</v>
      </c>
      <c r="V11" s="13" t="s">
        <v>395</v>
      </c>
      <c r="W11" s="13" t="s">
        <v>396</v>
      </c>
      <c r="X11" s="13" t="s">
        <v>388</v>
      </c>
      <c r="Y11" s="13" t="s">
        <v>389</v>
      </c>
      <c r="Z11" s="13" t="s">
        <v>392</v>
      </c>
      <c r="AA11" s="13" t="s">
        <v>391</v>
      </c>
    </row>
    <row r="12" spans="1:27" ht="28.8" x14ac:dyDescent="0.3">
      <c r="A12" s="21" t="s">
        <v>393</v>
      </c>
      <c r="B12" s="9">
        <v>990</v>
      </c>
      <c r="C12" s="10" t="s">
        <v>401</v>
      </c>
      <c r="D12" s="10" t="s">
        <v>405</v>
      </c>
      <c r="E12" s="14">
        <v>0</v>
      </c>
      <c r="F12" s="10" t="s">
        <v>2368</v>
      </c>
      <c r="G12" s="18" t="s">
        <v>3761</v>
      </c>
      <c r="H12" s="33" t="s">
        <v>20</v>
      </c>
      <c r="I12" s="34" t="s">
        <v>15</v>
      </c>
      <c r="J12" s="9" t="s">
        <v>16</v>
      </c>
      <c r="K12" s="9" t="s">
        <v>837</v>
      </c>
      <c r="L12" s="9" t="s">
        <v>402</v>
      </c>
      <c r="M12" s="9" t="s">
        <v>591</v>
      </c>
      <c r="N12" s="9" t="s">
        <v>403</v>
      </c>
      <c r="O12" s="11" t="str">
        <f>"Evolución de Ingreso Promedio Mensual en "&amp;Agencia[[#This Row],[territorio]]&amp;" para el "&amp;Agencia[[#This Row],[temporalidad]]</f>
        <v>Evolución de Ingreso Promedio Mensual en Chile para el Periodo 2006-2017</v>
      </c>
      <c r="P12" s="11"/>
      <c r="Q12" s="11" t="s">
        <v>821</v>
      </c>
      <c r="R12" s="11" t="str">
        <f>Agencia[[#This Row],[territorio]]&amp;" ingresos CASEN mensual promedio"</f>
        <v>Chile ingresos CASEN mensual promedio</v>
      </c>
      <c r="S12" s="39" t="s">
        <v>1059</v>
      </c>
      <c r="T12" s="68" t="s">
        <v>855</v>
      </c>
      <c r="U12" s="117" t="s">
        <v>399</v>
      </c>
      <c r="V12" s="118" t="str">
        <f>+Agencia[[#This Row],[idcoleccion]]&amp;"-"&amp;Agencia[[#This Row],[id]]</f>
        <v>990-0001</v>
      </c>
      <c r="W12" s="118">
        <f>+VLOOKUP(Agencia[[#This Row],[Filtro URL]],Estructura!$X$4:$Y$500,2,0)</f>
        <v>99100000</v>
      </c>
      <c r="X12" s="118" t="str">
        <f>+VLOOKUP(Agencia[[#This Row],[tema]],Estructura!$A$4:$C$500,3,0)</f>
        <v>T-993</v>
      </c>
      <c r="Y12" s="118" t="str">
        <f>+VLOOKUP(Agencia[[#This Row],[contenido]],Estructura!$E$4:$G$500,3,0)</f>
        <v>C-995</v>
      </c>
      <c r="Z12" s="118" t="str">
        <f>+VLOOKUP(Agencia[[#This Row],[Filtro Integrado]],Estructura!$I$4:$K$500,3,0)</f>
        <v>FI-992</v>
      </c>
      <c r="AA12" s="118" t="str">
        <f>+VLOOKUP(Agencia[[#This Row],[Muestra]],Estructura!$M$4:$O$500,3,0)</f>
        <v>M-991</v>
      </c>
    </row>
    <row r="13" spans="1:27" ht="57.6" x14ac:dyDescent="0.3">
      <c r="A13" s="21" t="s">
        <v>394</v>
      </c>
      <c r="B13" s="9">
        <f>+B12</f>
        <v>990</v>
      </c>
      <c r="C13" s="10" t="str">
        <f>+C12</f>
        <v>Agencia Información</v>
      </c>
      <c r="D13" s="10" t="str">
        <f>+D12</f>
        <v>Socioeconómico</v>
      </c>
      <c r="E13" s="19">
        <v>1</v>
      </c>
      <c r="F13" s="10" t="s">
        <v>2368</v>
      </c>
      <c r="G13" s="18" t="s">
        <v>3761</v>
      </c>
      <c r="H13" s="35" t="s">
        <v>16</v>
      </c>
      <c r="I13" s="36" t="s">
        <v>368</v>
      </c>
      <c r="J13" s="9" t="s">
        <v>404</v>
      </c>
      <c r="K13" s="9" t="s">
        <v>837</v>
      </c>
      <c r="L13" s="9" t="s">
        <v>402</v>
      </c>
      <c r="M13" s="9" t="str">
        <f>M12</f>
        <v>CLP/mes</v>
      </c>
      <c r="N13" s="9" t="s">
        <v>403</v>
      </c>
      <c r="O13" s="11" t="str">
        <f>"Evolución de Ingreso Promedio Mensual en la "&amp;Agencia[[#This Row],[territorio]]&amp;" para el "&amp;Agencia[[#This Row],[temporalidad]]</f>
        <v>Evolución de Ingreso Promedio Mensual en la Región de Tarapacá para el Periodo 2006-2017</v>
      </c>
      <c r="P13" s="20"/>
      <c r="Q13" s="11" t="str">
        <f>+Q12</f>
        <v>Gráfico de Evolución</v>
      </c>
      <c r="R13" s="11" t="str">
        <f>Agencia[[#This Row],[territorio]]&amp;" ingresos CASEN mensual promedio"</f>
        <v>Región de Tarapacá ingresos CASEN mensual promedio</v>
      </c>
      <c r="S13" s="39" t="str">
        <f>HYPERLINK("https://analytics.zoho.com/open-view/2395394000008161200?ZOHO_CRITERIA=%22Localiza%20Chile%22.%22Codreg%22%3D"&amp;Agencia[[#This Row],[Filtro URL]])</f>
        <v>https://analytics.zoho.com/open-view/2395394000008161200?ZOHO_CRITERIA=%22Localiza%20Chile%22.%22Codreg%22%3D1</v>
      </c>
      <c r="T13" s="68" t="str">
        <f>"100-R-"&amp;Agencia[[#This Row],[Filtro URL]]</f>
        <v>100-R-1</v>
      </c>
      <c r="U13" s="119" t="str">
        <f>+U12</f>
        <v>#1774B9</v>
      </c>
      <c r="V13" s="118" t="str">
        <f>+Agencia[[#This Row],[idcoleccion]]&amp;"-"&amp;Agencia[[#This Row],[id]]</f>
        <v>990-0002</v>
      </c>
      <c r="W13" s="118">
        <f>+VLOOKUP(Agencia[[#This Row],[Filtro URL]],Estructura!$X$4:$Y$500,2,0)</f>
        <v>99200001</v>
      </c>
      <c r="X13" s="118" t="str">
        <f>+VLOOKUP(Agencia[[#This Row],[tema]],Estructura!$A$4:$C$500,3,0)</f>
        <v>T-993</v>
      </c>
      <c r="Y13" s="118" t="str">
        <f>+VLOOKUP(Agencia[[#This Row],[contenido]],Estructura!$E$4:$G$500,3,0)</f>
        <v>C-995</v>
      </c>
      <c r="Z13" s="118" t="str">
        <f>+VLOOKUP(Agencia[[#This Row],[Filtro Integrado]],Estructura!$I$4:$K$500,3,0)</f>
        <v>FI-993</v>
      </c>
      <c r="AA13" s="118" t="str">
        <f>+VLOOKUP(Agencia[[#This Row],[Muestra]],Estructura!$M$4:$O$500,3,0)</f>
        <v>M-991</v>
      </c>
    </row>
    <row r="14" spans="1:27" ht="57.6" x14ac:dyDescent="0.3">
      <c r="A14" s="21" t="s">
        <v>407</v>
      </c>
      <c r="B14" s="9">
        <f t="shared" ref="B14:B29" si="0">+B13</f>
        <v>990</v>
      </c>
      <c r="C14" s="10" t="str">
        <f t="shared" ref="C14:C29" si="1">+C13</f>
        <v>Agencia Información</v>
      </c>
      <c r="D14" s="10" t="str">
        <f t="shared" ref="D14:D28" si="2">+D13</f>
        <v>Socioeconómico</v>
      </c>
      <c r="E14" s="19">
        <v>2</v>
      </c>
      <c r="F14" s="10" t="s">
        <v>2368</v>
      </c>
      <c r="G14" s="18" t="s">
        <v>3761</v>
      </c>
      <c r="H14" s="35" t="str">
        <f>+H13</f>
        <v>Región</v>
      </c>
      <c r="I14" s="36" t="s">
        <v>369</v>
      </c>
      <c r="J14" s="9" t="s">
        <v>404</v>
      </c>
      <c r="K14" s="9" t="str">
        <f t="shared" ref="K14:K28" si="3">+K13</f>
        <v>Ingresos Promedio Mensual por región</v>
      </c>
      <c r="L14" s="9" t="str">
        <f>+L13</f>
        <v>Periodo 2006-2017</v>
      </c>
      <c r="M14" s="9" t="str">
        <f>+M13</f>
        <v>CLP/mes</v>
      </c>
      <c r="N14" s="9" t="str">
        <f>+N13</f>
        <v>Encuestas CASEN</v>
      </c>
      <c r="O14" s="11" t="str">
        <f>"Evolución de Ingreso Promedio Mensual en la "&amp;Agencia[[#This Row],[territorio]]&amp;" para el "&amp;Agencia[[#This Row],[temporalidad]]</f>
        <v>Evolución de Ingreso Promedio Mensual en la Región de Antofagasta para el Periodo 2006-2017</v>
      </c>
      <c r="P14" s="23" t="s">
        <v>406</v>
      </c>
      <c r="Q14" s="11" t="str">
        <f>+Q12</f>
        <v>Gráfico de Evolución</v>
      </c>
      <c r="R14" s="11" t="str">
        <f>Agencia[[#This Row],[territorio]]&amp;" ingresos CASEN mensual promedio"</f>
        <v>Región de Antofagasta ingresos CASEN mensual promedio</v>
      </c>
      <c r="S14" s="39" t="str">
        <f>HYPERLINK("https://analytics.zoho.com/open-view/2395394000008161200?ZOHO_CRITERIA=%22Localiza%20Chile%22.%22Codreg%22%3D"&amp;Agencia[[#This Row],[Filtro URL]])</f>
        <v>https://analytics.zoho.com/open-view/2395394000008161200?ZOHO_CRITERIA=%22Localiza%20Chile%22.%22Codreg%22%3D2</v>
      </c>
      <c r="T14" s="68" t="str">
        <f>"100-R-"&amp;Agencia[[#This Row],[Filtro URL]]</f>
        <v>100-R-2</v>
      </c>
      <c r="U14" s="119" t="str">
        <f>+U12</f>
        <v>#1774B9</v>
      </c>
      <c r="V14" s="118" t="str">
        <f>+Agencia[[#This Row],[idcoleccion]]&amp;"-"&amp;Agencia[[#This Row],[id]]</f>
        <v>990-0003</v>
      </c>
      <c r="W14" s="118">
        <f>+VLOOKUP(Agencia[[#This Row],[Filtro URL]],Estructura!$X$4:$Y$500,2,0)</f>
        <v>99200002</v>
      </c>
      <c r="X14" s="118" t="str">
        <f>+VLOOKUP(Agencia[[#This Row],[tema]],Estructura!$A$4:$C$500,3,0)</f>
        <v>T-993</v>
      </c>
      <c r="Y14" s="118" t="str">
        <f>+VLOOKUP(Agencia[[#This Row],[contenido]],Estructura!$E$4:$G$500,3,0)</f>
        <v>C-995</v>
      </c>
      <c r="Z14" s="118" t="str">
        <f>+VLOOKUP(Agencia[[#This Row],[Filtro Integrado]],Estructura!$I$4:$K$500,3,0)</f>
        <v>FI-993</v>
      </c>
      <c r="AA14" s="118" t="str">
        <f>+VLOOKUP(Agencia[[#This Row],[Muestra]],Estructura!$M$4:$O$500,3,0)</f>
        <v>M-991</v>
      </c>
    </row>
    <row r="15" spans="1:27" ht="57.6" x14ac:dyDescent="0.3">
      <c r="A15" s="21" t="s">
        <v>408</v>
      </c>
      <c r="B15" s="9">
        <f t="shared" si="0"/>
        <v>990</v>
      </c>
      <c r="C15" s="10" t="str">
        <f t="shared" si="1"/>
        <v>Agencia Información</v>
      </c>
      <c r="D15" s="10" t="str">
        <f t="shared" si="2"/>
        <v>Socioeconómico</v>
      </c>
      <c r="E15" s="19">
        <v>3</v>
      </c>
      <c r="F15" s="10" t="s">
        <v>2368</v>
      </c>
      <c r="G15" s="18" t="s">
        <v>3761</v>
      </c>
      <c r="H15" s="35" t="str">
        <f t="shared" ref="H15:H28" si="4">+H14</f>
        <v>Región</v>
      </c>
      <c r="I15" s="36" t="s">
        <v>370</v>
      </c>
      <c r="J15" s="9" t="s">
        <v>404</v>
      </c>
      <c r="K15" s="9" t="str">
        <f t="shared" si="3"/>
        <v>Ingresos Promedio Mensual por región</v>
      </c>
      <c r="L15" s="9" t="str">
        <f t="shared" ref="L15:L28" si="5">+L14</f>
        <v>Periodo 2006-2017</v>
      </c>
      <c r="M15" s="9" t="str">
        <f t="shared" ref="M15:M28" si="6">+M14</f>
        <v>CLP/mes</v>
      </c>
      <c r="N15" s="9" t="str">
        <f t="shared" ref="N15:N28" si="7">+N14</f>
        <v>Encuestas CASEN</v>
      </c>
      <c r="O15" s="11" t="str">
        <f>"Evolución de Ingreso Promedio Mensual en la "&amp;Agencia[[#This Row],[territorio]]&amp;" para el "&amp;Agencia[[#This Row],[temporalidad]]</f>
        <v>Evolución de Ingreso Promedio Mensual en la Región de Atacama para el Periodo 2006-2017</v>
      </c>
      <c r="P15" s="20"/>
      <c r="Q15" s="11" t="str">
        <f>+Q12</f>
        <v>Gráfico de Evolución</v>
      </c>
      <c r="R15" s="11" t="str">
        <f>Agencia[[#This Row],[territorio]]&amp;" ingresos CASEN mensual promedio"</f>
        <v>Región de Atacama ingresos CASEN mensual promedio</v>
      </c>
      <c r="S15" s="39" t="str">
        <f>HYPERLINK("https://analytics.zoho.com/open-view/2395394000008161200?ZOHO_CRITERIA=%22Localiza%20Chile%22.%22Codreg%22%3D"&amp;Agencia[[#This Row],[Filtro URL]])</f>
        <v>https://analytics.zoho.com/open-view/2395394000008161200?ZOHO_CRITERIA=%22Localiza%20Chile%22.%22Codreg%22%3D3</v>
      </c>
      <c r="T15" s="68" t="str">
        <f>"100-R-"&amp;Agencia[[#This Row],[Filtro URL]]</f>
        <v>100-R-3</v>
      </c>
      <c r="U15" s="119" t="str">
        <f>+U12</f>
        <v>#1774B9</v>
      </c>
      <c r="V15" s="118" t="str">
        <f>+Agencia[[#This Row],[idcoleccion]]&amp;"-"&amp;Agencia[[#This Row],[id]]</f>
        <v>990-0004</v>
      </c>
      <c r="W15" s="118">
        <f>+VLOOKUP(Agencia[[#This Row],[Filtro URL]],Estructura!$X$4:$Y$500,2,0)</f>
        <v>99200003</v>
      </c>
      <c r="X15" s="118" t="str">
        <f>+VLOOKUP(Agencia[[#This Row],[tema]],Estructura!$A$4:$C$500,3,0)</f>
        <v>T-993</v>
      </c>
      <c r="Y15" s="118" t="str">
        <f>+VLOOKUP(Agencia[[#This Row],[contenido]],Estructura!$E$4:$G$500,3,0)</f>
        <v>C-995</v>
      </c>
      <c r="Z15" s="118" t="str">
        <f>+VLOOKUP(Agencia[[#This Row],[Filtro Integrado]],Estructura!$I$4:$K$500,3,0)</f>
        <v>FI-993</v>
      </c>
      <c r="AA15" s="118" t="str">
        <f>+VLOOKUP(Agencia[[#This Row],[Muestra]],Estructura!$M$4:$O$500,3,0)</f>
        <v>M-991</v>
      </c>
    </row>
    <row r="16" spans="1:27" ht="57.6" x14ac:dyDescent="0.3">
      <c r="A16" s="21" t="s">
        <v>409</v>
      </c>
      <c r="B16" s="9">
        <f t="shared" si="0"/>
        <v>990</v>
      </c>
      <c r="C16" s="10" t="str">
        <f t="shared" si="1"/>
        <v>Agencia Información</v>
      </c>
      <c r="D16" s="10" t="str">
        <f t="shared" si="2"/>
        <v>Socioeconómico</v>
      </c>
      <c r="E16" s="19">
        <v>4</v>
      </c>
      <c r="F16" s="10" t="s">
        <v>2368</v>
      </c>
      <c r="G16" s="18" t="s">
        <v>3761</v>
      </c>
      <c r="H16" s="35" t="str">
        <f t="shared" si="4"/>
        <v>Región</v>
      </c>
      <c r="I16" s="36" t="s">
        <v>371</v>
      </c>
      <c r="J16" s="9" t="s">
        <v>404</v>
      </c>
      <c r="K16" s="9" t="str">
        <f t="shared" si="3"/>
        <v>Ingresos Promedio Mensual por región</v>
      </c>
      <c r="L16" s="9" t="str">
        <f t="shared" si="5"/>
        <v>Periodo 2006-2017</v>
      </c>
      <c r="M16" s="9" t="str">
        <f t="shared" si="6"/>
        <v>CLP/mes</v>
      </c>
      <c r="N16" s="9" t="str">
        <f t="shared" si="7"/>
        <v>Encuestas CASEN</v>
      </c>
      <c r="O16" s="11" t="str">
        <f>"Evolución de Ingreso Promedio Mensual en la "&amp;Agencia[[#This Row],[territorio]]&amp;" para el "&amp;Agencia[[#This Row],[temporalidad]]</f>
        <v>Evolución de Ingreso Promedio Mensual en la Región de Coquimbo para el Periodo 2006-2017</v>
      </c>
      <c r="P16" s="20"/>
      <c r="Q16" s="11" t="str">
        <f>+Q12</f>
        <v>Gráfico de Evolución</v>
      </c>
      <c r="R16" s="11" t="str">
        <f>Agencia[[#This Row],[territorio]]&amp;" ingresos CASEN mensual promedio"</f>
        <v>Región de Coquimbo ingresos CASEN mensual promedio</v>
      </c>
      <c r="S16" s="39" t="str">
        <f>HYPERLINK("https://analytics.zoho.com/open-view/2395394000008161200?ZOHO_CRITERIA=%22Localiza%20Chile%22.%22Codreg%22%3D"&amp;Agencia[[#This Row],[Filtro URL]])</f>
        <v>https://analytics.zoho.com/open-view/2395394000008161200?ZOHO_CRITERIA=%22Localiza%20Chile%22.%22Codreg%22%3D4</v>
      </c>
      <c r="T16" s="68" t="str">
        <f>"100-R-"&amp;Agencia[[#This Row],[Filtro URL]]</f>
        <v>100-R-4</v>
      </c>
      <c r="U16" s="119" t="str">
        <f>+U12</f>
        <v>#1774B9</v>
      </c>
      <c r="V16" s="118" t="str">
        <f>+Agencia[[#This Row],[idcoleccion]]&amp;"-"&amp;Agencia[[#This Row],[id]]</f>
        <v>990-0005</v>
      </c>
      <c r="W16" s="118">
        <f>+VLOOKUP(Agencia[[#This Row],[Filtro URL]],Estructura!$X$4:$Y$500,2,0)</f>
        <v>99200004</v>
      </c>
      <c r="X16" s="118" t="str">
        <f>+VLOOKUP(Agencia[[#This Row],[tema]],Estructura!$A$4:$C$500,3,0)</f>
        <v>T-993</v>
      </c>
      <c r="Y16" s="118" t="str">
        <f>+VLOOKUP(Agencia[[#This Row],[contenido]],Estructura!$E$4:$G$500,3,0)</f>
        <v>C-995</v>
      </c>
      <c r="Z16" s="118" t="str">
        <f>+VLOOKUP(Agencia[[#This Row],[Filtro Integrado]],Estructura!$I$4:$K$500,3,0)</f>
        <v>FI-993</v>
      </c>
      <c r="AA16" s="118" t="str">
        <f>+VLOOKUP(Agencia[[#This Row],[Muestra]],Estructura!$M$4:$O$500,3,0)</f>
        <v>M-991</v>
      </c>
    </row>
    <row r="17" spans="1:27" ht="57.6" x14ac:dyDescent="0.3">
      <c r="A17" s="21" t="s">
        <v>410</v>
      </c>
      <c r="B17" s="9">
        <f t="shared" si="0"/>
        <v>990</v>
      </c>
      <c r="C17" s="10" t="str">
        <f t="shared" si="1"/>
        <v>Agencia Información</v>
      </c>
      <c r="D17" s="10" t="str">
        <f t="shared" si="2"/>
        <v>Socioeconómico</v>
      </c>
      <c r="E17" s="19">
        <v>5</v>
      </c>
      <c r="F17" s="10" t="s">
        <v>2368</v>
      </c>
      <c r="G17" s="18" t="s">
        <v>3761</v>
      </c>
      <c r="H17" s="35" t="str">
        <f t="shared" si="4"/>
        <v>Región</v>
      </c>
      <c r="I17" s="36" t="s">
        <v>372</v>
      </c>
      <c r="J17" s="9" t="s">
        <v>404</v>
      </c>
      <c r="K17" s="9" t="str">
        <f t="shared" si="3"/>
        <v>Ingresos Promedio Mensual por región</v>
      </c>
      <c r="L17" s="9" t="str">
        <f t="shared" si="5"/>
        <v>Periodo 2006-2017</v>
      </c>
      <c r="M17" s="9" t="str">
        <f t="shared" si="6"/>
        <v>CLP/mes</v>
      </c>
      <c r="N17" s="9" t="str">
        <f t="shared" si="7"/>
        <v>Encuestas CASEN</v>
      </c>
      <c r="O17" s="11" t="str">
        <f>"Evolución de Ingreso Promedio Mensual en la "&amp;Agencia[[#This Row],[territorio]]&amp;" para el "&amp;Agencia[[#This Row],[temporalidad]]</f>
        <v>Evolución de Ingreso Promedio Mensual en la Región de Valparaíso para el Periodo 2006-2017</v>
      </c>
      <c r="P17" s="20"/>
      <c r="Q17" s="11" t="str">
        <f>+Q12</f>
        <v>Gráfico de Evolución</v>
      </c>
      <c r="R17" s="11" t="str">
        <f>Agencia[[#This Row],[territorio]]&amp;" ingresos CASEN mensual promedio"</f>
        <v>Región de Valparaíso ingresos CASEN mensual promedio</v>
      </c>
      <c r="S17" s="39" t="str">
        <f>HYPERLINK("https://analytics.zoho.com/open-view/2395394000008161200?ZOHO_CRITERIA=%22Localiza%20Chile%22.%22Codreg%22%3D"&amp;Agencia[[#This Row],[Filtro URL]])</f>
        <v>https://analytics.zoho.com/open-view/2395394000008161200?ZOHO_CRITERIA=%22Localiza%20Chile%22.%22Codreg%22%3D5</v>
      </c>
      <c r="T17" s="68" t="str">
        <f>"100-R-"&amp;Agencia[[#This Row],[Filtro URL]]</f>
        <v>100-R-5</v>
      </c>
      <c r="U17" s="119" t="str">
        <f>+U12</f>
        <v>#1774B9</v>
      </c>
      <c r="V17" s="118" t="str">
        <f>+Agencia[[#This Row],[idcoleccion]]&amp;"-"&amp;Agencia[[#This Row],[id]]</f>
        <v>990-0006</v>
      </c>
      <c r="W17" s="118">
        <f>+VLOOKUP(Agencia[[#This Row],[Filtro URL]],Estructura!$X$4:$Y$500,2,0)</f>
        <v>99200005</v>
      </c>
      <c r="X17" s="118" t="str">
        <f>+VLOOKUP(Agencia[[#This Row],[tema]],Estructura!$A$4:$C$500,3,0)</f>
        <v>T-993</v>
      </c>
      <c r="Y17" s="118" t="str">
        <f>+VLOOKUP(Agencia[[#This Row],[contenido]],Estructura!$E$4:$G$500,3,0)</f>
        <v>C-995</v>
      </c>
      <c r="Z17" s="118" t="str">
        <f>+VLOOKUP(Agencia[[#This Row],[Filtro Integrado]],Estructura!$I$4:$K$500,3,0)</f>
        <v>FI-993</v>
      </c>
      <c r="AA17" s="118" t="str">
        <f>+VLOOKUP(Agencia[[#This Row],[Muestra]],Estructura!$M$4:$O$500,3,0)</f>
        <v>M-991</v>
      </c>
    </row>
    <row r="18" spans="1:27" ht="57.6" x14ac:dyDescent="0.3">
      <c r="A18" s="21" t="s">
        <v>411</v>
      </c>
      <c r="B18" s="9">
        <f t="shared" si="0"/>
        <v>990</v>
      </c>
      <c r="C18" s="10" t="str">
        <f t="shared" si="1"/>
        <v>Agencia Información</v>
      </c>
      <c r="D18" s="10" t="str">
        <f t="shared" si="2"/>
        <v>Socioeconómico</v>
      </c>
      <c r="E18" s="19">
        <v>6</v>
      </c>
      <c r="F18" s="10" t="s">
        <v>2368</v>
      </c>
      <c r="G18" s="18" t="s">
        <v>3761</v>
      </c>
      <c r="H18" s="35" t="str">
        <f t="shared" si="4"/>
        <v>Región</v>
      </c>
      <c r="I18" s="36" t="s">
        <v>373</v>
      </c>
      <c r="J18" s="9" t="s">
        <v>404</v>
      </c>
      <c r="K18" s="9" t="str">
        <f t="shared" si="3"/>
        <v>Ingresos Promedio Mensual por región</v>
      </c>
      <c r="L18" s="9" t="str">
        <f t="shared" si="5"/>
        <v>Periodo 2006-2017</v>
      </c>
      <c r="M18" s="9" t="str">
        <f t="shared" si="6"/>
        <v>CLP/mes</v>
      </c>
      <c r="N18" s="9" t="str">
        <f t="shared" si="7"/>
        <v>Encuestas CASEN</v>
      </c>
      <c r="O18" s="11" t="str">
        <f>"Evolución de Ingreso Promedio Mensual en la "&amp;Agencia[[#This Row],[territorio]]&amp;" para el "&amp;Agencia[[#This Row],[temporalidad]]</f>
        <v>Evolución de Ingreso Promedio Mensual en la Región de O'Higgins para el Periodo 2006-2017</v>
      </c>
      <c r="P18" s="20"/>
      <c r="Q18" s="11" t="str">
        <f>+Q12</f>
        <v>Gráfico de Evolución</v>
      </c>
      <c r="R18" s="11" t="str">
        <f>Agencia[[#This Row],[territorio]]&amp;" ingresos CASEN mensual promedio"</f>
        <v>Región de O'Higgins ingresos CASEN mensual promedio</v>
      </c>
      <c r="S18" s="39" t="str">
        <f>HYPERLINK("https://analytics.zoho.com/open-view/2395394000008161200?ZOHO_CRITERIA=%22Localiza%20Chile%22.%22Codreg%22%3D"&amp;Agencia[[#This Row],[Filtro URL]])</f>
        <v>https://analytics.zoho.com/open-view/2395394000008161200?ZOHO_CRITERIA=%22Localiza%20Chile%22.%22Codreg%22%3D6</v>
      </c>
      <c r="T18" s="68" t="str">
        <f>"100-R-"&amp;Agencia[[#This Row],[Filtro URL]]</f>
        <v>100-R-6</v>
      </c>
      <c r="U18" s="119" t="str">
        <f>+U12</f>
        <v>#1774B9</v>
      </c>
      <c r="V18" s="118" t="str">
        <f>+Agencia[[#This Row],[idcoleccion]]&amp;"-"&amp;Agencia[[#This Row],[id]]</f>
        <v>990-0007</v>
      </c>
      <c r="W18" s="118">
        <f>+VLOOKUP(Agencia[[#This Row],[Filtro URL]],Estructura!$X$4:$Y$500,2,0)</f>
        <v>99200006</v>
      </c>
      <c r="X18" s="118" t="str">
        <f>+VLOOKUP(Agencia[[#This Row],[tema]],Estructura!$A$4:$C$500,3,0)</f>
        <v>T-993</v>
      </c>
      <c r="Y18" s="118" t="str">
        <f>+VLOOKUP(Agencia[[#This Row],[contenido]],Estructura!$E$4:$G$500,3,0)</f>
        <v>C-995</v>
      </c>
      <c r="Z18" s="118" t="str">
        <f>+VLOOKUP(Agencia[[#This Row],[Filtro Integrado]],Estructura!$I$4:$K$500,3,0)</f>
        <v>FI-993</v>
      </c>
      <c r="AA18" s="118" t="str">
        <f>+VLOOKUP(Agencia[[#This Row],[Muestra]],Estructura!$M$4:$O$500,3,0)</f>
        <v>M-991</v>
      </c>
    </row>
    <row r="19" spans="1:27" ht="57.6" x14ac:dyDescent="0.3">
      <c r="A19" s="21" t="s">
        <v>412</v>
      </c>
      <c r="B19" s="9">
        <f t="shared" si="0"/>
        <v>990</v>
      </c>
      <c r="C19" s="10" t="str">
        <f t="shared" si="1"/>
        <v>Agencia Información</v>
      </c>
      <c r="D19" s="10" t="str">
        <f t="shared" si="2"/>
        <v>Socioeconómico</v>
      </c>
      <c r="E19" s="19">
        <v>7</v>
      </c>
      <c r="F19" s="10" t="s">
        <v>2368</v>
      </c>
      <c r="G19" s="18" t="s">
        <v>3761</v>
      </c>
      <c r="H19" s="35" t="str">
        <f t="shared" si="4"/>
        <v>Región</v>
      </c>
      <c r="I19" s="36" t="s">
        <v>374</v>
      </c>
      <c r="J19" s="9" t="s">
        <v>404</v>
      </c>
      <c r="K19" s="9" t="str">
        <f t="shared" si="3"/>
        <v>Ingresos Promedio Mensual por región</v>
      </c>
      <c r="L19" s="9" t="str">
        <f t="shared" si="5"/>
        <v>Periodo 2006-2017</v>
      </c>
      <c r="M19" s="9" t="str">
        <f t="shared" si="6"/>
        <v>CLP/mes</v>
      </c>
      <c r="N19" s="9" t="str">
        <f t="shared" si="7"/>
        <v>Encuestas CASEN</v>
      </c>
      <c r="O19" s="11" t="str">
        <f>"Evolución de Ingreso Promedio Mensual en la "&amp;Agencia[[#This Row],[territorio]]&amp;" para el "&amp;Agencia[[#This Row],[temporalidad]]</f>
        <v>Evolución de Ingreso Promedio Mensual en la Región de Maule para el Periodo 2006-2017</v>
      </c>
      <c r="P19" s="20"/>
      <c r="Q19" s="11" t="str">
        <f>+Q12</f>
        <v>Gráfico de Evolución</v>
      </c>
      <c r="R19" s="11" t="str">
        <f>Agencia[[#This Row],[territorio]]&amp;" ingresos CASEN mensual promedio"</f>
        <v>Región de Maule ingresos CASEN mensual promedio</v>
      </c>
      <c r="S19" s="39" t="str">
        <f>HYPERLINK("https://analytics.zoho.com/open-view/2395394000008161200?ZOHO_CRITERIA=%22Localiza%20Chile%22.%22Codreg%22%3D"&amp;Agencia[[#This Row],[Filtro URL]])</f>
        <v>https://analytics.zoho.com/open-view/2395394000008161200?ZOHO_CRITERIA=%22Localiza%20Chile%22.%22Codreg%22%3D7</v>
      </c>
      <c r="T19" s="68" t="str">
        <f>"100-R-"&amp;Agencia[[#This Row],[Filtro URL]]</f>
        <v>100-R-7</v>
      </c>
      <c r="U19" s="119" t="str">
        <f>+U12</f>
        <v>#1774B9</v>
      </c>
      <c r="V19" s="118" t="str">
        <f>+Agencia[[#This Row],[idcoleccion]]&amp;"-"&amp;Agencia[[#This Row],[id]]</f>
        <v>990-0008</v>
      </c>
      <c r="W19" s="118">
        <f>+VLOOKUP(Agencia[[#This Row],[Filtro URL]],Estructura!$X$4:$Y$500,2,0)</f>
        <v>99200007</v>
      </c>
      <c r="X19" s="118" t="str">
        <f>+VLOOKUP(Agencia[[#This Row],[tema]],Estructura!$A$4:$C$500,3,0)</f>
        <v>T-993</v>
      </c>
      <c r="Y19" s="118" t="str">
        <f>+VLOOKUP(Agencia[[#This Row],[contenido]],Estructura!$E$4:$G$500,3,0)</f>
        <v>C-995</v>
      </c>
      <c r="Z19" s="118" t="str">
        <f>+VLOOKUP(Agencia[[#This Row],[Filtro Integrado]],Estructura!$I$4:$K$500,3,0)</f>
        <v>FI-993</v>
      </c>
      <c r="AA19" s="118" t="str">
        <f>+VLOOKUP(Agencia[[#This Row],[Muestra]],Estructura!$M$4:$O$500,3,0)</f>
        <v>M-991</v>
      </c>
    </row>
    <row r="20" spans="1:27" ht="57.6" x14ac:dyDescent="0.3">
      <c r="A20" s="21" t="s">
        <v>413</v>
      </c>
      <c r="B20" s="9">
        <f t="shared" si="0"/>
        <v>990</v>
      </c>
      <c r="C20" s="10" t="str">
        <f t="shared" si="1"/>
        <v>Agencia Información</v>
      </c>
      <c r="D20" s="10" t="str">
        <f t="shared" si="2"/>
        <v>Socioeconómico</v>
      </c>
      <c r="E20" s="19">
        <v>8</v>
      </c>
      <c r="F20" s="10" t="s">
        <v>2368</v>
      </c>
      <c r="G20" s="18" t="s">
        <v>3761</v>
      </c>
      <c r="H20" s="35" t="str">
        <f t="shared" si="4"/>
        <v>Región</v>
      </c>
      <c r="I20" s="36" t="s">
        <v>375</v>
      </c>
      <c r="J20" s="9" t="s">
        <v>404</v>
      </c>
      <c r="K20" s="9" t="str">
        <f t="shared" si="3"/>
        <v>Ingresos Promedio Mensual por región</v>
      </c>
      <c r="L20" s="9" t="str">
        <f t="shared" si="5"/>
        <v>Periodo 2006-2017</v>
      </c>
      <c r="M20" s="9" t="str">
        <f t="shared" si="6"/>
        <v>CLP/mes</v>
      </c>
      <c r="N20" s="9" t="str">
        <f t="shared" si="7"/>
        <v>Encuestas CASEN</v>
      </c>
      <c r="O20" s="11" t="str">
        <f>"Evolución de Ingreso Promedio Mensual en la "&amp;Agencia[[#This Row],[territorio]]&amp;" para el "&amp;Agencia[[#This Row],[temporalidad]]</f>
        <v>Evolución de Ingreso Promedio Mensual en la Región del Biobío para el Periodo 2006-2017</v>
      </c>
      <c r="P20" s="20"/>
      <c r="Q20" s="11" t="str">
        <f>+Q12</f>
        <v>Gráfico de Evolución</v>
      </c>
      <c r="R20" s="11" t="str">
        <f>Agencia[[#This Row],[territorio]]&amp;" ingresos CASEN mensual promedio"</f>
        <v>Región del Biobío ingresos CASEN mensual promedio</v>
      </c>
      <c r="S20" s="39" t="str">
        <f>HYPERLINK("https://analytics.zoho.com/open-view/2395394000008161200?ZOHO_CRITERIA=%22Localiza%20Chile%22.%22Codreg%22%3D"&amp;Agencia[[#This Row],[Filtro URL]])</f>
        <v>https://analytics.zoho.com/open-view/2395394000008161200?ZOHO_CRITERIA=%22Localiza%20Chile%22.%22Codreg%22%3D8</v>
      </c>
      <c r="T20" s="68" t="str">
        <f>"100-R-"&amp;Agencia[[#This Row],[Filtro URL]]</f>
        <v>100-R-8</v>
      </c>
      <c r="U20" s="119" t="str">
        <f>+U12</f>
        <v>#1774B9</v>
      </c>
      <c r="V20" s="118" t="str">
        <f>+Agencia[[#This Row],[idcoleccion]]&amp;"-"&amp;Agencia[[#This Row],[id]]</f>
        <v>990-0009</v>
      </c>
      <c r="W20" s="118">
        <f>+VLOOKUP(Agencia[[#This Row],[Filtro URL]],Estructura!$X$4:$Y$500,2,0)</f>
        <v>99200008</v>
      </c>
      <c r="X20" s="118" t="str">
        <f>+VLOOKUP(Agencia[[#This Row],[tema]],Estructura!$A$4:$C$500,3,0)</f>
        <v>T-993</v>
      </c>
      <c r="Y20" s="118" t="str">
        <f>+VLOOKUP(Agencia[[#This Row],[contenido]],Estructura!$E$4:$G$500,3,0)</f>
        <v>C-995</v>
      </c>
      <c r="Z20" s="118" t="str">
        <f>+VLOOKUP(Agencia[[#This Row],[Filtro Integrado]],Estructura!$I$4:$K$500,3,0)</f>
        <v>FI-993</v>
      </c>
      <c r="AA20" s="118" t="str">
        <f>+VLOOKUP(Agencia[[#This Row],[Muestra]],Estructura!$M$4:$O$500,3,0)</f>
        <v>M-991</v>
      </c>
    </row>
    <row r="21" spans="1:27" ht="57.6" x14ac:dyDescent="0.3">
      <c r="A21" s="21" t="s">
        <v>414</v>
      </c>
      <c r="B21" s="9">
        <f t="shared" si="0"/>
        <v>990</v>
      </c>
      <c r="C21" s="10" t="str">
        <f t="shared" si="1"/>
        <v>Agencia Información</v>
      </c>
      <c r="D21" s="10" t="str">
        <f t="shared" si="2"/>
        <v>Socioeconómico</v>
      </c>
      <c r="E21" s="19">
        <v>9</v>
      </c>
      <c r="F21" s="10" t="s">
        <v>2368</v>
      </c>
      <c r="G21" s="18" t="s">
        <v>3761</v>
      </c>
      <c r="H21" s="35" t="str">
        <f t="shared" si="4"/>
        <v>Región</v>
      </c>
      <c r="I21" s="36" t="s">
        <v>376</v>
      </c>
      <c r="J21" s="9" t="s">
        <v>404</v>
      </c>
      <c r="K21" s="9" t="str">
        <f t="shared" si="3"/>
        <v>Ingresos Promedio Mensual por región</v>
      </c>
      <c r="L21" s="9" t="str">
        <f t="shared" si="5"/>
        <v>Periodo 2006-2017</v>
      </c>
      <c r="M21" s="9" t="str">
        <f t="shared" si="6"/>
        <v>CLP/mes</v>
      </c>
      <c r="N21" s="9" t="str">
        <f t="shared" si="7"/>
        <v>Encuestas CASEN</v>
      </c>
      <c r="O21" s="11" t="str">
        <f>"Evolución de Ingreso Promedio Mensual en la "&amp;Agencia[[#This Row],[territorio]]&amp;" para el "&amp;Agencia[[#This Row],[temporalidad]]</f>
        <v>Evolución de Ingreso Promedio Mensual en la Región de La Araucanía para el Periodo 2006-2017</v>
      </c>
      <c r="P21" s="20"/>
      <c r="Q21" s="11" t="str">
        <f>+Q12</f>
        <v>Gráfico de Evolución</v>
      </c>
      <c r="R21" s="11" t="str">
        <f>Agencia[[#This Row],[territorio]]&amp;" ingresos CASEN mensual promedio"</f>
        <v>Región de La Araucanía ingresos CASEN mensual promedio</v>
      </c>
      <c r="S21" s="39" t="str">
        <f>HYPERLINK("https://analytics.zoho.com/open-view/2395394000008161200?ZOHO_CRITERIA=%22Localiza%20Chile%22.%22Codreg%22%3D"&amp;Agencia[[#This Row],[Filtro URL]])</f>
        <v>https://analytics.zoho.com/open-view/2395394000008161200?ZOHO_CRITERIA=%22Localiza%20Chile%22.%22Codreg%22%3D9</v>
      </c>
      <c r="T21" s="68" t="str">
        <f>"100-R-"&amp;Agencia[[#This Row],[Filtro URL]]</f>
        <v>100-R-9</v>
      </c>
      <c r="U21" s="119" t="str">
        <f>+U12</f>
        <v>#1774B9</v>
      </c>
      <c r="V21" s="118" t="str">
        <f>+Agencia[[#This Row],[idcoleccion]]&amp;"-"&amp;Agencia[[#This Row],[id]]</f>
        <v>990-0010</v>
      </c>
      <c r="W21" s="118">
        <f>+VLOOKUP(Agencia[[#This Row],[Filtro URL]],Estructura!$X$4:$Y$500,2,0)</f>
        <v>99200009</v>
      </c>
      <c r="X21" s="118" t="str">
        <f>+VLOOKUP(Agencia[[#This Row],[tema]],Estructura!$A$4:$C$500,3,0)</f>
        <v>T-993</v>
      </c>
      <c r="Y21" s="118" t="str">
        <f>+VLOOKUP(Agencia[[#This Row],[contenido]],Estructura!$E$4:$G$500,3,0)</f>
        <v>C-995</v>
      </c>
      <c r="Z21" s="118" t="str">
        <f>+VLOOKUP(Agencia[[#This Row],[Filtro Integrado]],Estructura!$I$4:$K$500,3,0)</f>
        <v>FI-993</v>
      </c>
      <c r="AA21" s="118" t="str">
        <f>+VLOOKUP(Agencia[[#This Row],[Muestra]],Estructura!$M$4:$O$500,3,0)</f>
        <v>M-991</v>
      </c>
    </row>
    <row r="22" spans="1:27" ht="57.6" x14ac:dyDescent="0.3">
      <c r="A22" s="21" t="s">
        <v>415</v>
      </c>
      <c r="B22" s="9">
        <f t="shared" si="0"/>
        <v>990</v>
      </c>
      <c r="C22" s="10" t="str">
        <f t="shared" si="1"/>
        <v>Agencia Información</v>
      </c>
      <c r="D22" s="10" t="str">
        <f t="shared" si="2"/>
        <v>Socioeconómico</v>
      </c>
      <c r="E22" s="19">
        <v>10</v>
      </c>
      <c r="F22" s="10" t="s">
        <v>2368</v>
      </c>
      <c r="G22" s="18" t="s">
        <v>3761</v>
      </c>
      <c r="H22" s="35" t="str">
        <f t="shared" si="4"/>
        <v>Región</v>
      </c>
      <c r="I22" s="36" t="s">
        <v>377</v>
      </c>
      <c r="J22" s="9" t="s">
        <v>404</v>
      </c>
      <c r="K22" s="9" t="str">
        <f t="shared" si="3"/>
        <v>Ingresos Promedio Mensual por región</v>
      </c>
      <c r="L22" s="9" t="str">
        <f t="shared" si="5"/>
        <v>Periodo 2006-2017</v>
      </c>
      <c r="M22" s="9" t="str">
        <f t="shared" si="6"/>
        <v>CLP/mes</v>
      </c>
      <c r="N22" s="9" t="str">
        <f t="shared" si="7"/>
        <v>Encuestas CASEN</v>
      </c>
      <c r="O22" s="11" t="str">
        <f>"Evolución de Ingreso Promedio Mensual en la "&amp;Agencia[[#This Row],[territorio]]&amp;" para el "&amp;Agencia[[#This Row],[temporalidad]]</f>
        <v>Evolución de Ingreso Promedio Mensual en la Región de Los Lagos para el Periodo 2006-2017</v>
      </c>
      <c r="P22" s="20"/>
      <c r="Q22" s="11" t="str">
        <f>+Q12</f>
        <v>Gráfico de Evolución</v>
      </c>
      <c r="R22" s="11" t="str">
        <f>Agencia[[#This Row],[territorio]]&amp;" ingresos CASEN mensual promedio"</f>
        <v>Región de Los Lagos ingresos CASEN mensual promedio</v>
      </c>
      <c r="S22" s="39" t="str">
        <f>HYPERLINK("https://analytics.zoho.com/open-view/2395394000008161200?ZOHO_CRITERIA=%22Localiza%20Chile%22.%22Codreg%22%3D"&amp;Agencia[[#This Row],[Filtro URL]])</f>
        <v>https://analytics.zoho.com/open-view/2395394000008161200?ZOHO_CRITERIA=%22Localiza%20Chile%22.%22Codreg%22%3D10</v>
      </c>
      <c r="T22" s="68" t="str">
        <f>"100-R-"&amp;Agencia[[#This Row],[Filtro URL]]</f>
        <v>100-R-10</v>
      </c>
      <c r="U22" s="119" t="str">
        <f>+U12</f>
        <v>#1774B9</v>
      </c>
      <c r="V22" s="118" t="str">
        <f>+Agencia[[#This Row],[idcoleccion]]&amp;"-"&amp;Agencia[[#This Row],[id]]</f>
        <v>990-0011</v>
      </c>
      <c r="W22" s="118">
        <f>+VLOOKUP(Agencia[[#This Row],[Filtro URL]],Estructura!$X$4:$Y$500,2,0)</f>
        <v>99200010</v>
      </c>
      <c r="X22" s="118" t="str">
        <f>+VLOOKUP(Agencia[[#This Row],[tema]],Estructura!$A$4:$C$500,3,0)</f>
        <v>T-993</v>
      </c>
      <c r="Y22" s="118" t="str">
        <f>+VLOOKUP(Agencia[[#This Row],[contenido]],Estructura!$E$4:$G$500,3,0)</f>
        <v>C-995</v>
      </c>
      <c r="Z22" s="118" t="str">
        <f>+VLOOKUP(Agencia[[#This Row],[Filtro Integrado]],Estructura!$I$4:$K$500,3,0)</f>
        <v>FI-993</v>
      </c>
      <c r="AA22" s="118" t="str">
        <f>+VLOOKUP(Agencia[[#This Row],[Muestra]],Estructura!$M$4:$O$500,3,0)</f>
        <v>M-991</v>
      </c>
    </row>
    <row r="23" spans="1:27" ht="57.6" x14ac:dyDescent="0.3">
      <c r="A23" s="21" t="s">
        <v>416</v>
      </c>
      <c r="B23" s="9">
        <f t="shared" si="0"/>
        <v>990</v>
      </c>
      <c r="C23" s="10" t="str">
        <f t="shared" si="1"/>
        <v>Agencia Información</v>
      </c>
      <c r="D23" s="10" t="str">
        <f t="shared" si="2"/>
        <v>Socioeconómico</v>
      </c>
      <c r="E23" s="19">
        <v>11</v>
      </c>
      <c r="F23" s="10" t="s">
        <v>2368</v>
      </c>
      <c r="G23" s="18" t="s">
        <v>3761</v>
      </c>
      <c r="H23" s="35" t="str">
        <f t="shared" si="4"/>
        <v>Región</v>
      </c>
      <c r="I23" s="36" t="s">
        <v>378</v>
      </c>
      <c r="J23" s="9" t="s">
        <v>404</v>
      </c>
      <c r="K23" s="9" t="str">
        <f t="shared" si="3"/>
        <v>Ingresos Promedio Mensual por región</v>
      </c>
      <c r="L23" s="9" t="str">
        <f t="shared" si="5"/>
        <v>Periodo 2006-2017</v>
      </c>
      <c r="M23" s="9" t="str">
        <f t="shared" si="6"/>
        <v>CLP/mes</v>
      </c>
      <c r="N23" s="9" t="str">
        <f t="shared" si="7"/>
        <v>Encuestas CASEN</v>
      </c>
      <c r="O23" s="11" t="str">
        <f>"Evolución de Ingreso Promedio Mensual en la "&amp;Agencia[[#This Row],[territorio]]&amp;" para el "&amp;Agencia[[#This Row],[temporalidad]]</f>
        <v>Evolución de Ingreso Promedio Mensual en la Región de Aysén para el Periodo 2006-2017</v>
      </c>
      <c r="P23" s="20"/>
      <c r="Q23" s="11" t="str">
        <f>+Q12</f>
        <v>Gráfico de Evolución</v>
      </c>
      <c r="R23" s="11" t="str">
        <f>Agencia[[#This Row],[territorio]]&amp;" ingresos CASEN mensual promedio"</f>
        <v>Región de Aysén ingresos CASEN mensual promedio</v>
      </c>
      <c r="S23" s="39" t="str">
        <f>HYPERLINK("https://analytics.zoho.com/open-view/2395394000008161200?ZOHO_CRITERIA=%22Localiza%20Chile%22.%22Codreg%22%3D"&amp;Agencia[[#This Row],[Filtro URL]])</f>
        <v>https://analytics.zoho.com/open-view/2395394000008161200?ZOHO_CRITERIA=%22Localiza%20Chile%22.%22Codreg%22%3D11</v>
      </c>
      <c r="T23" s="68" t="str">
        <f>"100-R-"&amp;Agencia[[#This Row],[Filtro URL]]</f>
        <v>100-R-11</v>
      </c>
      <c r="U23" s="119" t="str">
        <f>+U12</f>
        <v>#1774B9</v>
      </c>
      <c r="V23" s="118" t="str">
        <f>+Agencia[[#This Row],[idcoleccion]]&amp;"-"&amp;Agencia[[#This Row],[id]]</f>
        <v>990-0012</v>
      </c>
      <c r="W23" s="118">
        <f>+VLOOKUP(Agencia[[#This Row],[Filtro URL]],Estructura!$X$4:$Y$500,2,0)</f>
        <v>99200011</v>
      </c>
      <c r="X23" s="118" t="str">
        <f>+VLOOKUP(Agencia[[#This Row],[tema]],Estructura!$A$4:$C$500,3,0)</f>
        <v>T-993</v>
      </c>
      <c r="Y23" s="118" t="str">
        <f>+VLOOKUP(Agencia[[#This Row],[contenido]],Estructura!$E$4:$G$500,3,0)</f>
        <v>C-995</v>
      </c>
      <c r="Z23" s="118" t="str">
        <f>+VLOOKUP(Agencia[[#This Row],[Filtro Integrado]],Estructura!$I$4:$K$500,3,0)</f>
        <v>FI-993</v>
      </c>
      <c r="AA23" s="118" t="str">
        <f>+VLOOKUP(Agencia[[#This Row],[Muestra]],Estructura!$M$4:$O$500,3,0)</f>
        <v>M-991</v>
      </c>
    </row>
    <row r="24" spans="1:27" ht="57.6" x14ac:dyDescent="0.3">
      <c r="A24" s="21" t="s">
        <v>417</v>
      </c>
      <c r="B24" s="9">
        <f t="shared" si="0"/>
        <v>990</v>
      </c>
      <c r="C24" s="10" t="str">
        <f t="shared" si="1"/>
        <v>Agencia Información</v>
      </c>
      <c r="D24" s="10" t="str">
        <f t="shared" si="2"/>
        <v>Socioeconómico</v>
      </c>
      <c r="E24" s="19">
        <v>12</v>
      </c>
      <c r="F24" s="10" t="s">
        <v>2368</v>
      </c>
      <c r="G24" s="18" t="s">
        <v>3761</v>
      </c>
      <c r="H24" s="35" t="str">
        <f t="shared" si="4"/>
        <v>Región</v>
      </c>
      <c r="I24" s="36" t="s">
        <v>379</v>
      </c>
      <c r="J24" s="9" t="s">
        <v>404</v>
      </c>
      <c r="K24" s="9" t="str">
        <f t="shared" si="3"/>
        <v>Ingresos Promedio Mensual por región</v>
      </c>
      <c r="L24" s="9" t="str">
        <f t="shared" si="5"/>
        <v>Periodo 2006-2017</v>
      </c>
      <c r="M24" s="9" t="str">
        <f t="shared" si="6"/>
        <v>CLP/mes</v>
      </c>
      <c r="N24" s="9" t="str">
        <f t="shared" si="7"/>
        <v>Encuestas CASEN</v>
      </c>
      <c r="O24" s="11" t="str">
        <f>"Evolución de Ingreso Promedio Mensual en la "&amp;Agencia[[#This Row],[territorio]]&amp;" para el "&amp;Agencia[[#This Row],[temporalidad]]</f>
        <v>Evolución de Ingreso Promedio Mensual en la Región de Magallanes para el Periodo 2006-2017</v>
      </c>
      <c r="P24" s="20"/>
      <c r="Q24" s="11" t="str">
        <f>+Q12</f>
        <v>Gráfico de Evolución</v>
      </c>
      <c r="R24" s="11" t="str">
        <f>Agencia[[#This Row],[territorio]]&amp;" ingresos CASEN mensual promedio"</f>
        <v>Región de Magallanes ingresos CASEN mensual promedio</v>
      </c>
      <c r="S24" s="39" t="str">
        <f>HYPERLINK("https://analytics.zoho.com/open-view/2395394000008161200?ZOHO_CRITERIA=%22Localiza%20Chile%22.%22Codreg%22%3D"&amp;Agencia[[#This Row],[Filtro URL]])</f>
        <v>https://analytics.zoho.com/open-view/2395394000008161200?ZOHO_CRITERIA=%22Localiza%20Chile%22.%22Codreg%22%3D12</v>
      </c>
      <c r="T24" s="68" t="str">
        <f>"100-R-"&amp;Agencia[[#This Row],[Filtro URL]]</f>
        <v>100-R-12</v>
      </c>
      <c r="U24" s="119" t="str">
        <f>+U12</f>
        <v>#1774B9</v>
      </c>
      <c r="V24" s="118" t="str">
        <f>+Agencia[[#This Row],[idcoleccion]]&amp;"-"&amp;Agencia[[#This Row],[id]]</f>
        <v>990-0013</v>
      </c>
      <c r="W24" s="118">
        <f>+VLOOKUP(Agencia[[#This Row],[Filtro URL]],Estructura!$X$4:$Y$500,2,0)</f>
        <v>99200012</v>
      </c>
      <c r="X24" s="118" t="str">
        <f>+VLOOKUP(Agencia[[#This Row],[tema]],Estructura!$A$4:$C$500,3,0)</f>
        <v>T-993</v>
      </c>
      <c r="Y24" s="118" t="str">
        <f>+VLOOKUP(Agencia[[#This Row],[contenido]],Estructura!$E$4:$G$500,3,0)</f>
        <v>C-995</v>
      </c>
      <c r="Z24" s="118" t="str">
        <f>+VLOOKUP(Agencia[[#This Row],[Filtro Integrado]],Estructura!$I$4:$K$500,3,0)</f>
        <v>FI-993</v>
      </c>
      <c r="AA24" s="118" t="str">
        <f>+VLOOKUP(Agencia[[#This Row],[Muestra]],Estructura!$M$4:$O$500,3,0)</f>
        <v>M-991</v>
      </c>
    </row>
    <row r="25" spans="1:27" ht="57.6" x14ac:dyDescent="0.3">
      <c r="A25" s="21" t="s">
        <v>418</v>
      </c>
      <c r="B25" s="9">
        <f t="shared" si="0"/>
        <v>990</v>
      </c>
      <c r="C25" s="10" t="str">
        <f t="shared" si="1"/>
        <v>Agencia Información</v>
      </c>
      <c r="D25" s="10" t="str">
        <f t="shared" si="2"/>
        <v>Socioeconómico</v>
      </c>
      <c r="E25" s="19">
        <v>13</v>
      </c>
      <c r="F25" s="10" t="s">
        <v>2368</v>
      </c>
      <c r="G25" s="18" t="s">
        <v>3761</v>
      </c>
      <c r="H25" s="35" t="str">
        <f t="shared" si="4"/>
        <v>Región</v>
      </c>
      <c r="I25" s="36" t="s">
        <v>380</v>
      </c>
      <c r="J25" s="9" t="s">
        <v>404</v>
      </c>
      <c r="K25" s="9" t="str">
        <f t="shared" si="3"/>
        <v>Ingresos Promedio Mensual por región</v>
      </c>
      <c r="L25" s="9" t="str">
        <f t="shared" si="5"/>
        <v>Periodo 2006-2017</v>
      </c>
      <c r="M25" s="9" t="str">
        <f t="shared" si="6"/>
        <v>CLP/mes</v>
      </c>
      <c r="N25" s="9" t="str">
        <f t="shared" si="7"/>
        <v>Encuestas CASEN</v>
      </c>
      <c r="O25" s="11" t="str">
        <f>"Evolución de Ingreso Promedio Mensual en la "&amp;Agencia[[#This Row],[territorio]]&amp;" para el "&amp;Agencia[[#This Row],[temporalidad]]</f>
        <v>Evolución de Ingreso Promedio Mensual en la Región Metropolitana para el Periodo 2006-2017</v>
      </c>
      <c r="P25" s="20"/>
      <c r="Q25" s="11" t="str">
        <f>+Q12</f>
        <v>Gráfico de Evolución</v>
      </c>
      <c r="R25" s="11" t="str">
        <f>Agencia[[#This Row],[territorio]]&amp;" ingresos CASEN mensual promedio"</f>
        <v>Región Metropolitana ingresos CASEN mensual promedio</v>
      </c>
      <c r="S25" s="39" t="str">
        <f>HYPERLINK("https://analytics.zoho.com/open-view/2395394000008161200?ZOHO_CRITERIA=%22Localiza%20Chile%22.%22Codreg%22%3D"&amp;Agencia[[#This Row],[Filtro URL]])</f>
        <v>https://analytics.zoho.com/open-view/2395394000008161200?ZOHO_CRITERIA=%22Localiza%20Chile%22.%22Codreg%22%3D13</v>
      </c>
      <c r="T25" s="68" t="str">
        <f>"200-R-"&amp;Agencia[[#This Row],[Filtro URL]]</f>
        <v>200-R-13</v>
      </c>
      <c r="U25" s="119" t="str">
        <f>+U12</f>
        <v>#1774B9</v>
      </c>
      <c r="V25" s="118" t="str">
        <f>+Agencia[[#This Row],[idcoleccion]]&amp;"-"&amp;Agencia[[#This Row],[id]]</f>
        <v>990-0014</v>
      </c>
      <c r="W25" s="118">
        <f>+VLOOKUP(Agencia[[#This Row],[Filtro URL]],Estructura!$X$4:$Y$500,2,0)</f>
        <v>99200013</v>
      </c>
      <c r="X25" s="118" t="str">
        <f>+VLOOKUP(Agencia[[#This Row],[tema]],Estructura!$A$4:$C$500,3,0)</f>
        <v>T-993</v>
      </c>
      <c r="Y25" s="118" t="str">
        <f>+VLOOKUP(Agencia[[#This Row],[contenido]],Estructura!$E$4:$G$500,3,0)</f>
        <v>C-995</v>
      </c>
      <c r="Z25" s="118" t="str">
        <f>+VLOOKUP(Agencia[[#This Row],[Filtro Integrado]],Estructura!$I$4:$K$500,3,0)</f>
        <v>FI-993</v>
      </c>
      <c r="AA25" s="118" t="str">
        <f>+VLOOKUP(Agencia[[#This Row],[Muestra]],Estructura!$M$4:$O$500,3,0)</f>
        <v>M-991</v>
      </c>
    </row>
    <row r="26" spans="1:27" ht="57.6" x14ac:dyDescent="0.3">
      <c r="A26" s="21" t="s">
        <v>419</v>
      </c>
      <c r="B26" s="9">
        <f t="shared" si="0"/>
        <v>990</v>
      </c>
      <c r="C26" s="10" t="str">
        <f t="shared" si="1"/>
        <v>Agencia Información</v>
      </c>
      <c r="D26" s="10" t="str">
        <f t="shared" si="2"/>
        <v>Socioeconómico</v>
      </c>
      <c r="E26" s="19">
        <v>14</v>
      </c>
      <c r="F26" s="10" t="s">
        <v>2368</v>
      </c>
      <c r="G26" s="18" t="s">
        <v>3761</v>
      </c>
      <c r="H26" s="35" t="str">
        <f t="shared" si="4"/>
        <v>Región</v>
      </c>
      <c r="I26" s="36" t="s">
        <v>381</v>
      </c>
      <c r="J26" s="9" t="s">
        <v>404</v>
      </c>
      <c r="K26" s="9" t="str">
        <f t="shared" si="3"/>
        <v>Ingresos Promedio Mensual por región</v>
      </c>
      <c r="L26" s="9" t="str">
        <f t="shared" si="5"/>
        <v>Periodo 2006-2017</v>
      </c>
      <c r="M26" s="9" t="str">
        <f t="shared" si="6"/>
        <v>CLP/mes</v>
      </c>
      <c r="N26" s="9" t="str">
        <f t="shared" si="7"/>
        <v>Encuestas CASEN</v>
      </c>
      <c r="O26" s="11" t="str">
        <f>"Evolución de Ingreso Promedio Mensual en la "&amp;Agencia[[#This Row],[territorio]]&amp;" para el "&amp;Agencia[[#This Row],[temporalidad]]</f>
        <v>Evolución de Ingreso Promedio Mensual en la Región de Los Ríos para el Periodo 2006-2017</v>
      </c>
      <c r="P26" s="20"/>
      <c r="Q26" s="11" t="str">
        <f>+Q12</f>
        <v>Gráfico de Evolución</v>
      </c>
      <c r="R26" s="11" t="str">
        <f>Agencia[[#This Row],[territorio]]&amp;" ingresos CASEN mensual promedio"</f>
        <v>Región de Los Ríos ingresos CASEN mensual promedio</v>
      </c>
      <c r="S26" s="39" t="str">
        <f>HYPERLINK("https://analytics.zoho.com/open-view/2395394000008161200?ZOHO_CRITERIA=%22Localiza%20Chile%22.%22Codreg%22%3D"&amp;Agencia[[#This Row],[Filtro URL]])</f>
        <v>https://analytics.zoho.com/open-view/2395394000008161200?ZOHO_CRITERIA=%22Localiza%20Chile%22.%22Codreg%22%3D14</v>
      </c>
      <c r="T26" s="68" t="str">
        <f>"100-R-"&amp;Agencia[[#This Row],[Filtro URL]]</f>
        <v>100-R-14</v>
      </c>
      <c r="U26" s="119" t="str">
        <f>+U12</f>
        <v>#1774B9</v>
      </c>
      <c r="V26" s="118" t="str">
        <f>+Agencia[[#This Row],[idcoleccion]]&amp;"-"&amp;Agencia[[#This Row],[id]]</f>
        <v>990-0015</v>
      </c>
      <c r="W26" s="118">
        <f>+VLOOKUP(Agencia[[#This Row],[Filtro URL]],Estructura!$X$4:$Y$500,2,0)</f>
        <v>99200014</v>
      </c>
      <c r="X26" s="118" t="str">
        <f>+VLOOKUP(Agencia[[#This Row],[tema]],Estructura!$A$4:$C$500,3,0)</f>
        <v>T-993</v>
      </c>
      <c r="Y26" s="118" t="str">
        <f>+VLOOKUP(Agencia[[#This Row],[contenido]],Estructura!$E$4:$G$500,3,0)</f>
        <v>C-995</v>
      </c>
      <c r="Z26" s="118" t="str">
        <f>+VLOOKUP(Agencia[[#This Row],[Filtro Integrado]],Estructura!$I$4:$K$500,3,0)</f>
        <v>FI-993</v>
      </c>
      <c r="AA26" s="118" t="str">
        <f>+VLOOKUP(Agencia[[#This Row],[Muestra]],Estructura!$M$4:$O$500,3,0)</f>
        <v>M-991</v>
      </c>
    </row>
    <row r="27" spans="1:27" ht="57.6" x14ac:dyDescent="0.3">
      <c r="A27" s="21" t="s">
        <v>420</v>
      </c>
      <c r="B27" s="9">
        <f t="shared" si="0"/>
        <v>990</v>
      </c>
      <c r="C27" s="10" t="str">
        <f t="shared" si="1"/>
        <v>Agencia Información</v>
      </c>
      <c r="D27" s="10" t="str">
        <f t="shared" si="2"/>
        <v>Socioeconómico</v>
      </c>
      <c r="E27" s="19">
        <v>15</v>
      </c>
      <c r="F27" s="10" t="s">
        <v>2368</v>
      </c>
      <c r="G27" s="18" t="s">
        <v>3761</v>
      </c>
      <c r="H27" s="35" t="str">
        <f t="shared" si="4"/>
        <v>Región</v>
      </c>
      <c r="I27" s="36" t="s">
        <v>382</v>
      </c>
      <c r="J27" s="9" t="s">
        <v>404</v>
      </c>
      <c r="K27" s="9" t="str">
        <f t="shared" si="3"/>
        <v>Ingresos Promedio Mensual por región</v>
      </c>
      <c r="L27" s="9" t="str">
        <f t="shared" si="5"/>
        <v>Periodo 2006-2017</v>
      </c>
      <c r="M27" s="9" t="str">
        <f t="shared" si="6"/>
        <v>CLP/mes</v>
      </c>
      <c r="N27" s="9" t="str">
        <f t="shared" si="7"/>
        <v>Encuestas CASEN</v>
      </c>
      <c r="O27" s="11" t="str">
        <f>"Evolución de Ingreso Promedio Mensual en la "&amp;Agencia[[#This Row],[territorio]]&amp;" para el "&amp;Agencia[[#This Row],[temporalidad]]</f>
        <v>Evolución de Ingreso Promedio Mensual en la Región de Arica y Parinacota para el Periodo 2006-2017</v>
      </c>
      <c r="P27" s="20"/>
      <c r="Q27" s="11" t="str">
        <f>+Q12</f>
        <v>Gráfico de Evolución</v>
      </c>
      <c r="R27" s="11" t="str">
        <f>Agencia[[#This Row],[territorio]]&amp;" ingresos CASEN mensual promedio"</f>
        <v>Región de Arica y Parinacota ingresos CASEN mensual promedio</v>
      </c>
      <c r="S27" s="39" t="str">
        <f>HYPERLINK("https://analytics.zoho.com/open-view/2395394000008161200?ZOHO_CRITERIA=%22Localiza%20Chile%22.%22Codreg%22%3D"&amp;Agencia[[#This Row],[Filtro URL]])</f>
        <v>https://analytics.zoho.com/open-view/2395394000008161200?ZOHO_CRITERIA=%22Localiza%20Chile%22.%22Codreg%22%3D15</v>
      </c>
      <c r="T27" s="68" t="str">
        <f>"100-R-"&amp;Agencia[[#This Row],[Filtro URL]]</f>
        <v>100-R-15</v>
      </c>
      <c r="U27" s="119" t="str">
        <f>+U12</f>
        <v>#1774B9</v>
      </c>
      <c r="V27" s="118" t="str">
        <f>+Agencia[[#This Row],[idcoleccion]]&amp;"-"&amp;Agencia[[#This Row],[id]]</f>
        <v>990-0016</v>
      </c>
      <c r="W27" s="118">
        <f>+VLOOKUP(Agencia[[#This Row],[Filtro URL]],Estructura!$X$4:$Y$500,2,0)</f>
        <v>99200015</v>
      </c>
      <c r="X27" s="118" t="str">
        <f>+VLOOKUP(Agencia[[#This Row],[tema]],Estructura!$A$4:$C$500,3,0)</f>
        <v>T-993</v>
      </c>
      <c r="Y27" s="118" t="str">
        <f>+VLOOKUP(Agencia[[#This Row],[contenido]],Estructura!$E$4:$G$500,3,0)</f>
        <v>C-995</v>
      </c>
      <c r="Z27" s="118" t="str">
        <f>+VLOOKUP(Agencia[[#This Row],[Filtro Integrado]],Estructura!$I$4:$K$500,3,0)</f>
        <v>FI-993</v>
      </c>
      <c r="AA27" s="118" t="str">
        <f>+VLOOKUP(Agencia[[#This Row],[Muestra]],Estructura!$M$4:$O$500,3,0)</f>
        <v>M-991</v>
      </c>
    </row>
    <row r="28" spans="1:27" ht="57.6" x14ac:dyDescent="0.3">
      <c r="A28" s="21" t="s">
        <v>421</v>
      </c>
      <c r="B28" s="9">
        <f t="shared" si="0"/>
        <v>990</v>
      </c>
      <c r="C28" s="10" t="str">
        <f t="shared" si="1"/>
        <v>Agencia Información</v>
      </c>
      <c r="D28" s="10" t="str">
        <f t="shared" si="2"/>
        <v>Socioeconómico</v>
      </c>
      <c r="E28" s="19">
        <v>16</v>
      </c>
      <c r="F28" s="10" t="s">
        <v>2368</v>
      </c>
      <c r="G28" s="18" t="s">
        <v>3761</v>
      </c>
      <c r="H28" s="35" t="str">
        <f t="shared" si="4"/>
        <v>Región</v>
      </c>
      <c r="I28" s="36" t="s">
        <v>383</v>
      </c>
      <c r="J28" s="9" t="s">
        <v>404</v>
      </c>
      <c r="K28" s="9" t="str">
        <f t="shared" si="3"/>
        <v>Ingresos Promedio Mensual por región</v>
      </c>
      <c r="L28" s="9" t="str">
        <f t="shared" si="5"/>
        <v>Periodo 2006-2017</v>
      </c>
      <c r="M28" s="9" t="str">
        <f t="shared" si="6"/>
        <v>CLP/mes</v>
      </c>
      <c r="N28" s="9" t="str">
        <f t="shared" si="7"/>
        <v>Encuestas CASEN</v>
      </c>
      <c r="O28" s="11" t="str">
        <f>"Evolución de Ingreso Promedio Mensual en la "&amp;Agencia[[#This Row],[territorio]]&amp;" para el "&amp;Agencia[[#This Row],[temporalidad]]</f>
        <v>Evolución de Ingreso Promedio Mensual en la Región de Ñuble para el Periodo 2006-2017</v>
      </c>
      <c r="P28" s="20"/>
      <c r="Q28" s="11" t="str">
        <f>+Q12</f>
        <v>Gráfico de Evolución</v>
      </c>
      <c r="R28" s="11" t="str">
        <f>Agencia[[#This Row],[territorio]]&amp;" ingresos CASEN mensual promedio"</f>
        <v>Región de Ñuble ingresos CASEN mensual promedio</v>
      </c>
      <c r="S28" s="39" t="str">
        <f>HYPERLINK("https://analytics.zoho.com/open-view/2395394000008161200?ZOHO_CRITERIA=%22Localiza%20Chile%22.%22Codreg%22%3D"&amp;Agencia[[#This Row],[Filtro URL]])</f>
        <v>https://analytics.zoho.com/open-view/2395394000008161200?ZOHO_CRITERIA=%22Localiza%20Chile%22.%22Codreg%22%3D16</v>
      </c>
      <c r="T28" s="68" t="str">
        <f>"100-R-"&amp;Agencia[[#This Row],[Filtro URL]]</f>
        <v>100-R-16</v>
      </c>
      <c r="U28" s="119" t="str">
        <f>+U12</f>
        <v>#1774B9</v>
      </c>
      <c r="V28" s="118" t="str">
        <f>+Agencia[[#This Row],[idcoleccion]]&amp;"-"&amp;Agencia[[#This Row],[id]]</f>
        <v>990-0017</v>
      </c>
      <c r="W28" s="118">
        <f>+VLOOKUP(Agencia[[#This Row],[Filtro URL]],Estructura!$X$4:$Y$500,2,0)</f>
        <v>99200016</v>
      </c>
      <c r="X28" s="118" t="str">
        <f>+VLOOKUP(Agencia[[#This Row],[tema]],Estructura!$A$4:$C$500,3,0)</f>
        <v>T-993</v>
      </c>
      <c r="Y28" s="118" t="str">
        <f>+VLOOKUP(Agencia[[#This Row],[contenido]],Estructura!$E$4:$G$500,3,0)</f>
        <v>C-995</v>
      </c>
      <c r="Z28" s="118" t="str">
        <f>+VLOOKUP(Agencia[[#This Row],[Filtro Integrado]],Estructura!$I$4:$K$500,3,0)</f>
        <v>FI-993</v>
      </c>
      <c r="AA28" s="118" t="str">
        <f>+VLOOKUP(Agencia[[#This Row],[Muestra]],Estructura!$M$4:$O$500,3,0)</f>
        <v>M-991</v>
      </c>
    </row>
    <row r="29" spans="1:27" ht="51" x14ac:dyDescent="0.3">
      <c r="A29" s="21" t="s">
        <v>1502</v>
      </c>
      <c r="B29" s="9">
        <f t="shared" si="0"/>
        <v>990</v>
      </c>
      <c r="C29" s="10" t="str">
        <f t="shared" si="1"/>
        <v>Agencia Información</v>
      </c>
      <c r="D29" s="10" t="s">
        <v>14</v>
      </c>
      <c r="E29" s="14">
        <v>0</v>
      </c>
      <c r="F29" s="10" t="s">
        <v>6251</v>
      </c>
      <c r="G29" s="18" t="s">
        <v>7427</v>
      </c>
      <c r="H29" s="33" t="s">
        <v>20</v>
      </c>
      <c r="I29" s="34" t="s">
        <v>15</v>
      </c>
      <c r="J29" s="9" t="s">
        <v>1032</v>
      </c>
      <c r="K29" s="9" t="s">
        <v>838</v>
      </c>
      <c r="L29" s="9" t="s">
        <v>425</v>
      </c>
      <c r="M29" s="9" t="s">
        <v>426</v>
      </c>
      <c r="N29" s="9" t="s">
        <v>431</v>
      </c>
      <c r="O29" s="27" t="s">
        <v>427</v>
      </c>
      <c r="P29" s="27" t="s">
        <v>432</v>
      </c>
      <c r="Q29" s="11" t="str">
        <f>+Q12</f>
        <v>Gráfico de Evolución</v>
      </c>
      <c r="R29" s="11" t="str">
        <f>Agencia[[#This Row],[territorio]]&amp;" educación municipal PSU alumnos calidad colegios municipales"</f>
        <v>Chile educación municipal PSU alumnos calidad colegios municipales</v>
      </c>
      <c r="S29" s="39" t="s">
        <v>1060</v>
      </c>
      <c r="T29" s="68" t="s">
        <v>1033</v>
      </c>
      <c r="U29" s="117" t="str">
        <f>+U12</f>
        <v>#1774B9</v>
      </c>
      <c r="V29" s="118" t="str">
        <f>+Agencia[[#This Row],[idcoleccion]]&amp;"-"&amp;Agencia[[#This Row],[id]]</f>
        <v>990-0018</v>
      </c>
      <c r="W29" s="118">
        <f>+VLOOKUP(Agencia[[#This Row],[Filtro URL]],Estructura!$X$4:$Y$500,2,0)</f>
        <v>99100000</v>
      </c>
      <c r="X29" s="118" t="str">
        <f>+VLOOKUP(Agencia[[#This Row],[tema]],Estructura!$A$4:$C$500,3,0)</f>
        <v>T-1060</v>
      </c>
      <c r="Y29" s="118" t="str">
        <f>+VLOOKUP(Agencia[[#This Row],[contenido]],Estructura!$E$4:$G$500,3,0)</f>
        <v>C-1018</v>
      </c>
      <c r="Z29" s="118" t="str">
        <f>+VLOOKUP(Agencia[[#This Row],[Filtro Integrado]],Estructura!$I$4:$K$500,3,0)</f>
        <v>FI-994</v>
      </c>
      <c r="AA29" s="118" t="str">
        <f>+VLOOKUP(Agencia[[#This Row],[Muestra]],Estructura!$M$4:$O$500,3,0)</f>
        <v>M-992</v>
      </c>
    </row>
    <row r="30" spans="1:27" ht="57.6" x14ac:dyDescent="0.3">
      <c r="A30" s="21" t="s">
        <v>422</v>
      </c>
      <c r="B30" s="24">
        <f>+B29</f>
        <v>990</v>
      </c>
      <c r="C30" s="25" t="str">
        <f>+C29</f>
        <v>Agencia Información</v>
      </c>
      <c r="D30" s="25" t="str">
        <f>+D29</f>
        <v>Educación</v>
      </c>
      <c r="E30" s="19">
        <v>1</v>
      </c>
      <c r="F30" s="10" t="s">
        <v>6251</v>
      </c>
      <c r="G30" s="18" t="s">
        <v>7427</v>
      </c>
      <c r="H30" s="35" t="s">
        <v>16</v>
      </c>
      <c r="I30" s="36" t="s">
        <v>368</v>
      </c>
      <c r="J30" s="24" t="s">
        <v>18</v>
      </c>
      <c r="K30" s="24" t="s">
        <v>838</v>
      </c>
      <c r="L30" s="24" t="str">
        <f>+L29</f>
        <v>Periodo 2001-2020</v>
      </c>
      <c r="M30" s="24" t="str">
        <f>+M29</f>
        <v>Porcentaje (%)</v>
      </c>
      <c r="N30" s="24" t="str">
        <f>+N29</f>
        <v>Sistema Nacional de Información Municipal</v>
      </c>
      <c r="O30" s="27" t="str">
        <f>"Proporción de Alumnos de 4to Medio con más de 450 puntos en la PSU según dependencia de colegios en la "&amp;Agencia[[#This Row],[territorio]]</f>
        <v>Proporción de Alumnos de 4to Medio con más de 450 puntos en la PSU según dependencia de colegios en la Región de Tarapacá</v>
      </c>
      <c r="P30" s="27"/>
      <c r="Q30" s="28" t="str">
        <f>+Q29</f>
        <v>Gráfico de Evolución</v>
      </c>
      <c r="R30" s="11" t="str">
        <f>Agencia[[#This Row],[territorio]]&amp;" educación municipal PSU alumnos calidad colegios municipales"</f>
        <v>Región de Tarapacá educación municipal PSU alumnos calidad colegios municipales</v>
      </c>
      <c r="S30" s="39" t="str">
        <f>HYPERLINK("https://analytics.zoho.com/open-view/2395394000007732994?ZOHO_CRITERIA=%22Localiza%20CL%22.%22Codreg%22%3D"&amp;Agencia[[#This Row],[Filtro URL]])</f>
        <v>https://analytics.zoho.com/open-view/2395394000007732994?ZOHO_CRITERIA=%22Localiza%20CL%22.%22Codreg%22%3D1</v>
      </c>
      <c r="T30" s="69" t="str">
        <f>"100-C-"&amp;Agencia[[#This Row],[Filtro URL]]</f>
        <v>100-C-1</v>
      </c>
      <c r="U30" s="120" t="str">
        <f>+U29</f>
        <v>#1774B9</v>
      </c>
      <c r="V30" s="118" t="str">
        <f>+Agencia[[#This Row],[idcoleccion]]&amp;"-"&amp;Agencia[[#This Row],[id]]</f>
        <v>990-0019</v>
      </c>
      <c r="W30" s="118">
        <f>+VLOOKUP(Agencia[[#This Row],[Filtro URL]],Estructura!$X$4:$Y$500,2,0)</f>
        <v>99200001</v>
      </c>
      <c r="X30" s="118" t="str">
        <f>+VLOOKUP(Agencia[[#This Row],[tema]],Estructura!$A$4:$C$500,3,0)</f>
        <v>T-1060</v>
      </c>
      <c r="Y30" s="118" t="str">
        <f>+VLOOKUP(Agencia[[#This Row],[contenido]],Estructura!$E$4:$G$500,3,0)</f>
        <v>C-1018</v>
      </c>
      <c r="Z30" s="118" t="str">
        <f>+VLOOKUP(Agencia[[#This Row],[Filtro Integrado]],Estructura!$I$4:$K$500,3,0)</f>
        <v>FI-991</v>
      </c>
      <c r="AA30" s="118" t="str">
        <f>+VLOOKUP(Agencia[[#This Row],[Muestra]],Estructura!$M$4:$O$500,3,0)</f>
        <v>M-992</v>
      </c>
    </row>
    <row r="31" spans="1:27" ht="57.6" x14ac:dyDescent="0.3">
      <c r="A31" s="21" t="s">
        <v>428</v>
      </c>
      <c r="B31" s="24">
        <f t="shared" ref="B31:B32" si="8">+B30</f>
        <v>990</v>
      </c>
      <c r="C31" s="25" t="str">
        <f t="shared" ref="C31:C32" si="9">+C30</f>
        <v>Agencia Información</v>
      </c>
      <c r="D31" s="25" t="str">
        <f t="shared" ref="D31:D32" si="10">+D30</f>
        <v>Educación</v>
      </c>
      <c r="E31" s="19">
        <v>2</v>
      </c>
      <c r="F31" s="10" t="s">
        <v>6251</v>
      </c>
      <c r="G31" s="18" t="s">
        <v>7427</v>
      </c>
      <c r="H31" s="35" t="str">
        <f>+H30</f>
        <v>Región</v>
      </c>
      <c r="I31" s="36" t="s">
        <v>369</v>
      </c>
      <c r="J31" s="24" t="str">
        <f t="shared" ref="J31:J32" si="11">+J30</f>
        <v>Comuna</v>
      </c>
      <c r="K31" s="24" t="str">
        <f t="shared" ref="K31:K32" si="12">+K30</f>
        <v>Proporción alumnos sobre 450 pts PSU por comuna</v>
      </c>
      <c r="L31" s="24" t="str">
        <f t="shared" ref="L31:L32" si="13">+L30</f>
        <v>Periodo 2001-2020</v>
      </c>
      <c r="M31" s="24" t="str">
        <f t="shared" ref="M31:M32" si="14">+M30</f>
        <v>Porcentaje (%)</v>
      </c>
      <c r="N31" s="24" t="str">
        <f t="shared" ref="N31:N32" si="15">+N30</f>
        <v>Sistema Nacional de Información Municipal</v>
      </c>
      <c r="O31" s="27" t="str">
        <f>"Proporción de Alumnos de 4to Medio con más de 450 puntos en la PSU según dependencia de colegios en la "&amp;Agencia[[#This Row],[territorio]]</f>
        <v>Proporción de Alumnos de 4to Medio con más de 450 puntos en la PSU según dependencia de colegios en la Región de Antofagasta</v>
      </c>
      <c r="P31" s="20"/>
      <c r="Q31" s="11" t="str">
        <f>+Q30</f>
        <v>Gráfico de Evolución</v>
      </c>
      <c r="R31" s="11" t="str">
        <f>Agencia[[#This Row],[territorio]]&amp;" educación municipal PSU alumnos calidad colegios municipales"</f>
        <v>Región de Antofagasta educación municipal PSU alumnos calidad colegios municipales</v>
      </c>
      <c r="S31" s="39" t="str">
        <f>HYPERLINK("https://analytics.zoho.com/open-view/2395394000007732994?ZOHO_CRITERIA=%22Localiza%20CL%22.%22Codreg%22%3D"&amp;Agencia[[#This Row],[Filtro URL]])</f>
        <v>https://analytics.zoho.com/open-view/2395394000007732994?ZOHO_CRITERIA=%22Localiza%20CL%22.%22Codreg%22%3D2</v>
      </c>
      <c r="T31" s="69" t="str">
        <f>"100-C-"&amp;Agencia[[#This Row],[Filtro URL]]</f>
        <v>100-C-2</v>
      </c>
      <c r="U31" s="50" t="str">
        <f>+U30</f>
        <v>#1774B9</v>
      </c>
      <c r="V31" s="118" t="str">
        <f>+Agencia[[#This Row],[idcoleccion]]&amp;"-"&amp;Agencia[[#This Row],[id]]</f>
        <v>990-0020</v>
      </c>
      <c r="W31" s="118">
        <f>+VLOOKUP(Agencia[[#This Row],[Filtro URL]],Estructura!$X$4:$Y$500,2,0)</f>
        <v>99200002</v>
      </c>
      <c r="X31" s="118" t="str">
        <f>+VLOOKUP(Agencia[[#This Row],[tema]],Estructura!$A$4:$C$500,3,0)</f>
        <v>T-1060</v>
      </c>
      <c r="Y31" s="118" t="str">
        <f>+VLOOKUP(Agencia[[#This Row],[contenido]],Estructura!$E$4:$G$500,3,0)</f>
        <v>C-1018</v>
      </c>
      <c r="Z31" s="118" t="str">
        <f>+VLOOKUP(Agencia[[#This Row],[Filtro Integrado]],Estructura!$I$4:$K$500,3,0)</f>
        <v>FI-991</v>
      </c>
      <c r="AA31" s="118" t="str">
        <f>+VLOOKUP(Agencia[[#This Row],[Muestra]],Estructura!$M$4:$O$500,3,0)</f>
        <v>M-992</v>
      </c>
    </row>
    <row r="32" spans="1:27" ht="57.6" x14ac:dyDescent="0.3">
      <c r="A32" s="21" t="s">
        <v>429</v>
      </c>
      <c r="B32" s="24">
        <f t="shared" si="8"/>
        <v>990</v>
      </c>
      <c r="C32" s="25" t="str">
        <f t="shared" si="9"/>
        <v>Agencia Información</v>
      </c>
      <c r="D32" s="25" t="str">
        <f t="shared" si="10"/>
        <v>Educación</v>
      </c>
      <c r="E32" s="19">
        <v>3</v>
      </c>
      <c r="F32" s="10" t="s">
        <v>6251</v>
      </c>
      <c r="G32" s="18" t="s">
        <v>7427</v>
      </c>
      <c r="H32" s="35" t="str">
        <f t="shared" ref="H32:H45" si="16">+H31</f>
        <v>Región</v>
      </c>
      <c r="I32" s="36" t="s">
        <v>370</v>
      </c>
      <c r="J32" s="24" t="str">
        <f t="shared" si="11"/>
        <v>Comuna</v>
      </c>
      <c r="K32" s="24" t="str">
        <f t="shared" si="12"/>
        <v>Proporción alumnos sobre 450 pts PSU por comuna</v>
      </c>
      <c r="L32" s="24" t="str">
        <f t="shared" si="13"/>
        <v>Periodo 2001-2020</v>
      </c>
      <c r="M32" s="24" t="str">
        <f t="shared" si="14"/>
        <v>Porcentaje (%)</v>
      </c>
      <c r="N32" s="24" t="str">
        <f t="shared" si="15"/>
        <v>Sistema Nacional de Información Municipal</v>
      </c>
      <c r="O32" s="27" t="str">
        <f>"Proporción de Alumnos de 4to Medio con más de 450 puntos en la PSU según dependencia de colegios en la "&amp;Agencia[[#This Row],[territorio]]</f>
        <v>Proporción de Alumnos de 4to Medio con más de 450 puntos en la PSU según dependencia de colegios en la Región de Atacama</v>
      </c>
      <c r="P32" s="20"/>
      <c r="Q32" s="11" t="str">
        <f>+Q31</f>
        <v>Gráfico de Evolución</v>
      </c>
      <c r="R32" s="11" t="str">
        <f>Agencia[[#This Row],[territorio]]&amp;" educación municipal PSU alumnos calidad colegios municipales"</f>
        <v>Región de Atacama educación municipal PSU alumnos calidad colegios municipales</v>
      </c>
      <c r="S32" s="39" t="str">
        <f>HYPERLINK("https://analytics.zoho.com/open-view/2395394000007732994?ZOHO_CRITERIA=%22Localiza%20CL%22.%22Codreg%22%3D"&amp;Agencia[[#This Row],[Filtro URL]])</f>
        <v>https://analytics.zoho.com/open-view/2395394000007732994?ZOHO_CRITERIA=%22Localiza%20CL%22.%22Codreg%22%3D3</v>
      </c>
      <c r="T32" s="69" t="str">
        <f>"100-C-"&amp;Agencia[[#This Row],[Filtro URL]]</f>
        <v>100-C-3</v>
      </c>
      <c r="U32" s="50" t="str">
        <f>+U31</f>
        <v>#1774B9</v>
      </c>
      <c r="V32" s="118" t="str">
        <f>+Agencia[[#This Row],[idcoleccion]]&amp;"-"&amp;Agencia[[#This Row],[id]]</f>
        <v>990-0021</v>
      </c>
      <c r="W32" s="118">
        <f>+VLOOKUP(Agencia[[#This Row],[Filtro URL]],Estructura!$X$4:$Y$500,2,0)</f>
        <v>99200003</v>
      </c>
      <c r="X32" s="118" t="str">
        <f>+VLOOKUP(Agencia[[#This Row],[tema]],Estructura!$A$4:$C$500,3,0)</f>
        <v>T-1060</v>
      </c>
      <c r="Y32" s="118" t="str">
        <f>+VLOOKUP(Agencia[[#This Row],[contenido]],Estructura!$E$4:$G$500,3,0)</f>
        <v>C-1018</v>
      </c>
      <c r="Z32" s="118" t="str">
        <f>+VLOOKUP(Agencia[[#This Row],[Filtro Integrado]],Estructura!$I$4:$K$500,3,0)</f>
        <v>FI-991</v>
      </c>
      <c r="AA32" s="118" t="str">
        <f>+VLOOKUP(Agencia[[#This Row],[Muestra]],Estructura!$M$4:$O$500,3,0)</f>
        <v>M-992</v>
      </c>
    </row>
    <row r="33" spans="1:27" ht="57.6" x14ac:dyDescent="0.3">
      <c r="A33" s="21" t="s">
        <v>430</v>
      </c>
      <c r="B33" s="24">
        <f t="shared" ref="B33:B45" si="17">+B32</f>
        <v>990</v>
      </c>
      <c r="C33" s="25" t="str">
        <f t="shared" ref="C33:C45" si="18">+C32</f>
        <v>Agencia Información</v>
      </c>
      <c r="D33" s="25" t="str">
        <f t="shared" ref="D33:D45" si="19">+D32</f>
        <v>Educación</v>
      </c>
      <c r="E33" s="19">
        <v>4</v>
      </c>
      <c r="F33" s="10" t="s">
        <v>6251</v>
      </c>
      <c r="G33" s="18" t="s">
        <v>7427</v>
      </c>
      <c r="H33" s="35" t="str">
        <f t="shared" si="16"/>
        <v>Región</v>
      </c>
      <c r="I33" s="36" t="s">
        <v>371</v>
      </c>
      <c r="J33" s="24" t="str">
        <f t="shared" ref="J33:J45" si="20">+J32</f>
        <v>Comuna</v>
      </c>
      <c r="K33" s="24" t="str">
        <f t="shared" ref="K33:K45" si="21">+K32</f>
        <v>Proporción alumnos sobre 450 pts PSU por comuna</v>
      </c>
      <c r="L33" s="24" t="str">
        <f t="shared" ref="L33:L45" si="22">+L32</f>
        <v>Periodo 2001-2020</v>
      </c>
      <c r="M33" s="24" t="str">
        <f t="shared" ref="M33:M45" si="23">+M32</f>
        <v>Porcentaje (%)</v>
      </c>
      <c r="N33" s="24" t="str">
        <f t="shared" ref="N33:N45" si="24">+N32</f>
        <v>Sistema Nacional de Información Municipal</v>
      </c>
      <c r="O33" s="27" t="str">
        <f>"Proporción de Alumnos de 4to Medio con más de 450 puntos en la PSU según dependencia de colegios en la "&amp;Agencia[[#This Row],[territorio]]</f>
        <v>Proporción de Alumnos de 4to Medio con más de 450 puntos en la PSU según dependencia de colegios en la Región de Coquimbo</v>
      </c>
      <c r="P33" s="20"/>
      <c r="Q33" s="11" t="str">
        <f t="shared" ref="Q33:Q34" si="25">+Q32</f>
        <v>Gráfico de Evolución</v>
      </c>
      <c r="R33" s="11" t="str">
        <f>Agencia[[#This Row],[territorio]]&amp;" educación municipal PSU alumnos calidad colegios municipales"</f>
        <v>Región de Coquimbo educación municipal PSU alumnos calidad colegios municipales</v>
      </c>
      <c r="S33" s="39" t="str">
        <f>HYPERLINK("https://analytics.zoho.com/open-view/2395394000007732994?ZOHO_CRITERIA=%22Localiza%20CL%22.%22Codreg%22%3D"&amp;Agencia[[#This Row],[Filtro URL]])</f>
        <v>https://analytics.zoho.com/open-view/2395394000007732994?ZOHO_CRITERIA=%22Localiza%20CL%22.%22Codreg%22%3D4</v>
      </c>
      <c r="T33" s="69" t="str">
        <f>"100-C-"&amp;Agencia[[#This Row],[Filtro URL]]</f>
        <v>100-C-4</v>
      </c>
      <c r="U33" s="50" t="str">
        <f t="shared" ref="U33:U34" si="26">+U32</f>
        <v>#1774B9</v>
      </c>
      <c r="V33" s="118" t="str">
        <f>+Agencia[[#This Row],[idcoleccion]]&amp;"-"&amp;Agencia[[#This Row],[id]]</f>
        <v>990-0022</v>
      </c>
      <c r="W33" s="118">
        <f>+VLOOKUP(Agencia[[#This Row],[Filtro URL]],Estructura!$X$4:$Y$500,2,0)</f>
        <v>99200004</v>
      </c>
      <c r="X33" s="118" t="str">
        <f>+VLOOKUP(Agencia[[#This Row],[tema]],Estructura!$A$4:$C$500,3,0)</f>
        <v>T-1060</v>
      </c>
      <c r="Y33" s="118" t="str">
        <f>+VLOOKUP(Agencia[[#This Row],[contenido]],Estructura!$E$4:$G$500,3,0)</f>
        <v>C-1018</v>
      </c>
      <c r="Z33" s="118" t="str">
        <f>+VLOOKUP(Agencia[[#This Row],[Filtro Integrado]],Estructura!$I$4:$K$500,3,0)</f>
        <v>FI-991</v>
      </c>
      <c r="AA33" s="118" t="str">
        <f>+VLOOKUP(Agencia[[#This Row],[Muestra]],Estructura!$M$4:$O$500,3,0)</f>
        <v>M-992</v>
      </c>
    </row>
    <row r="34" spans="1:27" ht="57.6" x14ac:dyDescent="0.3">
      <c r="A34" s="21" t="s">
        <v>433</v>
      </c>
      <c r="B34" s="24">
        <f t="shared" si="17"/>
        <v>990</v>
      </c>
      <c r="C34" s="25" t="str">
        <f t="shared" si="18"/>
        <v>Agencia Información</v>
      </c>
      <c r="D34" s="25" t="str">
        <f t="shared" si="19"/>
        <v>Educación</v>
      </c>
      <c r="E34" s="19">
        <v>5</v>
      </c>
      <c r="F34" s="10" t="s">
        <v>6251</v>
      </c>
      <c r="G34" s="18" t="s">
        <v>7427</v>
      </c>
      <c r="H34" s="35" t="str">
        <f t="shared" si="16"/>
        <v>Región</v>
      </c>
      <c r="I34" s="36" t="s">
        <v>372</v>
      </c>
      <c r="J34" s="24" t="str">
        <f t="shared" si="20"/>
        <v>Comuna</v>
      </c>
      <c r="K34" s="24" t="str">
        <f t="shared" si="21"/>
        <v>Proporción alumnos sobre 450 pts PSU por comuna</v>
      </c>
      <c r="L34" s="24" t="str">
        <f t="shared" si="22"/>
        <v>Periodo 2001-2020</v>
      </c>
      <c r="M34" s="24" t="str">
        <f t="shared" si="23"/>
        <v>Porcentaje (%)</v>
      </c>
      <c r="N34" s="24" t="str">
        <f t="shared" si="24"/>
        <v>Sistema Nacional de Información Municipal</v>
      </c>
      <c r="O34" s="27" t="str">
        <f>"Proporción de Alumnos de 4to Medio con más de 450 puntos en la PSU según dependencia de colegios en la "&amp;Agencia[[#This Row],[territorio]]</f>
        <v>Proporción de Alumnos de 4to Medio con más de 450 puntos en la PSU según dependencia de colegios en la Región de Valparaíso</v>
      </c>
      <c r="P34" s="27"/>
      <c r="Q34" s="28" t="str">
        <f t="shared" si="25"/>
        <v>Gráfico de Evolución</v>
      </c>
      <c r="R34" s="11" t="str">
        <f>Agencia[[#This Row],[territorio]]&amp;" educación municipal PSU alumnos calidad colegios municipales"</f>
        <v>Región de Valparaíso educación municipal PSU alumnos calidad colegios municipales</v>
      </c>
      <c r="S34" s="39" t="str">
        <f>HYPERLINK("https://analytics.zoho.com/open-view/2395394000007732994?ZOHO_CRITERIA=%22Localiza%20CL%22.%22Codreg%22%3D"&amp;Agencia[[#This Row],[Filtro URL]])</f>
        <v>https://analytics.zoho.com/open-view/2395394000007732994?ZOHO_CRITERIA=%22Localiza%20CL%22.%22Codreg%22%3D5</v>
      </c>
      <c r="T34" s="69" t="str">
        <f>"100-C-"&amp;Agencia[[#This Row],[Filtro URL]]</f>
        <v>100-C-5</v>
      </c>
      <c r="U34" s="120" t="str">
        <f t="shared" si="26"/>
        <v>#1774B9</v>
      </c>
      <c r="V34" s="118" t="str">
        <f>+Agencia[[#This Row],[idcoleccion]]&amp;"-"&amp;Agencia[[#This Row],[id]]</f>
        <v>990-0023</v>
      </c>
      <c r="W34" s="118">
        <f>+VLOOKUP(Agencia[[#This Row],[Filtro URL]],Estructura!$X$4:$Y$500,2,0)</f>
        <v>99200005</v>
      </c>
      <c r="X34" s="118" t="str">
        <f>+VLOOKUP(Agencia[[#This Row],[tema]],Estructura!$A$4:$C$500,3,0)</f>
        <v>T-1060</v>
      </c>
      <c r="Y34" s="118" t="str">
        <f>+VLOOKUP(Agencia[[#This Row],[contenido]],Estructura!$E$4:$G$500,3,0)</f>
        <v>C-1018</v>
      </c>
      <c r="Z34" s="118" t="str">
        <f>+VLOOKUP(Agencia[[#This Row],[Filtro Integrado]],Estructura!$I$4:$K$500,3,0)</f>
        <v>FI-991</v>
      </c>
      <c r="AA34" s="118" t="str">
        <f>+VLOOKUP(Agencia[[#This Row],[Muestra]],Estructura!$M$4:$O$500,3,0)</f>
        <v>M-992</v>
      </c>
    </row>
    <row r="35" spans="1:27" ht="57.6" x14ac:dyDescent="0.3">
      <c r="A35" s="21" t="s">
        <v>434</v>
      </c>
      <c r="B35" s="24">
        <f t="shared" si="17"/>
        <v>990</v>
      </c>
      <c r="C35" s="25" t="str">
        <f t="shared" si="18"/>
        <v>Agencia Información</v>
      </c>
      <c r="D35" s="25" t="str">
        <f t="shared" si="19"/>
        <v>Educación</v>
      </c>
      <c r="E35" s="19">
        <v>6</v>
      </c>
      <c r="F35" s="10" t="s">
        <v>6251</v>
      </c>
      <c r="G35" s="18" t="s">
        <v>7427</v>
      </c>
      <c r="H35" s="35" t="str">
        <f t="shared" si="16"/>
        <v>Región</v>
      </c>
      <c r="I35" s="36" t="s">
        <v>373</v>
      </c>
      <c r="J35" s="24" t="str">
        <f t="shared" si="20"/>
        <v>Comuna</v>
      </c>
      <c r="K35" s="24" t="str">
        <f t="shared" si="21"/>
        <v>Proporción alumnos sobre 450 pts PSU por comuna</v>
      </c>
      <c r="L35" s="24" t="str">
        <f t="shared" si="22"/>
        <v>Periodo 2001-2020</v>
      </c>
      <c r="M35" s="24" t="str">
        <f t="shared" si="23"/>
        <v>Porcentaje (%)</v>
      </c>
      <c r="N35" s="24" t="str">
        <f t="shared" si="24"/>
        <v>Sistema Nacional de Información Municipal</v>
      </c>
      <c r="O35" s="27" t="str">
        <f>"Proporción de Alumnos de 4to Medio con más de 450 puntos en la PSU según dependencia de colegios en la "&amp;Agencia[[#This Row],[territorio]]</f>
        <v>Proporción de Alumnos de 4to Medio con más de 450 puntos en la PSU según dependencia de colegios en la Región de O'Higgins</v>
      </c>
      <c r="P35" s="20"/>
      <c r="Q35" s="11" t="str">
        <f t="shared" ref="Q35:Q45" si="27">+Q34</f>
        <v>Gráfico de Evolución</v>
      </c>
      <c r="R35" s="11" t="str">
        <f>Agencia[[#This Row],[territorio]]&amp;" educación municipal PSU alumnos calidad colegios municipales"</f>
        <v>Región de O'Higgins educación municipal PSU alumnos calidad colegios municipales</v>
      </c>
      <c r="S35" s="39" t="str">
        <f>HYPERLINK("https://analytics.zoho.com/open-view/2395394000007732994?ZOHO_CRITERIA=%22Localiza%20CL%22.%22Codreg%22%3D"&amp;Agencia[[#This Row],[Filtro URL]])</f>
        <v>https://analytics.zoho.com/open-view/2395394000007732994?ZOHO_CRITERIA=%22Localiza%20CL%22.%22Codreg%22%3D6</v>
      </c>
      <c r="T35" s="69" t="str">
        <f>"100-C-"&amp;Agencia[[#This Row],[Filtro URL]]</f>
        <v>100-C-6</v>
      </c>
      <c r="U35" s="50" t="str">
        <f t="shared" ref="U35:U45" si="28">+U34</f>
        <v>#1774B9</v>
      </c>
      <c r="V35" s="118" t="str">
        <f>+Agencia[[#This Row],[idcoleccion]]&amp;"-"&amp;Agencia[[#This Row],[id]]</f>
        <v>990-0024</v>
      </c>
      <c r="W35" s="118">
        <f>+VLOOKUP(Agencia[[#This Row],[Filtro URL]],Estructura!$X$4:$Y$500,2,0)</f>
        <v>99200006</v>
      </c>
      <c r="X35" s="118" t="str">
        <f>+VLOOKUP(Agencia[[#This Row],[tema]],Estructura!$A$4:$C$500,3,0)</f>
        <v>T-1060</v>
      </c>
      <c r="Y35" s="118" t="str">
        <f>+VLOOKUP(Agencia[[#This Row],[contenido]],Estructura!$E$4:$G$500,3,0)</f>
        <v>C-1018</v>
      </c>
      <c r="Z35" s="118" t="str">
        <f>+VLOOKUP(Agencia[[#This Row],[Filtro Integrado]],Estructura!$I$4:$K$500,3,0)</f>
        <v>FI-991</v>
      </c>
      <c r="AA35" s="118" t="str">
        <f>+VLOOKUP(Agencia[[#This Row],[Muestra]],Estructura!$M$4:$O$500,3,0)</f>
        <v>M-992</v>
      </c>
    </row>
    <row r="36" spans="1:27" ht="57.6" x14ac:dyDescent="0.3">
      <c r="A36" s="21" t="s">
        <v>435</v>
      </c>
      <c r="B36" s="24">
        <f t="shared" si="17"/>
        <v>990</v>
      </c>
      <c r="C36" s="25" t="str">
        <f t="shared" si="18"/>
        <v>Agencia Información</v>
      </c>
      <c r="D36" s="25" t="str">
        <f t="shared" si="19"/>
        <v>Educación</v>
      </c>
      <c r="E36" s="19">
        <v>7</v>
      </c>
      <c r="F36" s="10" t="s">
        <v>6251</v>
      </c>
      <c r="G36" s="18" t="s">
        <v>7427</v>
      </c>
      <c r="H36" s="35" t="str">
        <f t="shared" si="16"/>
        <v>Región</v>
      </c>
      <c r="I36" s="36" t="s">
        <v>374</v>
      </c>
      <c r="J36" s="24" t="str">
        <f t="shared" si="20"/>
        <v>Comuna</v>
      </c>
      <c r="K36" s="24" t="str">
        <f t="shared" si="21"/>
        <v>Proporción alumnos sobre 450 pts PSU por comuna</v>
      </c>
      <c r="L36" s="24" t="str">
        <f t="shared" si="22"/>
        <v>Periodo 2001-2020</v>
      </c>
      <c r="M36" s="24" t="str">
        <f t="shared" si="23"/>
        <v>Porcentaje (%)</v>
      </c>
      <c r="N36" s="24" t="str">
        <f t="shared" si="24"/>
        <v>Sistema Nacional de Información Municipal</v>
      </c>
      <c r="O36" s="27" t="str">
        <f>"Proporción de Alumnos de 4to Medio con más de 450 puntos en la PSU según dependencia de colegios en la "&amp;Agencia[[#This Row],[territorio]]</f>
        <v>Proporción de Alumnos de 4to Medio con más de 450 puntos en la PSU según dependencia de colegios en la Región de Maule</v>
      </c>
      <c r="P36" s="20"/>
      <c r="Q36" s="11" t="str">
        <f t="shared" si="27"/>
        <v>Gráfico de Evolución</v>
      </c>
      <c r="R36" s="11" t="str">
        <f>Agencia[[#This Row],[territorio]]&amp;" educación municipal PSU alumnos calidad colegios municipales"</f>
        <v>Región de Maule educación municipal PSU alumnos calidad colegios municipales</v>
      </c>
      <c r="S36" s="39" t="str">
        <f>HYPERLINK("https://analytics.zoho.com/open-view/2395394000007732994?ZOHO_CRITERIA=%22Localiza%20CL%22.%22Codreg%22%3D"&amp;Agencia[[#This Row],[Filtro URL]])</f>
        <v>https://analytics.zoho.com/open-view/2395394000007732994?ZOHO_CRITERIA=%22Localiza%20CL%22.%22Codreg%22%3D7</v>
      </c>
      <c r="T36" s="69" t="str">
        <f>"100-C-"&amp;Agencia[[#This Row],[Filtro URL]]</f>
        <v>100-C-7</v>
      </c>
      <c r="U36" s="50" t="str">
        <f t="shared" si="28"/>
        <v>#1774B9</v>
      </c>
      <c r="V36" s="118" t="str">
        <f>+Agencia[[#This Row],[idcoleccion]]&amp;"-"&amp;Agencia[[#This Row],[id]]</f>
        <v>990-0025</v>
      </c>
      <c r="W36" s="118">
        <f>+VLOOKUP(Agencia[[#This Row],[Filtro URL]],Estructura!$X$4:$Y$500,2,0)</f>
        <v>99200007</v>
      </c>
      <c r="X36" s="118" t="str">
        <f>+VLOOKUP(Agencia[[#This Row],[tema]],Estructura!$A$4:$C$500,3,0)</f>
        <v>T-1060</v>
      </c>
      <c r="Y36" s="118" t="str">
        <f>+VLOOKUP(Agencia[[#This Row],[contenido]],Estructura!$E$4:$G$500,3,0)</f>
        <v>C-1018</v>
      </c>
      <c r="Z36" s="118" t="str">
        <f>+VLOOKUP(Agencia[[#This Row],[Filtro Integrado]],Estructura!$I$4:$K$500,3,0)</f>
        <v>FI-991</v>
      </c>
      <c r="AA36" s="118" t="str">
        <f>+VLOOKUP(Agencia[[#This Row],[Muestra]],Estructura!$M$4:$O$500,3,0)</f>
        <v>M-992</v>
      </c>
    </row>
    <row r="37" spans="1:27" ht="57.6" x14ac:dyDescent="0.3">
      <c r="A37" s="21" t="s">
        <v>436</v>
      </c>
      <c r="B37" s="24">
        <f t="shared" si="17"/>
        <v>990</v>
      </c>
      <c r="C37" s="25" t="str">
        <f t="shared" si="18"/>
        <v>Agencia Información</v>
      </c>
      <c r="D37" s="25" t="str">
        <f t="shared" si="19"/>
        <v>Educación</v>
      </c>
      <c r="E37" s="19">
        <v>8</v>
      </c>
      <c r="F37" s="10" t="s">
        <v>6251</v>
      </c>
      <c r="G37" s="18" t="s">
        <v>7427</v>
      </c>
      <c r="H37" s="35" t="str">
        <f t="shared" si="16"/>
        <v>Región</v>
      </c>
      <c r="I37" s="36" t="s">
        <v>375</v>
      </c>
      <c r="J37" s="24" t="str">
        <f t="shared" si="20"/>
        <v>Comuna</v>
      </c>
      <c r="K37" s="24" t="str">
        <f t="shared" si="21"/>
        <v>Proporción alumnos sobre 450 pts PSU por comuna</v>
      </c>
      <c r="L37" s="24" t="str">
        <f t="shared" si="22"/>
        <v>Periodo 2001-2020</v>
      </c>
      <c r="M37" s="24" t="str">
        <f t="shared" si="23"/>
        <v>Porcentaje (%)</v>
      </c>
      <c r="N37" s="24" t="str">
        <f t="shared" si="24"/>
        <v>Sistema Nacional de Información Municipal</v>
      </c>
      <c r="O37" s="27" t="str">
        <f>"Proporción de Alumnos de 4to Medio con más de 450 puntos en la PSU según dependencia de colegios en la "&amp;Agencia[[#This Row],[territorio]]</f>
        <v>Proporción de Alumnos de 4to Medio con más de 450 puntos en la PSU según dependencia de colegios en la Región del Biobío</v>
      </c>
      <c r="P37" s="20"/>
      <c r="Q37" s="11" t="str">
        <f t="shared" si="27"/>
        <v>Gráfico de Evolución</v>
      </c>
      <c r="R37" s="11" t="str">
        <f>Agencia[[#This Row],[territorio]]&amp;" educación municipal PSU alumnos calidad colegios municipales"</f>
        <v>Región del Biobío educación municipal PSU alumnos calidad colegios municipales</v>
      </c>
      <c r="S37" s="39" t="str">
        <f>HYPERLINK("https://analytics.zoho.com/open-view/2395394000007732994?ZOHO_CRITERIA=%22Localiza%20CL%22.%22Codreg%22%3D"&amp;Agencia[[#This Row],[Filtro URL]])</f>
        <v>https://analytics.zoho.com/open-view/2395394000007732994?ZOHO_CRITERIA=%22Localiza%20CL%22.%22Codreg%22%3D8</v>
      </c>
      <c r="T37" s="69" t="str">
        <f>"100-C-"&amp;Agencia[[#This Row],[Filtro URL]]</f>
        <v>100-C-8</v>
      </c>
      <c r="U37" s="50" t="str">
        <f t="shared" si="28"/>
        <v>#1774B9</v>
      </c>
      <c r="V37" s="118" t="str">
        <f>+Agencia[[#This Row],[idcoleccion]]&amp;"-"&amp;Agencia[[#This Row],[id]]</f>
        <v>990-0026</v>
      </c>
      <c r="W37" s="118">
        <f>+VLOOKUP(Agencia[[#This Row],[Filtro URL]],Estructura!$X$4:$Y$500,2,0)</f>
        <v>99200008</v>
      </c>
      <c r="X37" s="118" t="str">
        <f>+VLOOKUP(Agencia[[#This Row],[tema]],Estructura!$A$4:$C$500,3,0)</f>
        <v>T-1060</v>
      </c>
      <c r="Y37" s="118" t="str">
        <f>+VLOOKUP(Agencia[[#This Row],[contenido]],Estructura!$E$4:$G$500,3,0)</f>
        <v>C-1018</v>
      </c>
      <c r="Z37" s="118" t="str">
        <f>+VLOOKUP(Agencia[[#This Row],[Filtro Integrado]],Estructura!$I$4:$K$500,3,0)</f>
        <v>FI-991</v>
      </c>
      <c r="AA37" s="118" t="str">
        <f>+VLOOKUP(Agencia[[#This Row],[Muestra]],Estructura!$M$4:$O$500,3,0)</f>
        <v>M-992</v>
      </c>
    </row>
    <row r="38" spans="1:27" ht="57.6" x14ac:dyDescent="0.3">
      <c r="A38" s="21" t="s">
        <v>437</v>
      </c>
      <c r="B38" s="24">
        <f t="shared" si="17"/>
        <v>990</v>
      </c>
      <c r="C38" s="25" t="str">
        <f t="shared" si="18"/>
        <v>Agencia Información</v>
      </c>
      <c r="D38" s="25" t="str">
        <f t="shared" si="19"/>
        <v>Educación</v>
      </c>
      <c r="E38" s="19">
        <v>9</v>
      </c>
      <c r="F38" s="10" t="s">
        <v>6251</v>
      </c>
      <c r="G38" s="18" t="s">
        <v>7427</v>
      </c>
      <c r="H38" s="35" t="str">
        <f t="shared" si="16"/>
        <v>Región</v>
      </c>
      <c r="I38" s="36" t="s">
        <v>376</v>
      </c>
      <c r="J38" s="24" t="str">
        <f t="shared" si="20"/>
        <v>Comuna</v>
      </c>
      <c r="K38" s="24" t="str">
        <f t="shared" si="21"/>
        <v>Proporción alumnos sobre 450 pts PSU por comuna</v>
      </c>
      <c r="L38" s="24" t="str">
        <f t="shared" si="22"/>
        <v>Periodo 2001-2020</v>
      </c>
      <c r="M38" s="24" t="str">
        <f t="shared" si="23"/>
        <v>Porcentaje (%)</v>
      </c>
      <c r="N38" s="24" t="str">
        <f t="shared" si="24"/>
        <v>Sistema Nacional de Información Municipal</v>
      </c>
      <c r="O38" s="27" t="str">
        <f>"Proporción de Alumnos de 4to Medio con más de 450 puntos en la PSU según dependencia de colegios en la "&amp;Agencia[[#This Row],[territorio]]</f>
        <v>Proporción de Alumnos de 4to Medio con más de 450 puntos en la PSU según dependencia de colegios en la Región de La Araucanía</v>
      </c>
      <c r="P38" s="20"/>
      <c r="Q38" s="11" t="str">
        <f t="shared" si="27"/>
        <v>Gráfico de Evolución</v>
      </c>
      <c r="R38" s="11" t="str">
        <f>Agencia[[#This Row],[territorio]]&amp;" educación municipal PSU alumnos calidad colegios municipales"</f>
        <v>Región de La Araucanía educación municipal PSU alumnos calidad colegios municipales</v>
      </c>
      <c r="S38" s="39" t="str">
        <f>HYPERLINK("https://analytics.zoho.com/open-view/2395394000007732994?ZOHO_CRITERIA=%22Localiza%20CL%22.%22Codreg%22%3D"&amp;Agencia[[#This Row],[Filtro URL]])</f>
        <v>https://analytics.zoho.com/open-view/2395394000007732994?ZOHO_CRITERIA=%22Localiza%20CL%22.%22Codreg%22%3D9</v>
      </c>
      <c r="T38" s="69" t="str">
        <f>"100-C-"&amp;Agencia[[#This Row],[Filtro URL]]</f>
        <v>100-C-9</v>
      </c>
      <c r="U38" s="50" t="str">
        <f t="shared" si="28"/>
        <v>#1774B9</v>
      </c>
      <c r="V38" s="118" t="str">
        <f>+Agencia[[#This Row],[idcoleccion]]&amp;"-"&amp;Agencia[[#This Row],[id]]</f>
        <v>990-0027</v>
      </c>
      <c r="W38" s="118">
        <f>+VLOOKUP(Agencia[[#This Row],[Filtro URL]],Estructura!$X$4:$Y$500,2,0)</f>
        <v>99200009</v>
      </c>
      <c r="X38" s="118" t="str">
        <f>+VLOOKUP(Agencia[[#This Row],[tema]],Estructura!$A$4:$C$500,3,0)</f>
        <v>T-1060</v>
      </c>
      <c r="Y38" s="118" t="str">
        <f>+VLOOKUP(Agencia[[#This Row],[contenido]],Estructura!$E$4:$G$500,3,0)</f>
        <v>C-1018</v>
      </c>
      <c r="Z38" s="118" t="str">
        <f>+VLOOKUP(Agencia[[#This Row],[Filtro Integrado]],Estructura!$I$4:$K$500,3,0)</f>
        <v>FI-991</v>
      </c>
      <c r="AA38" s="118" t="str">
        <f>+VLOOKUP(Agencia[[#This Row],[Muestra]],Estructura!$M$4:$O$500,3,0)</f>
        <v>M-992</v>
      </c>
    </row>
    <row r="39" spans="1:27" ht="57.6" x14ac:dyDescent="0.3">
      <c r="A39" s="21" t="s">
        <v>438</v>
      </c>
      <c r="B39" s="24">
        <f t="shared" si="17"/>
        <v>990</v>
      </c>
      <c r="C39" s="25" t="str">
        <f t="shared" si="18"/>
        <v>Agencia Información</v>
      </c>
      <c r="D39" s="25" t="str">
        <f t="shared" si="19"/>
        <v>Educación</v>
      </c>
      <c r="E39" s="19">
        <v>10</v>
      </c>
      <c r="F39" s="10" t="s">
        <v>6251</v>
      </c>
      <c r="G39" s="18" t="s">
        <v>7427</v>
      </c>
      <c r="H39" s="35" t="str">
        <f t="shared" si="16"/>
        <v>Región</v>
      </c>
      <c r="I39" s="36" t="s">
        <v>377</v>
      </c>
      <c r="J39" s="24" t="str">
        <f t="shared" si="20"/>
        <v>Comuna</v>
      </c>
      <c r="K39" s="24" t="str">
        <f t="shared" si="21"/>
        <v>Proporción alumnos sobre 450 pts PSU por comuna</v>
      </c>
      <c r="L39" s="24" t="str">
        <f t="shared" si="22"/>
        <v>Periodo 2001-2020</v>
      </c>
      <c r="M39" s="24" t="str">
        <f t="shared" si="23"/>
        <v>Porcentaje (%)</v>
      </c>
      <c r="N39" s="24" t="str">
        <f t="shared" si="24"/>
        <v>Sistema Nacional de Información Municipal</v>
      </c>
      <c r="O39" s="27" t="str">
        <f>"Proporción de Alumnos de 4to Medio con más de 450 puntos en la PSU según dependencia de colegios en la "&amp;Agencia[[#This Row],[territorio]]</f>
        <v>Proporción de Alumnos de 4to Medio con más de 450 puntos en la PSU según dependencia de colegios en la Región de Los Lagos</v>
      </c>
      <c r="P39" s="20"/>
      <c r="Q39" s="11" t="str">
        <f t="shared" si="27"/>
        <v>Gráfico de Evolución</v>
      </c>
      <c r="R39" s="11" t="str">
        <f>Agencia[[#This Row],[territorio]]&amp;" educación municipal PSU alumnos calidad colegios municipales"</f>
        <v>Región de Los Lagos educación municipal PSU alumnos calidad colegios municipales</v>
      </c>
      <c r="S39" s="39" t="str">
        <f>HYPERLINK("https://analytics.zoho.com/open-view/2395394000007732994?ZOHO_CRITERIA=%22Localiza%20CL%22.%22Codreg%22%3D"&amp;Agencia[[#This Row],[Filtro URL]])</f>
        <v>https://analytics.zoho.com/open-view/2395394000007732994?ZOHO_CRITERIA=%22Localiza%20CL%22.%22Codreg%22%3D10</v>
      </c>
      <c r="T39" s="69" t="str">
        <f>"100-C-"&amp;Agencia[[#This Row],[Filtro URL]]</f>
        <v>100-C-10</v>
      </c>
      <c r="U39" s="50" t="str">
        <f t="shared" si="28"/>
        <v>#1774B9</v>
      </c>
      <c r="V39" s="118" t="str">
        <f>+Agencia[[#This Row],[idcoleccion]]&amp;"-"&amp;Agencia[[#This Row],[id]]</f>
        <v>990-0028</v>
      </c>
      <c r="W39" s="118">
        <f>+VLOOKUP(Agencia[[#This Row],[Filtro URL]],Estructura!$X$4:$Y$500,2,0)</f>
        <v>99200010</v>
      </c>
      <c r="X39" s="118" t="str">
        <f>+VLOOKUP(Agencia[[#This Row],[tema]],Estructura!$A$4:$C$500,3,0)</f>
        <v>T-1060</v>
      </c>
      <c r="Y39" s="118" t="str">
        <f>+VLOOKUP(Agencia[[#This Row],[contenido]],Estructura!$E$4:$G$500,3,0)</f>
        <v>C-1018</v>
      </c>
      <c r="Z39" s="118" t="str">
        <f>+VLOOKUP(Agencia[[#This Row],[Filtro Integrado]],Estructura!$I$4:$K$500,3,0)</f>
        <v>FI-991</v>
      </c>
      <c r="AA39" s="118" t="str">
        <f>+VLOOKUP(Agencia[[#This Row],[Muestra]],Estructura!$M$4:$O$500,3,0)</f>
        <v>M-992</v>
      </c>
    </row>
    <row r="40" spans="1:27" ht="57.6" x14ac:dyDescent="0.3">
      <c r="A40" s="21" t="s">
        <v>439</v>
      </c>
      <c r="B40" s="24">
        <f t="shared" si="17"/>
        <v>990</v>
      </c>
      <c r="C40" s="25" t="str">
        <f t="shared" si="18"/>
        <v>Agencia Información</v>
      </c>
      <c r="D40" s="25" t="str">
        <f t="shared" si="19"/>
        <v>Educación</v>
      </c>
      <c r="E40" s="19">
        <v>11</v>
      </c>
      <c r="F40" s="10" t="s">
        <v>6251</v>
      </c>
      <c r="G40" s="18" t="s">
        <v>7427</v>
      </c>
      <c r="H40" s="35" t="str">
        <f t="shared" si="16"/>
        <v>Región</v>
      </c>
      <c r="I40" s="36" t="s">
        <v>378</v>
      </c>
      <c r="J40" s="24" t="str">
        <f t="shared" si="20"/>
        <v>Comuna</v>
      </c>
      <c r="K40" s="24" t="str">
        <f t="shared" si="21"/>
        <v>Proporción alumnos sobre 450 pts PSU por comuna</v>
      </c>
      <c r="L40" s="24" t="str">
        <f t="shared" si="22"/>
        <v>Periodo 2001-2020</v>
      </c>
      <c r="M40" s="24" t="str">
        <f t="shared" si="23"/>
        <v>Porcentaje (%)</v>
      </c>
      <c r="N40" s="24" t="str">
        <f t="shared" si="24"/>
        <v>Sistema Nacional de Información Municipal</v>
      </c>
      <c r="O40" s="27" t="str">
        <f>"Proporción de Alumnos de 4to Medio con más de 450 puntos en la PSU según dependencia de colegios en la "&amp;Agencia[[#This Row],[territorio]]</f>
        <v>Proporción de Alumnos de 4to Medio con más de 450 puntos en la PSU según dependencia de colegios en la Región de Aysén</v>
      </c>
      <c r="P40" s="20"/>
      <c r="Q40" s="11" t="str">
        <f t="shared" si="27"/>
        <v>Gráfico de Evolución</v>
      </c>
      <c r="R40" s="11" t="str">
        <f>Agencia[[#This Row],[territorio]]&amp;" educación municipal PSU alumnos calidad colegios municipales"</f>
        <v>Región de Aysén educación municipal PSU alumnos calidad colegios municipales</v>
      </c>
      <c r="S40" s="39" t="str">
        <f>HYPERLINK("https://analytics.zoho.com/open-view/2395394000007732994?ZOHO_CRITERIA=%22Localiza%20CL%22.%22Codreg%22%3D"&amp;Agencia[[#This Row],[Filtro URL]])</f>
        <v>https://analytics.zoho.com/open-view/2395394000007732994?ZOHO_CRITERIA=%22Localiza%20CL%22.%22Codreg%22%3D11</v>
      </c>
      <c r="T40" s="69" t="str">
        <f>"100-C-"&amp;Agencia[[#This Row],[Filtro URL]]</f>
        <v>100-C-11</v>
      </c>
      <c r="U40" s="50" t="str">
        <f t="shared" si="28"/>
        <v>#1774B9</v>
      </c>
      <c r="V40" s="118" t="str">
        <f>+Agencia[[#This Row],[idcoleccion]]&amp;"-"&amp;Agencia[[#This Row],[id]]</f>
        <v>990-0029</v>
      </c>
      <c r="W40" s="118">
        <f>+VLOOKUP(Agencia[[#This Row],[Filtro URL]],Estructura!$X$4:$Y$500,2,0)</f>
        <v>99200011</v>
      </c>
      <c r="X40" s="118" t="str">
        <f>+VLOOKUP(Agencia[[#This Row],[tema]],Estructura!$A$4:$C$500,3,0)</f>
        <v>T-1060</v>
      </c>
      <c r="Y40" s="118" t="str">
        <f>+VLOOKUP(Agencia[[#This Row],[contenido]],Estructura!$E$4:$G$500,3,0)</f>
        <v>C-1018</v>
      </c>
      <c r="Z40" s="118" t="str">
        <f>+VLOOKUP(Agencia[[#This Row],[Filtro Integrado]],Estructura!$I$4:$K$500,3,0)</f>
        <v>FI-991</v>
      </c>
      <c r="AA40" s="118" t="str">
        <f>+VLOOKUP(Agencia[[#This Row],[Muestra]],Estructura!$M$4:$O$500,3,0)</f>
        <v>M-992</v>
      </c>
    </row>
    <row r="41" spans="1:27" ht="57.6" x14ac:dyDescent="0.3">
      <c r="A41" s="21" t="s">
        <v>440</v>
      </c>
      <c r="B41" s="24">
        <f t="shared" si="17"/>
        <v>990</v>
      </c>
      <c r="C41" s="25" t="str">
        <f t="shared" si="18"/>
        <v>Agencia Información</v>
      </c>
      <c r="D41" s="25" t="str">
        <f t="shared" si="19"/>
        <v>Educación</v>
      </c>
      <c r="E41" s="19">
        <v>12</v>
      </c>
      <c r="F41" s="10" t="s">
        <v>6251</v>
      </c>
      <c r="G41" s="18" t="s">
        <v>7427</v>
      </c>
      <c r="H41" s="35" t="str">
        <f t="shared" si="16"/>
        <v>Región</v>
      </c>
      <c r="I41" s="36" t="s">
        <v>379</v>
      </c>
      <c r="J41" s="24" t="str">
        <f t="shared" si="20"/>
        <v>Comuna</v>
      </c>
      <c r="K41" s="24" t="str">
        <f t="shared" si="21"/>
        <v>Proporción alumnos sobre 450 pts PSU por comuna</v>
      </c>
      <c r="L41" s="24" t="str">
        <f t="shared" si="22"/>
        <v>Periodo 2001-2020</v>
      </c>
      <c r="M41" s="24" t="str">
        <f t="shared" si="23"/>
        <v>Porcentaje (%)</v>
      </c>
      <c r="N41" s="24" t="str">
        <f t="shared" si="24"/>
        <v>Sistema Nacional de Información Municipal</v>
      </c>
      <c r="O41" s="27" t="str">
        <f>"Proporción de Alumnos de 4to Medio con más de 450 puntos en la PSU según dependencia de colegios en la "&amp;Agencia[[#This Row],[territorio]]</f>
        <v>Proporción de Alumnos de 4to Medio con más de 450 puntos en la PSU según dependencia de colegios en la Región de Magallanes</v>
      </c>
      <c r="P41" s="20"/>
      <c r="Q41" s="11" t="str">
        <f t="shared" si="27"/>
        <v>Gráfico de Evolución</v>
      </c>
      <c r="R41" s="11" t="str">
        <f>Agencia[[#This Row],[territorio]]&amp;" educación municipal PSU alumnos calidad colegios municipales"</f>
        <v>Región de Magallanes educación municipal PSU alumnos calidad colegios municipales</v>
      </c>
      <c r="S41" s="39" t="str">
        <f>HYPERLINK("https://analytics.zoho.com/open-view/2395394000007732994?ZOHO_CRITERIA=%22Localiza%20CL%22.%22Codreg%22%3D"&amp;Agencia[[#This Row],[Filtro URL]])</f>
        <v>https://analytics.zoho.com/open-view/2395394000007732994?ZOHO_CRITERIA=%22Localiza%20CL%22.%22Codreg%22%3D12</v>
      </c>
      <c r="T41" s="69" t="str">
        <f>"100-C-"&amp;Agencia[[#This Row],[Filtro URL]]</f>
        <v>100-C-12</v>
      </c>
      <c r="U41" s="50" t="str">
        <f t="shared" si="28"/>
        <v>#1774B9</v>
      </c>
      <c r="V41" s="118" t="str">
        <f>+Agencia[[#This Row],[idcoleccion]]&amp;"-"&amp;Agencia[[#This Row],[id]]</f>
        <v>990-0030</v>
      </c>
      <c r="W41" s="118">
        <f>+VLOOKUP(Agencia[[#This Row],[Filtro URL]],Estructura!$X$4:$Y$500,2,0)</f>
        <v>99200012</v>
      </c>
      <c r="X41" s="118" t="str">
        <f>+VLOOKUP(Agencia[[#This Row],[tema]],Estructura!$A$4:$C$500,3,0)</f>
        <v>T-1060</v>
      </c>
      <c r="Y41" s="118" t="str">
        <f>+VLOOKUP(Agencia[[#This Row],[contenido]],Estructura!$E$4:$G$500,3,0)</f>
        <v>C-1018</v>
      </c>
      <c r="Z41" s="118" t="str">
        <f>+VLOOKUP(Agencia[[#This Row],[Filtro Integrado]],Estructura!$I$4:$K$500,3,0)</f>
        <v>FI-991</v>
      </c>
      <c r="AA41" s="118" t="str">
        <f>+VLOOKUP(Agencia[[#This Row],[Muestra]],Estructura!$M$4:$O$500,3,0)</f>
        <v>M-992</v>
      </c>
    </row>
    <row r="42" spans="1:27" ht="57.6" x14ac:dyDescent="0.3">
      <c r="A42" s="21" t="s">
        <v>441</v>
      </c>
      <c r="B42" s="24">
        <f t="shared" si="17"/>
        <v>990</v>
      </c>
      <c r="C42" s="25" t="str">
        <f t="shared" si="18"/>
        <v>Agencia Información</v>
      </c>
      <c r="D42" s="25" t="str">
        <f t="shared" si="19"/>
        <v>Educación</v>
      </c>
      <c r="E42" s="19">
        <v>13</v>
      </c>
      <c r="F42" s="10" t="s">
        <v>6251</v>
      </c>
      <c r="G42" s="18" t="s">
        <v>7427</v>
      </c>
      <c r="H42" s="35" t="str">
        <f t="shared" si="16"/>
        <v>Región</v>
      </c>
      <c r="I42" s="36" t="s">
        <v>380</v>
      </c>
      <c r="J42" s="24" t="str">
        <f t="shared" si="20"/>
        <v>Comuna</v>
      </c>
      <c r="K42" s="24" t="str">
        <f t="shared" si="21"/>
        <v>Proporción alumnos sobre 450 pts PSU por comuna</v>
      </c>
      <c r="L42" s="24" t="str">
        <f t="shared" si="22"/>
        <v>Periodo 2001-2020</v>
      </c>
      <c r="M42" s="24" t="str">
        <f t="shared" si="23"/>
        <v>Porcentaje (%)</v>
      </c>
      <c r="N42" s="24" t="str">
        <f t="shared" si="24"/>
        <v>Sistema Nacional de Información Municipal</v>
      </c>
      <c r="O42" s="27" t="str">
        <f>"Proporción de Alumnos de 4to Medio con más de 450 puntos en la PSU según dependencia de colegios en la "&amp;Agencia[[#This Row],[territorio]]</f>
        <v>Proporción de Alumnos de 4to Medio con más de 450 puntos en la PSU según dependencia de colegios en la Región Metropolitana</v>
      </c>
      <c r="P42" s="20"/>
      <c r="Q42" s="11" t="str">
        <f t="shared" si="27"/>
        <v>Gráfico de Evolución</v>
      </c>
      <c r="R42" s="11" t="str">
        <f>Agencia[[#This Row],[territorio]]&amp;" educación municipal PSU alumnos calidad colegios municipales"</f>
        <v>Región Metropolitana educación municipal PSU alumnos calidad colegios municipales</v>
      </c>
      <c r="S42" s="39" t="str">
        <f>HYPERLINK("https://analytics.zoho.com/open-view/2395394000007732994?ZOHO_CRITERIA=%22Localiza%20CL%22.%22Codreg%22%3D"&amp;Agencia[[#This Row],[Filtro URL]])</f>
        <v>https://analytics.zoho.com/open-view/2395394000007732994?ZOHO_CRITERIA=%22Localiza%20CL%22.%22Codreg%22%3D13</v>
      </c>
      <c r="T42" s="69" t="str">
        <f>"200-C-"&amp;Agencia[[#This Row],[Filtro URL]]</f>
        <v>200-C-13</v>
      </c>
      <c r="U42" s="50" t="str">
        <f t="shared" si="28"/>
        <v>#1774B9</v>
      </c>
      <c r="V42" s="118" t="str">
        <f>+Agencia[[#This Row],[idcoleccion]]&amp;"-"&amp;Agencia[[#This Row],[id]]</f>
        <v>990-0031</v>
      </c>
      <c r="W42" s="118">
        <f>+VLOOKUP(Agencia[[#This Row],[Filtro URL]],Estructura!$X$4:$Y$500,2,0)</f>
        <v>99200013</v>
      </c>
      <c r="X42" s="118" t="str">
        <f>+VLOOKUP(Agencia[[#This Row],[tema]],Estructura!$A$4:$C$500,3,0)</f>
        <v>T-1060</v>
      </c>
      <c r="Y42" s="118" t="str">
        <f>+VLOOKUP(Agencia[[#This Row],[contenido]],Estructura!$E$4:$G$500,3,0)</f>
        <v>C-1018</v>
      </c>
      <c r="Z42" s="118" t="str">
        <f>+VLOOKUP(Agencia[[#This Row],[Filtro Integrado]],Estructura!$I$4:$K$500,3,0)</f>
        <v>FI-991</v>
      </c>
      <c r="AA42" s="118" t="str">
        <f>+VLOOKUP(Agencia[[#This Row],[Muestra]],Estructura!$M$4:$O$500,3,0)</f>
        <v>M-992</v>
      </c>
    </row>
    <row r="43" spans="1:27" ht="57.6" x14ac:dyDescent="0.3">
      <c r="A43" s="21" t="s">
        <v>442</v>
      </c>
      <c r="B43" s="24">
        <f t="shared" si="17"/>
        <v>990</v>
      </c>
      <c r="C43" s="25" t="str">
        <f t="shared" si="18"/>
        <v>Agencia Información</v>
      </c>
      <c r="D43" s="25" t="str">
        <f t="shared" si="19"/>
        <v>Educación</v>
      </c>
      <c r="E43" s="19">
        <v>14</v>
      </c>
      <c r="F43" s="10" t="s">
        <v>6251</v>
      </c>
      <c r="G43" s="18" t="s">
        <v>7427</v>
      </c>
      <c r="H43" s="35" t="str">
        <f t="shared" si="16"/>
        <v>Región</v>
      </c>
      <c r="I43" s="36" t="s">
        <v>381</v>
      </c>
      <c r="J43" s="24" t="str">
        <f t="shared" si="20"/>
        <v>Comuna</v>
      </c>
      <c r="K43" s="24" t="str">
        <f t="shared" si="21"/>
        <v>Proporción alumnos sobre 450 pts PSU por comuna</v>
      </c>
      <c r="L43" s="24" t="str">
        <f t="shared" si="22"/>
        <v>Periodo 2001-2020</v>
      </c>
      <c r="M43" s="24" t="str">
        <f t="shared" si="23"/>
        <v>Porcentaje (%)</v>
      </c>
      <c r="N43" s="24" t="str">
        <f t="shared" si="24"/>
        <v>Sistema Nacional de Información Municipal</v>
      </c>
      <c r="O43" s="27" t="str">
        <f>"Proporción de Alumnos de 4to Medio con más de 450 puntos en la PSU según dependencia de colegios en la "&amp;Agencia[[#This Row],[territorio]]</f>
        <v>Proporción de Alumnos de 4to Medio con más de 450 puntos en la PSU según dependencia de colegios en la Región de Los Ríos</v>
      </c>
      <c r="P43" s="20"/>
      <c r="Q43" s="11" t="str">
        <f t="shared" si="27"/>
        <v>Gráfico de Evolución</v>
      </c>
      <c r="R43" s="11" t="str">
        <f>Agencia[[#This Row],[territorio]]&amp;" educación municipal PSU alumnos calidad colegios municipales"</f>
        <v>Región de Los Ríos educación municipal PSU alumnos calidad colegios municipales</v>
      </c>
      <c r="S43" s="39" t="str">
        <f>HYPERLINK("https://analytics.zoho.com/open-view/2395394000007732994?ZOHO_CRITERIA=%22Localiza%20CL%22.%22Codreg%22%3D"&amp;Agencia[[#This Row],[Filtro URL]])</f>
        <v>https://analytics.zoho.com/open-view/2395394000007732994?ZOHO_CRITERIA=%22Localiza%20CL%22.%22Codreg%22%3D14</v>
      </c>
      <c r="T43" s="69" t="str">
        <f>"100-C-"&amp;Agencia[[#This Row],[Filtro URL]]</f>
        <v>100-C-14</v>
      </c>
      <c r="U43" s="50" t="str">
        <f t="shared" si="28"/>
        <v>#1774B9</v>
      </c>
      <c r="V43" s="118" t="str">
        <f>+Agencia[[#This Row],[idcoleccion]]&amp;"-"&amp;Agencia[[#This Row],[id]]</f>
        <v>990-0032</v>
      </c>
      <c r="W43" s="118">
        <f>+VLOOKUP(Agencia[[#This Row],[Filtro URL]],Estructura!$X$4:$Y$500,2,0)</f>
        <v>99200014</v>
      </c>
      <c r="X43" s="118" t="str">
        <f>+VLOOKUP(Agencia[[#This Row],[tema]],Estructura!$A$4:$C$500,3,0)</f>
        <v>T-1060</v>
      </c>
      <c r="Y43" s="118" t="str">
        <f>+VLOOKUP(Agencia[[#This Row],[contenido]],Estructura!$E$4:$G$500,3,0)</f>
        <v>C-1018</v>
      </c>
      <c r="Z43" s="118" t="str">
        <f>+VLOOKUP(Agencia[[#This Row],[Filtro Integrado]],Estructura!$I$4:$K$500,3,0)</f>
        <v>FI-991</v>
      </c>
      <c r="AA43" s="118" t="str">
        <f>+VLOOKUP(Agencia[[#This Row],[Muestra]],Estructura!$M$4:$O$500,3,0)</f>
        <v>M-992</v>
      </c>
    </row>
    <row r="44" spans="1:27" ht="57.6" x14ac:dyDescent="0.3">
      <c r="A44" s="21" t="s">
        <v>443</v>
      </c>
      <c r="B44" s="24">
        <f t="shared" si="17"/>
        <v>990</v>
      </c>
      <c r="C44" s="25" t="str">
        <f t="shared" si="18"/>
        <v>Agencia Información</v>
      </c>
      <c r="D44" s="25" t="str">
        <f t="shared" si="19"/>
        <v>Educación</v>
      </c>
      <c r="E44" s="19">
        <v>15</v>
      </c>
      <c r="F44" s="10" t="s">
        <v>6251</v>
      </c>
      <c r="G44" s="18" t="s">
        <v>7427</v>
      </c>
      <c r="H44" s="35" t="str">
        <f t="shared" si="16"/>
        <v>Región</v>
      </c>
      <c r="I44" s="36" t="s">
        <v>382</v>
      </c>
      <c r="J44" s="24" t="str">
        <f t="shared" si="20"/>
        <v>Comuna</v>
      </c>
      <c r="K44" s="24" t="str">
        <f t="shared" si="21"/>
        <v>Proporción alumnos sobre 450 pts PSU por comuna</v>
      </c>
      <c r="L44" s="24" t="str">
        <f t="shared" si="22"/>
        <v>Periodo 2001-2020</v>
      </c>
      <c r="M44" s="24" t="str">
        <f t="shared" si="23"/>
        <v>Porcentaje (%)</v>
      </c>
      <c r="N44" s="24" t="str">
        <f t="shared" si="24"/>
        <v>Sistema Nacional de Información Municipal</v>
      </c>
      <c r="O44" s="27" t="str">
        <f>"Proporción de Alumnos de 4to Medio con más de 450 puntos en la PSU según dependencia de colegios en la "&amp;Agencia[[#This Row],[territorio]]</f>
        <v>Proporción de Alumnos de 4to Medio con más de 450 puntos en la PSU según dependencia de colegios en la Región de Arica y Parinacota</v>
      </c>
      <c r="P44" s="20"/>
      <c r="Q44" s="11" t="str">
        <f t="shared" si="27"/>
        <v>Gráfico de Evolución</v>
      </c>
      <c r="R44" s="11" t="str">
        <f>Agencia[[#This Row],[territorio]]&amp;" educación municipal PSU alumnos calidad colegios municipales"</f>
        <v>Región de Arica y Parinacota educación municipal PSU alumnos calidad colegios municipales</v>
      </c>
      <c r="S44" s="39" t="str">
        <f>HYPERLINK("https://analytics.zoho.com/open-view/2395394000007732994?ZOHO_CRITERIA=%22Localiza%20CL%22.%22Codreg%22%3D"&amp;Agencia[[#This Row],[Filtro URL]])</f>
        <v>https://analytics.zoho.com/open-view/2395394000007732994?ZOHO_CRITERIA=%22Localiza%20CL%22.%22Codreg%22%3D15</v>
      </c>
      <c r="T44" s="69" t="str">
        <f>"100-C-"&amp;Agencia[[#This Row],[Filtro URL]]</f>
        <v>100-C-15</v>
      </c>
      <c r="U44" s="50" t="str">
        <f t="shared" si="28"/>
        <v>#1774B9</v>
      </c>
      <c r="V44" s="118" t="str">
        <f>+Agencia[[#This Row],[idcoleccion]]&amp;"-"&amp;Agencia[[#This Row],[id]]</f>
        <v>990-0033</v>
      </c>
      <c r="W44" s="118">
        <f>+VLOOKUP(Agencia[[#This Row],[Filtro URL]],Estructura!$X$4:$Y$500,2,0)</f>
        <v>99200015</v>
      </c>
      <c r="X44" s="118" t="str">
        <f>+VLOOKUP(Agencia[[#This Row],[tema]],Estructura!$A$4:$C$500,3,0)</f>
        <v>T-1060</v>
      </c>
      <c r="Y44" s="118" t="str">
        <f>+VLOOKUP(Agencia[[#This Row],[contenido]],Estructura!$E$4:$G$500,3,0)</f>
        <v>C-1018</v>
      </c>
      <c r="Z44" s="118" t="str">
        <f>+VLOOKUP(Agencia[[#This Row],[Filtro Integrado]],Estructura!$I$4:$K$500,3,0)</f>
        <v>FI-991</v>
      </c>
      <c r="AA44" s="118" t="str">
        <f>+VLOOKUP(Agencia[[#This Row],[Muestra]],Estructura!$M$4:$O$500,3,0)</f>
        <v>M-992</v>
      </c>
    </row>
    <row r="45" spans="1:27" ht="57.6" x14ac:dyDescent="0.3">
      <c r="A45" s="21" t="s">
        <v>444</v>
      </c>
      <c r="B45" s="24">
        <f t="shared" si="17"/>
        <v>990</v>
      </c>
      <c r="C45" s="25" t="str">
        <f t="shared" si="18"/>
        <v>Agencia Información</v>
      </c>
      <c r="D45" s="25" t="str">
        <f t="shared" si="19"/>
        <v>Educación</v>
      </c>
      <c r="E45" s="19">
        <v>16</v>
      </c>
      <c r="F45" s="10" t="s">
        <v>6251</v>
      </c>
      <c r="G45" s="18" t="s">
        <v>7427</v>
      </c>
      <c r="H45" s="35" t="str">
        <f t="shared" si="16"/>
        <v>Región</v>
      </c>
      <c r="I45" s="36" t="s">
        <v>383</v>
      </c>
      <c r="J45" s="24" t="str">
        <f t="shared" si="20"/>
        <v>Comuna</v>
      </c>
      <c r="K45" s="24" t="str">
        <f t="shared" si="21"/>
        <v>Proporción alumnos sobre 450 pts PSU por comuna</v>
      </c>
      <c r="L45" s="24" t="str">
        <f t="shared" si="22"/>
        <v>Periodo 2001-2020</v>
      </c>
      <c r="M45" s="24" t="str">
        <f t="shared" si="23"/>
        <v>Porcentaje (%)</v>
      </c>
      <c r="N45" s="24" t="str">
        <f t="shared" si="24"/>
        <v>Sistema Nacional de Información Municipal</v>
      </c>
      <c r="O45" s="27" t="str">
        <f>"Proporción de Alumnos de 4to Medio con más de 450 puntos en la PSU según dependencia de colegios en la "&amp;Agencia[[#This Row],[territorio]]</f>
        <v>Proporción de Alumnos de 4to Medio con más de 450 puntos en la PSU según dependencia de colegios en la Región de Ñuble</v>
      </c>
      <c r="P45" s="20"/>
      <c r="Q45" s="11" t="str">
        <f t="shared" si="27"/>
        <v>Gráfico de Evolución</v>
      </c>
      <c r="R45" s="11" t="str">
        <f>Agencia[[#This Row],[territorio]]&amp;" educación municipal PSU alumnos calidad colegios municipales"</f>
        <v>Región de Ñuble educación municipal PSU alumnos calidad colegios municipales</v>
      </c>
      <c r="S45" s="39" t="str">
        <f>HYPERLINK("https://analytics.zoho.com/open-view/2395394000007732994?ZOHO_CRITERIA=%22Localiza%20CL%22.%22Codreg%22%3D"&amp;Agencia[[#This Row],[Filtro URL]])</f>
        <v>https://analytics.zoho.com/open-view/2395394000007732994?ZOHO_CRITERIA=%22Localiza%20CL%22.%22Codreg%22%3D16</v>
      </c>
      <c r="T45" s="69" t="str">
        <f>"100-C-"&amp;Agencia[[#This Row],[Filtro URL]]</f>
        <v>100-C-16</v>
      </c>
      <c r="U45" s="50" t="str">
        <f t="shared" si="28"/>
        <v>#1774B9</v>
      </c>
      <c r="V45" s="118" t="str">
        <f>+Agencia[[#This Row],[idcoleccion]]&amp;"-"&amp;Agencia[[#This Row],[id]]</f>
        <v>990-0034</v>
      </c>
      <c r="W45" s="118">
        <f>+VLOOKUP(Agencia[[#This Row],[Filtro URL]],Estructura!$X$4:$Y$500,2,0)</f>
        <v>99200016</v>
      </c>
      <c r="X45" s="118" t="str">
        <f>+VLOOKUP(Agencia[[#This Row],[tema]],Estructura!$A$4:$C$500,3,0)</f>
        <v>T-1060</v>
      </c>
      <c r="Y45" s="118" t="str">
        <f>+VLOOKUP(Agencia[[#This Row],[contenido]],Estructura!$E$4:$G$500,3,0)</f>
        <v>C-1018</v>
      </c>
      <c r="Z45" s="118" t="str">
        <f>+VLOOKUP(Agencia[[#This Row],[Filtro Integrado]],Estructura!$I$4:$K$500,3,0)</f>
        <v>FI-991</v>
      </c>
      <c r="AA45" s="118" t="str">
        <f>+VLOOKUP(Agencia[[#This Row],[Muestra]],Estructura!$M$4:$O$500,3,0)</f>
        <v>M-992</v>
      </c>
    </row>
    <row r="46" spans="1:27" ht="48" x14ac:dyDescent="0.3">
      <c r="A46" s="21" t="s">
        <v>445</v>
      </c>
      <c r="B46" s="24">
        <f t="shared" ref="B46:B58" si="29">+B45</f>
        <v>990</v>
      </c>
      <c r="C46" s="25" t="str">
        <f t="shared" ref="C46:C58" si="30">+C45</f>
        <v>Agencia Información</v>
      </c>
      <c r="D46" s="25" t="s">
        <v>462</v>
      </c>
      <c r="E46" s="14">
        <v>0</v>
      </c>
      <c r="F46" s="25" t="s">
        <v>463</v>
      </c>
      <c r="G46" s="26" t="s">
        <v>3762</v>
      </c>
      <c r="H46" s="33" t="s">
        <v>20</v>
      </c>
      <c r="I46" s="34" t="s">
        <v>15</v>
      </c>
      <c r="J46" s="24" t="s">
        <v>1032</v>
      </c>
      <c r="K46" s="24" t="s">
        <v>839</v>
      </c>
      <c r="L46" s="24" t="s">
        <v>1721</v>
      </c>
      <c r="M46" s="24" t="s">
        <v>461</v>
      </c>
      <c r="N46" s="24" t="s">
        <v>459</v>
      </c>
      <c r="O46" s="20" t="str">
        <f>+"Evolución de denuncias por violación en "&amp;I46&amp;" en el "&amp;Agencia[[#This Row],[temporalidad]]</f>
        <v>Evolución de denuncias por violación en Chile en el Periodo 2008-2020</v>
      </c>
      <c r="P46" s="45"/>
      <c r="Q46" s="11" t="s">
        <v>821</v>
      </c>
      <c r="R46" s="20" t="str">
        <f>Agencia[[#This Row],[territorio]]&amp;" comunas violencia mujer violacion denuncias"</f>
        <v>Chile comunas violencia mujer violacion denuncias</v>
      </c>
      <c r="S46" s="39" t="s">
        <v>1061</v>
      </c>
      <c r="T46" s="68" t="s">
        <v>1033</v>
      </c>
      <c r="U46" s="50" t="str">
        <f t="shared" ref="U46:U58" si="31">+U45</f>
        <v>#1774B9</v>
      </c>
      <c r="V46" s="118" t="str">
        <f>+Agencia[[#This Row],[idcoleccion]]&amp;"-"&amp;Agencia[[#This Row],[id]]</f>
        <v>990-0035</v>
      </c>
      <c r="W46" s="118">
        <f>+VLOOKUP(Agencia[[#This Row],[Filtro URL]],Estructura!$X$4:$Y$500,2,0)</f>
        <v>99100000</v>
      </c>
      <c r="X46" s="118" t="str">
        <f>+VLOOKUP(Agencia[[#This Row],[tema]],Estructura!$A$4:$C$500,3,0)</f>
        <v>T-1028</v>
      </c>
      <c r="Y46" s="118" t="str">
        <f>+VLOOKUP(Agencia[[#This Row],[contenido]],Estructura!$E$4:$G$500,3,0)</f>
        <v>C-996</v>
      </c>
      <c r="Z46" s="118" t="str">
        <f>+VLOOKUP(Agencia[[#This Row],[Filtro Integrado]],Estructura!$I$4:$K$500,3,0)</f>
        <v>FI-994</v>
      </c>
      <c r="AA46" s="118" t="str">
        <f>+VLOOKUP(Agencia[[#This Row],[Muestra]],Estructura!$M$4:$O$500,3,0)</f>
        <v>M-993</v>
      </c>
    </row>
    <row r="47" spans="1:27" ht="57.6" x14ac:dyDescent="0.3">
      <c r="A47" s="21" t="s">
        <v>446</v>
      </c>
      <c r="B47" s="24">
        <f t="shared" si="29"/>
        <v>990</v>
      </c>
      <c r="C47" s="25" t="str">
        <f t="shared" si="30"/>
        <v>Agencia Información</v>
      </c>
      <c r="D47" s="25" t="str">
        <f t="shared" ref="D47:D58" si="32">+D46</f>
        <v>Mujeres</v>
      </c>
      <c r="E47" s="19">
        <v>1</v>
      </c>
      <c r="F47" s="25" t="s">
        <v>463</v>
      </c>
      <c r="G47" s="26" t="s">
        <v>3762</v>
      </c>
      <c r="H47" s="35" t="s">
        <v>16</v>
      </c>
      <c r="I47" s="36" t="s">
        <v>368</v>
      </c>
      <c r="J47" s="24" t="str">
        <f t="shared" ref="J47:J58" si="33">+J46</f>
        <v>Región-Comuna</v>
      </c>
      <c r="K47" s="24" t="s">
        <v>839</v>
      </c>
      <c r="L47" s="24" t="str">
        <f t="shared" ref="L47:L58" si="34">+L46</f>
        <v>Periodo 2008-2020</v>
      </c>
      <c r="M47" s="24" t="str">
        <f t="shared" ref="M47:M58" si="35">+M46</f>
        <v>Número de Denuncias</v>
      </c>
      <c r="N47" s="24" t="str">
        <f t="shared" ref="N47:N58" si="36">+N46</f>
        <v>Centro de Estudios y Análisis del Delito (CEAD) de la Subsecretaría de Prevención del Delito</v>
      </c>
      <c r="O47" s="20" t="str">
        <f>+"Evolución de denuncias por violación en la "&amp;I47&amp;" en el "&amp;Agencia[[#This Row],[temporalidad]]</f>
        <v>Evolución de denuncias por violación en la Región de Tarapacá en el Periodo 2008-2020</v>
      </c>
      <c r="P47" s="45"/>
      <c r="Q47" s="11" t="str">
        <f t="shared" ref="Q47:Q58" si="37">+Q46</f>
        <v>Gráfico de Evolución</v>
      </c>
      <c r="R47" s="20" t="str">
        <f>Agencia[[#This Row],[territorio]]&amp;" comunas violencia mujer violación denuncias"</f>
        <v>Región de Tarapacá comunas violencia mujer violación denuncias</v>
      </c>
      <c r="S47" s="39" t="str">
        <f>HYPERLINK("https://analytics.zoho.com/open-view/2395394000008231335?ZOHO_CRITERIA=%22Localiza%20CL%22.%22Codreg%22%3D"&amp;Agencia[[#This Row],[Filtro URL]])</f>
        <v>https://analytics.zoho.com/open-view/2395394000008231335?ZOHO_CRITERIA=%22Localiza%20CL%22.%22Codreg%22%3D1</v>
      </c>
      <c r="T47" s="69" t="str">
        <f>"100-C-"&amp;Agencia[[#This Row],[Filtro URL]]</f>
        <v>100-C-1</v>
      </c>
      <c r="U47" s="50" t="str">
        <f t="shared" si="31"/>
        <v>#1774B9</v>
      </c>
      <c r="V47" s="118" t="str">
        <f>+Agencia[[#This Row],[idcoleccion]]&amp;"-"&amp;Agencia[[#This Row],[id]]</f>
        <v>990-0036</v>
      </c>
      <c r="W47" s="118">
        <f>+VLOOKUP(Agencia[[#This Row],[Filtro URL]],Estructura!$X$4:$Y$500,2,0)</f>
        <v>99200001</v>
      </c>
      <c r="X47" s="118" t="str">
        <f>+VLOOKUP(Agencia[[#This Row],[tema]],Estructura!$A$4:$C$500,3,0)</f>
        <v>T-1028</v>
      </c>
      <c r="Y47" s="118" t="str">
        <f>+VLOOKUP(Agencia[[#This Row],[contenido]],Estructura!$E$4:$G$500,3,0)</f>
        <v>C-996</v>
      </c>
      <c r="Z47" s="118" t="str">
        <f>+VLOOKUP(Agencia[[#This Row],[Filtro Integrado]],Estructura!$I$4:$K$500,3,0)</f>
        <v>FI-994</v>
      </c>
      <c r="AA47" s="118" t="str">
        <f>+VLOOKUP(Agencia[[#This Row],[Muestra]],Estructura!$M$4:$O$500,3,0)</f>
        <v>M-993</v>
      </c>
    </row>
    <row r="48" spans="1:27" ht="57.6" x14ac:dyDescent="0.3">
      <c r="A48" s="21" t="s">
        <v>447</v>
      </c>
      <c r="B48" s="24">
        <f t="shared" si="29"/>
        <v>990</v>
      </c>
      <c r="C48" s="25" t="str">
        <f t="shared" si="30"/>
        <v>Agencia Información</v>
      </c>
      <c r="D48" s="25" t="str">
        <f t="shared" si="32"/>
        <v>Mujeres</v>
      </c>
      <c r="E48" s="19">
        <v>2</v>
      </c>
      <c r="F48" s="25" t="s">
        <v>463</v>
      </c>
      <c r="G48" s="26" t="s">
        <v>3762</v>
      </c>
      <c r="H48" s="35" t="s">
        <v>16</v>
      </c>
      <c r="I48" s="36" t="s">
        <v>369</v>
      </c>
      <c r="J48" s="24" t="str">
        <f t="shared" si="33"/>
        <v>Región-Comuna</v>
      </c>
      <c r="K48" s="24" t="str">
        <f t="shared" ref="K48:K58" si="38">+K47</f>
        <v>Denuncias por violación por comuna</v>
      </c>
      <c r="L48" s="24" t="str">
        <f t="shared" si="34"/>
        <v>Periodo 2008-2020</v>
      </c>
      <c r="M48" s="24" t="str">
        <f t="shared" si="35"/>
        <v>Número de Denuncias</v>
      </c>
      <c r="N48" s="24" t="str">
        <f t="shared" si="36"/>
        <v>Centro de Estudios y Análisis del Delito (CEAD) de la Subsecretaría de Prevención del Delito</v>
      </c>
      <c r="O48" s="20" t="str">
        <f>+"Distribución comunal de denuncias por violación en la "&amp;I48&amp;" en el "&amp;Agencia[[#This Row],[temporalidad]]</f>
        <v>Distribución comunal de denuncias por violación en la Región de Antofagasta en el Periodo 2008-2020</v>
      </c>
      <c r="P48" s="20"/>
      <c r="Q48" s="11" t="str">
        <f t="shared" si="37"/>
        <v>Gráfico de Evolución</v>
      </c>
      <c r="R48" s="20" t="str">
        <f>Agencia[[#This Row],[territorio]]&amp;" comunas violencia mujer violación denuncias"</f>
        <v>Región de Antofagasta comunas violencia mujer violación denuncias</v>
      </c>
      <c r="S48" s="39" t="str">
        <f>HYPERLINK("https://analytics.zoho.com/open-view/2395394000008231335?ZOHO_CRITERIA=%22Localiza%20CL%22.%22Codreg%22%3D"&amp;Agencia[[#This Row],[Filtro URL]])</f>
        <v>https://analytics.zoho.com/open-view/2395394000008231335?ZOHO_CRITERIA=%22Localiza%20CL%22.%22Codreg%22%3D2</v>
      </c>
      <c r="T48" s="69" t="str">
        <f>"100-C-"&amp;Agencia[[#This Row],[Filtro URL]]</f>
        <v>100-C-2</v>
      </c>
      <c r="U48" s="50" t="str">
        <f t="shared" si="31"/>
        <v>#1774B9</v>
      </c>
      <c r="V48" s="118" t="str">
        <f>+Agencia[[#This Row],[idcoleccion]]&amp;"-"&amp;Agencia[[#This Row],[id]]</f>
        <v>990-0037</v>
      </c>
      <c r="W48" s="118">
        <f>+VLOOKUP(Agencia[[#This Row],[Filtro URL]],Estructura!$X$4:$Y$500,2,0)</f>
        <v>99200002</v>
      </c>
      <c r="X48" s="118" t="str">
        <f>+VLOOKUP(Agencia[[#This Row],[tema]],Estructura!$A$4:$C$500,3,0)</f>
        <v>T-1028</v>
      </c>
      <c r="Y48" s="118" t="str">
        <f>+VLOOKUP(Agencia[[#This Row],[contenido]],Estructura!$E$4:$G$500,3,0)</f>
        <v>C-996</v>
      </c>
      <c r="Z48" s="118" t="str">
        <f>+VLOOKUP(Agencia[[#This Row],[Filtro Integrado]],Estructura!$I$4:$K$500,3,0)</f>
        <v>FI-994</v>
      </c>
      <c r="AA48" s="118" t="str">
        <f>+VLOOKUP(Agencia[[#This Row],[Muestra]],Estructura!$M$4:$O$500,3,0)</f>
        <v>M-993</v>
      </c>
    </row>
    <row r="49" spans="1:27" ht="57.6" x14ac:dyDescent="0.3">
      <c r="A49" s="21" t="s">
        <v>448</v>
      </c>
      <c r="B49" s="24">
        <f t="shared" si="29"/>
        <v>990</v>
      </c>
      <c r="C49" s="25" t="str">
        <f t="shared" si="30"/>
        <v>Agencia Información</v>
      </c>
      <c r="D49" s="25" t="str">
        <f t="shared" si="32"/>
        <v>Mujeres</v>
      </c>
      <c r="E49" s="19">
        <v>3</v>
      </c>
      <c r="F49" s="25" t="s">
        <v>463</v>
      </c>
      <c r="G49" s="26" t="s">
        <v>3762</v>
      </c>
      <c r="H49" s="35" t="s">
        <v>16</v>
      </c>
      <c r="I49" s="36" t="s">
        <v>370</v>
      </c>
      <c r="J49" s="24" t="str">
        <f t="shared" si="33"/>
        <v>Región-Comuna</v>
      </c>
      <c r="K49" s="24" t="str">
        <f t="shared" si="38"/>
        <v>Denuncias por violación por comuna</v>
      </c>
      <c r="L49" s="24" t="str">
        <f t="shared" si="34"/>
        <v>Periodo 2008-2020</v>
      </c>
      <c r="M49" s="24" t="str">
        <f t="shared" si="35"/>
        <v>Número de Denuncias</v>
      </c>
      <c r="N49" s="24" t="str">
        <f t="shared" si="36"/>
        <v>Centro de Estudios y Análisis del Delito (CEAD) de la Subsecretaría de Prevención del Delito</v>
      </c>
      <c r="O49" s="20" t="str">
        <f>+"Distribución comunal de denuncias por violación en la "&amp;I49&amp;" en el "&amp;Agencia[[#This Row],[temporalidad]]</f>
        <v>Distribución comunal de denuncias por violación en la Región de Atacama en el Periodo 2008-2020</v>
      </c>
      <c r="P49" s="20"/>
      <c r="Q49" s="11" t="str">
        <f t="shared" si="37"/>
        <v>Gráfico de Evolución</v>
      </c>
      <c r="R49" s="20" t="str">
        <f>Agencia[[#This Row],[territorio]]&amp;" comunas violencia mujer violación denuncias"</f>
        <v>Región de Atacama comunas violencia mujer violación denuncias</v>
      </c>
      <c r="S49" s="39" t="str">
        <f>HYPERLINK("https://analytics.zoho.com/open-view/2395394000008231335?ZOHO_CRITERIA=%22Localiza%20CL%22.%22Codreg%22%3D"&amp;Agencia[[#This Row],[Filtro URL]])</f>
        <v>https://analytics.zoho.com/open-view/2395394000008231335?ZOHO_CRITERIA=%22Localiza%20CL%22.%22Codreg%22%3D3</v>
      </c>
      <c r="T49" s="69" t="str">
        <f>"100-C-"&amp;Agencia[[#This Row],[Filtro URL]]</f>
        <v>100-C-3</v>
      </c>
      <c r="U49" s="50" t="str">
        <f t="shared" si="31"/>
        <v>#1774B9</v>
      </c>
      <c r="V49" s="118" t="str">
        <f>+Agencia[[#This Row],[idcoleccion]]&amp;"-"&amp;Agencia[[#This Row],[id]]</f>
        <v>990-0038</v>
      </c>
      <c r="W49" s="118">
        <f>+VLOOKUP(Agencia[[#This Row],[Filtro URL]],Estructura!$X$4:$Y$500,2,0)</f>
        <v>99200003</v>
      </c>
      <c r="X49" s="118" t="str">
        <f>+VLOOKUP(Agencia[[#This Row],[tema]],Estructura!$A$4:$C$500,3,0)</f>
        <v>T-1028</v>
      </c>
      <c r="Y49" s="118" t="str">
        <f>+VLOOKUP(Agencia[[#This Row],[contenido]],Estructura!$E$4:$G$500,3,0)</f>
        <v>C-996</v>
      </c>
      <c r="Z49" s="118" t="str">
        <f>+VLOOKUP(Agencia[[#This Row],[Filtro Integrado]],Estructura!$I$4:$K$500,3,0)</f>
        <v>FI-994</v>
      </c>
      <c r="AA49" s="118" t="str">
        <f>+VLOOKUP(Agencia[[#This Row],[Muestra]],Estructura!$M$4:$O$500,3,0)</f>
        <v>M-993</v>
      </c>
    </row>
    <row r="50" spans="1:27" ht="57.6" x14ac:dyDescent="0.3">
      <c r="A50" s="21" t="s">
        <v>449</v>
      </c>
      <c r="B50" s="24">
        <f t="shared" si="29"/>
        <v>990</v>
      </c>
      <c r="C50" s="25" t="str">
        <f t="shared" si="30"/>
        <v>Agencia Información</v>
      </c>
      <c r="D50" s="25" t="str">
        <f t="shared" si="32"/>
        <v>Mujeres</v>
      </c>
      <c r="E50" s="19">
        <v>4</v>
      </c>
      <c r="F50" s="25" t="s">
        <v>463</v>
      </c>
      <c r="G50" s="26" t="s">
        <v>3762</v>
      </c>
      <c r="H50" s="35" t="s">
        <v>16</v>
      </c>
      <c r="I50" s="36" t="s">
        <v>371</v>
      </c>
      <c r="J50" s="24" t="str">
        <f t="shared" si="33"/>
        <v>Región-Comuna</v>
      </c>
      <c r="K50" s="24" t="str">
        <f t="shared" si="38"/>
        <v>Denuncias por violación por comuna</v>
      </c>
      <c r="L50" s="24" t="str">
        <f t="shared" si="34"/>
        <v>Periodo 2008-2020</v>
      </c>
      <c r="M50" s="24" t="str">
        <f t="shared" si="35"/>
        <v>Número de Denuncias</v>
      </c>
      <c r="N50" s="24" t="str">
        <f t="shared" si="36"/>
        <v>Centro de Estudios y Análisis del Delito (CEAD) de la Subsecretaría de Prevención del Delito</v>
      </c>
      <c r="O50" s="20" t="str">
        <f>+"Distribución comunal de denuncias por violación en la "&amp;I50&amp;" en el "&amp;Agencia[[#This Row],[temporalidad]]</f>
        <v>Distribución comunal de denuncias por violación en la Región de Coquimbo en el Periodo 2008-2020</v>
      </c>
      <c r="P50" s="20"/>
      <c r="Q50" s="11" t="str">
        <f t="shared" si="37"/>
        <v>Gráfico de Evolución</v>
      </c>
      <c r="R50" s="20" t="str">
        <f>Agencia[[#This Row],[territorio]]&amp;" comunas violencia mujer violación denuncias"</f>
        <v>Región de Coquimbo comunas violencia mujer violación denuncias</v>
      </c>
      <c r="S50" s="39" t="str">
        <f>HYPERLINK("https://analytics.zoho.com/open-view/2395394000008231335?ZOHO_CRITERIA=%22Localiza%20CL%22.%22Codreg%22%3D"&amp;Agencia[[#This Row],[Filtro URL]])</f>
        <v>https://analytics.zoho.com/open-view/2395394000008231335?ZOHO_CRITERIA=%22Localiza%20CL%22.%22Codreg%22%3D4</v>
      </c>
      <c r="T50" s="69" t="str">
        <f>"100-C-"&amp;Agencia[[#This Row],[Filtro URL]]</f>
        <v>100-C-4</v>
      </c>
      <c r="U50" s="50" t="str">
        <f t="shared" si="31"/>
        <v>#1774B9</v>
      </c>
      <c r="V50" s="118" t="str">
        <f>+Agencia[[#This Row],[idcoleccion]]&amp;"-"&amp;Agencia[[#This Row],[id]]</f>
        <v>990-0039</v>
      </c>
      <c r="W50" s="118">
        <f>+VLOOKUP(Agencia[[#This Row],[Filtro URL]],Estructura!$X$4:$Y$500,2,0)</f>
        <v>99200004</v>
      </c>
      <c r="X50" s="118" t="str">
        <f>+VLOOKUP(Agencia[[#This Row],[tema]],Estructura!$A$4:$C$500,3,0)</f>
        <v>T-1028</v>
      </c>
      <c r="Y50" s="118" t="str">
        <f>+VLOOKUP(Agencia[[#This Row],[contenido]],Estructura!$E$4:$G$500,3,0)</f>
        <v>C-996</v>
      </c>
      <c r="Z50" s="118" t="str">
        <f>+VLOOKUP(Agencia[[#This Row],[Filtro Integrado]],Estructura!$I$4:$K$500,3,0)</f>
        <v>FI-994</v>
      </c>
      <c r="AA50" s="118" t="str">
        <f>+VLOOKUP(Agencia[[#This Row],[Muestra]],Estructura!$M$4:$O$500,3,0)</f>
        <v>M-993</v>
      </c>
    </row>
    <row r="51" spans="1:27" ht="57.6" x14ac:dyDescent="0.3">
      <c r="A51" s="21" t="s">
        <v>450</v>
      </c>
      <c r="B51" s="24">
        <f t="shared" si="29"/>
        <v>990</v>
      </c>
      <c r="C51" s="25" t="str">
        <f t="shared" si="30"/>
        <v>Agencia Información</v>
      </c>
      <c r="D51" s="25" t="str">
        <f t="shared" si="32"/>
        <v>Mujeres</v>
      </c>
      <c r="E51" s="19">
        <v>5</v>
      </c>
      <c r="F51" s="25" t="s">
        <v>463</v>
      </c>
      <c r="G51" s="26" t="s">
        <v>3762</v>
      </c>
      <c r="H51" s="35" t="s">
        <v>16</v>
      </c>
      <c r="I51" s="36" t="s">
        <v>372</v>
      </c>
      <c r="J51" s="24" t="str">
        <f t="shared" si="33"/>
        <v>Región-Comuna</v>
      </c>
      <c r="K51" s="24" t="str">
        <f t="shared" si="38"/>
        <v>Denuncias por violación por comuna</v>
      </c>
      <c r="L51" s="24" t="str">
        <f t="shared" si="34"/>
        <v>Periodo 2008-2020</v>
      </c>
      <c r="M51" s="24" t="str">
        <f t="shared" si="35"/>
        <v>Número de Denuncias</v>
      </c>
      <c r="N51" s="24" t="str">
        <f t="shared" si="36"/>
        <v>Centro de Estudios y Análisis del Delito (CEAD) de la Subsecretaría de Prevención del Delito</v>
      </c>
      <c r="O51" s="20" t="str">
        <f>+"Distribución comunal de denuncias por violación en la "&amp;I51&amp;" en el "&amp;Agencia[[#This Row],[temporalidad]]</f>
        <v>Distribución comunal de denuncias por violación en la Región de Valparaíso en el Periodo 2008-2020</v>
      </c>
      <c r="P51" s="20"/>
      <c r="Q51" s="11" t="str">
        <f t="shared" si="37"/>
        <v>Gráfico de Evolución</v>
      </c>
      <c r="R51" s="20" t="str">
        <f>Agencia[[#This Row],[territorio]]&amp;" comunas violencia mujer violación denuncias"</f>
        <v>Región de Valparaíso comunas violencia mujer violación denuncias</v>
      </c>
      <c r="S51" s="39" t="str">
        <f>HYPERLINK("https://analytics.zoho.com/open-view/2395394000008231335?ZOHO_CRITERIA=%22Localiza%20CL%22.%22Codreg%22%3D"&amp;Agencia[[#This Row],[Filtro URL]])</f>
        <v>https://analytics.zoho.com/open-view/2395394000008231335?ZOHO_CRITERIA=%22Localiza%20CL%22.%22Codreg%22%3D5</v>
      </c>
      <c r="T51" s="69" t="str">
        <f>"100-C-"&amp;Agencia[[#This Row],[Filtro URL]]</f>
        <v>100-C-5</v>
      </c>
      <c r="U51" s="50" t="str">
        <f t="shared" si="31"/>
        <v>#1774B9</v>
      </c>
      <c r="V51" s="118" t="str">
        <f>+Agencia[[#This Row],[idcoleccion]]&amp;"-"&amp;Agencia[[#This Row],[id]]</f>
        <v>990-0040</v>
      </c>
      <c r="W51" s="118">
        <f>+VLOOKUP(Agencia[[#This Row],[Filtro URL]],Estructura!$X$4:$Y$500,2,0)</f>
        <v>99200005</v>
      </c>
      <c r="X51" s="118" t="str">
        <f>+VLOOKUP(Agencia[[#This Row],[tema]],Estructura!$A$4:$C$500,3,0)</f>
        <v>T-1028</v>
      </c>
      <c r="Y51" s="118" t="str">
        <f>+VLOOKUP(Agencia[[#This Row],[contenido]],Estructura!$E$4:$G$500,3,0)</f>
        <v>C-996</v>
      </c>
      <c r="Z51" s="118" t="str">
        <f>+VLOOKUP(Agencia[[#This Row],[Filtro Integrado]],Estructura!$I$4:$K$500,3,0)</f>
        <v>FI-994</v>
      </c>
      <c r="AA51" s="118" t="str">
        <f>+VLOOKUP(Agencia[[#This Row],[Muestra]],Estructura!$M$4:$O$500,3,0)</f>
        <v>M-993</v>
      </c>
    </row>
    <row r="52" spans="1:27" ht="57.6" x14ac:dyDescent="0.3">
      <c r="A52" s="21" t="s">
        <v>451</v>
      </c>
      <c r="B52" s="24">
        <f t="shared" si="29"/>
        <v>990</v>
      </c>
      <c r="C52" s="25" t="str">
        <f t="shared" si="30"/>
        <v>Agencia Información</v>
      </c>
      <c r="D52" s="25" t="str">
        <f t="shared" si="32"/>
        <v>Mujeres</v>
      </c>
      <c r="E52" s="19">
        <v>6</v>
      </c>
      <c r="F52" s="25" t="s">
        <v>463</v>
      </c>
      <c r="G52" s="26" t="s">
        <v>3762</v>
      </c>
      <c r="H52" s="35" t="s">
        <v>16</v>
      </c>
      <c r="I52" s="36" t="s">
        <v>373</v>
      </c>
      <c r="J52" s="24" t="str">
        <f t="shared" si="33"/>
        <v>Región-Comuna</v>
      </c>
      <c r="K52" s="24" t="str">
        <f t="shared" si="38"/>
        <v>Denuncias por violación por comuna</v>
      </c>
      <c r="L52" s="24" t="str">
        <f t="shared" si="34"/>
        <v>Periodo 2008-2020</v>
      </c>
      <c r="M52" s="24" t="str">
        <f t="shared" si="35"/>
        <v>Número de Denuncias</v>
      </c>
      <c r="N52" s="24" t="str">
        <f t="shared" si="36"/>
        <v>Centro de Estudios y Análisis del Delito (CEAD) de la Subsecretaría de Prevención del Delito</v>
      </c>
      <c r="O52" s="20" t="str">
        <f>+"Distribución comunal de denuncias por violación en la "&amp;I52&amp;" en el "&amp;Agencia[[#This Row],[temporalidad]]</f>
        <v>Distribución comunal de denuncias por violación en la Región de O'Higgins en el Periodo 2008-2020</v>
      </c>
      <c r="P52" s="20"/>
      <c r="Q52" s="11" t="str">
        <f t="shared" si="37"/>
        <v>Gráfico de Evolución</v>
      </c>
      <c r="R52" s="20" t="str">
        <f>Agencia[[#This Row],[territorio]]&amp;" comunas violencia mujer violación denuncias"</f>
        <v>Región de O'Higgins comunas violencia mujer violación denuncias</v>
      </c>
      <c r="S52" s="39" t="str">
        <f>HYPERLINK("https://analytics.zoho.com/open-view/2395394000008231335?ZOHO_CRITERIA=%22Localiza%20CL%22.%22Codreg%22%3D"&amp;Agencia[[#This Row],[Filtro URL]])</f>
        <v>https://analytics.zoho.com/open-view/2395394000008231335?ZOHO_CRITERIA=%22Localiza%20CL%22.%22Codreg%22%3D6</v>
      </c>
      <c r="T52" s="69" t="str">
        <f>"100-C-"&amp;Agencia[[#This Row],[Filtro URL]]</f>
        <v>100-C-6</v>
      </c>
      <c r="U52" s="50" t="str">
        <f t="shared" si="31"/>
        <v>#1774B9</v>
      </c>
      <c r="V52" s="118" t="str">
        <f>+Agencia[[#This Row],[idcoleccion]]&amp;"-"&amp;Agencia[[#This Row],[id]]</f>
        <v>990-0041</v>
      </c>
      <c r="W52" s="118">
        <f>+VLOOKUP(Agencia[[#This Row],[Filtro URL]],Estructura!$X$4:$Y$500,2,0)</f>
        <v>99200006</v>
      </c>
      <c r="X52" s="118" t="str">
        <f>+VLOOKUP(Agencia[[#This Row],[tema]],Estructura!$A$4:$C$500,3,0)</f>
        <v>T-1028</v>
      </c>
      <c r="Y52" s="118" t="str">
        <f>+VLOOKUP(Agencia[[#This Row],[contenido]],Estructura!$E$4:$G$500,3,0)</f>
        <v>C-996</v>
      </c>
      <c r="Z52" s="118" t="str">
        <f>+VLOOKUP(Agencia[[#This Row],[Filtro Integrado]],Estructura!$I$4:$K$500,3,0)</f>
        <v>FI-994</v>
      </c>
      <c r="AA52" s="118" t="str">
        <f>+VLOOKUP(Agencia[[#This Row],[Muestra]],Estructura!$M$4:$O$500,3,0)</f>
        <v>M-993</v>
      </c>
    </row>
    <row r="53" spans="1:27" ht="57.6" x14ac:dyDescent="0.3">
      <c r="A53" s="21" t="s">
        <v>452</v>
      </c>
      <c r="B53" s="24">
        <f t="shared" si="29"/>
        <v>990</v>
      </c>
      <c r="C53" s="25" t="str">
        <f t="shared" si="30"/>
        <v>Agencia Información</v>
      </c>
      <c r="D53" s="25" t="str">
        <f t="shared" si="32"/>
        <v>Mujeres</v>
      </c>
      <c r="E53" s="19">
        <v>7</v>
      </c>
      <c r="F53" s="25" t="s">
        <v>463</v>
      </c>
      <c r="G53" s="26" t="s">
        <v>3762</v>
      </c>
      <c r="H53" s="35" t="s">
        <v>16</v>
      </c>
      <c r="I53" s="36" t="s">
        <v>374</v>
      </c>
      <c r="J53" s="24" t="str">
        <f t="shared" si="33"/>
        <v>Región-Comuna</v>
      </c>
      <c r="K53" s="24" t="str">
        <f t="shared" si="38"/>
        <v>Denuncias por violación por comuna</v>
      </c>
      <c r="L53" s="24" t="str">
        <f t="shared" si="34"/>
        <v>Periodo 2008-2020</v>
      </c>
      <c r="M53" s="24" t="str">
        <f t="shared" si="35"/>
        <v>Número de Denuncias</v>
      </c>
      <c r="N53" s="24" t="str">
        <f t="shared" si="36"/>
        <v>Centro de Estudios y Análisis del Delito (CEAD) de la Subsecretaría de Prevención del Delito</v>
      </c>
      <c r="O53" s="20" t="str">
        <f>+"Distribución comunal de denuncias por violación en la "&amp;I53&amp;" en el "&amp;Agencia[[#This Row],[temporalidad]]</f>
        <v>Distribución comunal de denuncias por violación en la Región de Maule en el Periodo 2008-2020</v>
      </c>
      <c r="P53" s="20"/>
      <c r="Q53" s="11" t="str">
        <f t="shared" si="37"/>
        <v>Gráfico de Evolución</v>
      </c>
      <c r="R53" s="20" t="str">
        <f>Agencia[[#This Row],[territorio]]&amp;" comunas violencia mujer violación denuncias"</f>
        <v>Región de Maule comunas violencia mujer violación denuncias</v>
      </c>
      <c r="S53" s="39" t="str">
        <f>HYPERLINK("https://analytics.zoho.com/open-view/2395394000008231335?ZOHO_CRITERIA=%22Localiza%20CL%22.%22Codreg%22%3D"&amp;Agencia[[#This Row],[Filtro URL]])</f>
        <v>https://analytics.zoho.com/open-view/2395394000008231335?ZOHO_CRITERIA=%22Localiza%20CL%22.%22Codreg%22%3D7</v>
      </c>
      <c r="T53" s="69" t="str">
        <f>"100-C-"&amp;Agencia[[#This Row],[Filtro URL]]</f>
        <v>100-C-7</v>
      </c>
      <c r="U53" s="50" t="str">
        <f t="shared" si="31"/>
        <v>#1774B9</v>
      </c>
      <c r="V53" s="118" t="str">
        <f>+Agencia[[#This Row],[idcoleccion]]&amp;"-"&amp;Agencia[[#This Row],[id]]</f>
        <v>990-0042</v>
      </c>
      <c r="W53" s="118">
        <f>+VLOOKUP(Agencia[[#This Row],[Filtro URL]],Estructura!$X$4:$Y$500,2,0)</f>
        <v>99200007</v>
      </c>
      <c r="X53" s="118" t="str">
        <f>+VLOOKUP(Agencia[[#This Row],[tema]],Estructura!$A$4:$C$500,3,0)</f>
        <v>T-1028</v>
      </c>
      <c r="Y53" s="118" t="str">
        <f>+VLOOKUP(Agencia[[#This Row],[contenido]],Estructura!$E$4:$G$500,3,0)</f>
        <v>C-996</v>
      </c>
      <c r="Z53" s="118" t="str">
        <f>+VLOOKUP(Agencia[[#This Row],[Filtro Integrado]],Estructura!$I$4:$K$500,3,0)</f>
        <v>FI-994</v>
      </c>
      <c r="AA53" s="118" t="str">
        <f>+VLOOKUP(Agencia[[#This Row],[Muestra]],Estructura!$M$4:$O$500,3,0)</f>
        <v>M-993</v>
      </c>
    </row>
    <row r="54" spans="1:27" ht="57.6" x14ac:dyDescent="0.3">
      <c r="A54" s="21" t="s">
        <v>453</v>
      </c>
      <c r="B54" s="24">
        <f t="shared" si="29"/>
        <v>990</v>
      </c>
      <c r="C54" s="25" t="str">
        <f t="shared" si="30"/>
        <v>Agencia Información</v>
      </c>
      <c r="D54" s="25" t="str">
        <f t="shared" si="32"/>
        <v>Mujeres</v>
      </c>
      <c r="E54" s="19">
        <v>8</v>
      </c>
      <c r="F54" s="25" t="s">
        <v>463</v>
      </c>
      <c r="G54" s="26" t="s">
        <v>3762</v>
      </c>
      <c r="H54" s="35" t="s">
        <v>16</v>
      </c>
      <c r="I54" s="36" t="s">
        <v>375</v>
      </c>
      <c r="J54" s="24" t="str">
        <f t="shared" si="33"/>
        <v>Región-Comuna</v>
      </c>
      <c r="K54" s="24" t="str">
        <f t="shared" si="38"/>
        <v>Denuncias por violación por comuna</v>
      </c>
      <c r="L54" s="24" t="str">
        <f t="shared" si="34"/>
        <v>Periodo 2008-2020</v>
      </c>
      <c r="M54" s="24" t="str">
        <f t="shared" si="35"/>
        <v>Número de Denuncias</v>
      </c>
      <c r="N54" s="24" t="str">
        <f t="shared" si="36"/>
        <v>Centro de Estudios y Análisis del Delito (CEAD) de la Subsecretaría de Prevención del Delito</v>
      </c>
      <c r="O54" s="20" t="str">
        <f>+"Distribución comunal de denuncias por violación en la "&amp;I54&amp;" en el "&amp;Agencia[[#This Row],[temporalidad]]</f>
        <v>Distribución comunal de denuncias por violación en la Región del Biobío en el Periodo 2008-2020</v>
      </c>
      <c r="P54" s="20"/>
      <c r="Q54" s="11" t="str">
        <f t="shared" si="37"/>
        <v>Gráfico de Evolución</v>
      </c>
      <c r="R54" s="20" t="str">
        <f>Agencia[[#This Row],[territorio]]&amp;" comunas violencia mujer violación denuncias"</f>
        <v>Región del Biobío comunas violencia mujer violación denuncias</v>
      </c>
      <c r="S54" s="39" t="str">
        <f>HYPERLINK("https://analytics.zoho.com/open-view/2395394000008231335?ZOHO_CRITERIA=%22Localiza%20CL%22.%22Codreg%22%3D"&amp;Agencia[[#This Row],[Filtro URL]])</f>
        <v>https://analytics.zoho.com/open-view/2395394000008231335?ZOHO_CRITERIA=%22Localiza%20CL%22.%22Codreg%22%3D8</v>
      </c>
      <c r="T54" s="69" t="str">
        <f>"100-C-"&amp;Agencia[[#This Row],[Filtro URL]]</f>
        <v>100-C-8</v>
      </c>
      <c r="U54" s="50" t="str">
        <f t="shared" si="31"/>
        <v>#1774B9</v>
      </c>
      <c r="V54" s="118" t="str">
        <f>+Agencia[[#This Row],[idcoleccion]]&amp;"-"&amp;Agencia[[#This Row],[id]]</f>
        <v>990-0043</v>
      </c>
      <c r="W54" s="118">
        <f>+VLOOKUP(Agencia[[#This Row],[Filtro URL]],Estructura!$X$4:$Y$500,2,0)</f>
        <v>99200008</v>
      </c>
      <c r="X54" s="118" t="str">
        <f>+VLOOKUP(Agencia[[#This Row],[tema]],Estructura!$A$4:$C$500,3,0)</f>
        <v>T-1028</v>
      </c>
      <c r="Y54" s="118" t="str">
        <f>+VLOOKUP(Agencia[[#This Row],[contenido]],Estructura!$E$4:$G$500,3,0)</f>
        <v>C-996</v>
      </c>
      <c r="Z54" s="118" t="str">
        <f>+VLOOKUP(Agencia[[#This Row],[Filtro Integrado]],Estructura!$I$4:$K$500,3,0)</f>
        <v>FI-994</v>
      </c>
      <c r="AA54" s="118" t="str">
        <f>+VLOOKUP(Agencia[[#This Row],[Muestra]],Estructura!$M$4:$O$500,3,0)</f>
        <v>M-993</v>
      </c>
    </row>
    <row r="55" spans="1:27" ht="57.6" x14ac:dyDescent="0.3">
      <c r="A55" s="21" t="s">
        <v>454</v>
      </c>
      <c r="B55" s="24">
        <f t="shared" si="29"/>
        <v>990</v>
      </c>
      <c r="C55" s="25" t="str">
        <f t="shared" si="30"/>
        <v>Agencia Información</v>
      </c>
      <c r="D55" s="25" t="str">
        <f t="shared" si="32"/>
        <v>Mujeres</v>
      </c>
      <c r="E55" s="19">
        <v>9</v>
      </c>
      <c r="F55" s="25" t="s">
        <v>463</v>
      </c>
      <c r="G55" s="26" t="s">
        <v>3762</v>
      </c>
      <c r="H55" s="35" t="s">
        <v>16</v>
      </c>
      <c r="I55" s="36" t="s">
        <v>376</v>
      </c>
      <c r="J55" s="24" t="str">
        <f t="shared" si="33"/>
        <v>Región-Comuna</v>
      </c>
      <c r="K55" s="24" t="str">
        <f t="shared" si="38"/>
        <v>Denuncias por violación por comuna</v>
      </c>
      <c r="L55" s="24" t="str">
        <f t="shared" si="34"/>
        <v>Periodo 2008-2020</v>
      </c>
      <c r="M55" s="24" t="str">
        <f t="shared" si="35"/>
        <v>Número de Denuncias</v>
      </c>
      <c r="N55" s="24" t="str">
        <f t="shared" si="36"/>
        <v>Centro de Estudios y Análisis del Delito (CEAD) de la Subsecretaría de Prevención del Delito</v>
      </c>
      <c r="O55" s="20" t="str">
        <f>+"Distribución comunal de denuncias por violación en la "&amp;I55&amp;" en el "&amp;Agencia[[#This Row],[temporalidad]]</f>
        <v>Distribución comunal de denuncias por violación en la Región de La Araucanía en el Periodo 2008-2020</v>
      </c>
      <c r="P55" s="20"/>
      <c r="Q55" s="11" t="str">
        <f t="shared" si="37"/>
        <v>Gráfico de Evolución</v>
      </c>
      <c r="R55" s="20" t="str">
        <f>Agencia[[#This Row],[territorio]]&amp;" comunas violencia mujer violación denuncias"</f>
        <v>Región de La Araucanía comunas violencia mujer violación denuncias</v>
      </c>
      <c r="S55" s="39" t="str">
        <f>HYPERLINK("https://analytics.zoho.com/open-view/2395394000008231335?ZOHO_CRITERIA=%22Localiza%20CL%22.%22Codreg%22%3D"&amp;Agencia[[#This Row],[Filtro URL]])</f>
        <v>https://analytics.zoho.com/open-view/2395394000008231335?ZOHO_CRITERIA=%22Localiza%20CL%22.%22Codreg%22%3D9</v>
      </c>
      <c r="T55" s="69" t="str">
        <f>"100-C-"&amp;Agencia[[#This Row],[Filtro URL]]</f>
        <v>100-C-9</v>
      </c>
      <c r="U55" s="50" t="str">
        <f t="shared" si="31"/>
        <v>#1774B9</v>
      </c>
      <c r="V55" s="118" t="str">
        <f>+Agencia[[#This Row],[idcoleccion]]&amp;"-"&amp;Agencia[[#This Row],[id]]</f>
        <v>990-0044</v>
      </c>
      <c r="W55" s="118">
        <f>+VLOOKUP(Agencia[[#This Row],[Filtro URL]],Estructura!$X$4:$Y$500,2,0)</f>
        <v>99200009</v>
      </c>
      <c r="X55" s="118" t="str">
        <f>+VLOOKUP(Agencia[[#This Row],[tema]],Estructura!$A$4:$C$500,3,0)</f>
        <v>T-1028</v>
      </c>
      <c r="Y55" s="118" t="str">
        <f>+VLOOKUP(Agencia[[#This Row],[contenido]],Estructura!$E$4:$G$500,3,0)</f>
        <v>C-996</v>
      </c>
      <c r="Z55" s="118" t="str">
        <f>+VLOOKUP(Agencia[[#This Row],[Filtro Integrado]],Estructura!$I$4:$K$500,3,0)</f>
        <v>FI-994</v>
      </c>
      <c r="AA55" s="118" t="str">
        <f>+VLOOKUP(Agencia[[#This Row],[Muestra]],Estructura!$M$4:$O$500,3,0)</f>
        <v>M-993</v>
      </c>
    </row>
    <row r="56" spans="1:27" ht="57.6" x14ac:dyDescent="0.3">
      <c r="A56" s="21" t="s">
        <v>455</v>
      </c>
      <c r="B56" s="24">
        <f t="shared" si="29"/>
        <v>990</v>
      </c>
      <c r="C56" s="25" t="str">
        <f t="shared" si="30"/>
        <v>Agencia Información</v>
      </c>
      <c r="D56" s="25" t="str">
        <f t="shared" si="32"/>
        <v>Mujeres</v>
      </c>
      <c r="E56" s="19">
        <v>10</v>
      </c>
      <c r="F56" s="25" t="s">
        <v>463</v>
      </c>
      <c r="G56" s="26" t="s">
        <v>3762</v>
      </c>
      <c r="H56" s="35" t="s">
        <v>16</v>
      </c>
      <c r="I56" s="36" t="s">
        <v>377</v>
      </c>
      <c r="J56" s="24" t="str">
        <f t="shared" si="33"/>
        <v>Región-Comuna</v>
      </c>
      <c r="K56" s="24" t="str">
        <f t="shared" si="38"/>
        <v>Denuncias por violación por comuna</v>
      </c>
      <c r="L56" s="24" t="str">
        <f t="shared" si="34"/>
        <v>Periodo 2008-2020</v>
      </c>
      <c r="M56" s="24" t="str">
        <f t="shared" si="35"/>
        <v>Número de Denuncias</v>
      </c>
      <c r="N56" s="24" t="str">
        <f t="shared" si="36"/>
        <v>Centro de Estudios y Análisis del Delito (CEAD) de la Subsecretaría de Prevención del Delito</v>
      </c>
      <c r="O56" s="20" t="str">
        <f>+"Distribución comunal de denuncias por violación en la "&amp;I56&amp;" en el "&amp;Agencia[[#This Row],[temporalidad]]</f>
        <v>Distribución comunal de denuncias por violación en la Región de Los Lagos en el Periodo 2008-2020</v>
      </c>
      <c r="P56" s="20"/>
      <c r="Q56" s="11" t="str">
        <f t="shared" si="37"/>
        <v>Gráfico de Evolución</v>
      </c>
      <c r="R56" s="20" t="str">
        <f>Agencia[[#This Row],[territorio]]&amp;" comunas violencia mujer violación denuncias"</f>
        <v>Región de Los Lagos comunas violencia mujer violación denuncias</v>
      </c>
      <c r="S56" s="39" t="str">
        <f>HYPERLINK("https://analytics.zoho.com/open-view/2395394000008231335?ZOHO_CRITERIA=%22Localiza%20CL%22.%22Codreg%22%3D"&amp;Agencia[[#This Row],[Filtro URL]])</f>
        <v>https://analytics.zoho.com/open-view/2395394000008231335?ZOHO_CRITERIA=%22Localiza%20CL%22.%22Codreg%22%3D10</v>
      </c>
      <c r="T56" s="69" t="str">
        <f>"100-C-"&amp;Agencia[[#This Row],[Filtro URL]]</f>
        <v>100-C-10</v>
      </c>
      <c r="U56" s="50" t="str">
        <f t="shared" si="31"/>
        <v>#1774B9</v>
      </c>
      <c r="V56" s="118" t="str">
        <f>+Agencia[[#This Row],[idcoleccion]]&amp;"-"&amp;Agencia[[#This Row],[id]]</f>
        <v>990-0045</v>
      </c>
      <c r="W56" s="118">
        <f>+VLOOKUP(Agencia[[#This Row],[Filtro URL]],Estructura!$X$4:$Y$500,2,0)</f>
        <v>99200010</v>
      </c>
      <c r="X56" s="118" t="str">
        <f>+VLOOKUP(Agencia[[#This Row],[tema]],Estructura!$A$4:$C$500,3,0)</f>
        <v>T-1028</v>
      </c>
      <c r="Y56" s="118" t="str">
        <f>+VLOOKUP(Agencia[[#This Row],[contenido]],Estructura!$E$4:$G$500,3,0)</f>
        <v>C-996</v>
      </c>
      <c r="Z56" s="118" t="str">
        <f>+VLOOKUP(Agencia[[#This Row],[Filtro Integrado]],Estructura!$I$4:$K$500,3,0)</f>
        <v>FI-994</v>
      </c>
      <c r="AA56" s="118" t="str">
        <f>+VLOOKUP(Agencia[[#This Row],[Muestra]],Estructura!$M$4:$O$500,3,0)</f>
        <v>M-993</v>
      </c>
    </row>
    <row r="57" spans="1:27" ht="57.6" x14ac:dyDescent="0.3">
      <c r="A57" s="21" t="s">
        <v>456</v>
      </c>
      <c r="B57" s="24">
        <f t="shared" si="29"/>
        <v>990</v>
      </c>
      <c r="C57" s="25" t="str">
        <f t="shared" si="30"/>
        <v>Agencia Información</v>
      </c>
      <c r="D57" s="25" t="str">
        <f t="shared" si="32"/>
        <v>Mujeres</v>
      </c>
      <c r="E57" s="19">
        <v>11</v>
      </c>
      <c r="F57" s="25" t="s">
        <v>463</v>
      </c>
      <c r="G57" s="26" t="s">
        <v>3762</v>
      </c>
      <c r="H57" s="35" t="s">
        <v>16</v>
      </c>
      <c r="I57" s="36" t="s">
        <v>378</v>
      </c>
      <c r="J57" s="24" t="str">
        <f t="shared" si="33"/>
        <v>Región-Comuna</v>
      </c>
      <c r="K57" s="24" t="str">
        <f t="shared" si="38"/>
        <v>Denuncias por violación por comuna</v>
      </c>
      <c r="L57" s="24" t="str">
        <f t="shared" si="34"/>
        <v>Periodo 2008-2020</v>
      </c>
      <c r="M57" s="24" t="str">
        <f t="shared" si="35"/>
        <v>Número de Denuncias</v>
      </c>
      <c r="N57" s="24" t="str">
        <f t="shared" si="36"/>
        <v>Centro de Estudios y Análisis del Delito (CEAD) de la Subsecretaría de Prevención del Delito</v>
      </c>
      <c r="O57" s="20" t="str">
        <f>+"Distribución comunal de denuncias por violación en la "&amp;I57&amp;" en el "&amp;Agencia[[#This Row],[temporalidad]]</f>
        <v>Distribución comunal de denuncias por violación en la Región de Aysén en el Periodo 2008-2020</v>
      </c>
      <c r="P57" s="20"/>
      <c r="Q57" s="11" t="str">
        <f t="shared" si="37"/>
        <v>Gráfico de Evolución</v>
      </c>
      <c r="R57" s="20" t="str">
        <f>Agencia[[#This Row],[territorio]]&amp;" comunas violencia mujer violación denuncias"</f>
        <v>Región de Aysén comunas violencia mujer violación denuncias</v>
      </c>
      <c r="S57" s="39" t="str">
        <f>HYPERLINK("https://analytics.zoho.com/open-view/2395394000008231335?ZOHO_CRITERIA=%22Localiza%20CL%22.%22Codreg%22%3D"&amp;Agencia[[#This Row],[Filtro URL]])</f>
        <v>https://analytics.zoho.com/open-view/2395394000008231335?ZOHO_CRITERIA=%22Localiza%20CL%22.%22Codreg%22%3D11</v>
      </c>
      <c r="T57" s="69" t="str">
        <f>"100-C-"&amp;Agencia[[#This Row],[Filtro URL]]</f>
        <v>100-C-11</v>
      </c>
      <c r="U57" s="50" t="str">
        <f t="shared" si="31"/>
        <v>#1774B9</v>
      </c>
      <c r="V57" s="118" t="str">
        <f>+Agencia[[#This Row],[idcoleccion]]&amp;"-"&amp;Agencia[[#This Row],[id]]</f>
        <v>990-0046</v>
      </c>
      <c r="W57" s="118">
        <f>+VLOOKUP(Agencia[[#This Row],[Filtro URL]],Estructura!$X$4:$Y$500,2,0)</f>
        <v>99200011</v>
      </c>
      <c r="X57" s="118" t="str">
        <f>+VLOOKUP(Agencia[[#This Row],[tema]],Estructura!$A$4:$C$500,3,0)</f>
        <v>T-1028</v>
      </c>
      <c r="Y57" s="118" t="str">
        <f>+VLOOKUP(Agencia[[#This Row],[contenido]],Estructura!$E$4:$G$500,3,0)</f>
        <v>C-996</v>
      </c>
      <c r="Z57" s="118" t="str">
        <f>+VLOOKUP(Agencia[[#This Row],[Filtro Integrado]],Estructura!$I$4:$K$500,3,0)</f>
        <v>FI-994</v>
      </c>
      <c r="AA57" s="118" t="str">
        <f>+VLOOKUP(Agencia[[#This Row],[Muestra]],Estructura!$M$4:$O$500,3,0)</f>
        <v>M-993</v>
      </c>
    </row>
    <row r="58" spans="1:27" ht="57.6" x14ac:dyDescent="0.3">
      <c r="A58" s="21" t="s">
        <v>457</v>
      </c>
      <c r="B58" s="24">
        <f t="shared" si="29"/>
        <v>990</v>
      </c>
      <c r="C58" s="25" t="str">
        <f t="shared" si="30"/>
        <v>Agencia Información</v>
      </c>
      <c r="D58" s="25" t="str">
        <f t="shared" si="32"/>
        <v>Mujeres</v>
      </c>
      <c r="E58" s="19">
        <v>12</v>
      </c>
      <c r="F58" s="25" t="s">
        <v>463</v>
      </c>
      <c r="G58" s="26" t="s">
        <v>3762</v>
      </c>
      <c r="H58" s="35" t="s">
        <v>16</v>
      </c>
      <c r="I58" s="36" t="s">
        <v>379</v>
      </c>
      <c r="J58" s="24" t="str">
        <f t="shared" si="33"/>
        <v>Región-Comuna</v>
      </c>
      <c r="K58" s="24" t="str">
        <f t="shared" si="38"/>
        <v>Denuncias por violación por comuna</v>
      </c>
      <c r="L58" s="24" t="str">
        <f t="shared" si="34"/>
        <v>Periodo 2008-2020</v>
      </c>
      <c r="M58" s="24" t="str">
        <f t="shared" si="35"/>
        <v>Número de Denuncias</v>
      </c>
      <c r="N58" s="24" t="str">
        <f t="shared" si="36"/>
        <v>Centro de Estudios y Análisis del Delito (CEAD) de la Subsecretaría de Prevención del Delito</v>
      </c>
      <c r="O58" s="20" t="str">
        <f>+"Distribución comunal de denuncias por violación en la "&amp;I58&amp;" en el "&amp;Agencia[[#This Row],[temporalidad]]</f>
        <v>Distribución comunal de denuncias por violación en la Región de Magallanes en el Periodo 2008-2020</v>
      </c>
      <c r="P58" s="27"/>
      <c r="Q58" s="28" t="str">
        <f t="shared" si="37"/>
        <v>Gráfico de Evolución</v>
      </c>
      <c r="R58" s="20" t="str">
        <f>Agencia[[#This Row],[territorio]]&amp;" comunas violencia mujer violación denuncias"</f>
        <v>Región de Magallanes comunas violencia mujer violación denuncias</v>
      </c>
      <c r="S58" s="39" t="str">
        <f>HYPERLINK("https://analytics.zoho.com/open-view/2395394000008231335?ZOHO_CRITERIA=%22Localiza%20CL%22.%22Codreg%22%3D"&amp;Agencia[[#This Row],[Filtro URL]])</f>
        <v>https://analytics.zoho.com/open-view/2395394000008231335?ZOHO_CRITERIA=%22Localiza%20CL%22.%22Codreg%22%3D12</v>
      </c>
      <c r="T58" s="69" t="str">
        <f>"100-C-"&amp;Agencia[[#This Row],[Filtro URL]]</f>
        <v>100-C-12</v>
      </c>
      <c r="U58" s="120" t="str">
        <f t="shared" si="31"/>
        <v>#1774B9</v>
      </c>
      <c r="V58" s="118" t="str">
        <f>+Agencia[[#This Row],[idcoleccion]]&amp;"-"&amp;Agencia[[#This Row],[id]]</f>
        <v>990-0047</v>
      </c>
      <c r="W58" s="118">
        <f>+VLOOKUP(Agencia[[#This Row],[Filtro URL]],Estructura!$X$4:$Y$500,2,0)</f>
        <v>99200012</v>
      </c>
      <c r="X58" s="118" t="str">
        <f>+VLOOKUP(Agencia[[#This Row],[tema]],Estructura!$A$4:$C$500,3,0)</f>
        <v>T-1028</v>
      </c>
      <c r="Y58" s="118" t="str">
        <f>+VLOOKUP(Agencia[[#This Row],[contenido]],Estructura!$E$4:$G$500,3,0)</f>
        <v>C-996</v>
      </c>
      <c r="Z58" s="118" t="str">
        <f>+VLOOKUP(Agencia[[#This Row],[Filtro Integrado]],Estructura!$I$4:$K$500,3,0)</f>
        <v>FI-994</v>
      </c>
      <c r="AA58" s="118" t="str">
        <f>+VLOOKUP(Agencia[[#This Row],[Muestra]],Estructura!$M$4:$O$500,3,0)</f>
        <v>M-993</v>
      </c>
    </row>
    <row r="59" spans="1:27" ht="57.6" x14ac:dyDescent="0.3">
      <c r="A59" s="21" t="s">
        <v>458</v>
      </c>
      <c r="B59" s="24">
        <f t="shared" ref="B59:B63" si="39">+B58</f>
        <v>990</v>
      </c>
      <c r="C59" s="25" t="str">
        <f t="shared" ref="C59:C63" si="40">+C58</f>
        <v>Agencia Información</v>
      </c>
      <c r="D59" s="25" t="str">
        <f t="shared" ref="D59:D62" si="41">+D58</f>
        <v>Mujeres</v>
      </c>
      <c r="E59" s="19">
        <v>13</v>
      </c>
      <c r="F59" s="25" t="s">
        <v>463</v>
      </c>
      <c r="G59" s="26" t="s">
        <v>3762</v>
      </c>
      <c r="H59" s="35" t="s">
        <v>16</v>
      </c>
      <c r="I59" s="36" t="s">
        <v>380</v>
      </c>
      <c r="J59" s="42" t="str">
        <f t="shared" ref="J59:J62" si="42">+J58</f>
        <v>Región-Comuna</v>
      </c>
      <c r="K59" s="24" t="str">
        <f t="shared" ref="K59:K62" si="43">+K58</f>
        <v>Denuncias por violación por comuna</v>
      </c>
      <c r="L59" s="24" t="str">
        <f t="shared" ref="L59:L62" si="44">+L58</f>
        <v>Periodo 2008-2020</v>
      </c>
      <c r="M59" s="24" t="str">
        <f t="shared" ref="M59:M62" si="45">+M58</f>
        <v>Número de Denuncias</v>
      </c>
      <c r="N59" s="24" t="str">
        <f t="shared" ref="N59:N62" si="46">+N58</f>
        <v>Centro de Estudios y Análisis del Delito (CEAD) de la Subsecretaría de Prevención del Delito</v>
      </c>
      <c r="O59" s="20" t="str">
        <f>+"Distribución comunal de denuncias por violación en la "&amp;I59&amp;" en el "&amp;Agencia[[#This Row],[temporalidad]]</f>
        <v>Distribución comunal de denuncias por violación en la Región Metropolitana en el Periodo 2008-2020</v>
      </c>
      <c r="P59" s="32" t="s">
        <v>464</v>
      </c>
      <c r="Q59" s="11" t="str">
        <f t="shared" ref="Q59:Q62" si="47">+Q58</f>
        <v>Gráfico de Evolución</v>
      </c>
      <c r="R59" s="20" t="str">
        <f>Agencia[[#This Row],[territorio]]&amp;" comunas violencia mujer violación denuncias"</f>
        <v>Región Metropolitana comunas violencia mujer violación denuncias</v>
      </c>
      <c r="S59" s="39" t="str">
        <f>HYPERLINK("https://analytics.zoho.com/open-view/2395394000008231335?ZOHO_CRITERIA=%22Localiza%20CL%22.%22Codreg%22%3D"&amp;Agencia[[#This Row],[Filtro URL]])</f>
        <v>https://analytics.zoho.com/open-view/2395394000008231335?ZOHO_CRITERIA=%22Localiza%20CL%22.%22Codreg%22%3D13</v>
      </c>
      <c r="T59" s="69" t="str">
        <f>"200-C-"&amp;Agencia[[#This Row],[Filtro URL]]</f>
        <v>200-C-13</v>
      </c>
      <c r="U59" s="50" t="str">
        <f t="shared" ref="U59:U62" si="48">+U58</f>
        <v>#1774B9</v>
      </c>
      <c r="V59" s="118" t="str">
        <f>+Agencia[[#This Row],[idcoleccion]]&amp;"-"&amp;Agencia[[#This Row],[id]]</f>
        <v>990-0048</v>
      </c>
      <c r="W59" s="118">
        <f>+VLOOKUP(Agencia[[#This Row],[Filtro URL]],Estructura!$X$4:$Y$500,2,0)</f>
        <v>99200013</v>
      </c>
      <c r="X59" s="118" t="str">
        <f>+VLOOKUP(Agencia[[#This Row],[tema]],Estructura!$A$4:$C$500,3,0)</f>
        <v>T-1028</v>
      </c>
      <c r="Y59" s="118" t="str">
        <f>+VLOOKUP(Agencia[[#This Row],[contenido]],Estructura!$E$4:$G$500,3,0)</f>
        <v>C-996</v>
      </c>
      <c r="Z59" s="118" t="str">
        <f>+VLOOKUP(Agencia[[#This Row],[Filtro Integrado]],Estructura!$I$4:$K$500,3,0)</f>
        <v>FI-994</v>
      </c>
      <c r="AA59" s="118" t="str">
        <f>+VLOOKUP(Agencia[[#This Row],[Muestra]],Estructura!$M$4:$O$500,3,0)</f>
        <v>M-993</v>
      </c>
    </row>
    <row r="60" spans="1:27" ht="57.6" x14ac:dyDescent="0.3">
      <c r="A60" s="21" t="s">
        <v>465</v>
      </c>
      <c r="B60" s="24">
        <f t="shared" si="39"/>
        <v>990</v>
      </c>
      <c r="C60" s="25" t="str">
        <f t="shared" si="40"/>
        <v>Agencia Información</v>
      </c>
      <c r="D60" s="25" t="str">
        <f t="shared" si="41"/>
        <v>Mujeres</v>
      </c>
      <c r="E60" s="19">
        <v>14</v>
      </c>
      <c r="F60" s="25" t="s">
        <v>463</v>
      </c>
      <c r="G60" s="26" t="s">
        <v>3762</v>
      </c>
      <c r="H60" s="35" t="s">
        <v>16</v>
      </c>
      <c r="I60" s="36" t="s">
        <v>381</v>
      </c>
      <c r="J60" s="24" t="str">
        <f t="shared" si="42"/>
        <v>Región-Comuna</v>
      </c>
      <c r="K60" s="24" t="str">
        <f t="shared" si="43"/>
        <v>Denuncias por violación por comuna</v>
      </c>
      <c r="L60" s="24" t="str">
        <f t="shared" si="44"/>
        <v>Periodo 2008-2020</v>
      </c>
      <c r="M60" s="24" t="str">
        <f t="shared" si="45"/>
        <v>Número de Denuncias</v>
      </c>
      <c r="N60" s="24" t="str">
        <f t="shared" si="46"/>
        <v>Centro de Estudios y Análisis del Delito (CEAD) de la Subsecretaría de Prevención del Delito</v>
      </c>
      <c r="O60" s="20" t="str">
        <f>+"Distribución comunal de denuncias por violación en la "&amp;I60&amp;" en el "&amp;Agencia[[#This Row],[temporalidad]]</f>
        <v>Distribución comunal de denuncias por violación en la Región de Los Ríos en el Periodo 2008-2020</v>
      </c>
      <c r="P60" s="20"/>
      <c r="Q60" s="11" t="str">
        <f t="shared" si="47"/>
        <v>Gráfico de Evolución</v>
      </c>
      <c r="R60" s="20" t="str">
        <f>Agencia[[#This Row],[territorio]]&amp;" comunas violencia mujer violación denuncias"</f>
        <v>Región de Los Ríos comunas violencia mujer violación denuncias</v>
      </c>
      <c r="S60" s="39" t="str">
        <f>HYPERLINK("https://analytics.zoho.com/open-view/2395394000008231335?ZOHO_CRITERIA=%22Localiza%20CL%22.%22Codreg%22%3D"&amp;Agencia[[#This Row],[Filtro URL]])</f>
        <v>https://analytics.zoho.com/open-view/2395394000008231335?ZOHO_CRITERIA=%22Localiza%20CL%22.%22Codreg%22%3D14</v>
      </c>
      <c r="T60" s="69" t="str">
        <f>"100-C-"&amp;Agencia[[#This Row],[Filtro URL]]</f>
        <v>100-C-14</v>
      </c>
      <c r="U60" s="50" t="str">
        <f t="shared" si="48"/>
        <v>#1774B9</v>
      </c>
      <c r="V60" s="118" t="str">
        <f>+Agencia[[#This Row],[idcoleccion]]&amp;"-"&amp;Agencia[[#This Row],[id]]</f>
        <v>990-0049</v>
      </c>
      <c r="W60" s="118">
        <f>+VLOOKUP(Agencia[[#This Row],[Filtro URL]],Estructura!$X$4:$Y$500,2,0)</f>
        <v>99200014</v>
      </c>
      <c r="X60" s="118" t="str">
        <f>+VLOOKUP(Agencia[[#This Row],[tema]],Estructura!$A$4:$C$500,3,0)</f>
        <v>T-1028</v>
      </c>
      <c r="Y60" s="118" t="str">
        <f>+VLOOKUP(Agencia[[#This Row],[contenido]],Estructura!$E$4:$G$500,3,0)</f>
        <v>C-996</v>
      </c>
      <c r="Z60" s="118" t="str">
        <f>+VLOOKUP(Agencia[[#This Row],[Filtro Integrado]],Estructura!$I$4:$K$500,3,0)</f>
        <v>FI-994</v>
      </c>
      <c r="AA60" s="118" t="str">
        <f>+VLOOKUP(Agencia[[#This Row],[Muestra]],Estructura!$M$4:$O$500,3,0)</f>
        <v>M-993</v>
      </c>
    </row>
    <row r="61" spans="1:27" ht="57.6" x14ac:dyDescent="0.3">
      <c r="A61" s="21" t="s">
        <v>466</v>
      </c>
      <c r="B61" s="24">
        <f t="shared" si="39"/>
        <v>990</v>
      </c>
      <c r="C61" s="25" t="str">
        <f t="shared" si="40"/>
        <v>Agencia Información</v>
      </c>
      <c r="D61" s="25" t="str">
        <f t="shared" si="41"/>
        <v>Mujeres</v>
      </c>
      <c r="E61" s="19">
        <v>15</v>
      </c>
      <c r="F61" s="25" t="s">
        <v>463</v>
      </c>
      <c r="G61" s="26" t="s">
        <v>3762</v>
      </c>
      <c r="H61" s="35" t="s">
        <v>16</v>
      </c>
      <c r="I61" s="36" t="s">
        <v>382</v>
      </c>
      <c r="J61" s="24" t="str">
        <f t="shared" si="42"/>
        <v>Región-Comuna</v>
      </c>
      <c r="K61" s="24" t="str">
        <f t="shared" si="43"/>
        <v>Denuncias por violación por comuna</v>
      </c>
      <c r="L61" s="24" t="str">
        <f t="shared" si="44"/>
        <v>Periodo 2008-2020</v>
      </c>
      <c r="M61" s="24" t="str">
        <f t="shared" si="45"/>
        <v>Número de Denuncias</v>
      </c>
      <c r="N61" s="24" t="str">
        <f t="shared" si="46"/>
        <v>Centro de Estudios y Análisis del Delito (CEAD) de la Subsecretaría de Prevención del Delito</v>
      </c>
      <c r="O61" s="20" t="str">
        <f>+"Distribución comunal de denuncias por violación en la "&amp;I61&amp;" en el "&amp;Agencia[[#This Row],[temporalidad]]</f>
        <v>Distribución comunal de denuncias por violación en la Región de Arica y Parinacota en el Periodo 2008-2020</v>
      </c>
      <c r="P61" s="20"/>
      <c r="Q61" s="11" t="str">
        <f t="shared" si="47"/>
        <v>Gráfico de Evolución</v>
      </c>
      <c r="R61" s="20" t="str">
        <f>Agencia[[#This Row],[territorio]]&amp;" comunas violencia mujer violación denuncias"</f>
        <v>Región de Arica y Parinacota comunas violencia mujer violación denuncias</v>
      </c>
      <c r="S61" s="39" t="str">
        <f>HYPERLINK("https://analytics.zoho.com/open-view/2395394000008231335?ZOHO_CRITERIA=%22Localiza%20CL%22.%22Codreg%22%3D"&amp;Agencia[[#This Row],[Filtro URL]])</f>
        <v>https://analytics.zoho.com/open-view/2395394000008231335?ZOHO_CRITERIA=%22Localiza%20CL%22.%22Codreg%22%3D15</v>
      </c>
      <c r="T61" s="69" t="str">
        <f>"100-C-"&amp;Agencia[[#This Row],[Filtro URL]]</f>
        <v>100-C-15</v>
      </c>
      <c r="U61" s="50" t="str">
        <f t="shared" si="48"/>
        <v>#1774B9</v>
      </c>
      <c r="V61" s="118" t="str">
        <f>+Agencia[[#This Row],[idcoleccion]]&amp;"-"&amp;Agencia[[#This Row],[id]]</f>
        <v>990-0050</v>
      </c>
      <c r="W61" s="118">
        <f>+VLOOKUP(Agencia[[#This Row],[Filtro URL]],Estructura!$X$4:$Y$500,2,0)</f>
        <v>99200015</v>
      </c>
      <c r="X61" s="118" t="str">
        <f>+VLOOKUP(Agencia[[#This Row],[tema]],Estructura!$A$4:$C$500,3,0)</f>
        <v>T-1028</v>
      </c>
      <c r="Y61" s="118" t="str">
        <f>+VLOOKUP(Agencia[[#This Row],[contenido]],Estructura!$E$4:$G$500,3,0)</f>
        <v>C-996</v>
      </c>
      <c r="Z61" s="118" t="str">
        <f>+VLOOKUP(Agencia[[#This Row],[Filtro Integrado]],Estructura!$I$4:$K$500,3,0)</f>
        <v>FI-994</v>
      </c>
      <c r="AA61" s="118" t="str">
        <f>+VLOOKUP(Agencia[[#This Row],[Muestra]],Estructura!$M$4:$O$500,3,0)</f>
        <v>M-993</v>
      </c>
    </row>
    <row r="62" spans="1:27" ht="57.6" x14ac:dyDescent="0.3">
      <c r="A62" s="21" t="s">
        <v>467</v>
      </c>
      <c r="B62" s="24">
        <f t="shared" si="39"/>
        <v>990</v>
      </c>
      <c r="C62" s="25" t="str">
        <f t="shared" si="40"/>
        <v>Agencia Información</v>
      </c>
      <c r="D62" s="25" t="str">
        <f t="shared" si="41"/>
        <v>Mujeres</v>
      </c>
      <c r="E62" s="19">
        <v>16</v>
      </c>
      <c r="F62" s="25" t="s">
        <v>463</v>
      </c>
      <c r="G62" s="26" t="s">
        <v>3762</v>
      </c>
      <c r="H62" s="35" t="s">
        <v>16</v>
      </c>
      <c r="I62" s="36" t="s">
        <v>383</v>
      </c>
      <c r="J62" s="24" t="str">
        <f t="shared" si="42"/>
        <v>Región-Comuna</v>
      </c>
      <c r="K62" s="24" t="str">
        <f t="shared" si="43"/>
        <v>Denuncias por violación por comuna</v>
      </c>
      <c r="L62" s="24" t="str">
        <f t="shared" si="44"/>
        <v>Periodo 2008-2020</v>
      </c>
      <c r="M62" s="24" t="str">
        <f t="shared" si="45"/>
        <v>Número de Denuncias</v>
      </c>
      <c r="N62" s="24" t="str">
        <f t="shared" si="46"/>
        <v>Centro de Estudios y Análisis del Delito (CEAD) de la Subsecretaría de Prevención del Delito</v>
      </c>
      <c r="O62" s="20" t="str">
        <f>+"Distribución comunal de denuncias por violación en la "&amp;I62&amp;" en el "&amp;Agencia[[#This Row],[temporalidad]]</f>
        <v>Distribución comunal de denuncias por violación en la Región de Ñuble en el Periodo 2008-2020</v>
      </c>
      <c r="P62" s="20"/>
      <c r="Q62" s="11" t="str">
        <f t="shared" si="47"/>
        <v>Gráfico de Evolución</v>
      </c>
      <c r="R62" s="20" t="str">
        <f>Agencia[[#This Row],[territorio]]&amp;" comunas violencia mujer violación denuncias"</f>
        <v>Región de Ñuble comunas violencia mujer violación denuncias</v>
      </c>
      <c r="S62" s="39" t="str">
        <f>HYPERLINK("https://analytics.zoho.com/open-view/2395394000008231335?ZOHO_CRITERIA=%22Localiza%20CL%22.%22Codreg%22%3D"&amp;Agencia[[#This Row],[Filtro URL]])</f>
        <v>https://analytics.zoho.com/open-view/2395394000008231335?ZOHO_CRITERIA=%22Localiza%20CL%22.%22Codreg%22%3D16</v>
      </c>
      <c r="T62" s="69" t="str">
        <f>"100-C-"&amp;Agencia[[#This Row],[Filtro URL]]</f>
        <v>100-C-16</v>
      </c>
      <c r="U62" s="50" t="str">
        <f t="shared" si="48"/>
        <v>#1774B9</v>
      </c>
      <c r="V62" s="118" t="str">
        <f>+Agencia[[#This Row],[idcoleccion]]&amp;"-"&amp;Agencia[[#This Row],[id]]</f>
        <v>990-0051</v>
      </c>
      <c r="W62" s="118">
        <f>+VLOOKUP(Agencia[[#This Row],[Filtro URL]],Estructura!$X$4:$Y$500,2,0)</f>
        <v>99200016</v>
      </c>
      <c r="X62" s="118" t="str">
        <f>+VLOOKUP(Agencia[[#This Row],[tema]],Estructura!$A$4:$C$500,3,0)</f>
        <v>T-1028</v>
      </c>
      <c r="Y62" s="118" t="str">
        <f>+VLOOKUP(Agencia[[#This Row],[contenido]],Estructura!$E$4:$G$500,3,0)</f>
        <v>C-996</v>
      </c>
      <c r="Z62" s="118" t="str">
        <f>+VLOOKUP(Agencia[[#This Row],[Filtro Integrado]],Estructura!$I$4:$K$500,3,0)</f>
        <v>FI-994</v>
      </c>
      <c r="AA62" s="118" t="str">
        <f>+VLOOKUP(Agencia[[#This Row],[Muestra]],Estructura!$M$4:$O$500,3,0)</f>
        <v>M-993</v>
      </c>
    </row>
    <row r="63" spans="1:27" ht="28.8" x14ac:dyDescent="0.3">
      <c r="A63" s="21" t="s">
        <v>468</v>
      </c>
      <c r="B63" s="24">
        <f t="shared" si="39"/>
        <v>990</v>
      </c>
      <c r="C63" s="25" t="str">
        <f t="shared" si="40"/>
        <v>Agencia Información</v>
      </c>
      <c r="D63" s="25" t="s">
        <v>405</v>
      </c>
      <c r="E63" s="14">
        <v>0</v>
      </c>
      <c r="F63" s="25" t="s">
        <v>2369</v>
      </c>
      <c r="G63" s="26" t="s">
        <v>3761</v>
      </c>
      <c r="H63" s="33" t="s">
        <v>20</v>
      </c>
      <c r="I63" s="34" t="s">
        <v>15</v>
      </c>
      <c r="J63" s="9" t="s">
        <v>18</v>
      </c>
      <c r="K63" s="9" t="s">
        <v>1064</v>
      </c>
      <c r="L63" s="49" t="s">
        <v>402</v>
      </c>
      <c r="M63" s="9" t="s">
        <v>591</v>
      </c>
      <c r="N63" s="9" t="s">
        <v>403</v>
      </c>
      <c r="O63" s="45" t="s">
        <v>1065</v>
      </c>
      <c r="P63" s="20"/>
      <c r="Q63" s="11" t="str">
        <f>+Q62</f>
        <v>Gráfico de Evolución</v>
      </c>
      <c r="R63" s="45" t="str">
        <f>Agencia[[#This Row],[territorio]]&amp;" CASEN ingresos promedio mensual nacional"</f>
        <v>Chile CASEN ingresos promedio mensual nacional</v>
      </c>
      <c r="S63" s="39" t="s">
        <v>1063</v>
      </c>
      <c r="T63" s="68">
        <v>0</v>
      </c>
      <c r="U63" s="50" t="str">
        <f>+U62</f>
        <v>#1774B9</v>
      </c>
      <c r="V63" s="118" t="str">
        <f>+Agencia[[#This Row],[idcoleccion]]&amp;"-"&amp;Agencia[[#This Row],[id]]</f>
        <v>990-0052</v>
      </c>
      <c r="W63" s="118">
        <f>+VLOOKUP(Agencia[[#This Row],[Filtro URL]],Estructura!$X$4:$Y$500,2,0)</f>
        <v>99100000</v>
      </c>
      <c r="X63" s="118" t="str">
        <f>+VLOOKUP(Agencia[[#This Row],[tema]],Estructura!$A$4:$C$500,3,0)</f>
        <v>T-994</v>
      </c>
      <c r="Y63" s="118" t="str">
        <f>+VLOOKUP(Agencia[[#This Row],[contenido]],Estructura!$E$4:$G$500,3,0)</f>
        <v>C-995</v>
      </c>
      <c r="Z63" s="118" t="str">
        <f>+VLOOKUP(Agencia[[#This Row],[Filtro Integrado]],Estructura!$I$4:$K$500,3,0)</f>
        <v>FI-991</v>
      </c>
      <c r="AA63" s="118" t="str">
        <f>+VLOOKUP(Agencia[[#This Row],[Muestra]],Estructura!$M$4:$O$500,3,0)</f>
        <v>M-994</v>
      </c>
    </row>
    <row r="64" spans="1:27" ht="51" x14ac:dyDescent="0.3">
      <c r="A64" s="21" t="s">
        <v>469</v>
      </c>
      <c r="B64" s="24">
        <f>+B63</f>
        <v>990</v>
      </c>
      <c r="C64" s="25" t="str">
        <f>+C63</f>
        <v>Agencia Información</v>
      </c>
      <c r="D64" s="25" t="s">
        <v>405</v>
      </c>
      <c r="E64" s="14">
        <v>0</v>
      </c>
      <c r="F64" s="26" t="s">
        <v>2367</v>
      </c>
      <c r="G64" s="26" t="s">
        <v>3761</v>
      </c>
      <c r="H64" s="33" t="s">
        <v>20</v>
      </c>
      <c r="I64" s="34" t="s">
        <v>15</v>
      </c>
      <c r="J64" s="9" t="s">
        <v>16</v>
      </c>
      <c r="K64" s="9" t="s">
        <v>837</v>
      </c>
      <c r="L64" s="9" t="s">
        <v>402</v>
      </c>
      <c r="M64" s="9" t="s">
        <v>591</v>
      </c>
      <c r="N64" s="9" t="s">
        <v>403</v>
      </c>
      <c r="O64" s="11" t="str">
        <f>"Evolución de Ingreso Promedio Mensual por Etnia en "&amp;Agencia[[#This Row],[territorio]]&amp;" para el "&amp;Agencia[[#This Row],[temporalidad]]</f>
        <v>Evolución de Ingreso Promedio Mensual por Etnia en Chile para el Periodo 2006-2017</v>
      </c>
      <c r="P64" s="32" t="s">
        <v>473</v>
      </c>
      <c r="Q64" s="11" t="s">
        <v>821</v>
      </c>
      <c r="R64" s="20" t="str">
        <f>Agencia[[#This Row],[territorio]]&amp;" CASEN ingresos promedio mensual etnia región mapuche alacalufe atacameño aymara coya diaguita pascuense quechua"</f>
        <v>Chile CASEN ingresos promedio mensual etnia región mapuche alacalufe atacameño aymara coya diaguita pascuense quechua</v>
      </c>
      <c r="S64" s="39" t="s">
        <v>1062</v>
      </c>
      <c r="T64" s="68" t="s">
        <v>1033</v>
      </c>
      <c r="U64" s="50" t="str">
        <f>+U63</f>
        <v>#1774B9</v>
      </c>
      <c r="V64" s="118" t="str">
        <f>+Agencia[[#This Row],[idcoleccion]]&amp;"-"&amp;Agencia[[#This Row],[id]]</f>
        <v>990-0053</v>
      </c>
      <c r="W64" s="118">
        <f>+VLOOKUP(Agencia[[#This Row],[Filtro URL]],Estructura!$X$4:$Y$500,2,0)</f>
        <v>99100000</v>
      </c>
      <c r="X64" s="118" t="str">
        <f>+VLOOKUP(Agencia[[#This Row],[tema]],Estructura!$A$4:$C$500,3,0)</f>
        <v>T-1029</v>
      </c>
      <c r="Y64" s="118" t="str">
        <f>+VLOOKUP(Agencia[[#This Row],[contenido]],Estructura!$E$4:$G$500,3,0)</f>
        <v>C-995</v>
      </c>
      <c r="Z64" s="118" t="str">
        <f>+VLOOKUP(Agencia[[#This Row],[Filtro Integrado]],Estructura!$I$4:$K$500,3,0)</f>
        <v>FI-992</v>
      </c>
      <c r="AA64" s="118" t="str">
        <f>+VLOOKUP(Agencia[[#This Row],[Muestra]],Estructura!$M$4:$O$500,3,0)</f>
        <v>M-991</v>
      </c>
    </row>
    <row r="65" spans="1:27" ht="57.6" x14ac:dyDescent="0.3">
      <c r="A65" s="21" t="s">
        <v>1503</v>
      </c>
      <c r="B65" s="24">
        <f t="shared" ref="B65:C98" si="49">+B64</f>
        <v>990</v>
      </c>
      <c r="C65" s="25" t="str">
        <f t="shared" ref="C65:D97" si="50">+C64</f>
        <v>Agencia Información</v>
      </c>
      <c r="D65" s="25" t="str">
        <f t="shared" ref="D65:D80" si="51">+D64</f>
        <v>Socioeconómico</v>
      </c>
      <c r="E65" s="19">
        <v>1</v>
      </c>
      <c r="F65" s="26" t="s">
        <v>2367</v>
      </c>
      <c r="G65" s="26" t="s">
        <v>3761</v>
      </c>
      <c r="H65" s="35" t="s">
        <v>16</v>
      </c>
      <c r="I65" s="36" t="s">
        <v>368</v>
      </c>
      <c r="J65" s="9" t="str">
        <f t="shared" ref="J65" si="52">+J64</f>
        <v>Región</v>
      </c>
      <c r="K65" s="9" t="str">
        <f t="shared" ref="K65" si="53">+K64</f>
        <v>Ingresos Promedio Mensual por región</v>
      </c>
      <c r="L65" s="9" t="str">
        <f t="shared" ref="L65" si="54">+L64</f>
        <v>Periodo 2006-2017</v>
      </c>
      <c r="M65" s="9" t="str">
        <f t="shared" ref="M65" si="55">+M64</f>
        <v>CLP/mes</v>
      </c>
      <c r="N65" s="9" t="str">
        <f t="shared" ref="N65" si="56">+N64</f>
        <v>Encuestas CASEN</v>
      </c>
      <c r="O65" s="11" t="str">
        <f>"Evolución de Ingreso Promedio Mensual por Etnia en la "&amp;Agencia[[#This Row],[territorio]]&amp;" para el "&amp;Agencia[[#This Row],[temporalidad]]</f>
        <v>Evolución de Ingreso Promedio Mensual por Etnia en la Región de Tarapacá para el Periodo 2006-2017</v>
      </c>
      <c r="P65" s="20"/>
      <c r="Q65" s="11" t="str">
        <f t="shared" ref="Q65" si="57">+Q64</f>
        <v>Gráfico de Evolución</v>
      </c>
      <c r="R65" s="20" t="str">
        <f>Agencia[[#This Row],[territorio]]&amp;" CASEN ingresos promedio mensual etnia región mapuche alacalufe atacameño aymara coya diaguita pascuense quechua"</f>
        <v>Región de Tarapacá CASEN ingresos promedio mensual etnia región mapuche alacalufe atacameño aymara coya diaguita pascuense quechua</v>
      </c>
      <c r="S65" s="39" t="str">
        <f>HYPERLINK("https://analytics.zoho.com/open-view/2395394000008231605?ZOHO_CRITERIA=%22Localiza%20Chile%22.%22Codreg%22%3D"&amp;Agencia[[#This Row],[Filtro URL]])</f>
        <v>https://analytics.zoho.com/open-view/2395394000008231605?ZOHO_CRITERIA=%22Localiza%20Chile%22.%22Codreg%22%3D1</v>
      </c>
      <c r="T65" s="69" t="str">
        <f>"100-C-"&amp;Agencia[[#This Row],[Filtro URL]]</f>
        <v>100-C-1</v>
      </c>
      <c r="U65" s="50" t="str">
        <f t="shared" ref="U65" si="58">+U64</f>
        <v>#1774B9</v>
      </c>
      <c r="V65" s="118" t="str">
        <f>+Agencia[[#This Row],[idcoleccion]]&amp;"-"&amp;Agencia[[#This Row],[id]]</f>
        <v>990-0054</v>
      </c>
      <c r="W65" s="118">
        <f>+VLOOKUP(Agencia[[#This Row],[Filtro URL]],Estructura!$X$4:$Y$500,2,0)</f>
        <v>99200001</v>
      </c>
      <c r="X65" s="118" t="str">
        <f>+VLOOKUP(Agencia[[#This Row],[tema]],Estructura!$A$4:$C$500,3,0)</f>
        <v>T-1029</v>
      </c>
      <c r="Y65" s="118" t="str">
        <f>+VLOOKUP(Agencia[[#This Row],[contenido]],Estructura!$E$4:$G$500,3,0)</f>
        <v>C-995</v>
      </c>
      <c r="Z65" s="118" t="str">
        <f>+VLOOKUP(Agencia[[#This Row],[Filtro Integrado]],Estructura!$I$4:$K$500,3,0)</f>
        <v>FI-992</v>
      </c>
      <c r="AA65" s="118" t="str">
        <f>+VLOOKUP(Agencia[[#This Row],[Muestra]],Estructura!$M$4:$O$500,3,0)</f>
        <v>M-991</v>
      </c>
    </row>
    <row r="66" spans="1:27" ht="57.6" x14ac:dyDescent="0.3">
      <c r="A66" s="21" t="s">
        <v>1504</v>
      </c>
      <c r="B66" s="24">
        <f t="shared" si="49"/>
        <v>990</v>
      </c>
      <c r="C66" s="25" t="str">
        <f t="shared" si="50"/>
        <v>Agencia Información</v>
      </c>
      <c r="D66" s="25" t="str">
        <f t="shared" si="51"/>
        <v>Socioeconómico</v>
      </c>
      <c r="E66" s="19">
        <v>2</v>
      </c>
      <c r="F66" s="26" t="s">
        <v>2367</v>
      </c>
      <c r="G66" s="26" t="s">
        <v>3761</v>
      </c>
      <c r="H66" s="35" t="s">
        <v>16</v>
      </c>
      <c r="I66" s="36" t="s">
        <v>369</v>
      </c>
      <c r="J66" s="9" t="str">
        <f t="shared" ref="J66:J80" si="59">+J65</f>
        <v>Región</v>
      </c>
      <c r="K66" s="9" t="str">
        <f t="shared" ref="K66:K80" si="60">+K65</f>
        <v>Ingresos Promedio Mensual por región</v>
      </c>
      <c r="L66" s="9" t="str">
        <f t="shared" ref="L66:L80" si="61">+L65</f>
        <v>Periodo 2006-2017</v>
      </c>
      <c r="M66" s="9" t="str">
        <f t="shared" ref="M66:M80" si="62">+M65</f>
        <v>CLP/mes</v>
      </c>
      <c r="N66" s="9" t="str">
        <f t="shared" ref="N66:N80" si="63">+N65</f>
        <v>Encuestas CASEN</v>
      </c>
      <c r="O66" s="11" t="str">
        <f>"Evolución de Ingreso Promedio Mensual por Etnia en la "&amp;Agencia[[#This Row],[territorio]]&amp;" para el "&amp;Agencia[[#This Row],[temporalidad]]</f>
        <v>Evolución de Ingreso Promedio Mensual por Etnia en la Región de Antofagasta para el Periodo 2006-2017</v>
      </c>
      <c r="P66" s="20"/>
      <c r="Q66" s="11" t="str">
        <f t="shared" ref="Q66:Q80" si="64">+Q65</f>
        <v>Gráfico de Evolución</v>
      </c>
      <c r="R66" s="20" t="str">
        <f>Agencia[[#This Row],[territorio]]&amp;" CASEN ingresos promedio mensual etnia región mapuche alacalufe atacameño aymara coya diaguita pascuense quechua"</f>
        <v>Región de Antofagasta CASEN ingresos promedio mensual etnia región mapuche alacalufe atacameño aymara coya diaguita pascuense quechua</v>
      </c>
      <c r="S66" s="39" t="str">
        <f>HYPERLINK("https://analytics.zoho.com/open-view/2395394000008231605?ZOHO_CRITERIA=%22Localiza%20Chile%22.%22Codreg%22%3D"&amp;Agencia[[#This Row],[Filtro URL]])</f>
        <v>https://analytics.zoho.com/open-view/2395394000008231605?ZOHO_CRITERIA=%22Localiza%20Chile%22.%22Codreg%22%3D2</v>
      </c>
      <c r="T66" s="69" t="str">
        <f>"100-C-"&amp;Agencia[[#This Row],[Filtro URL]]</f>
        <v>100-C-2</v>
      </c>
      <c r="U66" s="50" t="str">
        <f t="shared" ref="U66:U80" si="65">+U65</f>
        <v>#1774B9</v>
      </c>
      <c r="V66" s="118" t="str">
        <f>+Agencia[[#This Row],[idcoleccion]]&amp;"-"&amp;Agencia[[#This Row],[id]]</f>
        <v>990-0055</v>
      </c>
      <c r="W66" s="118">
        <f>+VLOOKUP(Agencia[[#This Row],[Filtro URL]],Estructura!$X$4:$Y$500,2,0)</f>
        <v>99200002</v>
      </c>
      <c r="X66" s="118" t="str">
        <f>+VLOOKUP(Agencia[[#This Row],[tema]],Estructura!$A$4:$C$500,3,0)</f>
        <v>T-1029</v>
      </c>
      <c r="Y66" s="118" t="str">
        <f>+VLOOKUP(Agencia[[#This Row],[contenido]],Estructura!$E$4:$G$500,3,0)</f>
        <v>C-995</v>
      </c>
      <c r="Z66" s="118" t="str">
        <f>+VLOOKUP(Agencia[[#This Row],[Filtro Integrado]],Estructura!$I$4:$K$500,3,0)</f>
        <v>FI-992</v>
      </c>
      <c r="AA66" s="118" t="str">
        <f>+VLOOKUP(Agencia[[#This Row],[Muestra]],Estructura!$M$4:$O$500,3,0)</f>
        <v>M-991</v>
      </c>
    </row>
    <row r="67" spans="1:27" ht="40.799999999999997" x14ac:dyDescent="0.3">
      <c r="A67" s="21" t="s">
        <v>1505</v>
      </c>
      <c r="B67" s="24">
        <f t="shared" si="49"/>
        <v>990</v>
      </c>
      <c r="C67" s="25" t="str">
        <f t="shared" si="50"/>
        <v>Agencia Información</v>
      </c>
      <c r="D67" s="25" t="str">
        <f t="shared" si="51"/>
        <v>Socioeconómico</v>
      </c>
      <c r="E67" s="19">
        <v>3</v>
      </c>
      <c r="F67" s="26" t="s">
        <v>2367</v>
      </c>
      <c r="G67" s="26" t="s">
        <v>3761</v>
      </c>
      <c r="H67" s="35" t="s">
        <v>16</v>
      </c>
      <c r="I67" s="36" t="s">
        <v>370</v>
      </c>
      <c r="J67" s="9" t="str">
        <f t="shared" si="59"/>
        <v>Región</v>
      </c>
      <c r="K67" s="9" t="str">
        <f t="shared" si="60"/>
        <v>Ingresos Promedio Mensual por región</v>
      </c>
      <c r="L67" s="9" t="str">
        <f t="shared" si="61"/>
        <v>Periodo 2006-2017</v>
      </c>
      <c r="M67" s="9" t="str">
        <f t="shared" si="62"/>
        <v>CLP/mes</v>
      </c>
      <c r="N67" s="9" t="str">
        <f t="shared" si="63"/>
        <v>Encuestas CASEN</v>
      </c>
      <c r="O67" s="11" t="str">
        <f>"Evolución de Ingreso Promedio Mensual por Etnia en la "&amp;Agencia[[#This Row],[territorio]]&amp;" para el "&amp;Agencia[[#This Row],[temporalidad]]</f>
        <v>Evolución de Ingreso Promedio Mensual por Etnia en la Región de Atacama para el Periodo 2006-2017</v>
      </c>
      <c r="P67" s="20"/>
      <c r="Q67" s="11" t="str">
        <f t="shared" si="64"/>
        <v>Gráfico de Evolución</v>
      </c>
      <c r="R67" s="20" t="str">
        <f>Agencia[[#This Row],[territorio]]&amp;" CASEN ingresos promedio mensual etnia región mapuche alacalufe atacameño aymara coya diaguita pascuense quechua"</f>
        <v>Región de Atacama CASEN ingresos promedio mensual etnia región mapuche alacalufe atacameño aymara coya diaguita pascuense quechua</v>
      </c>
      <c r="S67" s="22" t="str">
        <f>HYPERLINK("https://analytics.zoho.com/open-view/2395394000008231605?ZOHO_CRITERIA=%22Localiza%20Chile%22.%22Codreg%22%3D"&amp;Agencia[[#This Row],[Filtro URL]])</f>
        <v>https://analytics.zoho.com/open-view/2395394000008231605?ZOHO_CRITERIA=%22Localiza%20Chile%22.%22Codreg%22%3D3</v>
      </c>
      <c r="T67" s="69" t="str">
        <f>"100-C-"&amp;Agencia[[#This Row],[Filtro URL]]</f>
        <v>100-C-3</v>
      </c>
      <c r="U67" s="50" t="str">
        <f t="shared" si="65"/>
        <v>#1774B9</v>
      </c>
      <c r="V67" s="118" t="str">
        <f>+Agencia[[#This Row],[idcoleccion]]&amp;"-"&amp;Agencia[[#This Row],[id]]</f>
        <v>990-0056</v>
      </c>
      <c r="W67" s="118">
        <f>+VLOOKUP(Agencia[[#This Row],[Filtro URL]],Estructura!$X$4:$Y$500,2,0)</f>
        <v>99200003</v>
      </c>
      <c r="X67" s="118" t="str">
        <f>+VLOOKUP(Agencia[[#This Row],[tema]],Estructura!$A$4:$C$500,3,0)</f>
        <v>T-1029</v>
      </c>
      <c r="Y67" s="118" t="str">
        <f>+VLOOKUP(Agencia[[#This Row],[contenido]],Estructura!$E$4:$G$500,3,0)</f>
        <v>C-995</v>
      </c>
      <c r="Z67" s="118" t="str">
        <f>+VLOOKUP(Agencia[[#This Row],[Filtro Integrado]],Estructura!$I$4:$K$500,3,0)</f>
        <v>FI-992</v>
      </c>
      <c r="AA67" s="118" t="str">
        <f>+VLOOKUP(Agencia[[#This Row],[Muestra]],Estructura!$M$4:$O$500,3,0)</f>
        <v>M-991</v>
      </c>
    </row>
    <row r="68" spans="1:27" ht="40.799999999999997" x14ac:dyDescent="0.3">
      <c r="A68" s="21" t="s">
        <v>1506</v>
      </c>
      <c r="B68" s="24">
        <f t="shared" si="49"/>
        <v>990</v>
      </c>
      <c r="C68" s="25" t="str">
        <f t="shared" si="50"/>
        <v>Agencia Información</v>
      </c>
      <c r="D68" s="25" t="str">
        <f t="shared" si="51"/>
        <v>Socioeconómico</v>
      </c>
      <c r="E68" s="19">
        <v>4</v>
      </c>
      <c r="F68" s="26" t="s">
        <v>2367</v>
      </c>
      <c r="G68" s="26" t="s">
        <v>3761</v>
      </c>
      <c r="H68" s="35" t="s">
        <v>16</v>
      </c>
      <c r="I68" s="36" t="s">
        <v>371</v>
      </c>
      <c r="J68" s="9" t="str">
        <f t="shared" si="59"/>
        <v>Región</v>
      </c>
      <c r="K68" s="9" t="str">
        <f t="shared" si="60"/>
        <v>Ingresos Promedio Mensual por región</v>
      </c>
      <c r="L68" s="9" t="str">
        <f t="shared" si="61"/>
        <v>Periodo 2006-2017</v>
      </c>
      <c r="M68" s="9" t="str">
        <f t="shared" si="62"/>
        <v>CLP/mes</v>
      </c>
      <c r="N68" s="9" t="str">
        <f t="shared" si="63"/>
        <v>Encuestas CASEN</v>
      </c>
      <c r="O68" s="11" t="str">
        <f>"Evolución de Ingreso Promedio Mensual por Etnia en la "&amp;Agencia[[#This Row],[territorio]]&amp;" para el "&amp;Agencia[[#This Row],[temporalidad]]</f>
        <v>Evolución de Ingreso Promedio Mensual por Etnia en la Región de Coquimbo para el Periodo 2006-2017</v>
      </c>
      <c r="P68" s="20"/>
      <c r="Q68" s="11" t="str">
        <f t="shared" si="64"/>
        <v>Gráfico de Evolución</v>
      </c>
      <c r="R68" s="20" t="str">
        <f>Agencia[[#This Row],[territorio]]&amp;" CASEN ingresos promedio mensual etnia región mapuche alacalufe atacameño aymara coya diaguita pascuense quechua"</f>
        <v>Región de Coquimbo CASEN ingresos promedio mensual etnia región mapuche alacalufe atacameño aymara coya diaguita pascuense quechua</v>
      </c>
      <c r="S68" s="22" t="str">
        <f>HYPERLINK("https://analytics.zoho.com/open-view/2395394000008231605?ZOHO_CRITERIA=%22Localiza%20Chile%22.%22Codreg%22%3D"&amp;Agencia[[#This Row],[Filtro URL]])</f>
        <v>https://analytics.zoho.com/open-view/2395394000008231605?ZOHO_CRITERIA=%22Localiza%20Chile%22.%22Codreg%22%3D4</v>
      </c>
      <c r="T68" s="69" t="str">
        <f>"100-C-"&amp;Agencia[[#This Row],[Filtro URL]]</f>
        <v>100-C-4</v>
      </c>
      <c r="U68" s="50" t="str">
        <f t="shared" si="65"/>
        <v>#1774B9</v>
      </c>
      <c r="V68" s="118" t="str">
        <f>+Agencia[[#This Row],[idcoleccion]]&amp;"-"&amp;Agencia[[#This Row],[id]]</f>
        <v>990-0057</v>
      </c>
      <c r="W68" s="118">
        <f>+VLOOKUP(Agencia[[#This Row],[Filtro URL]],Estructura!$X$4:$Y$500,2,0)</f>
        <v>99200004</v>
      </c>
      <c r="X68" s="118" t="str">
        <f>+VLOOKUP(Agencia[[#This Row],[tema]],Estructura!$A$4:$C$500,3,0)</f>
        <v>T-1029</v>
      </c>
      <c r="Y68" s="118" t="str">
        <f>+VLOOKUP(Agencia[[#This Row],[contenido]],Estructura!$E$4:$G$500,3,0)</f>
        <v>C-995</v>
      </c>
      <c r="Z68" s="118" t="str">
        <f>+VLOOKUP(Agencia[[#This Row],[Filtro Integrado]],Estructura!$I$4:$K$500,3,0)</f>
        <v>FI-992</v>
      </c>
      <c r="AA68" s="118" t="str">
        <f>+VLOOKUP(Agencia[[#This Row],[Muestra]],Estructura!$M$4:$O$500,3,0)</f>
        <v>M-991</v>
      </c>
    </row>
    <row r="69" spans="1:27" ht="40.799999999999997" x14ac:dyDescent="0.3">
      <c r="A69" s="21" t="s">
        <v>1507</v>
      </c>
      <c r="B69" s="24">
        <f t="shared" si="49"/>
        <v>990</v>
      </c>
      <c r="C69" s="25" t="str">
        <f t="shared" si="50"/>
        <v>Agencia Información</v>
      </c>
      <c r="D69" s="25" t="str">
        <f t="shared" si="51"/>
        <v>Socioeconómico</v>
      </c>
      <c r="E69" s="19">
        <v>5</v>
      </c>
      <c r="F69" s="26" t="s">
        <v>2367</v>
      </c>
      <c r="G69" s="26" t="s">
        <v>3761</v>
      </c>
      <c r="H69" s="35" t="s">
        <v>16</v>
      </c>
      <c r="I69" s="36" t="s">
        <v>372</v>
      </c>
      <c r="J69" s="9" t="str">
        <f t="shared" si="59"/>
        <v>Región</v>
      </c>
      <c r="K69" s="9" t="str">
        <f t="shared" si="60"/>
        <v>Ingresos Promedio Mensual por región</v>
      </c>
      <c r="L69" s="9" t="str">
        <f t="shared" si="61"/>
        <v>Periodo 2006-2017</v>
      </c>
      <c r="M69" s="9" t="str">
        <f t="shared" si="62"/>
        <v>CLP/mes</v>
      </c>
      <c r="N69" s="9" t="str">
        <f t="shared" si="63"/>
        <v>Encuestas CASEN</v>
      </c>
      <c r="O69" s="11" t="str">
        <f>"Evolución de Ingreso Promedio Mensual por Etnia en la "&amp;Agencia[[#This Row],[territorio]]&amp;" para el "&amp;Agencia[[#This Row],[temporalidad]]</f>
        <v>Evolución de Ingreso Promedio Mensual por Etnia en la Región de Valparaíso para el Periodo 2006-2017</v>
      </c>
      <c r="P69" s="20"/>
      <c r="Q69" s="11" t="str">
        <f t="shared" si="64"/>
        <v>Gráfico de Evolución</v>
      </c>
      <c r="R69" s="20" t="str">
        <f>Agencia[[#This Row],[territorio]]&amp;" CASEN ingresos promedio mensual etnia región mapuche alacalufe atacameño aymara coya diaguita pascuense quechua"</f>
        <v>Región de Valparaíso CASEN ingresos promedio mensual etnia región mapuche alacalufe atacameño aymara coya diaguita pascuense quechua</v>
      </c>
      <c r="S69" s="22" t="str">
        <f>HYPERLINK("https://analytics.zoho.com/open-view/2395394000008231605?ZOHO_CRITERIA=%22Localiza%20Chile%22.%22Codreg%22%3D"&amp;Agencia[[#This Row],[Filtro URL]])</f>
        <v>https://analytics.zoho.com/open-view/2395394000008231605?ZOHO_CRITERIA=%22Localiza%20Chile%22.%22Codreg%22%3D5</v>
      </c>
      <c r="T69" s="69" t="str">
        <f>"100-C-"&amp;Agencia[[#This Row],[Filtro URL]]</f>
        <v>100-C-5</v>
      </c>
      <c r="U69" s="50" t="str">
        <f t="shared" si="65"/>
        <v>#1774B9</v>
      </c>
      <c r="V69" s="118" t="str">
        <f>+Agencia[[#This Row],[idcoleccion]]&amp;"-"&amp;Agencia[[#This Row],[id]]</f>
        <v>990-0058</v>
      </c>
      <c r="W69" s="118">
        <f>+VLOOKUP(Agencia[[#This Row],[Filtro URL]],Estructura!$X$4:$Y$500,2,0)</f>
        <v>99200005</v>
      </c>
      <c r="X69" s="118" t="str">
        <f>+VLOOKUP(Agencia[[#This Row],[tema]],Estructura!$A$4:$C$500,3,0)</f>
        <v>T-1029</v>
      </c>
      <c r="Y69" s="118" t="str">
        <f>+VLOOKUP(Agencia[[#This Row],[contenido]],Estructura!$E$4:$G$500,3,0)</f>
        <v>C-995</v>
      </c>
      <c r="Z69" s="118" t="str">
        <f>+VLOOKUP(Agencia[[#This Row],[Filtro Integrado]],Estructura!$I$4:$K$500,3,0)</f>
        <v>FI-992</v>
      </c>
      <c r="AA69" s="118" t="str">
        <f>+VLOOKUP(Agencia[[#This Row],[Muestra]],Estructura!$M$4:$O$500,3,0)</f>
        <v>M-991</v>
      </c>
    </row>
    <row r="70" spans="1:27" ht="40.799999999999997" x14ac:dyDescent="0.3">
      <c r="A70" s="21" t="s">
        <v>1508</v>
      </c>
      <c r="B70" s="24">
        <f t="shared" si="49"/>
        <v>990</v>
      </c>
      <c r="C70" s="25" t="str">
        <f t="shared" si="50"/>
        <v>Agencia Información</v>
      </c>
      <c r="D70" s="25" t="str">
        <f t="shared" si="51"/>
        <v>Socioeconómico</v>
      </c>
      <c r="E70" s="19">
        <v>6</v>
      </c>
      <c r="F70" s="26" t="s">
        <v>2367</v>
      </c>
      <c r="G70" s="26" t="s">
        <v>3761</v>
      </c>
      <c r="H70" s="35" t="s">
        <v>16</v>
      </c>
      <c r="I70" s="36" t="s">
        <v>373</v>
      </c>
      <c r="J70" s="9" t="str">
        <f t="shared" si="59"/>
        <v>Región</v>
      </c>
      <c r="K70" s="9" t="str">
        <f t="shared" si="60"/>
        <v>Ingresos Promedio Mensual por región</v>
      </c>
      <c r="L70" s="9" t="str">
        <f t="shared" si="61"/>
        <v>Periodo 2006-2017</v>
      </c>
      <c r="M70" s="9" t="str">
        <f t="shared" si="62"/>
        <v>CLP/mes</v>
      </c>
      <c r="N70" s="9" t="str">
        <f t="shared" si="63"/>
        <v>Encuestas CASEN</v>
      </c>
      <c r="O70" s="11" t="str">
        <f>"Evolución de Ingreso Promedio Mensual por Etnia en la "&amp;Agencia[[#This Row],[territorio]]&amp;" para el "&amp;Agencia[[#This Row],[temporalidad]]</f>
        <v>Evolución de Ingreso Promedio Mensual por Etnia en la Región de O'Higgins para el Periodo 2006-2017</v>
      </c>
      <c r="P70" s="20"/>
      <c r="Q70" s="11" t="str">
        <f t="shared" si="64"/>
        <v>Gráfico de Evolución</v>
      </c>
      <c r="R70" s="20" t="str">
        <f>Agencia[[#This Row],[territorio]]&amp;" CASEN ingresos promedio mensual etnia región mapuche alacalufe atacameño aymara coya diaguita pascuense quechua"</f>
        <v>Región de O'Higgins CASEN ingresos promedio mensual etnia región mapuche alacalufe atacameño aymara coya diaguita pascuense quechua</v>
      </c>
      <c r="S70" s="22" t="str">
        <f>HYPERLINK("https://analytics.zoho.com/open-view/2395394000008231605?ZOHO_CRITERIA=%22Localiza%20Chile%22.%22Codreg%22%3D"&amp;Agencia[[#This Row],[Filtro URL]])</f>
        <v>https://analytics.zoho.com/open-view/2395394000008231605?ZOHO_CRITERIA=%22Localiza%20Chile%22.%22Codreg%22%3D6</v>
      </c>
      <c r="T70" s="69" t="str">
        <f>"100-C-"&amp;Agencia[[#This Row],[Filtro URL]]</f>
        <v>100-C-6</v>
      </c>
      <c r="U70" s="50" t="str">
        <f t="shared" si="65"/>
        <v>#1774B9</v>
      </c>
      <c r="V70" s="118" t="str">
        <f>+Agencia[[#This Row],[idcoleccion]]&amp;"-"&amp;Agencia[[#This Row],[id]]</f>
        <v>990-0059</v>
      </c>
      <c r="W70" s="118">
        <f>+VLOOKUP(Agencia[[#This Row],[Filtro URL]],Estructura!$X$4:$Y$500,2,0)</f>
        <v>99200006</v>
      </c>
      <c r="X70" s="118" t="str">
        <f>+VLOOKUP(Agencia[[#This Row],[tema]],Estructura!$A$4:$C$500,3,0)</f>
        <v>T-1029</v>
      </c>
      <c r="Y70" s="118" t="str">
        <f>+VLOOKUP(Agencia[[#This Row],[contenido]],Estructura!$E$4:$G$500,3,0)</f>
        <v>C-995</v>
      </c>
      <c r="Z70" s="118" t="str">
        <f>+VLOOKUP(Agencia[[#This Row],[Filtro Integrado]],Estructura!$I$4:$K$500,3,0)</f>
        <v>FI-992</v>
      </c>
      <c r="AA70" s="118" t="str">
        <f>+VLOOKUP(Agencia[[#This Row],[Muestra]],Estructura!$M$4:$O$500,3,0)</f>
        <v>M-991</v>
      </c>
    </row>
    <row r="71" spans="1:27" ht="40.799999999999997" x14ac:dyDescent="0.3">
      <c r="A71" s="21" t="s">
        <v>1509</v>
      </c>
      <c r="B71" s="24">
        <f t="shared" si="49"/>
        <v>990</v>
      </c>
      <c r="C71" s="25" t="str">
        <f t="shared" si="50"/>
        <v>Agencia Información</v>
      </c>
      <c r="D71" s="25" t="str">
        <f t="shared" si="51"/>
        <v>Socioeconómico</v>
      </c>
      <c r="E71" s="19">
        <v>7</v>
      </c>
      <c r="F71" s="26" t="s">
        <v>2367</v>
      </c>
      <c r="G71" s="26" t="s">
        <v>3761</v>
      </c>
      <c r="H71" s="35" t="s">
        <v>16</v>
      </c>
      <c r="I71" s="36" t="s">
        <v>374</v>
      </c>
      <c r="J71" s="9" t="str">
        <f t="shared" si="59"/>
        <v>Región</v>
      </c>
      <c r="K71" s="9" t="str">
        <f t="shared" si="60"/>
        <v>Ingresos Promedio Mensual por región</v>
      </c>
      <c r="L71" s="9" t="str">
        <f t="shared" si="61"/>
        <v>Periodo 2006-2017</v>
      </c>
      <c r="M71" s="9" t="str">
        <f t="shared" si="62"/>
        <v>CLP/mes</v>
      </c>
      <c r="N71" s="9" t="str">
        <f t="shared" si="63"/>
        <v>Encuestas CASEN</v>
      </c>
      <c r="O71" s="11" t="str">
        <f>"Evolución de Ingreso Promedio Mensual por Etnia en la "&amp;Agencia[[#This Row],[territorio]]&amp;" para el "&amp;Agencia[[#This Row],[temporalidad]]</f>
        <v>Evolución de Ingreso Promedio Mensual por Etnia en la Región de Maule para el Periodo 2006-2017</v>
      </c>
      <c r="P71" s="20"/>
      <c r="Q71" s="11" t="str">
        <f t="shared" si="64"/>
        <v>Gráfico de Evolución</v>
      </c>
      <c r="R71" s="20" t="str">
        <f>Agencia[[#This Row],[territorio]]&amp;" CASEN ingresos promedio mensual etnia región mapuche alacalufe atacameño aymara coya diaguita pascuense quechua"</f>
        <v>Región de Maule CASEN ingresos promedio mensual etnia región mapuche alacalufe atacameño aymara coya diaguita pascuense quechua</v>
      </c>
      <c r="S71" s="22" t="str">
        <f>HYPERLINK("https://analytics.zoho.com/open-view/2395394000008231605?ZOHO_CRITERIA=%22Localiza%20Chile%22.%22Codreg%22%3D"&amp;Agencia[[#This Row],[Filtro URL]])</f>
        <v>https://analytics.zoho.com/open-view/2395394000008231605?ZOHO_CRITERIA=%22Localiza%20Chile%22.%22Codreg%22%3D7</v>
      </c>
      <c r="T71" s="69" t="str">
        <f>"100-C-"&amp;Agencia[[#This Row],[Filtro URL]]</f>
        <v>100-C-7</v>
      </c>
      <c r="U71" s="50" t="str">
        <f t="shared" si="65"/>
        <v>#1774B9</v>
      </c>
      <c r="V71" s="118" t="str">
        <f>+Agencia[[#This Row],[idcoleccion]]&amp;"-"&amp;Agencia[[#This Row],[id]]</f>
        <v>990-0060</v>
      </c>
      <c r="W71" s="118">
        <f>+VLOOKUP(Agencia[[#This Row],[Filtro URL]],Estructura!$X$4:$Y$500,2,0)</f>
        <v>99200007</v>
      </c>
      <c r="X71" s="118" t="str">
        <f>+VLOOKUP(Agencia[[#This Row],[tema]],Estructura!$A$4:$C$500,3,0)</f>
        <v>T-1029</v>
      </c>
      <c r="Y71" s="118" t="str">
        <f>+VLOOKUP(Agencia[[#This Row],[contenido]],Estructura!$E$4:$G$500,3,0)</f>
        <v>C-995</v>
      </c>
      <c r="Z71" s="118" t="str">
        <f>+VLOOKUP(Agencia[[#This Row],[Filtro Integrado]],Estructura!$I$4:$K$500,3,0)</f>
        <v>FI-992</v>
      </c>
      <c r="AA71" s="118" t="str">
        <f>+VLOOKUP(Agencia[[#This Row],[Muestra]],Estructura!$M$4:$O$500,3,0)</f>
        <v>M-991</v>
      </c>
    </row>
    <row r="72" spans="1:27" ht="40.799999999999997" x14ac:dyDescent="0.3">
      <c r="A72" s="21" t="s">
        <v>1510</v>
      </c>
      <c r="B72" s="24">
        <f t="shared" si="49"/>
        <v>990</v>
      </c>
      <c r="C72" s="25" t="str">
        <f t="shared" si="50"/>
        <v>Agencia Información</v>
      </c>
      <c r="D72" s="25" t="str">
        <f t="shared" si="51"/>
        <v>Socioeconómico</v>
      </c>
      <c r="E72" s="19">
        <v>8</v>
      </c>
      <c r="F72" s="26" t="s">
        <v>2367</v>
      </c>
      <c r="G72" s="26" t="s">
        <v>3761</v>
      </c>
      <c r="H72" s="35" t="s">
        <v>16</v>
      </c>
      <c r="I72" s="36" t="s">
        <v>375</v>
      </c>
      <c r="J72" s="9" t="str">
        <f t="shared" si="59"/>
        <v>Región</v>
      </c>
      <c r="K72" s="9" t="str">
        <f t="shared" si="60"/>
        <v>Ingresos Promedio Mensual por región</v>
      </c>
      <c r="L72" s="9" t="str">
        <f t="shared" si="61"/>
        <v>Periodo 2006-2017</v>
      </c>
      <c r="M72" s="9" t="str">
        <f t="shared" si="62"/>
        <v>CLP/mes</v>
      </c>
      <c r="N72" s="9" t="str">
        <f t="shared" si="63"/>
        <v>Encuestas CASEN</v>
      </c>
      <c r="O72" s="11" t="str">
        <f>"Evolución de Ingreso Promedio Mensual por Etnia en la "&amp;Agencia[[#This Row],[territorio]]&amp;" para el "&amp;Agencia[[#This Row],[temporalidad]]</f>
        <v>Evolución de Ingreso Promedio Mensual por Etnia en la Región del Biobío para el Periodo 2006-2017</v>
      </c>
      <c r="P72" s="20"/>
      <c r="Q72" s="11" t="str">
        <f t="shared" si="64"/>
        <v>Gráfico de Evolución</v>
      </c>
      <c r="R72" s="20" t="str">
        <f>Agencia[[#This Row],[territorio]]&amp;" CASEN ingresos promedio mensual etnia región mapuche alacalufe atacameño aymara coya diaguita pascuense quechua"</f>
        <v>Región del Biobío CASEN ingresos promedio mensual etnia región mapuche alacalufe atacameño aymara coya diaguita pascuense quechua</v>
      </c>
      <c r="S72" s="22" t="str">
        <f>HYPERLINK("https://analytics.zoho.com/open-view/2395394000008231605?ZOHO_CRITERIA=%22Localiza%20Chile%22.%22Codreg%22%3D"&amp;Agencia[[#This Row],[Filtro URL]])</f>
        <v>https://analytics.zoho.com/open-view/2395394000008231605?ZOHO_CRITERIA=%22Localiza%20Chile%22.%22Codreg%22%3D8</v>
      </c>
      <c r="T72" s="69" t="str">
        <f>"100-C-"&amp;Agencia[[#This Row],[Filtro URL]]</f>
        <v>100-C-8</v>
      </c>
      <c r="U72" s="50" t="str">
        <f t="shared" si="65"/>
        <v>#1774B9</v>
      </c>
      <c r="V72" s="118" t="str">
        <f>+Agencia[[#This Row],[idcoleccion]]&amp;"-"&amp;Agencia[[#This Row],[id]]</f>
        <v>990-0061</v>
      </c>
      <c r="W72" s="118">
        <f>+VLOOKUP(Agencia[[#This Row],[Filtro URL]],Estructura!$X$4:$Y$500,2,0)</f>
        <v>99200008</v>
      </c>
      <c r="X72" s="118" t="str">
        <f>+VLOOKUP(Agencia[[#This Row],[tema]],Estructura!$A$4:$C$500,3,0)</f>
        <v>T-1029</v>
      </c>
      <c r="Y72" s="118" t="str">
        <f>+VLOOKUP(Agencia[[#This Row],[contenido]],Estructura!$E$4:$G$500,3,0)</f>
        <v>C-995</v>
      </c>
      <c r="Z72" s="118" t="str">
        <f>+VLOOKUP(Agencia[[#This Row],[Filtro Integrado]],Estructura!$I$4:$K$500,3,0)</f>
        <v>FI-992</v>
      </c>
      <c r="AA72" s="118" t="str">
        <f>+VLOOKUP(Agencia[[#This Row],[Muestra]],Estructura!$M$4:$O$500,3,0)</f>
        <v>M-991</v>
      </c>
    </row>
    <row r="73" spans="1:27" ht="40.799999999999997" x14ac:dyDescent="0.3">
      <c r="A73" s="21" t="s">
        <v>1511</v>
      </c>
      <c r="B73" s="24">
        <f t="shared" si="49"/>
        <v>990</v>
      </c>
      <c r="C73" s="25" t="str">
        <f t="shared" si="50"/>
        <v>Agencia Información</v>
      </c>
      <c r="D73" s="25" t="str">
        <f t="shared" si="51"/>
        <v>Socioeconómico</v>
      </c>
      <c r="E73" s="19">
        <v>9</v>
      </c>
      <c r="F73" s="26" t="s">
        <v>2367</v>
      </c>
      <c r="G73" s="26" t="s">
        <v>3761</v>
      </c>
      <c r="H73" s="35" t="s">
        <v>16</v>
      </c>
      <c r="I73" s="36" t="s">
        <v>376</v>
      </c>
      <c r="J73" s="9" t="str">
        <f t="shared" si="59"/>
        <v>Región</v>
      </c>
      <c r="K73" s="9" t="str">
        <f t="shared" si="60"/>
        <v>Ingresos Promedio Mensual por región</v>
      </c>
      <c r="L73" s="9" t="str">
        <f t="shared" si="61"/>
        <v>Periodo 2006-2017</v>
      </c>
      <c r="M73" s="9" t="str">
        <f t="shared" si="62"/>
        <v>CLP/mes</v>
      </c>
      <c r="N73" s="9" t="str">
        <f t="shared" si="63"/>
        <v>Encuestas CASEN</v>
      </c>
      <c r="O73" s="11" t="str">
        <f>"Evolución de Ingreso Promedio Mensual por Etnia en la "&amp;Agencia[[#This Row],[territorio]]&amp;" para el "&amp;Agencia[[#This Row],[temporalidad]]</f>
        <v>Evolución de Ingreso Promedio Mensual por Etnia en la Región de La Araucanía para el Periodo 2006-2017</v>
      </c>
      <c r="P73" s="20"/>
      <c r="Q73" s="11" t="str">
        <f t="shared" si="64"/>
        <v>Gráfico de Evolución</v>
      </c>
      <c r="R73" s="20" t="str">
        <f>Agencia[[#This Row],[territorio]]&amp;" CASEN ingresos promedio mensual etnia región mapuche alacalufe atacameño aymara coya diaguita pascuense quechua"</f>
        <v>Región de La Araucanía CASEN ingresos promedio mensual etnia región mapuche alacalufe atacameño aymara coya diaguita pascuense quechua</v>
      </c>
      <c r="S73" s="22" t="str">
        <f>HYPERLINK("https://analytics.zoho.com/open-view/2395394000008231605?ZOHO_CRITERIA=%22Localiza%20Chile%22.%22Codreg%22%3D"&amp;Agencia[[#This Row],[Filtro URL]])</f>
        <v>https://analytics.zoho.com/open-view/2395394000008231605?ZOHO_CRITERIA=%22Localiza%20Chile%22.%22Codreg%22%3D9</v>
      </c>
      <c r="T73" s="69" t="str">
        <f>"100-C-"&amp;Agencia[[#This Row],[Filtro URL]]</f>
        <v>100-C-9</v>
      </c>
      <c r="U73" s="50" t="str">
        <f t="shared" si="65"/>
        <v>#1774B9</v>
      </c>
      <c r="V73" s="118" t="str">
        <f>+Agencia[[#This Row],[idcoleccion]]&amp;"-"&amp;Agencia[[#This Row],[id]]</f>
        <v>990-0062</v>
      </c>
      <c r="W73" s="118">
        <f>+VLOOKUP(Agencia[[#This Row],[Filtro URL]],Estructura!$X$4:$Y$500,2,0)</f>
        <v>99200009</v>
      </c>
      <c r="X73" s="118" t="str">
        <f>+VLOOKUP(Agencia[[#This Row],[tema]],Estructura!$A$4:$C$500,3,0)</f>
        <v>T-1029</v>
      </c>
      <c r="Y73" s="118" t="str">
        <f>+VLOOKUP(Agencia[[#This Row],[contenido]],Estructura!$E$4:$G$500,3,0)</f>
        <v>C-995</v>
      </c>
      <c r="Z73" s="118" t="str">
        <f>+VLOOKUP(Agencia[[#This Row],[Filtro Integrado]],Estructura!$I$4:$K$500,3,0)</f>
        <v>FI-992</v>
      </c>
      <c r="AA73" s="118" t="str">
        <f>+VLOOKUP(Agencia[[#This Row],[Muestra]],Estructura!$M$4:$O$500,3,0)</f>
        <v>M-991</v>
      </c>
    </row>
    <row r="74" spans="1:27" ht="40.799999999999997" x14ac:dyDescent="0.3">
      <c r="A74" s="21" t="s">
        <v>1512</v>
      </c>
      <c r="B74" s="24">
        <f t="shared" si="49"/>
        <v>990</v>
      </c>
      <c r="C74" s="25" t="str">
        <f t="shared" si="50"/>
        <v>Agencia Información</v>
      </c>
      <c r="D74" s="25" t="str">
        <f t="shared" si="51"/>
        <v>Socioeconómico</v>
      </c>
      <c r="E74" s="19">
        <v>10</v>
      </c>
      <c r="F74" s="26" t="s">
        <v>2367</v>
      </c>
      <c r="G74" s="26" t="s">
        <v>3761</v>
      </c>
      <c r="H74" s="35" t="s">
        <v>16</v>
      </c>
      <c r="I74" s="36" t="s">
        <v>377</v>
      </c>
      <c r="J74" s="9" t="str">
        <f t="shared" si="59"/>
        <v>Región</v>
      </c>
      <c r="K74" s="9" t="str">
        <f t="shared" si="60"/>
        <v>Ingresos Promedio Mensual por región</v>
      </c>
      <c r="L74" s="9" t="str">
        <f t="shared" si="61"/>
        <v>Periodo 2006-2017</v>
      </c>
      <c r="M74" s="9" t="str">
        <f t="shared" si="62"/>
        <v>CLP/mes</v>
      </c>
      <c r="N74" s="9" t="str">
        <f t="shared" si="63"/>
        <v>Encuestas CASEN</v>
      </c>
      <c r="O74" s="11" t="str">
        <f>"Evolución de Ingreso Promedio Mensual por Etnia en la "&amp;Agencia[[#This Row],[territorio]]&amp;" para el "&amp;Agencia[[#This Row],[temporalidad]]</f>
        <v>Evolución de Ingreso Promedio Mensual por Etnia en la Región de Los Lagos para el Periodo 2006-2017</v>
      </c>
      <c r="P74" s="20"/>
      <c r="Q74" s="11" t="str">
        <f t="shared" si="64"/>
        <v>Gráfico de Evolución</v>
      </c>
      <c r="R74" s="20" t="str">
        <f>Agencia[[#This Row],[territorio]]&amp;" CASEN ingresos promedio mensual etnia región mapuche alacalufe atacameño aymara coya diaguita pascuense quechua"</f>
        <v>Región de Los Lagos CASEN ingresos promedio mensual etnia región mapuche alacalufe atacameño aymara coya diaguita pascuense quechua</v>
      </c>
      <c r="S74" s="22" t="str">
        <f>HYPERLINK("https://analytics.zoho.com/open-view/2395394000008231605?ZOHO_CRITERIA=%22Localiza%20Chile%22.%22Codreg%22%3D"&amp;Agencia[[#This Row],[Filtro URL]])</f>
        <v>https://analytics.zoho.com/open-view/2395394000008231605?ZOHO_CRITERIA=%22Localiza%20Chile%22.%22Codreg%22%3D10</v>
      </c>
      <c r="T74" s="69" t="str">
        <f>"100-C-"&amp;Agencia[[#This Row],[Filtro URL]]</f>
        <v>100-C-10</v>
      </c>
      <c r="U74" s="50" t="str">
        <f t="shared" si="65"/>
        <v>#1774B9</v>
      </c>
      <c r="V74" s="118" t="str">
        <f>+Agencia[[#This Row],[idcoleccion]]&amp;"-"&amp;Agencia[[#This Row],[id]]</f>
        <v>990-0063</v>
      </c>
      <c r="W74" s="118">
        <f>+VLOOKUP(Agencia[[#This Row],[Filtro URL]],Estructura!$X$4:$Y$500,2,0)</f>
        <v>99200010</v>
      </c>
      <c r="X74" s="118" t="str">
        <f>+VLOOKUP(Agencia[[#This Row],[tema]],Estructura!$A$4:$C$500,3,0)</f>
        <v>T-1029</v>
      </c>
      <c r="Y74" s="118" t="str">
        <f>+VLOOKUP(Agencia[[#This Row],[contenido]],Estructura!$E$4:$G$500,3,0)</f>
        <v>C-995</v>
      </c>
      <c r="Z74" s="118" t="str">
        <f>+VLOOKUP(Agencia[[#This Row],[Filtro Integrado]],Estructura!$I$4:$K$500,3,0)</f>
        <v>FI-992</v>
      </c>
      <c r="AA74" s="118" t="str">
        <f>+VLOOKUP(Agencia[[#This Row],[Muestra]],Estructura!$M$4:$O$500,3,0)</f>
        <v>M-991</v>
      </c>
    </row>
    <row r="75" spans="1:27" ht="40.799999999999997" x14ac:dyDescent="0.3">
      <c r="A75" s="21" t="s">
        <v>1513</v>
      </c>
      <c r="B75" s="24">
        <f t="shared" si="49"/>
        <v>990</v>
      </c>
      <c r="C75" s="25" t="str">
        <f t="shared" si="50"/>
        <v>Agencia Información</v>
      </c>
      <c r="D75" s="25" t="str">
        <f t="shared" si="51"/>
        <v>Socioeconómico</v>
      </c>
      <c r="E75" s="19">
        <v>11</v>
      </c>
      <c r="F75" s="26" t="s">
        <v>2367</v>
      </c>
      <c r="G75" s="26" t="s">
        <v>3761</v>
      </c>
      <c r="H75" s="35" t="s">
        <v>16</v>
      </c>
      <c r="I75" s="36" t="s">
        <v>378</v>
      </c>
      <c r="J75" s="9" t="str">
        <f t="shared" si="59"/>
        <v>Región</v>
      </c>
      <c r="K75" s="9" t="str">
        <f t="shared" si="60"/>
        <v>Ingresos Promedio Mensual por región</v>
      </c>
      <c r="L75" s="9" t="str">
        <f t="shared" si="61"/>
        <v>Periodo 2006-2017</v>
      </c>
      <c r="M75" s="9" t="str">
        <f t="shared" si="62"/>
        <v>CLP/mes</v>
      </c>
      <c r="N75" s="9" t="str">
        <f t="shared" si="63"/>
        <v>Encuestas CASEN</v>
      </c>
      <c r="O75" s="11" t="str">
        <f>"Evolución de Ingreso Promedio Mensual por Etnia en la "&amp;Agencia[[#This Row],[territorio]]&amp;" para el "&amp;Agencia[[#This Row],[temporalidad]]</f>
        <v>Evolución de Ingreso Promedio Mensual por Etnia en la Región de Aysén para el Periodo 2006-2017</v>
      </c>
      <c r="P75" s="20"/>
      <c r="Q75" s="11" t="str">
        <f t="shared" si="64"/>
        <v>Gráfico de Evolución</v>
      </c>
      <c r="R75" s="20" t="str">
        <f>Agencia[[#This Row],[territorio]]&amp;" CASEN ingresos promedio mensual etnia región mapuche alacalufe atacameño aymara coya diaguita pascuense quechua"</f>
        <v>Región de Aysén CASEN ingresos promedio mensual etnia región mapuche alacalufe atacameño aymara coya diaguita pascuense quechua</v>
      </c>
      <c r="S75" s="22" t="str">
        <f>HYPERLINK("https://analytics.zoho.com/open-view/2395394000008231605?ZOHO_CRITERIA=%22Localiza%20Chile%22.%22Codreg%22%3D"&amp;Agencia[[#This Row],[Filtro URL]])</f>
        <v>https://analytics.zoho.com/open-view/2395394000008231605?ZOHO_CRITERIA=%22Localiza%20Chile%22.%22Codreg%22%3D11</v>
      </c>
      <c r="T75" s="69" t="str">
        <f>"100-C-"&amp;Agencia[[#This Row],[Filtro URL]]</f>
        <v>100-C-11</v>
      </c>
      <c r="U75" s="50" t="str">
        <f t="shared" si="65"/>
        <v>#1774B9</v>
      </c>
      <c r="V75" s="118" t="str">
        <f>+Agencia[[#This Row],[idcoleccion]]&amp;"-"&amp;Agencia[[#This Row],[id]]</f>
        <v>990-0064</v>
      </c>
      <c r="W75" s="118">
        <f>+VLOOKUP(Agencia[[#This Row],[Filtro URL]],Estructura!$X$4:$Y$500,2,0)</f>
        <v>99200011</v>
      </c>
      <c r="X75" s="118" t="str">
        <f>+VLOOKUP(Agencia[[#This Row],[tema]],Estructura!$A$4:$C$500,3,0)</f>
        <v>T-1029</v>
      </c>
      <c r="Y75" s="118" t="str">
        <f>+VLOOKUP(Agencia[[#This Row],[contenido]],Estructura!$E$4:$G$500,3,0)</f>
        <v>C-995</v>
      </c>
      <c r="Z75" s="118" t="str">
        <f>+VLOOKUP(Agencia[[#This Row],[Filtro Integrado]],Estructura!$I$4:$K$500,3,0)</f>
        <v>FI-992</v>
      </c>
      <c r="AA75" s="118" t="str">
        <f>+VLOOKUP(Agencia[[#This Row],[Muestra]],Estructura!$M$4:$O$500,3,0)</f>
        <v>M-991</v>
      </c>
    </row>
    <row r="76" spans="1:27" ht="40.799999999999997" x14ac:dyDescent="0.3">
      <c r="A76" s="21" t="s">
        <v>1514</v>
      </c>
      <c r="B76" s="24">
        <f t="shared" si="49"/>
        <v>990</v>
      </c>
      <c r="C76" s="25" t="str">
        <f t="shared" si="50"/>
        <v>Agencia Información</v>
      </c>
      <c r="D76" s="25" t="str">
        <f t="shared" si="51"/>
        <v>Socioeconómico</v>
      </c>
      <c r="E76" s="19">
        <v>12</v>
      </c>
      <c r="F76" s="26" t="s">
        <v>2367</v>
      </c>
      <c r="G76" s="26" t="s">
        <v>3761</v>
      </c>
      <c r="H76" s="35" t="s">
        <v>16</v>
      </c>
      <c r="I76" s="36" t="s">
        <v>379</v>
      </c>
      <c r="J76" s="9" t="str">
        <f t="shared" si="59"/>
        <v>Región</v>
      </c>
      <c r="K76" s="9" t="str">
        <f t="shared" si="60"/>
        <v>Ingresos Promedio Mensual por región</v>
      </c>
      <c r="L76" s="9" t="str">
        <f t="shared" si="61"/>
        <v>Periodo 2006-2017</v>
      </c>
      <c r="M76" s="9" t="str">
        <f t="shared" si="62"/>
        <v>CLP/mes</v>
      </c>
      <c r="N76" s="9" t="str">
        <f t="shared" si="63"/>
        <v>Encuestas CASEN</v>
      </c>
      <c r="O76" s="11" t="str">
        <f>"Evolución de Ingreso Promedio Mensual por Etnia en la "&amp;Agencia[[#This Row],[territorio]]&amp;" para el "&amp;Agencia[[#This Row],[temporalidad]]</f>
        <v>Evolución de Ingreso Promedio Mensual por Etnia en la Región de Magallanes para el Periodo 2006-2017</v>
      </c>
      <c r="P76" s="20"/>
      <c r="Q76" s="11" t="str">
        <f t="shared" si="64"/>
        <v>Gráfico de Evolución</v>
      </c>
      <c r="R76" s="20" t="str">
        <f>Agencia[[#This Row],[territorio]]&amp;" CASEN ingresos promedio mensual etnia región mapuche alacalufe atacameño aymara coya diaguita pascuense quechua"</f>
        <v>Región de Magallanes CASEN ingresos promedio mensual etnia región mapuche alacalufe atacameño aymara coya diaguita pascuense quechua</v>
      </c>
      <c r="S76" s="22" t="str">
        <f>HYPERLINK("https://analytics.zoho.com/open-view/2395394000008231605?ZOHO_CRITERIA=%22Localiza%20Chile%22.%22Codreg%22%3D"&amp;Agencia[[#This Row],[Filtro URL]])</f>
        <v>https://analytics.zoho.com/open-view/2395394000008231605?ZOHO_CRITERIA=%22Localiza%20Chile%22.%22Codreg%22%3D12</v>
      </c>
      <c r="T76" s="69" t="str">
        <f>"100-C-"&amp;Agencia[[#This Row],[Filtro URL]]</f>
        <v>100-C-12</v>
      </c>
      <c r="U76" s="50" t="str">
        <f t="shared" si="65"/>
        <v>#1774B9</v>
      </c>
      <c r="V76" s="118" t="str">
        <f>+Agencia[[#This Row],[idcoleccion]]&amp;"-"&amp;Agencia[[#This Row],[id]]</f>
        <v>990-0065</v>
      </c>
      <c r="W76" s="118">
        <f>+VLOOKUP(Agencia[[#This Row],[Filtro URL]],Estructura!$X$4:$Y$500,2,0)</f>
        <v>99200012</v>
      </c>
      <c r="X76" s="118" t="str">
        <f>+VLOOKUP(Agencia[[#This Row],[tema]],Estructura!$A$4:$C$500,3,0)</f>
        <v>T-1029</v>
      </c>
      <c r="Y76" s="118" t="str">
        <f>+VLOOKUP(Agencia[[#This Row],[contenido]],Estructura!$E$4:$G$500,3,0)</f>
        <v>C-995</v>
      </c>
      <c r="Z76" s="118" t="str">
        <f>+VLOOKUP(Agencia[[#This Row],[Filtro Integrado]],Estructura!$I$4:$K$500,3,0)</f>
        <v>FI-992</v>
      </c>
      <c r="AA76" s="118" t="str">
        <f>+VLOOKUP(Agencia[[#This Row],[Muestra]],Estructura!$M$4:$O$500,3,0)</f>
        <v>M-991</v>
      </c>
    </row>
    <row r="77" spans="1:27" ht="40.799999999999997" x14ac:dyDescent="0.3">
      <c r="A77" s="21" t="s">
        <v>1515</v>
      </c>
      <c r="B77" s="24">
        <f t="shared" si="49"/>
        <v>990</v>
      </c>
      <c r="C77" s="25" t="str">
        <f t="shared" si="50"/>
        <v>Agencia Información</v>
      </c>
      <c r="D77" s="25" t="str">
        <f t="shared" si="51"/>
        <v>Socioeconómico</v>
      </c>
      <c r="E77" s="19">
        <v>13</v>
      </c>
      <c r="F77" s="26" t="s">
        <v>2367</v>
      </c>
      <c r="G77" s="26" t="s">
        <v>3761</v>
      </c>
      <c r="H77" s="35" t="s">
        <v>16</v>
      </c>
      <c r="I77" s="36" t="s">
        <v>380</v>
      </c>
      <c r="J77" s="9" t="str">
        <f t="shared" si="59"/>
        <v>Región</v>
      </c>
      <c r="K77" s="9" t="str">
        <f t="shared" si="60"/>
        <v>Ingresos Promedio Mensual por región</v>
      </c>
      <c r="L77" s="9" t="str">
        <f t="shared" si="61"/>
        <v>Periodo 2006-2017</v>
      </c>
      <c r="M77" s="9" t="str">
        <f t="shared" si="62"/>
        <v>CLP/mes</v>
      </c>
      <c r="N77" s="9" t="str">
        <f t="shared" si="63"/>
        <v>Encuestas CASEN</v>
      </c>
      <c r="O77" s="11" t="str">
        <f>"Evolución de Ingreso Promedio Mensual por Etnia en la "&amp;Agencia[[#This Row],[territorio]]&amp;" para el "&amp;Agencia[[#This Row],[temporalidad]]</f>
        <v>Evolución de Ingreso Promedio Mensual por Etnia en la Región Metropolitana para el Periodo 2006-2017</v>
      </c>
      <c r="P77" s="20"/>
      <c r="Q77" s="11" t="str">
        <f t="shared" si="64"/>
        <v>Gráfico de Evolución</v>
      </c>
      <c r="R77" s="20" t="str">
        <f>Agencia[[#This Row],[territorio]]&amp;" CASEN ingresos promedio mensual etnia región mapuche alacalufe atacameño aymara coya diaguita pascuense quechua"</f>
        <v>Región Metropolitana CASEN ingresos promedio mensual etnia región mapuche alacalufe atacameño aymara coya diaguita pascuense quechua</v>
      </c>
      <c r="S77" s="22" t="str">
        <f>HYPERLINK("https://analytics.zoho.com/open-view/2395394000008231605?ZOHO_CRITERIA=%22Localiza%20Chile%22.%22Codreg%22%3D"&amp;Agencia[[#This Row],[Filtro URL]])</f>
        <v>https://analytics.zoho.com/open-view/2395394000008231605?ZOHO_CRITERIA=%22Localiza%20Chile%22.%22Codreg%22%3D13</v>
      </c>
      <c r="T77" s="69" t="str">
        <f>"200-C-"&amp;Agencia[[#This Row],[Filtro URL]]</f>
        <v>200-C-13</v>
      </c>
      <c r="U77" s="50" t="str">
        <f t="shared" si="65"/>
        <v>#1774B9</v>
      </c>
      <c r="V77" s="118" t="str">
        <f>+Agencia[[#This Row],[idcoleccion]]&amp;"-"&amp;Agencia[[#This Row],[id]]</f>
        <v>990-0066</v>
      </c>
      <c r="W77" s="118">
        <f>+VLOOKUP(Agencia[[#This Row],[Filtro URL]],Estructura!$X$4:$Y$500,2,0)</f>
        <v>99200013</v>
      </c>
      <c r="X77" s="118" t="str">
        <f>+VLOOKUP(Agencia[[#This Row],[tema]],Estructura!$A$4:$C$500,3,0)</f>
        <v>T-1029</v>
      </c>
      <c r="Y77" s="118" t="str">
        <f>+VLOOKUP(Agencia[[#This Row],[contenido]],Estructura!$E$4:$G$500,3,0)</f>
        <v>C-995</v>
      </c>
      <c r="Z77" s="118" t="str">
        <f>+VLOOKUP(Agencia[[#This Row],[Filtro Integrado]],Estructura!$I$4:$K$500,3,0)</f>
        <v>FI-992</v>
      </c>
      <c r="AA77" s="118" t="str">
        <f>+VLOOKUP(Agencia[[#This Row],[Muestra]],Estructura!$M$4:$O$500,3,0)</f>
        <v>M-991</v>
      </c>
    </row>
    <row r="78" spans="1:27" ht="40.799999999999997" x14ac:dyDescent="0.3">
      <c r="A78" s="21" t="s">
        <v>1516</v>
      </c>
      <c r="B78" s="24">
        <f t="shared" si="49"/>
        <v>990</v>
      </c>
      <c r="C78" s="25" t="str">
        <f t="shared" si="50"/>
        <v>Agencia Información</v>
      </c>
      <c r="D78" s="25" t="str">
        <f t="shared" si="51"/>
        <v>Socioeconómico</v>
      </c>
      <c r="E78" s="19">
        <v>14</v>
      </c>
      <c r="F78" s="26" t="s">
        <v>2367</v>
      </c>
      <c r="G78" s="26" t="s">
        <v>3761</v>
      </c>
      <c r="H78" s="35" t="s">
        <v>16</v>
      </c>
      <c r="I78" s="36" t="s">
        <v>381</v>
      </c>
      <c r="J78" s="9" t="str">
        <f t="shared" si="59"/>
        <v>Región</v>
      </c>
      <c r="K78" s="9" t="str">
        <f t="shared" si="60"/>
        <v>Ingresos Promedio Mensual por región</v>
      </c>
      <c r="L78" s="9" t="str">
        <f t="shared" si="61"/>
        <v>Periodo 2006-2017</v>
      </c>
      <c r="M78" s="9" t="str">
        <f t="shared" si="62"/>
        <v>CLP/mes</v>
      </c>
      <c r="N78" s="9" t="str">
        <f t="shared" si="63"/>
        <v>Encuestas CASEN</v>
      </c>
      <c r="O78" s="11" t="str">
        <f>"Evolución de Ingreso Promedio Mensual por Etnia en la "&amp;Agencia[[#This Row],[territorio]]&amp;" para el "&amp;Agencia[[#This Row],[temporalidad]]</f>
        <v>Evolución de Ingreso Promedio Mensual por Etnia en la Región de Los Ríos para el Periodo 2006-2017</v>
      </c>
      <c r="P78" s="20"/>
      <c r="Q78" s="11" t="str">
        <f t="shared" si="64"/>
        <v>Gráfico de Evolución</v>
      </c>
      <c r="R78" s="20" t="str">
        <f>Agencia[[#This Row],[territorio]]&amp;" CASEN ingresos promedio mensual etnia región mapuche alacalufe atacameño aymara coya diaguita pascuense quechua"</f>
        <v>Región de Los Ríos CASEN ingresos promedio mensual etnia región mapuche alacalufe atacameño aymara coya diaguita pascuense quechua</v>
      </c>
      <c r="S78" s="22" t="str">
        <f>HYPERLINK("https://analytics.zoho.com/open-view/2395394000008231605?ZOHO_CRITERIA=%22Localiza%20Chile%22.%22Codreg%22%3D"&amp;Agencia[[#This Row],[Filtro URL]])</f>
        <v>https://analytics.zoho.com/open-view/2395394000008231605?ZOHO_CRITERIA=%22Localiza%20Chile%22.%22Codreg%22%3D14</v>
      </c>
      <c r="T78" s="69" t="str">
        <f>"100-C-"&amp;Agencia[[#This Row],[Filtro URL]]</f>
        <v>100-C-14</v>
      </c>
      <c r="U78" s="50" t="str">
        <f t="shared" si="65"/>
        <v>#1774B9</v>
      </c>
      <c r="V78" s="118" t="str">
        <f>+Agencia[[#This Row],[idcoleccion]]&amp;"-"&amp;Agencia[[#This Row],[id]]</f>
        <v>990-0067</v>
      </c>
      <c r="W78" s="118">
        <f>+VLOOKUP(Agencia[[#This Row],[Filtro URL]],Estructura!$X$4:$Y$500,2,0)</f>
        <v>99200014</v>
      </c>
      <c r="X78" s="118" t="str">
        <f>+VLOOKUP(Agencia[[#This Row],[tema]],Estructura!$A$4:$C$500,3,0)</f>
        <v>T-1029</v>
      </c>
      <c r="Y78" s="118" t="str">
        <f>+VLOOKUP(Agencia[[#This Row],[contenido]],Estructura!$E$4:$G$500,3,0)</f>
        <v>C-995</v>
      </c>
      <c r="Z78" s="118" t="str">
        <f>+VLOOKUP(Agencia[[#This Row],[Filtro Integrado]],Estructura!$I$4:$K$500,3,0)</f>
        <v>FI-992</v>
      </c>
      <c r="AA78" s="118" t="str">
        <f>+VLOOKUP(Agencia[[#This Row],[Muestra]],Estructura!$M$4:$O$500,3,0)</f>
        <v>M-991</v>
      </c>
    </row>
    <row r="79" spans="1:27" ht="40.799999999999997" x14ac:dyDescent="0.3">
      <c r="A79" s="21" t="s">
        <v>1517</v>
      </c>
      <c r="B79" s="24">
        <f t="shared" si="49"/>
        <v>990</v>
      </c>
      <c r="C79" s="25" t="str">
        <f t="shared" si="50"/>
        <v>Agencia Información</v>
      </c>
      <c r="D79" s="25" t="str">
        <f t="shared" si="51"/>
        <v>Socioeconómico</v>
      </c>
      <c r="E79" s="19">
        <v>15</v>
      </c>
      <c r="F79" s="26" t="s">
        <v>2367</v>
      </c>
      <c r="G79" s="26" t="s">
        <v>3761</v>
      </c>
      <c r="H79" s="35" t="s">
        <v>16</v>
      </c>
      <c r="I79" s="36" t="s">
        <v>382</v>
      </c>
      <c r="J79" s="9" t="str">
        <f t="shared" si="59"/>
        <v>Región</v>
      </c>
      <c r="K79" s="9" t="str">
        <f t="shared" si="60"/>
        <v>Ingresos Promedio Mensual por región</v>
      </c>
      <c r="L79" s="9" t="str">
        <f t="shared" si="61"/>
        <v>Periodo 2006-2017</v>
      </c>
      <c r="M79" s="9" t="str">
        <f t="shared" si="62"/>
        <v>CLP/mes</v>
      </c>
      <c r="N79" s="9" t="str">
        <f t="shared" si="63"/>
        <v>Encuestas CASEN</v>
      </c>
      <c r="O79" s="11" t="str">
        <f>"Evolución de Ingreso Promedio Mensual por Etnia en la "&amp;Agencia[[#This Row],[territorio]]&amp;" para el "&amp;Agencia[[#This Row],[temporalidad]]</f>
        <v>Evolución de Ingreso Promedio Mensual por Etnia en la Región de Arica y Parinacota para el Periodo 2006-2017</v>
      </c>
      <c r="P79" s="20"/>
      <c r="Q79" s="11" t="str">
        <f t="shared" si="64"/>
        <v>Gráfico de Evolución</v>
      </c>
      <c r="R79" s="20" t="str">
        <f>Agencia[[#This Row],[territorio]]&amp;" CASEN ingresos promedio mensual etnia región mapuche alacalufe atacameño aymara coya diaguita pascuense quechua"</f>
        <v>Región de Arica y Parinacota CASEN ingresos promedio mensual etnia región mapuche alacalufe atacameño aymara coya diaguita pascuense quechua</v>
      </c>
      <c r="S79" s="22" t="str">
        <f>HYPERLINK("https://analytics.zoho.com/open-view/2395394000008231605?ZOHO_CRITERIA=%22Localiza%20Chile%22.%22Codreg%22%3D"&amp;Agencia[[#This Row],[Filtro URL]])</f>
        <v>https://analytics.zoho.com/open-view/2395394000008231605?ZOHO_CRITERIA=%22Localiza%20Chile%22.%22Codreg%22%3D15</v>
      </c>
      <c r="T79" s="69" t="str">
        <f>"100-C-"&amp;Agencia[[#This Row],[Filtro URL]]</f>
        <v>100-C-15</v>
      </c>
      <c r="U79" s="50" t="str">
        <f t="shared" si="65"/>
        <v>#1774B9</v>
      </c>
      <c r="V79" s="118" t="str">
        <f>+Agencia[[#This Row],[idcoleccion]]&amp;"-"&amp;Agencia[[#This Row],[id]]</f>
        <v>990-0068</v>
      </c>
      <c r="W79" s="118">
        <f>+VLOOKUP(Agencia[[#This Row],[Filtro URL]],Estructura!$X$4:$Y$500,2,0)</f>
        <v>99200015</v>
      </c>
      <c r="X79" s="118" t="str">
        <f>+VLOOKUP(Agencia[[#This Row],[tema]],Estructura!$A$4:$C$500,3,0)</f>
        <v>T-1029</v>
      </c>
      <c r="Y79" s="118" t="str">
        <f>+VLOOKUP(Agencia[[#This Row],[contenido]],Estructura!$E$4:$G$500,3,0)</f>
        <v>C-995</v>
      </c>
      <c r="Z79" s="118" t="str">
        <f>+VLOOKUP(Agencia[[#This Row],[Filtro Integrado]],Estructura!$I$4:$K$500,3,0)</f>
        <v>FI-992</v>
      </c>
      <c r="AA79" s="118" t="str">
        <f>+VLOOKUP(Agencia[[#This Row],[Muestra]],Estructura!$M$4:$O$500,3,0)</f>
        <v>M-991</v>
      </c>
    </row>
    <row r="80" spans="1:27" ht="40.799999999999997" x14ac:dyDescent="0.3">
      <c r="A80" s="21" t="s">
        <v>1518</v>
      </c>
      <c r="B80" s="24">
        <f t="shared" si="49"/>
        <v>990</v>
      </c>
      <c r="C80" s="25" t="str">
        <f t="shared" si="50"/>
        <v>Agencia Información</v>
      </c>
      <c r="D80" s="25" t="str">
        <f t="shared" si="51"/>
        <v>Socioeconómico</v>
      </c>
      <c r="E80" s="19">
        <v>16</v>
      </c>
      <c r="F80" s="26" t="s">
        <v>2367</v>
      </c>
      <c r="G80" s="26" t="s">
        <v>3761</v>
      </c>
      <c r="H80" s="35" t="s">
        <v>16</v>
      </c>
      <c r="I80" s="36" t="s">
        <v>383</v>
      </c>
      <c r="J80" s="9" t="str">
        <f t="shared" si="59"/>
        <v>Región</v>
      </c>
      <c r="K80" s="9" t="str">
        <f t="shared" si="60"/>
        <v>Ingresos Promedio Mensual por región</v>
      </c>
      <c r="L80" s="9" t="str">
        <f t="shared" si="61"/>
        <v>Periodo 2006-2017</v>
      </c>
      <c r="M80" s="9" t="str">
        <f t="shared" si="62"/>
        <v>CLP/mes</v>
      </c>
      <c r="N80" s="9" t="str">
        <f t="shared" si="63"/>
        <v>Encuestas CASEN</v>
      </c>
      <c r="O80" s="11" t="str">
        <f>"Evolución de Ingreso Promedio Mensual por Etnia en la "&amp;Agencia[[#This Row],[territorio]]&amp;" para el "&amp;Agencia[[#This Row],[temporalidad]]</f>
        <v>Evolución de Ingreso Promedio Mensual por Etnia en la Región de Ñuble para el Periodo 2006-2017</v>
      </c>
      <c r="P80" s="20"/>
      <c r="Q80" s="11" t="str">
        <f t="shared" si="64"/>
        <v>Gráfico de Evolución</v>
      </c>
      <c r="R80" s="20" t="str">
        <f>Agencia[[#This Row],[territorio]]&amp;" CASEN ingresos promedio mensual etnia región mapuche alacalufe atacameño aymara coya diaguita pascuense quechua"</f>
        <v>Región de Ñuble CASEN ingresos promedio mensual etnia región mapuche alacalufe atacameño aymara coya diaguita pascuense quechua</v>
      </c>
      <c r="S80" s="22" t="str">
        <f>HYPERLINK("https://analytics.zoho.com/open-view/2395394000008231605?ZOHO_CRITERIA=%22Localiza%20Chile%22.%22Codreg%22%3D"&amp;Agencia[[#This Row],[Filtro URL]])</f>
        <v>https://analytics.zoho.com/open-view/2395394000008231605?ZOHO_CRITERIA=%22Localiza%20Chile%22.%22Codreg%22%3D16</v>
      </c>
      <c r="T80" s="69" t="str">
        <f>"100-C-"&amp;Agencia[[#This Row],[Filtro URL]]</f>
        <v>100-C-16</v>
      </c>
      <c r="U80" s="50" t="str">
        <f t="shared" si="65"/>
        <v>#1774B9</v>
      </c>
      <c r="V80" s="118" t="str">
        <f>+Agencia[[#This Row],[idcoleccion]]&amp;"-"&amp;Agencia[[#This Row],[id]]</f>
        <v>990-0069</v>
      </c>
      <c r="W80" s="118">
        <f>+VLOOKUP(Agencia[[#This Row],[Filtro URL]],Estructura!$X$4:$Y$500,2,0)</f>
        <v>99200016</v>
      </c>
      <c r="X80" s="118" t="str">
        <f>+VLOOKUP(Agencia[[#This Row],[tema]],Estructura!$A$4:$C$500,3,0)</f>
        <v>T-1029</v>
      </c>
      <c r="Y80" s="118" t="str">
        <f>+VLOOKUP(Agencia[[#This Row],[contenido]],Estructura!$E$4:$G$500,3,0)</f>
        <v>C-995</v>
      </c>
      <c r="Z80" s="118" t="str">
        <f>+VLOOKUP(Agencia[[#This Row],[Filtro Integrado]],Estructura!$I$4:$K$500,3,0)</f>
        <v>FI-992</v>
      </c>
      <c r="AA80" s="118" t="str">
        <f>+VLOOKUP(Agencia[[#This Row],[Muestra]],Estructura!$M$4:$O$500,3,0)</f>
        <v>M-991</v>
      </c>
    </row>
    <row r="81" spans="1:27" ht="48" x14ac:dyDescent="0.3">
      <c r="A81" s="21" t="s">
        <v>470</v>
      </c>
      <c r="B81" s="24">
        <f t="shared" si="49"/>
        <v>990</v>
      </c>
      <c r="C81" s="25" t="str">
        <f t="shared" si="50"/>
        <v>Agencia Información</v>
      </c>
      <c r="D81" s="25" t="s">
        <v>508</v>
      </c>
      <c r="E81" s="14">
        <v>0</v>
      </c>
      <c r="F81" s="25" t="s">
        <v>424</v>
      </c>
      <c r="G81" s="26" t="s">
        <v>6250</v>
      </c>
      <c r="H81" s="33" t="s">
        <v>20</v>
      </c>
      <c r="I81" s="34" t="s">
        <v>15</v>
      </c>
      <c r="J81" s="9" t="s">
        <v>16</v>
      </c>
      <c r="K81" s="9" t="s">
        <v>840</v>
      </c>
      <c r="L81" s="9" t="s">
        <v>506</v>
      </c>
      <c r="M81" s="38" t="s">
        <v>595</v>
      </c>
      <c r="N81" s="9" t="s">
        <v>431</v>
      </c>
      <c r="O81" s="27" t="str">
        <f>"Ranking Comunal 2020: Número de Alumnos por Docente en Aula, variación "&amp;Agencia[[#This Row],[temporalidad]]</f>
        <v>Ranking Comunal 2020: Número de Alumnos por Docente en Aula, variación Periodo 2019-2020</v>
      </c>
      <c r="P81" s="27" t="s">
        <v>507</v>
      </c>
      <c r="Q81" s="28" t="s">
        <v>510</v>
      </c>
      <c r="R81" s="20" t="str">
        <f>Agencia[[#This Row],[territorio]]&amp;" educación municipal alumnos calidad educación colegios municipales docentes aula"</f>
        <v>Chile educación municipal alumnos calidad educación colegios municipales docentes aula</v>
      </c>
      <c r="S81" s="37" t="s">
        <v>509</v>
      </c>
      <c r="T81" s="68" t="s">
        <v>1033</v>
      </c>
      <c r="U81" s="120" t="str">
        <f>+U80</f>
        <v>#1774B9</v>
      </c>
      <c r="V81" s="118" t="str">
        <f>+Agencia[[#This Row],[idcoleccion]]&amp;"-"&amp;Agencia[[#This Row],[id]]</f>
        <v>990-0070</v>
      </c>
      <c r="W81" s="118">
        <f>+VLOOKUP(Agencia[[#This Row],[Filtro URL]],Estructura!$X$4:$Y$500,2,0)</f>
        <v>99100000</v>
      </c>
      <c r="X81" s="118" t="str">
        <f>+VLOOKUP(Agencia[[#This Row],[tema]],Estructura!$A$4:$C$500,3,0)</f>
        <v>T-992</v>
      </c>
      <c r="Y81" s="118" t="str">
        <f>+VLOOKUP(Agencia[[#This Row],[contenido]],Estructura!$E$4:$G$500,3,0)</f>
        <v>C-1019</v>
      </c>
      <c r="Z81" s="118" t="str">
        <f>+VLOOKUP(Agencia[[#This Row],[Filtro Integrado]],Estructura!$I$4:$K$500,3,0)</f>
        <v>FI-992</v>
      </c>
      <c r="AA81" s="118" t="str">
        <f>+VLOOKUP(Agencia[[#This Row],[Muestra]],Estructura!$M$4:$O$500,3,0)</f>
        <v>M-995</v>
      </c>
    </row>
    <row r="82" spans="1:27" ht="57.6" x14ac:dyDescent="0.3">
      <c r="A82" s="21" t="s">
        <v>471</v>
      </c>
      <c r="B82" s="24">
        <f t="shared" si="49"/>
        <v>990</v>
      </c>
      <c r="C82" s="25" t="str">
        <f t="shared" si="50"/>
        <v>Agencia Información</v>
      </c>
      <c r="D82" s="25" t="str">
        <f t="shared" si="50"/>
        <v>Gobiernos locales</v>
      </c>
      <c r="E82" s="19">
        <v>1</v>
      </c>
      <c r="F82" s="25" t="s">
        <v>424</v>
      </c>
      <c r="G82" s="26" t="s">
        <v>6250</v>
      </c>
      <c r="H82" s="35" t="s">
        <v>16</v>
      </c>
      <c r="I82" s="36" t="s">
        <v>368</v>
      </c>
      <c r="J82" s="9" t="s">
        <v>404</v>
      </c>
      <c r="K82" s="9" t="str">
        <f>+K81</f>
        <v>Número de alumnos por docente en aula por comuna</v>
      </c>
      <c r="L82" s="9" t="str">
        <f t="shared" ref="L82:L97" si="66">+L81</f>
        <v>Periodo 2019-2020</v>
      </c>
      <c r="M82" s="9" t="str">
        <f t="shared" ref="M82:M97" si="67">+M81</f>
        <v>Número de Alumnos</v>
      </c>
      <c r="N82" s="9" t="str">
        <f t="shared" ref="N82:N97" si="68">+N81</f>
        <v>Sistema Nacional de Información Municipal</v>
      </c>
      <c r="O82" s="27" t="str">
        <f>"Ranking Comunal "&amp;Agencia[[#This Row],[territorio]]&amp;" 2020: Número de Alumnos por Docente en Aula, variación "&amp;Agencia[[#This Row],[temporalidad]]</f>
        <v>Ranking Comunal Región de Tarapacá 2020: Número de Alumnos por Docente en Aula, variación Periodo 2019-2020</v>
      </c>
      <c r="P82" s="20"/>
      <c r="Q82" s="11" t="str">
        <f t="shared" ref="Q82:Q97" si="69">+Q81</f>
        <v>Ranking</v>
      </c>
      <c r="R82" s="20" t="str">
        <f>Agencia[[#This Row],[territorio]]&amp;" educación municipal alumnos calidad educación colegios municipales docentes aula"</f>
        <v>Región de Tarapacá educación municipal alumnos calidad educación colegios municipales docentes aula</v>
      </c>
      <c r="S82" s="39" t="str">
        <f>HYPERLINK("https://analytics.zoho.com/open-view/2395394000008643713?ZOHO_CRITERIA=%22Localiza%20CL%22.%22Codreg%22%3D"&amp;Agencia[[#This Row],[Filtro URL]])</f>
        <v>https://analytics.zoho.com/open-view/2395394000008643713?ZOHO_CRITERIA=%22Localiza%20CL%22.%22Codreg%22%3D1</v>
      </c>
      <c r="T82" s="69" t="str">
        <f>"100-C-"&amp;Agencia[[#This Row],[Filtro URL]]</f>
        <v>100-C-1</v>
      </c>
      <c r="U82" s="50" t="str">
        <f t="shared" ref="U82:U97" si="70">+U81</f>
        <v>#1774B9</v>
      </c>
      <c r="V82" s="118" t="str">
        <f>+Agencia[[#This Row],[idcoleccion]]&amp;"-"&amp;Agencia[[#This Row],[id]]</f>
        <v>990-0071</v>
      </c>
      <c r="W82" s="118">
        <f>+VLOOKUP(Agencia[[#This Row],[Filtro URL]],Estructura!$X$4:$Y$500,2,0)</f>
        <v>99200001</v>
      </c>
      <c r="X82" s="118" t="str">
        <f>+VLOOKUP(Agencia[[#This Row],[tema]],Estructura!$A$4:$C$500,3,0)</f>
        <v>T-992</v>
      </c>
      <c r="Y82" s="118" t="str">
        <f>+VLOOKUP(Agencia[[#This Row],[contenido]],Estructura!$E$4:$G$500,3,0)</f>
        <v>C-1019</v>
      </c>
      <c r="Z82" s="118" t="str">
        <f>+VLOOKUP(Agencia[[#This Row],[Filtro Integrado]],Estructura!$I$4:$K$500,3,0)</f>
        <v>FI-993</v>
      </c>
      <c r="AA82" s="118" t="str">
        <f>+VLOOKUP(Agencia[[#This Row],[Muestra]],Estructura!$M$4:$O$500,3,0)</f>
        <v>M-995</v>
      </c>
    </row>
    <row r="83" spans="1:27" ht="57.6" x14ac:dyDescent="0.3">
      <c r="A83" s="21" t="s">
        <v>474</v>
      </c>
      <c r="B83" s="24">
        <f t="shared" si="49"/>
        <v>990</v>
      </c>
      <c r="C83" s="25" t="str">
        <f t="shared" si="50"/>
        <v>Agencia Información</v>
      </c>
      <c r="D83" s="25" t="str">
        <f t="shared" ref="D83" si="71">+D82</f>
        <v>Gobiernos locales</v>
      </c>
      <c r="E83" s="19">
        <v>2</v>
      </c>
      <c r="F83" s="25" t="s">
        <v>424</v>
      </c>
      <c r="G83" s="26" t="s">
        <v>6250</v>
      </c>
      <c r="H83" s="35" t="s">
        <v>16</v>
      </c>
      <c r="I83" s="36" t="s">
        <v>369</v>
      </c>
      <c r="J83" s="9" t="str">
        <f t="shared" ref="J83:J97" si="72">+J82</f>
        <v>Ninguno</v>
      </c>
      <c r="K83" s="9" t="str">
        <f t="shared" ref="K83:K97" si="73">+K82</f>
        <v>Número de alumnos por docente en aula por comuna</v>
      </c>
      <c r="L83" s="9" t="str">
        <f t="shared" si="66"/>
        <v>Periodo 2019-2020</v>
      </c>
      <c r="M83" s="9" t="str">
        <f t="shared" si="67"/>
        <v>Número de Alumnos</v>
      </c>
      <c r="N83" s="9" t="str">
        <f t="shared" si="68"/>
        <v>Sistema Nacional de Información Municipal</v>
      </c>
      <c r="O83" s="27" t="str">
        <f>"Ranking Comunal "&amp;Agencia[[#This Row],[territorio]]&amp;" 2020: Número de Alumnos por Docente en Aula, variación "&amp;Agencia[[#This Row],[temporalidad]]</f>
        <v>Ranking Comunal Región de Antofagasta 2020: Número de Alumnos por Docente en Aula, variación Periodo 2019-2020</v>
      </c>
      <c r="P83" s="20"/>
      <c r="Q83" s="11" t="str">
        <f t="shared" si="69"/>
        <v>Ranking</v>
      </c>
      <c r="R83" s="20" t="str">
        <f>Agencia[[#This Row],[territorio]]&amp;" educación municipal alumnos calidad educación colegios municipales docentes aula"</f>
        <v>Región de Antofagasta educación municipal alumnos calidad educación colegios municipales docentes aula</v>
      </c>
      <c r="S83" s="39" t="str">
        <f>HYPERLINK("https://analytics.zoho.com/open-view/2395394000008643713?ZOHO_CRITERIA=%22Localiza%20CL%22.%22Codreg%22%3D"&amp;Agencia[[#This Row],[Filtro URL]])</f>
        <v>https://analytics.zoho.com/open-view/2395394000008643713?ZOHO_CRITERIA=%22Localiza%20CL%22.%22Codreg%22%3D2</v>
      </c>
      <c r="T83" s="69" t="str">
        <f>"100-C-"&amp;Agencia[[#This Row],[Filtro URL]]</f>
        <v>100-C-2</v>
      </c>
      <c r="U83" s="50" t="str">
        <f t="shared" si="70"/>
        <v>#1774B9</v>
      </c>
      <c r="V83" s="118" t="str">
        <f>+Agencia[[#This Row],[idcoleccion]]&amp;"-"&amp;Agencia[[#This Row],[id]]</f>
        <v>990-0072</v>
      </c>
      <c r="W83" s="118">
        <f>+VLOOKUP(Agencia[[#This Row],[Filtro URL]],Estructura!$X$4:$Y$500,2,0)</f>
        <v>99200002</v>
      </c>
      <c r="X83" s="118" t="str">
        <f>+VLOOKUP(Agencia[[#This Row],[tema]],Estructura!$A$4:$C$500,3,0)</f>
        <v>T-992</v>
      </c>
      <c r="Y83" s="118" t="str">
        <f>+VLOOKUP(Agencia[[#This Row],[contenido]],Estructura!$E$4:$G$500,3,0)</f>
        <v>C-1019</v>
      </c>
      <c r="Z83" s="118" t="str">
        <f>+VLOOKUP(Agencia[[#This Row],[Filtro Integrado]],Estructura!$I$4:$K$500,3,0)</f>
        <v>FI-993</v>
      </c>
      <c r="AA83" s="118" t="str">
        <f>+VLOOKUP(Agencia[[#This Row],[Muestra]],Estructura!$M$4:$O$500,3,0)</f>
        <v>M-995</v>
      </c>
    </row>
    <row r="84" spans="1:27" ht="57.6" x14ac:dyDescent="0.3">
      <c r="A84" s="21" t="s">
        <v>475</v>
      </c>
      <c r="B84" s="24">
        <f t="shared" si="49"/>
        <v>990</v>
      </c>
      <c r="C84" s="25" t="str">
        <f t="shared" si="50"/>
        <v>Agencia Información</v>
      </c>
      <c r="D84" s="25" t="str">
        <f t="shared" ref="D84" si="74">+D83</f>
        <v>Gobiernos locales</v>
      </c>
      <c r="E84" s="19">
        <v>3</v>
      </c>
      <c r="F84" s="25" t="s">
        <v>424</v>
      </c>
      <c r="G84" s="26" t="s">
        <v>6250</v>
      </c>
      <c r="H84" s="35" t="s">
        <v>16</v>
      </c>
      <c r="I84" s="36" t="s">
        <v>370</v>
      </c>
      <c r="J84" s="9" t="str">
        <f t="shared" si="72"/>
        <v>Ninguno</v>
      </c>
      <c r="K84" s="9" t="str">
        <f t="shared" si="73"/>
        <v>Número de alumnos por docente en aula por comuna</v>
      </c>
      <c r="L84" s="9" t="str">
        <f t="shared" si="66"/>
        <v>Periodo 2019-2020</v>
      </c>
      <c r="M84" s="9" t="str">
        <f t="shared" si="67"/>
        <v>Número de Alumnos</v>
      </c>
      <c r="N84" s="9" t="str">
        <f t="shared" si="68"/>
        <v>Sistema Nacional de Información Municipal</v>
      </c>
      <c r="O84" s="27" t="str">
        <f>"Ranking Comunal "&amp;Agencia[[#This Row],[territorio]]&amp;" 2020: Número de Alumnos por Docente en Aula, variación "&amp;Agencia[[#This Row],[temporalidad]]</f>
        <v>Ranking Comunal Región de Atacama 2020: Número de Alumnos por Docente en Aula, variación Periodo 2019-2020</v>
      </c>
      <c r="P84" s="20"/>
      <c r="Q84" s="11" t="str">
        <f t="shared" si="69"/>
        <v>Ranking</v>
      </c>
      <c r="R84" s="20" t="str">
        <f>Agencia[[#This Row],[territorio]]&amp;" educación municipal alumnos calidad educación colegios municipales docentes aula"</f>
        <v>Región de Atacama educación municipal alumnos calidad educación colegios municipales docentes aula</v>
      </c>
      <c r="S84" s="39" t="str">
        <f>HYPERLINK("https://analytics.zoho.com/open-view/2395394000008643713?ZOHO_CRITERIA=%22Localiza%20CL%22.%22Codreg%22%3D"&amp;Agencia[[#This Row],[Filtro URL]])</f>
        <v>https://analytics.zoho.com/open-view/2395394000008643713?ZOHO_CRITERIA=%22Localiza%20CL%22.%22Codreg%22%3D3</v>
      </c>
      <c r="T84" s="69" t="str">
        <f>"100-C-"&amp;Agencia[[#This Row],[Filtro URL]]</f>
        <v>100-C-3</v>
      </c>
      <c r="U84" s="50" t="str">
        <f t="shared" si="70"/>
        <v>#1774B9</v>
      </c>
      <c r="V84" s="118" t="str">
        <f>+Agencia[[#This Row],[idcoleccion]]&amp;"-"&amp;Agencia[[#This Row],[id]]</f>
        <v>990-0073</v>
      </c>
      <c r="W84" s="118">
        <f>+VLOOKUP(Agencia[[#This Row],[Filtro URL]],Estructura!$X$4:$Y$500,2,0)</f>
        <v>99200003</v>
      </c>
      <c r="X84" s="118" t="str">
        <f>+VLOOKUP(Agencia[[#This Row],[tema]],Estructura!$A$4:$C$500,3,0)</f>
        <v>T-992</v>
      </c>
      <c r="Y84" s="118" t="str">
        <f>+VLOOKUP(Agencia[[#This Row],[contenido]],Estructura!$E$4:$G$500,3,0)</f>
        <v>C-1019</v>
      </c>
      <c r="Z84" s="118" t="str">
        <f>+VLOOKUP(Agencia[[#This Row],[Filtro Integrado]],Estructura!$I$4:$K$500,3,0)</f>
        <v>FI-993</v>
      </c>
      <c r="AA84" s="118" t="str">
        <f>+VLOOKUP(Agencia[[#This Row],[Muestra]],Estructura!$M$4:$O$500,3,0)</f>
        <v>M-995</v>
      </c>
    </row>
    <row r="85" spans="1:27" ht="57.6" x14ac:dyDescent="0.3">
      <c r="A85" s="21" t="s">
        <v>476</v>
      </c>
      <c r="B85" s="24">
        <f t="shared" si="49"/>
        <v>990</v>
      </c>
      <c r="C85" s="25" t="str">
        <f t="shared" si="50"/>
        <v>Agencia Información</v>
      </c>
      <c r="D85" s="25" t="str">
        <f t="shared" ref="D85" si="75">+D84</f>
        <v>Gobiernos locales</v>
      </c>
      <c r="E85" s="19">
        <v>4</v>
      </c>
      <c r="F85" s="25" t="s">
        <v>424</v>
      </c>
      <c r="G85" s="26" t="s">
        <v>6250</v>
      </c>
      <c r="H85" s="35" t="s">
        <v>16</v>
      </c>
      <c r="I85" s="36" t="s">
        <v>371</v>
      </c>
      <c r="J85" s="9" t="str">
        <f t="shared" si="72"/>
        <v>Ninguno</v>
      </c>
      <c r="K85" s="9" t="str">
        <f t="shared" si="73"/>
        <v>Número de alumnos por docente en aula por comuna</v>
      </c>
      <c r="L85" s="9" t="str">
        <f t="shared" si="66"/>
        <v>Periodo 2019-2020</v>
      </c>
      <c r="M85" s="9" t="str">
        <f t="shared" si="67"/>
        <v>Número de Alumnos</v>
      </c>
      <c r="N85" s="9" t="str">
        <f t="shared" si="68"/>
        <v>Sistema Nacional de Información Municipal</v>
      </c>
      <c r="O85" s="27" t="str">
        <f>"Ranking Comunal "&amp;Agencia[[#This Row],[territorio]]&amp;" 2020: Número de Alumnos por Docente en Aula, variación "&amp;Agencia[[#This Row],[temporalidad]]</f>
        <v>Ranking Comunal Región de Coquimbo 2020: Número de Alumnos por Docente en Aula, variación Periodo 2019-2020</v>
      </c>
      <c r="P85" s="20"/>
      <c r="Q85" s="11" t="str">
        <f t="shared" si="69"/>
        <v>Ranking</v>
      </c>
      <c r="R85" s="20" t="str">
        <f>Agencia[[#This Row],[territorio]]&amp;" educación municipal alumnos calidad educación colegios municipales docentes aula"</f>
        <v>Región de Coquimbo educación municipal alumnos calidad educación colegios municipales docentes aula</v>
      </c>
      <c r="S85" s="39" t="str">
        <f>HYPERLINK("https://analytics.zoho.com/open-view/2395394000008643713?ZOHO_CRITERIA=%22Localiza%20CL%22.%22Codreg%22%3D"&amp;Agencia[[#This Row],[Filtro URL]])</f>
        <v>https://analytics.zoho.com/open-view/2395394000008643713?ZOHO_CRITERIA=%22Localiza%20CL%22.%22Codreg%22%3D4</v>
      </c>
      <c r="T85" s="69" t="str">
        <f>"100-C-"&amp;Agencia[[#This Row],[Filtro URL]]</f>
        <v>100-C-4</v>
      </c>
      <c r="U85" s="50" t="str">
        <f t="shared" si="70"/>
        <v>#1774B9</v>
      </c>
      <c r="V85" s="118" t="str">
        <f>+Agencia[[#This Row],[idcoleccion]]&amp;"-"&amp;Agencia[[#This Row],[id]]</f>
        <v>990-0074</v>
      </c>
      <c r="W85" s="118">
        <f>+VLOOKUP(Agencia[[#This Row],[Filtro URL]],Estructura!$X$4:$Y$500,2,0)</f>
        <v>99200004</v>
      </c>
      <c r="X85" s="118" t="str">
        <f>+VLOOKUP(Agencia[[#This Row],[tema]],Estructura!$A$4:$C$500,3,0)</f>
        <v>T-992</v>
      </c>
      <c r="Y85" s="118" t="str">
        <f>+VLOOKUP(Agencia[[#This Row],[contenido]],Estructura!$E$4:$G$500,3,0)</f>
        <v>C-1019</v>
      </c>
      <c r="Z85" s="118" t="str">
        <f>+VLOOKUP(Agencia[[#This Row],[Filtro Integrado]],Estructura!$I$4:$K$500,3,0)</f>
        <v>FI-993</v>
      </c>
      <c r="AA85" s="118" t="str">
        <f>+VLOOKUP(Agencia[[#This Row],[Muestra]],Estructura!$M$4:$O$500,3,0)</f>
        <v>M-995</v>
      </c>
    </row>
    <row r="86" spans="1:27" ht="57.6" x14ac:dyDescent="0.3">
      <c r="A86" s="21" t="s">
        <v>477</v>
      </c>
      <c r="B86" s="24">
        <f t="shared" si="49"/>
        <v>990</v>
      </c>
      <c r="C86" s="25" t="str">
        <f t="shared" si="50"/>
        <v>Agencia Información</v>
      </c>
      <c r="D86" s="25" t="str">
        <f t="shared" ref="D86" si="76">+D85</f>
        <v>Gobiernos locales</v>
      </c>
      <c r="E86" s="19">
        <v>5</v>
      </c>
      <c r="F86" s="25" t="s">
        <v>424</v>
      </c>
      <c r="G86" s="26" t="s">
        <v>6250</v>
      </c>
      <c r="H86" s="35" t="s">
        <v>16</v>
      </c>
      <c r="I86" s="36" t="s">
        <v>372</v>
      </c>
      <c r="J86" s="9" t="str">
        <f t="shared" si="72"/>
        <v>Ninguno</v>
      </c>
      <c r="K86" s="9" t="str">
        <f t="shared" si="73"/>
        <v>Número de alumnos por docente en aula por comuna</v>
      </c>
      <c r="L86" s="9" t="str">
        <f t="shared" si="66"/>
        <v>Periodo 2019-2020</v>
      </c>
      <c r="M86" s="9" t="str">
        <f t="shared" si="67"/>
        <v>Número de Alumnos</v>
      </c>
      <c r="N86" s="9" t="str">
        <f t="shared" si="68"/>
        <v>Sistema Nacional de Información Municipal</v>
      </c>
      <c r="O86" s="27" t="str">
        <f>"Ranking Comunal "&amp;Agencia[[#This Row],[territorio]]&amp;" 2020: Número de Alumnos por Docente en Aula, variación "&amp;Agencia[[#This Row],[temporalidad]]</f>
        <v>Ranking Comunal Región de Valparaíso 2020: Número de Alumnos por Docente en Aula, variación Periodo 2019-2020</v>
      </c>
      <c r="P86" s="20"/>
      <c r="Q86" s="11" t="str">
        <f t="shared" si="69"/>
        <v>Ranking</v>
      </c>
      <c r="R86" s="20" t="str">
        <f>Agencia[[#This Row],[territorio]]&amp;" educación municipal alumnos calidad educación colegios municipales docentes aula"</f>
        <v>Región de Valparaíso educación municipal alumnos calidad educación colegios municipales docentes aula</v>
      </c>
      <c r="S86" s="39" t="str">
        <f>HYPERLINK("https://analytics.zoho.com/open-view/2395394000008643713?ZOHO_CRITERIA=%22Localiza%20CL%22.%22Codreg%22%3D"&amp;Agencia[[#This Row],[Filtro URL]])</f>
        <v>https://analytics.zoho.com/open-view/2395394000008643713?ZOHO_CRITERIA=%22Localiza%20CL%22.%22Codreg%22%3D5</v>
      </c>
      <c r="T86" s="69" t="str">
        <f>"100-C-"&amp;Agencia[[#This Row],[Filtro URL]]</f>
        <v>100-C-5</v>
      </c>
      <c r="U86" s="50" t="str">
        <f t="shared" si="70"/>
        <v>#1774B9</v>
      </c>
      <c r="V86" s="118" t="str">
        <f>+Agencia[[#This Row],[idcoleccion]]&amp;"-"&amp;Agencia[[#This Row],[id]]</f>
        <v>990-0075</v>
      </c>
      <c r="W86" s="118">
        <f>+VLOOKUP(Agencia[[#This Row],[Filtro URL]],Estructura!$X$4:$Y$500,2,0)</f>
        <v>99200005</v>
      </c>
      <c r="X86" s="118" t="str">
        <f>+VLOOKUP(Agencia[[#This Row],[tema]],Estructura!$A$4:$C$500,3,0)</f>
        <v>T-992</v>
      </c>
      <c r="Y86" s="118" t="str">
        <f>+VLOOKUP(Agencia[[#This Row],[contenido]],Estructura!$E$4:$G$500,3,0)</f>
        <v>C-1019</v>
      </c>
      <c r="Z86" s="118" t="str">
        <f>+VLOOKUP(Agencia[[#This Row],[Filtro Integrado]],Estructura!$I$4:$K$500,3,0)</f>
        <v>FI-993</v>
      </c>
      <c r="AA86" s="118" t="str">
        <f>+VLOOKUP(Agencia[[#This Row],[Muestra]],Estructura!$M$4:$O$500,3,0)</f>
        <v>M-995</v>
      </c>
    </row>
    <row r="87" spans="1:27" ht="57.6" x14ac:dyDescent="0.3">
      <c r="A87" s="21" t="s">
        <v>478</v>
      </c>
      <c r="B87" s="24">
        <f t="shared" si="49"/>
        <v>990</v>
      </c>
      <c r="C87" s="25" t="str">
        <f t="shared" si="50"/>
        <v>Agencia Información</v>
      </c>
      <c r="D87" s="25" t="str">
        <f t="shared" ref="D87" si="77">+D86</f>
        <v>Gobiernos locales</v>
      </c>
      <c r="E87" s="19">
        <v>6</v>
      </c>
      <c r="F87" s="25" t="s">
        <v>424</v>
      </c>
      <c r="G87" s="26" t="s">
        <v>6250</v>
      </c>
      <c r="H87" s="35" t="s">
        <v>16</v>
      </c>
      <c r="I87" s="36" t="s">
        <v>373</v>
      </c>
      <c r="J87" s="9" t="str">
        <f t="shared" si="72"/>
        <v>Ninguno</v>
      </c>
      <c r="K87" s="9" t="str">
        <f t="shared" si="73"/>
        <v>Número de alumnos por docente en aula por comuna</v>
      </c>
      <c r="L87" s="9" t="str">
        <f t="shared" si="66"/>
        <v>Periodo 2019-2020</v>
      </c>
      <c r="M87" s="9" t="str">
        <f t="shared" si="67"/>
        <v>Número de Alumnos</v>
      </c>
      <c r="N87" s="9" t="str">
        <f t="shared" si="68"/>
        <v>Sistema Nacional de Información Municipal</v>
      </c>
      <c r="O87" s="27" t="str">
        <f>"Ranking Comunal "&amp;Agencia[[#This Row],[territorio]]&amp;" 2020: Número de Alumnos por Docente en Aula, variación "&amp;Agencia[[#This Row],[temporalidad]]</f>
        <v>Ranking Comunal Región de O'Higgins 2020: Número de Alumnos por Docente en Aula, variación Periodo 2019-2020</v>
      </c>
      <c r="P87" s="20"/>
      <c r="Q87" s="11" t="str">
        <f t="shared" si="69"/>
        <v>Ranking</v>
      </c>
      <c r="R87" s="20" t="str">
        <f>Agencia[[#This Row],[territorio]]&amp;" educación municipal alumnos calidad educación colegios municipales docentes aula"</f>
        <v>Región de O'Higgins educación municipal alumnos calidad educación colegios municipales docentes aula</v>
      </c>
      <c r="S87" s="39" t="str">
        <f>HYPERLINK("https://analytics.zoho.com/open-view/2395394000008643713?ZOHO_CRITERIA=%22Localiza%20CL%22.%22Codreg%22%3D"&amp;Agencia[[#This Row],[Filtro URL]])</f>
        <v>https://analytics.zoho.com/open-view/2395394000008643713?ZOHO_CRITERIA=%22Localiza%20CL%22.%22Codreg%22%3D6</v>
      </c>
      <c r="T87" s="69" t="str">
        <f>"100-C-"&amp;Agencia[[#This Row],[Filtro URL]]</f>
        <v>100-C-6</v>
      </c>
      <c r="U87" s="50" t="str">
        <f t="shared" si="70"/>
        <v>#1774B9</v>
      </c>
      <c r="V87" s="118" t="str">
        <f>+Agencia[[#This Row],[idcoleccion]]&amp;"-"&amp;Agencia[[#This Row],[id]]</f>
        <v>990-0076</v>
      </c>
      <c r="W87" s="118">
        <f>+VLOOKUP(Agencia[[#This Row],[Filtro URL]],Estructura!$X$4:$Y$500,2,0)</f>
        <v>99200006</v>
      </c>
      <c r="X87" s="118" t="str">
        <f>+VLOOKUP(Agencia[[#This Row],[tema]],Estructura!$A$4:$C$500,3,0)</f>
        <v>T-992</v>
      </c>
      <c r="Y87" s="118" t="str">
        <f>+VLOOKUP(Agencia[[#This Row],[contenido]],Estructura!$E$4:$G$500,3,0)</f>
        <v>C-1019</v>
      </c>
      <c r="Z87" s="118" t="str">
        <f>+VLOOKUP(Agencia[[#This Row],[Filtro Integrado]],Estructura!$I$4:$K$500,3,0)</f>
        <v>FI-993</v>
      </c>
      <c r="AA87" s="118" t="str">
        <f>+VLOOKUP(Agencia[[#This Row],[Muestra]],Estructura!$M$4:$O$500,3,0)</f>
        <v>M-995</v>
      </c>
    </row>
    <row r="88" spans="1:27" ht="57.6" x14ac:dyDescent="0.3">
      <c r="A88" s="21" t="s">
        <v>479</v>
      </c>
      <c r="B88" s="24">
        <f t="shared" si="49"/>
        <v>990</v>
      </c>
      <c r="C88" s="25" t="str">
        <f t="shared" si="50"/>
        <v>Agencia Información</v>
      </c>
      <c r="D88" s="25" t="str">
        <f t="shared" ref="D88" si="78">+D87</f>
        <v>Gobiernos locales</v>
      </c>
      <c r="E88" s="19">
        <v>7</v>
      </c>
      <c r="F88" s="25" t="s">
        <v>424</v>
      </c>
      <c r="G88" s="26" t="s">
        <v>6250</v>
      </c>
      <c r="H88" s="35" t="s">
        <v>16</v>
      </c>
      <c r="I88" s="36" t="s">
        <v>374</v>
      </c>
      <c r="J88" s="9" t="str">
        <f t="shared" si="72"/>
        <v>Ninguno</v>
      </c>
      <c r="K88" s="9" t="str">
        <f t="shared" si="73"/>
        <v>Número de alumnos por docente en aula por comuna</v>
      </c>
      <c r="L88" s="9" t="str">
        <f t="shared" si="66"/>
        <v>Periodo 2019-2020</v>
      </c>
      <c r="M88" s="9" t="str">
        <f t="shared" si="67"/>
        <v>Número de Alumnos</v>
      </c>
      <c r="N88" s="9" t="str">
        <f t="shared" si="68"/>
        <v>Sistema Nacional de Información Municipal</v>
      </c>
      <c r="O88" s="27" t="str">
        <f>"Ranking Comunal "&amp;Agencia[[#This Row],[territorio]]&amp;" 2020: Número de Alumnos por Docente en Aula, variación "&amp;Agencia[[#This Row],[temporalidad]]</f>
        <v>Ranking Comunal Región de Maule 2020: Número de Alumnos por Docente en Aula, variación Periodo 2019-2020</v>
      </c>
      <c r="P88" s="20"/>
      <c r="Q88" s="11" t="str">
        <f t="shared" si="69"/>
        <v>Ranking</v>
      </c>
      <c r="R88" s="20" t="str">
        <f>Agencia[[#This Row],[territorio]]&amp;" educación municipal alumnos calidad educación colegios municipales docentes aula"</f>
        <v>Región de Maule educación municipal alumnos calidad educación colegios municipales docentes aula</v>
      </c>
      <c r="S88" s="39" t="str">
        <f>HYPERLINK("https://analytics.zoho.com/open-view/2395394000008643713?ZOHO_CRITERIA=%22Localiza%20CL%22.%22Codreg%22%3D"&amp;Agencia[[#This Row],[Filtro URL]])</f>
        <v>https://analytics.zoho.com/open-view/2395394000008643713?ZOHO_CRITERIA=%22Localiza%20CL%22.%22Codreg%22%3D7</v>
      </c>
      <c r="T88" s="69" t="str">
        <f>"100-C-"&amp;Agencia[[#This Row],[Filtro URL]]</f>
        <v>100-C-7</v>
      </c>
      <c r="U88" s="50" t="str">
        <f t="shared" si="70"/>
        <v>#1774B9</v>
      </c>
      <c r="V88" s="118" t="str">
        <f>+Agencia[[#This Row],[idcoleccion]]&amp;"-"&amp;Agencia[[#This Row],[id]]</f>
        <v>990-0077</v>
      </c>
      <c r="W88" s="118">
        <f>+VLOOKUP(Agencia[[#This Row],[Filtro URL]],Estructura!$X$4:$Y$500,2,0)</f>
        <v>99200007</v>
      </c>
      <c r="X88" s="118" t="str">
        <f>+VLOOKUP(Agencia[[#This Row],[tema]],Estructura!$A$4:$C$500,3,0)</f>
        <v>T-992</v>
      </c>
      <c r="Y88" s="118" t="str">
        <f>+VLOOKUP(Agencia[[#This Row],[contenido]],Estructura!$E$4:$G$500,3,0)</f>
        <v>C-1019</v>
      </c>
      <c r="Z88" s="118" t="str">
        <f>+VLOOKUP(Agencia[[#This Row],[Filtro Integrado]],Estructura!$I$4:$K$500,3,0)</f>
        <v>FI-993</v>
      </c>
      <c r="AA88" s="118" t="str">
        <f>+VLOOKUP(Agencia[[#This Row],[Muestra]],Estructura!$M$4:$O$500,3,0)</f>
        <v>M-995</v>
      </c>
    </row>
    <row r="89" spans="1:27" ht="57.6" x14ac:dyDescent="0.3">
      <c r="A89" s="21" t="s">
        <v>480</v>
      </c>
      <c r="B89" s="24">
        <f t="shared" si="49"/>
        <v>990</v>
      </c>
      <c r="C89" s="25" t="str">
        <f t="shared" si="50"/>
        <v>Agencia Información</v>
      </c>
      <c r="D89" s="25" t="str">
        <f t="shared" ref="D89" si="79">+D88</f>
        <v>Gobiernos locales</v>
      </c>
      <c r="E89" s="19">
        <v>8</v>
      </c>
      <c r="F89" s="25" t="s">
        <v>424</v>
      </c>
      <c r="G89" s="26" t="s">
        <v>6250</v>
      </c>
      <c r="H89" s="35" t="s">
        <v>16</v>
      </c>
      <c r="I89" s="36" t="s">
        <v>375</v>
      </c>
      <c r="J89" s="9" t="str">
        <f t="shared" si="72"/>
        <v>Ninguno</v>
      </c>
      <c r="K89" s="9" t="str">
        <f t="shared" si="73"/>
        <v>Número de alumnos por docente en aula por comuna</v>
      </c>
      <c r="L89" s="9" t="str">
        <f t="shared" si="66"/>
        <v>Periodo 2019-2020</v>
      </c>
      <c r="M89" s="9" t="str">
        <f t="shared" si="67"/>
        <v>Número de Alumnos</v>
      </c>
      <c r="N89" s="9" t="str">
        <f t="shared" si="68"/>
        <v>Sistema Nacional de Información Municipal</v>
      </c>
      <c r="O89" s="27" t="str">
        <f>"Ranking Comunal "&amp;Agencia[[#This Row],[territorio]]&amp;" 2020: Número de Alumnos por Docente en Aula, variación "&amp;Agencia[[#This Row],[temporalidad]]</f>
        <v>Ranking Comunal Región del Biobío 2020: Número de Alumnos por Docente en Aula, variación Periodo 2019-2020</v>
      </c>
      <c r="P89" s="20"/>
      <c r="Q89" s="11" t="str">
        <f t="shared" si="69"/>
        <v>Ranking</v>
      </c>
      <c r="R89" s="20" t="str">
        <f>Agencia[[#This Row],[territorio]]&amp;" educación municipal alumnos calidad educación colegios municipales docentes aula"</f>
        <v>Región del Biobío educación municipal alumnos calidad educación colegios municipales docentes aula</v>
      </c>
      <c r="S89" s="39" t="str">
        <f>HYPERLINK("https://analytics.zoho.com/open-view/2395394000008643713?ZOHO_CRITERIA=%22Localiza%20CL%22.%22Codreg%22%3D"&amp;Agencia[[#This Row],[Filtro URL]])</f>
        <v>https://analytics.zoho.com/open-view/2395394000008643713?ZOHO_CRITERIA=%22Localiza%20CL%22.%22Codreg%22%3D8</v>
      </c>
      <c r="T89" s="69" t="str">
        <f>"100-C-"&amp;Agencia[[#This Row],[Filtro URL]]</f>
        <v>100-C-8</v>
      </c>
      <c r="U89" s="50" t="str">
        <f t="shared" si="70"/>
        <v>#1774B9</v>
      </c>
      <c r="V89" s="118" t="str">
        <f>+Agencia[[#This Row],[idcoleccion]]&amp;"-"&amp;Agencia[[#This Row],[id]]</f>
        <v>990-0078</v>
      </c>
      <c r="W89" s="118">
        <f>+VLOOKUP(Agencia[[#This Row],[Filtro URL]],Estructura!$X$4:$Y$500,2,0)</f>
        <v>99200008</v>
      </c>
      <c r="X89" s="118" t="str">
        <f>+VLOOKUP(Agencia[[#This Row],[tema]],Estructura!$A$4:$C$500,3,0)</f>
        <v>T-992</v>
      </c>
      <c r="Y89" s="118" t="str">
        <f>+VLOOKUP(Agencia[[#This Row],[contenido]],Estructura!$E$4:$G$500,3,0)</f>
        <v>C-1019</v>
      </c>
      <c r="Z89" s="118" t="str">
        <f>+VLOOKUP(Agencia[[#This Row],[Filtro Integrado]],Estructura!$I$4:$K$500,3,0)</f>
        <v>FI-993</v>
      </c>
      <c r="AA89" s="118" t="str">
        <f>+VLOOKUP(Agencia[[#This Row],[Muestra]],Estructura!$M$4:$O$500,3,0)</f>
        <v>M-995</v>
      </c>
    </row>
    <row r="90" spans="1:27" ht="57.6" x14ac:dyDescent="0.3">
      <c r="A90" s="21" t="s">
        <v>481</v>
      </c>
      <c r="B90" s="24">
        <f t="shared" si="49"/>
        <v>990</v>
      </c>
      <c r="C90" s="25" t="str">
        <f t="shared" si="50"/>
        <v>Agencia Información</v>
      </c>
      <c r="D90" s="25" t="str">
        <f t="shared" ref="D90" si="80">+D89</f>
        <v>Gobiernos locales</v>
      </c>
      <c r="E90" s="19">
        <v>9</v>
      </c>
      <c r="F90" s="25" t="s">
        <v>424</v>
      </c>
      <c r="G90" s="26" t="s">
        <v>6250</v>
      </c>
      <c r="H90" s="35" t="s">
        <v>16</v>
      </c>
      <c r="I90" s="36" t="s">
        <v>376</v>
      </c>
      <c r="J90" s="9" t="str">
        <f t="shared" si="72"/>
        <v>Ninguno</v>
      </c>
      <c r="K90" s="9" t="str">
        <f t="shared" si="73"/>
        <v>Número de alumnos por docente en aula por comuna</v>
      </c>
      <c r="L90" s="9" t="str">
        <f t="shared" si="66"/>
        <v>Periodo 2019-2020</v>
      </c>
      <c r="M90" s="9" t="str">
        <f t="shared" si="67"/>
        <v>Número de Alumnos</v>
      </c>
      <c r="N90" s="9" t="str">
        <f t="shared" si="68"/>
        <v>Sistema Nacional de Información Municipal</v>
      </c>
      <c r="O90" s="27" t="str">
        <f>"Ranking Comunal "&amp;Agencia[[#This Row],[territorio]]&amp;" 2020: Número de Alumnos por Docente en Aula, variación "&amp;Agencia[[#This Row],[temporalidad]]</f>
        <v>Ranking Comunal Región de La Araucanía 2020: Número de Alumnos por Docente en Aula, variación Periodo 2019-2020</v>
      </c>
      <c r="P90" s="20"/>
      <c r="Q90" s="11" t="str">
        <f t="shared" si="69"/>
        <v>Ranking</v>
      </c>
      <c r="R90" s="20" t="str">
        <f>Agencia[[#This Row],[territorio]]&amp;" educación municipal alumnos calidad educación colegios municipales docentes aula"</f>
        <v>Región de La Araucanía educación municipal alumnos calidad educación colegios municipales docentes aula</v>
      </c>
      <c r="S90" s="39" t="str">
        <f>HYPERLINK("https://analytics.zoho.com/open-view/2395394000008643713?ZOHO_CRITERIA=%22Localiza%20CL%22.%22Codreg%22%3D"&amp;Agencia[[#This Row],[Filtro URL]])</f>
        <v>https://analytics.zoho.com/open-view/2395394000008643713?ZOHO_CRITERIA=%22Localiza%20CL%22.%22Codreg%22%3D9</v>
      </c>
      <c r="T90" s="69" t="str">
        <f>"100-C-"&amp;Agencia[[#This Row],[Filtro URL]]</f>
        <v>100-C-9</v>
      </c>
      <c r="U90" s="50" t="str">
        <f t="shared" si="70"/>
        <v>#1774B9</v>
      </c>
      <c r="V90" s="118" t="str">
        <f>+Agencia[[#This Row],[idcoleccion]]&amp;"-"&amp;Agencia[[#This Row],[id]]</f>
        <v>990-0079</v>
      </c>
      <c r="W90" s="118">
        <f>+VLOOKUP(Agencia[[#This Row],[Filtro URL]],Estructura!$X$4:$Y$500,2,0)</f>
        <v>99200009</v>
      </c>
      <c r="X90" s="118" t="str">
        <f>+VLOOKUP(Agencia[[#This Row],[tema]],Estructura!$A$4:$C$500,3,0)</f>
        <v>T-992</v>
      </c>
      <c r="Y90" s="118" t="str">
        <f>+VLOOKUP(Agencia[[#This Row],[contenido]],Estructura!$E$4:$G$500,3,0)</f>
        <v>C-1019</v>
      </c>
      <c r="Z90" s="118" t="str">
        <f>+VLOOKUP(Agencia[[#This Row],[Filtro Integrado]],Estructura!$I$4:$K$500,3,0)</f>
        <v>FI-993</v>
      </c>
      <c r="AA90" s="118" t="str">
        <f>+VLOOKUP(Agencia[[#This Row],[Muestra]],Estructura!$M$4:$O$500,3,0)</f>
        <v>M-995</v>
      </c>
    </row>
    <row r="91" spans="1:27" ht="57.6" x14ac:dyDescent="0.3">
      <c r="A91" s="21" t="s">
        <v>482</v>
      </c>
      <c r="B91" s="24">
        <f t="shared" si="49"/>
        <v>990</v>
      </c>
      <c r="C91" s="25" t="str">
        <f t="shared" si="50"/>
        <v>Agencia Información</v>
      </c>
      <c r="D91" s="25" t="str">
        <f t="shared" ref="D91" si="81">+D90</f>
        <v>Gobiernos locales</v>
      </c>
      <c r="E91" s="19">
        <v>10</v>
      </c>
      <c r="F91" s="25" t="s">
        <v>424</v>
      </c>
      <c r="G91" s="26" t="s">
        <v>6250</v>
      </c>
      <c r="H91" s="35" t="s">
        <v>16</v>
      </c>
      <c r="I91" s="36" t="s">
        <v>377</v>
      </c>
      <c r="J91" s="9" t="str">
        <f t="shared" si="72"/>
        <v>Ninguno</v>
      </c>
      <c r="K91" s="9" t="str">
        <f t="shared" si="73"/>
        <v>Número de alumnos por docente en aula por comuna</v>
      </c>
      <c r="L91" s="9" t="str">
        <f t="shared" si="66"/>
        <v>Periodo 2019-2020</v>
      </c>
      <c r="M91" s="9" t="str">
        <f t="shared" si="67"/>
        <v>Número de Alumnos</v>
      </c>
      <c r="N91" s="9" t="str">
        <f t="shared" si="68"/>
        <v>Sistema Nacional de Información Municipal</v>
      </c>
      <c r="O91" s="27" t="str">
        <f>"Ranking Comunal "&amp;Agencia[[#This Row],[territorio]]&amp;" 2020: Número de Alumnos por Docente en Aula, variación "&amp;Agencia[[#This Row],[temporalidad]]</f>
        <v>Ranking Comunal Región de Los Lagos 2020: Número de Alumnos por Docente en Aula, variación Periodo 2019-2020</v>
      </c>
      <c r="P91" s="20"/>
      <c r="Q91" s="11" t="str">
        <f t="shared" si="69"/>
        <v>Ranking</v>
      </c>
      <c r="R91" s="20" t="str">
        <f>Agencia[[#This Row],[territorio]]&amp;" educación municipal alumnos calidad educación colegios municipales docentes aula"</f>
        <v>Región de Los Lagos educación municipal alumnos calidad educación colegios municipales docentes aula</v>
      </c>
      <c r="S91" s="39" t="str">
        <f>HYPERLINK("https://analytics.zoho.com/open-view/2395394000008643713?ZOHO_CRITERIA=%22Localiza%20CL%22.%22Codreg%22%3D"&amp;Agencia[[#This Row],[Filtro URL]])</f>
        <v>https://analytics.zoho.com/open-view/2395394000008643713?ZOHO_CRITERIA=%22Localiza%20CL%22.%22Codreg%22%3D10</v>
      </c>
      <c r="T91" s="69" t="str">
        <f>"100-C-"&amp;Agencia[[#This Row],[Filtro URL]]</f>
        <v>100-C-10</v>
      </c>
      <c r="U91" s="50" t="str">
        <f t="shared" si="70"/>
        <v>#1774B9</v>
      </c>
      <c r="V91" s="118" t="str">
        <f>+Agencia[[#This Row],[idcoleccion]]&amp;"-"&amp;Agencia[[#This Row],[id]]</f>
        <v>990-0080</v>
      </c>
      <c r="W91" s="118">
        <f>+VLOOKUP(Agencia[[#This Row],[Filtro URL]],Estructura!$X$4:$Y$500,2,0)</f>
        <v>99200010</v>
      </c>
      <c r="X91" s="118" t="str">
        <f>+VLOOKUP(Agencia[[#This Row],[tema]],Estructura!$A$4:$C$500,3,0)</f>
        <v>T-992</v>
      </c>
      <c r="Y91" s="118" t="str">
        <f>+VLOOKUP(Agencia[[#This Row],[contenido]],Estructura!$E$4:$G$500,3,0)</f>
        <v>C-1019</v>
      </c>
      <c r="Z91" s="118" t="str">
        <f>+VLOOKUP(Agencia[[#This Row],[Filtro Integrado]],Estructura!$I$4:$K$500,3,0)</f>
        <v>FI-993</v>
      </c>
      <c r="AA91" s="118" t="str">
        <f>+VLOOKUP(Agencia[[#This Row],[Muestra]],Estructura!$M$4:$O$500,3,0)</f>
        <v>M-995</v>
      </c>
    </row>
    <row r="92" spans="1:27" ht="57.6" x14ac:dyDescent="0.3">
      <c r="A92" s="21" t="s">
        <v>483</v>
      </c>
      <c r="B92" s="24">
        <f t="shared" si="49"/>
        <v>990</v>
      </c>
      <c r="C92" s="25" t="str">
        <f t="shared" si="50"/>
        <v>Agencia Información</v>
      </c>
      <c r="D92" s="25" t="str">
        <f t="shared" ref="D92" si="82">+D91</f>
        <v>Gobiernos locales</v>
      </c>
      <c r="E92" s="19">
        <v>11</v>
      </c>
      <c r="F92" s="25" t="s">
        <v>424</v>
      </c>
      <c r="G92" s="26" t="s">
        <v>6250</v>
      </c>
      <c r="H92" s="35" t="s">
        <v>16</v>
      </c>
      <c r="I92" s="36" t="s">
        <v>378</v>
      </c>
      <c r="J92" s="9" t="str">
        <f t="shared" si="72"/>
        <v>Ninguno</v>
      </c>
      <c r="K92" s="9" t="str">
        <f t="shared" si="73"/>
        <v>Número de alumnos por docente en aula por comuna</v>
      </c>
      <c r="L92" s="9" t="str">
        <f t="shared" si="66"/>
        <v>Periodo 2019-2020</v>
      </c>
      <c r="M92" s="9" t="str">
        <f t="shared" si="67"/>
        <v>Número de Alumnos</v>
      </c>
      <c r="N92" s="9" t="str">
        <f t="shared" si="68"/>
        <v>Sistema Nacional de Información Municipal</v>
      </c>
      <c r="O92" s="27" t="str">
        <f>"Ranking Comunal "&amp;Agencia[[#This Row],[territorio]]&amp;" 2020: Número de Alumnos por Docente en Aula, variación "&amp;Agencia[[#This Row],[temporalidad]]</f>
        <v>Ranking Comunal Región de Aysén 2020: Número de Alumnos por Docente en Aula, variación Periodo 2019-2020</v>
      </c>
      <c r="P92" s="20"/>
      <c r="Q92" s="11" t="str">
        <f t="shared" si="69"/>
        <v>Ranking</v>
      </c>
      <c r="R92" s="20" t="str">
        <f>Agencia[[#This Row],[territorio]]&amp;" educación municipal alumnos calidad educación colegios municipales docentes aula"</f>
        <v>Región de Aysén educación municipal alumnos calidad educación colegios municipales docentes aula</v>
      </c>
      <c r="S92" s="39" t="str">
        <f>HYPERLINK("https://analytics.zoho.com/open-view/2395394000008643713?ZOHO_CRITERIA=%22Localiza%20CL%22.%22Codreg%22%3D"&amp;Agencia[[#This Row],[Filtro URL]])</f>
        <v>https://analytics.zoho.com/open-view/2395394000008643713?ZOHO_CRITERIA=%22Localiza%20CL%22.%22Codreg%22%3D11</v>
      </c>
      <c r="T92" s="69" t="str">
        <f>"100-C-"&amp;Agencia[[#This Row],[Filtro URL]]</f>
        <v>100-C-11</v>
      </c>
      <c r="U92" s="50" t="str">
        <f t="shared" si="70"/>
        <v>#1774B9</v>
      </c>
      <c r="V92" s="118" t="str">
        <f>+Agencia[[#This Row],[idcoleccion]]&amp;"-"&amp;Agencia[[#This Row],[id]]</f>
        <v>990-0081</v>
      </c>
      <c r="W92" s="118">
        <f>+VLOOKUP(Agencia[[#This Row],[Filtro URL]],Estructura!$X$4:$Y$500,2,0)</f>
        <v>99200011</v>
      </c>
      <c r="X92" s="118" t="str">
        <f>+VLOOKUP(Agencia[[#This Row],[tema]],Estructura!$A$4:$C$500,3,0)</f>
        <v>T-992</v>
      </c>
      <c r="Y92" s="118" t="str">
        <f>+VLOOKUP(Agencia[[#This Row],[contenido]],Estructura!$E$4:$G$500,3,0)</f>
        <v>C-1019</v>
      </c>
      <c r="Z92" s="118" t="str">
        <f>+VLOOKUP(Agencia[[#This Row],[Filtro Integrado]],Estructura!$I$4:$K$500,3,0)</f>
        <v>FI-993</v>
      </c>
      <c r="AA92" s="118" t="str">
        <f>+VLOOKUP(Agencia[[#This Row],[Muestra]],Estructura!$M$4:$O$500,3,0)</f>
        <v>M-995</v>
      </c>
    </row>
    <row r="93" spans="1:27" ht="57.6" x14ac:dyDescent="0.3">
      <c r="A93" s="21" t="s">
        <v>484</v>
      </c>
      <c r="B93" s="24">
        <f t="shared" si="49"/>
        <v>990</v>
      </c>
      <c r="C93" s="25" t="str">
        <f t="shared" si="50"/>
        <v>Agencia Información</v>
      </c>
      <c r="D93" s="25" t="str">
        <f t="shared" ref="D93" si="83">+D92</f>
        <v>Gobiernos locales</v>
      </c>
      <c r="E93" s="19">
        <v>12</v>
      </c>
      <c r="F93" s="25" t="s">
        <v>424</v>
      </c>
      <c r="G93" s="26" t="s">
        <v>6250</v>
      </c>
      <c r="H93" s="35" t="s">
        <v>16</v>
      </c>
      <c r="I93" s="36" t="s">
        <v>379</v>
      </c>
      <c r="J93" s="9" t="str">
        <f t="shared" si="72"/>
        <v>Ninguno</v>
      </c>
      <c r="K93" s="9" t="str">
        <f t="shared" si="73"/>
        <v>Número de alumnos por docente en aula por comuna</v>
      </c>
      <c r="L93" s="9" t="str">
        <f t="shared" si="66"/>
        <v>Periodo 2019-2020</v>
      </c>
      <c r="M93" s="9" t="str">
        <f t="shared" si="67"/>
        <v>Número de Alumnos</v>
      </c>
      <c r="N93" s="9" t="str">
        <f t="shared" si="68"/>
        <v>Sistema Nacional de Información Municipal</v>
      </c>
      <c r="O93" s="27" t="str">
        <f>"Ranking Comunal "&amp;Agencia[[#This Row],[territorio]]&amp;" 2020: Número de Alumnos por Docente en Aula, variación "&amp;Agencia[[#This Row],[temporalidad]]</f>
        <v>Ranking Comunal Región de Magallanes 2020: Número de Alumnos por Docente en Aula, variación Periodo 2019-2020</v>
      </c>
      <c r="P93" s="20"/>
      <c r="Q93" s="11" t="str">
        <f t="shared" si="69"/>
        <v>Ranking</v>
      </c>
      <c r="R93" s="20" t="str">
        <f>Agencia[[#This Row],[territorio]]&amp;" educación municipal alumnos calidad educación colegios municipales docentes aula"</f>
        <v>Región de Magallanes educación municipal alumnos calidad educación colegios municipales docentes aula</v>
      </c>
      <c r="S93" s="39" t="str">
        <f>HYPERLINK("https://analytics.zoho.com/open-view/2395394000008643713?ZOHO_CRITERIA=%22Localiza%20CL%22.%22Codreg%22%3D"&amp;Agencia[[#This Row],[Filtro URL]])</f>
        <v>https://analytics.zoho.com/open-view/2395394000008643713?ZOHO_CRITERIA=%22Localiza%20CL%22.%22Codreg%22%3D12</v>
      </c>
      <c r="T93" s="69" t="str">
        <f>"100-C-"&amp;Agencia[[#This Row],[Filtro URL]]</f>
        <v>100-C-12</v>
      </c>
      <c r="U93" s="50" t="str">
        <f t="shared" si="70"/>
        <v>#1774B9</v>
      </c>
      <c r="V93" s="118" t="str">
        <f>+Agencia[[#This Row],[idcoleccion]]&amp;"-"&amp;Agencia[[#This Row],[id]]</f>
        <v>990-0082</v>
      </c>
      <c r="W93" s="118">
        <f>+VLOOKUP(Agencia[[#This Row],[Filtro URL]],Estructura!$X$4:$Y$500,2,0)</f>
        <v>99200012</v>
      </c>
      <c r="X93" s="118" t="str">
        <f>+VLOOKUP(Agencia[[#This Row],[tema]],Estructura!$A$4:$C$500,3,0)</f>
        <v>T-992</v>
      </c>
      <c r="Y93" s="118" t="str">
        <f>+VLOOKUP(Agencia[[#This Row],[contenido]],Estructura!$E$4:$G$500,3,0)</f>
        <v>C-1019</v>
      </c>
      <c r="Z93" s="118" t="str">
        <f>+VLOOKUP(Agencia[[#This Row],[Filtro Integrado]],Estructura!$I$4:$K$500,3,0)</f>
        <v>FI-993</v>
      </c>
      <c r="AA93" s="118" t="str">
        <f>+VLOOKUP(Agencia[[#This Row],[Muestra]],Estructura!$M$4:$O$500,3,0)</f>
        <v>M-995</v>
      </c>
    </row>
    <row r="94" spans="1:27" ht="57.6" x14ac:dyDescent="0.3">
      <c r="A94" s="21" t="s">
        <v>485</v>
      </c>
      <c r="B94" s="24">
        <f t="shared" si="49"/>
        <v>990</v>
      </c>
      <c r="C94" s="25" t="str">
        <f t="shared" si="50"/>
        <v>Agencia Información</v>
      </c>
      <c r="D94" s="25" t="str">
        <f t="shared" ref="D94" si="84">+D93</f>
        <v>Gobiernos locales</v>
      </c>
      <c r="E94" s="19">
        <v>13</v>
      </c>
      <c r="F94" s="25" t="s">
        <v>424</v>
      </c>
      <c r="G94" s="26" t="s">
        <v>6250</v>
      </c>
      <c r="H94" s="35" t="s">
        <v>16</v>
      </c>
      <c r="I94" s="36" t="s">
        <v>380</v>
      </c>
      <c r="J94" s="9" t="str">
        <f t="shared" si="72"/>
        <v>Ninguno</v>
      </c>
      <c r="K94" s="9" t="str">
        <f t="shared" si="73"/>
        <v>Número de alumnos por docente en aula por comuna</v>
      </c>
      <c r="L94" s="9" t="str">
        <f t="shared" si="66"/>
        <v>Periodo 2019-2020</v>
      </c>
      <c r="M94" s="9" t="str">
        <f t="shared" si="67"/>
        <v>Número de Alumnos</v>
      </c>
      <c r="N94" s="9" t="str">
        <f t="shared" si="68"/>
        <v>Sistema Nacional de Información Municipal</v>
      </c>
      <c r="O94" s="27" t="str">
        <f>"Ranking Comunal "&amp;Agencia[[#This Row],[territorio]]&amp;" 2020: Número de Alumnos por Docente en Aula, variación "&amp;Agencia[[#This Row],[temporalidad]]</f>
        <v>Ranking Comunal Región Metropolitana 2020: Número de Alumnos por Docente en Aula, variación Periodo 2019-2020</v>
      </c>
      <c r="P94" s="20"/>
      <c r="Q94" s="11" t="str">
        <f t="shared" si="69"/>
        <v>Ranking</v>
      </c>
      <c r="R94" s="20" t="str">
        <f>Agencia[[#This Row],[territorio]]&amp;" educación municipal alumnos calidad educación colegios municipales docentes aula"</f>
        <v>Región Metropolitana educación municipal alumnos calidad educación colegios municipales docentes aula</v>
      </c>
      <c r="S94" s="39" t="str">
        <f>HYPERLINK("https://analytics.zoho.com/open-view/2395394000008643713?ZOHO_CRITERIA=%22Localiza%20CL%22.%22Codreg%22%3D"&amp;Agencia[[#This Row],[Filtro URL]])</f>
        <v>https://analytics.zoho.com/open-view/2395394000008643713?ZOHO_CRITERIA=%22Localiza%20CL%22.%22Codreg%22%3D13</v>
      </c>
      <c r="T94" s="69" t="str">
        <f>"200-C-"&amp;Agencia[[#This Row],[Filtro URL]]</f>
        <v>200-C-13</v>
      </c>
      <c r="U94" s="50" t="str">
        <f t="shared" si="70"/>
        <v>#1774B9</v>
      </c>
      <c r="V94" s="118" t="str">
        <f>+Agencia[[#This Row],[idcoleccion]]&amp;"-"&amp;Agencia[[#This Row],[id]]</f>
        <v>990-0083</v>
      </c>
      <c r="W94" s="118">
        <f>+VLOOKUP(Agencia[[#This Row],[Filtro URL]],Estructura!$X$4:$Y$500,2,0)</f>
        <v>99200013</v>
      </c>
      <c r="X94" s="118" t="str">
        <f>+VLOOKUP(Agencia[[#This Row],[tema]],Estructura!$A$4:$C$500,3,0)</f>
        <v>T-992</v>
      </c>
      <c r="Y94" s="118" t="str">
        <f>+VLOOKUP(Agencia[[#This Row],[contenido]],Estructura!$E$4:$G$500,3,0)</f>
        <v>C-1019</v>
      </c>
      <c r="Z94" s="118" t="str">
        <f>+VLOOKUP(Agencia[[#This Row],[Filtro Integrado]],Estructura!$I$4:$K$500,3,0)</f>
        <v>FI-993</v>
      </c>
      <c r="AA94" s="118" t="str">
        <f>+VLOOKUP(Agencia[[#This Row],[Muestra]],Estructura!$M$4:$O$500,3,0)</f>
        <v>M-995</v>
      </c>
    </row>
    <row r="95" spans="1:27" ht="57.6" x14ac:dyDescent="0.3">
      <c r="A95" s="21" t="s">
        <v>486</v>
      </c>
      <c r="B95" s="24">
        <f t="shared" si="49"/>
        <v>990</v>
      </c>
      <c r="C95" s="25" t="str">
        <f t="shared" si="50"/>
        <v>Agencia Información</v>
      </c>
      <c r="D95" s="25" t="str">
        <f t="shared" ref="D95" si="85">+D94</f>
        <v>Gobiernos locales</v>
      </c>
      <c r="E95" s="19">
        <v>14</v>
      </c>
      <c r="F95" s="25" t="s">
        <v>424</v>
      </c>
      <c r="G95" s="26" t="s">
        <v>6250</v>
      </c>
      <c r="H95" s="35" t="s">
        <v>16</v>
      </c>
      <c r="I95" s="36" t="s">
        <v>381</v>
      </c>
      <c r="J95" s="9" t="str">
        <f t="shared" si="72"/>
        <v>Ninguno</v>
      </c>
      <c r="K95" s="9" t="str">
        <f t="shared" si="73"/>
        <v>Número de alumnos por docente en aula por comuna</v>
      </c>
      <c r="L95" s="9" t="str">
        <f t="shared" si="66"/>
        <v>Periodo 2019-2020</v>
      </c>
      <c r="M95" s="9" t="str">
        <f t="shared" si="67"/>
        <v>Número de Alumnos</v>
      </c>
      <c r="N95" s="9" t="str">
        <f t="shared" si="68"/>
        <v>Sistema Nacional de Información Municipal</v>
      </c>
      <c r="O95" s="27" t="str">
        <f>"Ranking Comunal "&amp;Agencia[[#This Row],[territorio]]&amp;" 2020: Número de Alumnos por Docente en Aula, variación "&amp;Agencia[[#This Row],[temporalidad]]</f>
        <v>Ranking Comunal Región de Los Ríos 2020: Número de Alumnos por Docente en Aula, variación Periodo 2019-2020</v>
      </c>
      <c r="P95" s="20"/>
      <c r="Q95" s="11" t="str">
        <f t="shared" si="69"/>
        <v>Ranking</v>
      </c>
      <c r="R95" s="20" t="str">
        <f>Agencia[[#This Row],[territorio]]&amp;" educación municipal alumnos calidad educación colegios municipales docentes aula"</f>
        <v>Región de Los Ríos educación municipal alumnos calidad educación colegios municipales docentes aula</v>
      </c>
      <c r="S95" s="39" t="str">
        <f>HYPERLINK("https://analytics.zoho.com/open-view/2395394000008643713?ZOHO_CRITERIA=%22Localiza%20CL%22.%22Codreg%22%3D"&amp;Agencia[[#This Row],[Filtro URL]])</f>
        <v>https://analytics.zoho.com/open-view/2395394000008643713?ZOHO_CRITERIA=%22Localiza%20CL%22.%22Codreg%22%3D14</v>
      </c>
      <c r="T95" s="69" t="str">
        <f>"100-C-"&amp;Agencia[[#This Row],[Filtro URL]]</f>
        <v>100-C-14</v>
      </c>
      <c r="U95" s="50" t="str">
        <f t="shared" si="70"/>
        <v>#1774B9</v>
      </c>
      <c r="V95" s="118" t="str">
        <f>+Agencia[[#This Row],[idcoleccion]]&amp;"-"&amp;Agencia[[#This Row],[id]]</f>
        <v>990-0084</v>
      </c>
      <c r="W95" s="118">
        <f>+VLOOKUP(Agencia[[#This Row],[Filtro URL]],Estructura!$X$4:$Y$500,2,0)</f>
        <v>99200014</v>
      </c>
      <c r="X95" s="118" t="str">
        <f>+VLOOKUP(Agencia[[#This Row],[tema]],Estructura!$A$4:$C$500,3,0)</f>
        <v>T-992</v>
      </c>
      <c r="Y95" s="118" t="str">
        <f>+VLOOKUP(Agencia[[#This Row],[contenido]],Estructura!$E$4:$G$500,3,0)</f>
        <v>C-1019</v>
      </c>
      <c r="Z95" s="118" t="str">
        <f>+VLOOKUP(Agencia[[#This Row],[Filtro Integrado]],Estructura!$I$4:$K$500,3,0)</f>
        <v>FI-993</v>
      </c>
      <c r="AA95" s="118" t="str">
        <f>+VLOOKUP(Agencia[[#This Row],[Muestra]],Estructura!$M$4:$O$500,3,0)</f>
        <v>M-995</v>
      </c>
    </row>
    <row r="96" spans="1:27" ht="57.6" x14ac:dyDescent="0.3">
      <c r="A96" s="21" t="s">
        <v>487</v>
      </c>
      <c r="B96" s="24">
        <f t="shared" si="49"/>
        <v>990</v>
      </c>
      <c r="C96" s="25" t="str">
        <f t="shared" si="50"/>
        <v>Agencia Información</v>
      </c>
      <c r="D96" s="25" t="str">
        <f t="shared" ref="D96" si="86">+D95</f>
        <v>Gobiernos locales</v>
      </c>
      <c r="E96" s="19">
        <v>15</v>
      </c>
      <c r="F96" s="25" t="s">
        <v>424</v>
      </c>
      <c r="G96" s="26" t="s">
        <v>6250</v>
      </c>
      <c r="H96" s="35" t="s">
        <v>16</v>
      </c>
      <c r="I96" s="36" t="s">
        <v>382</v>
      </c>
      <c r="J96" s="9" t="str">
        <f t="shared" si="72"/>
        <v>Ninguno</v>
      </c>
      <c r="K96" s="9" t="str">
        <f t="shared" si="73"/>
        <v>Número de alumnos por docente en aula por comuna</v>
      </c>
      <c r="L96" s="9" t="str">
        <f t="shared" si="66"/>
        <v>Periodo 2019-2020</v>
      </c>
      <c r="M96" s="9" t="str">
        <f t="shared" si="67"/>
        <v>Número de Alumnos</v>
      </c>
      <c r="N96" s="9" t="str">
        <f t="shared" si="68"/>
        <v>Sistema Nacional de Información Municipal</v>
      </c>
      <c r="O96" s="27" t="str">
        <f>"Ranking Comunal "&amp;Agencia[[#This Row],[territorio]]&amp;" 2020: Número de Alumnos por Docente en Aula, variación "&amp;Agencia[[#This Row],[temporalidad]]</f>
        <v>Ranking Comunal Región de Arica y Parinacota 2020: Número de Alumnos por Docente en Aula, variación Periodo 2019-2020</v>
      </c>
      <c r="P96" s="20"/>
      <c r="Q96" s="11" t="str">
        <f t="shared" si="69"/>
        <v>Ranking</v>
      </c>
      <c r="R96" s="20" t="str">
        <f>Agencia[[#This Row],[territorio]]&amp;" educación municipal alumnos calidad educación colegios municipales docentes aula"</f>
        <v>Región de Arica y Parinacota educación municipal alumnos calidad educación colegios municipales docentes aula</v>
      </c>
      <c r="S96" s="39" t="str">
        <f>HYPERLINK("https://analytics.zoho.com/open-view/2395394000008643713?ZOHO_CRITERIA=%22Localiza%20CL%22.%22Codreg%22%3D"&amp;Agencia[[#This Row],[Filtro URL]])</f>
        <v>https://analytics.zoho.com/open-view/2395394000008643713?ZOHO_CRITERIA=%22Localiza%20CL%22.%22Codreg%22%3D15</v>
      </c>
      <c r="T96" s="69" t="str">
        <f>"100-C-"&amp;Agencia[[#This Row],[Filtro URL]]</f>
        <v>100-C-15</v>
      </c>
      <c r="U96" s="50" t="str">
        <f t="shared" si="70"/>
        <v>#1774B9</v>
      </c>
      <c r="V96" s="118" t="str">
        <f>+Agencia[[#This Row],[idcoleccion]]&amp;"-"&amp;Agencia[[#This Row],[id]]</f>
        <v>990-0085</v>
      </c>
      <c r="W96" s="118">
        <f>+VLOOKUP(Agencia[[#This Row],[Filtro URL]],Estructura!$X$4:$Y$500,2,0)</f>
        <v>99200015</v>
      </c>
      <c r="X96" s="118" t="str">
        <f>+VLOOKUP(Agencia[[#This Row],[tema]],Estructura!$A$4:$C$500,3,0)</f>
        <v>T-992</v>
      </c>
      <c r="Y96" s="118" t="str">
        <f>+VLOOKUP(Agencia[[#This Row],[contenido]],Estructura!$E$4:$G$500,3,0)</f>
        <v>C-1019</v>
      </c>
      <c r="Z96" s="118" t="str">
        <f>+VLOOKUP(Agencia[[#This Row],[Filtro Integrado]],Estructura!$I$4:$K$500,3,0)</f>
        <v>FI-993</v>
      </c>
      <c r="AA96" s="118" t="str">
        <f>+VLOOKUP(Agencia[[#This Row],[Muestra]],Estructura!$M$4:$O$500,3,0)</f>
        <v>M-995</v>
      </c>
    </row>
    <row r="97" spans="1:27" ht="57.6" x14ac:dyDescent="0.3">
      <c r="A97" s="21" t="s">
        <v>488</v>
      </c>
      <c r="B97" s="24">
        <f t="shared" si="49"/>
        <v>990</v>
      </c>
      <c r="C97" s="25" t="str">
        <f t="shared" si="50"/>
        <v>Agencia Información</v>
      </c>
      <c r="D97" s="25" t="str">
        <f t="shared" ref="D97:D162" si="87">+D96</f>
        <v>Gobiernos locales</v>
      </c>
      <c r="E97" s="19">
        <v>16</v>
      </c>
      <c r="F97" s="25" t="s">
        <v>424</v>
      </c>
      <c r="G97" s="26" t="s">
        <v>6250</v>
      </c>
      <c r="H97" s="35" t="s">
        <v>16</v>
      </c>
      <c r="I97" s="36" t="s">
        <v>383</v>
      </c>
      <c r="J97" s="9" t="str">
        <f t="shared" si="72"/>
        <v>Ninguno</v>
      </c>
      <c r="K97" s="9" t="str">
        <f t="shared" si="73"/>
        <v>Número de alumnos por docente en aula por comuna</v>
      </c>
      <c r="L97" s="9" t="str">
        <f t="shared" si="66"/>
        <v>Periodo 2019-2020</v>
      </c>
      <c r="M97" s="9" t="str">
        <f t="shared" si="67"/>
        <v>Número de Alumnos</v>
      </c>
      <c r="N97" s="9" t="str">
        <f t="shared" si="68"/>
        <v>Sistema Nacional de Información Municipal</v>
      </c>
      <c r="O97" s="27" t="str">
        <f>"Ranking Comunal "&amp;Agencia[[#This Row],[territorio]]&amp;" 2020: Número de Alumnos por Docente en Aula, variación "&amp;Agencia[[#This Row],[temporalidad]]</f>
        <v>Ranking Comunal Región de Ñuble 2020: Número de Alumnos por Docente en Aula, variación Periodo 2019-2020</v>
      </c>
      <c r="P97" s="20"/>
      <c r="Q97" s="11" t="str">
        <f t="shared" si="69"/>
        <v>Ranking</v>
      </c>
      <c r="R97" s="20" t="str">
        <f>Agencia[[#This Row],[territorio]]&amp;" educación municipal alumnos calidad educación colegios municipales docentes aula"</f>
        <v>Región de Ñuble educación municipal alumnos calidad educación colegios municipales docentes aula</v>
      </c>
      <c r="S97" s="39" t="str">
        <f>HYPERLINK("https://analytics.zoho.com/open-view/2395394000008643713?ZOHO_CRITERIA=%22Localiza%20CL%22.%22Codreg%22%3D"&amp;Agencia[[#This Row],[Filtro URL]])</f>
        <v>https://analytics.zoho.com/open-view/2395394000008643713?ZOHO_CRITERIA=%22Localiza%20CL%22.%22Codreg%22%3D16</v>
      </c>
      <c r="T97" s="69" t="str">
        <f>"100-C-"&amp;Agencia[[#This Row],[Filtro URL]]</f>
        <v>100-C-16</v>
      </c>
      <c r="U97" s="50" t="str">
        <f t="shared" si="70"/>
        <v>#1774B9</v>
      </c>
      <c r="V97" s="118" t="str">
        <f>+Agencia[[#This Row],[idcoleccion]]&amp;"-"&amp;Agencia[[#This Row],[id]]</f>
        <v>990-0086</v>
      </c>
      <c r="W97" s="118">
        <f>+VLOOKUP(Agencia[[#This Row],[Filtro URL]],Estructura!$X$4:$Y$500,2,0)</f>
        <v>99200016</v>
      </c>
      <c r="X97" s="118" t="str">
        <f>+VLOOKUP(Agencia[[#This Row],[tema]],Estructura!$A$4:$C$500,3,0)</f>
        <v>T-992</v>
      </c>
      <c r="Y97" s="118" t="str">
        <f>+VLOOKUP(Agencia[[#This Row],[contenido]],Estructura!$E$4:$G$500,3,0)</f>
        <v>C-1019</v>
      </c>
      <c r="Z97" s="118" t="str">
        <f>+VLOOKUP(Agencia[[#This Row],[Filtro Integrado]],Estructura!$I$4:$K$500,3,0)</f>
        <v>FI-993</v>
      </c>
      <c r="AA97" s="118" t="str">
        <f>+VLOOKUP(Agencia[[#This Row],[Muestra]],Estructura!$M$4:$O$500,3,0)</f>
        <v>M-995</v>
      </c>
    </row>
    <row r="98" spans="1:27" ht="48" x14ac:dyDescent="0.3">
      <c r="A98" s="21" t="s">
        <v>489</v>
      </c>
      <c r="B98" s="24">
        <f t="shared" si="49"/>
        <v>990</v>
      </c>
      <c r="C98" s="25" t="str">
        <f t="shared" si="49"/>
        <v>Agencia Información</v>
      </c>
      <c r="D98" s="25" t="s">
        <v>574</v>
      </c>
      <c r="E98" s="14">
        <v>0</v>
      </c>
      <c r="F98" s="18" t="s">
        <v>819</v>
      </c>
      <c r="G98" s="18" t="s">
        <v>575</v>
      </c>
      <c r="H98" s="33" t="s">
        <v>20</v>
      </c>
      <c r="I98" s="34" t="s">
        <v>15</v>
      </c>
      <c r="J98" s="9" t="s">
        <v>18</v>
      </c>
      <c r="K98" s="9" t="s">
        <v>841</v>
      </c>
      <c r="L98" s="9" t="s">
        <v>576</v>
      </c>
      <c r="M98" s="9" t="s">
        <v>592</v>
      </c>
      <c r="N98" s="9" t="s">
        <v>5293</v>
      </c>
      <c r="O98" s="20" t="str">
        <f>"Evolución de Casos Activos de COVID-19 por 1 millón de habitantes en las comunas de "&amp;Agencia[[#This Row],[territorio]]&amp;" durante el "&amp;Agencia[[#This Row],[temporalidad]]</f>
        <v>Evolución de Casos Activos de COVID-19 por 1 millón de habitantes en las comunas de Chile durante el Periodo 2020-2021</v>
      </c>
      <c r="P98" s="20"/>
      <c r="Q98" s="11" t="s">
        <v>821</v>
      </c>
      <c r="R98" s="20" t="str">
        <f>Agencia[[#This Row],[territorio]]&amp;" COVID-19 regional comunal región comuna casos activos fallecidos recuperados"</f>
        <v>Chile COVID-19 regional comunal región comuna casos activos fallecidos recuperados</v>
      </c>
      <c r="S98" s="102" t="s">
        <v>1699</v>
      </c>
      <c r="T98" s="68" t="s">
        <v>1033</v>
      </c>
      <c r="U98" s="50" t="str">
        <f t="shared" ref="U98:U116" si="88">+U97</f>
        <v>#1774B9</v>
      </c>
      <c r="V98" s="118" t="str">
        <f>+Agencia[[#This Row],[idcoleccion]]&amp;"-"&amp;Agencia[[#This Row],[id]]</f>
        <v>990-0087</v>
      </c>
      <c r="W98" s="118">
        <f>+VLOOKUP(Agencia[[#This Row],[Filtro URL]],Estructura!$X$4:$Y$500,2,0)</f>
        <v>99100000</v>
      </c>
      <c r="X98" s="118" t="str">
        <f>+VLOOKUP(Agencia[[#This Row],[tema]],Estructura!$A$4:$C$500,3,0)</f>
        <v>T-1030</v>
      </c>
      <c r="Y98" s="118" t="str">
        <f>+VLOOKUP(Agencia[[#This Row],[contenido]],Estructura!$E$4:$G$500,3,0)</f>
        <v>C-991</v>
      </c>
      <c r="Z98" s="118" t="str">
        <f>+VLOOKUP(Agencia[[#This Row],[Filtro Integrado]],Estructura!$I$4:$K$500,3,0)</f>
        <v>FI-991</v>
      </c>
      <c r="AA98" s="118" t="str">
        <f>+VLOOKUP(Agencia[[#This Row],[Muestra]],Estructura!$M$4:$O$500,3,0)</f>
        <v>M-996</v>
      </c>
    </row>
    <row r="99" spans="1:27" ht="61.2" x14ac:dyDescent="0.3">
      <c r="A99" s="21" t="s">
        <v>490</v>
      </c>
      <c r="B99" s="24">
        <f t="shared" ref="B99:C114" si="89">+B98</f>
        <v>990</v>
      </c>
      <c r="C99" s="25" t="str">
        <f t="shared" si="89"/>
        <v>Agencia Información</v>
      </c>
      <c r="D99" s="25" t="str">
        <f t="shared" si="87"/>
        <v>Salud</v>
      </c>
      <c r="E99" s="19">
        <v>1</v>
      </c>
      <c r="F99" s="18" t="s">
        <v>819</v>
      </c>
      <c r="G99" s="18" t="s">
        <v>575</v>
      </c>
      <c r="H99" s="35" t="s">
        <v>16</v>
      </c>
      <c r="I99" s="36" t="s">
        <v>368</v>
      </c>
      <c r="J99" s="9" t="str">
        <f>+J98</f>
        <v>Comuna</v>
      </c>
      <c r="K99" s="9" t="str">
        <f t="shared" ref="K99:L99" si="90">+K98</f>
        <v>Casos Activos por 1 millón de habitantes por comuna</v>
      </c>
      <c r="L99" s="9" t="str">
        <f t="shared" si="90"/>
        <v>Periodo 2020-2021</v>
      </c>
      <c r="M99" s="9" t="str">
        <f>+M98</f>
        <v>Número de Casos</v>
      </c>
      <c r="N99" s="9" t="str">
        <f t="shared" ref="N99" si="91">+N98</f>
        <v>Ministerio de Ciencia, Tecnología, Conocimiento e Innovación</v>
      </c>
      <c r="O99" s="20" t="str">
        <f>"Evolución de Casos Activos de COVID-19 por 1 millón de habitantes en las comunas de la "&amp;Agencia[[#This Row],[territorio]]&amp;" durante el "&amp;Agencia[[#This Row],[temporalidad]]</f>
        <v>Evolución de Casos Activos de COVID-19 por 1 millón de habitantes en las comunas de la Región de Tarapacá durante el Periodo 2020-2021</v>
      </c>
      <c r="P99" s="20" t="s">
        <v>577</v>
      </c>
      <c r="Q99" s="11" t="str">
        <f t="shared" ref="Q99:Q114" si="92">+Q98</f>
        <v>Gráfico de Evolución</v>
      </c>
      <c r="R99" s="20" t="str">
        <f>Agencia[[#This Row],[territorio]]&amp;" COVID-19 regional comunal comuna casos activos fallecidos recuperados"</f>
        <v>Región de Tarapacá COVID-19 regional comunal comuna casos activos fallecidos recuperados</v>
      </c>
      <c r="S99" s="39" t="str">
        <f>HYPERLINK("https://analytics.zoho.com/open-view/2395394000008645197?ZOHO_CRITERIA=%22Localiza_CL_Poblacion%22.%22Codreg%22%3D"&amp;Agencia[[#This Row],[Filtro URL]])</f>
        <v>https://analytics.zoho.com/open-view/2395394000008645197?ZOHO_CRITERIA=%22Localiza_CL_Poblacion%22.%22Codreg%22%3D1</v>
      </c>
      <c r="T99" s="69" t="str">
        <f>"100-C-"&amp;Agencia[[#This Row],[Filtro URL]]</f>
        <v>100-C-1</v>
      </c>
      <c r="U99" s="50" t="str">
        <f t="shared" si="88"/>
        <v>#1774B9</v>
      </c>
      <c r="V99" s="118" t="str">
        <f>+Agencia[[#This Row],[idcoleccion]]&amp;"-"&amp;Agencia[[#This Row],[id]]</f>
        <v>990-0088</v>
      </c>
      <c r="W99" s="118">
        <f>+VLOOKUP(Agencia[[#This Row],[Filtro URL]],Estructura!$X$4:$Y$500,2,0)</f>
        <v>99200001</v>
      </c>
      <c r="X99" s="118" t="str">
        <f>+VLOOKUP(Agencia[[#This Row],[tema]],Estructura!$A$4:$C$500,3,0)</f>
        <v>T-1030</v>
      </c>
      <c r="Y99" s="118" t="str">
        <f>+VLOOKUP(Agencia[[#This Row],[contenido]],Estructura!$E$4:$G$500,3,0)</f>
        <v>C-991</v>
      </c>
      <c r="Z99" s="118" t="str">
        <f>+VLOOKUP(Agencia[[#This Row],[Filtro Integrado]],Estructura!$I$4:$K$500,3,0)</f>
        <v>FI-991</v>
      </c>
      <c r="AA99" s="118" t="str">
        <f>+VLOOKUP(Agencia[[#This Row],[Muestra]],Estructura!$M$4:$O$500,3,0)</f>
        <v>M-996</v>
      </c>
    </row>
    <row r="100" spans="1:27" ht="57.6" x14ac:dyDescent="0.3">
      <c r="A100" s="21" t="s">
        <v>491</v>
      </c>
      <c r="B100" s="24">
        <f t="shared" si="89"/>
        <v>990</v>
      </c>
      <c r="C100" s="25" t="str">
        <f t="shared" si="89"/>
        <v>Agencia Información</v>
      </c>
      <c r="D100" s="25" t="str">
        <f t="shared" si="87"/>
        <v>Salud</v>
      </c>
      <c r="E100" s="19">
        <v>2</v>
      </c>
      <c r="F100" s="18" t="s">
        <v>819</v>
      </c>
      <c r="G100" s="18" t="s">
        <v>575</v>
      </c>
      <c r="H100" s="35" t="s">
        <v>16</v>
      </c>
      <c r="I100" s="36" t="s">
        <v>369</v>
      </c>
      <c r="J100" s="9" t="str">
        <f t="shared" ref="J100:J165" si="93">+J99</f>
        <v>Comuna</v>
      </c>
      <c r="K100" s="9" t="str">
        <f t="shared" ref="K100:K165" si="94">+K99</f>
        <v>Casos Activos por 1 millón de habitantes por comuna</v>
      </c>
      <c r="L100" s="9" t="str">
        <f t="shared" ref="L100:L165" si="95">+L99</f>
        <v>Periodo 2020-2021</v>
      </c>
      <c r="M100" s="9" t="str">
        <f t="shared" ref="M100:M165" si="96">+M99</f>
        <v>Número de Casos</v>
      </c>
      <c r="N100" s="9" t="str">
        <f t="shared" ref="N100:N165" si="97">+N99</f>
        <v>Ministerio de Ciencia, Tecnología, Conocimiento e Innovación</v>
      </c>
      <c r="O100" s="20" t="str">
        <f>"Evolución de Casos Activos de COVID-19 por 1 millón de habitantes en las comunas de la "&amp;Agencia[[#This Row],[territorio]]&amp;" durante el "&amp;Agencia[[#This Row],[temporalidad]]</f>
        <v>Evolución de Casos Activos de COVID-19 por 1 millón de habitantes en las comunas de la Región de Antofagasta durante el Periodo 2020-2021</v>
      </c>
      <c r="P100" s="20"/>
      <c r="Q100" s="11" t="str">
        <f t="shared" si="92"/>
        <v>Gráfico de Evolución</v>
      </c>
      <c r="R100" s="20" t="str">
        <f>Agencia[[#This Row],[territorio]]&amp;" COVID-19 regional comunal comuna casos activos fallecidos recuperados"</f>
        <v>Región de Antofagasta COVID-19 regional comunal comuna casos activos fallecidos recuperados</v>
      </c>
      <c r="S100" s="39" t="str">
        <f>HYPERLINK("https://analytics.zoho.com/open-view/2395394000008645197?ZOHO_CRITERIA=%22Localiza_CL_Poblacion%22.%22Codreg%22%3D"&amp;Agencia[[#This Row],[Filtro URL]])</f>
        <v>https://analytics.zoho.com/open-view/2395394000008645197?ZOHO_CRITERIA=%22Localiza_CL_Poblacion%22.%22Codreg%22%3D2</v>
      </c>
      <c r="T100" s="69" t="str">
        <f>"100-C-"&amp;Agencia[[#This Row],[Filtro URL]]</f>
        <v>100-C-2</v>
      </c>
      <c r="U100" s="50" t="str">
        <f t="shared" si="88"/>
        <v>#1774B9</v>
      </c>
      <c r="V100" s="118" t="str">
        <f>+Agencia[[#This Row],[idcoleccion]]&amp;"-"&amp;Agencia[[#This Row],[id]]</f>
        <v>990-0089</v>
      </c>
      <c r="W100" s="118">
        <f>+VLOOKUP(Agencia[[#This Row],[Filtro URL]],Estructura!$X$4:$Y$500,2,0)</f>
        <v>99200002</v>
      </c>
      <c r="X100" s="118" t="str">
        <f>+VLOOKUP(Agencia[[#This Row],[tema]],Estructura!$A$4:$C$500,3,0)</f>
        <v>T-1030</v>
      </c>
      <c r="Y100" s="118" t="str">
        <f>+VLOOKUP(Agencia[[#This Row],[contenido]],Estructura!$E$4:$G$500,3,0)</f>
        <v>C-991</v>
      </c>
      <c r="Z100" s="118" t="str">
        <f>+VLOOKUP(Agencia[[#This Row],[Filtro Integrado]],Estructura!$I$4:$K$500,3,0)</f>
        <v>FI-991</v>
      </c>
      <c r="AA100" s="118" t="str">
        <f>+VLOOKUP(Agencia[[#This Row],[Muestra]],Estructura!$M$4:$O$500,3,0)</f>
        <v>M-996</v>
      </c>
    </row>
    <row r="101" spans="1:27" ht="57.6" x14ac:dyDescent="0.3">
      <c r="A101" s="21" t="s">
        <v>492</v>
      </c>
      <c r="B101" s="24">
        <f t="shared" si="89"/>
        <v>990</v>
      </c>
      <c r="C101" s="25" t="str">
        <f t="shared" si="89"/>
        <v>Agencia Información</v>
      </c>
      <c r="D101" s="25" t="str">
        <f t="shared" si="87"/>
        <v>Salud</v>
      </c>
      <c r="E101" s="19">
        <v>3</v>
      </c>
      <c r="F101" s="18" t="s">
        <v>819</v>
      </c>
      <c r="G101" s="18" t="s">
        <v>575</v>
      </c>
      <c r="H101" s="35" t="s">
        <v>16</v>
      </c>
      <c r="I101" s="36" t="s">
        <v>370</v>
      </c>
      <c r="J101" s="9" t="str">
        <f t="shared" si="93"/>
        <v>Comuna</v>
      </c>
      <c r="K101" s="9" t="str">
        <f t="shared" si="94"/>
        <v>Casos Activos por 1 millón de habitantes por comuna</v>
      </c>
      <c r="L101" s="9" t="str">
        <f t="shared" si="95"/>
        <v>Periodo 2020-2021</v>
      </c>
      <c r="M101" s="9" t="str">
        <f t="shared" si="96"/>
        <v>Número de Casos</v>
      </c>
      <c r="N101" s="9" t="str">
        <f t="shared" si="97"/>
        <v>Ministerio de Ciencia, Tecnología, Conocimiento e Innovación</v>
      </c>
      <c r="O101" s="20" t="str">
        <f>"Evolución de Casos Activos de COVID-19 por 1 millón de habitantes en las comunas de la "&amp;Agencia[[#This Row],[territorio]]&amp;" durante el "&amp;Agencia[[#This Row],[temporalidad]]</f>
        <v>Evolución de Casos Activos de COVID-19 por 1 millón de habitantes en las comunas de la Región de Atacama durante el Periodo 2020-2021</v>
      </c>
      <c r="P101" s="20"/>
      <c r="Q101" s="11" t="str">
        <f t="shared" si="92"/>
        <v>Gráfico de Evolución</v>
      </c>
      <c r="R101" s="20" t="str">
        <f>Agencia[[#This Row],[territorio]]&amp;" COVID-19 regional comunal comuna casos activos fallecidos recuperados"</f>
        <v>Región de Atacama COVID-19 regional comunal comuna casos activos fallecidos recuperados</v>
      </c>
      <c r="S101" s="39" t="str">
        <f>HYPERLINK("https://analytics.zoho.com/open-view/2395394000008645197?ZOHO_CRITERIA=%22Localiza_CL_Poblacion%22.%22Codreg%22%3D"&amp;Agencia[[#This Row],[Filtro URL]])</f>
        <v>https://analytics.zoho.com/open-view/2395394000008645197?ZOHO_CRITERIA=%22Localiza_CL_Poblacion%22.%22Codreg%22%3D3</v>
      </c>
      <c r="T101" s="69" t="str">
        <f>"100-C-"&amp;Agencia[[#This Row],[Filtro URL]]</f>
        <v>100-C-3</v>
      </c>
      <c r="U101" s="50" t="str">
        <f t="shared" si="88"/>
        <v>#1774B9</v>
      </c>
      <c r="V101" s="118" t="str">
        <f>+Agencia[[#This Row],[idcoleccion]]&amp;"-"&amp;Agencia[[#This Row],[id]]</f>
        <v>990-0090</v>
      </c>
      <c r="W101" s="118">
        <f>+VLOOKUP(Agencia[[#This Row],[Filtro URL]],Estructura!$X$4:$Y$500,2,0)</f>
        <v>99200003</v>
      </c>
      <c r="X101" s="118" t="str">
        <f>+VLOOKUP(Agencia[[#This Row],[tema]],Estructura!$A$4:$C$500,3,0)</f>
        <v>T-1030</v>
      </c>
      <c r="Y101" s="118" t="str">
        <f>+VLOOKUP(Agencia[[#This Row],[contenido]],Estructura!$E$4:$G$500,3,0)</f>
        <v>C-991</v>
      </c>
      <c r="Z101" s="118" t="str">
        <f>+VLOOKUP(Agencia[[#This Row],[Filtro Integrado]],Estructura!$I$4:$K$500,3,0)</f>
        <v>FI-991</v>
      </c>
      <c r="AA101" s="118" t="str">
        <f>+VLOOKUP(Agencia[[#This Row],[Muestra]],Estructura!$M$4:$O$500,3,0)</f>
        <v>M-996</v>
      </c>
    </row>
    <row r="102" spans="1:27" ht="57.6" x14ac:dyDescent="0.3">
      <c r="A102" s="21" t="s">
        <v>493</v>
      </c>
      <c r="B102" s="24">
        <f t="shared" si="89"/>
        <v>990</v>
      </c>
      <c r="C102" s="25" t="str">
        <f t="shared" si="89"/>
        <v>Agencia Información</v>
      </c>
      <c r="D102" s="25" t="str">
        <f t="shared" si="87"/>
        <v>Salud</v>
      </c>
      <c r="E102" s="19">
        <v>4</v>
      </c>
      <c r="F102" s="18" t="s">
        <v>819</v>
      </c>
      <c r="G102" s="18" t="s">
        <v>575</v>
      </c>
      <c r="H102" s="35" t="s">
        <v>16</v>
      </c>
      <c r="I102" s="36" t="s">
        <v>371</v>
      </c>
      <c r="J102" s="9" t="str">
        <f t="shared" si="93"/>
        <v>Comuna</v>
      </c>
      <c r="K102" s="9" t="str">
        <f t="shared" si="94"/>
        <v>Casos Activos por 1 millón de habitantes por comuna</v>
      </c>
      <c r="L102" s="9" t="str">
        <f t="shared" si="95"/>
        <v>Periodo 2020-2021</v>
      </c>
      <c r="M102" s="9" t="str">
        <f t="shared" si="96"/>
        <v>Número de Casos</v>
      </c>
      <c r="N102" s="9" t="str">
        <f t="shared" si="97"/>
        <v>Ministerio de Ciencia, Tecnología, Conocimiento e Innovación</v>
      </c>
      <c r="O102" s="20" t="str">
        <f>"Evolución de Casos Activos de COVID-19 por 1 millón de habitantes en las comunas de la "&amp;Agencia[[#This Row],[territorio]]&amp;" durante el "&amp;Agencia[[#This Row],[temporalidad]]</f>
        <v>Evolución de Casos Activos de COVID-19 por 1 millón de habitantes en las comunas de la Región de Coquimbo durante el Periodo 2020-2021</v>
      </c>
      <c r="P102" s="20"/>
      <c r="Q102" s="11" t="str">
        <f t="shared" si="92"/>
        <v>Gráfico de Evolución</v>
      </c>
      <c r="R102" s="20" t="str">
        <f>Agencia[[#This Row],[territorio]]&amp;" COVID-19 regional comunal comuna casos activos fallecidos recuperados"</f>
        <v>Región de Coquimbo COVID-19 regional comunal comuna casos activos fallecidos recuperados</v>
      </c>
      <c r="S102" s="39" t="str">
        <f>HYPERLINK("https://analytics.zoho.com/open-view/2395394000008645197?ZOHO_CRITERIA=%22Localiza_CL_Poblacion%22.%22Codreg%22%3D"&amp;Agencia[[#This Row],[Filtro URL]])</f>
        <v>https://analytics.zoho.com/open-view/2395394000008645197?ZOHO_CRITERIA=%22Localiza_CL_Poblacion%22.%22Codreg%22%3D4</v>
      </c>
      <c r="T102" s="69" t="str">
        <f>"100-C-"&amp;Agencia[[#This Row],[Filtro URL]]</f>
        <v>100-C-4</v>
      </c>
      <c r="U102" s="50" t="str">
        <f t="shared" si="88"/>
        <v>#1774B9</v>
      </c>
      <c r="V102" s="118" t="str">
        <f>+Agencia[[#This Row],[idcoleccion]]&amp;"-"&amp;Agencia[[#This Row],[id]]</f>
        <v>990-0091</v>
      </c>
      <c r="W102" s="118">
        <f>+VLOOKUP(Agencia[[#This Row],[Filtro URL]],Estructura!$X$4:$Y$500,2,0)</f>
        <v>99200004</v>
      </c>
      <c r="X102" s="118" t="str">
        <f>+VLOOKUP(Agencia[[#This Row],[tema]],Estructura!$A$4:$C$500,3,0)</f>
        <v>T-1030</v>
      </c>
      <c r="Y102" s="118" t="str">
        <f>+VLOOKUP(Agencia[[#This Row],[contenido]],Estructura!$E$4:$G$500,3,0)</f>
        <v>C-991</v>
      </c>
      <c r="Z102" s="118" t="str">
        <f>+VLOOKUP(Agencia[[#This Row],[Filtro Integrado]],Estructura!$I$4:$K$500,3,0)</f>
        <v>FI-991</v>
      </c>
      <c r="AA102" s="118" t="str">
        <f>+VLOOKUP(Agencia[[#This Row],[Muestra]],Estructura!$M$4:$O$500,3,0)</f>
        <v>M-996</v>
      </c>
    </row>
    <row r="103" spans="1:27" ht="57.6" x14ac:dyDescent="0.3">
      <c r="A103" s="21" t="s">
        <v>494</v>
      </c>
      <c r="B103" s="24">
        <f t="shared" si="89"/>
        <v>990</v>
      </c>
      <c r="C103" s="25" t="str">
        <f t="shared" si="89"/>
        <v>Agencia Información</v>
      </c>
      <c r="D103" s="25" t="str">
        <f t="shared" si="87"/>
        <v>Salud</v>
      </c>
      <c r="E103" s="19">
        <v>5</v>
      </c>
      <c r="F103" s="18" t="s">
        <v>819</v>
      </c>
      <c r="G103" s="18" t="s">
        <v>575</v>
      </c>
      <c r="H103" s="35" t="s">
        <v>16</v>
      </c>
      <c r="I103" s="36" t="s">
        <v>372</v>
      </c>
      <c r="J103" s="9" t="str">
        <f t="shared" si="93"/>
        <v>Comuna</v>
      </c>
      <c r="K103" s="9" t="str">
        <f t="shared" si="94"/>
        <v>Casos Activos por 1 millón de habitantes por comuna</v>
      </c>
      <c r="L103" s="9" t="str">
        <f t="shared" si="95"/>
        <v>Periodo 2020-2021</v>
      </c>
      <c r="M103" s="9" t="str">
        <f t="shared" si="96"/>
        <v>Número de Casos</v>
      </c>
      <c r="N103" s="9" t="str">
        <f t="shared" si="97"/>
        <v>Ministerio de Ciencia, Tecnología, Conocimiento e Innovación</v>
      </c>
      <c r="O103" s="20" t="str">
        <f>"Evolución de Casos Activos de COVID-19 por 1 millón de habitantes en las comunas de la "&amp;Agencia[[#This Row],[territorio]]&amp;" durante el "&amp;Agencia[[#This Row],[temporalidad]]</f>
        <v>Evolución de Casos Activos de COVID-19 por 1 millón de habitantes en las comunas de la Región de Valparaíso durante el Periodo 2020-2021</v>
      </c>
      <c r="P103" s="20"/>
      <c r="Q103" s="11" t="str">
        <f t="shared" si="92"/>
        <v>Gráfico de Evolución</v>
      </c>
      <c r="R103" s="20" t="str">
        <f>Agencia[[#This Row],[territorio]]&amp;" COVID-19 regional comunal comuna casos activos fallecidos recuperados"</f>
        <v>Región de Valparaíso COVID-19 regional comunal comuna casos activos fallecidos recuperados</v>
      </c>
      <c r="S103" s="39" t="str">
        <f>HYPERLINK("https://analytics.zoho.com/open-view/2395394000008645197?ZOHO_CRITERIA=%22Localiza_CL_Poblacion%22.%22Codreg%22%3D"&amp;Agencia[[#This Row],[Filtro URL]])</f>
        <v>https://analytics.zoho.com/open-view/2395394000008645197?ZOHO_CRITERIA=%22Localiza_CL_Poblacion%22.%22Codreg%22%3D5</v>
      </c>
      <c r="T103" s="69" t="str">
        <f>"100-C-"&amp;Agencia[[#This Row],[Filtro URL]]</f>
        <v>100-C-5</v>
      </c>
      <c r="U103" s="50" t="str">
        <f t="shared" si="88"/>
        <v>#1774B9</v>
      </c>
      <c r="V103" s="118" t="str">
        <f>+Agencia[[#This Row],[idcoleccion]]&amp;"-"&amp;Agencia[[#This Row],[id]]</f>
        <v>990-0092</v>
      </c>
      <c r="W103" s="118">
        <f>+VLOOKUP(Agencia[[#This Row],[Filtro URL]],Estructura!$X$4:$Y$500,2,0)</f>
        <v>99200005</v>
      </c>
      <c r="X103" s="118" t="str">
        <f>+VLOOKUP(Agencia[[#This Row],[tema]],Estructura!$A$4:$C$500,3,0)</f>
        <v>T-1030</v>
      </c>
      <c r="Y103" s="118" t="str">
        <f>+VLOOKUP(Agencia[[#This Row],[contenido]],Estructura!$E$4:$G$500,3,0)</f>
        <v>C-991</v>
      </c>
      <c r="Z103" s="118" t="str">
        <f>+VLOOKUP(Agencia[[#This Row],[Filtro Integrado]],Estructura!$I$4:$K$500,3,0)</f>
        <v>FI-991</v>
      </c>
      <c r="AA103" s="118" t="str">
        <f>+VLOOKUP(Agencia[[#This Row],[Muestra]],Estructura!$M$4:$O$500,3,0)</f>
        <v>M-996</v>
      </c>
    </row>
    <row r="104" spans="1:27" ht="57.6" x14ac:dyDescent="0.3">
      <c r="A104" s="21" t="s">
        <v>495</v>
      </c>
      <c r="B104" s="24">
        <f t="shared" si="89"/>
        <v>990</v>
      </c>
      <c r="C104" s="25" t="str">
        <f t="shared" si="89"/>
        <v>Agencia Información</v>
      </c>
      <c r="D104" s="25" t="str">
        <f t="shared" si="87"/>
        <v>Salud</v>
      </c>
      <c r="E104" s="19">
        <v>6</v>
      </c>
      <c r="F104" s="18" t="s">
        <v>819</v>
      </c>
      <c r="G104" s="18" t="s">
        <v>575</v>
      </c>
      <c r="H104" s="35" t="s">
        <v>16</v>
      </c>
      <c r="I104" s="36" t="s">
        <v>373</v>
      </c>
      <c r="J104" s="9" t="str">
        <f t="shared" si="93"/>
        <v>Comuna</v>
      </c>
      <c r="K104" s="9" t="str">
        <f t="shared" si="94"/>
        <v>Casos Activos por 1 millón de habitantes por comuna</v>
      </c>
      <c r="L104" s="9" t="str">
        <f t="shared" si="95"/>
        <v>Periodo 2020-2021</v>
      </c>
      <c r="M104" s="9" t="str">
        <f t="shared" si="96"/>
        <v>Número de Casos</v>
      </c>
      <c r="N104" s="9" t="str">
        <f t="shared" si="97"/>
        <v>Ministerio de Ciencia, Tecnología, Conocimiento e Innovación</v>
      </c>
      <c r="O104" s="20" t="str">
        <f>"Evolución de Casos Activos de COVID-19 por 1 millón de habitantes en las comunas de la "&amp;Agencia[[#This Row],[territorio]]&amp;" durante el "&amp;Agencia[[#This Row],[temporalidad]]</f>
        <v>Evolución de Casos Activos de COVID-19 por 1 millón de habitantes en las comunas de la Región de O'Higgins durante el Periodo 2020-2021</v>
      </c>
      <c r="P104" s="20"/>
      <c r="Q104" s="11" t="str">
        <f t="shared" si="92"/>
        <v>Gráfico de Evolución</v>
      </c>
      <c r="R104" s="20" t="str">
        <f>Agencia[[#This Row],[territorio]]&amp;" COVID-19 regional comunal comuna casos activos fallecidos recuperados"</f>
        <v>Región de O'Higgins COVID-19 regional comunal comuna casos activos fallecidos recuperados</v>
      </c>
      <c r="S104" s="39" t="str">
        <f>HYPERLINK("https://analytics.zoho.com/open-view/2395394000008645197?ZOHO_CRITERIA=%22Localiza_CL_Poblacion%22.%22Codreg%22%3D"&amp;Agencia[[#This Row],[Filtro URL]])</f>
        <v>https://analytics.zoho.com/open-view/2395394000008645197?ZOHO_CRITERIA=%22Localiza_CL_Poblacion%22.%22Codreg%22%3D6</v>
      </c>
      <c r="T104" s="69" t="str">
        <f>"100-C-"&amp;Agencia[[#This Row],[Filtro URL]]</f>
        <v>100-C-6</v>
      </c>
      <c r="U104" s="50" t="str">
        <f t="shared" si="88"/>
        <v>#1774B9</v>
      </c>
      <c r="V104" s="118" t="str">
        <f>+Agencia[[#This Row],[idcoleccion]]&amp;"-"&amp;Agencia[[#This Row],[id]]</f>
        <v>990-0093</v>
      </c>
      <c r="W104" s="118">
        <f>+VLOOKUP(Agencia[[#This Row],[Filtro URL]],Estructura!$X$4:$Y$500,2,0)</f>
        <v>99200006</v>
      </c>
      <c r="X104" s="118" t="str">
        <f>+VLOOKUP(Agencia[[#This Row],[tema]],Estructura!$A$4:$C$500,3,0)</f>
        <v>T-1030</v>
      </c>
      <c r="Y104" s="118" t="str">
        <f>+VLOOKUP(Agencia[[#This Row],[contenido]],Estructura!$E$4:$G$500,3,0)</f>
        <v>C-991</v>
      </c>
      <c r="Z104" s="118" t="str">
        <f>+VLOOKUP(Agencia[[#This Row],[Filtro Integrado]],Estructura!$I$4:$K$500,3,0)</f>
        <v>FI-991</v>
      </c>
      <c r="AA104" s="118" t="str">
        <f>+VLOOKUP(Agencia[[#This Row],[Muestra]],Estructura!$M$4:$O$500,3,0)</f>
        <v>M-996</v>
      </c>
    </row>
    <row r="105" spans="1:27" ht="57.6" x14ac:dyDescent="0.3">
      <c r="A105" s="21" t="s">
        <v>496</v>
      </c>
      <c r="B105" s="24">
        <f t="shared" si="89"/>
        <v>990</v>
      </c>
      <c r="C105" s="25" t="str">
        <f t="shared" si="89"/>
        <v>Agencia Información</v>
      </c>
      <c r="D105" s="25" t="str">
        <f t="shared" si="87"/>
        <v>Salud</v>
      </c>
      <c r="E105" s="19">
        <v>7</v>
      </c>
      <c r="F105" s="18" t="s">
        <v>819</v>
      </c>
      <c r="G105" s="18" t="s">
        <v>575</v>
      </c>
      <c r="H105" s="35" t="s">
        <v>16</v>
      </c>
      <c r="I105" s="36" t="s">
        <v>374</v>
      </c>
      <c r="J105" s="9" t="str">
        <f t="shared" si="93"/>
        <v>Comuna</v>
      </c>
      <c r="K105" s="9" t="str">
        <f t="shared" si="94"/>
        <v>Casos Activos por 1 millón de habitantes por comuna</v>
      </c>
      <c r="L105" s="9" t="str">
        <f t="shared" si="95"/>
        <v>Periodo 2020-2021</v>
      </c>
      <c r="M105" s="9" t="str">
        <f t="shared" si="96"/>
        <v>Número de Casos</v>
      </c>
      <c r="N105" s="9" t="str">
        <f t="shared" si="97"/>
        <v>Ministerio de Ciencia, Tecnología, Conocimiento e Innovación</v>
      </c>
      <c r="O105" s="20" t="str">
        <f>"Evolución de Casos Activos de COVID-19 por 1 millón de habitantes en las comunas de la "&amp;Agencia[[#This Row],[territorio]]&amp;" durante el "&amp;Agencia[[#This Row],[temporalidad]]</f>
        <v>Evolución de Casos Activos de COVID-19 por 1 millón de habitantes en las comunas de la Región de Maule durante el Periodo 2020-2021</v>
      </c>
      <c r="P105" s="20"/>
      <c r="Q105" s="11" t="str">
        <f t="shared" si="92"/>
        <v>Gráfico de Evolución</v>
      </c>
      <c r="R105" s="20" t="str">
        <f>Agencia[[#This Row],[territorio]]&amp;" COVID-19 regional comunal comuna casos activos fallecidos recuperados"</f>
        <v>Región de Maule COVID-19 regional comunal comuna casos activos fallecidos recuperados</v>
      </c>
      <c r="S105" s="39" t="str">
        <f>HYPERLINK("https://analytics.zoho.com/open-view/2395394000008645197?ZOHO_CRITERIA=%22Localiza_CL_Poblacion%22.%22Codreg%22%3D"&amp;Agencia[[#This Row],[Filtro URL]])</f>
        <v>https://analytics.zoho.com/open-view/2395394000008645197?ZOHO_CRITERIA=%22Localiza_CL_Poblacion%22.%22Codreg%22%3D7</v>
      </c>
      <c r="T105" s="69" t="str">
        <f>"100-C-"&amp;Agencia[[#This Row],[Filtro URL]]</f>
        <v>100-C-7</v>
      </c>
      <c r="U105" s="50" t="str">
        <f t="shared" si="88"/>
        <v>#1774B9</v>
      </c>
      <c r="V105" s="118" t="str">
        <f>+Agencia[[#This Row],[idcoleccion]]&amp;"-"&amp;Agencia[[#This Row],[id]]</f>
        <v>990-0094</v>
      </c>
      <c r="W105" s="118">
        <f>+VLOOKUP(Agencia[[#This Row],[Filtro URL]],Estructura!$X$4:$Y$500,2,0)</f>
        <v>99200007</v>
      </c>
      <c r="X105" s="118" t="str">
        <f>+VLOOKUP(Agencia[[#This Row],[tema]],Estructura!$A$4:$C$500,3,0)</f>
        <v>T-1030</v>
      </c>
      <c r="Y105" s="118" t="str">
        <f>+VLOOKUP(Agencia[[#This Row],[contenido]],Estructura!$E$4:$G$500,3,0)</f>
        <v>C-991</v>
      </c>
      <c r="Z105" s="118" t="str">
        <f>+VLOOKUP(Agencia[[#This Row],[Filtro Integrado]],Estructura!$I$4:$K$500,3,0)</f>
        <v>FI-991</v>
      </c>
      <c r="AA105" s="118" t="str">
        <f>+VLOOKUP(Agencia[[#This Row],[Muestra]],Estructura!$M$4:$O$500,3,0)</f>
        <v>M-996</v>
      </c>
    </row>
    <row r="106" spans="1:27" ht="57.6" x14ac:dyDescent="0.3">
      <c r="A106" s="21" t="s">
        <v>497</v>
      </c>
      <c r="B106" s="24">
        <f t="shared" si="89"/>
        <v>990</v>
      </c>
      <c r="C106" s="25" t="str">
        <f t="shared" si="89"/>
        <v>Agencia Información</v>
      </c>
      <c r="D106" s="25" t="str">
        <f t="shared" si="87"/>
        <v>Salud</v>
      </c>
      <c r="E106" s="19">
        <v>8</v>
      </c>
      <c r="F106" s="18" t="s">
        <v>819</v>
      </c>
      <c r="G106" s="18" t="s">
        <v>575</v>
      </c>
      <c r="H106" s="35" t="s">
        <v>16</v>
      </c>
      <c r="I106" s="36" t="s">
        <v>375</v>
      </c>
      <c r="J106" s="9" t="str">
        <f t="shared" si="93"/>
        <v>Comuna</v>
      </c>
      <c r="K106" s="9" t="str">
        <f t="shared" si="94"/>
        <v>Casos Activos por 1 millón de habitantes por comuna</v>
      </c>
      <c r="L106" s="9" t="str">
        <f t="shared" si="95"/>
        <v>Periodo 2020-2021</v>
      </c>
      <c r="M106" s="9" t="str">
        <f t="shared" si="96"/>
        <v>Número de Casos</v>
      </c>
      <c r="N106" s="9" t="str">
        <f t="shared" si="97"/>
        <v>Ministerio de Ciencia, Tecnología, Conocimiento e Innovación</v>
      </c>
      <c r="O106" s="20" t="str">
        <f>"Evolución de Casos Activos de COVID-19 por 1 millón de habitantes en las comunas de la "&amp;Agencia[[#This Row],[territorio]]&amp;" durante el "&amp;Agencia[[#This Row],[temporalidad]]</f>
        <v>Evolución de Casos Activos de COVID-19 por 1 millón de habitantes en las comunas de la Región del Biobío durante el Periodo 2020-2021</v>
      </c>
      <c r="P106" s="20"/>
      <c r="Q106" s="11" t="str">
        <f t="shared" si="92"/>
        <v>Gráfico de Evolución</v>
      </c>
      <c r="R106" s="20" t="str">
        <f>Agencia[[#This Row],[territorio]]&amp;" COVID-19 regional comunal comuna casos activos fallecidos recuperados"</f>
        <v>Región del Biobío COVID-19 regional comunal comuna casos activos fallecidos recuperados</v>
      </c>
      <c r="S106" s="39" t="str">
        <f>HYPERLINK("https://analytics.zoho.com/open-view/2395394000008645197?ZOHO_CRITERIA=%22Localiza_CL_Poblacion%22.%22Codreg%22%3D"&amp;Agencia[[#This Row],[Filtro URL]])</f>
        <v>https://analytics.zoho.com/open-view/2395394000008645197?ZOHO_CRITERIA=%22Localiza_CL_Poblacion%22.%22Codreg%22%3D8</v>
      </c>
      <c r="T106" s="69" t="str">
        <f>"100-C-"&amp;Agencia[[#This Row],[Filtro URL]]</f>
        <v>100-C-8</v>
      </c>
      <c r="U106" s="50" t="str">
        <f t="shared" si="88"/>
        <v>#1774B9</v>
      </c>
      <c r="V106" s="118" t="str">
        <f>+Agencia[[#This Row],[idcoleccion]]&amp;"-"&amp;Agencia[[#This Row],[id]]</f>
        <v>990-0095</v>
      </c>
      <c r="W106" s="118">
        <f>+VLOOKUP(Agencia[[#This Row],[Filtro URL]],Estructura!$X$4:$Y$500,2,0)</f>
        <v>99200008</v>
      </c>
      <c r="X106" s="118" t="str">
        <f>+VLOOKUP(Agencia[[#This Row],[tema]],Estructura!$A$4:$C$500,3,0)</f>
        <v>T-1030</v>
      </c>
      <c r="Y106" s="118" t="str">
        <f>+VLOOKUP(Agencia[[#This Row],[contenido]],Estructura!$E$4:$G$500,3,0)</f>
        <v>C-991</v>
      </c>
      <c r="Z106" s="118" t="str">
        <f>+VLOOKUP(Agencia[[#This Row],[Filtro Integrado]],Estructura!$I$4:$K$500,3,0)</f>
        <v>FI-991</v>
      </c>
      <c r="AA106" s="118" t="str">
        <f>+VLOOKUP(Agencia[[#This Row],[Muestra]],Estructura!$M$4:$O$500,3,0)</f>
        <v>M-996</v>
      </c>
    </row>
    <row r="107" spans="1:27" ht="57.6" x14ac:dyDescent="0.3">
      <c r="A107" s="21" t="s">
        <v>498</v>
      </c>
      <c r="B107" s="24">
        <f t="shared" si="89"/>
        <v>990</v>
      </c>
      <c r="C107" s="25" t="str">
        <f t="shared" si="89"/>
        <v>Agencia Información</v>
      </c>
      <c r="D107" s="25" t="str">
        <f t="shared" si="87"/>
        <v>Salud</v>
      </c>
      <c r="E107" s="19">
        <v>9</v>
      </c>
      <c r="F107" s="18" t="s">
        <v>819</v>
      </c>
      <c r="G107" s="18" t="s">
        <v>575</v>
      </c>
      <c r="H107" s="35" t="s">
        <v>16</v>
      </c>
      <c r="I107" s="36" t="s">
        <v>376</v>
      </c>
      <c r="J107" s="9" t="str">
        <f t="shared" si="93"/>
        <v>Comuna</v>
      </c>
      <c r="K107" s="9" t="str">
        <f t="shared" si="94"/>
        <v>Casos Activos por 1 millón de habitantes por comuna</v>
      </c>
      <c r="L107" s="9" t="str">
        <f t="shared" si="95"/>
        <v>Periodo 2020-2021</v>
      </c>
      <c r="M107" s="9" t="str">
        <f t="shared" si="96"/>
        <v>Número de Casos</v>
      </c>
      <c r="N107" s="9" t="str">
        <f t="shared" si="97"/>
        <v>Ministerio de Ciencia, Tecnología, Conocimiento e Innovación</v>
      </c>
      <c r="O107" s="20" t="str">
        <f>"Evolución de Casos Activos de COVID-19 por 1 millón de habitantes en las comunas de la "&amp;Agencia[[#This Row],[territorio]]&amp;" durante el "&amp;Agencia[[#This Row],[temporalidad]]</f>
        <v>Evolución de Casos Activos de COVID-19 por 1 millón de habitantes en las comunas de la Región de La Araucanía durante el Periodo 2020-2021</v>
      </c>
      <c r="P107" s="20"/>
      <c r="Q107" s="11" t="str">
        <f t="shared" si="92"/>
        <v>Gráfico de Evolución</v>
      </c>
      <c r="R107" s="20" t="str">
        <f>Agencia[[#This Row],[territorio]]&amp;" COVID-19 regional comunal comuna casos activos fallecidos recuperados"</f>
        <v>Región de La Araucanía COVID-19 regional comunal comuna casos activos fallecidos recuperados</v>
      </c>
      <c r="S107" s="39" t="str">
        <f>HYPERLINK("https://analytics.zoho.com/open-view/2395394000008645197?ZOHO_CRITERIA=%22Localiza_CL_Poblacion%22.%22Codreg%22%3D"&amp;Agencia[[#This Row],[Filtro URL]])</f>
        <v>https://analytics.zoho.com/open-view/2395394000008645197?ZOHO_CRITERIA=%22Localiza_CL_Poblacion%22.%22Codreg%22%3D9</v>
      </c>
      <c r="T107" s="69" t="str">
        <f>"100-C-"&amp;Agencia[[#This Row],[Filtro URL]]</f>
        <v>100-C-9</v>
      </c>
      <c r="U107" s="50" t="str">
        <f t="shared" si="88"/>
        <v>#1774B9</v>
      </c>
      <c r="V107" s="118" t="str">
        <f>+Agencia[[#This Row],[idcoleccion]]&amp;"-"&amp;Agencia[[#This Row],[id]]</f>
        <v>990-0096</v>
      </c>
      <c r="W107" s="118">
        <f>+VLOOKUP(Agencia[[#This Row],[Filtro URL]],Estructura!$X$4:$Y$500,2,0)</f>
        <v>99200009</v>
      </c>
      <c r="X107" s="118" t="str">
        <f>+VLOOKUP(Agencia[[#This Row],[tema]],Estructura!$A$4:$C$500,3,0)</f>
        <v>T-1030</v>
      </c>
      <c r="Y107" s="118" t="str">
        <f>+VLOOKUP(Agencia[[#This Row],[contenido]],Estructura!$E$4:$G$500,3,0)</f>
        <v>C-991</v>
      </c>
      <c r="Z107" s="118" t="str">
        <f>+VLOOKUP(Agencia[[#This Row],[Filtro Integrado]],Estructura!$I$4:$K$500,3,0)</f>
        <v>FI-991</v>
      </c>
      <c r="AA107" s="118" t="str">
        <f>+VLOOKUP(Agencia[[#This Row],[Muestra]],Estructura!$M$4:$O$500,3,0)</f>
        <v>M-996</v>
      </c>
    </row>
    <row r="108" spans="1:27" ht="57.6" x14ac:dyDescent="0.3">
      <c r="A108" s="21" t="s">
        <v>499</v>
      </c>
      <c r="B108" s="24">
        <f t="shared" si="89"/>
        <v>990</v>
      </c>
      <c r="C108" s="25" t="str">
        <f t="shared" si="89"/>
        <v>Agencia Información</v>
      </c>
      <c r="D108" s="25" t="str">
        <f t="shared" si="87"/>
        <v>Salud</v>
      </c>
      <c r="E108" s="19">
        <v>10</v>
      </c>
      <c r="F108" s="18" t="s">
        <v>819</v>
      </c>
      <c r="G108" s="18" t="s">
        <v>575</v>
      </c>
      <c r="H108" s="35" t="s">
        <v>16</v>
      </c>
      <c r="I108" s="36" t="s">
        <v>377</v>
      </c>
      <c r="J108" s="9" t="str">
        <f t="shared" si="93"/>
        <v>Comuna</v>
      </c>
      <c r="K108" s="9" t="str">
        <f t="shared" si="94"/>
        <v>Casos Activos por 1 millón de habitantes por comuna</v>
      </c>
      <c r="L108" s="9" t="str">
        <f t="shared" si="95"/>
        <v>Periodo 2020-2021</v>
      </c>
      <c r="M108" s="9" t="str">
        <f t="shared" si="96"/>
        <v>Número de Casos</v>
      </c>
      <c r="N108" s="9" t="str">
        <f t="shared" si="97"/>
        <v>Ministerio de Ciencia, Tecnología, Conocimiento e Innovación</v>
      </c>
      <c r="O108" s="20" t="str">
        <f>"Evolución de Casos Activos de COVID-19 por 1 millón de habitantes en las comunas de la "&amp;Agencia[[#This Row],[territorio]]&amp;" durante el "&amp;Agencia[[#This Row],[temporalidad]]</f>
        <v>Evolución de Casos Activos de COVID-19 por 1 millón de habitantes en las comunas de la Región de Los Lagos durante el Periodo 2020-2021</v>
      </c>
      <c r="P108" s="20"/>
      <c r="Q108" s="11" t="str">
        <f t="shared" si="92"/>
        <v>Gráfico de Evolución</v>
      </c>
      <c r="R108" s="20" t="str">
        <f>Agencia[[#This Row],[territorio]]&amp;" COVID-19 regional comunal comuna casos activos fallecidos recuperados"</f>
        <v>Región de Los Lagos COVID-19 regional comunal comuna casos activos fallecidos recuperados</v>
      </c>
      <c r="S108" s="39" t="str">
        <f>HYPERLINK("https://analytics.zoho.com/open-view/2395394000008645197?ZOHO_CRITERIA=%22Localiza_CL_Poblacion%22.%22Codreg%22%3D"&amp;Agencia[[#This Row],[Filtro URL]])</f>
        <v>https://analytics.zoho.com/open-view/2395394000008645197?ZOHO_CRITERIA=%22Localiza_CL_Poblacion%22.%22Codreg%22%3D10</v>
      </c>
      <c r="T108" s="69" t="str">
        <f>"100-C-"&amp;Agencia[[#This Row],[Filtro URL]]</f>
        <v>100-C-10</v>
      </c>
      <c r="U108" s="50" t="str">
        <f t="shared" si="88"/>
        <v>#1774B9</v>
      </c>
      <c r="V108" s="118" t="str">
        <f>+Agencia[[#This Row],[idcoleccion]]&amp;"-"&amp;Agencia[[#This Row],[id]]</f>
        <v>990-0097</v>
      </c>
      <c r="W108" s="118">
        <f>+VLOOKUP(Agencia[[#This Row],[Filtro URL]],Estructura!$X$4:$Y$500,2,0)</f>
        <v>99200010</v>
      </c>
      <c r="X108" s="118" t="str">
        <f>+VLOOKUP(Agencia[[#This Row],[tema]],Estructura!$A$4:$C$500,3,0)</f>
        <v>T-1030</v>
      </c>
      <c r="Y108" s="118" t="str">
        <f>+VLOOKUP(Agencia[[#This Row],[contenido]],Estructura!$E$4:$G$500,3,0)</f>
        <v>C-991</v>
      </c>
      <c r="Z108" s="118" t="str">
        <f>+VLOOKUP(Agencia[[#This Row],[Filtro Integrado]],Estructura!$I$4:$K$500,3,0)</f>
        <v>FI-991</v>
      </c>
      <c r="AA108" s="118" t="str">
        <f>+VLOOKUP(Agencia[[#This Row],[Muestra]],Estructura!$M$4:$O$500,3,0)</f>
        <v>M-996</v>
      </c>
    </row>
    <row r="109" spans="1:27" ht="57.6" x14ac:dyDescent="0.3">
      <c r="A109" s="21" t="s">
        <v>500</v>
      </c>
      <c r="B109" s="24">
        <f t="shared" si="89"/>
        <v>990</v>
      </c>
      <c r="C109" s="25" t="str">
        <f t="shared" si="89"/>
        <v>Agencia Información</v>
      </c>
      <c r="D109" s="25" t="str">
        <f t="shared" si="87"/>
        <v>Salud</v>
      </c>
      <c r="E109" s="19">
        <v>11</v>
      </c>
      <c r="F109" s="18" t="s">
        <v>819</v>
      </c>
      <c r="G109" s="18" t="s">
        <v>575</v>
      </c>
      <c r="H109" s="35" t="s">
        <v>16</v>
      </c>
      <c r="I109" s="36" t="s">
        <v>378</v>
      </c>
      <c r="J109" s="9" t="str">
        <f t="shared" si="93"/>
        <v>Comuna</v>
      </c>
      <c r="K109" s="9" t="str">
        <f t="shared" si="94"/>
        <v>Casos Activos por 1 millón de habitantes por comuna</v>
      </c>
      <c r="L109" s="9" t="str">
        <f t="shared" si="95"/>
        <v>Periodo 2020-2021</v>
      </c>
      <c r="M109" s="9" t="str">
        <f t="shared" si="96"/>
        <v>Número de Casos</v>
      </c>
      <c r="N109" s="9" t="str">
        <f t="shared" si="97"/>
        <v>Ministerio de Ciencia, Tecnología, Conocimiento e Innovación</v>
      </c>
      <c r="O109" s="20" t="str">
        <f>"Evolución de Casos Activos de COVID-19 por 1 millón de habitantes en las comunas de la "&amp;Agencia[[#This Row],[territorio]]&amp;" durante el "&amp;Agencia[[#This Row],[temporalidad]]</f>
        <v>Evolución de Casos Activos de COVID-19 por 1 millón de habitantes en las comunas de la Región de Aysén durante el Periodo 2020-2021</v>
      </c>
      <c r="P109" s="20"/>
      <c r="Q109" s="11" t="str">
        <f t="shared" si="92"/>
        <v>Gráfico de Evolución</v>
      </c>
      <c r="R109" s="20" t="str">
        <f>Agencia[[#This Row],[territorio]]&amp;" COVID-19 regional comunal comuna casos activos fallecidos recuperados"</f>
        <v>Región de Aysén COVID-19 regional comunal comuna casos activos fallecidos recuperados</v>
      </c>
      <c r="S109" s="39" t="str">
        <f>HYPERLINK("https://analytics.zoho.com/open-view/2395394000008645197?ZOHO_CRITERIA=%22Localiza_CL_Poblacion%22.%22Codreg%22%3D"&amp;Agencia[[#This Row],[Filtro URL]])</f>
        <v>https://analytics.zoho.com/open-view/2395394000008645197?ZOHO_CRITERIA=%22Localiza_CL_Poblacion%22.%22Codreg%22%3D11</v>
      </c>
      <c r="T109" s="69" t="str">
        <f>"100-C-"&amp;Agencia[[#This Row],[Filtro URL]]</f>
        <v>100-C-11</v>
      </c>
      <c r="U109" s="50" t="str">
        <f t="shared" si="88"/>
        <v>#1774B9</v>
      </c>
      <c r="V109" s="118" t="str">
        <f>+Agencia[[#This Row],[idcoleccion]]&amp;"-"&amp;Agencia[[#This Row],[id]]</f>
        <v>990-0098</v>
      </c>
      <c r="W109" s="118">
        <f>+VLOOKUP(Agencia[[#This Row],[Filtro URL]],Estructura!$X$4:$Y$500,2,0)</f>
        <v>99200011</v>
      </c>
      <c r="X109" s="118" t="str">
        <f>+VLOOKUP(Agencia[[#This Row],[tema]],Estructura!$A$4:$C$500,3,0)</f>
        <v>T-1030</v>
      </c>
      <c r="Y109" s="118" t="str">
        <f>+VLOOKUP(Agencia[[#This Row],[contenido]],Estructura!$E$4:$G$500,3,0)</f>
        <v>C-991</v>
      </c>
      <c r="Z109" s="118" t="str">
        <f>+VLOOKUP(Agencia[[#This Row],[Filtro Integrado]],Estructura!$I$4:$K$500,3,0)</f>
        <v>FI-991</v>
      </c>
      <c r="AA109" s="118" t="str">
        <f>+VLOOKUP(Agencia[[#This Row],[Muestra]],Estructura!$M$4:$O$500,3,0)</f>
        <v>M-996</v>
      </c>
    </row>
    <row r="110" spans="1:27" ht="57.6" x14ac:dyDescent="0.3">
      <c r="A110" s="21" t="s">
        <v>501</v>
      </c>
      <c r="B110" s="24">
        <f t="shared" si="89"/>
        <v>990</v>
      </c>
      <c r="C110" s="25" t="str">
        <f t="shared" si="89"/>
        <v>Agencia Información</v>
      </c>
      <c r="D110" s="25" t="str">
        <f t="shared" si="87"/>
        <v>Salud</v>
      </c>
      <c r="E110" s="19">
        <v>12</v>
      </c>
      <c r="F110" s="18" t="s">
        <v>819</v>
      </c>
      <c r="G110" s="18" t="s">
        <v>575</v>
      </c>
      <c r="H110" s="35" t="s">
        <v>16</v>
      </c>
      <c r="I110" s="36" t="s">
        <v>379</v>
      </c>
      <c r="J110" s="9" t="str">
        <f t="shared" si="93"/>
        <v>Comuna</v>
      </c>
      <c r="K110" s="9" t="str">
        <f t="shared" si="94"/>
        <v>Casos Activos por 1 millón de habitantes por comuna</v>
      </c>
      <c r="L110" s="9" t="str">
        <f t="shared" si="95"/>
        <v>Periodo 2020-2021</v>
      </c>
      <c r="M110" s="9" t="str">
        <f t="shared" si="96"/>
        <v>Número de Casos</v>
      </c>
      <c r="N110" s="9" t="str">
        <f t="shared" si="97"/>
        <v>Ministerio de Ciencia, Tecnología, Conocimiento e Innovación</v>
      </c>
      <c r="O110" s="20" t="str">
        <f>"Evolución de Casos Activos de COVID-19 por 1 millón de habitantes en las comunas de la "&amp;Agencia[[#This Row],[territorio]]&amp;" durante el "&amp;Agencia[[#This Row],[temporalidad]]</f>
        <v>Evolución de Casos Activos de COVID-19 por 1 millón de habitantes en las comunas de la Región de Magallanes durante el Periodo 2020-2021</v>
      </c>
      <c r="P110" s="20"/>
      <c r="Q110" s="11" t="str">
        <f t="shared" si="92"/>
        <v>Gráfico de Evolución</v>
      </c>
      <c r="R110" s="20" t="str">
        <f>Agencia[[#This Row],[territorio]]&amp;" COVID-19 regional comunal comuna casos activos fallecidos recuperados"</f>
        <v>Región de Magallanes COVID-19 regional comunal comuna casos activos fallecidos recuperados</v>
      </c>
      <c r="S110" s="39" t="str">
        <f>HYPERLINK("https://analytics.zoho.com/open-view/2395394000008645197?ZOHO_CRITERIA=%22Localiza_CL_Poblacion%22.%22Codreg%22%3D"&amp;Agencia[[#This Row],[Filtro URL]])</f>
        <v>https://analytics.zoho.com/open-view/2395394000008645197?ZOHO_CRITERIA=%22Localiza_CL_Poblacion%22.%22Codreg%22%3D12</v>
      </c>
      <c r="T110" s="69" t="str">
        <f>"100-C-"&amp;Agencia[[#This Row],[Filtro URL]]</f>
        <v>100-C-12</v>
      </c>
      <c r="U110" s="50" t="str">
        <f t="shared" si="88"/>
        <v>#1774B9</v>
      </c>
      <c r="V110" s="118" t="str">
        <f>+Agencia[[#This Row],[idcoleccion]]&amp;"-"&amp;Agencia[[#This Row],[id]]</f>
        <v>990-0099</v>
      </c>
      <c r="W110" s="118">
        <f>+VLOOKUP(Agencia[[#This Row],[Filtro URL]],Estructura!$X$4:$Y$500,2,0)</f>
        <v>99200012</v>
      </c>
      <c r="X110" s="118" t="str">
        <f>+VLOOKUP(Agencia[[#This Row],[tema]],Estructura!$A$4:$C$500,3,0)</f>
        <v>T-1030</v>
      </c>
      <c r="Y110" s="118" t="str">
        <f>+VLOOKUP(Agencia[[#This Row],[contenido]],Estructura!$E$4:$G$500,3,0)</f>
        <v>C-991</v>
      </c>
      <c r="Z110" s="118" t="str">
        <f>+VLOOKUP(Agencia[[#This Row],[Filtro Integrado]],Estructura!$I$4:$K$500,3,0)</f>
        <v>FI-991</v>
      </c>
      <c r="AA110" s="118" t="str">
        <f>+VLOOKUP(Agencia[[#This Row],[Muestra]],Estructura!$M$4:$O$500,3,0)</f>
        <v>M-996</v>
      </c>
    </row>
    <row r="111" spans="1:27" ht="57.6" x14ac:dyDescent="0.3">
      <c r="A111" s="21" t="s">
        <v>502</v>
      </c>
      <c r="B111" s="24">
        <f t="shared" si="89"/>
        <v>990</v>
      </c>
      <c r="C111" s="25" t="str">
        <f t="shared" si="89"/>
        <v>Agencia Información</v>
      </c>
      <c r="D111" s="25" t="str">
        <f t="shared" si="87"/>
        <v>Salud</v>
      </c>
      <c r="E111" s="19">
        <v>13</v>
      </c>
      <c r="F111" s="18" t="s">
        <v>819</v>
      </c>
      <c r="G111" s="18" t="s">
        <v>575</v>
      </c>
      <c r="H111" s="35" t="s">
        <v>16</v>
      </c>
      <c r="I111" s="36" t="s">
        <v>380</v>
      </c>
      <c r="J111" s="9" t="str">
        <f t="shared" si="93"/>
        <v>Comuna</v>
      </c>
      <c r="K111" s="9" t="str">
        <f t="shared" si="94"/>
        <v>Casos Activos por 1 millón de habitantes por comuna</v>
      </c>
      <c r="L111" s="9" t="str">
        <f t="shared" si="95"/>
        <v>Periodo 2020-2021</v>
      </c>
      <c r="M111" s="9" t="str">
        <f t="shared" si="96"/>
        <v>Número de Casos</v>
      </c>
      <c r="N111" s="9" t="str">
        <f t="shared" si="97"/>
        <v>Ministerio de Ciencia, Tecnología, Conocimiento e Innovación</v>
      </c>
      <c r="O111" s="20" t="str">
        <f>"Evolución de Casos Activos de COVID-19 por 1 millón de habitantes en las comunas de la "&amp;Agencia[[#This Row],[territorio]]&amp;" durante el "&amp;Agencia[[#This Row],[temporalidad]]</f>
        <v>Evolución de Casos Activos de COVID-19 por 1 millón de habitantes en las comunas de la Región Metropolitana durante el Periodo 2020-2021</v>
      </c>
      <c r="P111" s="20"/>
      <c r="Q111" s="11" t="str">
        <f t="shared" si="92"/>
        <v>Gráfico de Evolución</v>
      </c>
      <c r="R111" s="20" t="str">
        <f>Agencia[[#This Row],[territorio]]&amp;" COVID-19 regional comunal comuna casos activos fallecidos recuperados"</f>
        <v>Región Metropolitana COVID-19 regional comunal comuna casos activos fallecidos recuperados</v>
      </c>
      <c r="S111" s="39" t="str">
        <f>HYPERLINK("https://analytics.zoho.com/open-view/2395394000008645197?ZOHO_CRITERIA=%22Localiza_CL_Poblacion%22.%22Codreg%22%3D"&amp;Agencia[[#This Row],[Filtro URL]])</f>
        <v>https://analytics.zoho.com/open-view/2395394000008645197?ZOHO_CRITERIA=%22Localiza_CL_Poblacion%22.%22Codreg%22%3D13</v>
      </c>
      <c r="T111" s="69" t="str">
        <f>"200-C-"&amp;Agencia[[#This Row],[Filtro URL]]</f>
        <v>200-C-13</v>
      </c>
      <c r="U111" s="50" t="str">
        <f t="shared" si="88"/>
        <v>#1774B9</v>
      </c>
      <c r="V111" s="118" t="str">
        <f>+Agencia[[#This Row],[idcoleccion]]&amp;"-"&amp;Agencia[[#This Row],[id]]</f>
        <v>990-0100</v>
      </c>
      <c r="W111" s="118">
        <f>+VLOOKUP(Agencia[[#This Row],[Filtro URL]],Estructura!$X$4:$Y$500,2,0)</f>
        <v>99200013</v>
      </c>
      <c r="X111" s="118" t="str">
        <f>+VLOOKUP(Agencia[[#This Row],[tema]],Estructura!$A$4:$C$500,3,0)</f>
        <v>T-1030</v>
      </c>
      <c r="Y111" s="118" t="str">
        <f>+VLOOKUP(Agencia[[#This Row],[contenido]],Estructura!$E$4:$G$500,3,0)</f>
        <v>C-991</v>
      </c>
      <c r="Z111" s="118" t="str">
        <f>+VLOOKUP(Agencia[[#This Row],[Filtro Integrado]],Estructura!$I$4:$K$500,3,0)</f>
        <v>FI-991</v>
      </c>
      <c r="AA111" s="118" t="str">
        <f>+VLOOKUP(Agencia[[#This Row],[Muestra]],Estructura!$M$4:$O$500,3,0)</f>
        <v>M-996</v>
      </c>
    </row>
    <row r="112" spans="1:27" ht="57.6" x14ac:dyDescent="0.3">
      <c r="A112" s="21" t="s">
        <v>503</v>
      </c>
      <c r="B112" s="24">
        <f t="shared" si="89"/>
        <v>990</v>
      </c>
      <c r="C112" s="25" t="str">
        <f t="shared" si="89"/>
        <v>Agencia Información</v>
      </c>
      <c r="D112" s="25" t="str">
        <f t="shared" si="87"/>
        <v>Salud</v>
      </c>
      <c r="E112" s="19">
        <v>14</v>
      </c>
      <c r="F112" s="18" t="s">
        <v>819</v>
      </c>
      <c r="G112" s="18" t="s">
        <v>575</v>
      </c>
      <c r="H112" s="35" t="s">
        <v>16</v>
      </c>
      <c r="I112" s="36" t="s">
        <v>381</v>
      </c>
      <c r="J112" s="9" t="str">
        <f t="shared" si="93"/>
        <v>Comuna</v>
      </c>
      <c r="K112" s="9" t="str">
        <f t="shared" si="94"/>
        <v>Casos Activos por 1 millón de habitantes por comuna</v>
      </c>
      <c r="L112" s="9" t="str">
        <f t="shared" si="95"/>
        <v>Periodo 2020-2021</v>
      </c>
      <c r="M112" s="9" t="str">
        <f t="shared" si="96"/>
        <v>Número de Casos</v>
      </c>
      <c r="N112" s="9" t="str">
        <f t="shared" si="97"/>
        <v>Ministerio de Ciencia, Tecnología, Conocimiento e Innovación</v>
      </c>
      <c r="O112" s="20" t="str">
        <f>"Evolución de Casos Activos de COVID-19 por 1 millón de habitantes en las comunas de la "&amp;Agencia[[#This Row],[territorio]]&amp;" durante el "&amp;Agencia[[#This Row],[temporalidad]]</f>
        <v>Evolución de Casos Activos de COVID-19 por 1 millón de habitantes en las comunas de la Región de Los Ríos durante el Periodo 2020-2021</v>
      </c>
      <c r="P112" s="20"/>
      <c r="Q112" s="11" t="str">
        <f t="shared" si="92"/>
        <v>Gráfico de Evolución</v>
      </c>
      <c r="R112" s="20" t="str">
        <f>Agencia[[#This Row],[territorio]]&amp;" COVID-19 regional comunal comuna casos activos fallecidos recuperados"</f>
        <v>Región de Los Ríos COVID-19 regional comunal comuna casos activos fallecidos recuperados</v>
      </c>
      <c r="S112" s="39" t="str">
        <f>HYPERLINK("https://analytics.zoho.com/open-view/2395394000008645197?ZOHO_CRITERIA=%22Localiza_CL_Poblacion%22.%22Codreg%22%3D"&amp;Agencia[[#This Row],[Filtro URL]])</f>
        <v>https://analytics.zoho.com/open-view/2395394000008645197?ZOHO_CRITERIA=%22Localiza_CL_Poblacion%22.%22Codreg%22%3D14</v>
      </c>
      <c r="T112" s="69" t="str">
        <f>"100-C-"&amp;Agencia[[#This Row],[Filtro URL]]</f>
        <v>100-C-14</v>
      </c>
      <c r="U112" s="50" t="str">
        <f t="shared" si="88"/>
        <v>#1774B9</v>
      </c>
      <c r="V112" s="118" t="str">
        <f>+Agencia[[#This Row],[idcoleccion]]&amp;"-"&amp;Agencia[[#This Row],[id]]</f>
        <v>990-0101</v>
      </c>
      <c r="W112" s="118">
        <f>+VLOOKUP(Agencia[[#This Row],[Filtro URL]],Estructura!$X$4:$Y$500,2,0)</f>
        <v>99200014</v>
      </c>
      <c r="X112" s="118" t="str">
        <f>+VLOOKUP(Agencia[[#This Row],[tema]],Estructura!$A$4:$C$500,3,0)</f>
        <v>T-1030</v>
      </c>
      <c r="Y112" s="118" t="str">
        <f>+VLOOKUP(Agencia[[#This Row],[contenido]],Estructura!$E$4:$G$500,3,0)</f>
        <v>C-991</v>
      </c>
      <c r="Z112" s="118" t="str">
        <f>+VLOOKUP(Agencia[[#This Row],[Filtro Integrado]],Estructura!$I$4:$K$500,3,0)</f>
        <v>FI-991</v>
      </c>
      <c r="AA112" s="118" t="str">
        <f>+VLOOKUP(Agencia[[#This Row],[Muestra]],Estructura!$M$4:$O$500,3,0)</f>
        <v>M-996</v>
      </c>
    </row>
    <row r="113" spans="1:27" ht="57.6" x14ac:dyDescent="0.3">
      <c r="A113" s="21" t="s">
        <v>504</v>
      </c>
      <c r="B113" s="24">
        <f t="shared" si="89"/>
        <v>990</v>
      </c>
      <c r="C113" s="25" t="str">
        <f t="shared" si="89"/>
        <v>Agencia Información</v>
      </c>
      <c r="D113" s="25" t="str">
        <f t="shared" si="87"/>
        <v>Salud</v>
      </c>
      <c r="E113" s="19">
        <v>15</v>
      </c>
      <c r="F113" s="18" t="s">
        <v>819</v>
      </c>
      <c r="G113" s="18" t="s">
        <v>575</v>
      </c>
      <c r="H113" s="35" t="s">
        <v>16</v>
      </c>
      <c r="I113" s="36" t="s">
        <v>382</v>
      </c>
      <c r="J113" s="9" t="str">
        <f t="shared" si="93"/>
        <v>Comuna</v>
      </c>
      <c r="K113" s="9" t="str">
        <f t="shared" si="94"/>
        <v>Casos Activos por 1 millón de habitantes por comuna</v>
      </c>
      <c r="L113" s="9" t="str">
        <f t="shared" si="95"/>
        <v>Periodo 2020-2021</v>
      </c>
      <c r="M113" s="9" t="str">
        <f t="shared" si="96"/>
        <v>Número de Casos</v>
      </c>
      <c r="N113" s="9" t="str">
        <f t="shared" si="97"/>
        <v>Ministerio de Ciencia, Tecnología, Conocimiento e Innovación</v>
      </c>
      <c r="O113" s="20" t="str">
        <f>"Evolución de Casos Activos de COVID-19 por 1 millón de habitantes en las comunas de la "&amp;Agencia[[#This Row],[territorio]]&amp;" durante el "&amp;Agencia[[#This Row],[temporalidad]]</f>
        <v>Evolución de Casos Activos de COVID-19 por 1 millón de habitantes en las comunas de la Región de Arica y Parinacota durante el Periodo 2020-2021</v>
      </c>
      <c r="P113" s="20"/>
      <c r="Q113" s="11" t="str">
        <f t="shared" si="92"/>
        <v>Gráfico de Evolución</v>
      </c>
      <c r="R113" s="20" t="str">
        <f>Agencia[[#This Row],[territorio]]&amp;" COVID-19 regional comunal comuna casos activos fallecidos recuperados"</f>
        <v>Región de Arica y Parinacota COVID-19 regional comunal comuna casos activos fallecidos recuperados</v>
      </c>
      <c r="S113" s="39" t="str">
        <f>HYPERLINK("https://analytics.zoho.com/open-view/2395394000008645197?ZOHO_CRITERIA=%22Localiza_CL_Poblacion%22.%22Codreg%22%3D"&amp;Agencia[[#This Row],[Filtro URL]])</f>
        <v>https://analytics.zoho.com/open-view/2395394000008645197?ZOHO_CRITERIA=%22Localiza_CL_Poblacion%22.%22Codreg%22%3D15</v>
      </c>
      <c r="T113" s="69" t="str">
        <f>"100-C-"&amp;Agencia[[#This Row],[Filtro URL]]</f>
        <v>100-C-15</v>
      </c>
      <c r="U113" s="50" t="str">
        <f t="shared" si="88"/>
        <v>#1774B9</v>
      </c>
      <c r="V113" s="118" t="str">
        <f>+Agencia[[#This Row],[idcoleccion]]&amp;"-"&amp;Agencia[[#This Row],[id]]</f>
        <v>990-0102</v>
      </c>
      <c r="W113" s="118">
        <f>+VLOOKUP(Agencia[[#This Row],[Filtro URL]],Estructura!$X$4:$Y$500,2,0)</f>
        <v>99200015</v>
      </c>
      <c r="X113" s="118" t="str">
        <f>+VLOOKUP(Agencia[[#This Row],[tema]],Estructura!$A$4:$C$500,3,0)</f>
        <v>T-1030</v>
      </c>
      <c r="Y113" s="118" t="str">
        <f>+VLOOKUP(Agencia[[#This Row],[contenido]],Estructura!$E$4:$G$500,3,0)</f>
        <v>C-991</v>
      </c>
      <c r="Z113" s="118" t="str">
        <f>+VLOOKUP(Agencia[[#This Row],[Filtro Integrado]],Estructura!$I$4:$K$500,3,0)</f>
        <v>FI-991</v>
      </c>
      <c r="AA113" s="118" t="str">
        <f>+VLOOKUP(Agencia[[#This Row],[Muestra]],Estructura!$M$4:$O$500,3,0)</f>
        <v>M-996</v>
      </c>
    </row>
    <row r="114" spans="1:27" ht="57.6" x14ac:dyDescent="0.3">
      <c r="A114" s="21" t="s">
        <v>505</v>
      </c>
      <c r="B114" s="24">
        <f t="shared" si="89"/>
        <v>990</v>
      </c>
      <c r="C114" s="25" t="str">
        <f t="shared" si="89"/>
        <v>Agencia Información</v>
      </c>
      <c r="D114" s="25" t="str">
        <f t="shared" si="87"/>
        <v>Salud</v>
      </c>
      <c r="E114" s="19">
        <v>16</v>
      </c>
      <c r="F114" s="18" t="s">
        <v>819</v>
      </c>
      <c r="G114" s="18" t="s">
        <v>575</v>
      </c>
      <c r="H114" s="35" t="s">
        <v>16</v>
      </c>
      <c r="I114" s="36" t="s">
        <v>383</v>
      </c>
      <c r="J114" s="9" t="str">
        <f t="shared" si="93"/>
        <v>Comuna</v>
      </c>
      <c r="K114" s="9" t="str">
        <f t="shared" si="94"/>
        <v>Casos Activos por 1 millón de habitantes por comuna</v>
      </c>
      <c r="L114" s="9" t="str">
        <f t="shared" si="95"/>
        <v>Periodo 2020-2021</v>
      </c>
      <c r="M114" s="9" t="str">
        <f t="shared" si="96"/>
        <v>Número de Casos</v>
      </c>
      <c r="N114" s="9" t="str">
        <f t="shared" si="97"/>
        <v>Ministerio de Ciencia, Tecnología, Conocimiento e Innovación</v>
      </c>
      <c r="O114" s="20" t="str">
        <f>"Evolución de Casos Activos de COVID-19 por 1 millón de habitantes en las comunas de la "&amp;Agencia[[#This Row],[territorio]]&amp;" durante el "&amp;Agencia[[#This Row],[temporalidad]]</f>
        <v>Evolución de Casos Activos de COVID-19 por 1 millón de habitantes en las comunas de la Región de Ñuble durante el Periodo 2020-2021</v>
      </c>
      <c r="P114" s="20"/>
      <c r="Q114" s="11" t="str">
        <f t="shared" si="92"/>
        <v>Gráfico de Evolución</v>
      </c>
      <c r="R114" s="20" t="str">
        <f>Agencia[[#This Row],[territorio]]&amp;" COVID-19 regional comunal comuna casos activos fallecidos recuperados"</f>
        <v>Región de Ñuble COVID-19 regional comunal comuna casos activos fallecidos recuperados</v>
      </c>
      <c r="S114" s="39" t="str">
        <f>HYPERLINK("https://analytics.zoho.com/open-view/2395394000008645197?ZOHO_CRITERIA=%22Localiza_CL_Poblacion%22.%22Codreg%22%3D"&amp;Agencia[[#This Row],[Filtro URL]])</f>
        <v>https://analytics.zoho.com/open-view/2395394000008645197?ZOHO_CRITERIA=%22Localiza_CL_Poblacion%22.%22Codreg%22%3D16</v>
      </c>
      <c r="T114" s="69" t="str">
        <f>"100-C-"&amp;Agencia[[#This Row],[Filtro URL]]</f>
        <v>100-C-16</v>
      </c>
      <c r="U114" s="50" t="str">
        <f t="shared" si="88"/>
        <v>#1774B9</v>
      </c>
      <c r="V114" s="118" t="str">
        <f>+Agencia[[#This Row],[idcoleccion]]&amp;"-"&amp;Agencia[[#This Row],[id]]</f>
        <v>990-0103</v>
      </c>
      <c r="W114" s="118">
        <f>+VLOOKUP(Agencia[[#This Row],[Filtro URL]],Estructura!$X$4:$Y$500,2,0)</f>
        <v>99200016</v>
      </c>
      <c r="X114" s="118" t="str">
        <f>+VLOOKUP(Agencia[[#This Row],[tema]],Estructura!$A$4:$C$500,3,0)</f>
        <v>T-1030</v>
      </c>
      <c r="Y114" s="118" t="str">
        <f>+VLOOKUP(Agencia[[#This Row],[contenido]],Estructura!$E$4:$G$500,3,0)</f>
        <v>C-991</v>
      </c>
      <c r="Z114" s="118" t="str">
        <f>+VLOOKUP(Agencia[[#This Row],[Filtro Integrado]],Estructura!$I$4:$K$500,3,0)</f>
        <v>FI-991</v>
      </c>
      <c r="AA114" s="118" t="str">
        <f>+VLOOKUP(Agencia[[#This Row],[Muestra]],Estructura!$M$4:$O$500,3,0)</f>
        <v>M-996</v>
      </c>
    </row>
    <row r="115" spans="1:27" ht="40.799999999999997" x14ac:dyDescent="0.3">
      <c r="A115" s="21" t="s">
        <v>511</v>
      </c>
      <c r="B115" s="24">
        <f t="shared" ref="B115:C116" si="98">+B114</f>
        <v>990</v>
      </c>
      <c r="C115" s="25" t="str">
        <f t="shared" si="98"/>
        <v>Agencia Información</v>
      </c>
      <c r="D115" s="25" t="s">
        <v>578</v>
      </c>
      <c r="E115" s="14">
        <v>0</v>
      </c>
      <c r="F115" s="10" t="s">
        <v>579</v>
      </c>
      <c r="G115" s="10" t="s">
        <v>3763</v>
      </c>
      <c r="H115" s="33" t="s">
        <v>20</v>
      </c>
      <c r="I115" s="34" t="s">
        <v>15</v>
      </c>
      <c r="J115" s="9" t="s">
        <v>16</v>
      </c>
      <c r="K115" s="9" t="s">
        <v>842</v>
      </c>
      <c r="L115" s="9" t="s">
        <v>580</v>
      </c>
      <c r="M115" s="9" t="s">
        <v>581</v>
      </c>
      <c r="N115" s="9" t="s">
        <v>582</v>
      </c>
      <c r="O115" s="20" t="str">
        <f>"Volumen de Exportaciones Frutícolas en "&amp;Agencia[[#This Row],[territorio]]&amp;", "&amp;Agencia[[#This Row],[temporalidad]]</f>
        <v>Volumen de Exportaciones Frutícolas en Chile, Periodo 2012-2020</v>
      </c>
      <c r="P115" s="20" t="s">
        <v>583</v>
      </c>
      <c r="Q115" s="11" t="s">
        <v>596</v>
      </c>
      <c r="R115" s="20" t="str">
        <f>Agencia[[#This Row],[territorio]]&amp;" fruta toneladas volumen exportaciones"</f>
        <v>Chile fruta toneladas volumen exportaciones</v>
      </c>
      <c r="S115" s="39" t="s">
        <v>818</v>
      </c>
      <c r="T115" s="68">
        <v>0</v>
      </c>
      <c r="U115" s="50" t="str">
        <f t="shared" si="88"/>
        <v>#1774B9</v>
      </c>
      <c r="V115" s="118" t="str">
        <f>+Agencia[[#This Row],[idcoleccion]]&amp;"-"&amp;Agencia[[#This Row],[id]]</f>
        <v>990-0104</v>
      </c>
      <c r="W115" s="118">
        <f>+VLOOKUP(Agencia[[#This Row],[Filtro URL]],Estructura!$X$4:$Y$500,2,0)</f>
        <v>99100000</v>
      </c>
      <c r="X115" s="118" t="str">
        <f>+VLOOKUP(Agencia[[#This Row],[tema]],Estructura!$A$4:$C$500,3,0)</f>
        <v>T-1031</v>
      </c>
      <c r="Y115" s="118" t="str">
        <f>+VLOOKUP(Agencia[[#This Row],[contenido]],Estructura!$E$4:$G$500,3,0)</f>
        <v>C-997</v>
      </c>
      <c r="Z115" s="118" t="str">
        <f>+VLOOKUP(Agencia[[#This Row],[Filtro Integrado]],Estructura!$I$4:$K$500,3,0)</f>
        <v>FI-992</v>
      </c>
      <c r="AA115" s="118" t="str">
        <f>+VLOOKUP(Agencia[[#This Row],[Muestra]],Estructura!$M$4:$O$500,3,0)</f>
        <v>M-997</v>
      </c>
    </row>
    <row r="116" spans="1:27" ht="51" x14ac:dyDescent="0.3">
      <c r="A116" s="21" t="s">
        <v>512</v>
      </c>
      <c r="B116" s="24">
        <f t="shared" si="98"/>
        <v>990</v>
      </c>
      <c r="C116" s="25" t="str">
        <f t="shared" si="98"/>
        <v>Agencia Información</v>
      </c>
      <c r="D116" s="25" t="s">
        <v>578</v>
      </c>
      <c r="E116" s="14">
        <v>0</v>
      </c>
      <c r="F116" s="10" t="s">
        <v>579</v>
      </c>
      <c r="G116" s="10" t="s">
        <v>3763</v>
      </c>
      <c r="H116" s="33" t="s">
        <v>20</v>
      </c>
      <c r="I116" s="34" t="s">
        <v>15</v>
      </c>
      <c r="J116" s="9" t="s">
        <v>404</v>
      </c>
      <c r="K116" s="9" t="s">
        <v>843</v>
      </c>
      <c r="L116" s="9" t="s">
        <v>580</v>
      </c>
      <c r="M116" s="9" t="s">
        <v>581</v>
      </c>
      <c r="N116" s="9" t="s">
        <v>582</v>
      </c>
      <c r="O116" s="20" t="str">
        <f>"Volumen acumulado de Exportaciones Frutícolas por país de destino"&amp;", "&amp;Agencia[[#This Row],[temporalidad]]</f>
        <v>Volumen acumulado de Exportaciones Frutícolas por país de destino, Periodo 2012-2020</v>
      </c>
      <c r="P116" s="20" t="s">
        <v>585</v>
      </c>
      <c r="Q116" s="11" t="s">
        <v>831</v>
      </c>
      <c r="R116" s="20" t="str">
        <f>Agencia[[#This Row],[territorio]]&amp;" fruta toneladas volumen acumulado exportaciones país destino"</f>
        <v>Chile fruta toneladas volumen acumulado exportaciones país destino</v>
      </c>
      <c r="S116" s="39" t="s">
        <v>834</v>
      </c>
      <c r="T116" s="68">
        <v>0</v>
      </c>
      <c r="U116" s="50" t="str">
        <f t="shared" si="88"/>
        <v>#1774B9</v>
      </c>
      <c r="V116" s="118" t="str">
        <f>+Agencia[[#This Row],[idcoleccion]]&amp;"-"&amp;Agencia[[#This Row],[id]]</f>
        <v>990-0105</v>
      </c>
      <c r="W116" s="118">
        <f>+VLOOKUP(Agencia[[#This Row],[Filtro URL]],Estructura!$X$4:$Y$500,2,0)</f>
        <v>99100000</v>
      </c>
      <c r="X116" s="118" t="str">
        <f>+VLOOKUP(Agencia[[#This Row],[tema]],Estructura!$A$4:$C$500,3,0)</f>
        <v>T-1031</v>
      </c>
      <c r="Y116" s="118" t="str">
        <f>+VLOOKUP(Agencia[[#This Row],[contenido]],Estructura!$E$4:$G$500,3,0)</f>
        <v>C-997</v>
      </c>
      <c r="Z116" s="118" t="str">
        <f>+VLOOKUP(Agencia[[#This Row],[Filtro Integrado]],Estructura!$I$4:$K$500,3,0)</f>
        <v>FI-993</v>
      </c>
      <c r="AA116" s="118" t="str">
        <f>+VLOOKUP(Agencia[[#This Row],[Muestra]],Estructura!$M$4:$O$500,3,0)</f>
        <v>M-998</v>
      </c>
    </row>
    <row r="117" spans="1:27" ht="36" x14ac:dyDescent="0.3">
      <c r="A117" s="21" t="s">
        <v>513</v>
      </c>
      <c r="B117" s="24">
        <f t="shared" ref="B117:C130" si="99">+B116</f>
        <v>990</v>
      </c>
      <c r="C117" s="25" t="str">
        <f t="shared" si="99"/>
        <v>Agencia Información</v>
      </c>
      <c r="D117" s="25" t="s">
        <v>462</v>
      </c>
      <c r="E117" s="14">
        <v>0</v>
      </c>
      <c r="F117" s="10" t="s">
        <v>586</v>
      </c>
      <c r="G117" s="10" t="s">
        <v>3762</v>
      </c>
      <c r="H117" s="33" t="s">
        <v>20</v>
      </c>
      <c r="I117" s="34" t="s">
        <v>15</v>
      </c>
      <c r="J117" s="9" t="s">
        <v>16</v>
      </c>
      <c r="K117" s="9" t="s">
        <v>844</v>
      </c>
      <c r="L117" s="9" t="s">
        <v>587</v>
      </c>
      <c r="M117" s="9" t="s">
        <v>588</v>
      </c>
      <c r="N117" s="9" t="s">
        <v>589</v>
      </c>
      <c r="O117" s="20" t="str">
        <f>"Sentencias Dictadas por delitos de Abuso Sexual en "&amp;Agencia[[#This Row],[territorio]]&amp;" para el "&amp;Agencia[[#This Row],[temporalidad]]</f>
        <v>Sentencias Dictadas por delitos de Abuso Sexual en Chile para el Periodo 2013-2019</v>
      </c>
      <c r="P117" s="20"/>
      <c r="Q117" s="11" t="s">
        <v>584</v>
      </c>
      <c r="R117" s="20" t="str">
        <f>Agencia[[#This Row],[territorio]]&amp;" violencia mujer abuso sexual sentencia menor juzgado"</f>
        <v>Chile violencia mujer abuso sexual sentencia menor juzgado</v>
      </c>
      <c r="S117" s="39" t="s">
        <v>1700</v>
      </c>
      <c r="T117" s="68" t="s">
        <v>855</v>
      </c>
      <c r="U117" s="50" t="str">
        <f t="shared" ref="U117:U163" si="100">+U116</f>
        <v>#1774B9</v>
      </c>
      <c r="V117" s="118" t="str">
        <f>+Agencia[[#This Row],[idcoleccion]]&amp;"-"&amp;Agencia[[#This Row],[id]]</f>
        <v>990-0106</v>
      </c>
      <c r="W117" s="118">
        <f>+VLOOKUP(Agencia[[#This Row],[Filtro URL]],Estructura!$X$4:$Y$500,2,0)</f>
        <v>99100000</v>
      </c>
      <c r="X117" s="118" t="str">
        <f>+VLOOKUP(Agencia[[#This Row],[tema]],Estructura!$A$4:$C$500,3,0)</f>
        <v>T-1032</v>
      </c>
      <c r="Y117" s="118" t="str">
        <f>+VLOOKUP(Agencia[[#This Row],[contenido]],Estructura!$E$4:$G$500,3,0)</f>
        <v>C-996</v>
      </c>
      <c r="Z117" s="118" t="str">
        <f>+VLOOKUP(Agencia[[#This Row],[Filtro Integrado]],Estructura!$I$4:$K$500,3,0)</f>
        <v>FI-992</v>
      </c>
      <c r="AA117" s="118" t="str">
        <f>+VLOOKUP(Agencia[[#This Row],[Muestra]],Estructura!$M$4:$O$500,3,0)</f>
        <v>M-999</v>
      </c>
    </row>
    <row r="118" spans="1:27" ht="57.6" x14ac:dyDescent="0.3">
      <c r="A118" s="21" t="s">
        <v>514</v>
      </c>
      <c r="B118" s="24">
        <f t="shared" si="99"/>
        <v>990</v>
      </c>
      <c r="C118" s="25" t="str">
        <f t="shared" si="99"/>
        <v>Agencia Información</v>
      </c>
      <c r="D118" s="25" t="str">
        <f t="shared" si="87"/>
        <v>Mujeres</v>
      </c>
      <c r="E118" s="19">
        <v>1</v>
      </c>
      <c r="F118" s="10" t="s">
        <v>586</v>
      </c>
      <c r="G118" s="10" t="s">
        <v>3762</v>
      </c>
      <c r="H118" s="35" t="s">
        <v>16</v>
      </c>
      <c r="I118" s="36" t="s">
        <v>368</v>
      </c>
      <c r="J118" s="9" t="s">
        <v>404</v>
      </c>
      <c r="K118" s="9" t="str">
        <f t="shared" si="94"/>
        <v>Sentencias dictadas por delito por región</v>
      </c>
      <c r="L118" s="9" t="str">
        <f t="shared" si="95"/>
        <v>Periodo 2013-2019</v>
      </c>
      <c r="M118" s="9" t="str">
        <f t="shared" si="96"/>
        <v>Número de Sentencias</v>
      </c>
      <c r="N118" s="9" t="str">
        <f t="shared" si="97"/>
        <v>Poder Judicial</v>
      </c>
      <c r="O118" s="20" t="str">
        <f>"Sentencias Dictadas por delitos de Abuso Sexual en la "&amp;Agencia[[#This Row],[territorio]]&amp;" para el "&amp;Agencia[[#This Row],[temporalidad]]</f>
        <v>Sentencias Dictadas por delitos de Abuso Sexual en la Región de Tarapacá para el Periodo 2013-2019</v>
      </c>
      <c r="P118" s="20"/>
      <c r="Q118" s="11" t="str">
        <f t="shared" ref="Q118:Q163" si="101">+Q117</f>
        <v>Gráfico</v>
      </c>
      <c r="R118" s="20" t="str">
        <f>Agencia[[#This Row],[territorio]]&amp;" violencia mujer abuso sexual sentencia menor juzgado"</f>
        <v>Región de Tarapacá violencia mujer abuso sexual sentencia menor juzgado</v>
      </c>
      <c r="S118" s="41" t="str">
        <f>HYPERLINK("https://analytics.zoho.com/open-view/2395394000007166809?ZOHO_CRITERIA=%22Localiza%20CL%22.%22Codreg%22%3D"&amp;Agencia[[#This Row],[Filtro URL]])</f>
        <v>https://analytics.zoho.com/open-view/2395394000007166809?ZOHO_CRITERIA=%22Localiza%20CL%22.%22Codreg%22%3D1</v>
      </c>
      <c r="T118" s="68" t="str">
        <f>"100-R-"&amp;Agencia[[#This Row],[Filtro URL]]</f>
        <v>100-R-1</v>
      </c>
      <c r="U118" s="50" t="str">
        <f t="shared" si="100"/>
        <v>#1774B9</v>
      </c>
      <c r="V118" s="118" t="str">
        <f>+Agencia[[#This Row],[idcoleccion]]&amp;"-"&amp;Agencia[[#This Row],[id]]</f>
        <v>990-0107</v>
      </c>
      <c r="W118" s="118">
        <f>+VLOOKUP(Agencia[[#This Row],[Filtro URL]],Estructura!$X$4:$Y$500,2,0)</f>
        <v>99200001</v>
      </c>
      <c r="X118" s="118" t="str">
        <f>+VLOOKUP(Agencia[[#This Row],[tema]],Estructura!$A$4:$C$500,3,0)</f>
        <v>T-1032</v>
      </c>
      <c r="Y118" s="118" t="str">
        <f>+VLOOKUP(Agencia[[#This Row],[contenido]],Estructura!$E$4:$G$500,3,0)</f>
        <v>C-996</v>
      </c>
      <c r="Z118" s="118" t="str">
        <f>+VLOOKUP(Agencia[[#This Row],[Filtro Integrado]],Estructura!$I$4:$K$500,3,0)</f>
        <v>FI-993</v>
      </c>
      <c r="AA118" s="118" t="str">
        <f>+VLOOKUP(Agencia[[#This Row],[Muestra]],Estructura!$M$4:$O$500,3,0)</f>
        <v>M-999</v>
      </c>
    </row>
    <row r="119" spans="1:27" ht="57.6" x14ac:dyDescent="0.3">
      <c r="A119" s="21" t="s">
        <v>515</v>
      </c>
      <c r="B119" s="24">
        <f t="shared" si="99"/>
        <v>990</v>
      </c>
      <c r="C119" s="25" t="str">
        <f t="shared" si="99"/>
        <v>Agencia Información</v>
      </c>
      <c r="D119" s="25" t="str">
        <f t="shared" si="87"/>
        <v>Mujeres</v>
      </c>
      <c r="E119" s="19">
        <v>2</v>
      </c>
      <c r="F119" s="10" t="s">
        <v>586</v>
      </c>
      <c r="G119" s="10" t="s">
        <v>3762</v>
      </c>
      <c r="H119" s="35" t="s">
        <v>16</v>
      </c>
      <c r="I119" s="36" t="s">
        <v>369</v>
      </c>
      <c r="J119" s="9" t="str">
        <f t="shared" si="93"/>
        <v>Ninguno</v>
      </c>
      <c r="K119" s="9" t="str">
        <f t="shared" si="94"/>
        <v>Sentencias dictadas por delito por región</v>
      </c>
      <c r="L119" s="9" t="str">
        <f t="shared" si="95"/>
        <v>Periodo 2013-2019</v>
      </c>
      <c r="M119" s="9" t="str">
        <f t="shared" si="96"/>
        <v>Número de Sentencias</v>
      </c>
      <c r="N119" s="9" t="str">
        <f t="shared" si="97"/>
        <v>Poder Judicial</v>
      </c>
      <c r="O119" s="20" t="str">
        <f>"Sentencias Dictadas por delitos de Abuso Sexual en la "&amp;Agencia[[#This Row],[territorio]]&amp;" para el "&amp;Agencia[[#This Row],[temporalidad]]</f>
        <v>Sentencias Dictadas por delitos de Abuso Sexual en la Región de Antofagasta para el Periodo 2013-2019</v>
      </c>
      <c r="P119" s="20"/>
      <c r="Q119" s="11" t="str">
        <f t="shared" si="101"/>
        <v>Gráfico</v>
      </c>
      <c r="R119" s="20" t="str">
        <f>Agencia[[#This Row],[territorio]]&amp;" violencia mujer abuso sexual sentencia menor juzgado"</f>
        <v>Región de Antofagasta violencia mujer abuso sexual sentencia menor juzgado</v>
      </c>
      <c r="S119" s="41" t="str">
        <f>HYPERLINK("https://analytics.zoho.com/open-view/2395394000007166809?ZOHO_CRITERIA=%22Localiza%20CL%22.%22Codreg%22%3D"&amp;Agencia[[#This Row],[Filtro URL]])</f>
        <v>https://analytics.zoho.com/open-view/2395394000007166809?ZOHO_CRITERIA=%22Localiza%20CL%22.%22Codreg%22%3D2</v>
      </c>
      <c r="T119" s="68" t="str">
        <f>"100-R-"&amp;Agencia[[#This Row],[Filtro URL]]</f>
        <v>100-R-2</v>
      </c>
      <c r="U119" s="50" t="str">
        <f t="shared" si="100"/>
        <v>#1774B9</v>
      </c>
      <c r="V119" s="118" t="str">
        <f>+Agencia[[#This Row],[idcoleccion]]&amp;"-"&amp;Agencia[[#This Row],[id]]</f>
        <v>990-0108</v>
      </c>
      <c r="W119" s="118">
        <f>+VLOOKUP(Agencia[[#This Row],[Filtro URL]],Estructura!$X$4:$Y$500,2,0)</f>
        <v>99200002</v>
      </c>
      <c r="X119" s="118" t="str">
        <f>+VLOOKUP(Agencia[[#This Row],[tema]],Estructura!$A$4:$C$500,3,0)</f>
        <v>T-1032</v>
      </c>
      <c r="Y119" s="118" t="str">
        <f>+VLOOKUP(Agencia[[#This Row],[contenido]],Estructura!$E$4:$G$500,3,0)</f>
        <v>C-996</v>
      </c>
      <c r="Z119" s="118" t="str">
        <f>+VLOOKUP(Agencia[[#This Row],[Filtro Integrado]],Estructura!$I$4:$K$500,3,0)</f>
        <v>FI-993</v>
      </c>
      <c r="AA119" s="118" t="str">
        <f>+VLOOKUP(Agencia[[#This Row],[Muestra]],Estructura!$M$4:$O$500,3,0)</f>
        <v>M-999</v>
      </c>
    </row>
    <row r="120" spans="1:27" ht="57.6" x14ac:dyDescent="0.3">
      <c r="A120" s="21" t="s">
        <v>516</v>
      </c>
      <c r="B120" s="24">
        <f t="shared" si="99"/>
        <v>990</v>
      </c>
      <c r="C120" s="25" t="str">
        <f t="shared" si="99"/>
        <v>Agencia Información</v>
      </c>
      <c r="D120" s="25" t="str">
        <f t="shared" si="87"/>
        <v>Mujeres</v>
      </c>
      <c r="E120" s="19">
        <v>3</v>
      </c>
      <c r="F120" s="10" t="s">
        <v>586</v>
      </c>
      <c r="G120" s="10" t="s">
        <v>3762</v>
      </c>
      <c r="H120" s="35" t="s">
        <v>16</v>
      </c>
      <c r="I120" s="36" t="s">
        <v>370</v>
      </c>
      <c r="J120" s="9" t="str">
        <f t="shared" si="93"/>
        <v>Ninguno</v>
      </c>
      <c r="K120" s="9" t="str">
        <f t="shared" si="94"/>
        <v>Sentencias dictadas por delito por región</v>
      </c>
      <c r="L120" s="9" t="str">
        <f t="shared" si="95"/>
        <v>Periodo 2013-2019</v>
      </c>
      <c r="M120" s="9" t="str">
        <f t="shared" si="96"/>
        <v>Número de Sentencias</v>
      </c>
      <c r="N120" s="9" t="str">
        <f t="shared" si="97"/>
        <v>Poder Judicial</v>
      </c>
      <c r="O120" s="20" t="str">
        <f>"Sentencias Dictadas por delitos de Abuso Sexual en la "&amp;Agencia[[#This Row],[territorio]]&amp;" para el "&amp;Agencia[[#This Row],[temporalidad]]</f>
        <v>Sentencias Dictadas por delitos de Abuso Sexual en la Región de Atacama para el Periodo 2013-2019</v>
      </c>
      <c r="P120" s="20"/>
      <c r="Q120" s="11" t="str">
        <f t="shared" si="101"/>
        <v>Gráfico</v>
      </c>
      <c r="R120" s="20" t="str">
        <f>Agencia[[#This Row],[territorio]]&amp;" violencia mujer abuso sexual sentencia menor juzgado"</f>
        <v>Región de Atacama violencia mujer abuso sexual sentencia menor juzgado</v>
      </c>
      <c r="S120" s="41" t="str">
        <f>HYPERLINK("https://analytics.zoho.com/open-view/2395394000007166809?ZOHO_CRITERIA=%22Localiza%20CL%22.%22Codreg%22%3D"&amp;Agencia[[#This Row],[Filtro URL]])</f>
        <v>https://analytics.zoho.com/open-view/2395394000007166809?ZOHO_CRITERIA=%22Localiza%20CL%22.%22Codreg%22%3D3</v>
      </c>
      <c r="T120" s="68" t="str">
        <f>"100-R-"&amp;Agencia[[#This Row],[Filtro URL]]</f>
        <v>100-R-3</v>
      </c>
      <c r="U120" s="50" t="str">
        <f t="shared" si="100"/>
        <v>#1774B9</v>
      </c>
      <c r="V120" s="118" t="str">
        <f>+Agencia[[#This Row],[idcoleccion]]&amp;"-"&amp;Agencia[[#This Row],[id]]</f>
        <v>990-0109</v>
      </c>
      <c r="W120" s="118">
        <f>+VLOOKUP(Agencia[[#This Row],[Filtro URL]],Estructura!$X$4:$Y$500,2,0)</f>
        <v>99200003</v>
      </c>
      <c r="X120" s="118" t="str">
        <f>+VLOOKUP(Agencia[[#This Row],[tema]],Estructura!$A$4:$C$500,3,0)</f>
        <v>T-1032</v>
      </c>
      <c r="Y120" s="118" t="str">
        <f>+VLOOKUP(Agencia[[#This Row],[contenido]],Estructura!$E$4:$G$500,3,0)</f>
        <v>C-996</v>
      </c>
      <c r="Z120" s="118" t="str">
        <f>+VLOOKUP(Agencia[[#This Row],[Filtro Integrado]],Estructura!$I$4:$K$500,3,0)</f>
        <v>FI-993</v>
      </c>
      <c r="AA120" s="118" t="str">
        <f>+VLOOKUP(Agencia[[#This Row],[Muestra]],Estructura!$M$4:$O$500,3,0)</f>
        <v>M-999</v>
      </c>
    </row>
    <row r="121" spans="1:27" ht="57.6" x14ac:dyDescent="0.3">
      <c r="A121" s="21" t="s">
        <v>517</v>
      </c>
      <c r="B121" s="24">
        <f t="shared" si="99"/>
        <v>990</v>
      </c>
      <c r="C121" s="25" t="str">
        <f t="shared" si="99"/>
        <v>Agencia Información</v>
      </c>
      <c r="D121" s="25" t="str">
        <f t="shared" si="87"/>
        <v>Mujeres</v>
      </c>
      <c r="E121" s="19">
        <v>4</v>
      </c>
      <c r="F121" s="10" t="s">
        <v>586</v>
      </c>
      <c r="G121" s="10" t="s">
        <v>3762</v>
      </c>
      <c r="H121" s="35" t="s">
        <v>16</v>
      </c>
      <c r="I121" s="36" t="s">
        <v>371</v>
      </c>
      <c r="J121" s="9" t="str">
        <f t="shared" si="93"/>
        <v>Ninguno</v>
      </c>
      <c r="K121" s="9" t="str">
        <f t="shared" si="94"/>
        <v>Sentencias dictadas por delito por región</v>
      </c>
      <c r="L121" s="9" t="str">
        <f t="shared" si="95"/>
        <v>Periodo 2013-2019</v>
      </c>
      <c r="M121" s="9" t="str">
        <f t="shared" si="96"/>
        <v>Número de Sentencias</v>
      </c>
      <c r="N121" s="9" t="str">
        <f t="shared" si="97"/>
        <v>Poder Judicial</v>
      </c>
      <c r="O121" s="20" t="str">
        <f>"Sentencias Dictadas por delitos de Abuso Sexual en la "&amp;Agencia[[#This Row],[territorio]]&amp;" para el "&amp;Agencia[[#This Row],[temporalidad]]</f>
        <v>Sentencias Dictadas por delitos de Abuso Sexual en la Región de Coquimbo para el Periodo 2013-2019</v>
      </c>
      <c r="P121" s="20"/>
      <c r="Q121" s="11" t="str">
        <f t="shared" si="101"/>
        <v>Gráfico</v>
      </c>
      <c r="R121" s="20" t="str">
        <f>Agencia[[#This Row],[territorio]]&amp;" violencia mujer abuso sexual sentencia menor juzgado"</f>
        <v>Región de Coquimbo violencia mujer abuso sexual sentencia menor juzgado</v>
      </c>
      <c r="S121" s="41" t="str">
        <f>HYPERLINK("https://analytics.zoho.com/open-view/2395394000007166809?ZOHO_CRITERIA=%22Localiza%20CL%22.%22Codreg%22%3D"&amp;Agencia[[#This Row],[Filtro URL]])</f>
        <v>https://analytics.zoho.com/open-view/2395394000007166809?ZOHO_CRITERIA=%22Localiza%20CL%22.%22Codreg%22%3D4</v>
      </c>
      <c r="T121" s="68" t="str">
        <f>"100-R-"&amp;Agencia[[#This Row],[Filtro URL]]</f>
        <v>100-R-4</v>
      </c>
      <c r="U121" s="50" t="str">
        <f t="shared" si="100"/>
        <v>#1774B9</v>
      </c>
      <c r="V121" s="118" t="str">
        <f>+Agencia[[#This Row],[idcoleccion]]&amp;"-"&amp;Agencia[[#This Row],[id]]</f>
        <v>990-0110</v>
      </c>
      <c r="W121" s="118">
        <f>+VLOOKUP(Agencia[[#This Row],[Filtro URL]],Estructura!$X$4:$Y$500,2,0)</f>
        <v>99200004</v>
      </c>
      <c r="X121" s="118" t="str">
        <f>+VLOOKUP(Agencia[[#This Row],[tema]],Estructura!$A$4:$C$500,3,0)</f>
        <v>T-1032</v>
      </c>
      <c r="Y121" s="118" t="str">
        <f>+VLOOKUP(Agencia[[#This Row],[contenido]],Estructura!$E$4:$G$500,3,0)</f>
        <v>C-996</v>
      </c>
      <c r="Z121" s="118" t="str">
        <f>+VLOOKUP(Agencia[[#This Row],[Filtro Integrado]],Estructura!$I$4:$K$500,3,0)</f>
        <v>FI-993</v>
      </c>
      <c r="AA121" s="118" t="str">
        <f>+VLOOKUP(Agencia[[#This Row],[Muestra]],Estructura!$M$4:$O$500,3,0)</f>
        <v>M-999</v>
      </c>
    </row>
    <row r="122" spans="1:27" ht="57.6" x14ac:dyDescent="0.3">
      <c r="A122" s="21" t="s">
        <v>518</v>
      </c>
      <c r="B122" s="24">
        <f t="shared" si="99"/>
        <v>990</v>
      </c>
      <c r="C122" s="25" t="str">
        <f t="shared" si="99"/>
        <v>Agencia Información</v>
      </c>
      <c r="D122" s="25" t="str">
        <f t="shared" si="87"/>
        <v>Mujeres</v>
      </c>
      <c r="E122" s="19">
        <v>5</v>
      </c>
      <c r="F122" s="10" t="s">
        <v>586</v>
      </c>
      <c r="G122" s="10" t="s">
        <v>3762</v>
      </c>
      <c r="H122" s="35" t="s">
        <v>16</v>
      </c>
      <c r="I122" s="36" t="s">
        <v>372</v>
      </c>
      <c r="J122" s="9" t="str">
        <f t="shared" si="93"/>
        <v>Ninguno</v>
      </c>
      <c r="K122" s="9" t="str">
        <f t="shared" si="94"/>
        <v>Sentencias dictadas por delito por región</v>
      </c>
      <c r="L122" s="9" t="str">
        <f t="shared" si="95"/>
        <v>Periodo 2013-2019</v>
      </c>
      <c r="M122" s="9" t="str">
        <f t="shared" si="96"/>
        <v>Número de Sentencias</v>
      </c>
      <c r="N122" s="9" t="str">
        <f t="shared" si="97"/>
        <v>Poder Judicial</v>
      </c>
      <c r="O122" s="20" t="str">
        <f>"Sentencias Dictadas por delitos de Abuso Sexual en la "&amp;Agencia[[#This Row],[territorio]]&amp;" para el "&amp;Agencia[[#This Row],[temporalidad]]</f>
        <v>Sentencias Dictadas por delitos de Abuso Sexual en la Región de Valparaíso para el Periodo 2013-2019</v>
      </c>
      <c r="P122" s="20"/>
      <c r="Q122" s="11" t="str">
        <f t="shared" si="101"/>
        <v>Gráfico</v>
      </c>
      <c r="R122" s="20" t="str">
        <f>Agencia[[#This Row],[territorio]]&amp;" violencia mujer abuso sexual sentencia menor juzgado"</f>
        <v>Región de Valparaíso violencia mujer abuso sexual sentencia menor juzgado</v>
      </c>
      <c r="S122" s="41" t="str">
        <f>HYPERLINK("https://analytics.zoho.com/open-view/2395394000007166809?ZOHO_CRITERIA=%22Localiza%20CL%22.%22Codreg%22%3D"&amp;Agencia[[#This Row],[Filtro URL]])</f>
        <v>https://analytics.zoho.com/open-view/2395394000007166809?ZOHO_CRITERIA=%22Localiza%20CL%22.%22Codreg%22%3D5</v>
      </c>
      <c r="T122" s="68" t="str">
        <f>"100-R-"&amp;Agencia[[#This Row],[Filtro URL]]</f>
        <v>100-R-5</v>
      </c>
      <c r="U122" s="50" t="str">
        <f t="shared" si="100"/>
        <v>#1774B9</v>
      </c>
      <c r="V122" s="118" t="str">
        <f>+Agencia[[#This Row],[idcoleccion]]&amp;"-"&amp;Agencia[[#This Row],[id]]</f>
        <v>990-0111</v>
      </c>
      <c r="W122" s="118">
        <f>+VLOOKUP(Agencia[[#This Row],[Filtro URL]],Estructura!$X$4:$Y$500,2,0)</f>
        <v>99200005</v>
      </c>
      <c r="X122" s="118" t="str">
        <f>+VLOOKUP(Agencia[[#This Row],[tema]],Estructura!$A$4:$C$500,3,0)</f>
        <v>T-1032</v>
      </c>
      <c r="Y122" s="118" t="str">
        <f>+VLOOKUP(Agencia[[#This Row],[contenido]],Estructura!$E$4:$G$500,3,0)</f>
        <v>C-996</v>
      </c>
      <c r="Z122" s="118" t="str">
        <f>+VLOOKUP(Agencia[[#This Row],[Filtro Integrado]],Estructura!$I$4:$K$500,3,0)</f>
        <v>FI-993</v>
      </c>
      <c r="AA122" s="118" t="str">
        <f>+VLOOKUP(Agencia[[#This Row],[Muestra]],Estructura!$M$4:$O$500,3,0)</f>
        <v>M-999</v>
      </c>
    </row>
    <row r="123" spans="1:27" ht="57.6" x14ac:dyDescent="0.3">
      <c r="A123" s="21" t="s">
        <v>519</v>
      </c>
      <c r="B123" s="24">
        <f t="shared" si="99"/>
        <v>990</v>
      </c>
      <c r="C123" s="25" t="str">
        <f t="shared" si="99"/>
        <v>Agencia Información</v>
      </c>
      <c r="D123" s="25" t="str">
        <f t="shared" si="87"/>
        <v>Mujeres</v>
      </c>
      <c r="E123" s="19">
        <v>6</v>
      </c>
      <c r="F123" s="10" t="s">
        <v>586</v>
      </c>
      <c r="G123" s="10" t="s">
        <v>3762</v>
      </c>
      <c r="H123" s="35" t="s">
        <v>16</v>
      </c>
      <c r="I123" s="36" t="s">
        <v>373</v>
      </c>
      <c r="J123" s="9" t="str">
        <f t="shared" si="93"/>
        <v>Ninguno</v>
      </c>
      <c r="K123" s="9" t="str">
        <f t="shared" si="94"/>
        <v>Sentencias dictadas por delito por región</v>
      </c>
      <c r="L123" s="9" t="str">
        <f t="shared" si="95"/>
        <v>Periodo 2013-2019</v>
      </c>
      <c r="M123" s="9" t="str">
        <f t="shared" si="96"/>
        <v>Número de Sentencias</v>
      </c>
      <c r="N123" s="9" t="str">
        <f t="shared" si="97"/>
        <v>Poder Judicial</v>
      </c>
      <c r="O123" s="20" t="str">
        <f>"Sentencias Dictadas por delitos de Abuso Sexual en la "&amp;Agencia[[#This Row],[territorio]]&amp;" para el "&amp;Agencia[[#This Row],[temporalidad]]</f>
        <v>Sentencias Dictadas por delitos de Abuso Sexual en la Región de O'Higgins para el Periodo 2013-2019</v>
      </c>
      <c r="P123" s="20"/>
      <c r="Q123" s="11" t="str">
        <f t="shared" si="101"/>
        <v>Gráfico</v>
      </c>
      <c r="R123" s="20" t="str">
        <f>Agencia[[#This Row],[territorio]]&amp;" violencia mujer abuso sexual sentencia menor juzgado"</f>
        <v>Región de O'Higgins violencia mujer abuso sexual sentencia menor juzgado</v>
      </c>
      <c r="S123" s="41" t="str">
        <f>HYPERLINK("https://analytics.zoho.com/open-view/2395394000007166809?ZOHO_CRITERIA=%22Localiza%20CL%22.%22Codreg%22%3D"&amp;Agencia[[#This Row],[Filtro URL]])</f>
        <v>https://analytics.zoho.com/open-view/2395394000007166809?ZOHO_CRITERIA=%22Localiza%20CL%22.%22Codreg%22%3D6</v>
      </c>
      <c r="T123" s="68" t="str">
        <f>"100-R-"&amp;Agencia[[#This Row],[Filtro URL]]</f>
        <v>100-R-6</v>
      </c>
      <c r="U123" s="50" t="str">
        <f t="shared" si="100"/>
        <v>#1774B9</v>
      </c>
      <c r="V123" s="118" t="str">
        <f>+Agencia[[#This Row],[idcoleccion]]&amp;"-"&amp;Agencia[[#This Row],[id]]</f>
        <v>990-0112</v>
      </c>
      <c r="W123" s="118">
        <f>+VLOOKUP(Agencia[[#This Row],[Filtro URL]],Estructura!$X$4:$Y$500,2,0)</f>
        <v>99200006</v>
      </c>
      <c r="X123" s="118" t="str">
        <f>+VLOOKUP(Agencia[[#This Row],[tema]],Estructura!$A$4:$C$500,3,0)</f>
        <v>T-1032</v>
      </c>
      <c r="Y123" s="118" t="str">
        <f>+VLOOKUP(Agencia[[#This Row],[contenido]],Estructura!$E$4:$G$500,3,0)</f>
        <v>C-996</v>
      </c>
      <c r="Z123" s="118" t="str">
        <f>+VLOOKUP(Agencia[[#This Row],[Filtro Integrado]],Estructura!$I$4:$K$500,3,0)</f>
        <v>FI-993</v>
      </c>
      <c r="AA123" s="118" t="str">
        <f>+VLOOKUP(Agencia[[#This Row],[Muestra]],Estructura!$M$4:$O$500,3,0)</f>
        <v>M-999</v>
      </c>
    </row>
    <row r="124" spans="1:27" ht="57.6" x14ac:dyDescent="0.3">
      <c r="A124" s="21" t="s">
        <v>520</v>
      </c>
      <c r="B124" s="24">
        <f t="shared" si="99"/>
        <v>990</v>
      </c>
      <c r="C124" s="25" t="str">
        <f t="shared" si="99"/>
        <v>Agencia Información</v>
      </c>
      <c r="D124" s="25" t="str">
        <f t="shared" si="87"/>
        <v>Mujeres</v>
      </c>
      <c r="E124" s="19">
        <v>7</v>
      </c>
      <c r="F124" s="10" t="s">
        <v>586</v>
      </c>
      <c r="G124" s="10" t="s">
        <v>3762</v>
      </c>
      <c r="H124" s="35" t="s">
        <v>16</v>
      </c>
      <c r="I124" s="36" t="s">
        <v>374</v>
      </c>
      <c r="J124" s="9" t="str">
        <f t="shared" si="93"/>
        <v>Ninguno</v>
      </c>
      <c r="K124" s="9" t="str">
        <f t="shared" si="94"/>
        <v>Sentencias dictadas por delito por región</v>
      </c>
      <c r="L124" s="9" t="str">
        <f t="shared" si="95"/>
        <v>Periodo 2013-2019</v>
      </c>
      <c r="M124" s="9" t="str">
        <f t="shared" si="96"/>
        <v>Número de Sentencias</v>
      </c>
      <c r="N124" s="9" t="str">
        <f t="shared" si="97"/>
        <v>Poder Judicial</v>
      </c>
      <c r="O124" s="20" t="str">
        <f>"Sentencias Dictadas por delitos de Abuso Sexual en la "&amp;Agencia[[#This Row],[territorio]]&amp;" para el "&amp;Agencia[[#This Row],[temporalidad]]</f>
        <v>Sentencias Dictadas por delitos de Abuso Sexual en la Región de Maule para el Periodo 2013-2019</v>
      </c>
      <c r="P124" s="20"/>
      <c r="Q124" s="11" t="str">
        <f t="shared" si="101"/>
        <v>Gráfico</v>
      </c>
      <c r="R124" s="20" t="str">
        <f>Agencia[[#This Row],[territorio]]&amp;" violencia mujer abuso sexual sentencia menor juzgado"</f>
        <v>Región de Maule violencia mujer abuso sexual sentencia menor juzgado</v>
      </c>
      <c r="S124" s="41" t="str">
        <f>HYPERLINK("https://analytics.zoho.com/open-view/2395394000007166809?ZOHO_CRITERIA=%22Localiza%20CL%22.%22Codreg%22%3D"&amp;Agencia[[#This Row],[Filtro URL]])</f>
        <v>https://analytics.zoho.com/open-view/2395394000007166809?ZOHO_CRITERIA=%22Localiza%20CL%22.%22Codreg%22%3D7</v>
      </c>
      <c r="T124" s="68" t="str">
        <f>"100-R-"&amp;Agencia[[#This Row],[Filtro URL]]</f>
        <v>100-R-7</v>
      </c>
      <c r="U124" s="50" t="str">
        <f t="shared" si="100"/>
        <v>#1774B9</v>
      </c>
      <c r="V124" s="118" t="str">
        <f>+Agencia[[#This Row],[idcoleccion]]&amp;"-"&amp;Agencia[[#This Row],[id]]</f>
        <v>990-0113</v>
      </c>
      <c r="W124" s="118">
        <f>+VLOOKUP(Agencia[[#This Row],[Filtro URL]],Estructura!$X$4:$Y$500,2,0)</f>
        <v>99200007</v>
      </c>
      <c r="X124" s="118" t="str">
        <f>+VLOOKUP(Agencia[[#This Row],[tema]],Estructura!$A$4:$C$500,3,0)</f>
        <v>T-1032</v>
      </c>
      <c r="Y124" s="118" t="str">
        <f>+VLOOKUP(Agencia[[#This Row],[contenido]],Estructura!$E$4:$G$500,3,0)</f>
        <v>C-996</v>
      </c>
      <c r="Z124" s="118" t="str">
        <f>+VLOOKUP(Agencia[[#This Row],[Filtro Integrado]],Estructura!$I$4:$K$500,3,0)</f>
        <v>FI-993</v>
      </c>
      <c r="AA124" s="118" t="str">
        <f>+VLOOKUP(Agencia[[#This Row],[Muestra]],Estructura!$M$4:$O$500,3,0)</f>
        <v>M-999</v>
      </c>
    </row>
    <row r="125" spans="1:27" ht="57.6" x14ac:dyDescent="0.3">
      <c r="A125" s="21" t="s">
        <v>521</v>
      </c>
      <c r="B125" s="24">
        <f t="shared" si="99"/>
        <v>990</v>
      </c>
      <c r="C125" s="25" t="str">
        <f t="shared" si="99"/>
        <v>Agencia Información</v>
      </c>
      <c r="D125" s="25" t="str">
        <f t="shared" si="87"/>
        <v>Mujeres</v>
      </c>
      <c r="E125" s="19">
        <v>8</v>
      </c>
      <c r="F125" s="10" t="s">
        <v>586</v>
      </c>
      <c r="G125" s="10" t="s">
        <v>3762</v>
      </c>
      <c r="H125" s="35" t="s">
        <v>16</v>
      </c>
      <c r="I125" s="36" t="s">
        <v>375</v>
      </c>
      <c r="J125" s="9" t="str">
        <f t="shared" si="93"/>
        <v>Ninguno</v>
      </c>
      <c r="K125" s="9" t="str">
        <f t="shared" si="94"/>
        <v>Sentencias dictadas por delito por región</v>
      </c>
      <c r="L125" s="9" t="str">
        <f t="shared" si="95"/>
        <v>Periodo 2013-2019</v>
      </c>
      <c r="M125" s="9" t="str">
        <f t="shared" si="96"/>
        <v>Número de Sentencias</v>
      </c>
      <c r="N125" s="9" t="str">
        <f t="shared" si="97"/>
        <v>Poder Judicial</v>
      </c>
      <c r="O125" s="20" t="str">
        <f>"Sentencias Dictadas por delitos de Abuso Sexual en la "&amp;Agencia[[#This Row],[territorio]]&amp;" para el "&amp;Agencia[[#This Row],[temporalidad]]</f>
        <v>Sentencias Dictadas por delitos de Abuso Sexual en la Región del Biobío para el Periodo 2013-2019</v>
      </c>
      <c r="P125" s="20"/>
      <c r="Q125" s="11" t="str">
        <f t="shared" si="101"/>
        <v>Gráfico</v>
      </c>
      <c r="R125" s="20" t="str">
        <f>Agencia[[#This Row],[territorio]]&amp;" violencia mujer abuso sexual sentencia menor juzgado"</f>
        <v>Región del Biobío violencia mujer abuso sexual sentencia menor juzgado</v>
      </c>
      <c r="S125" s="41" t="str">
        <f>HYPERLINK("https://analytics.zoho.com/open-view/2395394000007166809?ZOHO_CRITERIA=%22Localiza%20CL%22.%22Codreg%22%3D"&amp;Agencia[[#This Row],[Filtro URL]])</f>
        <v>https://analytics.zoho.com/open-view/2395394000007166809?ZOHO_CRITERIA=%22Localiza%20CL%22.%22Codreg%22%3D8</v>
      </c>
      <c r="T125" s="68" t="str">
        <f>"100-R-"&amp;Agencia[[#This Row],[Filtro URL]]</f>
        <v>100-R-8</v>
      </c>
      <c r="U125" s="50" t="str">
        <f t="shared" si="100"/>
        <v>#1774B9</v>
      </c>
      <c r="V125" s="118" t="str">
        <f>+Agencia[[#This Row],[idcoleccion]]&amp;"-"&amp;Agencia[[#This Row],[id]]</f>
        <v>990-0114</v>
      </c>
      <c r="W125" s="118">
        <f>+VLOOKUP(Agencia[[#This Row],[Filtro URL]],Estructura!$X$4:$Y$500,2,0)</f>
        <v>99200008</v>
      </c>
      <c r="X125" s="118" t="str">
        <f>+VLOOKUP(Agencia[[#This Row],[tema]],Estructura!$A$4:$C$500,3,0)</f>
        <v>T-1032</v>
      </c>
      <c r="Y125" s="118" t="str">
        <f>+VLOOKUP(Agencia[[#This Row],[contenido]],Estructura!$E$4:$G$500,3,0)</f>
        <v>C-996</v>
      </c>
      <c r="Z125" s="118" t="str">
        <f>+VLOOKUP(Agencia[[#This Row],[Filtro Integrado]],Estructura!$I$4:$K$500,3,0)</f>
        <v>FI-993</v>
      </c>
      <c r="AA125" s="118" t="str">
        <f>+VLOOKUP(Agencia[[#This Row],[Muestra]],Estructura!$M$4:$O$500,3,0)</f>
        <v>M-999</v>
      </c>
    </row>
    <row r="126" spans="1:27" ht="57.6" x14ac:dyDescent="0.3">
      <c r="A126" s="21" t="s">
        <v>522</v>
      </c>
      <c r="B126" s="24">
        <f t="shared" si="99"/>
        <v>990</v>
      </c>
      <c r="C126" s="25" t="str">
        <f t="shared" si="99"/>
        <v>Agencia Información</v>
      </c>
      <c r="D126" s="25" t="str">
        <f t="shared" si="87"/>
        <v>Mujeres</v>
      </c>
      <c r="E126" s="19">
        <v>9</v>
      </c>
      <c r="F126" s="10" t="s">
        <v>586</v>
      </c>
      <c r="G126" s="10" t="s">
        <v>3762</v>
      </c>
      <c r="H126" s="35" t="s">
        <v>16</v>
      </c>
      <c r="I126" s="36" t="s">
        <v>376</v>
      </c>
      <c r="J126" s="9" t="str">
        <f t="shared" si="93"/>
        <v>Ninguno</v>
      </c>
      <c r="K126" s="9" t="str">
        <f t="shared" si="94"/>
        <v>Sentencias dictadas por delito por región</v>
      </c>
      <c r="L126" s="9" t="str">
        <f t="shared" si="95"/>
        <v>Periodo 2013-2019</v>
      </c>
      <c r="M126" s="9" t="str">
        <f t="shared" si="96"/>
        <v>Número de Sentencias</v>
      </c>
      <c r="N126" s="9" t="str">
        <f t="shared" si="97"/>
        <v>Poder Judicial</v>
      </c>
      <c r="O126" s="20" t="str">
        <f>"Sentencias Dictadas por delitos de Abuso Sexual en la "&amp;Agencia[[#This Row],[territorio]]&amp;" para el "&amp;Agencia[[#This Row],[temporalidad]]</f>
        <v>Sentencias Dictadas por delitos de Abuso Sexual en la Región de La Araucanía para el Periodo 2013-2019</v>
      </c>
      <c r="P126" s="20"/>
      <c r="Q126" s="11" t="str">
        <f t="shared" si="101"/>
        <v>Gráfico</v>
      </c>
      <c r="R126" s="20" t="str">
        <f>Agencia[[#This Row],[territorio]]&amp;" violencia mujer abuso sexual sentencia menor juzgado"</f>
        <v>Región de La Araucanía violencia mujer abuso sexual sentencia menor juzgado</v>
      </c>
      <c r="S126" s="41" t="str">
        <f>HYPERLINK("https://analytics.zoho.com/open-view/2395394000007166809?ZOHO_CRITERIA=%22Localiza%20CL%22.%22Codreg%22%3D"&amp;Agencia[[#This Row],[Filtro URL]])</f>
        <v>https://analytics.zoho.com/open-view/2395394000007166809?ZOHO_CRITERIA=%22Localiza%20CL%22.%22Codreg%22%3D9</v>
      </c>
      <c r="T126" s="68" t="str">
        <f>"100-R-"&amp;Agencia[[#This Row],[Filtro URL]]</f>
        <v>100-R-9</v>
      </c>
      <c r="U126" s="50" t="str">
        <f t="shared" si="100"/>
        <v>#1774B9</v>
      </c>
      <c r="V126" s="118" t="str">
        <f>+Agencia[[#This Row],[idcoleccion]]&amp;"-"&amp;Agencia[[#This Row],[id]]</f>
        <v>990-0115</v>
      </c>
      <c r="W126" s="118">
        <f>+VLOOKUP(Agencia[[#This Row],[Filtro URL]],Estructura!$X$4:$Y$500,2,0)</f>
        <v>99200009</v>
      </c>
      <c r="X126" s="118" t="str">
        <f>+VLOOKUP(Agencia[[#This Row],[tema]],Estructura!$A$4:$C$500,3,0)</f>
        <v>T-1032</v>
      </c>
      <c r="Y126" s="118" t="str">
        <f>+VLOOKUP(Agencia[[#This Row],[contenido]],Estructura!$E$4:$G$500,3,0)</f>
        <v>C-996</v>
      </c>
      <c r="Z126" s="118" t="str">
        <f>+VLOOKUP(Agencia[[#This Row],[Filtro Integrado]],Estructura!$I$4:$K$500,3,0)</f>
        <v>FI-993</v>
      </c>
      <c r="AA126" s="118" t="str">
        <f>+VLOOKUP(Agencia[[#This Row],[Muestra]],Estructura!$M$4:$O$500,3,0)</f>
        <v>M-999</v>
      </c>
    </row>
    <row r="127" spans="1:27" ht="57.6" x14ac:dyDescent="0.3">
      <c r="A127" s="21" t="s">
        <v>523</v>
      </c>
      <c r="B127" s="24">
        <f t="shared" si="99"/>
        <v>990</v>
      </c>
      <c r="C127" s="25" t="str">
        <f t="shared" si="99"/>
        <v>Agencia Información</v>
      </c>
      <c r="D127" s="25" t="str">
        <f t="shared" si="87"/>
        <v>Mujeres</v>
      </c>
      <c r="E127" s="19">
        <v>10</v>
      </c>
      <c r="F127" s="10" t="s">
        <v>586</v>
      </c>
      <c r="G127" s="10" t="s">
        <v>3762</v>
      </c>
      <c r="H127" s="35" t="s">
        <v>16</v>
      </c>
      <c r="I127" s="36" t="s">
        <v>377</v>
      </c>
      <c r="J127" s="9" t="str">
        <f t="shared" si="93"/>
        <v>Ninguno</v>
      </c>
      <c r="K127" s="9" t="str">
        <f t="shared" si="94"/>
        <v>Sentencias dictadas por delito por región</v>
      </c>
      <c r="L127" s="9" t="str">
        <f t="shared" si="95"/>
        <v>Periodo 2013-2019</v>
      </c>
      <c r="M127" s="9" t="str">
        <f t="shared" si="96"/>
        <v>Número de Sentencias</v>
      </c>
      <c r="N127" s="9" t="str">
        <f t="shared" si="97"/>
        <v>Poder Judicial</v>
      </c>
      <c r="O127" s="20" t="str">
        <f>"Sentencias Dictadas por delitos de Abuso Sexual en la "&amp;Agencia[[#This Row],[territorio]]&amp;" para el "&amp;Agencia[[#This Row],[temporalidad]]</f>
        <v>Sentencias Dictadas por delitos de Abuso Sexual en la Región de Los Lagos para el Periodo 2013-2019</v>
      </c>
      <c r="P127" s="20"/>
      <c r="Q127" s="11" t="str">
        <f t="shared" si="101"/>
        <v>Gráfico</v>
      </c>
      <c r="R127" s="20" t="str">
        <f>Agencia[[#This Row],[territorio]]&amp;" violencia mujer abuso sexual sentencia menor juzgado"</f>
        <v>Región de Los Lagos violencia mujer abuso sexual sentencia menor juzgado</v>
      </c>
      <c r="S127" s="41" t="str">
        <f>HYPERLINK("https://analytics.zoho.com/open-view/2395394000007166809?ZOHO_CRITERIA=%22Localiza%20CL%22.%22Codreg%22%3D"&amp;Agencia[[#This Row],[Filtro URL]])</f>
        <v>https://analytics.zoho.com/open-view/2395394000007166809?ZOHO_CRITERIA=%22Localiza%20CL%22.%22Codreg%22%3D10</v>
      </c>
      <c r="T127" s="68" t="str">
        <f>"100-R-"&amp;Agencia[[#This Row],[Filtro URL]]</f>
        <v>100-R-10</v>
      </c>
      <c r="U127" s="50" t="str">
        <f t="shared" si="100"/>
        <v>#1774B9</v>
      </c>
      <c r="V127" s="118" t="str">
        <f>+Agencia[[#This Row],[idcoleccion]]&amp;"-"&amp;Agencia[[#This Row],[id]]</f>
        <v>990-0116</v>
      </c>
      <c r="W127" s="118">
        <f>+VLOOKUP(Agencia[[#This Row],[Filtro URL]],Estructura!$X$4:$Y$500,2,0)</f>
        <v>99200010</v>
      </c>
      <c r="X127" s="118" t="str">
        <f>+VLOOKUP(Agencia[[#This Row],[tema]],Estructura!$A$4:$C$500,3,0)</f>
        <v>T-1032</v>
      </c>
      <c r="Y127" s="118" t="str">
        <f>+VLOOKUP(Agencia[[#This Row],[contenido]],Estructura!$E$4:$G$500,3,0)</f>
        <v>C-996</v>
      </c>
      <c r="Z127" s="118" t="str">
        <f>+VLOOKUP(Agencia[[#This Row],[Filtro Integrado]],Estructura!$I$4:$K$500,3,0)</f>
        <v>FI-993</v>
      </c>
      <c r="AA127" s="118" t="str">
        <f>+VLOOKUP(Agencia[[#This Row],[Muestra]],Estructura!$M$4:$O$500,3,0)</f>
        <v>M-999</v>
      </c>
    </row>
    <row r="128" spans="1:27" ht="57.6" x14ac:dyDescent="0.3">
      <c r="A128" s="21" t="s">
        <v>524</v>
      </c>
      <c r="B128" s="24">
        <f t="shared" si="99"/>
        <v>990</v>
      </c>
      <c r="C128" s="25" t="str">
        <f t="shared" si="99"/>
        <v>Agencia Información</v>
      </c>
      <c r="D128" s="25" t="str">
        <f t="shared" si="87"/>
        <v>Mujeres</v>
      </c>
      <c r="E128" s="19">
        <v>11</v>
      </c>
      <c r="F128" s="10" t="s">
        <v>586</v>
      </c>
      <c r="G128" s="10" t="s">
        <v>3762</v>
      </c>
      <c r="H128" s="35" t="s">
        <v>16</v>
      </c>
      <c r="I128" s="36" t="s">
        <v>378</v>
      </c>
      <c r="J128" s="9" t="str">
        <f t="shared" si="93"/>
        <v>Ninguno</v>
      </c>
      <c r="K128" s="9" t="str">
        <f t="shared" si="94"/>
        <v>Sentencias dictadas por delito por región</v>
      </c>
      <c r="L128" s="9" t="str">
        <f t="shared" si="95"/>
        <v>Periodo 2013-2019</v>
      </c>
      <c r="M128" s="9" t="str">
        <f t="shared" si="96"/>
        <v>Número de Sentencias</v>
      </c>
      <c r="N128" s="9" t="str">
        <f t="shared" si="97"/>
        <v>Poder Judicial</v>
      </c>
      <c r="O128" s="20" t="str">
        <f>"Sentencias Dictadas por delitos de Abuso Sexual en la "&amp;Agencia[[#This Row],[territorio]]&amp;" para el "&amp;Agencia[[#This Row],[temporalidad]]</f>
        <v>Sentencias Dictadas por delitos de Abuso Sexual en la Región de Aysén para el Periodo 2013-2019</v>
      </c>
      <c r="P128" s="20"/>
      <c r="Q128" s="11" t="str">
        <f t="shared" si="101"/>
        <v>Gráfico</v>
      </c>
      <c r="R128" s="20" t="str">
        <f>Agencia[[#This Row],[territorio]]&amp;" violencia mujer abuso sexual sentencia menor juzgado"</f>
        <v>Región de Aysén violencia mujer abuso sexual sentencia menor juzgado</v>
      </c>
      <c r="S128" s="41" t="str">
        <f>HYPERLINK("https://analytics.zoho.com/open-view/2395394000007166809?ZOHO_CRITERIA=%22Localiza%20CL%22.%22Codreg%22%3D"&amp;Agencia[[#This Row],[Filtro URL]])</f>
        <v>https://analytics.zoho.com/open-view/2395394000007166809?ZOHO_CRITERIA=%22Localiza%20CL%22.%22Codreg%22%3D11</v>
      </c>
      <c r="T128" s="68" t="str">
        <f>"100-R-"&amp;Agencia[[#This Row],[Filtro URL]]</f>
        <v>100-R-11</v>
      </c>
      <c r="U128" s="50" t="str">
        <f t="shared" si="100"/>
        <v>#1774B9</v>
      </c>
      <c r="V128" s="118" t="str">
        <f>+Agencia[[#This Row],[idcoleccion]]&amp;"-"&amp;Agencia[[#This Row],[id]]</f>
        <v>990-0117</v>
      </c>
      <c r="W128" s="118">
        <f>+VLOOKUP(Agencia[[#This Row],[Filtro URL]],Estructura!$X$4:$Y$500,2,0)</f>
        <v>99200011</v>
      </c>
      <c r="X128" s="118" t="str">
        <f>+VLOOKUP(Agencia[[#This Row],[tema]],Estructura!$A$4:$C$500,3,0)</f>
        <v>T-1032</v>
      </c>
      <c r="Y128" s="118" t="str">
        <f>+VLOOKUP(Agencia[[#This Row],[contenido]],Estructura!$E$4:$G$500,3,0)</f>
        <v>C-996</v>
      </c>
      <c r="Z128" s="118" t="str">
        <f>+VLOOKUP(Agencia[[#This Row],[Filtro Integrado]],Estructura!$I$4:$K$500,3,0)</f>
        <v>FI-993</v>
      </c>
      <c r="AA128" s="118" t="str">
        <f>+VLOOKUP(Agencia[[#This Row],[Muestra]],Estructura!$M$4:$O$500,3,0)</f>
        <v>M-999</v>
      </c>
    </row>
    <row r="129" spans="1:27" ht="57.6" x14ac:dyDescent="0.3">
      <c r="A129" s="21" t="s">
        <v>525</v>
      </c>
      <c r="B129" s="24">
        <f t="shared" si="99"/>
        <v>990</v>
      </c>
      <c r="C129" s="25" t="str">
        <f t="shared" si="99"/>
        <v>Agencia Información</v>
      </c>
      <c r="D129" s="25" t="str">
        <f t="shared" si="87"/>
        <v>Mujeres</v>
      </c>
      <c r="E129" s="19">
        <v>12</v>
      </c>
      <c r="F129" s="10" t="s">
        <v>586</v>
      </c>
      <c r="G129" s="10" t="s">
        <v>3762</v>
      </c>
      <c r="H129" s="35" t="s">
        <v>16</v>
      </c>
      <c r="I129" s="36" t="s">
        <v>379</v>
      </c>
      <c r="J129" s="9" t="str">
        <f t="shared" si="93"/>
        <v>Ninguno</v>
      </c>
      <c r="K129" s="9" t="str">
        <f t="shared" si="94"/>
        <v>Sentencias dictadas por delito por región</v>
      </c>
      <c r="L129" s="9" t="str">
        <f t="shared" si="95"/>
        <v>Periodo 2013-2019</v>
      </c>
      <c r="M129" s="9" t="str">
        <f t="shared" si="96"/>
        <v>Número de Sentencias</v>
      </c>
      <c r="N129" s="9" t="str">
        <f t="shared" si="97"/>
        <v>Poder Judicial</v>
      </c>
      <c r="O129" s="20" t="str">
        <f>"Sentencias Dictadas por delitos de Abuso Sexual en la "&amp;Agencia[[#This Row],[territorio]]&amp;" para el "&amp;Agencia[[#This Row],[temporalidad]]</f>
        <v>Sentencias Dictadas por delitos de Abuso Sexual en la Región de Magallanes para el Periodo 2013-2019</v>
      </c>
      <c r="P129" s="20"/>
      <c r="Q129" s="11" t="str">
        <f t="shared" si="101"/>
        <v>Gráfico</v>
      </c>
      <c r="R129" s="20" t="str">
        <f>Agencia[[#This Row],[territorio]]&amp;" violencia mujer abuso sexual sentencia menor juzgado"</f>
        <v>Región de Magallanes violencia mujer abuso sexual sentencia menor juzgado</v>
      </c>
      <c r="S129" s="41" t="str">
        <f>HYPERLINK("https://analytics.zoho.com/open-view/2395394000007166809?ZOHO_CRITERIA=%22Localiza%20CL%22.%22Codreg%22%3D"&amp;Agencia[[#This Row],[Filtro URL]])</f>
        <v>https://analytics.zoho.com/open-view/2395394000007166809?ZOHO_CRITERIA=%22Localiza%20CL%22.%22Codreg%22%3D12</v>
      </c>
      <c r="T129" s="68" t="str">
        <f>"100-R-"&amp;Agencia[[#This Row],[Filtro URL]]</f>
        <v>100-R-12</v>
      </c>
      <c r="U129" s="50" t="str">
        <f t="shared" si="100"/>
        <v>#1774B9</v>
      </c>
      <c r="V129" s="118" t="str">
        <f>+Agencia[[#This Row],[idcoleccion]]&amp;"-"&amp;Agencia[[#This Row],[id]]</f>
        <v>990-0118</v>
      </c>
      <c r="W129" s="118">
        <f>+VLOOKUP(Agencia[[#This Row],[Filtro URL]],Estructura!$X$4:$Y$500,2,0)</f>
        <v>99200012</v>
      </c>
      <c r="X129" s="118" t="str">
        <f>+VLOOKUP(Agencia[[#This Row],[tema]],Estructura!$A$4:$C$500,3,0)</f>
        <v>T-1032</v>
      </c>
      <c r="Y129" s="118" t="str">
        <f>+VLOOKUP(Agencia[[#This Row],[contenido]],Estructura!$E$4:$G$500,3,0)</f>
        <v>C-996</v>
      </c>
      <c r="Z129" s="118" t="str">
        <f>+VLOOKUP(Agencia[[#This Row],[Filtro Integrado]],Estructura!$I$4:$K$500,3,0)</f>
        <v>FI-993</v>
      </c>
      <c r="AA129" s="118" t="str">
        <f>+VLOOKUP(Agencia[[#This Row],[Muestra]],Estructura!$M$4:$O$500,3,0)</f>
        <v>M-999</v>
      </c>
    </row>
    <row r="130" spans="1:27" ht="57.6" x14ac:dyDescent="0.3">
      <c r="A130" s="21" t="s">
        <v>526</v>
      </c>
      <c r="B130" s="24">
        <f t="shared" si="99"/>
        <v>990</v>
      </c>
      <c r="C130" s="25" t="str">
        <f t="shared" si="99"/>
        <v>Agencia Información</v>
      </c>
      <c r="D130" s="25" t="str">
        <f t="shared" si="87"/>
        <v>Mujeres</v>
      </c>
      <c r="E130" s="19">
        <v>13</v>
      </c>
      <c r="F130" s="10" t="s">
        <v>586</v>
      </c>
      <c r="G130" s="10" t="s">
        <v>3762</v>
      </c>
      <c r="H130" s="35" t="s">
        <v>16</v>
      </c>
      <c r="I130" s="36" t="s">
        <v>380</v>
      </c>
      <c r="J130" s="9" t="str">
        <f t="shared" si="93"/>
        <v>Ninguno</v>
      </c>
      <c r="K130" s="9" t="str">
        <f t="shared" si="94"/>
        <v>Sentencias dictadas por delito por región</v>
      </c>
      <c r="L130" s="9" t="str">
        <f t="shared" si="95"/>
        <v>Periodo 2013-2019</v>
      </c>
      <c r="M130" s="9" t="str">
        <f t="shared" si="96"/>
        <v>Número de Sentencias</v>
      </c>
      <c r="N130" s="9" t="str">
        <f t="shared" si="97"/>
        <v>Poder Judicial</v>
      </c>
      <c r="O130" s="20" t="str">
        <f>"Sentencias Dictadas por delitos de Abuso Sexual en la "&amp;Agencia[[#This Row],[territorio]]&amp;" para el "&amp;Agencia[[#This Row],[temporalidad]]</f>
        <v>Sentencias Dictadas por delitos de Abuso Sexual en la Región Metropolitana para el Periodo 2013-2019</v>
      </c>
      <c r="P130" s="20" t="s">
        <v>590</v>
      </c>
      <c r="Q130" s="11" t="str">
        <f t="shared" si="101"/>
        <v>Gráfico</v>
      </c>
      <c r="R130" s="20" t="str">
        <f>Agencia[[#This Row],[territorio]]&amp;" violencia mujer abuso sexual sentencia menor juzgado"</f>
        <v>Región Metropolitana violencia mujer abuso sexual sentencia menor juzgado</v>
      </c>
      <c r="S130" s="41" t="str">
        <f>HYPERLINK("https://analytics.zoho.com/open-view/2395394000007166809?ZOHO_CRITERIA=%22Localiza%20CL%22.%22Codreg%22%3D"&amp;Agencia[[#This Row],[Filtro URL]])</f>
        <v>https://analytics.zoho.com/open-view/2395394000007166809?ZOHO_CRITERIA=%22Localiza%20CL%22.%22Codreg%22%3D13</v>
      </c>
      <c r="T130" s="68" t="str">
        <f>"200-R-"&amp;Agencia[[#This Row],[Filtro URL]]</f>
        <v>200-R-13</v>
      </c>
      <c r="U130" s="50" t="str">
        <f t="shared" si="100"/>
        <v>#1774B9</v>
      </c>
      <c r="V130" s="118" t="str">
        <f>+Agencia[[#This Row],[idcoleccion]]&amp;"-"&amp;Agencia[[#This Row],[id]]</f>
        <v>990-0119</v>
      </c>
      <c r="W130" s="118">
        <f>+VLOOKUP(Agencia[[#This Row],[Filtro URL]],Estructura!$X$4:$Y$500,2,0)</f>
        <v>99200013</v>
      </c>
      <c r="X130" s="118" t="str">
        <f>+VLOOKUP(Agencia[[#This Row],[tema]],Estructura!$A$4:$C$500,3,0)</f>
        <v>T-1032</v>
      </c>
      <c r="Y130" s="118" t="str">
        <f>+VLOOKUP(Agencia[[#This Row],[contenido]],Estructura!$E$4:$G$500,3,0)</f>
        <v>C-996</v>
      </c>
      <c r="Z130" s="118" t="str">
        <f>+VLOOKUP(Agencia[[#This Row],[Filtro Integrado]],Estructura!$I$4:$K$500,3,0)</f>
        <v>FI-993</v>
      </c>
      <c r="AA130" s="118" t="str">
        <f>+VLOOKUP(Agencia[[#This Row],[Muestra]],Estructura!$M$4:$O$500,3,0)</f>
        <v>M-999</v>
      </c>
    </row>
    <row r="131" spans="1:27" ht="57.6" x14ac:dyDescent="0.3">
      <c r="A131" s="21" t="s">
        <v>527</v>
      </c>
      <c r="B131" s="24">
        <f t="shared" ref="B131:D164" si="102">+B130</f>
        <v>990</v>
      </c>
      <c r="C131" s="25" t="str">
        <f t="shared" si="102"/>
        <v>Agencia Información</v>
      </c>
      <c r="D131" s="25" t="str">
        <f t="shared" si="87"/>
        <v>Mujeres</v>
      </c>
      <c r="E131" s="19">
        <v>14</v>
      </c>
      <c r="F131" s="10" t="s">
        <v>586</v>
      </c>
      <c r="G131" s="10" t="s">
        <v>3762</v>
      </c>
      <c r="H131" s="35" t="s">
        <v>16</v>
      </c>
      <c r="I131" s="36" t="s">
        <v>381</v>
      </c>
      <c r="J131" s="9" t="str">
        <f t="shared" si="93"/>
        <v>Ninguno</v>
      </c>
      <c r="K131" s="9" t="str">
        <f t="shared" si="94"/>
        <v>Sentencias dictadas por delito por región</v>
      </c>
      <c r="L131" s="9" t="str">
        <f t="shared" si="95"/>
        <v>Periodo 2013-2019</v>
      </c>
      <c r="M131" s="9" t="str">
        <f t="shared" si="96"/>
        <v>Número de Sentencias</v>
      </c>
      <c r="N131" s="9" t="str">
        <f t="shared" si="97"/>
        <v>Poder Judicial</v>
      </c>
      <c r="O131" s="20" t="str">
        <f>"Sentencias Dictadas por delitos de Abuso Sexual en la "&amp;Agencia[[#This Row],[territorio]]&amp;" para el "&amp;Agencia[[#This Row],[temporalidad]]</f>
        <v>Sentencias Dictadas por delitos de Abuso Sexual en la Región de Los Ríos para el Periodo 2013-2019</v>
      </c>
      <c r="P131" s="20"/>
      <c r="Q131" s="11" t="str">
        <f t="shared" si="101"/>
        <v>Gráfico</v>
      </c>
      <c r="R131" s="20" t="str">
        <f>Agencia[[#This Row],[territorio]]&amp;" violencia mujer abuso sexual sentencia menor juzgado"</f>
        <v>Región de Los Ríos violencia mujer abuso sexual sentencia menor juzgado</v>
      </c>
      <c r="S131" s="41" t="str">
        <f>HYPERLINK("https://analytics.zoho.com/open-view/2395394000007166809?ZOHO_CRITERIA=%22Localiza%20CL%22.%22Codreg%22%3D"&amp;Agencia[[#This Row],[Filtro URL]])</f>
        <v>https://analytics.zoho.com/open-view/2395394000007166809?ZOHO_CRITERIA=%22Localiza%20CL%22.%22Codreg%22%3D14</v>
      </c>
      <c r="T131" s="68" t="str">
        <f>"100-R-"&amp;Agencia[[#This Row],[Filtro URL]]</f>
        <v>100-R-14</v>
      </c>
      <c r="U131" s="50" t="str">
        <f t="shared" si="100"/>
        <v>#1774B9</v>
      </c>
      <c r="V131" s="118" t="str">
        <f>+Agencia[[#This Row],[idcoleccion]]&amp;"-"&amp;Agencia[[#This Row],[id]]</f>
        <v>990-0120</v>
      </c>
      <c r="W131" s="118">
        <f>+VLOOKUP(Agencia[[#This Row],[Filtro URL]],Estructura!$X$4:$Y$500,2,0)</f>
        <v>99200014</v>
      </c>
      <c r="X131" s="118" t="str">
        <f>+VLOOKUP(Agencia[[#This Row],[tema]],Estructura!$A$4:$C$500,3,0)</f>
        <v>T-1032</v>
      </c>
      <c r="Y131" s="118" t="str">
        <f>+VLOOKUP(Agencia[[#This Row],[contenido]],Estructura!$E$4:$G$500,3,0)</f>
        <v>C-996</v>
      </c>
      <c r="Z131" s="118" t="str">
        <f>+VLOOKUP(Agencia[[#This Row],[Filtro Integrado]],Estructura!$I$4:$K$500,3,0)</f>
        <v>FI-993</v>
      </c>
      <c r="AA131" s="118" t="str">
        <f>+VLOOKUP(Agencia[[#This Row],[Muestra]],Estructura!$M$4:$O$500,3,0)</f>
        <v>M-999</v>
      </c>
    </row>
    <row r="132" spans="1:27" ht="57.6" x14ac:dyDescent="0.3">
      <c r="A132" s="21" t="s">
        <v>528</v>
      </c>
      <c r="B132" s="24">
        <f t="shared" si="102"/>
        <v>990</v>
      </c>
      <c r="C132" s="25" t="str">
        <f t="shared" si="102"/>
        <v>Agencia Información</v>
      </c>
      <c r="D132" s="25" t="str">
        <f t="shared" si="87"/>
        <v>Mujeres</v>
      </c>
      <c r="E132" s="19">
        <v>15</v>
      </c>
      <c r="F132" s="10" t="s">
        <v>586</v>
      </c>
      <c r="G132" s="10" t="s">
        <v>3762</v>
      </c>
      <c r="H132" s="35" t="s">
        <v>16</v>
      </c>
      <c r="I132" s="36" t="s">
        <v>382</v>
      </c>
      <c r="J132" s="9" t="str">
        <f t="shared" si="93"/>
        <v>Ninguno</v>
      </c>
      <c r="K132" s="9" t="str">
        <f t="shared" si="94"/>
        <v>Sentencias dictadas por delito por región</v>
      </c>
      <c r="L132" s="9" t="str">
        <f t="shared" si="95"/>
        <v>Periodo 2013-2019</v>
      </c>
      <c r="M132" s="9" t="str">
        <f t="shared" si="96"/>
        <v>Número de Sentencias</v>
      </c>
      <c r="N132" s="9" t="str">
        <f t="shared" si="97"/>
        <v>Poder Judicial</v>
      </c>
      <c r="O132" s="20" t="str">
        <f>"Sentencias Dictadas por delitos de Abuso Sexual en la "&amp;Agencia[[#This Row],[territorio]]&amp;" para el "&amp;Agencia[[#This Row],[temporalidad]]</f>
        <v>Sentencias Dictadas por delitos de Abuso Sexual en la Región de Arica y Parinacota para el Periodo 2013-2019</v>
      </c>
      <c r="P132" s="20"/>
      <c r="Q132" s="11" t="str">
        <f t="shared" si="101"/>
        <v>Gráfico</v>
      </c>
      <c r="R132" s="20" t="str">
        <f>Agencia[[#This Row],[territorio]]&amp;" violencia mujer abuso sexual sentencia menor juzgado"</f>
        <v>Región de Arica y Parinacota violencia mujer abuso sexual sentencia menor juzgado</v>
      </c>
      <c r="S132" s="41" t="str">
        <f>HYPERLINK("https://analytics.zoho.com/open-view/2395394000007166809?ZOHO_CRITERIA=%22Localiza%20CL%22.%22Codreg%22%3D"&amp;Agencia[[#This Row],[Filtro URL]])</f>
        <v>https://analytics.zoho.com/open-view/2395394000007166809?ZOHO_CRITERIA=%22Localiza%20CL%22.%22Codreg%22%3D15</v>
      </c>
      <c r="T132" s="68" t="str">
        <f>"100-R-"&amp;Agencia[[#This Row],[Filtro URL]]</f>
        <v>100-R-15</v>
      </c>
      <c r="U132" s="50" t="str">
        <f t="shared" si="100"/>
        <v>#1774B9</v>
      </c>
      <c r="V132" s="118" t="str">
        <f>+Agencia[[#This Row],[idcoleccion]]&amp;"-"&amp;Agencia[[#This Row],[id]]</f>
        <v>990-0121</v>
      </c>
      <c r="W132" s="118">
        <f>+VLOOKUP(Agencia[[#This Row],[Filtro URL]],Estructura!$X$4:$Y$500,2,0)</f>
        <v>99200015</v>
      </c>
      <c r="X132" s="118" t="str">
        <f>+VLOOKUP(Agencia[[#This Row],[tema]],Estructura!$A$4:$C$500,3,0)</f>
        <v>T-1032</v>
      </c>
      <c r="Y132" s="118" t="str">
        <f>+VLOOKUP(Agencia[[#This Row],[contenido]],Estructura!$E$4:$G$500,3,0)</f>
        <v>C-996</v>
      </c>
      <c r="Z132" s="118" t="str">
        <f>+VLOOKUP(Agencia[[#This Row],[Filtro Integrado]],Estructura!$I$4:$K$500,3,0)</f>
        <v>FI-993</v>
      </c>
      <c r="AA132" s="118" t="str">
        <f>+VLOOKUP(Agencia[[#This Row],[Muestra]],Estructura!$M$4:$O$500,3,0)</f>
        <v>M-999</v>
      </c>
    </row>
    <row r="133" spans="1:27" ht="57.6" x14ac:dyDescent="0.3">
      <c r="A133" s="21" t="s">
        <v>529</v>
      </c>
      <c r="B133" s="24">
        <f t="shared" si="102"/>
        <v>990</v>
      </c>
      <c r="C133" s="25" t="str">
        <f t="shared" si="102"/>
        <v>Agencia Información</v>
      </c>
      <c r="D133" s="25" t="str">
        <f t="shared" si="87"/>
        <v>Mujeres</v>
      </c>
      <c r="E133" s="19">
        <v>16</v>
      </c>
      <c r="F133" s="10" t="s">
        <v>586</v>
      </c>
      <c r="G133" s="10" t="s">
        <v>3762</v>
      </c>
      <c r="H133" s="35" t="s">
        <v>16</v>
      </c>
      <c r="I133" s="36" t="s">
        <v>383</v>
      </c>
      <c r="J133" s="9" t="str">
        <f t="shared" si="93"/>
        <v>Ninguno</v>
      </c>
      <c r="K133" s="9" t="str">
        <f t="shared" si="94"/>
        <v>Sentencias dictadas por delito por región</v>
      </c>
      <c r="L133" s="9" t="str">
        <f t="shared" si="95"/>
        <v>Periodo 2013-2019</v>
      </c>
      <c r="M133" s="9" t="str">
        <f t="shared" si="96"/>
        <v>Número de Sentencias</v>
      </c>
      <c r="N133" s="9" t="str">
        <f t="shared" si="97"/>
        <v>Poder Judicial</v>
      </c>
      <c r="O133" s="20" t="str">
        <f>"Sentencias Dictadas por delitos de Abuso Sexual en la "&amp;Agencia[[#This Row],[territorio]]&amp;" para el "&amp;Agencia[[#This Row],[temporalidad]]</f>
        <v>Sentencias Dictadas por delitos de Abuso Sexual en la Región de Ñuble para el Periodo 2013-2019</v>
      </c>
      <c r="P133" s="20"/>
      <c r="Q133" s="11" t="str">
        <f t="shared" si="101"/>
        <v>Gráfico</v>
      </c>
      <c r="R133" s="20" t="str">
        <f>Agencia[[#This Row],[territorio]]&amp;" violencia mujer abuso sexual sentencia menor juzgado"</f>
        <v>Región de Ñuble violencia mujer abuso sexual sentencia menor juzgado</v>
      </c>
      <c r="S133" s="41" t="str">
        <f>HYPERLINK("https://analytics.zoho.com/open-view/2395394000007166809?ZOHO_CRITERIA=%22Localiza%20CL%22.%22Codreg%22%3D"&amp;Agencia[[#This Row],[Filtro URL]])</f>
        <v>https://analytics.zoho.com/open-view/2395394000007166809?ZOHO_CRITERIA=%22Localiza%20CL%22.%22Codreg%22%3D16</v>
      </c>
      <c r="T133" s="68" t="str">
        <f>"100-R-"&amp;Agencia[[#This Row],[Filtro URL]]</f>
        <v>100-R-16</v>
      </c>
      <c r="U133" s="50" t="str">
        <f t="shared" si="100"/>
        <v>#1774B9</v>
      </c>
      <c r="V133" s="118" t="str">
        <f>+Agencia[[#This Row],[idcoleccion]]&amp;"-"&amp;Agencia[[#This Row],[id]]</f>
        <v>990-0122</v>
      </c>
      <c r="W133" s="118">
        <f>+VLOOKUP(Agencia[[#This Row],[Filtro URL]],Estructura!$X$4:$Y$500,2,0)</f>
        <v>99200016</v>
      </c>
      <c r="X133" s="118" t="str">
        <f>+VLOOKUP(Agencia[[#This Row],[tema]],Estructura!$A$4:$C$500,3,0)</f>
        <v>T-1032</v>
      </c>
      <c r="Y133" s="118" t="str">
        <f>+VLOOKUP(Agencia[[#This Row],[contenido]],Estructura!$E$4:$G$500,3,0)</f>
        <v>C-996</v>
      </c>
      <c r="Z133" s="118" t="str">
        <f>+VLOOKUP(Agencia[[#This Row],[Filtro Integrado]],Estructura!$I$4:$K$500,3,0)</f>
        <v>FI-993</v>
      </c>
      <c r="AA133" s="118" t="str">
        <f>+VLOOKUP(Agencia[[#This Row],[Muestra]],Estructura!$M$4:$O$500,3,0)</f>
        <v>M-999</v>
      </c>
    </row>
    <row r="134" spans="1:27" ht="86.4" x14ac:dyDescent="0.3">
      <c r="A134" s="21" t="s">
        <v>530</v>
      </c>
      <c r="B134" s="24">
        <f t="shared" si="102"/>
        <v>990</v>
      </c>
      <c r="C134" s="25" t="str">
        <f t="shared" si="102"/>
        <v>Agencia Información</v>
      </c>
      <c r="D134" s="25" t="s">
        <v>597</v>
      </c>
      <c r="E134" s="14">
        <v>0</v>
      </c>
      <c r="F134" s="10" t="s">
        <v>628</v>
      </c>
      <c r="G134" s="10" t="s">
        <v>3786</v>
      </c>
      <c r="H134" s="33" t="s">
        <v>20</v>
      </c>
      <c r="I134" s="34" t="s">
        <v>15</v>
      </c>
      <c r="J134" s="9" t="s">
        <v>404</v>
      </c>
      <c r="K134" s="9" t="s">
        <v>845</v>
      </c>
      <c r="L134" s="9" t="s">
        <v>602</v>
      </c>
      <c r="M134" s="9" t="s">
        <v>601</v>
      </c>
      <c r="N134" s="9" t="s">
        <v>598</v>
      </c>
      <c r="O134" s="20" t="s">
        <v>599</v>
      </c>
      <c r="P134" s="20" t="s">
        <v>604</v>
      </c>
      <c r="Q134" s="50" t="s">
        <v>606</v>
      </c>
      <c r="R134" s="20" t="str">
        <f>Agencia[[#This Row],[territorio]]&amp;" programas desempeño gobierno servicio evaluación instituciones público ministerio"</f>
        <v>Chile programas desempeño gobierno servicio evaluación instituciones público ministerio</v>
      </c>
      <c r="S134" s="41" t="s">
        <v>600</v>
      </c>
      <c r="T134" s="68">
        <v>0</v>
      </c>
      <c r="U134" s="50" t="str">
        <f t="shared" si="100"/>
        <v>#1774B9</v>
      </c>
      <c r="V134" s="118" t="str">
        <f>+Agencia[[#This Row],[idcoleccion]]&amp;"-"&amp;Agencia[[#This Row],[id]]</f>
        <v>990-0123</v>
      </c>
      <c r="W134" s="118">
        <f>+VLOOKUP(Agencia[[#This Row],[Filtro URL]],Estructura!$X$4:$Y$500,2,0)</f>
        <v>99100000</v>
      </c>
      <c r="X134" s="118" t="str">
        <f>+VLOOKUP(Agencia[[#This Row],[tema]],Estructura!$A$4:$C$500,3,0)</f>
        <v>T-995</v>
      </c>
      <c r="Y134" s="118" t="str">
        <f>+VLOOKUP(Agencia[[#This Row],[contenido]],Estructura!$E$4:$G$500,3,0)</f>
        <v>C-1006</v>
      </c>
      <c r="Z134" s="118" t="str">
        <f>+VLOOKUP(Agencia[[#This Row],[Filtro Integrado]],Estructura!$I$4:$K$500,3,0)</f>
        <v>FI-993</v>
      </c>
      <c r="AA134" s="118" t="str">
        <f>+VLOOKUP(Agencia[[#This Row],[Muestra]],Estructura!$M$4:$O$500,3,0)</f>
        <v>M-1000</v>
      </c>
    </row>
    <row r="135" spans="1:27" ht="72" x14ac:dyDescent="0.3">
      <c r="A135" s="21" t="s">
        <v>531</v>
      </c>
      <c r="B135" s="24">
        <f t="shared" si="102"/>
        <v>990</v>
      </c>
      <c r="C135" s="25" t="str">
        <f t="shared" si="102"/>
        <v>Agencia Información</v>
      </c>
      <c r="D135" s="25" t="str">
        <f t="shared" si="87"/>
        <v>Política y Gobierno</v>
      </c>
      <c r="E135" s="14">
        <v>0</v>
      </c>
      <c r="F135" s="10" t="s">
        <v>628</v>
      </c>
      <c r="G135" s="10" t="s">
        <v>3786</v>
      </c>
      <c r="H135" s="33" t="s">
        <v>20</v>
      </c>
      <c r="I135" s="34" t="s">
        <v>15</v>
      </c>
      <c r="J135" s="40" t="s">
        <v>846</v>
      </c>
      <c r="K135" s="9" t="str">
        <f t="shared" si="94"/>
        <v>Programas/Instituciones evaluadas en Chile</v>
      </c>
      <c r="L135" s="9" t="str">
        <f t="shared" si="95"/>
        <v>Periodo 1997-2019</v>
      </c>
      <c r="M135" s="9" t="str">
        <f t="shared" si="96"/>
        <v xml:space="preserve">Número de Programas/Instituciones </v>
      </c>
      <c r="N135" s="9" t="s">
        <v>598</v>
      </c>
      <c r="O135" s="20" t="s">
        <v>605</v>
      </c>
      <c r="P135" s="20" t="s">
        <v>603</v>
      </c>
      <c r="Q135" s="11" t="s">
        <v>606</v>
      </c>
      <c r="R135" s="20" t="str">
        <f>Agencia[[#This Row],[territorio]]&amp;" programas desempeño gobierno servicio evaluación instituciones público ministerio"</f>
        <v>Chile programas desempeño gobierno servicio evaluación instituciones público ministerio</v>
      </c>
      <c r="S135" s="41" t="s">
        <v>607</v>
      </c>
      <c r="T135" s="68">
        <v>0</v>
      </c>
      <c r="U135" s="50" t="str">
        <f t="shared" si="100"/>
        <v>#1774B9</v>
      </c>
      <c r="V135" s="118" t="str">
        <f>+Agencia[[#This Row],[idcoleccion]]&amp;"-"&amp;Agencia[[#This Row],[id]]</f>
        <v>990-0124</v>
      </c>
      <c r="W135" s="118">
        <f>+VLOOKUP(Agencia[[#This Row],[Filtro URL]],Estructura!$X$4:$Y$500,2,0)</f>
        <v>99100000</v>
      </c>
      <c r="X135" s="118" t="str">
        <f>+VLOOKUP(Agencia[[#This Row],[tema]],Estructura!$A$4:$C$500,3,0)</f>
        <v>T-995</v>
      </c>
      <c r="Y135" s="118" t="str">
        <f>+VLOOKUP(Agencia[[#This Row],[contenido]],Estructura!$E$4:$G$500,3,0)</f>
        <v>C-1006</v>
      </c>
      <c r="Z135" s="118" t="str">
        <f>+VLOOKUP(Agencia[[#This Row],[Filtro Integrado]],Estructura!$I$4:$K$500,3,0)</f>
        <v>FI-995</v>
      </c>
      <c r="AA135" s="118" t="str">
        <f>+VLOOKUP(Agencia[[#This Row],[Muestra]],Estructura!$M$4:$O$500,3,0)</f>
        <v>M-1000</v>
      </c>
    </row>
    <row r="136" spans="1:27" ht="61.2" x14ac:dyDescent="0.3">
      <c r="A136" s="21" t="s">
        <v>532</v>
      </c>
      <c r="B136" s="24">
        <f t="shared" si="102"/>
        <v>990</v>
      </c>
      <c r="C136" s="25" t="str">
        <f t="shared" si="102"/>
        <v>Agencia Información</v>
      </c>
      <c r="D136" s="25" t="s">
        <v>578</v>
      </c>
      <c r="E136" s="14">
        <v>0</v>
      </c>
      <c r="F136" s="10" t="s">
        <v>1641</v>
      </c>
      <c r="G136" s="10" t="s">
        <v>3785</v>
      </c>
      <c r="H136" s="33" t="s">
        <v>20</v>
      </c>
      <c r="I136" s="34" t="s">
        <v>15</v>
      </c>
      <c r="J136" s="9" t="s">
        <v>404</v>
      </c>
      <c r="K136" s="9" t="s">
        <v>847</v>
      </c>
      <c r="L136" s="38" t="s">
        <v>610</v>
      </c>
      <c r="M136" s="9" t="s">
        <v>612</v>
      </c>
      <c r="N136" s="9" t="s">
        <v>609</v>
      </c>
      <c r="O136" s="20" t="s">
        <v>613</v>
      </c>
      <c r="P136" s="20" t="s">
        <v>608</v>
      </c>
      <c r="Q136" s="11" t="s">
        <v>611</v>
      </c>
      <c r="R136" s="20" t="str">
        <f>Agencia[[#This Row],[territorio]]&amp;" incendios plantaciones forestales superficie hectáreas comuna"</f>
        <v>Chile incendios plantaciones forestales superficie hectáreas comuna</v>
      </c>
      <c r="S136" s="41" t="s">
        <v>1701</v>
      </c>
      <c r="T136" s="68">
        <v>0</v>
      </c>
      <c r="U136" s="50" t="str">
        <f t="shared" si="100"/>
        <v>#1774B9</v>
      </c>
      <c r="V136" s="118" t="str">
        <f>+Agencia[[#This Row],[idcoleccion]]&amp;"-"&amp;Agencia[[#This Row],[id]]</f>
        <v>990-0125</v>
      </c>
      <c r="W136" s="118">
        <f>+VLOOKUP(Agencia[[#This Row],[Filtro URL]],Estructura!$X$4:$Y$500,2,0)</f>
        <v>99100000</v>
      </c>
      <c r="X136" s="118" t="str">
        <f>+VLOOKUP(Agencia[[#This Row],[tema]],Estructura!$A$4:$C$500,3,0)</f>
        <v>T-1046</v>
      </c>
      <c r="Y136" s="118" t="str">
        <f>+VLOOKUP(Agencia[[#This Row],[contenido]],Estructura!$E$4:$G$500,3,0)</f>
        <v>C-1007</v>
      </c>
      <c r="Z136" s="118" t="str">
        <f>+VLOOKUP(Agencia[[#This Row],[Filtro Integrado]],Estructura!$I$4:$K$500,3,0)</f>
        <v>FI-993</v>
      </c>
      <c r="AA136" s="118" t="str">
        <f>+VLOOKUP(Agencia[[#This Row],[Muestra]],Estructura!$M$4:$O$500,3,0)</f>
        <v>M-1001</v>
      </c>
    </row>
    <row r="137" spans="1:27" ht="61.2" x14ac:dyDescent="0.3">
      <c r="A137" s="21" t="s">
        <v>533</v>
      </c>
      <c r="B137" s="24">
        <f>+B136</f>
        <v>990</v>
      </c>
      <c r="C137" s="25" t="str">
        <f>+C136</f>
        <v>Agencia Información</v>
      </c>
      <c r="D137" s="25" t="s">
        <v>578</v>
      </c>
      <c r="E137" s="14">
        <v>0</v>
      </c>
      <c r="F137" s="10" t="s">
        <v>616</v>
      </c>
      <c r="G137" s="10" t="s">
        <v>3763</v>
      </c>
      <c r="H137" s="33" t="s">
        <v>20</v>
      </c>
      <c r="I137" s="34" t="s">
        <v>15</v>
      </c>
      <c r="J137" s="9" t="s">
        <v>617</v>
      </c>
      <c r="K137" s="9" t="s">
        <v>848</v>
      </c>
      <c r="L137" s="9" t="s">
        <v>614</v>
      </c>
      <c r="M137" s="9" t="s">
        <v>615</v>
      </c>
      <c r="N137" s="9" t="s">
        <v>619</v>
      </c>
      <c r="O137" s="20" t="str">
        <f>"Precios diarios de hortalizas en mercados mayoristas de "&amp;Agencia[[#This Row],[territorio]]&amp;", "&amp;Agencia[[#This Row],[temporalidad]]</f>
        <v>Precios diarios de hortalizas en mercados mayoristas de Chile, Año 2021</v>
      </c>
      <c r="P137" s="20" t="s">
        <v>620</v>
      </c>
      <c r="Q137" s="11" t="s">
        <v>584</v>
      </c>
      <c r="R137" s="20" t="str">
        <f>Agencia[[#This Row],[territorio]]&amp;" hortaliza precio diario pesos kilo mercado mayorista terminal"</f>
        <v>Chile hortaliza precio diario pesos kilo mercado mayorista terminal</v>
      </c>
      <c r="S137" s="41" t="s">
        <v>1702</v>
      </c>
      <c r="T137" s="68" t="s">
        <v>855</v>
      </c>
      <c r="U137" s="50" t="str">
        <f>+U136</f>
        <v>#1774B9</v>
      </c>
      <c r="V137" s="118" t="str">
        <f>+Agencia[[#This Row],[idcoleccion]]&amp;"-"&amp;Agencia[[#This Row],[id]]</f>
        <v>990-0126</v>
      </c>
      <c r="W137" s="118">
        <f>+VLOOKUP(Agencia[[#This Row],[Filtro URL]],Estructura!$X$4:$Y$500,2,0)</f>
        <v>99100000</v>
      </c>
      <c r="X137" s="118" t="str">
        <f>+VLOOKUP(Agencia[[#This Row],[tema]],Estructura!$A$4:$C$500,3,0)</f>
        <v>T-1033</v>
      </c>
      <c r="Y137" s="118" t="str">
        <f>+VLOOKUP(Agencia[[#This Row],[contenido]],Estructura!$E$4:$G$500,3,0)</f>
        <v>C-997</v>
      </c>
      <c r="Z137" s="118" t="str">
        <f>+VLOOKUP(Agencia[[#This Row],[Filtro Integrado]],Estructura!$I$4:$K$500,3,0)</f>
        <v>FI-996</v>
      </c>
      <c r="AA137" s="118" t="str">
        <f>+VLOOKUP(Agencia[[#This Row],[Muestra]],Estructura!$M$4:$O$500,3,0)</f>
        <v>M-1002</v>
      </c>
    </row>
    <row r="138" spans="1:27" ht="57.6" x14ac:dyDescent="0.3">
      <c r="A138" s="21" t="s">
        <v>1725</v>
      </c>
      <c r="B138" s="9">
        <f>+B137</f>
        <v>990</v>
      </c>
      <c r="C138" s="25" t="str">
        <f>+C137</f>
        <v>Agencia Información</v>
      </c>
      <c r="D138" s="10" t="str">
        <f>+D137</f>
        <v>Agropecuario y Forestal</v>
      </c>
      <c r="E138" s="19">
        <v>4</v>
      </c>
      <c r="F138" s="10" t="s">
        <v>616</v>
      </c>
      <c r="G138" s="10" t="s">
        <v>3763</v>
      </c>
      <c r="H138" s="35" t="s">
        <v>16</v>
      </c>
      <c r="I138" s="36" t="s">
        <v>371</v>
      </c>
      <c r="J138" s="9" t="str">
        <f>+J137</f>
        <v>Hortaliza</v>
      </c>
      <c r="K138" s="9" t="s">
        <v>1034</v>
      </c>
      <c r="L138" s="9" t="str">
        <f>+L137</f>
        <v>Año 2021</v>
      </c>
      <c r="M138" s="9" t="str">
        <f t="shared" ref="M138:N138" si="103">+M137</f>
        <v>CLP/Kg</v>
      </c>
      <c r="N138" s="9" t="str">
        <f t="shared" si="103"/>
        <v>Oficina de Estudios y Políticas Agrarias (ODEPA)</v>
      </c>
      <c r="O138" s="20" t="str">
        <f>"Precios diarios de hortalizas en mercados mayoristas de la "&amp;Agencia[[#This Row],[territorio]]&amp;", "&amp;Agencia[[#This Row],[temporalidad]]</f>
        <v>Precios diarios de hortalizas en mercados mayoristas de la Región de Coquimbo, Año 2021</v>
      </c>
      <c r="P138" s="20"/>
      <c r="Q138" s="11" t="str">
        <f>+Q137</f>
        <v>Gráfico</v>
      </c>
      <c r="R138" s="20" t="str">
        <f>Agencia[[#This Row],[territorio]]&amp;" hortaliza precio diario pesos kilo mercado mayorista terminal"</f>
        <v>Región de Coquimbo hortaliza precio diario pesos kilo mercado mayorista terminal</v>
      </c>
      <c r="S138" s="41" t="str">
        <f>HYPERLINK("https://analytics.zoho.com/open-view/2395394000008646229?ZOHO_CRITERIA=%22Hortaliza%20Consolidado%22.%22Codreg%22%3D"&amp;Agencia[[#This Row],[Filtro URL]])</f>
        <v>https://analytics.zoho.com/open-view/2395394000008646229?ZOHO_CRITERIA=%22Hortaliza%20Consolidado%22.%22Codreg%22%3D4</v>
      </c>
      <c r="T138" s="68" t="str">
        <f>"100-R-"&amp;Agencia[[#This Row],[Filtro URL]]</f>
        <v>100-R-4</v>
      </c>
      <c r="U138" s="50" t="str">
        <f>+U137</f>
        <v>#1774B9</v>
      </c>
      <c r="V138" s="118" t="str">
        <f>+Agencia[[#This Row],[idcoleccion]]&amp;"-"&amp;Agencia[[#This Row],[id]]</f>
        <v>990-0127</v>
      </c>
      <c r="W138" s="118">
        <f>+VLOOKUP(Agencia[[#This Row],[Filtro URL]],Estructura!$X$4:$Y$500,2,0)</f>
        <v>99200004</v>
      </c>
      <c r="X138" s="118" t="str">
        <f>+VLOOKUP(Agencia[[#This Row],[tema]],Estructura!$A$4:$C$500,3,0)</f>
        <v>T-1033</v>
      </c>
      <c r="Y138" s="118" t="str">
        <f>+VLOOKUP(Agencia[[#This Row],[contenido]],Estructura!$E$4:$G$500,3,0)</f>
        <v>C-997</v>
      </c>
      <c r="Z138" s="118" t="str">
        <f>+VLOOKUP(Agencia[[#This Row],[Filtro Integrado]],Estructura!$I$4:$K$500,3,0)</f>
        <v>FI-996</v>
      </c>
      <c r="AA138" s="118" t="str">
        <f>+VLOOKUP(Agencia[[#This Row],[Muestra]],Estructura!$M$4:$O$500,3,0)</f>
        <v>M-1003</v>
      </c>
    </row>
    <row r="139" spans="1:27" ht="57.6" x14ac:dyDescent="0.3">
      <c r="A139" s="21" t="s">
        <v>1726</v>
      </c>
      <c r="B139" s="9">
        <f t="shared" ref="B139:D146" si="104">+B138</f>
        <v>990</v>
      </c>
      <c r="C139" s="25" t="str">
        <f t="shared" si="104"/>
        <v>Agencia Información</v>
      </c>
      <c r="D139" s="10" t="str">
        <f t="shared" si="104"/>
        <v>Agropecuario y Forestal</v>
      </c>
      <c r="E139" s="19">
        <v>5</v>
      </c>
      <c r="F139" s="10" t="s">
        <v>616</v>
      </c>
      <c r="G139" s="10" t="s">
        <v>3763</v>
      </c>
      <c r="H139" s="35" t="s">
        <v>16</v>
      </c>
      <c r="I139" s="36" t="s">
        <v>372</v>
      </c>
      <c r="J139" s="9" t="str">
        <f t="shared" ref="J139:J146" si="105">+J138</f>
        <v>Hortaliza</v>
      </c>
      <c r="K139" s="9" t="str">
        <f t="shared" ref="K139:L146" si="106">+K138</f>
        <v>Precios diarios de hortalizas por región</v>
      </c>
      <c r="L139" s="9" t="str">
        <f t="shared" si="106"/>
        <v>Año 2021</v>
      </c>
      <c r="M139" s="9" t="str">
        <f t="shared" ref="M139:M146" si="107">+M138</f>
        <v>CLP/Kg</v>
      </c>
      <c r="N139" s="9" t="str">
        <f t="shared" ref="N139:N146" si="108">+N138</f>
        <v>Oficina de Estudios y Políticas Agrarias (ODEPA)</v>
      </c>
      <c r="O139" s="20" t="str">
        <f>"Precios diarios de hortalizas en mercados mayoristas de la "&amp;Agencia[[#This Row],[territorio]]&amp;", "&amp;Agencia[[#This Row],[temporalidad]]</f>
        <v>Precios diarios de hortalizas en mercados mayoristas de la Región de Valparaíso, Año 2021</v>
      </c>
      <c r="P139" s="20"/>
      <c r="Q139" s="11" t="str">
        <f>+Q137</f>
        <v>Gráfico</v>
      </c>
      <c r="R139" s="20" t="str">
        <f>Agencia[[#This Row],[territorio]]&amp;" hortaliza precio diario pesos kilo mercado mayorista terminal"</f>
        <v>Región de Valparaíso hortaliza precio diario pesos kilo mercado mayorista terminal</v>
      </c>
      <c r="S139" s="41" t="str">
        <f>HYPERLINK("https://analytics.zoho.com/open-view/2395394000008646229?ZOHO_CRITERIA=%22Hortaliza%20Consolidado%22.%22Codreg%22%3D"&amp;Agencia[[#This Row],[Filtro URL]])</f>
        <v>https://analytics.zoho.com/open-view/2395394000008646229?ZOHO_CRITERIA=%22Hortaliza%20Consolidado%22.%22Codreg%22%3D5</v>
      </c>
      <c r="T139" s="68" t="str">
        <f>"100-R-"&amp;Agencia[[#This Row],[Filtro URL]]</f>
        <v>100-R-5</v>
      </c>
      <c r="U139" s="50" t="str">
        <f>+U137</f>
        <v>#1774B9</v>
      </c>
      <c r="V139" s="118" t="str">
        <f>+Agencia[[#This Row],[idcoleccion]]&amp;"-"&amp;Agencia[[#This Row],[id]]</f>
        <v>990-0128</v>
      </c>
      <c r="W139" s="118">
        <f>+VLOOKUP(Agencia[[#This Row],[Filtro URL]],Estructura!$X$4:$Y$500,2,0)</f>
        <v>99200005</v>
      </c>
      <c r="X139" s="118" t="str">
        <f>+VLOOKUP(Agencia[[#This Row],[tema]],Estructura!$A$4:$C$500,3,0)</f>
        <v>T-1033</v>
      </c>
      <c r="Y139" s="118" t="str">
        <f>+VLOOKUP(Agencia[[#This Row],[contenido]],Estructura!$E$4:$G$500,3,0)</f>
        <v>C-997</v>
      </c>
      <c r="Z139" s="118" t="str">
        <f>+VLOOKUP(Agencia[[#This Row],[Filtro Integrado]],Estructura!$I$4:$K$500,3,0)</f>
        <v>FI-996</v>
      </c>
      <c r="AA139" s="118" t="str">
        <f>+VLOOKUP(Agencia[[#This Row],[Muestra]],Estructura!$M$4:$O$500,3,0)</f>
        <v>M-1003</v>
      </c>
    </row>
    <row r="140" spans="1:27" ht="57.6" x14ac:dyDescent="0.3">
      <c r="A140" s="21" t="s">
        <v>1727</v>
      </c>
      <c r="B140" s="9">
        <f t="shared" si="104"/>
        <v>990</v>
      </c>
      <c r="C140" s="25" t="str">
        <f t="shared" si="104"/>
        <v>Agencia Información</v>
      </c>
      <c r="D140" s="10" t="str">
        <f t="shared" si="104"/>
        <v>Agropecuario y Forestal</v>
      </c>
      <c r="E140" s="19">
        <v>7</v>
      </c>
      <c r="F140" s="10" t="s">
        <v>616</v>
      </c>
      <c r="G140" s="10" t="s">
        <v>3763</v>
      </c>
      <c r="H140" s="35" t="s">
        <v>16</v>
      </c>
      <c r="I140" s="36" t="s">
        <v>374</v>
      </c>
      <c r="J140" s="9" t="str">
        <f t="shared" si="105"/>
        <v>Hortaliza</v>
      </c>
      <c r="K140" s="9" t="str">
        <f>+K139</f>
        <v>Precios diarios de hortalizas por región</v>
      </c>
      <c r="L140" s="9" t="str">
        <f t="shared" ref="L140:L146" si="109">+L139</f>
        <v>Año 2021</v>
      </c>
      <c r="M140" s="9" t="str">
        <f t="shared" si="107"/>
        <v>CLP/Kg</v>
      </c>
      <c r="N140" s="9" t="str">
        <f t="shared" si="108"/>
        <v>Oficina de Estudios y Políticas Agrarias (ODEPA)</v>
      </c>
      <c r="O140" s="20" t="str">
        <f>"Precios diarios de hortalizas en mercados mayoristas de la "&amp;Agencia[[#This Row],[territorio]]&amp;", "&amp;Agencia[[#This Row],[temporalidad]]</f>
        <v>Precios diarios de hortalizas en mercados mayoristas de la Región de Maule, Año 2021</v>
      </c>
      <c r="P140" s="20"/>
      <c r="Q140" s="11" t="str">
        <f>+Q137</f>
        <v>Gráfico</v>
      </c>
      <c r="R140" s="20" t="str">
        <f>Agencia[[#This Row],[territorio]]&amp;" hortaliza precio diario pesos kilo mercado mayorista terminal"</f>
        <v>Región de Maule hortaliza precio diario pesos kilo mercado mayorista terminal</v>
      </c>
      <c r="S140" s="41" t="str">
        <f>HYPERLINK("https://analytics.zoho.com/open-view/2395394000008646229?ZOHO_CRITERIA=%22Hortaliza%20Consolidado%22.%22Codreg%22%3D"&amp;Agencia[[#This Row],[Filtro URL]])</f>
        <v>https://analytics.zoho.com/open-view/2395394000008646229?ZOHO_CRITERIA=%22Hortaliza%20Consolidado%22.%22Codreg%22%3D7</v>
      </c>
      <c r="T140" s="68" t="str">
        <f>"100-R-"&amp;Agencia[[#This Row],[Filtro URL]]</f>
        <v>100-R-7</v>
      </c>
      <c r="U140" s="50" t="str">
        <f>+U137</f>
        <v>#1774B9</v>
      </c>
      <c r="V140" s="118" t="str">
        <f>+Agencia[[#This Row],[idcoleccion]]&amp;"-"&amp;Agencia[[#This Row],[id]]</f>
        <v>990-0129</v>
      </c>
      <c r="W140" s="118">
        <f>+VLOOKUP(Agencia[[#This Row],[Filtro URL]],Estructura!$X$4:$Y$500,2,0)</f>
        <v>99200007</v>
      </c>
      <c r="X140" s="118" t="str">
        <f>+VLOOKUP(Agencia[[#This Row],[tema]],Estructura!$A$4:$C$500,3,0)</f>
        <v>T-1033</v>
      </c>
      <c r="Y140" s="118" t="str">
        <f>+VLOOKUP(Agencia[[#This Row],[contenido]],Estructura!$E$4:$G$500,3,0)</f>
        <v>C-997</v>
      </c>
      <c r="Z140" s="118" t="str">
        <f>+VLOOKUP(Agencia[[#This Row],[Filtro Integrado]],Estructura!$I$4:$K$500,3,0)</f>
        <v>FI-996</v>
      </c>
      <c r="AA140" s="118" t="str">
        <f>+VLOOKUP(Agencia[[#This Row],[Muestra]],Estructura!$M$4:$O$500,3,0)</f>
        <v>M-1003</v>
      </c>
    </row>
    <row r="141" spans="1:27" ht="57.6" x14ac:dyDescent="0.3">
      <c r="A141" s="21" t="s">
        <v>534</v>
      </c>
      <c r="B141" s="9">
        <f t="shared" si="104"/>
        <v>990</v>
      </c>
      <c r="C141" s="25" t="str">
        <f t="shared" si="104"/>
        <v>Agencia Información</v>
      </c>
      <c r="D141" s="10" t="str">
        <f t="shared" si="104"/>
        <v>Agropecuario y Forestal</v>
      </c>
      <c r="E141" s="19">
        <v>8</v>
      </c>
      <c r="F141" s="10" t="s">
        <v>616</v>
      </c>
      <c r="G141" s="10" t="s">
        <v>3763</v>
      </c>
      <c r="H141" s="35" t="s">
        <v>16</v>
      </c>
      <c r="I141" s="36" t="s">
        <v>375</v>
      </c>
      <c r="J141" s="9" t="str">
        <f t="shared" si="105"/>
        <v>Hortaliza</v>
      </c>
      <c r="K141" s="9" t="str">
        <f t="shared" si="106"/>
        <v>Precios diarios de hortalizas por región</v>
      </c>
      <c r="L141" s="9" t="str">
        <f t="shared" si="109"/>
        <v>Año 2021</v>
      </c>
      <c r="M141" s="9" t="str">
        <f t="shared" si="107"/>
        <v>CLP/Kg</v>
      </c>
      <c r="N141" s="9" t="str">
        <f t="shared" si="108"/>
        <v>Oficina de Estudios y Políticas Agrarias (ODEPA)</v>
      </c>
      <c r="O141" s="20" t="str">
        <f>"Precios diarios de hortalizas en mercados mayoristas de la "&amp;Agencia[[#This Row],[territorio]]&amp;", "&amp;Agencia[[#This Row],[temporalidad]]</f>
        <v>Precios diarios de hortalizas en mercados mayoristas de la Región del Biobío, Año 2021</v>
      </c>
      <c r="P141" s="20"/>
      <c r="Q141" s="11" t="str">
        <f>+Q137</f>
        <v>Gráfico</v>
      </c>
      <c r="R141" s="20" t="str">
        <f>Agencia[[#This Row],[territorio]]&amp;" hortaliza precio diario pesos kilo mercado mayorista terminal"</f>
        <v>Región del Biobío hortaliza precio diario pesos kilo mercado mayorista terminal</v>
      </c>
      <c r="S141" s="41" t="str">
        <f>HYPERLINK("https://analytics.zoho.com/open-view/2395394000008646229?ZOHO_CRITERIA=%22Hortaliza%20Consolidado%22.%22Codreg%22%3D"&amp;Agencia[[#This Row],[Filtro URL]])</f>
        <v>https://analytics.zoho.com/open-view/2395394000008646229?ZOHO_CRITERIA=%22Hortaliza%20Consolidado%22.%22Codreg%22%3D8</v>
      </c>
      <c r="T141" s="68" t="str">
        <f>"100-R-"&amp;Agencia[[#This Row],[Filtro URL]]</f>
        <v>100-R-8</v>
      </c>
      <c r="U141" s="50" t="str">
        <f>+U137</f>
        <v>#1774B9</v>
      </c>
      <c r="V141" s="118" t="str">
        <f>+Agencia[[#This Row],[idcoleccion]]&amp;"-"&amp;Agencia[[#This Row],[id]]</f>
        <v>990-0130</v>
      </c>
      <c r="W141" s="118">
        <f>+VLOOKUP(Agencia[[#This Row],[Filtro URL]],Estructura!$X$4:$Y$500,2,0)</f>
        <v>99200008</v>
      </c>
      <c r="X141" s="118" t="str">
        <f>+VLOOKUP(Agencia[[#This Row],[tema]],Estructura!$A$4:$C$500,3,0)</f>
        <v>T-1033</v>
      </c>
      <c r="Y141" s="118" t="str">
        <f>+VLOOKUP(Agencia[[#This Row],[contenido]],Estructura!$E$4:$G$500,3,0)</f>
        <v>C-997</v>
      </c>
      <c r="Z141" s="118" t="str">
        <f>+VLOOKUP(Agencia[[#This Row],[Filtro Integrado]],Estructura!$I$4:$K$500,3,0)</f>
        <v>FI-996</v>
      </c>
      <c r="AA141" s="118" t="str">
        <f>+VLOOKUP(Agencia[[#This Row],[Muestra]],Estructura!$M$4:$O$500,3,0)</f>
        <v>M-1003</v>
      </c>
    </row>
    <row r="142" spans="1:27" ht="57.6" x14ac:dyDescent="0.3">
      <c r="A142" s="21" t="s">
        <v>535</v>
      </c>
      <c r="B142" s="9">
        <f t="shared" si="104"/>
        <v>990</v>
      </c>
      <c r="C142" s="25" t="str">
        <f t="shared" si="104"/>
        <v>Agencia Información</v>
      </c>
      <c r="D142" s="10" t="str">
        <f t="shared" si="104"/>
        <v>Agropecuario y Forestal</v>
      </c>
      <c r="E142" s="19">
        <v>9</v>
      </c>
      <c r="F142" s="10" t="s">
        <v>616</v>
      </c>
      <c r="G142" s="10" t="s">
        <v>3763</v>
      </c>
      <c r="H142" s="35" t="s">
        <v>16</v>
      </c>
      <c r="I142" s="36" t="s">
        <v>376</v>
      </c>
      <c r="J142" s="9" t="str">
        <f t="shared" si="105"/>
        <v>Hortaliza</v>
      </c>
      <c r="K142" s="9" t="str">
        <f t="shared" si="106"/>
        <v>Precios diarios de hortalizas por región</v>
      </c>
      <c r="L142" s="9" t="str">
        <f t="shared" si="109"/>
        <v>Año 2021</v>
      </c>
      <c r="M142" s="9" t="str">
        <f t="shared" si="107"/>
        <v>CLP/Kg</v>
      </c>
      <c r="N142" s="9" t="str">
        <f t="shared" si="108"/>
        <v>Oficina de Estudios y Políticas Agrarias (ODEPA)</v>
      </c>
      <c r="O142" s="20" t="str">
        <f>"Precios diarios de hortalizas en mercados mayoristas de la "&amp;Agencia[[#This Row],[territorio]]&amp;", "&amp;Agencia[[#This Row],[temporalidad]]</f>
        <v>Precios diarios de hortalizas en mercados mayoristas de la Región de La Araucanía, Año 2021</v>
      </c>
      <c r="P142" s="20"/>
      <c r="Q142" s="11" t="str">
        <f>+Q137</f>
        <v>Gráfico</v>
      </c>
      <c r="R142" s="20" t="str">
        <f>Agencia[[#This Row],[territorio]]&amp;" hortaliza precio diario pesos kilo mercado mayorista terminal"</f>
        <v>Región de La Araucanía hortaliza precio diario pesos kilo mercado mayorista terminal</v>
      </c>
      <c r="S142" s="41" t="str">
        <f>HYPERLINK("https://analytics.zoho.com/open-view/2395394000008646229?ZOHO_CRITERIA=%22Hortaliza%20Consolidado%22.%22Codreg%22%3D"&amp;Agencia[[#This Row],[Filtro URL]])</f>
        <v>https://analytics.zoho.com/open-view/2395394000008646229?ZOHO_CRITERIA=%22Hortaliza%20Consolidado%22.%22Codreg%22%3D9</v>
      </c>
      <c r="T142" s="68" t="str">
        <f>"100-R-"&amp;Agencia[[#This Row],[Filtro URL]]</f>
        <v>100-R-9</v>
      </c>
      <c r="U142" s="50" t="str">
        <f>+U137</f>
        <v>#1774B9</v>
      </c>
      <c r="V142" s="118" t="str">
        <f>+Agencia[[#This Row],[idcoleccion]]&amp;"-"&amp;Agencia[[#This Row],[id]]</f>
        <v>990-0131</v>
      </c>
      <c r="W142" s="118">
        <f>+VLOOKUP(Agencia[[#This Row],[Filtro URL]],Estructura!$X$4:$Y$500,2,0)</f>
        <v>99200009</v>
      </c>
      <c r="X142" s="118" t="str">
        <f>+VLOOKUP(Agencia[[#This Row],[tema]],Estructura!$A$4:$C$500,3,0)</f>
        <v>T-1033</v>
      </c>
      <c r="Y142" s="118" t="str">
        <f>+VLOOKUP(Agencia[[#This Row],[contenido]],Estructura!$E$4:$G$500,3,0)</f>
        <v>C-997</v>
      </c>
      <c r="Z142" s="118" t="str">
        <f>+VLOOKUP(Agencia[[#This Row],[Filtro Integrado]],Estructura!$I$4:$K$500,3,0)</f>
        <v>FI-996</v>
      </c>
      <c r="AA142" s="118" t="str">
        <f>+VLOOKUP(Agencia[[#This Row],[Muestra]],Estructura!$M$4:$O$500,3,0)</f>
        <v>M-1003</v>
      </c>
    </row>
    <row r="143" spans="1:27" ht="57.6" x14ac:dyDescent="0.3">
      <c r="A143" s="21" t="s">
        <v>1728</v>
      </c>
      <c r="B143" s="9">
        <f t="shared" si="104"/>
        <v>990</v>
      </c>
      <c r="C143" s="25" t="str">
        <f t="shared" si="104"/>
        <v>Agencia Información</v>
      </c>
      <c r="D143" s="10" t="str">
        <f t="shared" si="104"/>
        <v>Agropecuario y Forestal</v>
      </c>
      <c r="E143" s="19">
        <v>10</v>
      </c>
      <c r="F143" s="10" t="s">
        <v>616</v>
      </c>
      <c r="G143" s="10" t="s">
        <v>3763</v>
      </c>
      <c r="H143" s="35" t="s">
        <v>16</v>
      </c>
      <c r="I143" s="36" t="s">
        <v>377</v>
      </c>
      <c r="J143" s="9" t="str">
        <f t="shared" si="105"/>
        <v>Hortaliza</v>
      </c>
      <c r="K143" s="9" t="str">
        <f t="shared" si="106"/>
        <v>Precios diarios de hortalizas por región</v>
      </c>
      <c r="L143" s="9" t="str">
        <f t="shared" si="109"/>
        <v>Año 2021</v>
      </c>
      <c r="M143" s="9" t="str">
        <f t="shared" si="107"/>
        <v>CLP/Kg</v>
      </c>
      <c r="N143" s="9" t="str">
        <f t="shared" si="108"/>
        <v>Oficina de Estudios y Políticas Agrarias (ODEPA)</v>
      </c>
      <c r="O143" s="20" t="str">
        <f>"Precios diarios de hortalizas en mercados mayoristas de la "&amp;Agencia[[#This Row],[territorio]]&amp;", "&amp;Agencia[[#This Row],[temporalidad]]</f>
        <v>Precios diarios de hortalizas en mercados mayoristas de la Región de Los Lagos, Año 2021</v>
      </c>
      <c r="P143" s="20"/>
      <c r="Q143" s="11" t="str">
        <f>+Q137</f>
        <v>Gráfico</v>
      </c>
      <c r="R143" s="20" t="str">
        <f>Agencia[[#This Row],[territorio]]&amp;" hortaliza precio diario pesos kilo mercado mayorista terminal"</f>
        <v>Región de Los Lagos hortaliza precio diario pesos kilo mercado mayorista terminal</v>
      </c>
      <c r="S143" s="41" t="str">
        <f>HYPERLINK("https://analytics.zoho.com/open-view/2395394000008646229?ZOHO_CRITERIA=%22Hortaliza%20Consolidado%22.%22Codreg%22%3D"&amp;Agencia[[#This Row],[Filtro URL]])</f>
        <v>https://analytics.zoho.com/open-view/2395394000008646229?ZOHO_CRITERIA=%22Hortaliza%20Consolidado%22.%22Codreg%22%3D10</v>
      </c>
      <c r="T143" s="68" t="str">
        <f>"100-R-"&amp;Agencia[[#This Row],[Filtro URL]]</f>
        <v>100-R-10</v>
      </c>
      <c r="U143" s="50" t="str">
        <f>+U137</f>
        <v>#1774B9</v>
      </c>
      <c r="V143" s="118" t="str">
        <f>+Agencia[[#This Row],[idcoleccion]]&amp;"-"&amp;Agencia[[#This Row],[id]]</f>
        <v>990-0132</v>
      </c>
      <c r="W143" s="118">
        <f>+VLOOKUP(Agencia[[#This Row],[Filtro URL]],Estructura!$X$4:$Y$500,2,0)</f>
        <v>99200010</v>
      </c>
      <c r="X143" s="118" t="str">
        <f>+VLOOKUP(Agencia[[#This Row],[tema]],Estructura!$A$4:$C$500,3,0)</f>
        <v>T-1033</v>
      </c>
      <c r="Y143" s="118" t="str">
        <f>+VLOOKUP(Agencia[[#This Row],[contenido]],Estructura!$E$4:$G$500,3,0)</f>
        <v>C-997</v>
      </c>
      <c r="Z143" s="118" t="str">
        <f>+VLOOKUP(Agencia[[#This Row],[Filtro Integrado]],Estructura!$I$4:$K$500,3,0)</f>
        <v>FI-996</v>
      </c>
      <c r="AA143" s="118" t="str">
        <f>+VLOOKUP(Agencia[[#This Row],[Muestra]],Estructura!$M$4:$O$500,3,0)</f>
        <v>M-1003</v>
      </c>
    </row>
    <row r="144" spans="1:27" ht="57.6" x14ac:dyDescent="0.3">
      <c r="A144" s="21" t="s">
        <v>536</v>
      </c>
      <c r="B144" s="9">
        <f t="shared" si="104"/>
        <v>990</v>
      </c>
      <c r="C144" s="25" t="str">
        <f t="shared" si="104"/>
        <v>Agencia Información</v>
      </c>
      <c r="D144" s="10" t="str">
        <f t="shared" si="104"/>
        <v>Agropecuario y Forestal</v>
      </c>
      <c r="E144" s="19">
        <v>13</v>
      </c>
      <c r="F144" s="10" t="s">
        <v>616</v>
      </c>
      <c r="G144" s="10" t="s">
        <v>3763</v>
      </c>
      <c r="H144" s="35" t="s">
        <v>16</v>
      </c>
      <c r="I144" s="36" t="s">
        <v>380</v>
      </c>
      <c r="J144" s="9" t="str">
        <f t="shared" si="105"/>
        <v>Hortaliza</v>
      </c>
      <c r="K144" s="9" t="str">
        <f>+K143</f>
        <v>Precios diarios de hortalizas por región</v>
      </c>
      <c r="L144" s="9" t="str">
        <f t="shared" si="109"/>
        <v>Año 2021</v>
      </c>
      <c r="M144" s="9" t="str">
        <f t="shared" si="107"/>
        <v>CLP/Kg</v>
      </c>
      <c r="N144" s="9" t="str">
        <f t="shared" si="108"/>
        <v>Oficina de Estudios y Políticas Agrarias (ODEPA)</v>
      </c>
      <c r="O144" s="20" t="str">
        <f>"Precios diarios de hortalizas en mercados mayoristas de la "&amp;Agencia[[#This Row],[territorio]]&amp;", "&amp;Agencia[[#This Row],[temporalidad]]</f>
        <v>Precios diarios de hortalizas en mercados mayoristas de la Región Metropolitana, Año 2021</v>
      </c>
      <c r="P144" s="20"/>
      <c r="Q144" s="11" t="str">
        <f>+Q137</f>
        <v>Gráfico</v>
      </c>
      <c r="R144" s="20" t="str">
        <f>Agencia[[#This Row],[territorio]]&amp;" hortaliza precio diario pesos kilo mercado mayorista terminal"</f>
        <v>Región Metropolitana hortaliza precio diario pesos kilo mercado mayorista terminal</v>
      </c>
      <c r="S144" s="41" t="str">
        <f>HYPERLINK("https://analytics.zoho.com/open-view/2395394000008646229?ZOHO_CRITERIA=%22Hortaliza%20Consolidado%22.%22Codreg%22%3D"&amp;Agencia[[#This Row],[Filtro URL]])</f>
        <v>https://analytics.zoho.com/open-view/2395394000008646229?ZOHO_CRITERIA=%22Hortaliza%20Consolidado%22.%22Codreg%22%3D13</v>
      </c>
      <c r="T144" s="68" t="str">
        <f>"200-R-"&amp;Agencia[[#This Row],[Filtro URL]]</f>
        <v>200-R-13</v>
      </c>
      <c r="U144" s="50" t="str">
        <f>+U137</f>
        <v>#1774B9</v>
      </c>
      <c r="V144" s="118" t="str">
        <f>+Agencia[[#This Row],[idcoleccion]]&amp;"-"&amp;Agencia[[#This Row],[id]]</f>
        <v>990-0133</v>
      </c>
      <c r="W144" s="118">
        <f>+VLOOKUP(Agencia[[#This Row],[Filtro URL]],Estructura!$X$4:$Y$500,2,0)</f>
        <v>99200013</v>
      </c>
      <c r="X144" s="118" t="str">
        <f>+VLOOKUP(Agencia[[#This Row],[tema]],Estructura!$A$4:$C$500,3,0)</f>
        <v>T-1033</v>
      </c>
      <c r="Y144" s="118" t="str">
        <f>+VLOOKUP(Agencia[[#This Row],[contenido]],Estructura!$E$4:$G$500,3,0)</f>
        <v>C-997</v>
      </c>
      <c r="Z144" s="118" t="str">
        <f>+VLOOKUP(Agencia[[#This Row],[Filtro Integrado]],Estructura!$I$4:$K$500,3,0)</f>
        <v>FI-996</v>
      </c>
      <c r="AA144" s="118" t="str">
        <f>+VLOOKUP(Agencia[[#This Row],[Muestra]],Estructura!$M$4:$O$500,3,0)</f>
        <v>M-1003</v>
      </c>
    </row>
    <row r="145" spans="1:27" ht="57.6" x14ac:dyDescent="0.3">
      <c r="A145" s="21" t="s">
        <v>537</v>
      </c>
      <c r="B145" s="9">
        <f t="shared" si="104"/>
        <v>990</v>
      </c>
      <c r="C145" s="25" t="str">
        <f t="shared" si="104"/>
        <v>Agencia Información</v>
      </c>
      <c r="D145" s="10" t="str">
        <f t="shared" ref="D145" si="110">+D144</f>
        <v>Agropecuario y Forestal</v>
      </c>
      <c r="E145" s="19">
        <v>15</v>
      </c>
      <c r="F145" s="10" t="s">
        <v>616</v>
      </c>
      <c r="G145" s="10" t="s">
        <v>3763</v>
      </c>
      <c r="H145" s="35" t="s">
        <v>16</v>
      </c>
      <c r="I145" s="36" t="s">
        <v>382</v>
      </c>
      <c r="J145" s="9" t="str">
        <f t="shared" si="105"/>
        <v>Hortaliza</v>
      </c>
      <c r="K145" s="9" t="str">
        <f>+K144</f>
        <v>Precios diarios de hortalizas por región</v>
      </c>
      <c r="L145" s="9" t="str">
        <f t="shared" si="109"/>
        <v>Año 2021</v>
      </c>
      <c r="M145" s="9" t="str">
        <f t="shared" si="107"/>
        <v>CLP/Kg</v>
      </c>
      <c r="N145" s="9" t="str">
        <f t="shared" si="108"/>
        <v>Oficina de Estudios y Políticas Agrarias (ODEPA)</v>
      </c>
      <c r="O145" s="20" t="str">
        <f>"Precios diarios de hortalizas en mercados mayoristas de la "&amp;Agencia[[#This Row],[territorio]]&amp;", "&amp;Agencia[[#This Row],[temporalidad]]</f>
        <v>Precios diarios de hortalizas en mercados mayoristas de la Región de Arica y Parinacota, Año 2021</v>
      </c>
      <c r="P145" s="20"/>
      <c r="Q145" s="11" t="str">
        <f>+Q137</f>
        <v>Gráfico</v>
      </c>
      <c r="R145" s="20" t="str">
        <f>Agencia[[#This Row],[territorio]]&amp;" hortaliza precio diario pesos kilo mercado mayorista terminal"</f>
        <v>Región de Arica y Parinacota hortaliza precio diario pesos kilo mercado mayorista terminal</v>
      </c>
      <c r="S145" s="41" t="str">
        <f>HYPERLINK("https://analytics.zoho.com/open-view/2395394000008646229?ZOHO_CRITERIA=%22Hortaliza%20Consolidado%22.%22Codreg%22%3D"&amp;Agencia[[#This Row],[Filtro URL]])</f>
        <v>https://analytics.zoho.com/open-view/2395394000008646229?ZOHO_CRITERIA=%22Hortaliza%20Consolidado%22.%22Codreg%22%3D15</v>
      </c>
      <c r="T145" s="68" t="str">
        <f>"100-R-"&amp;Agencia[[#This Row],[Filtro URL]]</f>
        <v>100-R-15</v>
      </c>
      <c r="U145" s="50" t="str">
        <f>+U137</f>
        <v>#1774B9</v>
      </c>
      <c r="V145" s="118" t="str">
        <f>+Agencia[[#This Row],[idcoleccion]]&amp;"-"&amp;Agencia[[#This Row],[id]]</f>
        <v>990-0134</v>
      </c>
      <c r="W145" s="118">
        <f>+VLOOKUP(Agencia[[#This Row],[Filtro URL]],Estructura!$X$4:$Y$500,2,0)</f>
        <v>99200015</v>
      </c>
      <c r="X145" s="118" t="str">
        <f>+VLOOKUP(Agencia[[#This Row],[tema]],Estructura!$A$4:$C$500,3,0)</f>
        <v>T-1033</v>
      </c>
      <c r="Y145" s="118" t="str">
        <f>+VLOOKUP(Agencia[[#This Row],[contenido]],Estructura!$E$4:$G$500,3,0)</f>
        <v>C-997</v>
      </c>
      <c r="Z145" s="118" t="str">
        <f>+VLOOKUP(Agencia[[#This Row],[Filtro Integrado]],Estructura!$I$4:$K$500,3,0)</f>
        <v>FI-996</v>
      </c>
      <c r="AA145" s="118" t="str">
        <f>+VLOOKUP(Agencia[[#This Row],[Muestra]],Estructura!$M$4:$O$500,3,0)</f>
        <v>M-1003</v>
      </c>
    </row>
    <row r="146" spans="1:27" ht="57.6" x14ac:dyDescent="0.3">
      <c r="A146" s="21" t="s">
        <v>538</v>
      </c>
      <c r="B146" s="9">
        <f t="shared" si="104"/>
        <v>990</v>
      </c>
      <c r="C146" s="25" t="str">
        <f t="shared" si="104"/>
        <v>Agencia Información</v>
      </c>
      <c r="D146" s="10" t="str">
        <f t="shared" ref="D146" si="111">+D145</f>
        <v>Agropecuario y Forestal</v>
      </c>
      <c r="E146" s="19">
        <v>16</v>
      </c>
      <c r="F146" s="10" t="s">
        <v>616</v>
      </c>
      <c r="G146" s="10" t="s">
        <v>3763</v>
      </c>
      <c r="H146" s="35" t="s">
        <v>16</v>
      </c>
      <c r="I146" s="36" t="s">
        <v>383</v>
      </c>
      <c r="J146" s="9" t="str">
        <f t="shared" si="105"/>
        <v>Hortaliza</v>
      </c>
      <c r="K146" s="9" t="str">
        <f t="shared" si="106"/>
        <v>Precios diarios de hortalizas por región</v>
      </c>
      <c r="L146" s="9" t="str">
        <f t="shared" si="109"/>
        <v>Año 2021</v>
      </c>
      <c r="M146" s="9" t="str">
        <f t="shared" si="107"/>
        <v>CLP/Kg</v>
      </c>
      <c r="N146" s="9" t="str">
        <f t="shared" si="108"/>
        <v>Oficina de Estudios y Políticas Agrarias (ODEPA)</v>
      </c>
      <c r="O146" s="20" t="str">
        <f>"Precios diarios de hortalizas en mercados mayoristas de la "&amp;Agencia[[#This Row],[territorio]]&amp;", "&amp;Agencia[[#This Row],[temporalidad]]</f>
        <v>Precios diarios de hortalizas en mercados mayoristas de la Región de Ñuble, Año 2021</v>
      </c>
      <c r="P146" s="20"/>
      <c r="Q146" s="11" t="str">
        <f>+Q137</f>
        <v>Gráfico</v>
      </c>
      <c r="R146" s="20" t="str">
        <f>Agencia[[#This Row],[territorio]]&amp;" hortaliza precio diario pesos kilo mercado mayorista terminal"</f>
        <v>Región de Ñuble hortaliza precio diario pesos kilo mercado mayorista terminal</v>
      </c>
      <c r="S146" s="41" t="str">
        <f>HYPERLINK("https://analytics.zoho.com/open-view/2395394000008646229?ZOHO_CRITERIA=%22Hortaliza%20Consolidado%22.%22Codreg%22%3D"&amp;Agencia[[#This Row],[Filtro URL]])</f>
        <v>https://analytics.zoho.com/open-view/2395394000008646229?ZOHO_CRITERIA=%22Hortaliza%20Consolidado%22.%22Codreg%22%3D16</v>
      </c>
      <c r="T146" s="68" t="str">
        <f>"100-R-"&amp;Agencia[[#This Row],[Filtro URL]]</f>
        <v>100-R-16</v>
      </c>
      <c r="U146" s="50" t="str">
        <f>+U137</f>
        <v>#1774B9</v>
      </c>
      <c r="V146" s="118" t="str">
        <f>+Agencia[[#This Row],[idcoleccion]]&amp;"-"&amp;Agencia[[#This Row],[id]]</f>
        <v>990-0135</v>
      </c>
      <c r="W146" s="118">
        <f>+VLOOKUP(Agencia[[#This Row],[Filtro URL]],Estructura!$X$4:$Y$500,2,0)</f>
        <v>99200016</v>
      </c>
      <c r="X146" s="118" t="str">
        <f>+VLOOKUP(Agencia[[#This Row],[tema]],Estructura!$A$4:$C$500,3,0)</f>
        <v>T-1033</v>
      </c>
      <c r="Y146" s="118" t="str">
        <f>+VLOOKUP(Agencia[[#This Row],[contenido]],Estructura!$E$4:$G$500,3,0)</f>
        <v>C-997</v>
      </c>
      <c r="Z146" s="118" t="str">
        <f>+VLOOKUP(Agencia[[#This Row],[Filtro Integrado]],Estructura!$I$4:$K$500,3,0)</f>
        <v>FI-996</v>
      </c>
      <c r="AA146" s="118" t="str">
        <f>+VLOOKUP(Agencia[[#This Row],[Muestra]],Estructura!$M$4:$O$500,3,0)</f>
        <v>M-1003</v>
      </c>
    </row>
    <row r="147" spans="1:27" ht="81.599999999999994" x14ac:dyDescent="0.3">
      <c r="A147" s="21" t="s">
        <v>539</v>
      </c>
      <c r="B147" s="24">
        <f t="shared" ref="B147:B157" si="112">+B137</f>
        <v>990</v>
      </c>
      <c r="C147" s="25" t="str">
        <f t="shared" ref="C147:C160" si="113">+C146</f>
        <v>Agencia Información</v>
      </c>
      <c r="D147" s="25" t="s">
        <v>578</v>
      </c>
      <c r="E147" s="14">
        <v>0</v>
      </c>
      <c r="F147" s="10" t="s">
        <v>616</v>
      </c>
      <c r="G147" s="10" t="s">
        <v>3763</v>
      </c>
      <c r="H147" s="33" t="s">
        <v>20</v>
      </c>
      <c r="I147" s="34" t="s">
        <v>15</v>
      </c>
      <c r="J147" s="9" t="s">
        <v>618</v>
      </c>
      <c r="K147" s="9" t="s">
        <v>849</v>
      </c>
      <c r="L147" s="9" t="str">
        <f>+L137</f>
        <v>Año 2021</v>
      </c>
      <c r="M147" s="9" t="str">
        <f>+M137</f>
        <v>CLP/Kg</v>
      </c>
      <c r="N147" s="9" t="s">
        <v>619</v>
      </c>
      <c r="O147" s="20" t="str">
        <f>"Precios diarios de frutas en mercados mayoristas de "&amp;Agencia[[#This Row],[territorio]]&amp;", "&amp;Agencia[[#This Row],[temporalidad]]</f>
        <v>Precios diarios de frutas en mercados mayoristas de Chile, Año 2021</v>
      </c>
      <c r="P147" s="20" t="s">
        <v>1058</v>
      </c>
      <c r="Q147" s="11" t="s">
        <v>584</v>
      </c>
      <c r="R147" s="20" t="str">
        <f>Agencia[[#This Row],[territorio]]&amp;" fruta precio diario pesos kilo mercado mayorista terminal"</f>
        <v>Chile fruta precio diario pesos kilo mercado mayorista terminal</v>
      </c>
      <c r="S147" s="41" t="s">
        <v>1703</v>
      </c>
      <c r="T147" s="68" t="s">
        <v>855</v>
      </c>
      <c r="U147" s="50" t="str">
        <f>+U137</f>
        <v>#1774B9</v>
      </c>
      <c r="V147" s="118" t="str">
        <f>+Agencia[[#This Row],[idcoleccion]]&amp;"-"&amp;Agencia[[#This Row],[id]]</f>
        <v>990-0136</v>
      </c>
      <c r="W147" s="118">
        <f>+VLOOKUP(Agencia[[#This Row],[Filtro URL]],Estructura!$X$4:$Y$500,2,0)</f>
        <v>99100000</v>
      </c>
      <c r="X147" s="118" t="str">
        <f>+VLOOKUP(Agencia[[#This Row],[tema]],Estructura!$A$4:$C$500,3,0)</f>
        <v>T-1033</v>
      </c>
      <c r="Y147" s="118" t="str">
        <f>+VLOOKUP(Agencia[[#This Row],[contenido]],Estructura!$E$4:$G$500,3,0)</f>
        <v>C-997</v>
      </c>
      <c r="Z147" s="118" t="str">
        <f>+VLOOKUP(Agencia[[#This Row],[Filtro Integrado]],Estructura!$I$4:$K$500,3,0)</f>
        <v>FI-997</v>
      </c>
      <c r="AA147" s="118" t="str">
        <f>+VLOOKUP(Agencia[[#This Row],[Muestra]],Estructura!$M$4:$O$500,3,0)</f>
        <v>M-1004</v>
      </c>
    </row>
    <row r="148" spans="1:27" ht="57.6" x14ac:dyDescent="0.3">
      <c r="A148" s="21" t="s">
        <v>1729</v>
      </c>
      <c r="B148" s="24">
        <f t="shared" si="112"/>
        <v>990</v>
      </c>
      <c r="C148" s="25" t="str">
        <f>+C147</f>
        <v>Agencia Información</v>
      </c>
      <c r="D148" s="25" t="str">
        <f>+D147</f>
        <v>Agropecuario y Forestal</v>
      </c>
      <c r="E148" s="19">
        <v>4</v>
      </c>
      <c r="F148" s="10" t="s">
        <v>616</v>
      </c>
      <c r="G148" s="10" t="s">
        <v>3763</v>
      </c>
      <c r="H148" s="35" t="s">
        <v>16</v>
      </c>
      <c r="I148" s="36" t="s">
        <v>371</v>
      </c>
      <c r="J148" s="9" t="str">
        <f>+J147</f>
        <v>Fruta</v>
      </c>
      <c r="K148" s="9" t="str">
        <f t="shared" ref="K148:N148" si="114">+K147</f>
        <v>Precios diarios de frutas en Chile</v>
      </c>
      <c r="L148" s="9" t="str">
        <f t="shared" si="114"/>
        <v>Año 2021</v>
      </c>
      <c r="M148" s="9" t="str">
        <f t="shared" si="114"/>
        <v>CLP/Kg</v>
      </c>
      <c r="N148" s="9" t="str">
        <f t="shared" si="114"/>
        <v>Oficina de Estudios y Políticas Agrarias (ODEPA)</v>
      </c>
      <c r="O148" s="20" t="str">
        <f>"Precios diarios de frutas en mercados mayoristas de la "&amp;Agencia[[#This Row],[territorio]]&amp;", "&amp;Agencia[[#This Row],[temporalidad]]</f>
        <v>Precios diarios de frutas en mercados mayoristas de la Región de Coquimbo, Año 2021</v>
      </c>
      <c r="P148" s="20"/>
      <c r="Q148" s="11" t="str">
        <f>+Q147</f>
        <v>Gráfico</v>
      </c>
      <c r="R148" s="20" t="str">
        <f>Agencia[[#This Row],[territorio]]&amp;" fruta precio diario pesos kilo mercado mayorista terminal"</f>
        <v>Región de Coquimbo fruta precio diario pesos kilo mercado mayorista terminal</v>
      </c>
      <c r="S148" s="41" t="str">
        <f>HYPERLINK("https://analytics.zoho.com/open-view/2395394000008646880?ZOHO_CRITERIA=%22Fruta%20Consolidado%22.%22Codreg%22%3D"&amp;Agencia[[#This Row],[Filtro URL]])</f>
        <v>https://analytics.zoho.com/open-view/2395394000008646880?ZOHO_CRITERIA=%22Fruta%20Consolidado%22.%22Codreg%22%3D4</v>
      </c>
      <c r="T148" s="68" t="str">
        <f>"100-R-"&amp;Agencia[[#This Row],[Filtro URL]]</f>
        <v>100-R-4</v>
      </c>
      <c r="U148" s="50" t="str">
        <f>+U147</f>
        <v>#1774B9</v>
      </c>
      <c r="V148" s="118" t="str">
        <f>+Agencia[[#This Row],[idcoleccion]]&amp;"-"&amp;Agencia[[#This Row],[id]]</f>
        <v>990-0137</v>
      </c>
      <c r="W148" s="118">
        <f>+VLOOKUP(Agencia[[#This Row],[Filtro URL]],Estructura!$X$4:$Y$500,2,0)</f>
        <v>99200004</v>
      </c>
      <c r="X148" s="118" t="str">
        <f>+VLOOKUP(Agencia[[#This Row],[tema]],Estructura!$A$4:$C$500,3,0)</f>
        <v>T-1033</v>
      </c>
      <c r="Y148" s="118" t="str">
        <f>+VLOOKUP(Agencia[[#This Row],[contenido]],Estructura!$E$4:$G$500,3,0)</f>
        <v>C-997</v>
      </c>
      <c r="Z148" s="118" t="str">
        <f>+VLOOKUP(Agencia[[#This Row],[Filtro Integrado]],Estructura!$I$4:$K$500,3,0)</f>
        <v>FI-997</v>
      </c>
      <c r="AA148" s="118" t="str">
        <f>+VLOOKUP(Agencia[[#This Row],[Muestra]],Estructura!$M$4:$O$500,3,0)</f>
        <v>M-1004</v>
      </c>
    </row>
    <row r="149" spans="1:27" ht="57.6" x14ac:dyDescent="0.3">
      <c r="A149" s="21" t="s">
        <v>1730</v>
      </c>
      <c r="B149" s="24">
        <f t="shared" si="112"/>
        <v>990</v>
      </c>
      <c r="C149" s="25" t="str">
        <f t="shared" si="113"/>
        <v>Agencia Información</v>
      </c>
      <c r="D149" s="25" t="str">
        <f t="shared" ref="D149:D156" si="115">+D148</f>
        <v>Agropecuario y Forestal</v>
      </c>
      <c r="E149" s="19">
        <v>5</v>
      </c>
      <c r="F149" s="10" t="s">
        <v>616</v>
      </c>
      <c r="G149" s="10" t="s">
        <v>3763</v>
      </c>
      <c r="H149" s="35" t="s">
        <v>16</v>
      </c>
      <c r="I149" s="36" t="s">
        <v>372</v>
      </c>
      <c r="J149" s="9" t="str">
        <f t="shared" ref="J149:J156" si="116">+J148</f>
        <v>Fruta</v>
      </c>
      <c r="K149" s="9" t="str">
        <f t="shared" ref="K149:K156" si="117">+K148</f>
        <v>Precios diarios de frutas en Chile</v>
      </c>
      <c r="L149" s="9" t="str">
        <f t="shared" ref="L149:L156" si="118">+L148</f>
        <v>Año 2021</v>
      </c>
      <c r="M149" s="9" t="str">
        <f t="shared" ref="M149:M156" si="119">+M148</f>
        <v>CLP/Kg</v>
      </c>
      <c r="N149" s="9" t="str">
        <f t="shared" ref="N149:N156" si="120">+N148</f>
        <v>Oficina de Estudios y Políticas Agrarias (ODEPA)</v>
      </c>
      <c r="O149" s="20" t="str">
        <f>"Precios diarios de frutas en mercados mayoristas de la "&amp;Agencia[[#This Row],[territorio]]&amp;", "&amp;Agencia[[#This Row],[temporalidad]]</f>
        <v>Precios diarios de frutas en mercados mayoristas de la Región de Valparaíso, Año 2021</v>
      </c>
      <c r="P149" s="20"/>
      <c r="Q149" s="11" t="str">
        <f>+Q147</f>
        <v>Gráfico</v>
      </c>
      <c r="R149" s="20" t="str">
        <f>Agencia[[#This Row],[territorio]]&amp;" fruta precio diario pesos kilo mercado mayorista terminal"</f>
        <v>Región de Valparaíso fruta precio diario pesos kilo mercado mayorista terminal</v>
      </c>
      <c r="S149" s="41" t="str">
        <f>HYPERLINK("https://analytics.zoho.com/open-view/2395394000008646880?ZOHO_CRITERIA=%22Fruta%20Consolidado%22.%22Codreg%22%3D"&amp;Agencia[[#This Row],[Filtro URL]])</f>
        <v>https://analytics.zoho.com/open-view/2395394000008646880?ZOHO_CRITERIA=%22Fruta%20Consolidado%22.%22Codreg%22%3D5</v>
      </c>
      <c r="T149" s="68" t="str">
        <f>"100-R-"&amp;Agencia[[#This Row],[Filtro URL]]</f>
        <v>100-R-5</v>
      </c>
      <c r="U149" s="50" t="str">
        <f>+U147</f>
        <v>#1774B9</v>
      </c>
      <c r="V149" s="118" t="str">
        <f>+Agencia[[#This Row],[idcoleccion]]&amp;"-"&amp;Agencia[[#This Row],[id]]</f>
        <v>990-0138</v>
      </c>
      <c r="W149" s="118">
        <f>+VLOOKUP(Agencia[[#This Row],[Filtro URL]],Estructura!$X$4:$Y$500,2,0)</f>
        <v>99200005</v>
      </c>
      <c r="X149" s="118" t="str">
        <f>+VLOOKUP(Agencia[[#This Row],[tema]],Estructura!$A$4:$C$500,3,0)</f>
        <v>T-1033</v>
      </c>
      <c r="Y149" s="118" t="str">
        <f>+VLOOKUP(Agencia[[#This Row],[contenido]],Estructura!$E$4:$G$500,3,0)</f>
        <v>C-997</v>
      </c>
      <c r="Z149" s="118" t="str">
        <f>+VLOOKUP(Agencia[[#This Row],[Filtro Integrado]],Estructura!$I$4:$K$500,3,0)</f>
        <v>FI-997</v>
      </c>
      <c r="AA149" s="118" t="str">
        <f>+VLOOKUP(Agencia[[#This Row],[Muestra]],Estructura!$M$4:$O$500,3,0)</f>
        <v>M-1004</v>
      </c>
    </row>
    <row r="150" spans="1:27" ht="57.6" x14ac:dyDescent="0.3">
      <c r="A150" s="21" t="s">
        <v>540</v>
      </c>
      <c r="B150" s="24">
        <f t="shared" si="112"/>
        <v>990</v>
      </c>
      <c r="C150" s="25" t="str">
        <f t="shared" si="113"/>
        <v>Agencia Información</v>
      </c>
      <c r="D150" s="25" t="str">
        <f t="shared" si="115"/>
        <v>Agropecuario y Forestal</v>
      </c>
      <c r="E150" s="19">
        <v>7</v>
      </c>
      <c r="F150" s="10" t="s">
        <v>616</v>
      </c>
      <c r="G150" s="10" t="s">
        <v>3763</v>
      </c>
      <c r="H150" s="35" t="s">
        <v>16</v>
      </c>
      <c r="I150" s="36" t="s">
        <v>374</v>
      </c>
      <c r="J150" s="9" t="str">
        <f t="shared" si="116"/>
        <v>Fruta</v>
      </c>
      <c r="K150" s="9" t="str">
        <f t="shared" si="117"/>
        <v>Precios diarios de frutas en Chile</v>
      </c>
      <c r="L150" s="9" t="str">
        <f t="shared" si="118"/>
        <v>Año 2021</v>
      </c>
      <c r="M150" s="9" t="str">
        <f t="shared" si="119"/>
        <v>CLP/Kg</v>
      </c>
      <c r="N150" s="9" t="str">
        <f t="shared" si="120"/>
        <v>Oficina de Estudios y Políticas Agrarias (ODEPA)</v>
      </c>
      <c r="O150" s="20" t="str">
        <f>"Precios diarios de frutas en mercados mayoristas de la "&amp;Agencia[[#This Row],[territorio]]&amp;", "&amp;Agencia[[#This Row],[temporalidad]]</f>
        <v>Precios diarios de frutas en mercados mayoristas de la Región de Maule, Año 2021</v>
      </c>
      <c r="P150" s="20"/>
      <c r="Q150" s="11" t="str">
        <f>+Q147</f>
        <v>Gráfico</v>
      </c>
      <c r="R150" s="20" t="str">
        <f>Agencia[[#This Row],[territorio]]&amp;" fruta precio diario pesos kilo mercado mayorista terminal"</f>
        <v>Región de Maule fruta precio diario pesos kilo mercado mayorista terminal</v>
      </c>
      <c r="S150" s="41" t="str">
        <f>HYPERLINK("https://analytics.zoho.com/open-view/2395394000008646880?ZOHO_CRITERIA=%22Fruta%20Consolidado%22.%22Codreg%22%3D"&amp;Agencia[[#This Row],[Filtro URL]])</f>
        <v>https://analytics.zoho.com/open-view/2395394000008646880?ZOHO_CRITERIA=%22Fruta%20Consolidado%22.%22Codreg%22%3D7</v>
      </c>
      <c r="T150" s="68" t="str">
        <f>"100-R-"&amp;Agencia[[#This Row],[Filtro URL]]</f>
        <v>100-R-7</v>
      </c>
      <c r="U150" s="50" t="str">
        <f>+U147</f>
        <v>#1774B9</v>
      </c>
      <c r="V150" s="118" t="str">
        <f>+Agencia[[#This Row],[idcoleccion]]&amp;"-"&amp;Agencia[[#This Row],[id]]</f>
        <v>990-0139</v>
      </c>
      <c r="W150" s="118">
        <f>+VLOOKUP(Agencia[[#This Row],[Filtro URL]],Estructura!$X$4:$Y$500,2,0)</f>
        <v>99200007</v>
      </c>
      <c r="X150" s="118" t="str">
        <f>+VLOOKUP(Agencia[[#This Row],[tema]],Estructura!$A$4:$C$500,3,0)</f>
        <v>T-1033</v>
      </c>
      <c r="Y150" s="118" t="str">
        <f>+VLOOKUP(Agencia[[#This Row],[contenido]],Estructura!$E$4:$G$500,3,0)</f>
        <v>C-997</v>
      </c>
      <c r="Z150" s="118" t="str">
        <f>+VLOOKUP(Agencia[[#This Row],[Filtro Integrado]],Estructura!$I$4:$K$500,3,0)</f>
        <v>FI-997</v>
      </c>
      <c r="AA150" s="118" t="str">
        <f>+VLOOKUP(Agencia[[#This Row],[Muestra]],Estructura!$M$4:$O$500,3,0)</f>
        <v>M-1004</v>
      </c>
    </row>
    <row r="151" spans="1:27" ht="57.6" x14ac:dyDescent="0.3">
      <c r="A151" s="21" t="s">
        <v>1731</v>
      </c>
      <c r="B151" s="24">
        <f t="shared" si="112"/>
        <v>990</v>
      </c>
      <c r="C151" s="25" t="str">
        <f t="shared" si="113"/>
        <v>Agencia Información</v>
      </c>
      <c r="D151" s="25" t="str">
        <f t="shared" si="115"/>
        <v>Agropecuario y Forestal</v>
      </c>
      <c r="E151" s="19">
        <v>8</v>
      </c>
      <c r="F151" s="10" t="s">
        <v>616</v>
      </c>
      <c r="G151" s="10" t="s">
        <v>3763</v>
      </c>
      <c r="H151" s="35" t="s">
        <v>16</v>
      </c>
      <c r="I151" s="36" t="s">
        <v>375</v>
      </c>
      <c r="J151" s="9" t="str">
        <f t="shared" si="116"/>
        <v>Fruta</v>
      </c>
      <c r="K151" s="9" t="str">
        <f t="shared" si="117"/>
        <v>Precios diarios de frutas en Chile</v>
      </c>
      <c r="L151" s="9" t="str">
        <f t="shared" si="118"/>
        <v>Año 2021</v>
      </c>
      <c r="M151" s="9" t="str">
        <f t="shared" si="119"/>
        <v>CLP/Kg</v>
      </c>
      <c r="N151" s="9" t="str">
        <f t="shared" si="120"/>
        <v>Oficina de Estudios y Políticas Agrarias (ODEPA)</v>
      </c>
      <c r="O151" s="20" t="str">
        <f>"Precios diarios de frutas en mercados mayoristas de la "&amp;Agencia[[#This Row],[territorio]]&amp;", "&amp;Agencia[[#This Row],[temporalidad]]</f>
        <v>Precios diarios de frutas en mercados mayoristas de la Región del Biobío, Año 2021</v>
      </c>
      <c r="P151" s="20"/>
      <c r="Q151" s="11" t="str">
        <f>+Q147</f>
        <v>Gráfico</v>
      </c>
      <c r="R151" s="20" t="str">
        <f>Agencia[[#This Row],[territorio]]&amp;" fruta precio diario pesos kilo mercado mayorista terminal"</f>
        <v>Región del Biobío fruta precio diario pesos kilo mercado mayorista terminal</v>
      </c>
      <c r="S151" s="41" t="str">
        <f>HYPERLINK("https://analytics.zoho.com/open-view/2395394000008646880?ZOHO_CRITERIA=%22Fruta%20Consolidado%22.%22Codreg%22%3D"&amp;Agencia[[#This Row],[Filtro URL]])</f>
        <v>https://analytics.zoho.com/open-view/2395394000008646880?ZOHO_CRITERIA=%22Fruta%20Consolidado%22.%22Codreg%22%3D8</v>
      </c>
      <c r="T151" s="68" t="str">
        <f>"100-R-"&amp;Agencia[[#This Row],[Filtro URL]]</f>
        <v>100-R-8</v>
      </c>
      <c r="U151" s="50" t="str">
        <f>+U147</f>
        <v>#1774B9</v>
      </c>
      <c r="V151" s="118" t="str">
        <f>+Agencia[[#This Row],[idcoleccion]]&amp;"-"&amp;Agencia[[#This Row],[id]]</f>
        <v>990-0140</v>
      </c>
      <c r="W151" s="118">
        <f>+VLOOKUP(Agencia[[#This Row],[Filtro URL]],Estructura!$X$4:$Y$500,2,0)</f>
        <v>99200008</v>
      </c>
      <c r="X151" s="118" t="str">
        <f>+VLOOKUP(Agencia[[#This Row],[tema]],Estructura!$A$4:$C$500,3,0)</f>
        <v>T-1033</v>
      </c>
      <c r="Y151" s="118" t="str">
        <f>+VLOOKUP(Agencia[[#This Row],[contenido]],Estructura!$E$4:$G$500,3,0)</f>
        <v>C-997</v>
      </c>
      <c r="Z151" s="118" t="str">
        <f>+VLOOKUP(Agencia[[#This Row],[Filtro Integrado]],Estructura!$I$4:$K$500,3,0)</f>
        <v>FI-997</v>
      </c>
      <c r="AA151" s="118" t="str">
        <f>+VLOOKUP(Agencia[[#This Row],[Muestra]],Estructura!$M$4:$O$500,3,0)</f>
        <v>M-1004</v>
      </c>
    </row>
    <row r="152" spans="1:27" ht="57.6" x14ac:dyDescent="0.3">
      <c r="A152" s="21" t="s">
        <v>541</v>
      </c>
      <c r="B152" s="24">
        <f t="shared" si="112"/>
        <v>990</v>
      </c>
      <c r="C152" s="25" t="str">
        <f t="shared" si="113"/>
        <v>Agencia Información</v>
      </c>
      <c r="D152" s="25" t="str">
        <f t="shared" si="115"/>
        <v>Agropecuario y Forestal</v>
      </c>
      <c r="E152" s="19">
        <v>9</v>
      </c>
      <c r="F152" s="10" t="s">
        <v>616</v>
      </c>
      <c r="G152" s="10" t="s">
        <v>3763</v>
      </c>
      <c r="H152" s="35" t="s">
        <v>16</v>
      </c>
      <c r="I152" s="36" t="s">
        <v>376</v>
      </c>
      <c r="J152" s="9" t="str">
        <f t="shared" si="116"/>
        <v>Fruta</v>
      </c>
      <c r="K152" s="9" t="str">
        <f t="shared" si="117"/>
        <v>Precios diarios de frutas en Chile</v>
      </c>
      <c r="L152" s="9" t="str">
        <f t="shared" si="118"/>
        <v>Año 2021</v>
      </c>
      <c r="M152" s="9" t="str">
        <f t="shared" si="119"/>
        <v>CLP/Kg</v>
      </c>
      <c r="N152" s="9" t="str">
        <f t="shared" si="120"/>
        <v>Oficina de Estudios y Políticas Agrarias (ODEPA)</v>
      </c>
      <c r="O152" s="20" t="str">
        <f>"Precios diarios de frutas en mercados mayoristas de la "&amp;Agencia[[#This Row],[territorio]]&amp;", "&amp;Agencia[[#This Row],[temporalidad]]</f>
        <v>Precios diarios de frutas en mercados mayoristas de la Región de La Araucanía, Año 2021</v>
      </c>
      <c r="P152" s="20"/>
      <c r="Q152" s="11" t="str">
        <f>+Q147</f>
        <v>Gráfico</v>
      </c>
      <c r="R152" s="20" t="str">
        <f>Agencia[[#This Row],[territorio]]&amp;" fruta precio diario pesos kilo mercado mayorista terminal"</f>
        <v>Región de La Araucanía fruta precio diario pesos kilo mercado mayorista terminal</v>
      </c>
      <c r="S152" s="41" t="str">
        <f>HYPERLINK("https://analytics.zoho.com/open-view/2395394000008646880?ZOHO_CRITERIA=%22Fruta%20Consolidado%22.%22Codreg%22%3D"&amp;Agencia[[#This Row],[Filtro URL]])</f>
        <v>https://analytics.zoho.com/open-view/2395394000008646880?ZOHO_CRITERIA=%22Fruta%20Consolidado%22.%22Codreg%22%3D9</v>
      </c>
      <c r="T152" s="68" t="str">
        <f>"100-R-"&amp;Agencia[[#This Row],[Filtro URL]]</f>
        <v>100-R-9</v>
      </c>
      <c r="U152" s="50" t="str">
        <f>+U147</f>
        <v>#1774B9</v>
      </c>
      <c r="V152" s="118" t="str">
        <f>+Agencia[[#This Row],[idcoleccion]]&amp;"-"&amp;Agencia[[#This Row],[id]]</f>
        <v>990-0141</v>
      </c>
      <c r="W152" s="118">
        <f>+VLOOKUP(Agencia[[#This Row],[Filtro URL]],Estructura!$X$4:$Y$500,2,0)</f>
        <v>99200009</v>
      </c>
      <c r="X152" s="118" t="str">
        <f>+VLOOKUP(Agencia[[#This Row],[tema]],Estructura!$A$4:$C$500,3,0)</f>
        <v>T-1033</v>
      </c>
      <c r="Y152" s="118" t="str">
        <f>+VLOOKUP(Agencia[[#This Row],[contenido]],Estructura!$E$4:$G$500,3,0)</f>
        <v>C-997</v>
      </c>
      <c r="Z152" s="118" t="str">
        <f>+VLOOKUP(Agencia[[#This Row],[Filtro Integrado]],Estructura!$I$4:$K$500,3,0)</f>
        <v>FI-997</v>
      </c>
      <c r="AA152" s="118" t="str">
        <f>+VLOOKUP(Agencia[[#This Row],[Muestra]],Estructura!$M$4:$O$500,3,0)</f>
        <v>M-1004</v>
      </c>
    </row>
    <row r="153" spans="1:27" ht="57.6" x14ac:dyDescent="0.3">
      <c r="A153" s="21" t="s">
        <v>542</v>
      </c>
      <c r="B153" s="24">
        <f t="shared" si="112"/>
        <v>990</v>
      </c>
      <c r="C153" s="25" t="str">
        <f t="shared" si="113"/>
        <v>Agencia Información</v>
      </c>
      <c r="D153" s="25" t="str">
        <f t="shared" si="115"/>
        <v>Agropecuario y Forestal</v>
      </c>
      <c r="E153" s="19">
        <v>10</v>
      </c>
      <c r="F153" s="10" t="s">
        <v>616</v>
      </c>
      <c r="G153" s="10" t="s">
        <v>3763</v>
      </c>
      <c r="H153" s="35" t="s">
        <v>16</v>
      </c>
      <c r="I153" s="36" t="s">
        <v>377</v>
      </c>
      <c r="J153" s="9" t="str">
        <f t="shared" si="116"/>
        <v>Fruta</v>
      </c>
      <c r="K153" s="9" t="str">
        <f t="shared" si="117"/>
        <v>Precios diarios de frutas en Chile</v>
      </c>
      <c r="L153" s="9" t="str">
        <f t="shared" si="118"/>
        <v>Año 2021</v>
      </c>
      <c r="M153" s="9" t="str">
        <f t="shared" si="119"/>
        <v>CLP/Kg</v>
      </c>
      <c r="N153" s="9" t="str">
        <f t="shared" si="120"/>
        <v>Oficina de Estudios y Políticas Agrarias (ODEPA)</v>
      </c>
      <c r="O153" s="20" t="str">
        <f>"Precios diarios de frutas en mercados mayoristas de la "&amp;Agencia[[#This Row],[territorio]]&amp;", "&amp;Agencia[[#This Row],[temporalidad]]</f>
        <v>Precios diarios de frutas en mercados mayoristas de la Región de Los Lagos, Año 2021</v>
      </c>
      <c r="P153" s="20"/>
      <c r="Q153" s="11" t="str">
        <f>+Q147</f>
        <v>Gráfico</v>
      </c>
      <c r="R153" s="20" t="str">
        <f>Agencia[[#This Row],[territorio]]&amp;" fruta precio diario pesos kilo mercado mayorista terminal"</f>
        <v>Región de Los Lagos fruta precio diario pesos kilo mercado mayorista terminal</v>
      </c>
      <c r="S153" s="41" t="str">
        <f>HYPERLINK("https://analytics.zoho.com/open-view/2395394000008646880?ZOHO_CRITERIA=%22Fruta%20Consolidado%22.%22Codreg%22%3D"&amp;Agencia[[#This Row],[Filtro URL]])</f>
        <v>https://analytics.zoho.com/open-view/2395394000008646880?ZOHO_CRITERIA=%22Fruta%20Consolidado%22.%22Codreg%22%3D10</v>
      </c>
      <c r="T153" s="68" t="str">
        <f>"100-R-"&amp;Agencia[[#This Row],[Filtro URL]]</f>
        <v>100-R-10</v>
      </c>
      <c r="U153" s="50" t="str">
        <f>+U147</f>
        <v>#1774B9</v>
      </c>
      <c r="V153" s="118" t="str">
        <f>+Agencia[[#This Row],[idcoleccion]]&amp;"-"&amp;Agencia[[#This Row],[id]]</f>
        <v>990-0142</v>
      </c>
      <c r="W153" s="118">
        <f>+VLOOKUP(Agencia[[#This Row],[Filtro URL]],Estructura!$X$4:$Y$500,2,0)</f>
        <v>99200010</v>
      </c>
      <c r="X153" s="118" t="str">
        <f>+VLOOKUP(Agencia[[#This Row],[tema]],Estructura!$A$4:$C$500,3,0)</f>
        <v>T-1033</v>
      </c>
      <c r="Y153" s="118" t="str">
        <f>+VLOOKUP(Agencia[[#This Row],[contenido]],Estructura!$E$4:$G$500,3,0)</f>
        <v>C-997</v>
      </c>
      <c r="Z153" s="118" t="str">
        <f>+VLOOKUP(Agencia[[#This Row],[Filtro Integrado]],Estructura!$I$4:$K$500,3,0)</f>
        <v>FI-997</v>
      </c>
      <c r="AA153" s="118" t="str">
        <f>+VLOOKUP(Agencia[[#This Row],[Muestra]],Estructura!$M$4:$O$500,3,0)</f>
        <v>M-1004</v>
      </c>
    </row>
    <row r="154" spans="1:27" ht="57.6" x14ac:dyDescent="0.3">
      <c r="A154" s="21" t="s">
        <v>543</v>
      </c>
      <c r="B154" s="24">
        <f t="shared" si="112"/>
        <v>990</v>
      </c>
      <c r="C154" s="25" t="str">
        <f t="shared" si="113"/>
        <v>Agencia Información</v>
      </c>
      <c r="D154" s="25" t="str">
        <f t="shared" si="115"/>
        <v>Agropecuario y Forestal</v>
      </c>
      <c r="E154" s="19">
        <v>13</v>
      </c>
      <c r="F154" s="10" t="s">
        <v>616</v>
      </c>
      <c r="G154" s="10" t="s">
        <v>3763</v>
      </c>
      <c r="H154" s="35" t="s">
        <v>16</v>
      </c>
      <c r="I154" s="36" t="s">
        <v>380</v>
      </c>
      <c r="J154" s="9" t="str">
        <f t="shared" si="116"/>
        <v>Fruta</v>
      </c>
      <c r="K154" s="9" t="str">
        <f t="shared" si="117"/>
        <v>Precios diarios de frutas en Chile</v>
      </c>
      <c r="L154" s="9" t="str">
        <f t="shared" si="118"/>
        <v>Año 2021</v>
      </c>
      <c r="M154" s="9" t="str">
        <f t="shared" si="119"/>
        <v>CLP/Kg</v>
      </c>
      <c r="N154" s="9" t="str">
        <f t="shared" si="120"/>
        <v>Oficina de Estudios y Políticas Agrarias (ODEPA)</v>
      </c>
      <c r="O154" s="20" t="str">
        <f>"Precios diarios de frutas en mercados mayoristas de la "&amp;Agencia[[#This Row],[territorio]]&amp;", "&amp;Agencia[[#This Row],[temporalidad]]</f>
        <v>Precios diarios de frutas en mercados mayoristas de la Región Metropolitana, Año 2021</v>
      </c>
      <c r="P154" s="20"/>
      <c r="Q154" s="11" t="str">
        <f>+Q147</f>
        <v>Gráfico</v>
      </c>
      <c r="R154" s="20" t="str">
        <f>Agencia[[#This Row],[territorio]]&amp;" fruta precio diario pesos kilo mercado mayorista terminal"</f>
        <v>Región Metropolitana fruta precio diario pesos kilo mercado mayorista terminal</v>
      </c>
      <c r="S154" s="41" t="str">
        <f>HYPERLINK("https://analytics.zoho.com/open-view/2395394000008646880?ZOHO_CRITERIA=%22Fruta%20Consolidado%22.%22Codreg%22%3D"&amp;Agencia[[#This Row],[Filtro URL]])</f>
        <v>https://analytics.zoho.com/open-view/2395394000008646880?ZOHO_CRITERIA=%22Fruta%20Consolidado%22.%22Codreg%22%3D13</v>
      </c>
      <c r="T154" s="68" t="str">
        <f>"200-R-"&amp;Agencia[[#This Row],[Filtro URL]]</f>
        <v>200-R-13</v>
      </c>
      <c r="U154" s="50" t="str">
        <f>+U147</f>
        <v>#1774B9</v>
      </c>
      <c r="V154" s="118" t="str">
        <f>+Agencia[[#This Row],[idcoleccion]]&amp;"-"&amp;Agencia[[#This Row],[id]]</f>
        <v>990-0143</v>
      </c>
      <c r="W154" s="118">
        <f>+VLOOKUP(Agencia[[#This Row],[Filtro URL]],Estructura!$X$4:$Y$500,2,0)</f>
        <v>99200013</v>
      </c>
      <c r="X154" s="118" t="str">
        <f>+VLOOKUP(Agencia[[#This Row],[tema]],Estructura!$A$4:$C$500,3,0)</f>
        <v>T-1033</v>
      </c>
      <c r="Y154" s="118" t="str">
        <f>+VLOOKUP(Agencia[[#This Row],[contenido]],Estructura!$E$4:$G$500,3,0)</f>
        <v>C-997</v>
      </c>
      <c r="Z154" s="118" t="str">
        <f>+VLOOKUP(Agencia[[#This Row],[Filtro Integrado]],Estructura!$I$4:$K$500,3,0)</f>
        <v>FI-997</v>
      </c>
      <c r="AA154" s="118" t="str">
        <f>+VLOOKUP(Agencia[[#This Row],[Muestra]],Estructura!$M$4:$O$500,3,0)</f>
        <v>M-1004</v>
      </c>
    </row>
    <row r="155" spans="1:27" ht="57.6" x14ac:dyDescent="0.3">
      <c r="A155" s="21" t="s">
        <v>1732</v>
      </c>
      <c r="B155" s="24">
        <f t="shared" si="112"/>
        <v>990</v>
      </c>
      <c r="C155" s="25" t="str">
        <f t="shared" si="113"/>
        <v>Agencia Información</v>
      </c>
      <c r="D155" s="25" t="str">
        <f t="shared" si="115"/>
        <v>Agropecuario y Forestal</v>
      </c>
      <c r="E155" s="19">
        <v>15</v>
      </c>
      <c r="F155" s="10" t="s">
        <v>616</v>
      </c>
      <c r="G155" s="10" t="s">
        <v>3763</v>
      </c>
      <c r="H155" s="35" t="s">
        <v>16</v>
      </c>
      <c r="I155" s="36" t="s">
        <v>382</v>
      </c>
      <c r="J155" s="9" t="str">
        <f t="shared" si="116"/>
        <v>Fruta</v>
      </c>
      <c r="K155" s="9" t="str">
        <f t="shared" si="117"/>
        <v>Precios diarios de frutas en Chile</v>
      </c>
      <c r="L155" s="9" t="str">
        <f t="shared" si="118"/>
        <v>Año 2021</v>
      </c>
      <c r="M155" s="9" t="str">
        <f t="shared" si="119"/>
        <v>CLP/Kg</v>
      </c>
      <c r="N155" s="9" t="str">
        <f t="shared" si="120"/>
        <v>Oficina de Estudios y Políticas Agrarias (ODEPA)</v>
      </c>
      <c r="O155" s="20" t="str">
        <f>"Precios diarios de frutas en mercados mayoristas de la "&amp;Agencia[[#This Row],[territorio]]&amp;", "&amp;Agencia[[#This Row],[temporalidad]]</f>
        <v>Precios diarios de frutas en mercados mayoristas de la Región de Arica y Parinacota, Año 2021</v>
      </c>
      <c r="P155" s="20"/>
      <c r="Q155" s="11" t="str">
        <f>+Q147</f>
        <v>Gráfico</v>
      </c>
      <c r="R155" s="20" t="str">
        <f>Agencia[[#This Row],[territorio]]&amp;" fruta precio diario pesos kilo mercado mayorista terminal"</f>
        <v>Región de Arica y Parinacota fruta precio diario pesos kilo mercado mayorista terminal</v>
      </c>
      <c r="S155" s="41" t="str">
        <f>HYPERLINK("https://analytics.zoho.com/open-view/2395394000008646880?ZOHO_CRITERIA=%22Fruta%20Consolidado%22.%22Codreg%22%3D"&amp;Agencia[[#This Row],[Filtro URL]])</f>
        <v>https://analytics.zoho.com/open-view/2395394000008646880?ZOHO_CRITERIA=%22Fruta%20Consolidado%22.%22Codreg%22%3D15</v>
      </c>
      <c r="T155" s="68" t="str">
        <f>"100-R-"&amp;Agencia[[#This Row],[Filtro URL]]</f>
        <v>100-R-15</v>
      </c>
      <c r="U155" s="50" t="str">
        <f>+U147</f>
        <v>#1774B9</v>
      </c>
      <c r="V155" s="118" t="str">
        <f>+Agencia[[#This Row],[idcoleccion]]&amp;"-"&amp;Agencia[[#This Row],[id]]</f>
        <v>990-0144</v>
      </c>
      <c r="W155" s="118">
        <f>+VLOOKUP(Agencia[[#This Row],[Filtro URL]],Estructura!$X$4:$Y$500,2,0)</f>
        <v>99200015</v>
      </c>
      <c r="X155" s="118" t="str">
        <f>+VLOOKUP(Agencia[[#This Row],[tema]],Estructura!$A$4:$C$500,3,0)</f>
        <v>T-1033</v>
      </c>
      <c r="Y155" s="118" t="str">
        <f>+VLOOKUP(Agencia[[#This Row],[contenido]],Estructura!$E$4:$G$500,3,0)</f>
        <v>C-997</v>
      </c>
      <c r="Z155" s="118" t="str">
        <f>+VLOOKUP(Agencia[[#This Row],[Filtro Integrado]],Estructura!$I$4:$K$500,3,0)</f>
        <v>FI-997</v>
      </c>
      <c r="AA155" s="118" t="str">
        <f>+VLOOKUP(Agencia[[#This Row],[Muestra]],Estructura!$M$4:$O$500,3,0)</f>
        <v>M-1004</v>
      </c>
    </row>
    <row r="156" spans="1:27" ht="57.6" x14ac:dyDescent="0.3">
      <c r="A156" s="21" t="s">
        <v>1733</v>
      </c>
      <c r="B156" s="24">
        <f t="shared" si="112"/>
        <v>990</v>
      </c>
      <c r="C156" s="25" t="str">
        <f t="shared" si="113"/>
        <v>Agencia Información</v>
      </c>
      <c r="D156" s="25" t="str">
        <f t="shared" si="115"/>
        <v>Agropecuario y Forestal</v>
      </c>
      <c r="E156" s="19">
        <v>16</v>
      </c>
      <c r="F156" s="10" t="s">
        <v>616</v>
      </c>
      <c r="G156" s="10" t="s">
        <v>3763</v>
      </c>
      <c r="H156" s="35" t="s">
        <v>16</v>
      </c>
      <c r="I156" s="36" t="s">
        <v>383</v>
      </c>
      <c r="J156" s="9" t="str">
        <f t="shared" si="116"/>
        <v>Fruta</v>
      </c>
      <c r="K156" s="9" t="str">
        <f t="shared" si="117"/>
        <v>Precios diarios de frutas en Chile</v>
      </c>
      <c r="L156" s="9" t="str">
        <f t="shared" si="118"/>
        <v>Año 2021</v>
      </c>
      <c r="M156" s="9" t="str">
        <f t="shared" si="119"/>
        <v>CLP/Kg</v>
      </c>
      <c r="N156" s="9" t="str">
        <f t="shared" si="120"/>
        <v>Oficina de Estudios y Políticas Agrarias (ODEPA)</v>
      </c>
      <c r="O156" s="20" t="str">
        <f>"Precios diarios de frutas en mercados mayoristas de la "&amp;Agencia[[#This Row],[territorio]]&amp;", "&amp;Agencia[[#This Row],[temporalidad]]</f>
        <v>Precios diarios de frutas en mercados mayoristas de la Región de Ñuble, Año 2021</v>
      </c>
      <c r="P156" s="20"/>
      <c r="Q156" s="11" t="str">
        <f>+Q147</f>
        <v>Gráfico</v>
      </c>
      <c r="R156" s="20" t="str">
        <f>Agencia[[#This Row],[territorio]]&amp;" fruta precio diario pesos kilo mercado mayorista terminal"</f>
        <v>Región de Ñuble fruta precio diario pesos kilo mercado mayorista terminal</v>
      </c>
      <c r="S156" s="41" t="str">
        <f>HYPERLINK("https://analytics.zoho.com/open-view/2395394000008646880?ZOHO_CRITERIA=%22Fruta%20Consolidado%22.%22Codreg%22%3D"&amp;Agencia[[#This Row],[Filtro URL]])</f>
        <v>https://analytics.zoho.com/open-view/2395394000008646880?ZOHO_CRITERIA=%22Fruta%20Consolidado%22.%22Codreg%22%3D16</v>
      </c>
      <c r="T156" s="68" t="str">
        <f>"100-R-"&amp;Agencia[[#This Row],[Filtro URL]]</f>
        <v>100-R-16</v>
      </c>
      <c r="U156" s="50" t="str">
        <f>+U147</f>
        <v>#1774B9</v>
      </c>
      <c r="V156" s="118" t="str">
        <f>+Agencia[[#This Row],[idcoleccion]]&amp;"-"&amp;Agencia[[#This Row],[id]]</f>
        <v>990-0145</v>
      </c>
      <c r="W156" s="118">
        <f>+VLOOKUP(Agencia[[#This Row],[Filtro URL]],Estructura!$X$4:$Y$500,2,0)</f>
        <v>99200016</v>
      </c>
      <c r="X156" s="118" t="str">
        <f>+VLOOKUP(Agencia[[#This Row],[tema]],Estructura!$A$4:$C$500,3,0)</f>
        <v>T-1033</v>
      </c>
      <c r="Y156" s="118" t="str">
        <f>+VLOOKUP(Agencia[[#This Row],[contenido]],Estructura!$E$4:$G$500,3,0)</f>
        <v>C-997</v>
      </c>
      <c r="Z156" s="118" t="str">
        <f>+VLOOKUP(Agencia[[#This Row],[Filtro Integrado]],Estructura!$I$4:$K$500,3,0)</f>
        <v>FI-997</v>
      </c>
      <c r="AA156" s="118" t="str">
        <f>+VLOOKUP(Agencia[[#This Row],[Muestra]],Estructura!$M$4:$O$500,3,0)</f>
        <v>M-1004</v>
      </c>
    </row>
    <row r="157" spans="1:27" ht="40.799999999999997" x14ac:dyDescent="0.3">
      <c r="A157" s="21" t="s">
        <v>1734</v>
      </c>
      <c r="B157" s="24">
        <f t="shared" si="112"/>
        <v>990</v>
      </c>
      <c r="C157" s="25" t="str">
        <f t="shared" si="113"/>
        <v>Agencia Información</v>
      </c>
      <c r="D157" s="25" t="s">
        <v>621</v>
      </c>
      <c r="E157" s="14">
        <v>0</v>
      </c>
      <c r="F157" s="10" t="s">
        <v>623</v>
      </c>
      <c r="G157" s="10" t="s">
        <v>3781</v>
      </c>
      <c r="H157" s="33" t="s">
        <v>20</v>
      </c>
      <c r="I157" s="34" t="s">
        <v>15</v>
      </c>
      <c r="J157" s="9" t="s">
        <v>16</v>
      </c>
      <c r="K157" s="9" t="s">
        <v>850</v>
      </c>
      <c r="L157" s="9" t="s">
        <v>614</v>
      </c>
      <c r="M157" s="9" t="s">
        <v>624</v>
      </c>
      <c r="N157" s="9" t="s">
        <v>625</v>
      </c>
      <c r="O157" s="20" t="s">
        <v>626</v>
      </c>
      <c r="P157" s="20" t="s">
        <v>622</v>
      </c>
      <c r="Q157" s="11" t="str">
        <f>+Q147</f>
        <v>Gráfico</v>
      </c>
      <c r="R157" s="20" t="str">
        <f>Agencia[[#This Row],[territorio]]&amp;" espacio cultural titularidad privada pública cultura"</f>
        <v>Chile espacio cultural titularidad privada pública cultura</v>
      </c>
      <c r="S157" s="41" t="s">
        <v>627</v>
      </c>
      <c r="T157" s="68" t="s">
        <v>1033</v>
      </c>
      <c r="U157" s="50" t="str">
        <f>+U147</f>
        <v>#1774B9</v>
      </c>
      <c r="V157" s="118" t="str">
        <f>+Agencia[[#This Row],[idcoleccion]]&amp;"-"&amp;Agencia[[#This Row],[id]]</f>
        <v>990-0146</v>
      </c>
      <c r="W157" s="118">
        <f>+VLOOKUP(Agencia[[#This Row],[Filtro URL]],Estructura!$X$4:$Y$500,2,0)</f>
        <v>99100000</v>
      </c>
      <c r="X157" s="118" t="str">
        <f>+VLOOKUP(Agencia[[#This Row],[tema]],Estructura!$A$4:$C$500,3,0)</f>
        <v>T-996</v>
      </c>
      <c r="Y157" s="118" t="str">
        <f>+VLOOKUP(Agencia[[#This Row],[contenido]],Estructura!$E$4:$G$500,3,0)</f>
        <v>C-1008</v>
      </c>
      <c r="Z157" s="118" t="str">
        <f>+VLOOKUP(Agencia[[#This Row],[Filtro Integrado]],Estructura!$I$4:$K$500,3,0)</f>
        <v>FI-992</v>
      </c>
      <c r="AA157" s="118" t="str">
        <f>+VLOOKUP(Agencia[[#This Row],[Muestra]],Estructura!$M$4:$O$500,3,0)</f>
        <v>M-1005</v>
      </c>
    </row>
    <row r="158" spans="1:27" ht="72" x14ac:dyDescent="0.3">
      <c r="A158" s="21" t="s">
        <v>544</v>
      </c>
      <c r="B158" s="24">
        <f>+B157</f>
        <v>990</v>
      </c>
      <c r="C158" s="25" t="str">
        <f t="shared" si="113"/>
        <v>Agencia Información</v>
      </c>
      <c r="D158" s="25" t="str">
        <f>+D157</f>
        <v>Arte y cultura</v>
      </c>
      <c r="E158" s="19">
        <v>1</v>
      </c>
      <c r="F158" s="10" t="s">
        <v>623</v>
      </c>
      <c r="G158" s="10" t="s">
        <v>3781</v>
      </c>
      <c r="H158" s="35" t="s">
        <v>16</v>
      </c>
      <c r="I158" s="36" t="s">
        <v>368</v>
      </c>
      <c r="J158" s="9" t="s">
        <v>18</v>
      </c>
      <c r="K158" s="9" t="str">
        <f>+K157</f>
        <v>Cantidad de espacios culturales por comuna</v>
      </c>
      <c r="L158" s="9" t="str">
        <f>+L157</f>
        <v>Año 2021</v>
      </c>
      <c r="M158" s="9" t="str">
        <f>+M157</f>
        <v>Número de espacios culturales</v>
      </c>
      <c r="N158" s="9" t="str">
        <f>+N157</f>
        <v>Observatorio Cultural</v>
      </c>
      <c r="O158" s="20" t="str">
        <f>"Cantidad de Espacios Culturales en la "&amp;Agencia[[#This Row],[territorio]]&amp;" por Tipo de Titularidad y Comuna en el "&amp;Agencia[[#This Row],[temporalidad]]</f>
        <v>Cantidad de Espacios Culturales en la Región de Tarapacá por Tipo de Titularidad y Comuna en el Año 2021</v>
      </c>
      <c r="P158" s="20"/>
      <c r="Q158" s="11" t="str">
        <f>+Q157</f>
        <v>Gráfico</v>
      </c>
      <c r="R158" s="20" t="str">
        <f>Agencia[[#This Row],[territorio]]&amp;" espacio cultural titularidad privada pública cultura"</f>
        <v>Región de Tarapacá espacio cultural titularidad privada pública cultura</v>
      </c>
      <c r="S158"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https://analytics.zoho.com/open-view/2395394000008378510?ZOHO_CRITERIA=%22Espacios_Culturales_Completo%201%22.%22C%C3%B3digo_Regi%C3%B3n%22%20%3D%201</v>
      </c>
      <c r="T158" s="69" t="str">
        <f>"100-C-"&amp;Agencia[[#This Row],[Filtro URL]]</f>
        <v>100-C-1</v>
      </c>
      <c r="U158" s="50" t="str">
        <f>+U157</f>
        <v>#1774B9</v>
      </c>
      <c r="V158" s="118" t="str">
        <f>+Agencia[[#This Row],[idcoleccion]]&amp;"-"&amp;Agencia[[#This Row],[id]]</f>
        <v>990-0147</v>
      </c>
      <c r="W158" s="118">
        <f>+VLOOKUP(Agencia[[#This Row],[Filtro URL]],Estructura!$X$4:$Y$500,2,0)</f>
        <v>99200001</v>
      </c>
      <c r="X158" s="118" t="str">
        <f>+VLOOKUP(Agencia[[#This Row],[tema]],Estructura!$A$4:$C$500,3,0)</f>
        <v>T-996</v>
      </c>
      <c r="Y158" s="118" t="str">
        <f>+VLOOKUP(Agencia[[#This Row],[contenido]],Estructura!$E$4:$G$500,3,0)</f>
        <v>C-1008</v>
      </c>
      <c r="Z158" s="118" t="str">
        <f>+VLOOKUP(Agencia[[#This Row],[Filtro Integrado]],Estructura!$I$4:$K$500,3,0)</f>
        <v>FI-991</v>
      </c>
      <c r="AA158" s="118" t="str">
        <f>+VLOOKUP(Agencia[[#This Row],[Muestra]],Estructura!$M$4:$O$500,3,0)</f>
        <v>M-1005</v>
      </c>
    </row>
    <row r="159" spans="1:27" ht="72" x14ac:dyDescent="0.3">
      <c r="A159" s="21" t="s">
        <v>545</v>
      </c>
      <c r="B159" s="24">
        <f t="shared" si="102"/>
        <v>990</v>
      </c>
      <c r="C159" s="25" t="str">
        <f t="shared" si="113"/>
        <v>Agencia Información</v>
      </c>
      <c r="D159" s="25" t="str">
        <f t="shared" si="87"/>
        <v>Arte y cultura</v>
      </c>
      <c r="E159" s="19">
        <v>2</v>
      </c>
      <c r="F159" s="10" t="s">
        <v>623</v>
      </c>
      <c r="G159" s="10" t="s">
        <v>3781</v>
      </c>
      <c r="H159" s="35" t="s">
        <v>16</v>
      </c>
      <c r="I159" s="36" t="s">
        <v>369</v>
      </c>
      <c r="J159" s="9" t="str">
        <f t="shared" si="93"/>
        <v>Comuna</v>
      </c>
      <c r="K159" s="9" t="str">
        <f t="shared" si="94"/>
        <v>Cantidad de espacios culturales por comuna</v>
      </c>
      <c r="L159" s="9" t="str">
        <f t="shared" si="95"/>
        <v>Año 2021</v>
      </c>
      <c r="M159" s="9" t="str">
        <f t="shared" si="96"/>
        <v>Número de espacios culturales</v>
      </c>
      <c r="N159" s="9" t="str">
        <f t="shared" si="97"/>
        <v>Observatorio Cultural</v>
      </c>
      <c r="O159" s="20" t="str">
        <f>"Cantidad de Espacios Culturales en la "&amp;Agencia[[#This Row],[territorio]]&amp;" por Tipo de Titularidad y Comuna en el "&amp;Agencia[[#This Row],[temporalidad]]</f>
        <v>Cantidad de Espacios Culturales en la Región de Antofagasta por Tipo de Titularidad y Comuna en el Año 2021</v>
      </c>
      <c r="P159" s="20"/>
      <c r="Q159" s="11" t="str">
        <f t="shared" si="101"/>
        <v>Gráfico</v>
      </c>
      <c r="R159" s="20" t="str">
        <f>Agencia[[#This Row],[territorio]]&amp;" espacio cultural titularidad privada pública cultura"</f>
        <v>Región de Antofagasta espacio cultural titularidad privada pública cultura</v>
      </c>
      <c r="S159"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https://analytics.zoho.com/open-view/2395394000008378510?ZOHO_CRITERIA=%22Espacios_Culturales_Completo%201%22.%22C%C3%B3digo_Regi%C3%B3n%22%20%3D%202</v>
      </c>
      <c r="T159" s="69" t="str">
        <f>"100-C-"&amp;Agencia[[#This Row],[Filtro URL]]</f>
        <v>100-C-2</v>
      </c>
      <c r="U159" s="50" t="str">
        <f t="shared" si="100"/>
        <v>#1774B9</v>
      </c>
      <c r="V159" s="118" t="str">
        <f>+Agencia[[#This Row],[idcoleccion]]&amp;"-"&amp;Agencia[[#This Row],[id]]</f>
        <v>990-0148</v>
      </c>
      <c r="W159" s="118">
        <f>+VLOOKUP(Agencia[[#This Row],[Filtro URL]],Estructura!$X$4:$Y$500,2,0)</f>
        <v>99200002</v>
      </c>
      <c r="X159" s="118" t="str">
        <f>+VLOOKUP(Agencia[[#This Row],[tema]],Estructura!$A$4:$C$500,3,0)</f>
        <v>T-996</v>
      </c>
      <c r="Y159" s="118" t="str">
        <f>+VLOOKUP(Agencia[[#This Row],[contenido]],Estructura!$E$4:$G$500,3,0)</f>
        <v>C-1008</v>
      </c>
      <c r="Z159" s="118" t="str">
        <f>+VLOOKUP(Agencia[[#This Row],[Filtro Integrado]],Estructura!$I$4:$K$500,3,0)</f>
        <v>FI-991</v>
      </c>
      <c r="AA159" s="118" t="str">
        <f>+VLOOKUP(Agencia[[#This Row],[Muestra]],Estructura!$M$4:$O$500,3,0)</f>
        <v>M-1005</v>
      </c>
    </row>
    <row r="160" spans="1:27" ht="72" x14ac:dyDescent="0.3">
      <c r="A160" s="21" t="s">
        <v>1735</v>
      </c>
      <c r="B160" s="24">
        <f t="shared" si="102"/>
        <v>990</v>
      </c>
      <c r="C160" s="25" t="str">
        <f t="shared" si="113"/>
        <v>Agencia Información</v>
      </c>
      <c r="D160" s="25" t="str">
        <f t="shared" si="87"/>
        <v>Arte y cultura</v>
      </c>
      <c r="E160" s="19">
        <v>3</v>
      </c>
      <c r="F160" s="10" t="s">
        <v>623</v>
      </c>
      <c r="G160" s="10" t="s">
        <v>3781</v>
      </c>
      <c r="H160" s="35" t="s">
        <v>16</v>
      </c>
      <c r="I160" s="36" t="s">
        <v>370</v>
      </c>
      <c r="J160" s="9" t="str">
        <f t="shared" si="93"/>
        <v>Comuna</v>
      </c>
      <c r="K160" s="9" t="str">
        <f t="shared" si="94"/>
        <v>Cantidad de espacios culturales por comuna</v>
      </c>
      <c r="L160" s="9" t="str">
        <f t="shared" si="95"/>
        <v>Año 2021</v>
      </c>
      <c r="M160" s="9" t="str">
        <f t="shared" si="96"/>
        <v>Número de espacios culturales</v>
      </c>
      <c r="N160" s="9" t="str">
        <f t="shared" si="97"/>
        <v>Observatorio Cultural</v>
      </c>
      <c r="O160" s="20" t="str">
        <f>"Cantidad de Espacios Culturales en la "&amp;Agencia[[#This Row],[territorio]]&amp;" por Tipo de Titularidad y Comuna en el "&amp;Agencia[[#This Row],[temporalidad]]</f>
        <v>Cantidad de Espacios Culturales en la Región de Atacama por Tipo de Titularidad y Comuna en el Año 2021</v>
      </c>
      <c r="P160" s="20"/>
      <c r="Q160" s="11" t="str">
        <f t="shared" si="101"/>
        <v>Gráfico</v>
      </c>
      <c r="R160" s="20" t="str">
        <f>Agencia[[#This Row],[territorio]]&amp;" espacio cultural titularidad privada pública cultura"</f>
        <v>Región de Atacama espacio cultural titularidad privada pública cultura</v>
      </c>
      <c r="S160"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https://analytics.zoho.com/open-view/2395394000008378510?ZOHO_CRITERIA=%22Espacios_Culturales_Completo%201%22.%22C%C3%B3digo_Regi%C3%B3n%22%20%3D%203</v>
      </c>
      <c r="T160" s="69" t="str">
        <f>"100-C-"&amp;Agencia[[#This Row],[Filtro URL]]</f>
        <v>100-C-3</v>
      </c>
      <c r="U160" s="50" t="str">
        <f t="shared" si="100"/>
        <v>#1774B9</v>
      </c>
      <c r="V160" s="118" t="str">
        <f>+Agencia[[#This Row],[idcoleccion]]&amp;"-"&amp;Agencia[[#This Row],[id]]</f>
        <v>990-0149</v>
      </c>
      <c r="W160" s="118">
        <f>+VLOOKUP(Agencia[[#This Row],[Filtro URL]],Estructura!$X$4:$Y$500,2,0)</f>
        <v>99200003</v>
      </c>
      <c r="X160" s="118" t="str">
        <f>+VLOOKUP(Agencia[[#This Row],[tema]],Estructura!$A$4:$C$500,3,0)</f>
        <v>T-996</v>
      </c>
      <c r="Y160" s="118" t="str">
        <f>+VLOOKUP(Agencia[[#This Row],[contenido]],Estructura!$E$4:$G$500,3,0)</f>
        <v>C-1008</v>
      </c>
      <c r="Z160" s="118" t="str">
        <f>+VLOOKUP(Agencia[[#This Row],[Filtro Integrado]],Estructura!$I$4:$K$500,3,0)</f>
        <v>FI-991</v>
      </c>
      <c r="AA160" s="118" t="str">
        <f>+VLOOKUP(Agencia[[#This Row],[Muestra]],Estructura!$M$4:$O$500,3,0)</f>
        <v>M-1005</v>
      </c>
    </row>
    <row r="161" spans="1:27" ht="72" x14ac:dyDescent="0.3">
      <c r="A161" s="21" t="s">
        <v>546</v>
      </c>
      <c r="B161" s="24">
        <f t="shared" si="102"/>
        <v>990</v>
      </c>
      <c r="C161" s="25" t="str">
        <f t="shared" si="102"/>
        <v>Agencia Información</v>
      </c>
      <c r="D161" s="25" t="str">
        <f t="shared" si="87"/>
        <v>Arte y cultura</v>
      </c>
      <c r="E161" s="19">
        <v>4</v>
      </c>
      <c r="F161" s="10" t="s">
        <v>623</v>
      </c>
      <c r="G161" s="10" t="s">
        <v>3781</v>
      </c>
      <c r="H161" s="35" t="s">
        <v>16</v>
      </c>
      <c r="I161" s="36" t="s">
        <v>371</v>
      </c>
      <c r="J161" s="9" t="str">
        <f t="shared" si="93"/>
        <v>Comuna</v>
      </c>
      <c r="K161" s="9" t="str">
        <f t="shared" si="94"/>
        <v>Cantidad de espacios culturales por comuna</v>
      </c>
      <c r="L161" s="9" t="str">
        <f t="shared" si="95"/>
        <v>Año 2021</v>
      </c>
      <c r="M161" s="9" t="str">
        <f t="shared" si="96"/>
        <v>Número de espacios culturales</v>
      </c>
      <c r="N161" s="9" t="str">
        <f t="shared" si="97"/>
        <v>Observatorio Cultural</v>
      </c>
      <c r="O161" s="20" t="str">
        <f>"Cantidad de Espacios Culturales en la "&amp;Agencia[[#This Row],[territorio]]&amp;" por Tipo de Titularidad y Comuna en el "&amp;Agencia[[#This Row],[temporalidad]]</f>
        <v>Cantidad de Espacios Culturales en la Región de Coquimbo por Tipo de Titularidad y Comuna en el Año 2021</v>
      </c>
      <c r="P161" s="20"/>
      <c r="Q161" s="11" t="str">
        <f t="shared" si="101"/>
        <v>Gráfico</v>
      </c>
      <c r="R161" s="20" t="str">
        <f>Agencia[[#This Row],[territorio]]&amp;" espacio cultural titularidad privada pública cultura"</f>
        <v>Región de Coquimbo espacio cultural titularidad privada pública cultura</v>
      </c>
      <c r="S161"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https://analytics.zoho.com/open-view/2395394000008378510?ZOHO_CRITERIA=%22Espacios_Culturales_Completo%201%22.%22C%C3%B3digo_Regi%C3%B3n%22%20%3D%204</v>
      </c>
      <c r="T161" s="69" t="str">
        <f>"100-C-"&amp;Agencia[[#This Row],[Filtro URL]]</f>
        <v>100-C-4</v>
      </c>
      <c r="U161" s="50" t="str">
        <f t="shared" si="100"/>
        <v>#1774B9</v>
      </c>
      <c r="V161" s="118" t="str">
        <f>+Agencia[[#This Row],[idcoleccion]]&amp;"-"&amp;Agencia[[#This Row],[id]]</f>
        <v>990-0150</v>
      </c>
      <c r="W161" s="118">
        <f>+VLOOKUP(Agencia[[#This Row],[Filtro URL]],Estructura!$X$4:$Y$500,2,0)</f>
        <v>99200004</v>
      </c>
      <c r="X161" s="118" t="str">
        <f>+VLOOKUP(Agencia[[#This Row],[tema]],Estructura!$A$4:$C$500,3,0)</f>
        <v>T-996</v>
      </c>
      <c r="Y161" s="118" t="str">
        <f>+VLOOKUP(Agencia[[#This Row],[contenido]],Estructura!$E$4:$G$500,3,0)</f>
        <v>C-1008</v>
      </c>
      <c r="Z161" s="118" t="str">
        <f>+VLOOKUP(Agencia[[#This Row],[Filtro Integrado]],Estructura!$I$4:$K$500,3,0)</f>
        <v>FI-991</v>
      </c>
      <c r="AA161" s="118" t="str">
        <f>+VLOOKUP(Agencia[[#This Row],[Muestra]],Estructura!$M$4:$O$500,3,0)</f>
        <v>M-1005</v>
      </c>
    </row>
    <row r="162" spans="1:27" ht="72" x14ac:dyDescent="0.3">
      <c r="A162" s="21" t="s">
        <v>547</v>
      </c>
      <c r="B162" s="24">
        <f t="shared" si="102"/>
        <v>990</v>
      </c>
      <c r="C162" s="25" t="str">
        <f t="shared" si="102"/>
        <v>Agencia Información</v>
      </c>
      <c r="D162" s="25" t="str">
        <f t="shared" si="87"/>
        <v>Arte y cultura</v>
      </c>
      <c r="E162" s="19">
        <v>5</v>
      </c>
      <c r="F162" s="10" t="s">
        <v>623</v>
      </c>
      <c r="G162" s="10" t="s">
        <v>3781</v>
      </c>
      <c r="H162" s="35" t="s">
        <v>16</v>
      </c>
      <c r="I162" s="36" t="s">
        <v>372</v>
      </c>
      <c r="J162" s="9" t="str">
        <f t="shared" si="93"/>
        <v>Comuna</v>
      </c>
      <c r="K162" s="9" t="str">
        <f t="shared" si="94"/>
        <v>Cantidad de espacios culturales por comuna</v>
      </c>
      <c r="L162" s="9" t="str">
        <f t="shared" si="95"/>
        <v>Año 2021</v>
      </c>
      <c r="M162" s="9" t="str">
        <f t="shared" si="96"/>
        <v>Número de espacios culturales</v>
      </c>
      <c r="N162" s="9" t="str">
        <f t="shared" si="97"/>
        <v>Observatorio Cultural</v>
      </c>
      <c r="O162" s="20" t="str">
        <f>"Cantidad de Espacios Culturales en la "&amp;Agencia[[#This Row],[territorio]]&amp;" por Tipo de Titularidad y Comuna en el "&amp;Agencia[[#This Row],[temporalidad]]</f>
        <v>Cantidad de Espacios Culturales en la Región de Valparaíso por Tipo de Titularidad y Comuna en el Año 2021</v>
      </c>
      <c r="P162" s="20"/>
      <c r="Q162" s="11" t="str">
        <f t="shared" si="101"/>
        <v>Gráfico</v>
      </c>
      <c r="R162" s="20" t="str">
        <f>Agencia[[#This Row],[territorio]]&amp;" espacio cultural titularidad privada pública cultura"</f>
        <v>Región de Valparaíso espacio cultural titularidad privada pública cultura</v>
      </c>
      <c r="S162"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https://analytics.zoho.com/open-view/2395394000008378510?ZOHO_CRITERIA=%22Espacios_Culturales_Completo%201%22.%22C%C3%B3digo_Regi%C3%B3n%22%20%3D%205</v>
      </c>
      <c r="T162" s="69" t="str">
        <f>"100-C-"&amp;Agencia[[#This Row],[Filtro URL]]</f>
        <v>100-C-5</v>
      </c>
      <c r="U162" s="50" t="str">
        <f t="shared" si="100"/>
        <v>#1774B9</v>
      </c>
      <c r="V162" s="118" t="str">
        <f>+Agencia[[#This Row],[idcoleccion]]&amp;"-"&amp;Agencia[[#This Row],[id]]</f>
        <v>990-0151</v>
      </c>
      <c r="W162" s="118">
        <f>+VLOOKUP(Agencia[[#This Row],[Filtro URL]],Estructura!$X$4:$Y$500,2,0)</f>
        <v>99200005</v>
      </c>
      <c r="X162" s="118" t="str">
        <f>+VLOOKUP(Agencia[[#This Row],[tema]],Estructura!$A$4:$C$500,3,0)</f>
        <v>T-996</v>
      </c>
      <c r="Y162" s="118" t="str">
        <f>+VLOOKUP(Agencia[[#This Row],[contenido]],Estructura!$E$4:$G$500,3,0)</f>
        <v>C-1008</v>
      </c>
      <c r="Z162" s="118" t="str">
        <f>+VLOOKUP(Agencia[[#This Row],[Filtro Integrado]],Estructura!$I$4:$K$500,3,0)</f>
        <v>FI-991</v>
      </c>
      <c r="AA162" s="118" t="str">
        <f>+VLOOKUP(Agencia[[#This Row],[Muestra]],Estructura!$M$4:$O$500,3,0)</f>
        <v>M-1005</v>
      </c>
    </row>
    <row r="163" spans="1:27" ht="72" x14ac:dyDescent="0.3">
      <c r="A163" s="21" t="s">
        <v>548</v>
      </c>
      <c r="B163" s="24">
        <f t="shared" si="102"/>
        <v>990</v>
      </c>
      <c r="C163" s="25" t="str">
        <f t="shared" si="102"/>
        <v>Agencia Información</v>
      </c>
      <c r="D163" s="25" t="str">
        <f t="shared" si="102"/>
        <v>Arte y cultura</v>
      </c>
      <c r="E163" s="19">
        <v>6</v>
      </c>
      <c r="F163" s="10" t="s">
        <v>623</v>
      </c>
      <c r="G163" s="10" t="s">
        <v>3781</v>
      </c>
      <c r="H163" s="35" t="s">
        <v>16</v>
      </c>
      <c r="I163" s="36" t="s">
        <v>373</v>
      </c>
      <c r="J163" s="9" t="str">
        <f t="shared" si="93"/>
        <v>Comuna</v>
      </c>
      <c r="K163" s="9" t="str">
        <f t="shared" si="94"/>
        <v>Cantidad de espacios culturales por comuna</v>
      </c>
      <c r="L163" s="9" t="str">
        <f t="shared" si="95"/>
        <v>Año 2021</v>
      </c>
      <c r="M163" s="9" t="str">
        <f t="shared" si="96"/>
        <v>Número de espacios culturales</v>
      </c>
      <c r="N163" s="9" t="str">
        <f t="shared" si="97"/>
        <v>Observatorio Cultural</v>
      </c>
      <c r="O163" s="20" t="str">
        <f>"Cantidad de Espacios Culturales en la "&amp;Agencia[[#This Row],[territorio]]&amp;" por Tipo de Titularidad y Comuna en el "&amp;Agencia[[#This Row],[temporalidad]]</f>
        <v>Cantidad de Espacios Culturales en la Región de O'Higgins por Tipo de Titularidad y Comuna en el Año 2021</v>
      </c>
      <c r="P163" s="20"/>
      <c r="Q163" s="11" t="str">
        <f t="shared" si="101"/>
        <v>Gráfico</v>
      </c>
      <c r="R163" s="20" t="str">
        <f>Agencia[[#This Row],[territorio]]&amp;" espacio cultural titularidad privada pública cultura"</f>
        <v>Región de O'Higgins espacio cultural titularidad privada pública cultura</v>
      </c>
      <c r="S163"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https://analytics.zoho.com/open-view/2395394000008378510?ZOHO_CRITERIA=%22Espacios_Culturales_Completo%201%22.%22C%C3%B3digo_Regi%C3%B3n%22%20%3D%206</v>
      </c>
      <c r="T163" s="69" t="str">
        <f>"100-C-"&amp;Agencia[[#This Row],[Filtro URL]]</f>
        <v>100-C-6</v>
      </c>
      <c r="U163" s="50" t="str">
        <f t="shared" si="100"/>
        <v>#1774B9</v>
      </c>
      <c r="V163" s="118" t="str">
        <f>+Agencia[[#This Row],[idcoleccion]]&amp;"-"&amp;Agencia[[#This Row],[id]]</f>
        <v>990-0152</v>
      </c>
      <c r="W163" s="118">
        <f>+VLOOKUP(Agencia[[#This Row],[Filtro URL]],Estructura!$X$4:$Y$500,2,0)</f>
        <v>99200006</v>
      </c>
      <c r="X163" s="118" t="str">
        <f>+VLOOKUP(Agencia[[#This Row],[tema]],Estructura!$A$4:$C$500,3,0)</f>
        <v>T-996</v>
      </c>
      <c r="Y163" s="118" t="str">
        <f>+VLOOKUP(Agencia[[#This Row],[contenido]],Estructura!$E$4:$G$500,3,0)</f>
        <v>C-1008</v>
      </c>
      <c r="Z163" s="118" t="str">
        <f>+VLOOKUP(Agencia[[#This Row],[Filtro Integrado]],Estructura!$I$4:$K$500,3,0)</f>
        <v>FI-991</v>
      </c>
      <c r="AA163" s="118" t="str">
        <f>+VLOOKUP(Agencia[[#This Row],[Muestra]],Estructura!$M$4:$O$500,3,0)</f>
        <v>M-1005</v>
      </c>
    </row>
    <row r="164" spans="1:27" ht="72" x14ac:dyDescent="0.3">
      <c r="A164" s="21" t="s">
        <v>549</v>
      </c>
      <c r="B164" s="24">
        <f t="shared" si="102"/>
        <v>990</v>
      </c>
      <c r="C164" s="25" t="str">
        <f t="shared" si="102"/>
        <v>Agencia Información</v>
      </c>
      <c r="D164" s="25" t="str">
        <f t="shared" si="102"/>
        <v>Arte y cultura</v>
      </c>
      <c r="E164" s="19">
        <v>7</v>
      </c>
      <c r="F164" s="10" t="s">
        <v>623</v>
      </c>
      <c r="G164" s="10" t="s">
        <v>3781</v>
      </c>
      <c r="H164" s="35" t="s">
        <v>16</v>
      </c>
      <c r="I164" s="36" t="s">
        <v>374</v>
      </c>
      <c r="J164" s="9" t="str">
        <f t="shared" si="93"/>
        <v>Comuna</v>
      </c>
      <c r="K164" s="9" t="str">
        <f t="shared" si="94"/>
        <v>Cantidad de espacios culturales por comuna</v>
      </c>
      <c r="L164" s="9" t="str">
        <f t="shared" si="95"/>
        <v>Año 2021</v>
      </c>
      <c r="M164" s="9" t="str">
        <f t="shared" si="96"/>
        <v>Número de espacios culturales</v>
      </c>
      <c r="N164" s="9" t="str">
        <f t="shared" si="97"/>
        <v>Observatorio Cultural</v>
      </c>
      <c r="O164" s="20" t="str">
        <f>"Cantidad de Espacios Culturales en la "&amp;Agencia[[#This Row],[territorio]]&amp;" por Tipo de Titularidad y Comuna en el "&amp;Agencia[[#This Row],[temporalidad]]</f>
        <v>Cantidad de Espacios Culturales en la Región de Maule por Tipo de Titularidad y Comuna en el Año 2021</v>
      </c>
      <c r="P164" s="20"/>
      <c r="Q164" s="11" t="str">
        <f t="shared" ref="Q164:Q228" si="121">+Q163</f>
        <v>Gráfico</v>
      </c>
      <c r="R164" s="20" t="str">
        <f>Agencia[[#This Row],[territorio]]&amp;" espacio cultural titularidad privada pública cultura"</f>
        <v>Región de Maule espacio cultural titularidad privada pública cultura</v>
      </c>
      <c r="S164"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https://analytics.zoho.com/open-view/2395394000008378510?ZOHO_CRITERIA=%22Espacios_Culturales_Completo%201%22.%22C%C3%B3digo_Regi%C3%B3n%22%20%3D%207</v>
      </c>
      <c r="T164" s="69" t="str">
        <f>"100-C-"&amp;Agencia[[#This Row],[Filtro URL]]</f>
        <v>100-C-7</v>
      </c>
      <c r="U164" s="50" t="str">
        <f t="shared" ref="U164:U176" si="122">+U163</f>
        <v>#1774B9</v>
      </c>
      <c r="V164" s="118" t="str">
        <f>+Agencia[[#This Row],[idcoleccion]]&amp;"-"&amp;Agencia[[#This Row],[id]]</f>
        <v>990-0153</v>
      </c>
      <c r="W164" s="118">
        <f>+VLOOKUP(Agencia[[#This Row],[Filtro URL]],Estructura!$X$4:$Y$500,2,0)</f>
        <v>99200007</v>
      </c>
      <c r="X164" s="118" t="str">
        <f>+VLOOKUP(Agencia[[#This Row],[tema]],Estructura!$A$4:$C$500,3,0)</f>
        <v>T-996</v>
      </c>
      <c r="Y164" s="118" t="str">
        <f>+VLOOKUP(Agencia[[#This Row],[contenido]],Estructura!$E$4:$G$500,3,0)</f>
        <v>C-1008</v>
      </c>
      <c r="Z164" s="118" t="str">
        <f>+VLOOKUP(Agencia[[#This Row],[Filtro Integrado]],Estructura!$I$4:$K$500,3,0)</f>
        <v>FI-991</v>
      </c>
      <c r="AA164" s="118" t="str">
        <f>+VLOOKUP(Agencia[[#This Row],[Muestra]],Estructura!$M$4:$O$500,3,0)</f>
        <v>M-1005</v>
      </c>
    </row>
    <row r="165" spans="1:27" ht="72" x14ac:dyDescent="0.3">
      <c r="A165" s="21" t="s">
        <v>1736</v>
      </c>
      <c r="B165" s="24">
        <f t="shared" ref="B165:D176" si="123">+B164</f>
        <v>990</v>
      </c>
      <c r="C165" s="25" t="str">
        <f t="shared" si="123"/>
        <v>Agencia Información</v>
      </c>
      <c r="D165" s="25" t="str">
        <f t="shared" si="123"/>
        <v>Arte y cultura</v>
      </c>
      <c r="E165" s="19">
        <v>8</v>
      </c>
      <c r="F165" s="10" t="s">
        <v>623</v>
      </c>
      <c r="G165" s="10" t="s">
        <v>3781</v>
      </c>
      <c r="H165" s="35" t="s">
        <v>16</v>
      </c>
      <c r="I165" s="36" t="s">
        <v>375</v>
      </c>
      <c r="J165" s="9" t="str">
        <f t="shared" si="93"/>
        <v>Comuna</v>
      </c>
      <c r="K165" s="9" t="str">
        <f t="shared" si="94"/>
        <v>Cantidad de espacios culturales por comuna</v>
      </c>
      <c r="L165" s="9" t="str">
        <f t="shared" si="95"/>
        <v>Año 2021</v>
      </c>
      <c r="M165" s="9" t="str">
        <f t="shared" si="96"/>
        <v>Número de espacios culturales</v>
      </c>
      <c r="N165" s="9" t="str">
        <f t="shared" si="97"/>
        <v>Observatorio Cultural</v>
      </c>
      <c r="O165" s="20" t="str">
        <f>"Cantidad de Espacios Culturales en la "&amp;Agencia[[#This Row],[territorio]]&amp;" por Tipo de Titularidad y Comuna en el "&amp;Agencia[[#This Row],[temporalidad]]</f>
        <v>Cantidad de Espacios Culturales en la Región del Biobío por Tipo de Titularidad y Comuna en el Año 2021</v>
      </c>
      <c r="P165" s="20"/>
      <c r="Q165" s="11" t="str">
        <f t="shared" si="121"/>
        <v>Gráfico</v>
      </c>
      <c r="R165" s="20" t="str">
        <f>Agencia[[#This Row],[territorio]]&amp;" espacio cultural titularidad privada pública cultura"</f>
        <v>Región del Biobío espacio cultural titularidad privada pública cultura</v>
      </c>
      <c r="S165"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https://analytics.zoho.com/open-view/2395394000008378510?ZOHO_CRITERIA=%22Espacios_Culturales_Completo%201%22.%22C%C3%B3digo_Regi%C3%B3n%22%20%3D%208</v>
      </c>
      <c r="T165" s="69" t="str">
        <f>"100-C-"&amp;Agencia[[#This Row],[Filtro URL]]</f>
        <v>100-C-8</v>
      </c>
      <c r="U165" s="50" t="str">
        <f t="shared" si="122"/>
        <v>#1774B9</v>
      </c>
      <c r="V165" s="118" t="str">
        <f>+Agencia[[#This Row],[idcoleccion]]&amp;"-"&amp;Agencia[[#This Row],[id]]</f>
        <v>990-0154</v>
      </c>
      <c r="W165" s="118">
        <f>+VLOOKUP(Agencia[[#This Row],[Filtro URL]],Estructura!$X$4:$Y$500,2,0)</f>
        <v>99200008</v>
      </c>
      <c r="X165" s="118" t="str">
        <f>+VLOOKUP(Agencia[[#This Row],[tema]],Estructura!$A$4:$C$500,3,0)</f>
        <v>T-996</v>
      </c>
      <c r="Y165" s="118" t="str">
        <f>+VLOOKUP(Agencia[[#This Row],[contenido]],Estructura!$E$4:$G$500,3,0)</f>
        <v>C-1008</v>
      </c>
      <c r="Z165" s="118" t="str">
        <f>+VLOOKUP(Agencia[[#This Row],[Filtro Integrado]],Estructura!$I$4:$K$500,3,0)</f>
        <v>FI-991</v>
      </c>
      <c r="AA165" s="118" t="str">
        <f>+VLOOKUP(Agencia[[#This Row],[Muestra]],Estructura!$M$4:$O$500,3,0)</f>
        <v>M-1005</v>
      </c>
    </row>
    <row r="166" spans="1:27" ht="72" x14ac:dyDescent="0.3">
      <c r="A166" s="21" t="s">
        <v>1737</v>
      </c>
      <c r="B166" s="24">
        <f t="shared" si="123"/>
        <v>990</v>
      </c>
      <c r="C166" s="25" t="str">
        <f t="shared" si="123"/>
        <v>Agencia Información</v>
      </c>
      <c r="D166" s="25" t="str">
        <f t="shared" si="123"/>
        <v>Arte y cultura</v>
      </c>
      <c r="E166" s="19">
        <v>9</v>
      </c>
      <c r="F166" s="10" t="s">
        <v>623</v>
      </c>
      <c r="G166" s="10" t="s">
        <v>3781</v>
      </c>
      <c r="H166" s="35" t="s">
        <v>16</v>
      </c>
      <c r="I166" s="36" t="s">
        <v>376</v>
      </c>
      <c r="J166" s="9" t="str">
        <f t="shared" ref="J166:J230" si="124">+J165</f>
        <v>Comuna</v>
      </c>
      <c r="K166" s="9" t="str">
        <f t="shared" ref="K166:K230" si="125">+K165</f>
        <v>Cantidad de espacios culturales por comuna</v>
      </c>
      <c r="L166" s="9" t="str">
        <f t="shared" ref="L166:L230" si="126">+L165</f>
        <v>Año 2021</v>
      </c>
      <c r="M166" s="9" t="str">
        <f t="shared" ref="M166:M230" si="127">+M165</f>
        <v>Número de espacios culturales</v>
      </c>
      <c r="N166" s="9" t="str">
        <f t="shared" ref="N166:N230" si="128">+N165</f>
        <v>Observatorio Cultural</v>
      </c>
      <c r="O166" s="20" t="str">
        <f>"Cantidad de Espacios Culturales en la "&amp;Agencia[[#This Row],[territorio]]&amp;" por Tipo de Titularidad y Comuna en el "&amp;Agencia[[#This Row],[temporalidad]]</f>
        <v>Cantidad de Espacios Culturales en la Región de La Araucanía por Tipo de Titularidad y Comuna en el Año 2021</v>
      </c>
      <c r="P166" s="20"/>
      <c r="Q166" s="11" t="str">
        <f t="shared" si="121"/>
        <v>Gráfico</v>
      </c>
      <c r="R166" s="20" t="str">
        <f>Agencia[[#This Row],[territorio]]&amp;" espacio cultural titularidad privada pública cultura"</f>
        <v>Región de La Araucanía espacio cultural titularidad privada pública cultura</v>
      </c>
      <c r="S166"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https://analytics.zoho.com/open-view/2395394000008378510?ZOHO_CRITERIA=%22Espacios_Culturales_Completo%201%22.%22C%C3%B3digo_Regi%C3%B3n%22%20%3D%209</v>
      </c>
      <c r="T166" s="69" t="str">
        <f>"100-C-"&amp;Agencia[[#This Row],[Filtro URL]]</f>
        <v>100-C-9</v>
      </c>
      <c r="U166" s="50" t="str">
        <f t="shared" si="122"/>
        <v>#1774B9</v>
      </c>
      <c r="V166" s="118" t="str">
        <f>+Agencia[[#This Row],[idcoleccion]]&amp;"-"&amp;Agencia[[#This Row],[id]]</f>
        <v>990-0155</v>
      </c>
      <c r="W166" s="118">
        <f>+VLOOKUP(Agencia[[#This Row],[Filtro URL]],Estructura!$X$4:$Y$500,2,0)</f>
        <v>99200009</v>
      </c>
      <c r="X166" s="118" t="str">
        <f>+VLOOKUP(Agencia[[#This Row],[tema]],Estructura!$A$4:$C$500,3,0)</f>
        <v>T-996</v>
      </c>
      <c r="Y166" s="118" t="str">
        <f>+VLOOKUP(Agencia[[#This Row],[contenido]],Estructura!$E$4:$G$500,3,0)</f>
        <v>C-1008</v>
      </c>
      <c r="Z166" s="118" t="str">
        <f>+VLOOKUP(Agencia[[#This Row],[Filtro Integrado]],Estructura!$I$4:$K$500,3,0)</f>
        <v>FI-991</v>
      </c>
      <c r="AA166" s="118" t="str">
        <f>+VLOOKUP(Agencia[[#This Row],[Muestra]],Estructura!$M$4:$O$500,3,0)</f>
        <v>M-1005</v>
      </c>
    </row>
    <row r="167" spans="1:27" ht="72" x14ac:dyDescent="0.3">
      <c r="A167" s="21" t="s">
        <v>550</v>
      </c>
      <c r="B167" s="24">
        <f t="shared" si="123"/>
        <v>990</v>
      </c>
      <c r="C167" s="25" t="str">
        <f t="shared" si="123"/>
        <v>Agencia Información</v>
      </c>
      <c r="D167" s="25" t="str">
        <f t="shared" si="123"/>
        <v>Arte y cultura</v>
      </c>
      <c r="E167" s="19">
        <v>10</v>
      </c>
      <c r="F167" s="10" t="s">
        <v>623</v>
      </c>
      <c r="G167" s="10" t="s">
        <v>3781</v>
      </c>
      <c r="H167" s="35" t="s">
        <v>16</v>
      </c>
      <c r="I167" s="36" t="s">
        <v>377</v>
      </c>
      <c r="J167" s="9" t="str">
        <f t="shared" si="124"/>
        <v>Comuna</v>
      </c>
      <c r="K167" s="9" t="str">
        <f t="shared" si="125"/>
        <v>Cantidad de espacios culturales por comuna</v>
      </c>
      <c r="L167" s="9" t="str">
        <f t="shared" si="126"/>
        <v>Año 2021</v>
      </c>
      <c r="M167" s="9" t="str">
        <f t="shared" si="127"/>
        <v>Número de espacios culturales</v>
      </c>
      <c r="N167" s="9" t="str">
        <f t="shared" si="128"/>
        <v>Observatorio Cultural</v>
      </c>
      <c r="O167" s="20" t="str">
        <f>"Cantidad de Espacios Culturales en la "&amp;Agencia[[#This Row],[territorio]]&amp;" por Tipo de Titularidad y Comuna en el "&amp;Agencia[[#This Row],[temporalidad]]</f>
        <v>Cantidad de Espacios Culturales en la Región de Los Lagos por Tipo de Titularidad y Comuna en el Año 2021</v>
      </c>
      <c r="P167" s="20"/>
      <c r="Q167" s="11" t="str">
        <f t="shared" si="121"/>
        <v>Gráfico</v>
      </c>
      <c r="R167" s="20" t="str">
        <f>Agencia[[#This Row],[territorio]]&amp;" espacio cultural titularidad privada pública cultura"</f>
        <v>Región de Los Lagos espacio cultural titularidad privada pública cultura</v>
      </c>
      <c r="S167"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https://analytics.zoho.com/open-view/2395394000008378510?ZOHO_CRITERIA=%22Espacios_Culturales_Completo%201%22.%22C%C3%B3digo_Regi%C3%B3n%22%20%3D%2010</v>
      </c>
      <c r="T167" s="69" t="str">
        <f>"100-C-"&amp;Agencia[[#This Row],[Filtro URL]]</f>
        <v>100-C-10</v>
      </c>
      <c r="U167" s="50" t="str">
        <f t="shared" si="122"/>
        <v>#1774B9</v>
      </c>
      <c r="V167" s="118" t="str">
        <f>+Agencia[[#This Row],[idcoleccion]]&amp;"-"&amp;Agencia[[#This Row],[id]]</f>
        <v>990-0156</v>
      </c>
      <c r="W167" s="118">
        <f>+VLOOKUP(Agencia[[#This Row],[Filtro URL]],Estructura!$X$4:$Y$500,2,0)</f>
        <v>99200010</v>
      </c>
      <c r="X167" s="118" t="str">
        <f>+VLOOKUP(Agencia[[#This Row],[tema]],Estructura!$A$4:$C$500,3,0)</f>
        <v>T-996</v>
      </c>
      <c r="Y167" s="118" t="str">
        <f>+VLOOKUP(Agencia[[#This Row],[contenido]],Estructura!$E$4:$G$500,3,0)</f>
        <v>C-1008</v>
      </c>
      <c r="Z167" s="118" t="str">
        <f>+VLOOKUP(Agencia[[#This Row],[Filtro Integrado]],Estructura!$I$4:$K$500,3,0)</f>
        <v>FI-991</v>
      </c>
      <c r="AA167" s="118" t="str">
        <f>+VLOOKUP(Agencia[[#This Row],[Muestra]],Estructura!$M$4:$O$500,3,0)</f>
        <v>M-1005</v>
      </c>
    </row>
    <row r="168" spans="1:27" ht="72" x14ac:dyDescent="0.3">
      <c r="A168" s="21" t="s">
        <v>1738</v>
      </c>
      <c r="B168" s="24">
        <f t="shared" si="123"/>
        <v>990</v>
      </c>
      <c r="C168" s="25" t="str">
        <f t="shared" si="123"/>
        <v>Agencia Información</v>
      </c>
      <c r="D168" s="25" t="str">
        <f t="shared" si="123"/>
        <v>Arte y cultura</v>
      </c>
      <c r="E168" s="19">
        <v>11</v>
      </c>
      <c r="F168" s="10" t="s">
        <v>623</v>
      </c>
      <c r="G168" s="10" t="s">
        <v>3781</v>
      </c>
      <c r="H168" s="35" t="s">
        <v>16</v>
      </c>
      <c r="I168" s="36" t="s">
        <v>378</v>
      </c>
      <c r="J168" s="9" t="str">
        <f t="shared" si="124"/>
        <v>Comuna</v>
      </c>
      <c r="K168" s="9" t="str">
        <f t="shared" si="125"/>
        <v>Cantidad de espacios culturales por comuna</v>
      </c>
      <c r="L168" s="9" t="str">
        <f t="shared" si="126"/>
        <v>Año 2021</v>
      </c>
      <c r="M168" s="9" t="str">
        <f t="shared" si="127"/>
        <v>Número de espacios culturales</v>
      </c>
      <c r="N168" s="9" t="str">
        <f t="shared" si="128"/>
        <v>Observatorio Cultural</v>
      </c>
      <c r="O168" s="20" t="str">
        <f>"Cantidad de Espacios Culturales en la "&amp;Agencia[[#This Row],[territorio]]&amp;" por Tipo de Titularidad y Comuna en el "&amp;Agencia[[#This Row],[temporalidad]]</f>
        <v>Cantidad de Espacios Culturales en la Región de Aysén por Tipo de Titularidad y Comuna en el Año 2021</v>
      </c>
      <c r="P168" s="20"/>
      <c r="Q168" s="11" t="str">
        <f t="shared" si="121"/>
        <v>Gráfico</v>
      </c>
      <c r="R168" s="20" t="str">
        <f>Agencia[[#This Row],[territorio]]&amp;" espacio cultural titularidad privada pública cultura"</f>
        <v>Región de Aysén espacio cultural titularidad privada pública cultura</v>
      </c>
      <c r="S168"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https://analytics.zoho.com/open-view/2395394000008378510?ZOHO_CRITERIA=%22Espacios_Culturales_Completo%201%22.%22C%C3%B3digo_Regi%C3%B3n%22%20%3D%2011</v>
      </c>
      <c r="T168" s="69" t="str">
        <f>"100-C-"&amp;Agencia[[#This Row],[Filtro URL]]</f>
        <v>100-C-11</v>
      </c>
      <c r="U168" s="50" t="str">
        <f t="shared" si="122"/>
        <v>#1774B9</v>
      </c>
      <c r="V168" s="118" t="str">
        <f>+Agencia[[#This Row],[idcoleccion]]&amp;"-"&amp;Agencia[[#This Row],[id]]</f>
        <v>990-0157</v>
      </c>
      <c r="W168" s="118">
        <f>+VLOOKUP(Agencia[[#This Row],[Filtro URL]],Estructura!$X$4:$Y$500,2,0)</f>
        <v>99200011</v>
      </c>
      <c r="X168" s="118" t="str">
        <f>+VLOOKUP(Agencia[[#This Row],[tema]],Estructura!$A$4:$C$500,3,0)</f>
        <v>T-996</v>
      </c>
      <c r="Y168" s="118" t="str">
        <f>+VLOOKUP(Agencia[[#This Row],[contenido]],Estructura!$E$4:$G$500,3,0)</f>
        <v>C-1008</v>
      </c>
      <c r="Z168" s="118" t="str">
        <f>+VLOOKUP(Agencia[[#This Row],[Filtro Integrado]],Estructura!$I$4:$K$500,3,0)</f>
        <v>FI-991</v>
      </c>
      <c r="AA168" s="118" t="str">
        <f>+VLOOKUP(Agencia[[#This Row],[Muestra]],Estructura!$M$4:$O$500,3,0)</f>
        <v>M-1005</v>
      </c>
    </row>
    <row r="169" spans="1:27" ht="72" x14ac:dyDescent="0.3">
      <c r="A169" s="21" t="s">
        <v>551</v>
      </c>
      <c r="B169" s="24">
        <f t="shared" si="123"/>
        <v>990</v>
      </c>
      <c r="C169" s="25" t="str">
        <f t="shared" si="123"/>
        <v>Agencia Información</v>
      </c>
      <c r="D169" s="25" t="str">
        <f t="shared" si="123"/>
        <v>Arte y cultura</v>
      </c>
      <c r="E169" s="19">
        <v>12</v>
      </c>
      <c r="F169" s="10" t="s">
        <v>623</v>
      </c>
      <c r="G169" s="10" t="s">
        <v>3781</v>
      </c>
      <c r="H169" s="35" t="s">
        <v>16</v>
      </c>
      <c r="I169" s="36" t="s">
        <v>379</v>
      </c>
      <c r="J169" s="9" t="str">
        <f t="shared" si="124"/>
        <v>Comuna</v>
      </c>
      <c r="K169" s="9" t="str">
        <f t="shared" si="125"/>
        <v>Cantidad de espacios culturales por comuna</v>
      </c>
      <c r="L169" s="9" t="str">
        <f t="shared" si="126"/>
        <v>Año 2021</v>
      </c>
      <c r="M169" s="9" t="str">
        <f t="shared" si="127"/>
        <v>Número de espacios culturales</v>
      </c>
      <c r="N169" s="9" t="str">
        <f t="shared" si="128"/>
        <v>Observatorio Cultural</v>
      </c>
      <c r="O169" s="20" t="str">
        <f>"Cantidad de Espacios Culturales en la "&amp;Agencia[[#This Row],[territorio]]&amp;" por Tipo de Titularidad y Comuna en el "&amp;Agencia[[#This Row],[temporalidad]]</f>
        <v>Cantidad de Espacios Culturales en la Región de Magallanes por Tipo de Titularidad y Comuna en el Año 2021</v>
      </c>
      <c r="P169" s="20"/>
      <c r="Q169" s="11" t="str">
        <f t="shared" si="121"/>
        <v>Gráfico</v>
      </c>
      <c r="R169" s="20" t="str">
        <f>Agencia[[#This Row],[territorio]]&amp;" espacio cultural titularidad privada pública cultura"</f>
        <v>Región de Magallanes espacio cultural titularidad privada pública cultura</v>
      </c>
      <c r="S169"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https://analytics.zoho.com/open-view/2395394000008378510?ZOHO_CRITERIA=%22Espacios_Culturales_Completo%201%22.%22C%C3%B3digo_Regi%C3%B3n%22%20%3D%2012</v>
      </c>
      <c r="T169" s="69" t="str">
        <f>"100-C-"&amp;Agencia[[#This Row],[Filtro URL]]</f>
        <v>100-C-12</v>
      </c>
      <c r="U169" s="50" t="str">
        <f t="shared" si="122"/>
        <v>#1774B9</v>
      </c>
      <c r="V169" s="118" t="str">
        <f>+Agencia[[#This Row],[idcoleccion]]&amp;"-"&amp;Agencia[[#This Row],[id]]</f>
        <v>990-0158</v>
      </c>
      <c r="W169" s="118">
        <f>+VLOOKUP(Agencia[[#This Row],[Filtro URL]],Estructura!$X$4:$Y$500,2,0)</f>
        <v>99200012</v>
      </c>
      <c r="X169" s="118" t="str">
        <f>+VLOOKUP(Agencia[[#This Row],[tema]],Estructura!$A$4:$C$500,3,0)</f>
        <v>T-996</v>
      </c>
      <c r="Y169" s="118" t="str">
        <f>+VLOOKUP(Agencia[[#This Row],[contenido]],Estructura!$E$4:$G$500,3,0)</f>
        <v>C-1008</v>
      </c>
      <c r="Z169" s="118" t="str">
        <f>+VLOOKUP(Agencia[[#This Row],[Filtro Integrado]],Estructura!$I$4:$K$500,3,0)</f>
        <v>FI-991</v>
      </c>
      <c r="AA169" s="118" t="str">
        <f>+VLOOKUP(Agencia[[#This Row],[Muestra]],Estructura!$M$4:$O$500,3,0)</f>
        <v>M-1005</v>
      </c>
    </row>
    <row r="170" spans="1:27" ht="72" x14ac:dyDescent="0.3">
      <c r="A170" s="21" t="s">
        <v>552</v>
      </c>
      <c r="B170" s="24">
        <f t="shared" si="123"/>
        <v>990</v>
      </c>
      <c r="C170" s="25" t="str">
        <f t="shared" si="123"/>
        <v>Agencia Información</v>
      </c>
      <c r="D170" s="25" t="str">
        <f t="shared" si="123"/>
        <v>Arte y cultura</v>
      </c>
      <c r="E170" s="19">
        <v>13</v>
      </c>
      <c r="F170" s="10" t="s">
        <v>623</v>
      </c>
      <c r="G170" s="10" t="s">
        <v>3781</v>
      </c>
      <c r="H170" s="35" t="s">
        <v>16</v>
      </c>
      <c r="I170" s="36" t="s">
        <v>380</v>
      </c>
      <c r="J170" s="9" t="str">
        <f t="shared" si="124"/>
        <v>Comuna</v>
      </c>
      <c r="K170" s="9" t="str">
        <f t="shared" si="125"/>
        <v>Cantidad de espacios culturales por comuna</v>
      </c>
      <c r="L170" s="9" t="str">
        <f t="shared" si="126"/>
        <v>Año 2021</v>
      </c>
      <c r="M170" s="9" t="str">
        <f t="shared" si="127"/>
        <v>Número de espacios culturales</v>
      </c>
      <c r="N170" s="9" t="str">
        <f t="shared" si="128"/>
        <v>Observatorio Cultural</v>
      </c>
      <c r="O170" s="20" t="str">
        <f>"Cantidad de Espacios Culturales en la "&amp;Agencia[[#This Row],[territorio]]&amp;" por Tipo de Titularidad y Comuna en el "&amp;Agencia[[#This Row],[temporalidad]]</f>
        <v>Cantidad de Espacios Culturales en la Región Metropolitana por Tipo de Titularidad y Comuna en el Año 2021</v>
      </c>
      <c r="P170" s="20"/>
      <c r="Q170" s="11" t="str">
        <f t="shared" si="121"/>
        <v>Gráfico</v>
      </c>
      <c r="R170" s="20" t="str">
        <f>Agencia[[#This Row],[territorio]]&amp;" espacio cultural titularidad privada pública cultura"</f>
        <v>Región Metropolitana espacio cultural titularidad privada pública cultura</v>
      </c>
      <c r="S170"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https://analytics.zoho.com/open-view/2395394000008378510?ZOHO_CRITERIA=%22Espacios_Culturales_Completo%201%22.%22C%C3%B3digo_Regi%C3%B3n%22%20%3D%2013</v>
      </c>
      <c r="T170" s="69" t="str">
        <f>"200-C-"&amp;Agencia[[#This Row],[Filtro URL]]</f>
        <v>200-C-13</v>
      </c>
      <c r="U170" s="50" t="str">
        <f t="shared" si="122"/>
        <v>#1774B9</v>
      </c>
      <c r="V170" s="118" t="str">
        <f>+Agencia[[#This Row],[idcoleccion]]&amp;"-"&amp;Agencia[[#This Row],[id]]</f>
        <v>990-0159</v>
      </c>
      <c r="W170" s="118">
        <f>+VLOOKUP(Agencia[[#This Row],[Filtro URL]],Estructura!$X$4:$Y$500,2,0)</f>
        <v>99200013</v>
      </c>
      <c r="X170" s="118" t="str">
        <f>+VLOOKUP(Agencia[[#This Row],[tema]],Estructura!$A$4:$C$500,3,0)</f>
        <v>T-996</v>
      </c>
      <c r="Y170" s="118" t="str">
        <f>+VLOOKUP(Agencia[[#This Row],[contenido]],Estructura!$E$4:$G$500,3,0)</f>
        <v>C-1008</v>
      </c>
      <c r="Z170" s="118" t="str">
        <f>+VLOOKUP(Agencia[[#This Row],[Filtro Integrado]],Estructura!$I$4:$K$500,3,0)</f>
        <v>FI-991</v>
      </c>
      <c r="AA170" s="118" t="str">
        <f>+VLOOKUP(Agencia[[#This Row],[Muestra]],Estructura!$M$4:$O$500,3,0)</f>
        <v>M-1005</v>
      </c>
    </row>
    <row r="171" spans="1:27" ht="72" x14ac:dyDescent="0.3">
      <c r="A171" s="21" t="s">
        <v>553</v>
      </c>
      <c r="B171" s="24">
        <f t="shared" si="123"/>
        <v>990</v>
      </c>
      <c r="C171" s="25" t="str">
        <f t="shared" si="123"/>
        <v>Agencia Información</v>
      </c>
      <c r="D171" s="25" t="str">
        <f t="shared" si="123"/>
        <v>Arte y cultura</v>
      </c>
      <c r="E171" s="19">
        <v>14</v>
      </c>
      <c r="F171" s="10" t="s">
        <v>623</v>
      </c>
      <c r="G171" s="10" t="s">
        <v>3781</v>
      </c>
      <c r="H171" s="35" t="s">
        <v>16</v>
      </c>
      <c r="I171" s="36" t="s">
        <v>381</v>
      </c>
      <c r="J171" s="9" t="str">
        <f t="shared" si="124"/>
        <v>Comuna</v>
      </c>
      <c r="K171" s="9" t="str">
        <f t="shared" si="125"/>
        <v>Cantidad de espacios culturales por comuna</v>
      </c>
      <c r="L171" s="9" t="str">
        <f t="shared" si="126"/>
        <v>Año 2021</v>
      </c>
      <c r="M171" s="9" t="str">
        <f t="shared" si="127"/>
        <v>Número de espacios culturales</v>
      </c>
      <c r="N171" s="9" t="str">
        <f t="shared" si="128"/>
        <v>Observatorio Cultural</v>
      </c>
      <c r="O171" s="20" t="str">
        <f>"Cantidad de Espacios Culturales en la "&amp;Agencia[[#This Row],[territorio]]&amp;" por Tipo de Titularidad y Comuna en el "&amp;Agencia[[#This Row],[temporalidad]]</f>
        <v>Cantidad de Espacios Culturales en la Región de Los Ríos por Tipo de Titularidad y Comuna en el Año 2021</v>
      </c>
      <c r="P171" s="20"/>
      <c r="Q171" s="11" t="str">
        <f t="shared" si="121"/>
        <v>Gráfico</v>
      </c>
      <c r="R171" s="20" t="str">
        <f>Agencia[[#This Row],[territorio]]&amp;" espacio cultural titularidad privada pública cultura"</f>
        <v>Región de Los Ríos espacio cultural titularidad privada pública cultura</v>
      </c>
      <c r="S171"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https://analytics.zoho.com/open-view/2395394000008378510?ZOHO_CRITERIA=%22Espacios_Culturales_Completo%201%22.%22C%C3%B3digo_Regi%C3%B3n%22%20%3D%2014</v>
      </c>
      <c r="T171" s="69" t="str">
        <f>"100-C-"&amp;Agencia[[#This Row],[Filtro URL]]</f>
        <v>100-C-14</v>
      </c>
      <c r="U171" s="50" t="str">
        <f t="shared" si="122"/>
        <v>#1774B9</v>
      </c>
      <c r="V171" s="118" t="str">
        <f>+Agencia[[#This Row],[idcoleccion]]&amp;"-"&amp;Agencia[[#This Row],[id]]</f>
        <v>990-0160</v>
      </c>
      <c r="W171" s="118">
        <f>+VLOOKUP(Agencia[[#This Row],[Filtro URL]],Estructura!$X$4:$Y$500,2,0)</f>
        <v>99200014</v>
      </c>
      <c r="X171" s="118" t="str">
        <f>+VLOOKUP(Agencia[[#This Row],[tema]],Estructura!$A$4:$C$500,3,0)</f>
        <v>T-996</v>
      </c>
      <c r="Y171" s="118" t="str">
        <f>+VLOOKUP(Agencia[[#This Row],[contenido]],Estructura!$E$4:$G$500,3,0)</f>
        <v>C-1008</v>
      </c>
      <c r="Z171" s="118" t="str">
        <f>+VLOOKUP(Agencia[[#This Row],[Filtro Integrado]],Estructura!$I$4:$K$500,3,0)</f>
        <v>FI-991</v>
      </c>
      <c r="AA171" s="118" t="str">
        <f>+VLOOKUP(Agencia[[#This Row],[Muestra]],Estructura!$M$4:$O$500,3,0)</f>
        <v>M-1005</v>
      </c>
    </row>
    <row r="172" spans="1:27" ht="72" x14ac:dyDescent="0.3">
      <c r="A172" s="21" t="s">
        <v>554</v>
      </c>
      <c r="B172" s="24">
        <f t="shared" si="123"/>
        <v>990</v>
      </c>
      <c r="C172" s="25" t="str">
        <f t="shared" si="123"/>
        <v>Agencia Información</v>
      </c>
      <c r="D172" s="25" t="str">
        <f t="shared" si="123"/>
        <v>Arte y cultura</v>
      </c>
      <c r="E172" s="19">
        <v>15</v>
      </c>
      <c r="F172" s="10" t="s">
        <v>623</v>
      </c>
      <c r="G172" s="10" t="s">
        <v>3781</v>
      </c>
      <c r="H172" s="35" t="s">
        <v>16</v>
      </c>
      <c r="I172" s="36" t="s">
        <v>382</v>
      </c>
      <c r="J172" s="9" t="str">
        <f t="shared" si="124"/>
        <v>Comuna</v>
      </c>
      <c r="K172" s="9" t="str">
        <f t="shared" si="125"/>
        <v>Cantidad de espacios culturales por comuna</v>
      </c>
      <c r="L172" s="9" t="str">
        <f t="shared" si="126"/>
        <v>Año 2021</v>
      </c>
      <c r="M172" s="9" t="str">
        <f t="shared" si="127"/>
        <v>Número de espacios culturales</v>
      </c>
      <c r="N172" s="9" t="str">
        <f t="shared" si="128"/>
        <v>Observatorio Cultural</v>
      </c>
      <c r="O172" s="20" t="str">
        <f>"Cantidad de Espacios Culturales en la "&amp;Agencia[[#This Row],[territorio]]&amp;" por Tipo de Titularidad y Comuna en el "&amp;Agencia[[#This Row],[temporalidad]]</f>
        <v>Cantidad de Espacios Culturales en la Región de Arica y Parinacota por Tipo de Titularidad y Comuna en el Año 2021</v>
      </c>
      <c r="P172" s="20"/>
      <c r="Q172" s="11" t="str">
        <f t="shared" si="121"/>
        <v>Gráfico</v>
      </c>
      <c r="R172" s="20" t="str">
        <f>Agencia[[#This Row],[territorio]]&amp;" espacio cultural titularidad privada pública cultura"</f>
        <v>Región de Arica y Parinacota espacio cultural titularidad privada pública cultura</v>
      </c>
      <c r="S172"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https://analytics.zoho.com/open-view/2395394000008378510?ZOHO_CRITERIA=%22Espacios_Culturales_Completo%201%22.%22C%C3%B3digo_Regi%C3%B3n%22%20%3D%2015</v>
      </c>
      <c r="T172" s="69" t="str">
        <f>"100-C-"&amp;Agencia[[#This Row],[Filtro URL]]</f>
        <v>100-C-15</v>
      </c>
      <c r="U172" s="50" t="str">
        <f t="shared" si="122"/>
        <v>#1774B9</v>
      </c>
      <c r="V172" s="118" t="str">
        <f>+Agencia[[#This Row],[idcoleccion]]&amp;"-"&amp;Agencia[[#This Row],[id]]</f>
        <v>990-0161</v>
      </c>
      <c r="W172" s="118">
        <f>+VLOOKUP(Agencia[[#This Row],[Filtro URL]],Estructura!$X$4:$Y$500,2,0)</f>
        <v>99200015</v>
      </c>
      <c r="X172" s="118" t="str">
        <f>+VLOOKUP(Agencia[[#This Row],[tema]],Estructura!$A$4:$C$500,3,0)</f>
        <v>T-996</v>
      </c>
      <c r="Y172" s="118" t="str">
        <f>+VLOOKUP(Agencia[[#This Row],[contenido]],Estructura!$E$4:$G$500,3,0)</f>
        <v>C-1008</v>
      </c>
      <c r="Z172" s="118" t="str">
        <f>+VLOOKUP(Agencia[[#This Row],[Filtro Integrado]],Estructura!$I$4:$K$500,3,0)</f>
        <v>FI-991</v>
      </c>
      <c r="AA172" s="118" t="str">
        <f>+VLOOKUP(Agencia[[#This Row],[Muestra]],Estructura!$M$4:$O$500,3,0)</f>
        <v>M-1005</v>
      </c>
    </row>
    <row r="173" spans="1:27" ht="72" x14ac:dyDescent="0.3">
      <c r="A173" s="21" t="s">
        <v>555</v>
      </c>
      <c r="B173" s="24">
        <f t="shared" si="123"/>
        <v>990</v>
      </c>
      <c r="C173" s="25" t="str">
        <f t="shared" si="123"/>
        <v>Agencia Información</v>
      </c>
      <c r="D173" s="25" t="str">
        <f t="shared" si="123"/>
        <v>Arte y cultura</v>
      </c>
      <c r="E173" s="19">
        <v>16</v>
      </c>
      <c r="F173" s="10" t="s">
        <v>623</v>
      </c>
      <c r="G173" s="10" t="s">
        <v>3781</v>
      </c>
      <c r="H173" s="35" t="s">
        <v>16</v>
      </c>
      <c r="I173" s="36" t="s">
        <v>383</v>
      </c>
      <c r="J173" s="9" t="str">
        <f t="shared" si="124"/>
        <v>Comuna</v>
      </c>
      <c r="K173" s="9" t="str">
        <f t="shared" si="125"/>
        <v>Cantidad de espacios culturales por comuna</v>
      </c>
      <c r="L173" s="9" t="str">
        <f t="shared" si="126"/>
        <v>Año 2021</v>
      </c>
      <c r="M173" s="9" t="str">
        <f t="shared" si="127"/>
        <v>Número de espacios culturales</v>
      </c>
      <c r="N173" s="9" t="str">
        <f t="shared" si="128"/>
        <v>Observatorio Cultural</v>
      </c>
      <c r="O173" s="20" t="str">
        <f>"Cantidad de Espacios Culturales en la "&amp;Agencia[[#This Row],[territorio]]&amp;" por Tipo de Titularidad y Comuna en el "&amp;Agencia[[#This Row],[temporalidad]]</f>
        <v>Cantidad de Espacios Culturales en la Región de Ñuble por Tipo de Titularidad y Comuna en el Año 2021</v>
      </c>
      <c r="P173" s="20"/>
      <c r="Q173" s="11" t="str">
        <f t="shared" si="121"/>
        <v>Gráfico</v>
      </c>
      <c r="R173" s="20" t="str">
        <f>Agencia[[#This Row],[territorio]]&amp;" espacio cultural titularidad privada pública cultura"</f>
        <v>Región de Ñuble espacio cultural titularidad privada pública cultura</v>
      </c>
      <c r="S173" s="39" t="str">
        <f>HYPERLINK("https://analytics.zoho.com/open-view/2395394000008378510?ZOHO_CRITERIA=%22Espacios_Culturales_Completo%201%22.%22C%C3%B3digo_Regi%C3%B3n%22%20%3D%20"&amp;Agencia[[#This Row],[Filtro URL]])</f>
        <v>https://analytics.zoho.com/open-view/2395394000008378510?ZOHO_CRITERIA=%22Espacios_Culturales_Completo%201%22.%22C%C3%B3digo_Regi%C3%B3n%22%20%3D%2016</v>
      </c>
      <c r="T173" s="69" t="str">
        <f>"100-C-"&amp;Agencia[[#This Row],[Filtro URL]]</f>
        <v>100-C-16</v>
      </c>
      <c r="U173" s="50" t="str">
        <f t="shared" si="122"/>
        <v>#1774B9</v>
      </c>
      <c r="V173" s="118" t="str">
        <f>+Agencia[[#This Row],[idcoleccion]]&amp;"-"&amp;Agencia[[#This Row],[id]]</f>
        <v>990-0162</v>
      </c>
      <c r="W173" s="118">
        <f>+VLOOKUP(Agencia[[#This Row],[Filtro URL]],Estructura!$X$4:$Y$500,2,0)</f>
        <v>99200016</v>
      </c>
      <c r="X173" s="118" t="str">
        <f>+VLOOKUP(Agencia[[#This Row],[tema]],Estructura!$A$4:$C$500,3,0)</f>
        <v>T-996</v>
      </c>
      <c r="Y173" s="118" t="str">
        <f>+VLOOKUP(Agencia[[#This Row],[contenido]],Estructura!$E$4:$G$500,3,0)</f>
        <v>C-1008</v>
      </c>
      <c r="Z173" s="118" t="str">
        <f>+VLOOKUP(Agencia[[#This Row],[Filtro Integrado]],Estructura!$I$4:$K$500,3,0)</f>
        <v>FI-991</v>
      </c>
      <c r="AA173" s="118" t="str">
        <f>+VLOOKUP(Agencia[[#This Row],[Muestra]],Estructura!$M$4:$O$500,3,0)</f>
        <v>M-1005</v>
      </c>
    </row>
    <row r="174" spans="1:27" ht="91.8" x14ac:dyDescent="0.3">
      <c r="A174" s="21" t="s">
        <v>556</v>
      </c>
      <c r="B174" s="24">
        <f t="shared" si="123"/>
        <v>990</v>
      </c>
      <c r="C174" s="25" t="str">
        <f t="shared" si="123"/>
        <v>Agencia Información</v>
      </c>
      <c r="D174" s="25" t="s">
        <v>822</v>
      </c>
      <c r="E174" s="14">
        <v>0</v>
      </c>
      <c r="F174" s="10" t="s">
        <v>7409</v>
      </c>
      <c r="G174" s="10" t="s">
        <v>3764</v>
      </c>
      <c r="H174" s="33" t="s">
        <v>20</v>
      </c>
      <c r="I174" s="34" t="s">
        <v>15</v>
      </c>
      <c r="J174" s="9" t="s">
        <v>16</v>
      </c>
      <c r="K174" s="9" t="s">
        <v>851</v>
      </c>
      <c r="L174" s="9" t="s">
        <v>820</v>
      </c>
      <c r="M174" s="9" t="s">
        <v>426</v>
      </c>
      <c r="N174" s="9" t="s">
        <v>459</v>
      </c>
      <c r="O174" s="20" t="str">
        <f>"Variación Anual de Frecuencia de Delitos de Mayor Connotación Social en "&amp;Agencia[[#This Row],[territorio]]&amp;", "&amp; Agencia[[#This Row],[temporalidad]]</f>
        <v>Variación Anual de Frecuencia de Delitos de Mayor Connotación Social en Chile, Periodo 2008-2021</v>
      </c>
      <c r="P174" s="20" t="s">
        <v>1498</v>
      </c>
      <c r="Q174" s="11" t="s">
        <v>606</v>
      </c>
      <c r="R174" s="20" t="str">
        <f>Agencia[[#This Row],[territorio]]&amp;" delitos mayor connotación social variación anual frecuencia"</f>
        <v>Chile delitos mayor connotación social variación anual frecuencia</v>
      </c>
      <c r="S174" s="39" t="s">
        <v>876</v>
      </c>
      <c r="T174" s="68" t="s">
        <v>1033</v>
      </c>
      <c r="U174" s="50" t="str">
        <f t="shared" si="122"/>
        <v>#1774B9</v>
      </c>
      <c r="V174" s="118" t="str">
        <f>+Agencia[[#This Row],[idcoleccion]]&amp;"-"&amp;Agencia[[#This Row],[id]]</f>
        <v>990-0163</v>
      </c>
      <c r="W174" s="118">
        <f>+VLOOKUP(Agencia[[#This Row],[Filtro URL]],Estructura!$X$4:$Y$500,2,0)</f>
        <v>99100000</v>
      </c>
      <c r="X174" s="118" t="str">
        <f>+VLOOKUP(Agencia[[#This Row],[tema]],Estructura!$A$4:$C$500,3,0)</f>
        <v>T-1061</v>
      </c>
      <c r="Y174" s="118" t="str">
        <f>+VLOOKUP(Agencia[[#This Row],[contenido]],Estructura!$E$4:$G$500,3,0)</f>
        <v>C-998</v>
      </c>
      <c r="Z174" s="118" t="str">
        <f>+VLOOKUP(Agencia[[#This Row],[Filtro Integrado]],Estructura!$I$4:$K$500,3,0)</f>
        <v>FI-992</v>
      </c>
      <c r="AA174" s="118" t="str">
        <f>+VLOOKUP(Agencia[[#This Row],[Muestra]],Estructura!$M$4:$O$500,3,0)</f>
        <v>M-1006</v>
      </c>
    </row>
    <row r="175" spans="1:27" ht="72" x14ac:dyDescent="0.3">
      <c r="A175" s="21" t="s">
        <v>557</v>
      </c>
      <c r="B175" s="24">
        <f t="shared" si="123"/>
        <v>990</v>
      </c>
      <c r="C175" s="25" t="str">
        <f t="shared" si="123"/>
        <v>Agencia Información</v>
      </c>
      <c r="D175" s="25" t="str">
        <f t="shared" si="123"/>
        <v>Social</v>
      </c>
      <c r="E175" s="19">
        <v>1</v>
      </c>
      <c r="F175" s="84" t="s">
        <v>7409</v>
      </c>
      <c r="G175" s="10" t="s">
        <v>3764</v>
      </c>
      <c r="H175" s="35" t="s">
        <v>16</v>
      </c>
      <c r="I175" s="36" t="s">
        <v>368</v>
      </c>
      <c r="J175" s="9" t="s">
        <v>18</v>
      </c>
      <c r="K175" s="9" t="str">
        <f t="shared" si="125"/>
        <v>Variación anual de delitos por comuna</v>
      </c>
      <c r="L175" s="9" t="str">
        <f t="shared" si="126"/>
        <v>Periodo 2008-2021</v>
      </c>
      <c r="M175" s="9" t="str">
        <f t="shared" si="127"/>
        <v>Porcentaje (%)</v>
      </c>
      <c r="N175" s="9" t="str">
        <f t="shared" si="128"/>
        <v>Centro de Estudios y Análisis del Delito (CEAD) de la Subsecretaría de Prevención del Delito</v>
      </c>
      <c r="O175" s="20" t="str">
        <f>"Variación Anual de Frecuencia de Delitos de Mayor Connotación Social en la "&amp;Agencia[[#This Row],[territorio]]&amp;", "&amp; Agencia[[#This Row],[temporalidad]]</f>
        <v>Variación Anual de Frecuencia de Delitos de Mayor Connotación Social en la Región de Tarapacá, Periodo 2008-2021</v>
      </c>
      <c r="P175" s="20"/>
      <c r="Q175" s="11" t="str">
        <f t="shared" si="121"/>
        <v>Dashboard</v>
      </c>
      <c r="R175" s="20" t="str">
        <f>Agencia[[#This Row],[territorio]]&amp;" delitos mayor connotación social variación anual frecuencia"</f>
        <v>Región de Tarapacá delitos mayor connotación social variación anual frecuencia</v>
      </c>
      <c r="S175" s="39" t="s">
        <v>924</v>
      </c>
      <c r="T175" s="69" t="str">
        <f>"100-C-"&amp;Agencia[[#This Row],[Filtro URL]]</f>
        <v>100-C-1</v>
      </c>
      <c r="U175" s="50" t="str">
        <f t="shared" si="122"/>
        <v>#1774B9</v>
      </c>
      <c r="V175" s="118" t="str">
        <f>+Agencia[[#This Row],[idcoleccion]]&amp;"-"&amp;Agencia[[#This Row],[id]]</f>
        <v>990-0164</v>
      </c>
      <c r="W175" s="118">
        <f>+VLOOKUP(Agencia[[#This Row],[Filtro URL]],Estructura!$X$4:$Y$500,2,0)</f>
        <v>99200001</v>
      </c>
      <c r="X175" s="118" t="str">
        <f>+VLOOKUP(Agencia[[#This Row],[tema]],Estructura!$A$4:$C$500,3,0)</f>
        <v>T-1061</v>
      </c>
      <c r="Y175" s="118" t="str">
        <f>+VLOOKUP(Agencia[[#This Row],[contenido]],Estructura!$E$4:$G$500,3,0)</f>
        <v>C-998</v>
      </c>
      <c r="Z175" s="118" t="str">
        <f>+VLOOKUP(Agencia[[#This Row],[Filtro Integrado]],Estructura!$I$4:$K$500,3,0)</f>
        <v>FI-991</v>
      </c>
      <c r="AA175" s="118" t="str">
        <f>+VLOOKUP(Agencia[[#This Row],[Muestra]],Estructura!$M$4:$O$500,3,0)</f>
        <v>M-1006</v>
      </c>
    </row>
    <row r="176" spans="1:27" ht="72" x14ac:dyDescent="0.3">
      <c r="A176" s="21" t="s">
        <v>558</v>
      </c>
      <c r="B176" s="24">
        <f t="shared" si="123"/>
        <v>990</v>
      </c>
      <c r="C176" s="25" t="str">
        <f t="shared" si="123"/>
        <v>Agencia Información</v>
      </c>
      <c r="D176" s="25" t="str">
        <f t="shared" si="123"/>
        <v>Social</v>
      </c>
      <c r="E176" s="19">
        <v>2</v>
      </c>
      <c r="F176" s="84" t="s">
        <v>7409</v>
      </c>
      <c r="G176" s="10" t="s">
        <v>3764</v>
      </c>
      <c r="H176" s="35" t="s">
        <v>16</v>
      </c>
      <c r="I176" s="36" t="s">
        <v>369</v>
      </c>
      <c r="J176" s="9" t="str">
        <f t="shared" si="124"/>
        <v>Comuna</v>
      </c>
      <c r="K176" s="9" t="str">
        <f t="shared" si="125"/>
        <v>Variación anual de delitos por comuna</v>
      </c>
      <c r="L176" s="9" t="str">
        <f t="shared" si="126"/>
        <v>Periodo 2008-2021</v>
      </c>
      <c r="M176" s="9" t="str">
        <f t="shared" si="127"/>
        <v>Porcentaje (%)</v>
      </c>
      <c r="N176" s="9" t="str">
        <f t="shared" si="128"/>
        <v>Centro de Estudios y Análisis del Delito (CEAD) de la Subsecretaría de Prevención del Delito</v>
      </c>
      <c r="O176" s="20" t="str">
        <f>"Variación Anual de Frecuencia de Delitos de Mayor Connotación Social en la "&amp;Agencia[[#This Row],[territorio]]&amp;", "&amp; Agencia[[#This Row],[temporalidad]]</f>
        <v>Variación Anual de Frecuencia de Delitos de Mayor Connotación Social en la Región de Antofagasta, Periodo 2008-2021</v>
      </c>
      <c r="P176" s="20"/>
      <c r="Q176" s="11" t="str">
        <f t="shared" si="121"/>
        <v>Dashboard</v>
      </c>
      <c r="R176" s="20" t="str">
        <f>Agencia[[#This Row],[territorio]]&amp;" delitos mayor connotación social variación anual frecuencia"</f>
        <v>Región de Antofagasta delitos mayor connotación social variación anual frecuencia</v>
      </c>
      <c r="S176" s="39" t="s">
        <v>913</v>
      </c>
      <c r="T176" s="69" t="str">
        <f>"100-C-"&amp;Agencia[[#This Row],[Filtro URL]]</f>
        <v>100-C-2</v>
      </c>
      <c r="U176" s="50" t="str">
        <f t="shared" si="122"/>
        <v>#1774B9</v>
      </c>
      <c r="V176" s="118" t="str">
        <f>+Agencia[[#This Row],[idcoleccion]]&amp;"-"&amp;Agencia[[#This Row],[id]]</f>
        <v>990-0165</v>
      </c>
      <c r="W176" s="118">
        <f>+VLOOKUP(Agencia[[#This Row],[Filtro URL]],Estructura!$X$4:$Y$500,2,0)</f>
        <v>99200002</v>
      </c>
      <c r="X176" s="118" t="str">
        <f>+VLOOKUP(Agencia[[#This Row],[tema]],Estructura!$A$4:$C$500,3,0)</f>
        <v>T-1061</v>
      </c>
      <c r="Y176" s="118" t="str">
        <f>+VLOOKUP(Agencia[[#This Row],[contenido]],Estructura!$E$4:$G$500,3,0)</f>
        <v>C-998</v>
      </c>
      <c r="Z176" s="118" t="str">
        <f>+VLOOKUP(Agencia[[#This Row],[Filtro Integrado]],Estructura!$I$4:$K$500,3,0)</f>
        <v>FI-991</v>
      </c>
      <c r="AA176" s="118" t="str">
        <f>+VLOOKUP(Agencia[[#This Row],[Muestra]],Estructura!$M$4:$O$500,3,0)</f>
        <v>M-1006</v>
      </c>
    </row>
    <row r="177" spans="1:27" ht="72" x14ac:dyDescent="0.3">
      <c r="A177" s="21" t="s">
        <v>559</v>
      </c>
      <c r="B177" s="24">
        <f t="shared" ref="B177:D177" si="129">+B176</f>
        <v>990</v>
      </c>
      <c r="C177" s="25" t="str">
        <f t="shared" si="129"/>
        <v>Agencia Información</v>
      </c>
      <c r="D177" s="25" t="str">
        <f t="shared" si="129"/>
        <v>Social</v>
      </c>
      <c r="E177" s="19">
        <v>3</v>
      </c>
      <c r="F177" s="84" t="s">
        <v>7409</v>
      </c>
      <c r="G177" s="10" t="s">
        <v>3764</v>
      </c>
      <c r="H177" s="35" t="s">
        <v>16</v>
      </c>
      <c r="I177" s="36" t="s">
        <v>370</v>
      </c>
      <c r="J177" s="9" t="str">
        <f t="shared" si="124"/>
        <v>Comuna</v>
      </c>
      <c r="K177" s="9" t="str">
        <f t="shared" si="125"/>
        <v>Variación anual de delitos por comuna</v>
      </c>
      <c r="L177" s="9" t="str">
        <f t="shared" si="126"/>
        <v>Periodo 2008-2021</v>
      </c>
      <c r="M177" s="9" t="str">
        <f t="shared" si="127"/>
        <v>Porcentaje (%)</v>
      </c>
      <c r="N177" s="9" t="str">
        <f t="shared" si="128"/>
        <v>Centro de Estudios y Análisis del Delito (CEAD) de la Subsecretaría de Prevención del Delito</v>
      </c>
      <c r="O177" s="20" t="str">
        <f>"Variación Anual de Frecuencia de Delitos de Mayor Connotación Social en la "&amp;Agencia[[#This Row],[territorio]]&amp;", "&amp; Agencia[[#This Row],[temporalidad]]</f>
        <v>Variación Anual de Frecuencia de Delitos de Mayor Connotación Social en la Región de Atacama, Periodo 2008-2021</v>
      </c>
      <c r="P177" s="20"/>
      <c r="Q177" s="11" t="str">
        <f t="shared" si="121"/>
        <v>Dashboard</v>
      </c>
      <c r="R177" s="20" t="str">
        <f>Agencia[[#This Row],[territorio]]&amp;" delitos mayor connotación social variación anual frecuencia"</f>
        <v>Región de Atacama delitos mayor connotación social variación anual frecuencia</v>
      </c>
      <c r="S177" s="39" t="s">
        <v>913</v>
      </c>
      <c r="T177" s="69" t="str">
        <f>"100-C-"&amp;Agencia[[#This Row],[Filtro URL]]</f>
        <v>100-C-3</v>
      </c>
      <c r="U177" s="50" t="str">
        <f t="shared" ref="U177:U209" si="130">+U176</f>
        <v>#1774B9</v>
      </c>
      <c r="V177" s="118" t="str">
        <f>+Agencia[[#This Row],[idcoleccion]]&amp;"-"&amp;Agencia[[#This Row],[id]]</f>
        <v>990-0166</v>
      </c>
      <c r="W177" s="118">
        <f>+VLOOKUP(Agencia[[#This Row],[Filtro URL]],Estructura!$X$4:$Y$500,2,0)</f>
        <v>99200003</v>
      </c>
      <c r="X177" s="118" t="str">
        <f>+VLOOKUP(Agencia[[#This Row],[tema]],Estructura!$A$4:$C$500,3,0)</f>
        <v>T-1061</v>
      </c>
      <c r="Y177" s="118" t="str">
        <f>+VLOOKUP(Agencia[[#This Row],[contenido]],Estructura!$E$4:$G$500,3,0)</f>
        <v>C-998</v>
      </c>
      <c r="Z177" s="118" t="str">
        <f>+VLOOKUP(Agencia[[#This Row],[Filtro Integrado]],Estructura!$I$4:$K$500,3,0)</f>
        <v>FI-991</v>
      </c>
      <c r="AA177" s="118" t="str">
        <f>+VLOOKUP(Agencia[[#This Row],[Muestra]],Estructura!$M$4:$O$500,3,0)</f>
        <v>M-1006</v>
      </c>
    </row>
    <row r="178" spans="1:27" ht="72" x14ac:dyDescent="0.3">
      <c r="A178" s="21" t="s">
        <v>560</v>
      </c>
      <c r="B178" s="24">
        <f t="shared" ref="B178:D178" si="131">+B177</f>
        <v>990</v>
      </c>
      <c r="C178" s="25" t="str">
        <f t="shared" si="131"/>
        <v>Agencia Información</v>
      </c>
      <c r="D178" s="25" t="str">
        <f t="shared" si="131"/>
        <v>Social</v>
      </c>
      <c r="E178" s="19">
        <v>4</v>
      </c>
      <c r="F178" s="84" t="s">
        <v>7409</v>
      </c>
      <c r="G178" s="10" t="s">
        <v>3764</v>
      </c>
      <c r="H178" s="35" t="s">
        <v>16</v>
      </c>
      <c r="I178" s="36" t="s">
        <v>371</v>
      </c>
      <c r="J178" s="9" t="str">
        <f t="shared" si="124"/>
        <v>Comuna</v>
      </c>
      <c r="K178" s="9" t="str">
        <f t="shared" si="125"/>
        <v>Variación anual de delitos por comuna</v>
      </c>
      <c r="L178" s="9" t="str">
        <f t="shared" si="126"/>
        <v>Periodo 2008-2021</v>
      </c>
      <c r="M178" s="9" t="str">
        <f t="shared" si="127"/>
        <v>Porcentaje (%)</v>
      </c>
      <c r="N178" s="9" t="str">
        <f t="shared" si="128"/>
        <v>Centro de Estudios y Análisis del Delito (CEAD) de la Subsecretaría de Prevención del Delito</v>
      </c>
      <c r="O178" s="20" t="str">
        <f>"Variación Anual de Frecuencia de Delitos de Mayor Connotación Social en la "&amp;Agencia[[#This Row],[territorio]]&amp;", "&amp; Agencia[[#This Row],[temporalidad]]</f>
        <v>Variación Anual de Frecuencia de Delitos de Mayor Connotación Social en la Región de Coquimbo, Periodo 2008-2021</v>
      </c>
      <c r="P178" s="20"/>
      <c r="Q178" s="11" t="str">
        <f t="shared" si="121"/>
        <v>Dashboard</v>
      </c>
      <c r="R178" s="20" t="str">
        <f>Agencia[[#This Row],[territorio]]&amp;" delitos mayor connotación social variación anual frecuencia"</f>
        <v>Región de Coquimbo delitos mayor connotación social variación anual frecuencia</v>
      </c>
      <c r="S178" s="39" t="s">
        <v>916</v>
      </c>
      <c r="T178" s="69" t="str">
        <f>"100-C-"&amp;Agencia[[#This Row],[Filtro URL]]</f>
        <v>100-C-4</v>
      </c>
      <c r="U178" s="50" t="str">
        <f t="shared" si="130"/>
        <v>#1774B9</v>
      </c>
      <c r="V178" s="118" t="str">
        <f>+Agencia[[#This Row],[idcoleccion]]&amp;"-"&amp;Agencia[[#This Row],[id]]</f>
        <v>990-0167</v>
      </c>
      <c r="W178" s="118">
        <f>+VLOOKUP(Agencia[[#This Row],[Filtro URL]],Estructura!$X$4:$Y$500,2,0)</f>
        <v>99200004</v>
      </c>
      <c r="X178" s="118" t="str">
        <f>+VLOOKUP(Agencia[[#This Row],[tema]],Estructura!$A$4:$C$500,3,0)</f>
        <v>T-1061</v>
      </c>
      <c r="Y178" s="118" t="str">
        <f>+VLOOKUP(Agencia[[#This Row],[contenido]],Estructura!$E$4:$G$500,3,0)</f>
        <v>C-998</v>
      </c>
      <c r="Z178" s="118" t="str">
        <f>+VLOOKUP(Agencia[[#This Row],[Filtro Integrado]],Estructura!$I$4:$K$500,3,0)</f>
        <v>FI-991</v>
      </c>
      <c r="AA178" s="118" t="str">
        <f>+VLOOKUP(Agencia[[#This Row],[Muestra]],Estructura!$M$4:$O$500,3,0)</f>
        <v>M-1006</v>
      </c>
    </row>
    <row r="179" spans="1:27" ht="72" x14ac:dyDescent="0.3">
      <c r="A179" s="21" t="s">
        <v>561</v>
      </c>
      <c r="B179" s="24">
        <f t="shared" ref="B179:D179" si="132">+B178</f>
        <v>990</v>
      </c>
      <c r="C179" s="25" t="str">
        <f t="shared" si="132"/>
        <v>Agencia Información</v>
      </c>
      <c r="D179" s="25" t="str">
        <f t="shared" si="132"/>
        <v>Social</v>
      </c>
      <c r="E179" s="19">
        <v>5</v>
      </c>
      <c r="F179" s="84" t="s">
        <v>7409</v>
      </c>
      <c r="G179" s="10" t="s">
        <v>3764</v>
      </c>
      <c r="H179" s="35" t="s">
        <v>16</v>
      </c>
      <c r="I179" s="36" t="s">
        <v>372</v>
      </c>
      <c r="J179" s="9" t="str">
        <f t="shared" si="124"/>
        <v>Comuna</v>
      </c>
      <c r="K179" s="9" t="str">
        <f t="shared" si="125"/>
        <v>Variación anual de delitos por comuna</v>
      </c>
      <c r="L179" s="9" t="str">
        <f t="shared" si="126"/>
        <v>Periodo 2008-2021</v>
      </c>
      <c r="M179" s="9" t="str">
        <f t="shared" si="127"/>
        <v>Porcentaje (%)</v>
      </c>
      <c r="N179" s="9" t="str">
        <f t="shared" si="128"/>
        <v>Centro de Estudios y Análisis del Delito (CEAD) de la Subsecretaría de Prevención del Delito</v>
      </c>
      <c r="O179" s="20" t="str">
        <f>"Variación Anual de Frecuencia de Delitos de Mayor Connotación Social en la "&amp;Agencia[[#This Row],[territorio]]&amp;", "&amp; Agencia[[#This Row],[temporalidad]]</f>
        <v>Variación Anual de Frecuencia de Delitos de Mayor Connotación Social en la Región de Valparaíso, Periodo 2008-2021</v>
      </c>
      <c r="P179" s="20"/>
      <c r="Q179" s="11" t="str">
        <f t="shared" si="121"/>
        <v>Dashboard</v>
      </c>
      <c r="R179" s="20" t="str">
        <f>Agencia[[#This Row],[territorio]]&amp;" delitos mayor connotación social variación anual frecuencia"</f>
        <v>Región de Valparaíso delitos mayor connotación social variación anual frecuencia</v>
      </c>
      <c r="S179" s="39" t="s">
        <v>926</v>
      </c>
      <c r="T179" s="69" t="str">
        <f>"100-C-"&amp;Agencia[[#This Row],[Filtro URL]]</f>
        <v>100-C-5</v>
      </c>
      <c r="U179" s="50" t="str">
        <f t="shared" si="130"/>
        <v>#1774B9</v>
      </c>
      <c r="V179" s="118" t="str">
        <f>+Agencia[[#This Row],[idcoleccion]]&amp;"-"&amp;Agencia[[#This Row],[id]]</f>
        <v>990-0168</v>
      </c>
      <c r="W179" s="118">
        <f>+VLOOKUP(Agencia[[#This Row],[Filtro URL]],Estructura!$X$4:$Y$500,2,0)</f>
        <v>99200005</v>
      </c>
      <c r="X179" s="118" t="str">
        <f>+VLOOKUP(Agencia[[#This Row],[tema]],Estructura!$A$4:$C$500,3,0)</f>
        <v>T-1061</v>
      </c>
      <c r="Y179" s="118" t="str">
        <f>+VLOOKUP(Agencia[[#This Row],[contenido]],Estructura!$E$4:$G$500,3,0)</f>
        <v>C-998</v>
      </c>
      <c r="Z179" s="118" t="str">
        <f>+VLOOKUP(Agencia[[#This Row],[Filtro Integrado]],Estructura!$I$4:$K$500,3,0)</f>
        <v>FI-991</v>
      </c>
      <c r="AA179" s="118" t="str">
        <f>+VLOOKUP(Agencia[[#This Row],[Muestra]],Estructura!$M$4:$O$500,3,0)</f>
        <v>M-1006</v>
      </c>
    </row>
    <row r="180" spans="1:27" ht="72" x14ac:dyDescent="0.3">
      <c r="A180" s="21" t="s">
        <v>562</v>
      </c>
      <c r="B180" s="24">
        <f t="shared" ref="B180:D180" si="133">+B179</f>
        <v>990</v>
      </c>
      <c r="C180" s="25" t="str">
        <f t="shared" si="133"/>
        <v>Agencia Información</v>
      </c>
      <c r="D180" s="25" t="str">
        <f t="shared" si="133"/>
        <v>Social</v>
      </c>
      <c r="E180" s="19">
        <v>6</v>
      </c>
      <c r="F180" s="84" t="s">
        <v>7409</v>
      </c>
      <c r="G180" s="10" t="s">
        <v>3764</v>
      </c>
      <c r="H180" s="35" t="s">
        <v>16</v>
      </c>
      <c r="I180" s="36" t="s">
        <v>373</v>
      </c>
      <c r="J180" s="9" t="str">
        <f t="shared" si="124"/>
        <v>Comuna</v>
      </c>
      <c r="K180" s="9" t="str">
        <f t="shared" si="125"/>
        <v>Variación anual de delitos por comuna</v>
      </c>
      <c r="L180" s="9" t="str">
        <f t="shared" si="126"/>
        <v>Periodo 2008-2021</v>
      </c>
      <c r="M180" s="9" t="str">
        <f t="shared" si="127"/>
        <v>Porcentaje (%)</v>
      </c>
      <c r="N180" s="9" t="str">
        <f t="shared" si="128"/>
        <v>Centro de Estudios y Análisis del Delito (CEAD) de la Subsecretaría de Prevención del Delito</v>
      </c>
      <c r="O180" s="20" t="str">
        <f>"Variación Anual de Frecuencia de Delitos de Mayor Connotación Social en la "&amp;Agencia[[#This Row],[territorio]]&amp;", "&amp; Agencia[[#This Row],[temporalidad]]</f>
        <v>Variación Anual de Frecuencia de Delitos de Mayor Connotación Social en la Región de O'Higgins, Periodo 2008-2021</v>
      </c>
      <c r="P180" s="20"/>
      <c r="Q180" s="11" t="str">
        <f t="shared" si="121"/>
        <v>Dashboard</v>
      </c>
      <c r="R180" s="20" t="str">
        <f>Agencia[[#This Row],[territorio]]&amp;" delitos mayor connotación social variación anual frecuencia"</f>
        <v>Región de O'Higgins delitos mayor connotación social variación anual frecuencia</v>
      </c>
      <c r="S180" s="39" t="s">
        <v>925</v>
      </c>
      <c r="T180" s="69" t="str">
        <f>"100-C-"&amp;Agencia[[#This Row],[Filtro URL]]</f>
        <v>100-C-6</v>
      </c>
      <c r="U180" s="50" t="str">
        <f t="shared" si="130"/>
        <v>#1774B9</v>
      </c>
      <c r="V180" s="118" t="str">
        <f>+Agencia[[#This Row],[idcoleccion]]&amp;"-"&amp;Agencia[[#This Row],[id]]</f>
        <v>990-0169</v>
      </c>
      <c r="W180" s="118">
        <f>+VLOOKUP(Agencia[[#This Row],[Filtro URL]],Estructura!$X$4:$Y$500,2,0)</f>
        <v>99200006</v>
      </c>
      <c r="X180" s="118" t="str">
        <f>+VLOOKUP(Agencia[[#This Row],[tema]],Estructura!$A$4:$C$500,3,0)</f>
        <v>T-1061</v>
      </c>
      <c r="Y180" s="118" t="str">
        <f>+VLOOKUP(Agencia[[#This Row],[contenido]],Estructura!$E$4:$G$500,3,0)</f>
        <v>C-998</v>
      </c>
      <c r="Z180" s="118" t="str">
        <f>+VLOOKUP(Agencia[[#This Row],[Filtro Integrado]],Estructura!$I$4:$K$500,3,0)</f>
        <v>FI-991</v>
      </c>
      <c r="AA180" s="118" t="str">
        <f>+VLOOKUP(Agencia[[#This Row],[Muestra]],Estructura!$M$4:$O$500,3,0)</f>
        <v>M-1006</v>
      </c>
    </row>
    <row r="181" spans="1:27" ht="72" x14ac:dyDescent="0.3">
      <c r="A181" s="21" t="s">
        <v>563</v>
      </c>
      <c r="B181" s="24">
        <f t="shared" ref="B181:D181" si="134">+B180</f>
        <v>990</v>
      </c>
      <c r="C181" s="25" t="str">
        <f t="shared" si="134"/>
        <v>Agencia Información</v>
      </c>
      <c r="D181" s="25" t="str">
        <f t="shared" si="134"/>
        <v>Social</v>
      </c>
      <c r="E181" s="19">
        <v>7</v>
      </c>
      <c r="F181" s="84" t="s">
        <v>7409</v>
      </c>
      <c r="G181" s="10" t="s">
        <v>3764</v>
      </c>
      <c r="H181" s="35" t="s">
        <v>16</v>
      </c>
      <c r="I181" s="36" t="s">
        <v>374</v>
      </c>
      <c r="J181" s="9" t="str">
        <f t="shared" si="124"/>
        <v>Comuna</v>
      </c>
      <c r="K181" s="9" t="str">
        <f t="shared" si="125"/>
        <v>Variación anual de delitos por comuna</v>
      </c>
      <c r="L181" s="9" t="str">
        <f t="shared" si="126"/>
        <v>Periodo 2008-2021</v>
      </c>
      <c r="M181" s="9" t="str">
        <f t="shared" si="127"/>
        <v>Porcentaje (%)</v>
      </c>
      <c r="N181" s="9" t="str">
        <f t="shared" si="128"/>
        <v>Centro de Estudios y Análisis del Delito (CEAD) de la Subsecretaría de Prevención del Delito</v>
      </c>
      <c r="O181" s="20" t="str">
        <f>"Variación Anual de Frecuencia de Delitos de Mayor Connotación Social en la "&amp;Agencia[[#This Row],[territorio]]&amp;", "&amp; Agencia[[#This Row],[temporalidad]]</f>
        <v>Variación Anual de Frecuencia de Delitos de Mayor Connotación Social en la Región de Maule, Periodo 2008-2021</v>
      </c>
      <c r="P181" s="20"/>
      <c r="Q181" s="11" t="str">
        <f t="shared" si="121"/>
        <v>Dashboard</v>
      </c>
      <c r="R181" s="20" t="str">
        <f>Agencia[[#This Row],[territorio]]&amp;" delitos mayor connotación social variación anual frecuencia"</f>
        <v>Región de Maule delitos mayor connotación social variación anual frecuencia</v>
      </c>
      <c r="S181" s="39" t="s">
        <v>921</v>
      </c>
      <c r="T181" s="69" t="str">
        <f>"100-C-"&amp;Agencia[[#This Row],[Filtro URL]]</f>
        <v>100-C-7</v>
      </c>
      <c r="U181" s="50" t="str">
        <f t="shared" si="130"/>
        <v>#1774B9</v>
      </c>
      <c r="V181" s="118" t="str">
        <f>+Agencia[[#This Row],[idcoleccion]]&amp;"-"&amp;Agencia[[#This Row],[id]]</f>
        <v>990-0170</v>
      </c>
      <c r="W181" s="118">
        <f>+VLOOKUP(Agencia[[#This Row],[Filtro URL]],Estructura!$X$4:$Y$500,2,0)</f>
        <v>99200007</v>
      </c>
      <c r="X181" s="118" t="str">
        <f>+VLOOKUP(Agencia[[#This Row],[tema]],Estructura!$A$4:$C$500,3,0)</f>
        <v>T-1061</v>
      </c>
      <c r="Y181" s="118" t="str">
        <f>+VLOOKUP(Agencia[[#This Row],[contenido]],Estructura!$E$4:$G$500,3,0)</f>
        <v>C-998</v>
      </c>
      <c r="Z181" s="118" t="str">
        <f>+VLOOKUP(Agencia[[#This Row],[Filtro Integrado]],Estructura!$I$4:$K$500,3,0)</f>
        <v>FI-991</v>
      </c>
      <c r="AA181" s="118" t="str">
        <f>+VLOOKUP(Agencia[[#This Row],[Muestra]],Estructura!$M$4:$O$500,3,0)</f>
        <v>M-1006</v>
      </c>
    </row>
    <row r="182" spans="1:27" ht="72" x14ac:dyDescent="0.3">
      <c r="A182" s="21" t="s">
        <v>564</v>
      </c>
      <c r="B182" s="24">
        <f t="shared" ref="B182:D182" si="135">+B181</f>
        <v>990</v>
      </c>
      <c r="C182" s="25" t="str">
        <f t="shared" si="135"/>
        <v>Agencia Información</v>
      </c>
      <c r="D182" s="25" t="str">
        <f t="shared" si="135"/>
        <v>Social</v>
      </c>
      <c r="E182" s="19">
        <v>8</v>
      </c>
      <c r="F182" s="84" t="s">
        <v>7409</v>
      </c>
      <c r="G182" s="10" t="s">
        <v>3764</v>
      </c>
      <c r="H182" s="35" t="s">
        <v>16</v>
      </c>
      <c r="I182" s="36" t="s">
        <v>375</v>
      </c>
      <c r="J182" s="9" t="str">
        <f t="shared" si="124"/>
        <v>Comuna</v>
      </c>
      <c r="K182" s="9" t="str">
        <f t="shared" si="125"/>
        <v>Variación anual de delitos por comuna</v>
      </c>
      <c r="L182" s="9" t="str">
        <f t="shared" si="126"/>
        <v>Periodo 2008-2021</v>
      </c>
      <c r="M182" s="9" t="str">
        <f t="shared" si="127"/>
        <v>Porcentaje (%)</v>
      </c>
      <c r="N182" s="9" t="str">
        <f t="shared" si="128"/>
        <v>Centro de Estudios y Análisis del Delito (CEAD) de la Subsecretaría de Prevención del Delito</v>
      </c>
      <c r="O182" s="20" t="str">
        <f>"Variación Anual de Frecuencia de Delitos de Mayor Connotación Social en la "&amp;Agencia[[#This Row],[territorio]]&amp;", "&amp; Agencia[[#This Row],[temporalidad]]</f>
        <v>Variación Anual de Frecuencia de Delitos de Mayor Connotación Social en la Región del Biobío, Periodo 2008-2021</v>
      </c>
      <c r="P182" s="20"/>
      <c r="Q182" s="11" t="str">
        <f t="shared" si="121"/>
        <v>Dashboard</v>
      </c>
      <c r="R182" s="20" t="str">
        <f>Agencia[[#This Row],[territorio]]&amp;" delitos mayor connotación social variación anual frecuencia"</f>
        <v>Región del Biobío delitos mayor connotación social variación anual frecuencia</v>
      </c>
      <c r="S182" s="39" t="s">
        <v>915</v>
      </c>
      <c r="T182" s="69" t="str">
        <f>"100-C-"&amp;Agencia[[#This Row],[Filtro URL]]</f>
        <v>100-C-8</v>
      </c>
      <c r="U182" s="50" t="str">
        <f t="shared" si="130"/>
        <v>#1774B9</v>
      </c>
      <c r="V182" s="118" t="str">
        <f>+Agencia[[#This Row],[idcoleccion]]&amp;"-"&amp;Agencia[[#This Row],[id]]</f>
        <v>990-0171</v>
      </c>
      <c r="W182" s="118">
        <f>+VLOOKUP(Agencia[[#This Row],[Filtro URL]],Estructura!$X$4:$Y$500,2,0)</f>
        <v>99200008</v>
      </c>
      <c r="X182" s="118" t="str">
        <f>+VLOOKUP(Agencia[[#This Row],[tema]],Estructura!$A$4:$C$500,3,0)</f>
        <v>T-1061</v>
      </c>
      <c r="Y182" s="118" t="str">
        <f>+VLOOKUP(Agencia[[#This Row],[contenido]],Estructura!$E$4:$G$500,3,0)</f>
        <v>C-998</v>
      </c>
      <c r="Z182" s="118" t="str">
        <f>+VLOOKUP(Agencia[[#This Row],[Filtro Integrado]],Estructura!$I$4:$K$500,3,0)</f>
        <v>FI-991</v>
      </c>
      <c r="AA182" s="118" t="str">
        <f>+VLOOKUP(Agencia[[#This Row],[Muestra]],Estructura!$M$4:$O$500,3,0)</f>
        <v>M-1006</v>
      </c>
    </row>
    <row r="183" spans="1:27" ht="72" x14ac:dyDescent="0.3">
      <c r="A183" s="21" t="s">
        <v>565</v>
      </c>
      <c r="B183" s="24">
        <f t="shared" ref="B183:D183" si="136">+B182</f>
        <v>990</v>
      </c>
      <c r="C183" s="25" t="str">
        <f t="shared" si="136"/>
        <v>Agencia Información</v>
      </c>
      <c r="D183" s="25" t="str">
        <f t="shared" si="136"/>
        <v>Social</v>
      </c>
      <c r="E183" s="19">
        <v>9</v>
      </c>
      <c r="F183" s="84" t="s">
        <v>7409</v>
      </c>
      <c r="G183" s="10" t="s">
        <v>3764</v>
      </c>
      <c r="H183" s="35" t="s">
        <v>16</v>
      </c>
      <c r="I183" s="36" t="s">
        <v>376</v>
      </c>
      <c r="J183" s="9" t="str">
        <f t="shared" si="124"/>
        <v>Comuna</v>
      </c>
      <c r="K183" s="9" t="str">
        <f t="shared" si="125"/>
        <v>Variación anual de delitos por comuna</v>
      </c>
      <c r="L183" s="9" t="str">
        <f t="shared" si="126"/>
        <v>Periodo 2008-2021</v>
      </c>
      <c r="M183" s="9" t="str">
        <f t="shared" si="127"/>
        <v>Porcentaje (%)</v>
      </c>
      <c r="N183" s="9" t="str">
        <f t="shared" si="128"/>
        <v>Centro de Estudios y Análisis del Delito (CEAD) de la Subsecretaría de Prevención del Delito</v>
      </c>
      <c r="O183" s="20" t="str">
        <f>"Variación Anual de Frecuencia de Delitos de Mayor Connotación Social en la "&amp;Agencia[[#This Row],[territorio]]&amp;", "&amp; Agencia[[#This Row],[temporalidad]]</f>
        <v>Variación Anual de Frecuencia de Delitos de Mayor Connotación Social en la Región de La Araucanía, Periodo 2008-2021</v>
      </c>
      <c r="P183" s="20"/>
      <c r="Q183" s="11" t="str">
        <f t="shared" si="121"/>
        <v>Dashboard</v>
      </c>
      <c r="R183" s="20" t="str">
        <f>Agencia[[#This Row],[territorio]]&amp;" delitos mayor connotación social variación anual frecuencia"</f>
        <v>Región de La Araucanía delitos mayor connotación social variación anual frecuencia</v>
      </c>
      <c r="S183" s="39" t="s">
        <v>917</v>
      </c>
      <c r="T183" s="69" t="str">
        <f>"100-C-"&amp;Agencia[[#This Row],[Filtro URL]]</f>
        <v>100-C-9</v>
      </c>
      <c r="U183" s="50" t="str">
        <f t="shared" si="130"/>
        <v>#1774B9</v>
      </c>
      <c r="V183" s="118" t="str">
        <f>+Agencia[[#This Row],[idcoleccion]]&amp;"-"&amp;Agencia[[#This Row],[id]]</f>
        <v>990-0172</v>
      </c>
      <c r="W183" s="118">
        <f>+VLOOKUP(Agencia[[#This Row],[Filtro URL]],Estructura!$X$4:$Y$500,2,0)</f>
        <v>99200009</v>
      </c>
      <c r="X183" s="118" t="str">
        <f>+VLOOKUP(Agencia[[#This Row],[tema]],Estructura!$A$4:$C$500,3,0)</f>
        <v>T-1061</v>
      </c>
      <c r="Y183" s="118" t="str">
        <f>+VLOOKUP(Agencia[[#This Row],[contenido]],Estructura!$E$4:$G$500,3,0)</f>
        <v>C-998</v>
      </c>
      <c r="Z183" s="118" t="str">
        <f>+VLOOKUP(Agencia[[#This Row],[Filtro Integrado]],Estructura!$I$4:$K$500,3,0)</f>
        <v>FI-991</v>
      </c>
      <c r="AA183" s="118" t="str">
        <f>+VLOOKUP(Agencia[[#This Row],[Muestra]],Estructura!$M$4:$O$500,3,0)</f>
        <v>M-1006</v>
      </c>
    </row>
    <row r="184" spans="1:27" ht="72" x14ac:dyDescent="0.3">
      <c r="A184" s="21" t="s">
        <v>566</v>
      </c>
      <c r="B184" s="24">
        <f t="shared" ref="B184:D184" si="137">+B183</f>
        <v>990</v>
      </c>
      <c r="C184" s="25" t="str">
        <f t="shared" si="137"/>
        <v>Agencia Información</v>
      </c>
      <c r="D184" s="25" t="str">
        <f t="shared" si="137"/>
        <v>Social</v>
      </c>
      <c r="E184" s="19">
        <v>10</v>
      </c>
      <c r="F184" s="84" t="s">
        <v>7409</v>
      </c>
      <c r="G184" s="10" t="s">
        <v>3764</v>
      </c>
      <c r="H184" s="35" t="s">
        <v>16</v>
      </c>
      <c r="I184" s="36" t="s">
        <v>377</v>
      </c>
      <c r="J184" s="9" t="str">
        <f t="shared" si="124"/>
        <v>Comuna</v>
      </c>
      <c r="K184" s="9" t="str">
        <f t="shared" si="125"/>
        <v>Variación anual de delitos por comuna</v>
      </c>
      <c r="L184" s="9" t="str">
        <f t="shared" si="126"/>
        <v>Periodo 2008-2021</v>
      </c>
      <c r="M184" s="9" t="str">
        <f t="shared" si="127"/>
        <v>Porcentaje (%)</v>
      </c>
      <c r="N184" s="9" t="str">
        <f t="shared" si="128"/>
        <v>Centro de Estudios y Análisis del Delito (CEAD) de la Subsecretaría de Prevención del Delito</v>
      </c>
      <c r="O184" s="20" t="str">
        <f>"Variación Anual de Frecuencia de Delitos de Mayor Connotación Social en la "&amp;Agencia[[#This Row],[territorio]]&amp;", "&amp; Agencia[[#This Row],[temporalidad]]</f>
        <v>Variación Anual de Frecuencia de Delitos de Mayor Connotación Social en la Región de Los Lagos, Periodo 2008-2021</v>
      </c>
      <c r="P184" s="20"/>
      <c r="Q184" s="11" t="str">
        <f t="shared" si="121"/>
        <v>Dashboard</v>
      </c>
      <c r="R184" s="20" t="str">
        <f>Agencia[[#This Row],[territorio]]&amp;" delitos mayor connotación social variación anual frecuencia"</f>
        <v>Región de Los Lagos delitos mayor connotación social variación anual frecuencia</v>
      </c>
      <c r="S184" s="39" t="s">
        <v>918</v>
      </c>
      <c r="T184" s="69" t="str">
        <f>"100-C-"&amp;Agencia[[#This Row],[Filtro URL]]</f>
        <v>100-C-10</v>
      </c>
      <c r="U184" s="50" t="str">
        <f t="shared" si="130"/>
        <v>#1774B9</v>
      </c>
      <c r="V184" s="118" t="str">
        <f>+Agencia[[#This Row],[idcoleccion]]&amp;"-"&amp;Agencia[[#This Row],[id]]</f>
        <v>990-0173</v>
      </c>
      <c r="W184" s="118">
        <f>+VLOOKUP(Agencia[[#This Row],[Filtro URL]],Estructura!$X$4:$Y$500,2,0)</f>
        <v>99200010</v>
      </c>
      <c r="X184" s="118" t="str">
        <f>+VLOOKUP(Agencia[[#This Row],[tema]],Estructura!$A$4:$C$500,3,0)</f>
        <v>T-1061</v>
      </c>
      <c r="Y184" s="118" t="str">
        <f>+VLOOKUP(Agencia[[#This Row],[contenido]],Estructura!$E$4:$G$500,3,0)</f>
        <v>C-998</v>
      </c>
      <c r="Z184" s="118" t="str">
        <f>+VLOOKUP(Agencia[[#This Row],[Filtro Integrado]],Estructura!$I$4:$K$500,3,0)</f>
        <v>FI-991</v>
      </c>
      <c r="AA184" s="118" t="str">
        <f>+VLOOKUP(Agencia[[#This Row],[Muestra]],Estructura!$M$4:$O$500,3,0)</f>
        <v>M-1006</v>
      </c>
    </row>
    <row r="185" spans="1:27" ht="72" x14ac:dyDescent="0.3">
      <c r="A185" s="21" t="s">
        <v>567</v>
      </c>
      <c r="B185" s="24">
        <f t="shared" ref="B185:D185" si="138">+B184</f>
        <v>990</v>
      </c>
      <c r="C185" s="25" t="str">
        <f t="shared" si="138"/>
        <v>Agencia Información</v>
      </c>
      <c r="D185" s="25" t="str">
        <f t="shared" si="138"/>
        <v>Social</v>
      </c>
      <c r="E185" s="19">
        <v>11</v>
      </c>
      <c r="F185" s="84" t="s">
        <v>7409</v>
      </c>
      <c r="G185" s="10" t="s">
        <v>3764</v>
      </c>
      <c r="H185" s="35" t="s">
        <v>16</v>
      </c>
      <c r="I185" s="36" t="s">
        <v>378</v>
      </c>
      <c r="J185" s="9" t="str">
        <f t="shared" si="124"/>
        <v>Comuna</v>
      </c>
      <c r="K185" s="9" t="str">
        <f t="shared" si="125"/>
        <v>Variación anual de delitos por comuna</v>
      </c>
      <c r="L185" s="9" t="str">
        <f t="shared" si="126"/>
        <v>Periodo 2008-2021</v>
      </c>
      <c r="M185" s="9" t="str">
        <f t="shared" si="127"/>
        <v>Porcentaje (%)</v>
      </c>
      <c r="N185" s="9" t="str">
        <f t="shared" si="128"/>
        <v>Centro de Estudios y Análisis del Delito (CEAD) de la Subsecretaría de Prevención del Delito</v>
      </c>
      <c r="O185" s="20" t="str">
        <f>"Variación Anual de Frecuencia de Delitos de Mayor Connotación Social en la "&amp;Agencia[[#This Row],[territorio]]&amp;", "&amp; Agencia[[#This Row],[temporalidad]]</f>
        <v>Variación Anual de Frecuencia de Delitos de Mayor Connotación Social en la Región de Aysén, Periodo 2008-2021</v>
      </c>
      <c r="P185" s="20"/>
      <c r="Q185" s="11" t="str">
        <f t="shared" si="121"/>
        <v>Dashboard</v>
      </c>
      <c r="R185" s="20" t="str">
        <f>Agencia[[#This Row],[territorio]]&amp;" delitos mayor connotación social variación anual frecuencia"</f>
        <v>Región de Aysén delitos mayor connotación social variación anual frecuencia</v>
      </c>
      <c r="S185" s="39" t="s">
        <v>914</v>
      </c>
      <c r="T185" s="69" t="str">
        <f>"100-C-"&amp;Agencia[[#This Row],[Filtro URL]]</f>
        <v>100-C-11</v>
      </c>
      <c r="U185" s="50" t="str">
        <f t="shared" si="130"/>
        <v>#1774B9</v>
      </c>
      <c r="V185" s="118" t="str">
        <f>+Agencia[[#This Row],[idcoleccion]]&amp;"-"&amp;Agencia[[#This Row],[id]]</f>
        <v>990-0174</v>
      </c>
      <c r="W185" s="118">
        <f>+VLOOKUP(Agencia[[#This Row],[Filtro URL]],Estructura!$X$4:$Y$500,2,0)</f>
        <v>99200011</v>
      </c>
      <c r="X185" s="118" t="str">
        <f>+VLOOKUP(Agencia[[#This Row],[tema]],Estructura!$A$4:$C$500,3,0)</f>
        <v>T-1061</v>
      </c>
      <c r="Y185" s="118" t="str">
        <f>+VLOOKUP(Agencia[[#This Row],[contenido]],Estructura!$E$4:$G$500,3,0)</f>
        <v>C-998</v>
      </c>
      <c r="Z185" s="118" t="str">
        <f>+VLOOKUP(Agencia[[#This Row],[Filtro Integrado]],Estructura!$I$4:$K$500,3,0)</f>
        <v>FI-991</v>
      </c>
      <c r="AA185" s="118" t="str">
        <f>+VLOOKUP(Agencia[[#This Row],[Muestra]],Estructura!$M$4:$O$500,3,0)</f>
        <v>M-1006</v>
      </c>
    </row>
    <row r="186" spans="1:27" ht="72" x14ac:dyDescent="0.3">
      <c r="A186" s="21" t="s">
        <v>568</v>
      </c>
      <c r="B186" s="24">
        <f t="shared" ref="B186:D186" si="139">+B185</f>
        <v>990</v>
      </c>
      <c r="C186" s="25" t="str">
        <f t="shared" si="139"/>
        <v>Agencia Información</v>
      </c>
      <c r="D186" s="25" t="str">
        <f t="shared" si="139"/>
        <v>Social</v>
      </c>
      <c r="E186" s="19">
        <v>12</v>
      </c>
      <c r="F186" s="84" t="s">
        <v>7409</v>
      </c>
      <c r="G186" s="10" t="s">
        <v>3764</v>
      </c>
      <c r="H186" s="35" t="s">
        <v>16</v>
      </c>
      <c r="I186" s="36" t="s">
        <v>379</v>
      </c>
      <c r="J186" s="9" t="str">
        <f t="shared" si="124"/>
        <v>Comuna</v>
      </c>
      <c r="K186" s="9" t="str">
        <f t="shared" si="125"/>
        <v>Variación anual de delitos por comuna</v>
      </c>
      <c r="L186" s="9" t="str">
        <f t="shared" si="126"/>
        <v>Periodo 2008-2021</v>
      </c>
      <c r="M186" s="9" t="str">
        <f t="shared" si="127"/>
        <v>Porcentaje (%)</v>
      </c>
      <c r="N186" s="9" t="str">
        <f t="shared" si="128"/>
        <v>Centro de Estudios y Análisis del Delito (CEAD) de la Subsecretaría de Prevención del Delito</v>
      </c>
      <c r="O186" s="20" t="str">
        <f>"Variación Anual de Frecuencia de Delitos de Mayor Connotación Social en la "&amp;Agencia[[#This Row],[territorio]]&amp;", "&amp; Agencia[[#This Row],[temporalidad]]</f>
        <v>Variación Anual de Frecuencia de Delitos de Mayor Connotación Social en la Región de Magallanes, Periodo 2008-2021</v>
      </c>
      <c r="P186" s="20"/>
      <c r="Q186" s="11" t="str">
        <f t="shared" si="121"/>
        <v>Dashboard</v>
      </c>
      <c r="R186" s="20" t="str">
        <f>Agencia[[#This Row],[territorio]]&amp;" delitos mayor connotación social variación anual frecuencia"</f>
        <v>Región de Magallanes delitos mayor connotación social variación anual frecuencia</v>
      </c>
      <c r="S186" s="39" t="s">
        <v>920</v>
      </c>
      <c r="T186" s="69" t="str">
        <f>"100-C-"&amp;Agencia[[#This Row],[Filtro URL]]</f>
        <v>100-C-12</v>
      </c>
      <c r="U186" s="50" t="str">
        <f t="shared" si="130"/>
        <v>#1774B9</v>
      </c>
      <c r="V186" s="118" t="str">
        <f>+Agencia[[#This Row],[idcoleccion]]&amp;"-"&amp;Agencia[[#This Row],[id]]</f>
        <v>990-0175</v>
      </c>
      <c r="W186" s="118">
        <f>+VLOOKUP(Agencia[[#This Row],[Filtro URL]],Estructura!$X$4:$Y$500,2,0)</f>
        <v>99200012</v>
      </c>
      <c r="X186" s="118" t="str">
        <f>+VLOOKUP(Agencia[[#This Row],[tema]],Estructura!$A$4:$C$500,3,0)</f>
        <v>T-1061</v>
      </c>
      <c r="Y186" s="118" t="str">
        <f>+VLOOKUP(Agencia[[#This Row],[contenido]],Estructura!$E$4:$G$500,3,0)</f>
        <v>C-998</v>
      </c>
      <c r="Z186" s="118" t="str">
        <f>+VLOOKUP(Agencia[[#This Row],[Filtro Integrado]],Estructura!$I$4:$K$500,3,0)</f>
        <v>FI-991</v>
      </c>
      <c r="AA186" s="118" t="str">
        <f>+VLOOKUP(Agencia[[#This Row],[Muestra]],Estructura!$M$4:$O$500,3,0)</f>
        <v>M-1006</v>
      </c>
    </row>
    <row r="187" spans="1:27" ht="72" x14ac:dyDescent="0.3">
      <c r="A187" s="21" t="s">
        <v>569</v>
      </c>
      <c r="B187" s="24">
        <f t="shared" ref="B187:D187" si="140">+B186</f>
        <v>990</v>
      </c>
      <c r="C187" s="25" t="str">
        <f t="shared" si="140"/>
        <v>Agencia Información</v>
      </c>
      <c r="D187" s="25" t="str">
        <f t="shared" si="140"/>
        <v>Social</v>
      </c>
      <c r="E187" s="19">
        <v>13</v>
      </c>
      <c r="F187" s="84" t="s">
        <v>7409</v>
      </c>
      <c r="G187" s="10" t="s">
        <v>3764</v>
      </c>
      <c r="H187" s="35" t="s">
        <v>16</v>
      </c>
      <c r="I187" s="36" t="s">
        <v>380</v>
      </c>
      <c r="J187" s="9" t="str">
        <f t="shared" si="124"/>
        <v>Comuna</v>
      </c>
      <c r="K187" s="9" t="str">
        <f t="shared" si="125"/>
        <v>Variación anual de delitos por comuna</v>
      </c>
      <c r="L187" s="9" t="str">
        <f t="shared" si="126"/>
        <v>Periodo 2008-2021</v>
      </c>
      <c r="M187" s="9" t="str">
        <f t="shared" si="127"/>
        <v>Porcentaje (%)</v>
      </c>
      <c r="N187" s="9" t="str">
        <f t="shared" si="128"/>
        <v>Centro de Estudios y Análisis del Delito (CEAD) de la Subsecretaría de Prevención del Delito</v>
      </c>
      <c r="O187" s="20" t="str">
        <f>"Variación Anual de Frecuencia de Delitos de Mayor Connotación Social en la "&amp;Agencia[[#This Row],[territorio]]&amp;", "&amp; Agencia[[#This Row],[temporalidad]]</f>
        <v>Variación Anual de Frecuencia de Delitos de Mayor Connotación Social en la Región Metropolitana, Periodo 2008-2021</v>
      </c>
      <c r="P187" s="20"/>
      <c r="Q187" s="11" t="str">
        <f t="shared" si="121"/>
        <v>Dashboard</v>
      </c>
      <c r="R187" s="20" t="str">
        <f>Agencia[[#This Row],[territorio]]&amp;" delitos mayor connotación social variación anual frecuencia"</f>
        <v>Región Metropolitana delitos mayor connotación social variación anual frecuencia</v>
      </c>
      <c r="S187" s="39" t="s">
        <v>922</v>
      </c>
      <c r="T187" s="69" t="str">
        <f>"200-C-"&amp;Agencia[[#This Row],[Filtro URL]]</f>
        <v>200-C-13</v>
      </c>
      <c r="U187" s="50" t="str">
        <f t="shared" si="130"/>
        <v>#1774B9</v>
      </c>
      <c r="V187" s="118" t="str">
        <f>+Agencia[[#This Row],[idcoleccion]]&amp;"-"&amp;Agencia[[#This Row],[id]]</f>
        <v>990-0176</v>
      </c>
      <c r="W187" s="118">
        <f>+VLOOKUP(Agencia[[#This Row],[Filtro URL]],Estructura!$X$4:$Y$500,2,0)</f>
        <v>99200013</v>
      </c>
      <c r="X187" s="118" t="str">
        <f>+VLOOKUP(Agencia[[#This Row],[tema]],Estructura!$A$4:$C$500,3,0)</f>
        <v>T-1061</v>
      </c>
      <c r="Y187" s="118" t="str">
        <f>+VLOOKUP(Agencia[[#This Row],[contenido]],Estructura!$E$4:$G$500,3,0)</f>
        <v>C-998</v>
      </c>
      <c r="Z187" s="118" t="str">
        <f>+VLOOKUP(Agencia[[#This Row],[Filtro Integrado]],Estructura!$I$4:$K$500,3,0)</f>
        <v>FI-991</v>
      </c>
      <c r="AA187" s="118" t="str">
        <f>+VLOOKUP(Agencia[[#This Row],[Muestra]],Estructura!$M$4:$O$500,3,0)</f>
        <v>M-1006</v>
      </c>
    </row>
    <row r="188" spans="1:27" ht="72" x14ac:dyDescent="0.3">
      <c r="A188" s="21" t="s">
        <v>570</v>
      </c>
      <c r="B188" s="24">
        <f t="shared" ref="B188:D188" si="141">+B187</f>
        <v>990</v>
      </c>
      <c r="C188" s="25" t="str">
        <f t="shared" si="141"/>
        <v>Agencia Información</v>
      </c>
      <c r="D188" s="25" t="str">
        <f t="shared" si="141"/>
        <v>Social</v>
      </c>
      <c r="E188" s="19">
        <v>14</v>
      </c>
      <c r="F188" s="84" t="s">
        <v>7409</v>
      </c>
      <c r="G188" s="10" t="s">
        <v>3764</v>
      </c>
      <c r="H188" s="35" t="s">
        <v>16</v>
      </c>
      <c r="I188" s="36" t="s">
        <v>381</v>
      </c>
      <c r="J188" s="9" t="str">
        <f t="shared" si="124"/>
        <v>Comuna</v>
      </c>
      <c r="K188" s="9" t="str">
        <f t="shared" si="125"/>
        <v>Variación anual de delitos por comuna</v>
      </c>
      <c r="L188" s="9" t="str">
        <f t="shared" si="126"/>
        <v>Periodo 2008-2021</v>
      </c>
      <c r="M188" s="9" t="str">
        <f t="shared" si="127"/>
        <v>Porcentaje (%)</v>
      </c>
      <c r="N188" s="9" t="str">
        <f t="shared" si="128"/>
        <v>Centro de Estudios y Análisis del Delito (CEAD) de la Subsecretaría de Prevención del Delito</v>
      </c>
      <c r="O188" s="20" t="str">
        <f>"Variación Anual de Frecuencia de Delitos de Mayor Connotación Social en la "&amp;Agencia[[#This Row],[territorio]]&amp;", "&amp; Agencia[[#This Row],[temporalidad]]</f>
        <v>Variación Anual de Frecuencia de Delitos de Mayor Connotación Social en la Región de Los Ríos, Periodo 2008-2021</v>
      </c>
      <c r="P188" s="20"/>
      <c r="Q188" s="11" t="str">
        <f t="shared" si="121"/>
        <v>Dashboard</v>
      </c>
      <c r="R188" s="20" t="str">
        <f>Agencia[[#This Row],[territorio]]&amp;" delitos mayor connotación social variación anual frecuencia"</f>
        <v>Región de Los Ríos delitos mayor connotación social variación anual frecuencia</v>
      </c>
      <c r="S188" s="39" t="s">
        <v>919</v>
      </c>
      <c r="T188" s="69" t="str">
        <f>"100-C-"&amp;Agencia[[#This Row],[Filtro URL]]</f>
        <v>100-C-14</v>
      </c>
      <c r="U188" s="50" t="str">
        <f t="shared" si="130"/>
        <v>#1774B9</v>
      </c>
      <c r="V188" s="118" t="str">
        <f>+Agencia[[#This Row],[idcoleccion]]&amp;"-"&amp;Agencia[[#This Row],[id]]</f>
        <v>990-0177</v>
      </c>
      <c r="W188" s="118">
        <f>+VLOOKUP(Agencia[[#This Row],[Filtro URL]],Estructura!$X$4:$Y$500,2,0)</f>
        <v>99200014</v>
      </c>
      <c r="X188" s="118" t="str">
        <f>+VLOOKUP(Agencia[[#This Row],[tema]],Estructura!$A$4:$C$500,3,0)</f>
        <v>T-1061</v>
      </c>
      <c r="Y188" s="118" t="str">
        <f>+VLOOKUP(Agencia[[#This Row],[contenido]],Estructura!$E$4:$G$500,3,0)</f>
        <v>C-998</v>
      </c>
      <c r="Z188" s="118" t="str">
        <f>+VLOOKUP(Agencia[[#This Row],[Filtro Integrado]],Estructura!$I$4:$K$500,3,0)</f>
        <v>FI-991</v>
      </c>
      <c r="AA188" s="118" t="str">
        <f>+VLOOKUP(Agencia[[#This Row],[Muestra]],Estructura!$M$4:$O$500,3,0)</f>
        <v>M-1006</v>
      </c>
    </row>
    <row r="189" spans="1:27" ht="72" x14ac:dyDescent="0.3">
      <c r="A189" s="21" t="s">
        <v>571</v>
      </c>
      <c r="B189" s="24">
        <f t="shared" ref="B189:D189" si="142">+B188</f>
        <v>990</v>
      </c>
      <c r="C189" s="25" t="str">
        <f t="shared" si="142"/>
        <v>Agencia Información</v>
      </c>
      <c r="D189" s="25" t="str">
        <f t="shared" si="142"/>
        <v>Social</v>
      </c>
      <c r="E189" s="19">
        <v>15</v>
      </c>
      <c r="F189" s="84" t="s">
        <v>7409</v>
      </c>
      <c r="G189" s="10" t="s">
        <v>3764</v>
      </c>
      <c r="H189" s="35" t="s">
        <v>16</v>
      </c>
      <c r="I189" s="36" t="s">
        <v>382</v>
      </c>
      <c r="J189" s="9" t="str">
        <f t="shared" si="124"/>
        <v>Comuna</v>
      </c>
      <c r="K189" s="9" t="str">
        <f t="shared" si="125"/>
        <v>Variación anual de delitos por comuna</v>
      </c>
      <c r="L189" s="9" t="str">
        <f t="shared" si="126"/>
        <v>Periodo 2008-2021</v>
      </c>
      <c r="M189" s="9" t="str">
        <f t="shared" si="127"/>
        <v>Porcentaje (%)</v>
      </c>
      <c r="N189" s="9" t="str">
        <f t="shared" si="128"/>
        <v>Centro de Estudios y Análisis del Delito (CEAD) de la Subsecretaría de Prevención del Delito</v>
      </c>
      <c r="O189" s="20" t="str">
        <f>"Variación Anual de Frecuencia de Delitos de Mayor Connotación Social en la "&amp;Agencia[[#This Row],[territorio]]&amp;", "&amp; Agencia[[#This Row],[temporalidad]]</f>
        <v>Variación Anual de Frecuencia de Delitos de Mayor Connotación Social en la Región de Arica y Parinacota, Periodo 2008-2021</v>
      </c>
      <c r="P189" s="20"/>
      <c r="Q189" s="11" t="str">
        <f t="shared" si="121"/>
        <v>Dashboard</v>
      </c>
      <c r="R189" s="20" t="str">
        <f>Agencia[[#This Row],[territorio]]&amp;" delitos mayor connotación social variación anual frecuencia"</f>
        <v>Región de Arica y Parinacota delitos mayor connotación social variación anual frecuencia</v>
      </c>
      <c r="S189" s="39" t="s">
        <v>912</v>
      </c>
      <c r="T189" s="69" t="str">
        <f>"100-C-"&amp;Agencia[[#This Row],[Filtro URL]]</f>
        <v>100-C-15</v>
      </c>
      <c r="U189" s="50" t="str">
        <f t="shared" si="130"/>
        <v>#1774B9</v>
      </c>
      <c r="V189" s="118" t="str">
        <f>+Agencia[[#This Row],[idcoleccion]]&amp;"-"&amp;Agencia[[#This Row],[id]]</f>
        <v>990-0178</v>
      </c>
      <c r="W189" s="118">
        <f>+VLOOKUP(Agencia[[#This Row],[Filtro URL]],Estructura!$X$4:$Y$500,2,0)</f>
        <v>99200015</v>
      </c>
      <c r="X189" s="118" t="str">
        <f>+VLOOKUP(Agencia[[#This Row],[tema]],Estructura!$A$4:$C$500,3,0)</f>
        <v>T-1061</v>
      </c>
      <c r="Y189" s="118" t="str">
        <f>+VLOOKUP(Agencia[[#This Row],[contenido]],Estructura!$E$4:$G$500,3,0)</f>
        <v>C-998</v>
      </c>
      <c r="Z189" s="118" t="str">
        <f>+VLOOKUP(Agencia[[#This Row],[Filtro Integrado]],Estructura!$I$4:$K$500,3,0)</f>
        <v>FI-991</v>
      </c>
      <c r="AA189" s="118" t="str">
        <f>+VLOOKUP(Agencia[[#This Row],[Muestra]],Estructura!$M$4:$O$500,3,0)</f>
        <v>M-1006</v>
      </c>
    </row>
    <row r="190" spans="1:27" ht="72" x14ac:dyDescent="0.3">
      <c r="A190" s="21" t="s">
        <v>572</v>
      </c>
      <c r="B190" s="24">
        <f t="shared" ref="B190:D190" si="143">+B189</f>
        <v>990</v>
      </c>
      <c r="C190" s="25" t="str">
        <f t="shared" si="143"/>
        <v>Agencia Información</v>
      </c>
      <c r="D190" s="25" t="str">
        <f t="shared" si="143"/>
        <v>Social</v>
      </c>
      <c r="E190" s="19">
        <v>16</v>
      </c>
      <c r="F190" s="84" t="s">
        <v>7409</v>
      </c>
      <c r="G190" s="10" t="s">
        <v>3764</v>
      </c>
      <c r="H190" s="35" t="s">
        <v>16</v>
      </c>
      <c r="I190" s="36" t="s">
        <v>383</v>
      </c>
      <c r="J190" s="9" t="str">
        <f t="shared" si="124"/>
        <v>Comuna</v>
      </c>
      <c r="K190" s="9" t="str">
        <f t="shared" si="125"/>
        <v>Variación anual de delitos por comuna</v>
      </c>
      <c r="L190" s="9" t="str">
        <f t="shared" si="126"/>
        <v>Periodo 2008-2021</v>
      </c>
      <c r="M190" s="9" t="str">
        <f t="shared" si="127"/>
        <v>Porcentaje (%)</v>
      </c>
      <c r="N190" s="9" t="str">
        <f t="shared" si="128"/>
        <v>Centro de Estudios y Análisis del Delito (CEAD) de la Subsecretaría de Prevención del Delito</v>
      </c>
      <c r="O190" s="20" t="str">
        <f>"Variación Anual de Frecuencia de Delitos de Mayor Connotación Social en la "&amp;Agencia[[#This Row],[territorio]]&amp;", "&amp; Agencia[[#This Row],[temporalidad]]</f>
        <v>Variación Anual de Frecuencia de Delitos de Mayor Connotación Social en la Región de Ñuble, Periodo 2008-2021</v>
      </c>
      <c r="P190" s="20"/>
      <c r="Q190" s="11" t="str">
        <f t="shared" si="121"/>
        <v>Dashboard</v>
      </c>
      <c r="R190" s="20" t="str">
        <f>Agencia[[#This Row],[territorio]]&amp;" delitos mayor connotación social variación anual frecuencia"</f>
        <v>Región de Ñuble delitos mayor connotación social variación anual frecuencia</v>
      </c>
      <c r="S190" s="39" t="s">
        <v>923</v>
      </c>
      <c r="T190" s="69" t="str">
        <f>"100-C-"&amp;Agencia[[#This Row],[Filtro URL]]</f>
        <v>100-C-16</v>
      </c>
      <c r="U190" s="50" t="str">
        <f t="shared" si="130"/>
        <v>#1774B9</v>
      </c>
      <c r="V190" s="118" t="str">
        <f>+Agencia[[#This Row],[idcoleccion]]&amp;"-"&amp;Agencia[[#This Row],[id]]</f>
        <v>990-0179</v>
      </c>
      <c r="W190" s="118">
        <f>+VLOOKUP(Agencia[[#This Row],[Filtro URL]],Estructura!$X$4:$Y$500,2,0)</f>
        <v>99200016</v>
      </c>
      <c r="X190" s="118" t="str">
        <f>+VLOOKUP(Agencia[[#This Row],[tema]],Estructura!$A$4:$C$500,3,0)</f>
        <v>T-1061</v>
      </c>
      <c r="Y190" s="118" t="str">
        <f>+VLOOKUP(Agencia[[#This Row],[contenido]],Estructura!$E$4:$G$500,3,0)</f>
        <v>C-998</v>
      </c>
      <c r="Z190" s="118" t="str">
        <f>+VLOOKUP(Agencia[[#This Row],[Filtro Integrado]],Estructura!$I$4:$K$500,3,0)</f>
        <v>FI-991</v>
      </c>
      <c r="AA190" s="118" t="str">
        <f>+VLOOKUP(Agencia[[#This Row],[Muestra]],Estructura!$M$4:$O$500,3,0)</f>
        <v>M-1006</v>
      </c>
    </row>
    <row r="191" spans="1:27" ht="40.799999999999997" x14ac:dyDescent="0.3">
      <c r="A191" s="21" t="s">
        <v>573</v>
      </c>
      <c r="B191" s="24">
        <f t="shared" ref="B191:C191" si="144">+B190</f>
        <v>990</v>
      </c>
      <c r="C191" s="25" t="str">
        <f t="shared" si="144"/>
        <v>Agencia Información</v>
      </c>
      <c r="D191" s="25" t="s">
        <v>462</v>
      </c>
      <c r="E191" s="14">
        <v>0</v>
      </c>
      <c r="F191" s="10" t="s">
        <v>823</v>
      </c>
      <c r="G191" s="10" t="s">
        <v>3762</v>
      </c>
      <c r="H191" s="33" t="s">
        <v>20</v>
      </c>
      <c r="I191" s="34" t="s">
        <v>15</v>
      </c>
      <c r="J191" s="9" t="s">
        <v>404</v>
      </c>
      <c r="K191" s="9" t="s">
        <v>828</v>
      </c>
      <c r="L191" s="9" t="s">
        <v>827</v>
      </c>
      <c r="M191" s="9" t="s">
        <v>592</v>
      </c>
      <c r="N191" s="9" t="s">
        <v>829</v>
      </c>
      <c r="O191" s="20" t="s">
        <v>824</v>
      </c>
      <c r="P191" s="20" t="s">
        <v>825</v>
      </c>
      <c r="Q191" s="11" t="s">
        <v>821</v>
      </c>
      <c r="R191" s="20" t="str">
        <f>Agencia[[#This Row],[territorio]]&amp;" violencia intrafamiliar VIF casos fiscalía mujeres hombres año nacional"</f>
        <v>Chile violencia intrafamiliar VIF casos fiscalía mujeres hombres año nacional</v>
      </c>
      <c r="S191" s="41" t="s">
        <v>826</v>
      </c>
      <c r="T191" s="68">
        <v>0</v>
      </c>
      <c r="U191" s="50" t="str">
        <f t="shared" si="130"/>
        <v>#1774B9</v>
      </c>
      <c r="V191" s="118" t="str">
        <f>+Agencia[[#This Row],[idcoleccion]]&amp;"-"&amp;Agencia[[#This Row],[id]]</f>
        <v>990-0180</v>
      </c>
      <c r="W191" s="118">
        <f>+VLOOKUP(Agencia[[#This Row],[Filtro URL]],Estructura!$X$4:$Y$500,2,0)</f>
        <v>99100000</v>
      </c>
      <c r="X191" s="118" t="str">
        <f>+VLOOKUP(Agencia[[#This Row],[tema]],Estructura!$A$4:$C$500,3,0)</f>
        <v>T-1034</v>
      </c>
      <c r="Y191" s="118" t="str">
        <f>+VLOOKUP(Agencia[[#This Row],[contenido]],Estructura!$E$4:$G$500,3,0)</f>
        <v>C-996</v>
      </c>
      <c r="Z191" s="118" t="str">
        <f>+VLOOKUP(Agencia[[#This Row],[Filtro Integrado]],Estructura!$I$4:$K$500,3,0)</f>
        <v>FI-993</v>
      </c>
      <c r="AA191" s="118" t="str">
        <f>+VLOOKUP(Agencia[[#This Row],[Muestra]],Estructura!$M$4:$O$500,3,0)</f>
        <v>M-1007</v>
      </c>
    </row>
    <row r="192" spans="1:27" ht="30.6" x14ac:dyDescent="0.3">
      <c r="A192" s="21" t="s">
        <v>629</v>
      </c>
      <c r="B192" s="24">
        <f t="shared" ref="B192:C192" si="145">+B191</f>
        <v>990</v>
      </c>
      <c r="C192" s="25" t="str">
        <f t="shared" si="145"/>
        <v>Agencia Información</v>
      </c>
      <c r="D192" s="25" t="s">
        <v>462</v>
      </c>
      <c r="E192" s="14">
        <v>0</v>
      </c>
      <c r="F192" s="10" t="s">
        <v>823</v>
      </c>
      <c r="G192" s="10" t="s">
        <v>3762</v>
      </c>
      <c r="H192" s="33" t="s">
        <v>20</v>
      </c>
      <c r="I192" s="34" t="s">
        <v>15</v>
      </c>
      <c r="J192" s="9" t="s">
        <v>16</v>
      </c>
      <c r="K192" s="9" t="s">
        <v>854</v>
      </c>
      <c r="L192" s="9" t="s">
        <v>827</v>
      </c>
      <c r="M192" s="9" t="s">
        <v>592</v>
      </c>
      <c r="N192" s="9" t="s">
        <v>829</v>
      </c>
      <c r="O192" s="20" t="str">
        <f>"Evolución trimestral de Casos de Violencia Intrafamiliar presentados frente a la Fiscalía Nacional en "&amp;Agencia[[#This Row],[territorio]]</f>
        <v>Evolución trimestral de Casos de Violencia Intrafamiliar presentados frente a la Fiscalía Nacional en Chile</v>
      </c>
      <c r="P192" s="20"/>
      <c r="Q192" s="11" t="str">
        <f>+Q191</f>
        <v>Gráfico de Evolución</v>
      </c>
      <c r="R192" s="20" t="str">
        <f>Agencia[[#This Row],[territorio]]&amp;" violencia intrafamiliar VIF casos fiscalía mujeres hombres año regional"</f>
        <v>Chile violencia intrafamiliar VIF casos fiscalía mujeres hombres año regional</v>
      </c>
      <c r="S192" s="41" t="s">
        <v>836</v>
      </c>
      <c r="T192" s="68" t="s">
        <v>855</v>
      </c>
      <c r="U192" s="50" t="str">
        <f>+U191</f>
        <v>#1774B9</v>
      </c>
      <c r="V192" s="118" t="str">
        <f>+Agencia[[#This Row],[idcoleccion]]&amp;"-"&amp;Agencia[[#This Row],[id]]</f>
        <v>990-0181</v>
      </c>
      <c r="W192" s="118">
        <f>+VLOOKUP(Agencia[[#This Row],[Filtro URL]],Estructura!$X$4:$Y$500,2,0)</f>
        <v>99100000</v>
      </c>
      <c r="X192" s="118" t="str">
        <f>+VLOOKUP(Agencia[[#This Row],[tema]],Estructura!$A$4:$C$500,3,0)</f>
        <v>T-1034</v>
      </c>
      <c r="Y192" s="118" t="str">
        <f>+VLOOKUP(Agencia[[#This Row],[contenido]],Estructura!$E$4:$G$500,3,0)</f>
        <v>C-996</v>
      </c>
      <c r="Z192" s="118" t="str">
        <f>+VLOOKUP(Agencia[[#This Row],[Filtro Integrado]],Estructura!$I$4:$K$500,3,0)</f>
        <v>FI-992</v>
      </c>
      <c r="AA192" s="118" t="str">
        <f>+VLOOKUP(Agencia[[#This Row],[Muestra]],Estructura!$M$4:$O$500,3,0)</f>
        <v>M-1008</v>
      </c>
    </row>
    <row r="193" spans="1:27" ht="57.6" x14ac:dyDescent="0.3">
      <c r="A193" s="21" t="s">
        <v>630</v>
      </c>
      <c r="B193" s="24">
        <f t="shared" ref="B193:C193" si="146">+B192</f>
        <v>990</v>
      </c>
      <c r="C193" s="25" t="str">
        <f t="shared" si="146"/>
        <v>Agencia Información</v>
      </c>
      <c r="D193" s="25" t="s">
        <v>462</v>
      </c>
      <c r="E193" s="19">
        <v>1</v>
      </c>
      <c r="F193" s="10" t="s">
        <v>823</v>
      </c>
      <c r="G193" s="10" t="s">
        <v>3762</v>
      </c>
      <c r="H193" s="35" t="s">
        <v>16</v>
      </c>
      <c r="I193" s="36" t="s">
        <v>368</v>
      </c>
      <c r="J193" s="9" t="str">
        <f>+J191</f>
        <v>Ninguno</v>
      </c>
      <c r="K193" s="9" t="str">
        <f>+K192</f>
        <v>Casos de VIF por región</v>
      </c>
      <c r="L193" s="9" t="str">
        <f>+L191</f>
        <v>Periodo 2019-2021</v>
      </c>
      <c r="M193" s="9" t="str">
        <f>+M191</f>
        <v>Número de Casos</v>
      </c>
      <c r="N193" s="9" t="s">
        <v>829</v>
      </c>
      <c r="O193" s="20" t="str">
        <f>"Evolución trimestral de Casos de Violencia Intrafamiliar presentados frente a la Fiscalía Nacional en la "&amp;Agencia[[#This Row],[territorio]]</f>
        <v>Evolución trimestral de Casos de Violencia Intrafamiliar presentados frente a la Fiscalía Nacional en la Región de Tarapacá</v>
      </c>
      <c r="P193" s="20"/>
      <c r="Q193" s="11" t="str">
        <f>+Q191</f>
        <v>Gráfico de Evolución</v>
      </c>
      <c r="R193" s="87" t="str">
        <f>Agencia[[#This Row],[territorio]]&amp;" violencia intrafamiliar VIF casos fiscalía mujeres hombres año regional"</f>
        <v>Región de Tarapacá violencia intrafamiliar VIF casos fiscalía mujeres hombres año regional</v>
      </c>
      <c r="S193" s="41" t="str">
        <f>HYPERLINK("https://analytics.zoho.com/open-view/2395394000007782059?ZOHO_CRITERIA=%22Trasposicion_27.4%22.%22Cod_Regi%C3%B3n%22%3D"&amp;Agencia[[#This Row],[Filtro URL]])</f>
        <v>https://analytics.zoho.com/open-view/2395394000007782059?ZOHO_CRITERIA=%22Trasposicion_27.4%22.%22Cod_Regi%C3%B3n%22%3D1</v>
      </c>
      <c r="T193" s="68" t="str">
        <f>"100-R-"&amp;Agencia[[#This Row],[Filtro URL]]</f>
        <v>100-R-1</v>
      </c>
      <c r="U193" s="50" t="str">
        <f>+U191</f>
        <v>#1774B9</v>
      </c>
      <c r="V193" s="118" t="str">
        <f>+Agencia[[#This Row],[idcoleccion]]&amp;"-"&amp;Agencia[[#This Row],[id]]</f>
        <v>990-0182</v>
      </c>
      <c r="W193" s="118">
        <f>+VLOOKUP(Agencia[[#This Row],[Filtro URL]],Estructura!$X$4:$Y$500,2,0)</f>
        <v>99200001</v>
      </c>
      <c r="X193" s="118" t="str">
        <f>+VLOOKUP(Agencia[[#This Row],[tema]],Estructura!$A$4:$C$500,3,0)</f>
        <v>T-1034</v>
      </c>
      <c r="Y193" s="118" t="str">
        <f>+VLOOKUP(Agencia[[#This Row],[contenido]],Estructura!$E$4:$G$500,3,0)</f>
        <v>C-996</v>
      </c>
      <c r="Z193" s="118" t="str">
        <f>+VLOOKUP(Agencia[[#This Row],[Filtro Integrado]],Estructura!$I$4:$K$500,3,0)</f>
        <v>FI-993</v>
      </c>
      <c r="AA193" s="118" t="str">
        <f>+VLOOKUP(Agencia[[#This Row],[Muestra]],Estructura!$M$4:$O$500,3,0)</f>
        <v>M-1008</v>
      </c>
    </row>
    <row r="194" spans="1:27" ht="57.6" x14ac:dyDescent="0.3">
      <c r="A194" s="21" t="s">
        <v>631</v>
      </c>
      <c r="B194" s="24">
        <f t="shared" ref="B194:D194" si="147">+B193</f>
        <v>990</v>
      </c>
      <c r="C194" s="25" t="str">
        <f t="shared" si="147"/>
        <v>Agencia Información</v>
      </c>
      <c r="D194" s="25" t="str">
        <f t="shared" si="147"/>
        <v>Mujeres</v>
      </c>
      <c r="E194" s="19">
        <v>2</v>
      </c>
      <c r="F194" s="10" t="s">
        <v>823</v>
      </c>
      <c r="G194" s="10" t="s">
        <v>3762</v>
      </c>
      <c r="H194" s="35" t="s">
        <v>16</v>
      </c>
      <c r="I194" s="36" t="s">
        <v>369</v>
      </c>
      <c r="J194" s="9" t="str">
        <f t="shared" si="124"/>
        <v>Ninguno</v>
      </c>
      <c r="K194" s="9" t="str">
        <f t="shared" si="125"/>
        <v>Casos de VIF por región</v>
      </c>
      <c r="L194" s="9" t="str">
        <f t="shared" si="126"/>
        <v>Periodo 2019-2021</v>
      </c>
      <c r="M194" s="9" t="str">
        <f t="shared" si="127"/>
        <v>Número de Casos</v>
      </c>
      <c r="N194" s="9" t="str">
        <f t="shared" si="128"/>
        <v>Fiscalía Nacional</v>
      </c>
      <c r="O194" s="20" t="str">
        <f>"Evolución trimestral de Casos de Violencia Intrafamiliar presentados frente a la Fiscalía Nacional en la "&amp;Agencia[[#This Row],[territorio]]</f>
        <v>Evolución trimestral de Casos de Violencia Intrafamiliar presentados frente a la Fiscalía Nacional en la Región de Antofagasta</v>
      </c>
      <c r="P194" s="20"/>
      <c r="Q194" s="11" t="str">
        <f t="shared" si="121"/>
        <v>Gráfico de Evolución</v>
      </c>
      <c r="R194" s="87" t="str">
        <f>Agencia[[#This Row],[territorio]]&amp;" violencia intrafamiliar VIF casos fiscalía mujeres hombres año regional"</f>
        <v>Región de Antofagasta violencia intrafamiliar VIF casos fiscalía mujeres hombres año regional</v>
      </c>
      <c r="S194" s="41" t="str">
        <f>HYPERLINK("https://analytics.zoho.com/open-view/2395394000007782059?ZOHO_CRITERIA=%22Trasposicion_27.4%22.%22Cod_Regi%C3%B3n%22%3D"&amp;Agencia[[#This Row],[Filtro URL]])</f>
        <v>https://analytics.zoho.com/open-view/2395394000007782059?ZOHO_CRITERIA=%22Trasposicion_27.4%22.%22Cod_Regi%C3%B3n%22%3D2</v>
      </c>
      <c r="T194" s="68" t="str">
        <f>"100-R-"&amp;Agencia[[#This Row],[Filtro URL]]</f>
        <v>100-R-2</v>
      </c>
      <c r="U194" s="50" t="str">
        <f t="shared" si="130"/>
        <v>#1774B9</v>
      </c>
      <c r="V194" s="118" t="str">
        <f>+Agencia[[#This Row],[idcoleccion]]&amp;"-"&amp;Agencia[[#This Row],[id]]</f>
        <v>990-0183</v>
      </c>
      <c r="W194" s="118">
        <f>+VLOOKUP(Agencia[[#This Row],[Filtro URL]],Estructura!$X$4:$Y$500,2,0)</f>
        <v>99200002</v>
      </c>
      <c r="X194" s="118" t="str">
        <f>+VLOOKUP(Agencia[[#This Row],[tema]],Estructura!$A$4:$C$500,3,0)</f>
        <v>T-1034</v>
      </c>
      <c r="Y194" s="118" t="str">
        <f>+VLOOKUP(Agencia[[#This Row],[contenido]],Estructura!$E$4:$G$500,3,0)</f>
        <v>C-996</v>
      </c>
      <c r="Z194" s="118" t="str">
        <f>+VLOOKUP(Agencia[[#This Row],[Filtro Integrado]],Estructura!$I$4:$K$500,3,0)</f>
        <v>FI-993</v>
      </c>
      <c r="AA194" s="118" t="str">
        <f>+VLOOKUP(Agencia[[#This Row],[Muestra]],Estructura!$M$4:$O$500,3,0)</f>
        <v>M-1008</v>
      </c>
    </row>
    <row r="195" spans="1:27" ht="57.6" x14ac:dyDescent="0.3">
      <c r="A195" s="21" t="s">
        <v>632</v>
      </c>
      <c r="B195" s="24">
        <f t="shared" ref="B195:D195" si="148">+B194</f>
        <v>990</v>
      </c>
      <c r="C195" s="25" t="str">
        <f t="shared" si="148"/>
        <v>Agencia Información</v>
      </c>
      <c r="D195" s="25" t="str">
        <f t="shared" si="148"/>
        <v>Mujeres</v>
      </c>
      <c r="E195" s="19">
        <v>3</v>
      </c>
      <c r="F195" s="10" t="s">
        <v>823</v>
      </c>
      <c r="G195" s="10" t="s">
        <v>3762</v>
      </c>
      <c r="H195" s="35" t="s">
        <v>16</v>
      </c>
      <c r="I195" s="36" t="s">
        <v>370</v>
      </c>
      <c r="J195" s="9" t="str">
        <f t="shared" si="124"/>
        <v>Ninguno</v>
      </c>
      <c r="K195" s="9" t="str">
        <f t="shared" si="125"/>
        <v>Casos de VIF por región</v>
      </c>
      <c r="L195" s="9" t="str">
        <f t="shared" si="126"/>
        <v>Periodo 2019-2021</v>
      </c>
      <c r="M195" s="9" t="str">
        <f t="shared" si="127"/>
        <v>Número de Casos</v>
      </c>
      <c r="N195" s="9" t="str">
        <f t="shared" si="128"/>
        <v>Fiscalía Nacional</v>
      </c>
      <c r="O195" s="20" t="str">
        <f>"Evolución trimestral de Casos de Violencia Intrafamiliar presentados frente a la Fiscalía Nacional en la "&amp;Agencia[[#This Row],[territorio]]</f>
        <v>Evolución trimestral de Casos de Violencia Intrafamiliar presentados frente a la Fiscalía Nacional en la Región de Atacama</v>
      </c>
      <c r="P195" s="20"/>
      <c r="Q195" s="11" t="str">
        <f t="shared" si="121"/>
        <v>Gráfico de Evolución</v>
      </c>
      <c r="R195" s="87" t="str">
        <f>Agencia[[#This Row],[territorio]]&amp;" violencia intrafamiliar VIF casos fiscalía mujeres hombres año regional"</f>
        <v>Región de Atacama violencia intrafamiliar VIF casos fiscalía mujeres hombres año regional</v>
      </c>
      <c r="S195" s="41" t="str">
        <f>HYPERLINK("https://analytics.zoho.com/open-view/2395394000007782059?ZOHO_CRITERIA=%22Trasposicion_27.4%22.%22Cod_Regi%C3%B3n%22%3D"&amp;Agencia[[#This Row],[Filtro URL]])</f>
        <v>https://analytics.zoho.com/open-view/2395394000007782059?ZOHO_CRITERIA=%22Trasposicion_27.4%22.%22Cod_Regi%C3%B3n%22%3D3</v>
      </c>
      <c r="T195" s="68" t="str">
        <f>"100-R-"&amp;Agencia[[#This Row],[Filtro URL]]</f>
        <v>100-R-3</v>
      </c>
      <c r="U195" s="50" t="str">
        <f t="shared" si="130"/>
        <v>#1774B9</v>
      </c>
      <c r="V195" s="118" t="str">
        <f>+Agencia[[#This Row],[idcoleccion]]&amp;"-"&amp;Agencia[[#This Row],[id]]</f>
        <v>990-0184</v>
      </c>
      <c r="W195" s="118">
        <f>+VLOOKUP(Agencia[[#This Row],[Filtro URL]],Estructura!$X$4:$Y$500,2,0)</f>
        <v>99200003</v>
      </c>
      <c r="X195" s="118" t="str">
        <f>+VLOOKUP(Agencia[[#This Row],[tema]],Estructura!$A$4:$C$500,3,0)</f>
        <v>T-1034</v>
      </c>
      <c r="Y195" s="118" t="str">
        <f>+VLOOKUP(Agencia[[#This Row],[contenido]],Estructura!$E$4:$G$500,3,0)</f>
        <v>C-996</v>
      </c>
      <c r="Z195" s="118" t="str">
        <f>+VLOOKUP(Agencia[[#This Row],[Filtro Integrado]],Estructura!$I$4:$K$500,3,0)</f>
        <v>FI-993</v>
      </c>
      <c r="AA195" s="118" t="str">
        <f>+VLOOKUP(Agencia[[#This Row],[Muestra]],Estructura!$M$4:$O$500,3,0)</f>
        <v>M-1008</v>
      </c>
    </row>
    <row r="196" spans="1:27" ht="57.6" x14ac:dyDescent="0.3">
      <c r="A196" s="21" t="s">
        <v>633</v>
      </c>
      <c r="B196" s="24">
        <f t="shared" ref="B196:D196" si="149">+B195</f>
        <v>990</v>
      </c>
      <c r="C196" s="25" t="str">
        <f t="shared" si="149"/>
        <v>Agencia Información</v>
      </c>
      <c r="D196" s="25" t="str">
        <f t="shared" si="149"/>
        <v>Mujeres</v>
      </c>
      <c r="E196" s="19">
        <v>4</v>
      </c>
      <c r="F196" s="10" t="s">
        <v>823</v>
      </c>
      <c r="G196" s="10" t="s">
        <v>3762</v>
      </c>
      <c r="H196" s="35" t="s">
        <v>16</v>
      </c>
      <c r="I196" s="36" t="s">
        <v>371</v>
      </c>
      <c r="J196" s="9" t="str">
        <f t="shared" si="124"/>
        <v>Ninguno</v>
      </c>
      <c r="K196" s="9" t="str">
        <f t="shared" si="125"/>
        <v>Casos de VIF por región</v>
      </c>
      <c r="L196" s="9" t="str">
        <f t="shared" si="126"/>
        <v>Periodo 2019-2021</v>
      </c>
      <c r="M196" s="9" t="str">
        <f t="shared" si="127"/>
        <v>Número de Casos</v>
      </c>
      <c r="N196" s="9" t="str">
        <f t="shared" si="128"/>
        <v>Fiscalía Nacional</v>
      </c>
      <c r="O196" s="20" t="str">
        <f>"Evolución trimestral de Casos de Violencia Intrafamiliar presentados frente a la Fiscalía Nacional en la "&amp;Agencia[[#This Row],[territorio]]</f>
        <v>Evolución trimestral de Casos de Violencia Intrafamiliar presentados frente a la Fiscalía Nacional en la Región de Coquimbo</v>
      </c>
      <c r="P196" s="20"/>
      <c r="Q196" s="11" t="str">
        <f t="shared" si="121"/>
        <v>Gráfico de Evolución</v>
      </c>
      <c r="R196" s="87" t="str">
        <f>Agencia[[#This Row],[territorio]]&amp;" violencia intrafamiliar VIF casos fiscalía mujeres hombres año regional"</f>
        <v>Región de Coquimbo violencia intrafamiliar VIF casos fiscalía mujeres hombres año regional</v>
      </c>
      <c r="S196" s="41" t="str">
        <f>HYPERLINK("https://analytics.zoho.com/open-view/2395394000007782059?ZOHO_CRITERIA=%22Trasposicion_27.4%22.%22Cod_Regi%C3%B3n%22%3D"&amp;Agencia[[#This Row],[Filtro URL]])</f>
        <v>https://analytics.zoho.com/open-view/2395394000007782059?ZOHO_CRITERIA=%22Trasposicion_27.4%22.%22Cod_Regi%C3%B3n%22%3D4</v>
      </c>
      <c r="T196" s="68" t="str">
        <f>"100-R-"&amp;Agencia[[#This Row],[Filtro URL]]</f>
        <v>100-R-4</v>
      </c>
      <c r="U196" s="50" t="str">
        <f t="shared" si="130"/>
        <v>#1774B9</v>
      </c>
      <c r="V196" s="118" t="str">
        <f>+Agencia[[#This Row],[idcoleccion]]&amp;"-"&amp;Agencia[[#This Row],[id]]</f>
        <v>990-0185</v>
      </c>
      <c r="W196" s="118">
        <f>+VLOOKUP(Agencia[[#This Row],[Filtro URL]],Estructura!$X$4:$Y$500,2,0)</f>
        <v>99200004</v>
      </c>
      <c r="X196" s="118" t="str">
        <f>+VLOOKUP(Agencia[[#This Row],[tema]],Estructura!$A$4:$C$500,3,0)</f>
        <v>T-1034</v>
      </c>
      <c r="Y196" s="118" t="str">
        <f>+VLOOKUP(Agencia[[#This Row],[contenido]],Estructura!$E$4:$G$500,3,0)</f>
        <v>C-996</v>
      </c>
      <c r="Z196" s="118" t="str">
        <f>+VLOOKUP(Agencia[[#This Row],[Filtro Integrado]],Estructura!$I$4:$K$500,3,0)</f>
        <v>FI-993</v>
      </c>
      <c r="AA196" s="118" t="str">
        <f>+VLOOKUP(Agencia[[#This Row],[Muestra]],Estructura!$M$4:$O$500,3,0)</f>
        <v>M-1008</v>
      </c>
    </row>
    <row r="197" spans="1:27" ht="57.6" x14ac:dyDescent="0.3">
      <c r="A197" s="21" t="s">
        <v>634</v>
      </c>
      <c r="B197" s="24">
        <f t="shared" ref="B197:D197" si="150">+B196</f>
        <v>990</v>
      </c>
      <c r="C197" s="25" t="str">
        <f t="shared" si="150"/>
        <v>Agencia Información</v>
      </c>
      <c r="D197" s="25" t="str">
        <f t="shared" si="150"/>
        <v>Mujeres</v>
      </c>
      <c r="E197" s="19">
        <v>5</v>
      </c>
      <c r="F197" s="10" t="s">
        <v>823</v>
      </c>
      <c r="G197" s="10" t="s">
        <v>3762</v>
      </c>
      <c r="H197" s="35" t="s">
        <v>16</v>
      </c>
      <c r="I197" s="36" t="s">
        <v>372</v>
      </c>
      <c r="J197" s="9" t="str">
        <f t="shared" si="124"/>
        <v>Ninguno</v>
      </c>
      <c r="K197" s="9" t="str">
        <f t="shared" si="125"/>
        <v>Casos de VIF por región</v>
      </c>
      <c r="L197" s="9" t="str">
        <f t="shared" si="126"/>
        <v>Periodo 2019-2021</v>
      </c>
      <c r="M197" s="9" t="str">
        <f t="shared" si="127"/>
        <v>Número de Casos</v>
      </c>
      <c r="N197" s="9" t="str">
        <f t="shared" si="128"/>
        <v>Fiscalía Nacional</v>
      </c>
      <c r="O197" s="20" t="str">
        <f>"Evolución trimestral de Casos de Violencia Intrafamiliar presentados frente a la Fiscalía Nacional en la "&amp;Agencia[[#This Row],[territorio]]</f>
        <v>Evolución trimestral de Casos de Violencia Intrafamiliar presentados frente a la Fiscalía Nacional en la Región de Valparaíso</v>
      </c>
      <c r="P197" s="20"/>
      <c r="Q197" s="11" t="str">
        <f t="shared" si="121"/>
        <v>Gráfico de Evolución</v>
      </c>
      <c r="R197" s="87" t="str">
        <f>Agencia[[#This Row],[territorio]]&amp;" violencia intrafamiliar VIF casos fiscalía mujeres hombres año regional"</f>
        <v>Región de Valparaíso violencia intrafamiliar VIF casos fiscalía mujeres hombres año regional</v>
      </c>
      <c r="S197" s="41" t="str">
        <f>HYPERLINK("https://analytics.zoho.com/open-view/2395394000007782059?ZOHO_CRITERIA=%22Trasposicion_27.4%22.%22Cod_Regi%C3%B3n%22%3D"&amp;Agencia[[#This Row],[Filtro URL]])</f>
        <v>https://analytics.zoho.com/open-view/2395394000007782059?ZOHO_CRITERIA=%22Trasposicion_27.4%22.%22Cod_Regi%C3%B3n%22%3D5</v>
      </c>
      <c r="T197" s="68" t="str">
        <f>"100-R-"&amp;Agencia[[#This Row],[Filtro URL]]</f>
        <v>100-R-5</v>
      </c>
      <c r="U197" s="50" t="str">
        <f t="shared" si="130"/>
        <v>#1774B9</v>
      </c>
      <c r="V197" s="118" t="str">
        <f>+Agencia[[#This Row],[idcoleccion]]&amp;"-"&amp;Agencia[[#This Row],[id]]</f>
        <v>990-0186</v>
      </c>
      <c r="W197" s="118">
        <f>+VLOOKUP(Agencia[[#This Row],[Filtro URL]],Estructura!$X$4:$Y$500,2,0)</f>
        <v>99200005</v>
      </c>
      <c r="X197" s="118" t="str">
        <f>+VLOOKUP(Agencia[[#This Row],[tema]],Estructura!$A$4:$C$500,3,0)</f>
        <v>T-1034</v>
      </c>
      <c r="Y197" s="118" t="str">
        <f>+VLOOKUP(Agencia[[#This Row],[contenido]],Estructura!$E$4:$G$500,3,0)</f>
        <v>C-996</v>
      </c>
      <c r="Z197" s="118" t="str">
        <f>+VLOOKUP(Agencia[[#This Row],[Filtro Integrado]],Estructura!$I$4:$K$500,3,0)</f>
        <v>FI-993</v>
      </c>
      <c r="AA197" s="118" t="str">
        <f>+VLOOKUP(Agencia[[#This Row],[Muestra]],Estructura!$M$4:$O$500,3,0)</f>
        <v>M-1008</v>
      </c>
    </row>
    <row r="198" spans="1:27" ht="57.6" x14ac:dyDescent="0.3">
      <c r="A198" s="21" t="s">
        <v>635</v>
      </c>
      <c r="B198" s="24">
        <f t="shared" ref="B198:D198" si="151">+B197</f>
        <v>990</v>
      </c>
      <c r="C198" s="25" t="str">
        <f t="shared" si="151"/>
        <v>Agencia Información</v>
      </c>
      <c r="D198" s="25" t="str">
        <f t="shared" si="151"/>
        <v>Mujeres</v>
      </c>
      <c r="E198" s="19">
        <v>6</v>
      </c>
      <c r="F198" s="10" t="s">
        <v>823</v>
      </c>
      <c r="G198" s="10" t="s">
        <v>3762</v>
      </c>
      <c r="H198" s="35" t="s">
        <v>16</v>
      </c>
      <c r="I198" s="36" t="s">
        <v>373</v>
      </c>
      <c r="J198" s="9" t="str">
        <f t="shared" si="124"/>
        <v>Ninguno</v>
      </c>
      <c r="K198" s="9" t="str">
        <f t="shared" si="125"/>
        <v>Casos de VIF por región</v>
      </c>
      <c r="L198" s="9" t="str">
        <f t="shared" si="126"/>
        <v>Periodo 2019-2021</v>
      </c>
      <c r="M198" s="9" t="str">
        <f t="shared" si="127"/>
        <v>Número de Casos</v>
      </c>
      <c r="N198" s="9" t="str">
        <f t="shared" si="128"/>
        <v>Fiscalía Nacional</v>
      </c>
      <c r="O198" s="20" t="str">
        <f>"Evolución trimestral de Casos de Violencia Intrafamiliar presentados frente a la Fiscalía Nacional en la "&amp;Agencia[[#This Row],[territorio]]</f>
        <v>Evolución trimestral de Casos de Violencia Intrafamiliar presentados frente a la Fiscalía Nacional en la Región de O'Higgins</v>
      </c>
      <c r="P198" s="20"/>
      <c r="Q198" s="11" t="str">
        <f t="shared" si="121"/>
        <v>Gráfico de Evolución</v>
      </c>
      <c r="R198" s="87" t="str">
        <f>Agencia[[#This Row],[territorio]]&amp;" violencia intrafamiliar VIF casos fiscalía mujeres hombres año regional"</f>
        <v>Región de O'Higgins violencia intrafamiliar VIF casos fiscalía mujeres hombres año regional</v>
      </c>
      <c r="S198" s="41" t="str">
        <f>HYPERLINK("https://analytics.zoho.com/open-view/2395394000007782059?ZOHO_CRITERIA=%22Trasposicion_27.4%22.%22Cod_Regi%C3%B3n%22%3D"&amp;Agencia[[#This Row],[Filtro URL]])</f>
        <v>https://analytics.zoho.com/open-view/2395394000007782059?ZOHO_CRITERIA=%22Trasposicion_27.4%22.%22Cod_Regi%C3%B3n%22%3D6</v>
      </c>
      <c r="T198" s="68" t="str">
        <f>"100-R-"&amp;Agencia[[#This Row],[Filtro URL]]</f>
        <v>100-R-6</v>
      </c>
      <c r="U198" s="50" t="str">
        <f t="shared" si="130"/>
        <v>#1774B9</v>
      </c>
      <c r="V198" s="118" t="str">
        <f>+Agencia[[#This Row],[idcoleccion]]&amp;"-"&amp;Agencia[[#This Row],[id]]</f>
        <v>990-0187</v>
      </c>
      <c r="W198" s="118">
        <f>+VLOOKUP(Agencia[[#This Row],[Filtro URL]],Estructura!$X$4:$Y$500,2,0)</f>
        <v>99200006</v>
      </c>
      <c r="X198" s="118" t="str">
        <f>+VLOOKUP(Agencia[[#This Row],[tema]],Estructura!$A$4:$C$500,3,0)</f>
        <v>T-1034</v>
      </c>
      <c r="Y198" s="118" t="str">
        <f>+VLOOKUP(Agencia[[#This Row],[contenido]],Estructura!$E$4:$G$500,3,0)</f>
        <v>C-996</v>
      </c>
      <c r="Z198" s="118" t="str">
        <f>+VLOOKUP(Agencia[[#This Row],[Filtro Integrado]],Estructura!$I$4:$K$500,3,0)</f>
        <v>FI-993</v>
      </c>
      <c r="AA198" s="118" t="str">
        <f>+VLOOKUP(Agencia[[#This Row],[Muestra]],Estructura!$M$4:$O$500,3,0)</f>
        <v>M-1008</v>
      </c>
    </row>
    <row r="199" spans="1:27" ht="57.6" x14ac:dyDescent="0.3">
      <c r="A199" s="21" t="s">
        <v>636</v>
      </c>
      <c r="B199" s="24">
        <f t="shared" ref="B199:D199" si="152">+B198</f>
        <v>990</v>
      </c>
      <c r="C199" s="25" t="str">
        <f t="shared" si="152"/>
        <v>Agencia Información</v>
      </c>
      <c r="D199" s="25" t="str">
        <f t="shared" si="152"/>
        <v>Mujeres</v>
      </c>
      <c r="E199" s="19">
        <v>7</v>
      </c>
      <c r="F199" s="10" t="s">
        <v>823</v>
      </c>
      <c r="G199" s="10" t="s">
        <v>3762</v>
      </c>
      <c r="H199" s="35" t="s">
        <v>16</v>
      </c>
      <c r="I199" s="36" t="s">
        <v>374</v>
      </c>
      <c r="J199" s="9" t="str">
        <f t="shared" si="124"/>
        <v>Ninguno</v>
      </c>
      <c r="K199" s="9" t="str">
        <f t="shared" si="125"/>
        <v>Casos de VIF por región</v>
      </c>
      <c r="L199" s="9" t="str">
        <f t="shared" si="126"/>
        <v>Periodo 2019-2021</v>
      </c>
      <c r="M199" s="9" t="str">
        <f t="shared" si="127"/>
        <v>Número de Casos</v>
      </c>
      <c r="N199" s="9" t="str">
        <f t="shared" si="128"/>
        <v>Fiscalía Nacional</v>
      </c>
      <c r="O199" s="20" t="str">
        <f>"Evolución trimestral de Casos de Violencia Intrafamiliar presentados frente a la Fiscalía Nacional en la "&amp;Agencia[[#This Row],[territorio]]</f>
        <v>Evolución trimestral de Casos de Violencia Intrafamiliar presentados frente a la Fiscalía Nacional en la Región de Maule</v>
      </c>
      <c r="P199" s="20"/>
      <c r="Q199" s="11" t="str">
        <f t="shared" si="121"/>
        <v>Gráfico de Evolución</v>
      </c>
      <c r="R199" s="87" t="str">
        <f>Agencia[[#This Row],[territorio]]&amp;" violencia intrafamiliar VIF casos fiscalía mujeres hombres año regional"</f>
        <v>Región de Maule violencia intrafamiliar VIF casos fiscalía mujeres hombres año regional</v>
      </c>
      <c r="S199" s="41" t="str">
        <f>HYPERLINK("https://analytics.zoho.com/open-view/2395394000007782059?ZOHO_CRITERIA=%22Trasposicion_27.4%22.%22Cod_Regi%C3%B3n%22%3D"&amp;Agencia[[#This Row],[Filtro URL]])</f>
        <v>https://analytics.zoho.com/open-view/2395394000007782059?ZOHO_CRITERIA=%22Trasposicion_27.4%22.%22Cod_Regi%C3%B3n%22%3D7</v>
      </c>
      <c r="T199" s="68" t="str">
        <f>"100-R-"&amp;Agencia[[#This Row],[Filtro URL]]</f>
        <v>100-R-7</v>
      </c>
      <c r="U199" s="50" t="str">
        <f t="shared" si="130"/>
        <v>#1774B9</v>
      </c>
      <c r="V199" s="118" t="str">
        <f>+Agencia[[#This Row],[idcoleccion]]&amp;"-"&amp;Agencia[[#This Row],[id]]</f>
        <v>990-0188</v>
      </c>
      <c r="W199" s="118">
        <f>+VLOOKUP(Agencia[[#This Row],[Filtro URL]],Estructura!$X$4:$Y$500,2,0)</f>
        <v>99200007</v>
      </c>
      <c r="X199" s="118" t="str">
        <f>+VLOOKUP(Agencia[[#This Row],[tema]],Estructura!$A$4:$C$500,3,0)</f>
        <v>T-1034</v>
      </c>
      <c r="Y199" s="118" t="str">
        <f>+VLOOKUP(Agencia[[#This Row],[contenido]],Estructura!$E$4:$G$500,3,0)</f>
        <v>C-996</v>
      </c>
      <c r="Z199" s="118" t="str">
        <f>+VLOOKUP(Agencia[[#This Row],[Filtro Integrado]],Estructura!$I$4:$K$500,3,0)</f>
        <v>FI-993</v>
      </c>
      <c r="AA199" s="118" t="str">
        <f>+VLOOKUP(Agencia[[#This Row],[Muestra]],Estructura!$M$4:$O$500,3,0)</f>
        <v>M-1008</v>
      </c>
    </row>
    <row r="200" spans="1:27" ht="57.6" x14ac:dyDescent="0.3">
      <c r="A200" s="21" t="s">
        <v>637</v>
      </c>
      <c r="B200" s="24">
        <f t="shared" ref="B200:D200" si="153">+B199</f>
        <v>990</v>
      </c>
      <c r="C200" s="25" t="str">
        <f t="shared" si="153"/>
        <v>Agencia Información</v>
      </c>
      <c r="D200" s="25" t="str">
        <f t="shared" si="153"/>
        <v>Mujeres</v>
      </c>
      <c r="E200" s="19">
        <v>8</v>
      </c>
      <c r="F200" s="10" t="s">
        <v>823</v>
      </c>
      <c r="G200" s="10" t="s">
        <v>3762</v>
      </c>
      <c r="H200" s="35" t="s">
        <v>16</v>
      </c>
      <c r="I200" s="36" t="s">
        <v>375</v>
      </c>
      <c r="J200" s="9" t="str">
        <f t="shared" si="124"/>
        <v>Ninguno</v>
      </c>
      <c r="K200" s="9" t="str">
        <f t="shared" si="125"/>
        <v>Casos de VIF por región</v>
      </c>
      <c r="L200" s="9" t="str">
        <f t="shared" si="126"/>
        <v>Periodo 2019-2021</v>
      </c>
      <c r="M200" s="9" t="str">
        <f t="shared" si="127"/>
        <v>Número de Casos</v>
      </c>
      <c r="N200" s="9" t="str">
        <f t="shared" si="128"/>
        <v>Fiscalía Nacional</v>
      </c>
      <c r="O200" s="20" t="str">
        <f>"Evolución trimestral de Casos de Violencia Intrafamiliar presentados frente a la Fiscalía Nacional en la "&amp;Agencia[[#This Row],[territorio]]</f>
        <v>Evolución trimestral de Casos de Violencia Intrafamiliar presentados frente a la Fiscalía Nacional en la Región del Biobío</v>
      </c>
      <c r="P200" s="20"/>
      <c r="Q200" s="11" t="str">
        <f t="shared" si="121"/>
        <v>Gráfico de Evolución</v>
      </c>
      <c r="R200" s="87" t="str">
        <f>Agencia[[#This Row],[territorio]]&amp;" violencia intrafamiliar VIF casos fiscalía mujeres hombres año regional"</f>
        <v>Región del Biobío violencia intrafamiliar VIF casos fiscalía mujeres hombres año regional</v>
      </c>
      <c r="S200" s="41" t="str">
        <f>HYPERLINK("https://analytics.zoho.com/open-view/2395394000007782059?ZOHO_CRITERIA=%22Trasposicion_27.4%22.%22Cod_Regi%C3%B3n%22%3D"&amp;Agencia[[#This Row],[Filtro URL]])</f>
        <v>https://analytics.zoho.com/open-view/2395394000007782059?ZOHO_CRITERIA=%22Trasposicion_27.4%22.%22Cod_Regi%C3%B3n%22%3D8</v>
      </c>
      <c r="T200" s="68" t="str">
        <f>"100-R-"&amp;Agencia[[#This Row],[Filtro URL]]</f>
        <v>100-R-8</v>
      </c>
      <c r="U200" s="50" t="str">
        <f t="shared" si="130"/>
        <v>#1774B9</v>
      </c>
      <c r="V200" s="118" t="str">
        <f>+Agencia[[#This Row],[idcoleccion]]&amp;"-"&amp;Agencia[[#This Row],[id]]</f>
        <v>990-0189</v>
      </c>
      <c r="W200" s="118">
        <f>+VLOOKUP(Agencia[[#This Row],[Filtro URL]],Estructura!$X$4:$Y$500,2,0)</f>
        <v>99200008</v>
      </c>
      <c r="X200" s="118" t="str">
        <f>+VLOOKUP(Agencia[[#This Row],[tema]],Estructura!$A$4:$C$500,3,0)</f>
        <v>T-1034</v>
      </c>
      <c r="Y200" s="118" t="str">
        <f>+VLOOKUP(Agencia[[#This Row],[contenido]],Estructura!$E$4:$G$500,3,0)</f>
        <v>C-996</v>
      </c>
      <c r="Z200" s="118" t="str">
        <f>+VLOOKUP(Agencia[[#This Row],[Filtro Integrado]],Estructura!$I$4:$K$500,3,0)</f>
        <v>FI-993</v>
      </c>
      <c r="AA200" s="118" t="str">
        <f>+VLOOKUP(Agencia[[#This Row],[Muestra]],Estructura!$M$4:$O$500,3,0)</f>
        <v>M-1008</v>
      </c>
    </row>
    <row r="201" spans="1:27" ht="57.6" x14ac:dyDescent="0.3">
      <c r="A201" s="21" t="s">
        <v>638</v>
      </c>
      <c r="B201" s="24">
        <f t="shared" ref="B201:D201" si="154">+B200</f>
        <v>990</v>
      </c>
      <c r="C201" s="25" t="str">
        <f t="shared" si="154"/>
        <v>Agencia Información</v>
      </c>
      <c r="D201" s="25" t="str">
        <f t="shared" si="154"/>
        <v>Mujeres</v>
      </c>
      <c r="E201" s="19">
        <v>9</v>
      </c>
      <c r="F201" s="10" t="s">
        <v>823</v>
      </c>
      <c r="G201" s="10" t="s">
        <v>3762</v>
      </c>
      <c r="H201" s="35" t="s">
        <v>16</v>
      </c>
      <c r="I201" s="36" t="s">
        <v>376</v>
      </c>
      <c r="J201" s="9" t="str">
        <f t="shared" si="124"/>
        <v>Ninguno</v>
      </c>
      <c r="K201" s="9" t="str">
        <f t="shared" si="125"/>
        <v>Casos de VIF por región</v>
      </c>
      <c r="L201" s="9" t="str">
        <f t="shared" si="126"/>
        <v>Periodo 2019-2021</v>
      </c>
      <c r="M201" s="9" t="str">
        <f t="shared" si="127"/>
        <v>Número de Casos</v>
      </c>
      <c r="N201" s="9" t="str">
        <f t="shared" si="128"/>
        <v>Fiscalía Nacional</v>
      </c>
      <c r="O201" s="20" t="str">
        <f>"Evolución trimestral de Casos de Violencia Intrafamiliar presentados frente a la Fiscalía Nacional en la "&amp;Agencia[[#This Row],[territorio]]</f>
        <v>Evolución trimestral de Casos de Violencia Intrafamiliar presentados frente a la Fiscalía Nacional en la Región de La Araucanía</v>
      </c>
      <c r="P201" s="20"/>
      <c r="Q201" s="11" t="str">
        <f t="shared" si="121"/>
        <v>Gráfico de Evolución</v>
      </c>
      <c r="R201" s="87" t="str">
        <f>Agencia[[#This Row],[territorio]]&amp;" violencia intrafamiliar VIF casos fiscalía mujeres hombres año regional"</f>
        <v>Región de La Araucanía violencia intrafamiliar VIF casos fiscalía mujeres hombres año regional</v>
      </c>
      <c r="S201" s="41" t="str">
        <f>HYPERLINK("https://analytics.zoho.com/open-view/2395394000007782059?ZOHO_CRITERIA=%22Trasposicion_27.4%22.%22Cod_Regi%C3%B3n%22%3D"&amp;Agencia[[#This Row],[Filtro URL]])</f>
        <v>https://analytics.zoho.com/open-view/2395394000007782059?ZOHO_CRITERIA=%22Trasposicion_27.4%22.%22Cod_Regi%C3%B3n%22%3D9</v>
      </c>
      <c r="T201" s="68" t="str">
        <f>"100-R-"&amp;Agencia[[#This Row],[Filtro URL]]</f>
        <v>100-R-9</v>
      </c>
      <c r="U201" s="50" t="str">
        <f t="shared" si="130"/>
        <v>#1774B9</v>
      </c>
      <c r="V201" s="118" t="str">
        <f>+Agencia[[#This Row],[idcoleccion]]&amp;"-"&amp;Agencia[[#This Row],[id]]</f>
        <v>990-0190</v>
      </c>
      <c r="W201" s="118">
        <f>+VLOOKUP(Agencia[[#This Row],[Filtro URL]],Estructura!$X$4:$Y$500,2,0)</f>
        <v>99200009</v>
      </c>
      <c r="X201" s="118" t="str">
        <f>+VLOOKUP(Agencia[[#This Row],[tema]],Estructura!$A$4:$C$500,3,0)</f>
        <v>T-1034</v>
      </c>
      <c r="Y201" s="118" t="str">
        <f>+VLOOKUP(Agencia[[#This Row],[contenido]],Estructura!$E$4:$G$500,3,0)</f>
        <v>C-996</v>
      </c>
      <c r="Z201" s="118" t="str">
        <f>+VLOOKUP(Agencia[[#This Row],[Filtro Integrado]],Estructura!$I$4:$K$500,3,0)</f>
        <v>FI-993</v>
      </c>
      <c r="AA201" s="118" t="str">
        <f>+VLOOKUP(Agencia[[#This Row],[Muestra]],Estructura!$M$4:$O$500,3,0)</f>
        <v>M-1008</v>
      </c>
    </row>
    <row r="202" spans="1:27" ht="57.6" x14ac:dyDescent="0.3">
      <c r="A202" s="21" t="s">
        <v>639</v>
      </c>
      <c r="B202" s="24">
        <f t="shared" ref="B202:D202" si="155">+B201</f>
        <v>990</v>
      </c>
      <c r="C202" s="25" t="str">
        <f t="shared" si="155"/>
        <v>Agencia Información</v>
      </c>
      <c r="D202" s="25" t="str">
        <f t="shared" si="155"/>
        <v>Mujeres</v>
      </c>
      <c r="E202" s="19">
        <v>10</v>
      </c>
      <c r="F202" s="10" t="s">
        <v>823</v>
      </c>
      <c r="G202" s="10" t="s">
        <v>3762</v>
      </c>
      <c r="H202" s="35" t="s">
        <v>16</v>
      </c>
      <c r="I202" s="36" t="s">
        <v>377</v>
      </c>
      <c r="J202" s="9" t="str">
        <f t="shared" si="124"/>
        <v>Ninguno</v>
      </c>
      <c r="K202" s="9" t="str">
        <f t="shared" si="125"/>
        <v>Casos de VIF por región</v>
      </c>
      <c r="L202" s="9" t="str">
        <f t="shared" si="126"/>
        <v>Periodo 2019-2021</v>
      </c>
      <c r="M202" s="9" t="str">
        <f t="shared" si="127"/>
        <v>Número de Casos</v>
      </c>
      <c r="N202" s="9" t="str">
        <f t="shared" si="128"/>
        <v>Fiscalía Nacional</v>
      </c>
      <c r="O202" s="20" t="str">
        <f>"Evolución trimestral de Casos de Violencia Intrafamiliar presentados frente a la Fiscalía Nacional en la "&amp;Agencia[[#This Row],[territorio]]</f>
        <v>Evolución trimestral de Casos de Violencia Intrafamiliar presentados frente a la Fiscalía Nacional en la Región de Los Lagos</v>
      </c>
      <c r="P202" s="20"/>
      <c r="Q202" s="11" t="str">
        <f t="shared" si="121"/>
        <v>Gráfico de Evolución</v>
      </c>
      <c r="R202" s="87" t="str">
        <f>Agencia[[#This Row],[territorio]]&amp;" violencia intrafamiliar VIF casos fiscalía mujeres hombres año regional"</f>
        <v>Región de Los Lagos violencia intrafamiliar VIF casos fiscalía mujeres hombres año regional</v>
      </c>
      <c r="S202" s="41" t="str">
        <f>HYPERLINK("https://analytics.zoho.com/open-view/2395394000007782059?ZOHO_CRITERIA=%22Trasposicion_27.4%22.%22Cod_Regi%C3%B3n%22%3D"&amp;Agencia[[#This Row],[Filtro URL]])</f>
        <v>https://analytics.zoho.com/open-view/2395394000007782059?ZOHO_CRITERIA=%22Trasposicion_27.4%22.%22Cod_Regi%C3%B3n%22%3D10</v>
      </c>
      <c r="T202" s="68" t="str">
        <f>"100-R-"&amp;Agencia[[#This Row],[Filtro URL]]</f>
        <v>100-R-10</v>
      </c>
      <c r="U202" s="50" t="str">
        <f t="shared" si="130"/>
        <v>#1774B9</v>
      </c>
      <c r="V202" s="118" t="str">
        <f>+Agencia[[#This Row],[idcoleccion]]&amp;"-"&amp;Agencia[[#This Row],[id]]</f>
        <v>990-0191</v>
      </c>
      <c r="W202" s="118">
        <f>+VLOOKUP(Agencia[[#This Row],[Filtro URL]],Estructura!$X$4:$Y$500,2,0)</f>
        <v>99200010</v>
      </c>
      <c r="X202" s="118" t="str">
        <f>+VLOOKUP(Agencia[[#This Row],[tema]],Estructura!$A$4:$C$500,3,0)</f>
        <v>T-1034</v>
      </c>
      <c r="Y202" s="118" t="str">
        <f>+VLOOKUP(Agencia[[#This Row],[contenido]],Estructura!$E$4:$G$500,3,0)</f>
        <v>C-996</v>
      </c>
      <c r="Z202" s="118" t="str">
        <f>+VLOOKUP(Agencia[[#This Row],[Filtro Integrado]],Estructura!$I$4:$K$500,3,0)</f>
        <v>FI-993</v>
      </c>
      <c r="AA202" s="118" t="str">
        <f>+VLOOKUP(Agencia[[#This Row],[Muestra]],Estructura!$M$4:$O$500,3,0)</f>
        <v>M-1008</v>
      </c>
    </row>
    <row r="203" spans="1:27" ht="57.6" x14ac:dyDescent="0.3">
      <c r="A203" s="21" t="s">
        <v>640</v>
      </c>
      <c r="B203" s="24">
        <f t="shared" ref="B203:D203" si="156">+B202</f>
        <v>990</v>
      </c>
      <c r="C203" s="25" t="str">
        <f t="shared" si="156"/>
        <v>Agencia Información</v>
      </c>
      <c r="D203" s="25" t="str">
        <f t="shared" si="156"/>
        <v>Mujeres</v>
      </c>
      <c r="E203" s="19">
        <v>11</v>
      </c>
      <c r="F203" s="10" t="s">
        <v>823</v>
      </c>
      <c r="G203" s="10" t="s">
        <v>3762</v>
      </c>
      <c r="H203" s="35" t="s">
        <v>16</v>
      </c>
      <c r="I203" s="36" t="s">
        <v>378</v>
      </c>
      <c r="J203" s="9" t="str">
        <f t="shared" si="124"/>
        <v>Ninguno</v>
      </c>
      <c r="K203" s="9" t="str">
        <f t="shared" si="125"/>
        <v>Casos de VIF por región</v>
      </c>
      <c r="L203" s="9" t="str">
        <f t="shared" si="126"/>
        <v>Periodo 2019-2021</v>
      </c>
      <c r="M203" s="9" t="str">
        <f t="shared" si="127"/>
        <v>Número de Casos</v>
      </c>
      <c r="N203" s="9" t="str">
        <f t="shared" si="128"/>
        <v>Fiscalía Nacional</v>
      </c>
      <c r="O203" s="20" t="str">
        <f>"Evolución trimestral de Casos de Violencia Intrafamiliar presentados frente a la Fiscalía Nacional en la "&amp;Agencia[[#This Row],[territorio]]</f>
        <v>Evolución trimestral de Casos de Violencia Intrafamiliar presentados frente a la Fiscalía Nacional en la Región de Aysén</v>
      </c>
      <c r="P203" s="20"/>
      <c r="Q203" s="11" t="str">
        <f t="shared" si="121"/>
        <v>Gráfico de Evolución</v>
      </c>
      <c r="R203" s="87" t="str">
        <f>Agencia[[#This Row],[territorio]]&amp;" violencia intrafamiliar VIF casos fiscalía mujeres hombres año regional"</f>
        <v>Región de Aysén violencia intrafamiliar VIF casos fiscalía mujeres hombres año regional</v>
      </c>
      <c r="S203" s="41" t="str">
        <f>HYPERLINK("https://analytics.zoho.com/open-view/2395394000007782059?ZOHO_CRITERIA=%22Trasposicion_27.4%22.%22Cod_Regi%C3%B3n%22%3D"&amp;Agencia[[#This Row],[Filtro URL]])</f>
        <v>https://analytics.zoho.com/open-view/2395394000007782059?ZOHO_CRITERIA=%22Trasposicion_27.4%22.%22Cod_Regi%C3%B3n%22%3D11</v>
      </c>
      <c r="T203" s="68" t="str">
        <f>"100-R-"&amp;Agencia[[#This Row],[Filtro URL]]</f>
        <v>100-R-11</v>
      </c>
      <c r="U203" s="50" t="str">
        <f t="shared" si="130"/>
        <v>#1774B9</v>
      </c>
      <c r="V203" s="118" t="str">
        <f>+Agencia[[#This Row],[idcoleccion]]&amp;"-"&amp;Agencia[[#This Row],[id]]</f>
        <v>990-0192</v>
      </c>
      <c r="W203" s="118">
        <f>+VLOOKUP(Agencia[[#This Row],[Filtro URL]],Estructura!$X$4:$Y$500,2,0)</f>
        <v>99200011</v>
      </c>
      <c r="X203" s="118" t="str">
        <f>+VLOOKUP(Agencia[[#This Row],[tema]],Estructura!$A$4:$C$500,3,0)</f>
        <v>T-1034</v>
      </c>
      <c r="Y203" s="118" t="str">
        <f>+VLOOKUP(Agencia[[#This Row],[contenido]],Estructura!$E$4:$G$500,3,0)</f>
        <v>C-996</v>
      </c>
      <c r="Z203" s="118" t="str">
        <f>+VLOOKUP(Agencia[[#This Row],[Filtro Integrado]],Estructura!$I$4:$K$500,3,0)</f>
        <v>FI-993</v>
      </c>
      <c r="AA203" s="118" t="str">
        <f>+VLOOKUP(Agencia[[#This Row],[Muestra]],Estructura!$M$4:$O$500,3,0)</f>
        <v>M-1008</v>
      </c>
    </row>
    <row r="204" spans="1:27" ht="57.6" x14ac:dyDescent="0.3">
      <c r="A204" s="21" t="s">
        <v>641</v>
      </c>
      <c r="B204" s="24">
        <f t="shared" ref="B204:D204" si="157">+B203</f>
        <v>990</v>
      </c>
      <c r="C204" s="25" t="str">
        <f t="shared" si="157"/>
        <v>Agencia Información</v>
      </c>
      <c r="D204" s="25" t="str">
        <f t="shared" si="157"/>
        <v>Mujeres</v>
      </c>
      <c r="E204" s="19">
        <v>12</v>
      </c>
      <c r="F204" s="10" t="s">
        <v>823</v>
      </c>
      <c r="G204" s="10" t="s">
        <v>3762</v>
      </c>
      <c r="H204" s="35" t="s">
        <v>16</v>
      </c>
      <c r="I204" s="36" t="s">
        <v>379</v>
      </c>
      <c r="J204" s="9" t="str">
        <f t="shared" si="124"/>
        <v>Ninguno</v>
      </c>
      <c r="K204" s="9" t="str">
        <f t="shared" si="125"/>
        <v>Casos de VIF por región</v>
      </c>
      <c r="L204" s="9" t="str">
        <f t="shared" si="126"/>
        <v>Periodo 2019-2021</v>
      </c>
      <c r="M204" s="9" t="str">
        <f t="shared" si="127"/>
        <v>Número de Casos</v>
      </c>
      <c r="N204" s="9" t="str">
        <f t="shared" si="128"/>
        <v>Fiscalía Nacional</v>
      </c>
      <c r="O204" s="20" t="str">
        <f>"Evolución trimestral de Casos de Violencia Intrafamiliar presentados frente a la Fiscalía Nacional en la "&amp;Agencia[[#This Row],[territorio]]</f>
        <v>Evolución trimestral de Casos de Violencia Intrafamiliar presentados frente a la Fiscalía Nacional en la Región de Magallanes</v>
      </c>
      <c r="P204" s="20"/>
      <c r="Q204" s="11" t="str">
        <f t="shared" si="121"/>
        <v>Gráfico de Evolución</v>
      </c>
      <c r="R204" s="87" t="str">
        <f>Agencia[[#This Row],[territorio]]&amp;" violencia intrafamiliar VIF casos fiscalía mujeres hombres año regional"</f>
        <v>Región de Magallanes violencia intrafamiliar VIF casos fiscalía mujeres hombres año regional</v>
      </c>
      <c r="S204" s="41" t="str">
        <f>HYPERLINK("https://analytics.zoho.com/open-view/2395394000007782059?ZOHO_CRITERIA=%22Trasposicion_27.4%22.%22Cod_Regi%C3%B3n%22%3D"&amp;Agencia[[#This Row],[Filtro URL]])</f>
        <v>https://analytics.zoho.com/open-view/2395394000007782059?ZOHO_CRITERIA=%22Trasposicion_27.4%22.%22Cod_Regi%C3%B3n%22%3D12</v>
      </c>
      <c r="T204" s="68" t="str">
        <f>"100-R-"&amp;Agencia[[#This Row],[Filtro URL]]</f>
        <v>100-R-12</v>
      </c>
      <c r="U204" s="50" t="str">
        <f t="shared" si="130"/>
        <v>#1774B9</v>
      </c>
      <c r="V204" s="118" t="str">
        <f>+Agencia[[#This Row],[idcoleccion]]&amp;"-"&amp;Agencia[[#This Row],[id]]</f>
        <v>990-0193</v>
      </c>
      <c r="W204" s="118">
        <f>+VLOOKUP(Agencia[[#This Row],[Filtro URL]],Estructura!$X$4:$Y$500,2,0)</f>
        <v>99200012</v>
      </c>
      <c r="X204" s="118" t="str">
        <f>+VLOOKUP(Agencia[[#This Row],[tema]],Estructura!$A$4:$C$500,3,0)</f>
        <v>T-1034</v>
      </c>
      <c r="Y204" s="118" t="str">
        <f>+VLOOKUP(Agencia[[#This Row],[contenido]],Estructura!$E$4:$G$500,3,0)</f>
        <v>C-996</v>
      </c>
      <c r="Z204" s="118" t="str">
        <f>+VLOOKUP(Agencia[[#This Row],[Filtro Integrado]],Estructura!$I$4:$K$500,3,0)</f>
        <v>FI-993</v>
      </c>
      <c r="AA204" s="118" t="str">
        <f>+VLOOKUP(Agencia[[#This Row],[Muestra]],Estructura!$M$4:$O$500,3,0)</f>
        <v>M-1008</v>
      </c>
    </row>
    <row r="205" spans="1:27" ht="61.2" x14ac:dyDescent="0.3">
      <c r="A205" s="21" t="s">
        <v>642</v>
      </c>
      <c r="B205" s="24">
        <f t="shared" ref="B205:D205" si="158">+B204</f>
        <v>990</v>
      </c>
      <c r="C205" s="25" t="str">
        <f t="shared" si="158"/>
        <v>Agencia Información</v>
      </c>
      <c r="D205" s="25" t="str">
        <f t="shared" si="158"/>
        <v>Mujeres</v>
      </c>
      <c r="E205" s="19">
        <v>13</v>
      </c>
      <c r="F205" s="10" t="s">
        <v>823</v>
      </c>
      <c r="G205" s="10" t="s">
        <v>3762</v>
      </c>
      <c r="H205" s="35" t="s">
        <v>16</v>
      </c>
      <c r="I205" s="36" t="s">
        <v>380</v>
      </c>
      <c r="J205" s="9" t="str">
        <f t="shared" si="124"/>
        <v>Ninguno</v>
      </c>
      <c r="K205" s="9" t="str">
        <f t="shared" si="125"/>
        <v>Casos de VIF por región</v>
      </c>
      <c r="L205" s="9" t="str">
        <f t="shared" si="126"/>
        <v>Periodo 2019-2021</v>
      </c>
      <c r="M205" s="9" t="str">
        <f t="shared" si="127"/>
        <v>Número de Casos</v>
      </c>
      <c r="N205" s="9" t="str">
        <f t="shared" si="128"/>
        <v>Fiscalía Nacional</v>
      </c>
      <c r="O205" s="20" t="str">
        <f>"Evolución trimestral de Casos de Violencia Intrafamiliar presentados frente a la Fiscalía Nacional en la "&amp;Agencia[[#This Row],[territorio]]</f>
        <v>Evolución trimestral de Casos de Violencia Intrafamiliar presentados frente a la Fiscalía Nacional en la Región Metropolitana</v>
      </c>
      <c r="P205" s="20" t="s">
        <v>1500</v>
      </c>
      <c r="Q205" s="11" t="str">
        <f t="shared" si="121"/>
        <v>Gráfico de Evolución</v>
      </c>
      <c r="R205" s="87" t="str">
        <f>Agencia[[#This Row],[territorio]]&amp;" violencia intrafamiliar VIF casos fiscalía mujeres hombres año regional"</f>
        <v>Región Metropolitana violencia intrafamiliar VIF casos fiscalía mujeres hombres año regional</v>
      </c>
      <c r="S205" s="41" t="str">
        <f>HYPERLINK("https://analytics.zoho.com/open-view/2395394000007782059?ZOHO_CRITERIA=%22Trasposicion_27.4%22.%22Cod_Regi%C3%B3n%22%3D"&amp;Agencia[[#This Row],[Filtro URL]])</f>
        <v>https://analytics.zoho.com/open-view/2395394000007782059?ZOHO_CRITERIA=%22Trasposicion_27.4%22.%22Cod_Regi%C3%B3n%22%3D13</v>
      </c>
      <c r="T205" s="68" t="str">
        <f>"200-R-"&amp;Agencia[[#This Row],[Filtro URL]]</f>
        <v>200-R-13</v>
      </c>
      <c r="U205" s="50" t="str">
        <f t="shared" si="130"/>
        <v>#1774B9</v>
      </c>
      <c r="V205" s="118" t="str">
        <f>+Agencia[[#This Row],[idcoleccion]]&amp;"-"&amp;Agencia[[#This Row],[id]]</f>
        <v>990-0194</v>
      </c>
      <c r="W205" s="118">
        <f>+VLOOKUP(Agencia[[#This Row],[Filtro URL]],Estructura!$X$4:$Y$500,2,0)</f>
        <v>99200013</v>
      </c>
      <c r="X205" s="118" t="str">
        <f>+VLOOKUP(Agencia[[#This Row],[tema]],Estructura!$A$4:$C$500,3,0)</f>
        <v>T-1034</v>
      </c>
      <c r="Y205" s="118" t="str">
        <f>+VLOOKUP(Agencia[[#This Row],[contenido]],Estructura!$E$4:$G$500,3,0)</f>
        <v>C-996</v>
      </c>
      <c r="Z205" s="118" t="str">
        <f>+VLOOKUP(Agencia[[#This Row],[Filtro Integrado]],Estructura!$I$4:$K$500,3,0)</f>
        <v>FI-993</v>
      </c>
      <c r="AA205" s="118" t="str">
        <f>+VLOOKUP(Agencia[[#This Row],[Muestra]],Estructura!$M$4:$O$500,3,0)</f>
        <v>M-1008</v>
      </c>
    </row>
    <row r="206" spans="1:27" ht="57.6" x14ac:dyDescent="0.3">
      <c r="A206" s="21" t="s">
        <v>643</v>
      </c>
      <c r="B206" s="24">
        <f t="shared" ref="B206:D206" si="159">+B205</f>
        <v>990</v>
      </c>
      <c r="C206" s="25" t="str">
        <f t="shared" si="159"/>
        <v>Agencia Información</v>
      </c>
      <c r="D206" s="25" t="str">
        <f t="shared" si="159"/>
        <v>Mujeres</v>
      </c>
      <c r="E206" s="19">
        <v>14</v>
      </c>
      <c r="F206" s="10" t="s">
        <v>823</v>
      </c>
      <c r="G206" s="10" t="s">
        <v>3762</v>
      </c>
      <c r="H206" s="35" t="s">
        <v>16</v>
      </c>
      <c r="I206" s="36" t="s">
        <v>381</v>
      </c>
      <c r="J206" s="9" t="str">
        <f t="shared" si="124"/>
        <v>Ninguno</v>
      </c>
      <c r="K206" s="9" t="str">
        <f t="shared" si="125"/>
        <v>Casos de VIF por región</v>
      </c>
      <c r="L206" s="9" t="str">
        <f t="shared" si="126"/>
        <v>Periodo 2019-2021</v>
      </c>
      <c r="M206" s="9" t="str">
        <f t="shared" si="127"/>
        <v>Número de Casos</v>
      </c>
      <c r="N206" s="9" t="str">
        <f t="shared" si="128"/>
        <v>Fiscalía Nacional</v>
      </c>
      <c r="O206" s="20" t="str">
        <f>"Evolución trimestral de Casos de Violencia Intrafamiliar presentados frente a la Fiscalía Nacional en la "&amp;Agencia[[#This Row],[territorio]]</f>
        <v>Evolución trimestral de Casos de Violencia Intrafamiliar presentados frente a la Fiscalía Nacional en la Región de Los Ríos</v>
      </c>
      <c r="P206" s="20"/>
      <c r="Q206" s="11" t="str">
        <f t="shared" si="121"/>
        <v>Gráfico de Evolución</v>
      </c>
      <c r="R206" s="87" t="str">
        <f>Agencia[[#This Row],[territorio]]&amp;" violencia intrafamiliar VIF casos fiscalía mujeres hombres año regional"</f>
        <v>Región de Los Ríos violencia intrafamiliar VIF casos fiscalía mujeres hombres año regional</v>
      </c>
      <c r="S206" s="41" t="str">
        <f>HYPERLINK("https://analytics.zoho.com/open-view/2395394000007782059?ZOHO_CRITERIA=%22Trasposicion_27.4%22.%22Cod_Regi%C3%B3n%22%3D"&amp;Agencia[[#This Row],[Filtro URL]])</f>
        <v>https://analytics.zoho.com/open-view/2395394000007782059?ZOHO_CRITERIA=%22Trasposicion_27.4%22.%22Cod_Regi%C3%B3n%22%3D14</v>
      </c>
      <c r="T206" s="68" t="str">
        <f>"100-R-"&amp;Agencia[[#This Row],[Filtro URL]]</f>
        <v>100-R-14</v>
      </c>
      <c r="U206" s="50" t="str">
        <f t="shared" si="130"/>
        <v>#1774B9</v>
      </c>
      <c r="V206" s="118" t="str">
        <f>+Agencia[[#This Row],[idcoleccion]]&amp;"-"&amp;Agencia[[#This Row],[id]]</f>
        <v>990-0195</v>
      </c>
      <c r="W206" s="118">
        <f>+VLOOKUP(Agencia[[#This Row],[Filtro URL]],Estructura!$X$4:$Y$500,2,0)</f>
        <v>99200014</v>
      </c>
      <c r="X206" s="118" t="str">
        <f>+VLOOKUP(Agencia[[#This Row],[tema]],Estructura!$A$4:$C$500,3,0)</f>
        <v>T-1034</v>
      </c>
      <c r="Y206" s="118" t="str">
        <f>+VLOOKUP(Agencia[[#This Row],[contenido]],Estructura!$E$4:$G$500,3,0)</f>
        <v>C-996</v>
      </c>
      <c r="Z206" s="118" t="str">
        <f>+VLOOKUP(Agencia[[#This Row],[Filtro Integrado]],Estructura!$I$4:$K$500,3,0)</f>
        <v>FI-993</v>
      </c>
      <c r="AA206" s="118" t="str">
        <f>+VLOOKUP(Agencia[[#This Row],[Muestra]],Estructura!$M$4:$O$500,3,0)</f>
        <v>M-1008</v>
      </c>
    </row>
    <row r="207" spans="1:27" ht="57.6" x14ac:dyDescent="0.3">
      <c r="A207" s="21" t="s">
        <v>644</v>
      </c>
      <c r="B207" s="24">
        <f t="shared" ref="B207:D207" si="160">+B206</f>
        <v>990</v>
      </c>
      <c r="C207" s="25" t="str">
        <f t="shared" si="160"/>
        <v>Agencia Información</v>
      </c>
      <c r="D207" s="25" t="str">
        <f t="shared" si="160"/>
        <v>Mujeres</v>
      </c>
      <c r="E207" s="19">
        <v>15</v>
      </c>
      <c r="F207" s="10" t="s">
        <v>823</v>
      </c>
      <c r="G207" s="10" t="s">
        <v>3762</v>
      </c>
      <c r="H207" s="35" t="s">
        <v>16</v>
      </c>
      <c r="I207" s="36" t="s">
        <v>382</v>
      </c>
      <c r="J207" s="9" t="str">
        <f t="shared" si="124"/>
        <v>Ninguno</v>
      </c>
      <c r="K207" s="9" t="str">
        <f t="shared" si="125"/>
        <v>Casos de VIF por región</v>
      </c>
      <c r="L207" s="9" t="str">
        <f t="shared" si="126"/>
        <v>Periodo 2019-2021</v>
      </c>
      <c r="M207" s="9" t="str">
        <f t="shared" si="127"/>
        <v>Número de Casos</v>
      </c>
      <c r="N207" s="9" t="str">
        <f t="shared" si="128"/>
        <v>Fiscalía Nacional</v>
      </c>
      <c r="O207" s="20" t="str">
        <f>"Evolución trimestral de Casos de Violencia Intrafamiliar presentados frente a la Fiscalía Nacional en la "&amp;Agencia[[#This Row],[territorio]]</f>
        <v>Evolución trimestral de Casos de Violencia Intrafamiliar presentados frente a la Fiscalía Nacional en la Región de Arica y Parinacota</v>
      </c>
      <c r="P207" s="20"/>
      <c r="Q207" s="11" t="str">
        <f t="shared" si="121"/>
        <v>Gráfico de Evolución</v>
      </c>
      <c r="R207" s="87" t="str">
        <f>Agencia[[#This Row],[territorio]]&amp;" violencia intrafamiliar VIF casos fiscalía mujeres hombres año regional"</f>
        <v>Región de Arica y Parinacota violencia intrafamiliar VIF casos fiscalía mujeres hombres año regional</v>
      </c>
      <c r="S207" s="41" t="str">
        <f>HYPERLINK("https://analytics.zoho.com/open-view/2395394000007782059?ZOHO_CRITERIA=%22Trasposicion_27.4%22.%22Cod_Regi%C3%B3n%22%3D"&amp;Agencia[[#This Row],[Filtro URL]])</f>
        <v>https://analytics.zoho.com/open-view/2395394000007782059?ZOHO_CRITERIA=%22Trasposicion_27.4%22.%22Cod_Regi%C3%B3n%22%3D15</v>
      </c>
      <c r="T207" s="68" t="str">
        <f>"100-R-"&amp;Agencia[[#This Row],[Filtro URL]]</f>
        <v>100-R-15</v>
      </c>
      <c r="U207" s="50" t="str">
        <f t="shared" si="130"/>
        <v>#1774B9</v>
      </c>
      <c r="V207" s="118" t="str">
        <f>+Agencia[[#This Row],[idcoleccion]]&amp;"-"&amp;Agencia[[#This Row],[id]]</f>
        <v>990-0196</v>
      </c>
      <c r="W207" s="118">
        <f>+VLOOKUP(Agencia[[#This Row],[Filtro URL]],Estructura!$X$4:$Y$500,2,0)</f>
        <v>99200015</v>
      </c>
      <c r="X207" s="118" t="str">
        <f>+VLOOKUP(Agencia[[#This Row],[tema]],Estructura!$A$4:$C$500,3,0)</f>
        <v>T-1034</v>
      </c>
      <c r="Y207" s="118" t="str">
        <f>+VLOOKUP(Agencia[[#This Row],[contenido]],Estructura!$E$4:$G$500,3,0)</f>
        <v>C-996</v>
      </c>
      <c r="Z207" s="118" t="str">
        <f>+VLOOKUP(Agencia[[#This Row],[Filtro Integrado]],Estructura!$I$4:$K$500,3,0)</f>
        <v>FI-993</v>
      </c>
      <c r="AA207" s="118" t="str">
        <f>+VLOOKUP(Agencia[[#This Row],[Muestra]],Estructura!$M$4:$O$500,3,0)</f>
        <v>M-1008</v>
      </c>
    </row>
    <row r="208" spans="1:27" ht="57.6" x14ac:dyDescent="0.3">
      <c r="A208" s="21" t="s">
        <v>645</v>
      </c>
      <c r="B208" s="24">
        <f t="shared" ref="B208:D208" si="161">+B207</f>
        <v>990</v>
      </c>
      <c r="C208" s="25" t="str">
        <f t="shared" si="161"/>
        <v>Agencia Información</v>
      </c>
      <c r="D208" s="25" t="str">
        <f t="shared" si="161"/>
        <v>Mujeres</v>
      </c>
      <c r="E208" s="19">
        <v>16</v>
      </c>
      <c r="F208" s="10" t="s">
        <v>823</v>
      </c>
      <c r="G208" s="10" t="s">
        <v>3762</v>
      </c>
      <c r="H208" s="35" t="s">
        <v>16</v>
      </c>
      <c r="I208" s="36" t="s">
        <v>383</v>
      </c>
      <c r="J208" s="9" t="str">
        <f t="shared" si="124"/>
        <v>Ninguno</v>
      </c>
      <c r="K208" s="9" t="str">
        <f t="shared" si="125"/>
        <v>Casos de VIF por región</v>
      </c>
      <c r="L208" s="9" t="str">
        <f t="shared" si="126"/>
        <v>Periodo 2019-2021</v>
      </c>
      <c r="M208" s="9" t="str">
        <f t="shared" si="127"/>
        <v>Número de Casos</v>
      </c>
      <c r="N208" s="9" t="str">
        <f t="shared" si="128"/>
        <v>Fiscalía Nacional</v>
      </c>
      <c r="O208" s="20" t="str">
        <f>"Evolución trimestral de Casos de Violencia Intrafamiliar presentados frente a la Fiscalía Nacional en la "&amp;Agencia[[#This Row],[territorio]]</f>
        <v>Evolución trimestral de Casos de Violencia Intrafamiliar presentados frente a la Fiscalía Nacional en la Región de Ñuble</v>
      </c>
      <c r="P208" s="20"/>
      <c r="Q208" s="11" t="str">
        <f t="shared" si="121"/>
        <v>Gráfico de Evolución</v>
      </c>
      <c r="R208" s="87" t="str">
        <f>Agencia[[#This Row],[territorio]]&amp;" violencia intrafamiliar VIF casos fiscalía mujeres hombres año regional"</f>
        <v>Región de Ñuble violencia intrafamiliar VIF casos fiscalía mujeres hombres año regional</v>
      </c>
      <c r="S208" s="41" t="str">
        <f>HYPERLINK("https://analytics.zoho.com/open-view/2395394000007782059?ZOHO_CRITERIA=%22Trasposicion_27.4%22.%22Cod_Regi%C3%B3n%22%3D"&amp;Agencia[[#This Row],[Filtro URL]])</f>
        <v>https://analytics.zoho.com/open-view/2395394000007782059?ZOHO_CRITERIA=%22Trasposicion_27.4%22.%22Cod_Regi%C3%B3n%22%3D16</v>
      </c>
      <c r="T208" s="68" t="str">
        <f>"100-R-"&amp;Agencia[[#This Row],[Filtro URL]]</f>
        <v>100-R-16</v>
      </c>
      <c r="U208" s="50" t="str">
        <f t="shared" si="130"/>
        <v>#1774B9</v>
      </c>
      <c r="V208" s="118" t="str">
        <f>+Agencia[[#This Row],[idcoleccion]]&amp;"-"&amp;Agencia[[#This Row],[id]]</f>
        <v>990-0197</v>
      </c>
      <c r="W208" s="118">
        <f>+VLOOKUP(Agencia[[#This Row],[Filtro URL]],Estructura!$X$4:$Y$500,2,0)</f>
        <v>99200016</v>
      </c>
      <c r="X208" s="118" t="str">
        <f>+VLOOKUP(Agencia[[#This Row],[tema]],Estructura!$A$4:$C$500,3,0)</f>
        <v>T-1034</v>
      </c>
      <c r="Y208" s="118" t="str">
        <f>+VLOOKUP(Agencia[[#This Row],[contenido]],Estructura!$E$4:$G$500,3,0)</f>
        <v>C-996</v>
      </c>
      <c r="Z208" s="118" t="str">
        <f>+VLOOKUP(Agencia[[#This Row],[Filtro Integrado]],Estructura!$I$4:$K$500,3,0)</f>
        <v>FI-993</v>
      </c>
      <c r="AA208" s="118" t="str">
        <f>+VLOOKUP(Agencia[[#This Row],[Muestra]],Estructura!$M$4:$O$500,3,0)</f>
        <v>M-1008</v>
      </c>
    </row>
    <row r="209" spans="1:27" ht="81.599999999999994" x14ac:dyDescent="0.3">
      <c r="A209" s="21" t="s">
        <v>646</v>
      </c>
      <c r="B209" s="24">
        <f t="shared" ref="B209:D209" si="162">+B208</f>
        <v>990</v>
      </c>
      <c r="C209" s="25" t="str">
        <f t="shared" si="162"/>
        <v>Agencia Información</v>
      </c>
      <c r="D209" s="25" t="str">
        <f t="shared" si="162"/>
        <v>Mujeres</v>
      </c>
      <c r="E209" s="14">
        <v>0</v>
      </c>
      <c r="F209" s="10" t="s">
        <v>823</v>
      </c>
      <c r="G209" s="10" t="s">
        <v>3762</v>
      </c>
      <c r="H209" s="33" t="s">
        <v>20</v>
      </c>
      <c r="I209" s="34" t="s">
        <v>15</v>
      </c>
      <c r="J209" s="38" t="s">
        <v>16</v>
      </c>
      <c r="K209" s="9" t="s">
        <v>853</v>
      </c>
      <c r="L209" s="9" t="s">
        <v>576</v>
      </c>
      <c r="M209" s="9" t="s">
        <v>461</v>
      </c>
      <c r="N209" s="9" t="s">
        <v>459</v>
      </c>
      <c r="O209" s="20" t="str">
        <f>"Cantidad de Denuncias por Violencia Intrafamiliar hacia la mujer, acumuladas en el "&amp;L209</f>
        <v>Cantidad de Denuncias por Violencia Intrafamiliar hacia la mujer, acumuladas en el Periodo 2020-2021</v>
      </c>
      <c r="P209" s="20" t="s">
        <v>830</v>
      </c>
      <c r="Q209" s="11" t="s">
        <v>831</v>
      </c>
      <c r="R209" s="20" t="str">
        <f>Agencia[[#This Row],[territorio]]&amp;" comunal VIF violencia intrafamiliar denuncias CEAD mujer"</f>
        <v>Chile comunal VIF violencia intrafamiliar denuncias CEAD mujer</v>
      </c>
      <c r="S209" s="41" t="s">
        <v>835</v>
      </c>
      <c r="T209" s="68" t="s">
        <v>1033</v>
      </c>
      <c r="U209" s="50" t="str">
        <f t="shared" si="130"/>
        <v>#1774B9</v>
      </c>
      <c r="V209" s="118" t="str">
        <f>+Agencia[[#This Row],[idcoleccion]]&amp;"-"&amp;Agencia[[#This Row],[id]]</f>
        <v>990-0198</v>
      </c>
      <c r="W209" s="118">
        <f>+VLOOKUP(Agencia[[#This Row],[Filtro URL]],Estructura!$X$4:$Y$500,2,0)</f>
        <v>99100000</v>
      </c>
      <c r="X209" s="118" t="str">
        <f>+VLOOKUP(Agencia[[#This Row],[tema]],Estructura!$A$4:$C$500,3,0)</f>
        <v>T-1034</v>
      </c>
      <c r="Y209" s="118" t="str">
        <f>+VLOOKUP(Agencia[[#This Row],[contenido]],Estructura!$E$4:$G$500,3,0)</f>
        <v>C-996</v>
      </c>
      <c r="Z209" s="118" t="str">
        <f>+VLOOKUP(Agencia[[#This Row],[Filtro Integrado]],Estructura!$I$4:$K$500,3,0)</f>
        <v>FI-992</v>
      </c>
      <c r="AA209" s="118" t="str">
        <f>+VLOOKUP(Agencia[[#This Row],[Muestra]],Estructura!$M$4:$O$500,3,0)</f>
        <v>M-1009</v>
      </c>
    </row>
    <row r="210" spans="1:27" ht="57.6" x14ac:dyDescent="0.3">
      <c r="A210" s="21" t="s">
        <v>647</v>
      </c>
      <c r="B210" s="24">
        <f t="shared" ref="B210:D210" si="163">+B209</f>
        <v>990</v>
      </c>
      <c r="C210" s="25" t="str">
        <f t="shared" si="163"/>
        <v>Agencia Información</v>
      </c>
      <c r="D210" s="25" t="str">
        <f t="shared" si="163"/>
        <v>Mujeres</v>
      </c>
      <c r="E210" s="19">
        <v>1</v>
      </c>
      <c r="F210" s="10" t="s">
        <v>823</v>
      </c>
      <c r="G210" s="10" t="s">
        <v>3762</v>
      </c>
      <c r="H210" s="35" t="s">
        <v>16</v>
      </c>
      <c r="I210" s="36" t="s">
        <v>368</v>
      </c>
      <c r="J210" s="38" t="s">
        <v>404</v>
      </c>
      <c r="K210" s="9" t="str">
        <f t="shared" si="125"/>
        <v>Casos de VIF por comuna</v>
      </c>
      <c r="L210" s="9" t="str">
        <f t="shared" si="126"/>
        <v>Periodo 2020-2021</v>
      </c>
      <c r="M210" s="9" t="str">
        <f t="shared" si="127"/>
        <v>Número de Denuncias</v>
      </c>
      <c r="N210" s="9" t="str">
        <f>+N209</f>
        <v>Centro de Estudios y Análisis del Delito (CEAD) de la Subsecretaría de Prevención del Delito</v>
      </c>
      <c r="O210" s="20" t="str">
        <f>"Cantidad de Denuncias por Violencia Intrafamiliar hacia la mujer, en la "&amp;Agencia[[#This Row],[territorio]] &amp;", acumuladas en el "&amp;Agencia[[#This Row],[temporalidad]]</f>
        <v>Cantidad de Denuncias por Violencia Intrafamiliar hacia la mujer, en la Región de Tarapacá, acumuladas en el Periodo 2020-2021</v>
      </c>
      <c r="P210" s="20"/>
      <c r="Q210" s="11" t="str">
        <f t="shared" si="121"/>
        <v>Mapa de calor</v>
      </c>
      <c r="R210" s="20" t="str">
        <f>Agencia[[#This Row],[territorio]]&amp;" comunal VIF violencia intrafamiliar denuncias CEAD mujer"</f>
        <v>Región de Tarapacá comunal VIF violencia intrafamiliar denuncias CEAD mujer</v>
      </c>
      <c r="S210" s="41" t="str">
        <f>HYPERLINK("https://analytics.zoho.com/open-view/2395394000007782100?ZOHO_CRITERIA=%22Localiza%20CL%22.%22Codreg%22%3D"&amp;Agencia[[#This Row],[Filtro URL]])</f>
        <v>https://analytics.zoho.com/open-view/2395394000007782100?ZOHO_CRITERIA=%22Localiza%20CL%22.%22Codreg%22%3D1</v>
      </c>
      <c r="T210" s="69" t="str">
        <f>"100-C-"&amp;Agencia[[#This Row],[Filtro URL]]</f>
        <v>100-C-1</v>
      </c>
      <c r="U210" s="50" t="str">
        <f t="shared" ref="U210:U241" si="164">+U209</f>
        <v>#1774B9</v>
      </c>
      <c r="V210" s="118" t="str">
        <f>+Agencia[[#This Row],[idcoleccion]]&amp;"-"&amp;Agencia[[#This Row],[id]]</f>
        <v>990-0199</v>
      </c>
      <c r="W210" s="118">
        <f>+VLOOKUP(Agencia[[#This Row],[Filtro URL]],Estructura!$X$4:$Y$500,2,0)</f>
        <v>99200001</v>
      </c>
      <c r="X210" s="118" t="str">
        <f>+VLOOKUP(Agencia[[#This Row],[tema]],Estructura!$A$4:$C$500,3,0)</f>
        <v>T-1034</v>
      </c>
      <c r="Y210" s="118" t="str">
        <f>+VLOOKUP(Agencia[[#This Row],[contenido]],Estructura!$E$4:$G$500,3,0)</f>
        <v>C-996</v>
      </c>
      <c r="Z210" s="118" t="str">
        <f>+VLOOKUP(Agencia[[#This Row],[Filtro Integrado]],Estructura!$I$4:$K$500,3,0)</f>
        <v>FI-993</v>
      </c>
      <c r="AA210" s="118" t="str">
        <f>+VLOOKUP(Agencia[[#This Row],[Muestra]],Estructura!$M$4:$O$500,3,0)</f>
        <v>M-1009</v>
      </c>
    </row>
    <row r="211" spans="1:27" ht="57.6" x14ac:dyDescent="0.3">
      <c r="A211" s="21" t="s">
        <v>648</v>
      </c>
      <c r="B211" s="24">
        <f t="shared" ref="B211:D211" si="165">+B210</f>
        <v>990</v>
      </c>
      <c r="C211" s="25" t="str">
        <f t="shared" si="165"/>
        <v>Agencia Información</v>
      </c>
      <c r="D211" s="25" t="str">
        <f t="shared" si="165"/>
        <v>Mujeres</v>
      </c>
      <c r="E211" s="19">
        <v>2</v>
      </c>
      <c r="F211" s="10" t="s">
        <v>823</v>
      </c>
      <c r="G211" s="10" t="s">
        <v>3762</v>
      </c>
      <c r="H211" s="35" t="s">
        <v>16</v>
      </c>
      <c r="I211" s="36" t="s">
        <v>369</v>
      </c>
      <c r="J211" s="38" t="str">
        <f t="shared" si="124"/>
        <v>Ninguno</v>
      </c>
      <c r="K211" s="9" t="str">
        <f t="shared" si="125"/>
        <v>Casos de VIF por comuna</v>
      </c>
      <c r="L211" s="9" t="str">
        <f t="shared" si="126"/>
        <v>Periodo 2020-2021</v>
      </c>
      <c r="M211" s="9" t="str">
        <f t="shared" si="127"/>
        <v>Número de Denuncias</v>
      </c>
      <c r="N211" s="9" t="str">
        <f t="shared" si="128"/>
        <v>Centro de Estudios y Análisis del Delito (CEAD) de la Subsecretaría de Prevención del Delito</v>
      </c>
      <c r="O211" s="20" t="str">
        <f>"Sentencias Dictadas por delitos de Abuso Sexual en la "&amp;Agencia[[#This Row],[territorio]]&amp;" para el "&amp;Agencia[[#This Row],[temporalidad]]</f>
        <v>Sentencias Dictadas por delitos de Abuso Sexual en la Región de Antofagasta para el Periodo 2020-2021</v>
      </c>
      <c r="P211" s="20"/>
      <c r="Q211" s="11" t="str">
        <f t="shared" si="121"/>
        <v>Mapa de calor</v>
      </c>
      <c r="R211" s="20" t="str">
        <f>Agencia[[#This Row],[territorio]]&amp;" comunal VIF violencia intrafamiliar denuncias CEAD mujer"</f>
        <v>Región de Antofagasta comunal VIF violencia intrafamiliar denuncias CEAD mujer</v>
      </c>
      <c r="S211" s="41" t="str">
        <f>HYPERLINK("https://analytics.zoho.com/open-view/2395394000007782100?ZOHO_CRITERIA=%22Localiza%20CL%22.%22Codreg%22%3D"&amp;Agencia[[#This Row],[Filtro URL]])</f>
        <v>https://analytics.zoho.com/open-view/2395394000007782100?ZOHO_CRITERIA=%22Localiza%20CL%22.%22Codreg%22%3D2</v>
      </c>
      <c r="T211" s="69" t="str">
        <f>"100-C-"&amp;Agencia[[#This Row],[Filtro URL]]</f>
        <v>100-C-2</v>
      </c>
      <c r="U211" s="50" t="str">
        <f t="shared" si="164"/>
        <v>#1774B9</v>
      </c>
      <c r="V211" s="118" t="str">
        <f>+Agencia[[#This Row],[idcoleccion]]&amp;"-"&amp;Agencia[[#This Row],[id]]</f>
        <v>990-0200</v>
      </c>
      <c r="W211" s="118">
        <f>+VLOOKUP(Agencia[[#This Row],[Filtro URL]],Estructura!$X$4:$Y$500,2,0)</f>
        <v>99200002</v>
      </c>
      <c r="X211" s="118" t="str">
        <f>+VLOOKUP(Agencia[[#This Row],[tema]],Estructura!$A$4:$C$500,3,0)</f>
        <v>T-1034</v>
      </c>
      <c r="Y211" s="118" t="str">
        <f>+VLOOKUP(Agencia[[#This Row],[contenido]],Estructura!$E$4:$G$500,3,0)</f>
        <v>C-996</v>
      </c>
      <c r="Z211" s="118" t="str">
        <f>+VLOOKUP(Agencia[[#This Row],[Filtro Integrado]],Estructura!$I$4:$K$500,3,0)</f>
        <v>FI-993</v>
      </c>
      <c r="AA211" s="118" t="str">
        <f>+VLOOKUP(Agencia[[#This Row],[Muestra]],Estructura!$M$4:$O$500,3,0)</f>
        <v>M-1009</v>
      </c>
    </row>
    <row r="212" spans="1:27" ht="57.6" x14ac:dyDescent="0.3">
      <c r="A212" s="21" t="s">
        <v>649</v>
      </c>
      <c r="B212" s="24">
        <f t="shared" ref="B212:D212" si="166">+B211</f>
        <v>990</v>
      </c>
      <c r="C212" s="25" t="str">
        <f t="shared" si="166"/>
        <v>Agencia Información</v>
      </c>
      <c r="D212" s="25" t="str">
        <f t="shared" si="166"/>
        <v>Mujeres</v>
      </c>
      <c r="E212" s="19">
        <v>3</v>
      </c>
      <c r="F212" s="10" t="s">
        <v>823</v>
      </c>
      <c r="G212" s="10" t="s">
        <v>3762</v>
      </c>
      <c r="H212" s="35" t="s">
        <v>16</v>
      </c>
      <c r="I212" s="36" t="s">
        <v>370</v>
      </c>
      <c r="J212" s="38" t="str">
        <f t="shared" si="124"/>
        <v>Ninguno</v>
      </c>
      <c r="K212" s="9" t="str">
        <f t="shared" si="125"/>
        <v>Casos de VIF por comuna</v>
      </c>
      <c r="L212" s="9" t="str">
        <f t="shared" si="126"/>
        <v>Periodo 2020-2021</v>
      </c>
      <c r="M212" s="9" t="str">
        <f t="shared" si="127"/>
        <v>Número de Denuncias</v>
      </c>
      <c r="N212" s="9" t="str">
        <f t="shared" si="128"/>
        <v>Centro de Estudios y Análisis del Delito (CEAD) de la Subsecretaría de Prevención del Delito</v>
      </c>
      <c r="O212" s="20" t="str">
        <f>"Sentencias Dictadas por delitos de Abuso Sexual en la "&amp;Agencia[[#This Row],[territorio]]&amp;" para el "&amp;Agencia[[#This Row],[temporalidad]]</f>
        <v>Sentencias Dictadas por delitos de Abuso Sexual en la Región de Atacama para el Periodo 2020-2021</v>
      </c>
      <c r="P212" s="20"/>
      <c r="Q212" s="11" t="str">
        <f t="shared" si="121"/>
        <v>Mapa de calor</v>
      </c>
      <c r="R212" s="20" t="str">
        <f>Agencia[[#This Row],[territorio]]&amp;" comunal VIF violencia intrafamiliar denuncias CEAD mujer"</f>
        <v>Región de Atacama comunal VIF violencia intrafamiliar denuncias CEAD mujer</v>
      </c>
      <c r="S212" s="41" t="str">
        <f>HYPERLINK("https://analytics.zoho.com/open-view/2395394000007782100?ZOHO_CRITERIA=%22Localiza%20CL%22.%22Codreg%22%3D"&amp;Agencia[[#This Row],[Filtro URL]])</f>
        <v>https://analytics.zoho.com/open-view/2395394000007782100?ZOHO_CRITERIA=%22Localiza%20CL%22.%22Codreg%22%3D3</v>
      </c>
      <c r="T212" s="69" t="str">
        <f>"100-C-"&amp;Agencia[[#This Row],[Filtro URL]]</f>
        <v>100-C-3</v>
      </c>
      <c r="U212" s="50" t="str">
        <f t="shared" si="164"/>
        <v>#1774B9</v>
      </c>
      <c r="V212" s="118" t="str">
        <f>+Agencia[[#This Row],[idcoleccion]]&amp;"-"&amp;Agencia[[#This Row],[id]]</f>
        <v>990-0201</v>
      </c>
      <c r="W212" s="118">
        <f>+VLOOKUP(Agencia[[#This Row],[Filtro URL]],Estructura!$X$4:$Y$500,2,0)</f>
        <v>99200003</v>
      </c>
      <c r="X212" s="118" t="str">
        <f>+VLOOKUP(Agencia[[#This Row],[tema]],Estructura!$A$4:$C$500,3,0)</f>
        <v>T-1034</v>
      </c>
      <c r="Y212" s="118" t="str">
        <f>+VLOOKUP(Agencia[[#This Row],[contenido]],Estructura!$E$4:$G$500,3,0)</f>
        <v>C-996</v>
      </c>
      <c r="Z212" s="118" t="str">
        <f>+VLOOKUP(Agencia[[#This Row],[Filtro Integrado]],Estructura!$I$4:$K$500,3,0)</f>
        <v>FI-993</v>
      </c>
      <c r="AA212" s="118" t="str">
        <f>+VLOOKUP(Agencia[[#This Row],[Muestra]],Estructura!$M$4:$O$500,3,0)</f>
        <v>M-1009</v>
      </c>
    </row>
    <row r="213" spans="1:27" ht="57.6" x14ac:dyDescent="0.3">
      <c r="A213" s="21" t="s">
        <v>650</v>
      </c>
      <c r="B213" s="24">
        <f t="shared" ref="B213:D213" si="167">+B212</f>
        <v>990</v>
      </c>
      <c r="C213" s="25" t="str">
        <f t="shared" si="167"/>
        <v>Agencia Información</v>
      </c>
      <c r="D213" s="25" t="str">
        <f t="shared" si="167"/>
        <v>Mujeres</v>
      </c>
      <c r="E213" s="19">
        <v>4</v>
      </c>
      <c r="F213" s="10" t="s">
        <v>823</v>
      </c>
      <c r="G213" s="10" t="s">
        <v>3762</v>
      </c>
      <c r="H213" s="35" t="s">
        <v>16</v>
      </c>
      <c r="I213" s="36" t="s">
        <v>371</v>
      </c>
      <c r="J213" s="38" t="str">
        <f t="shared" si="124"/>
        <v>Ninguno</v>
      </c>
      <c r="K213" s="9" t="str">
        <f t="shared" si="125"/>
        <v>Casos de VIF por comuna</v>
      </c>
      <c r="L213" s="9" t="str">
        <f t="shared" si="126"/>
        <v>Periodo 2020-2021</v>
      </c>
      <c r="M213" s="9" t="str">
        <f t="shared" si="127"/>
        <v>Número de Denuncias</v>
      </c>
      <c r="N213" s="9" t="str">
        <f t="shared" si="128"/>
        <v>Centro de Estudios y Análisis del Delito (CEAD) de la Subsecretaría de Prevención del Delito</v>
      </c>
      <c r="O213" s="20" t="str">
        <f>"Sentencias Dictadas por delitos de Abuso Sexual en la "&amp;Agencia[[#This Row],[territorio]]&amp;" para el "&amp;Agencia[[#This Row],[temporalidad]]</f>
        <v>Sentencias Dictadas por delitos de Abuso Sexual en la Región de Coquimbo para el Periodo 2020-2021</v>
      </c>
      <c r="P213" s="20"/>
      <c r="Q213" s="11" t="str">
        <f t="shared" si="121"/>
        <v>Mapa de calor</v>
      </c>
      <c r="R213" s="20" t="str">
        <f>Agencia[[#This Row],[territorio]]&amp;" comunal VIF violencia intrafamiliar denuncias CEAD mujer"</f>
        <v>Región de Coquimbo comunal VIF violencia intrafamiliar denuncias CEAD mujer</v>
      </c>
      <c r="S213" s="41" t="str">
        <f>HYPERLINK("https://analytics.zoho.com/open-view/2395394000007782100?ZOHO_CRITERIA=%22Localiza%20CL%22.%22Codreg%22%3D"&amp;Agencia[[#This Row],[Filtro URL]])</f>
        <v>https://analytics.zoho.com/open-view/2395394000007782100?ZOHO_CRITERIA=%22Localiza%20CL%22.%22Codreg%22%3D4</v>
      </c>
      <c r="T213" s="69" t="str">
        <f>"100-C-"&amp;Agencia[[#This Row],[Filtro URL]]</f>
        <v>100-C-4</v>
      </c>
      <c r="U213" s="50" t="str">
        <f t="shared" si="164"/>
        <v>#1774B9</v>
      </c>
      <c r="V213" s="118" t="str">
        <f>+Agencia[[#This Row],[idcoleccion]]&amp;"-"&amp;Agencia[[#This Row],[id]]</f>
        <v>990-0202</v>
      </c>
      <c r="W213" s="118">
        <f>+VLOOKUP(Agencia[[#This Row],[Filtro URL]],Estructura!$X$4:$Y$500,2,0)</f>
        <v>99200004</v>
      </c>
      <c r="X213" s="118" t="str">
        <f>+VLOOKUP(Agencia[[#This Row],[tema]],Estructura!$A$4:$C$500,3,0)</f>
        <v>T-1034</v>
      </c>
      <c r="Y213" s="118" t="str">
        <f>+VLOOKUP(Agencia[[#This Row],[contenido]],Estructura!$E$4:$G$500,3,0)</f>
        <v>C-996</v>
      </c>
      <c r="Z213" s="118" t="str">
        <f>+VLOOKUP(Agencia[[#This Row],[Filtro Integrado]],Estructura!$I$4:$K$500,3,0)</f>
        <v>FI-993</v>
      </c>
      <c r="AA213" s="118" t="str">
        <f>+VLOOKUP(Agencia[[#This Row],[Muestra]],Estructura!$M$4:$O$500,3,0)</f>
        <v>M-1009</v>
      </c>
    </row>
    <row r="214" spans="1:27" ht="57.6" x14ac:dyDescent="0.3">
      <c r="A214" s="21" t="s">
        <v>651</v>
      </c>
      <c r="B214" s="24">
        <f t="shared" ref="B214:D214" si="168">+B213</f>
        <v>990</v>
      </c>
      <c r="C214" s="25" t="str">
        <f t="shared" si="168"/>
        <v>Agencia Información</v>
      </c>
      <c r="D214" s="25" t="str">
        <f t="shared" si="168"/>
        <v>Mujeres</v>
      </c>
      <c r="E214" s="19">
        <v>5</v>
      </c>
      <c r="F214" s="10" t="s">
        <v>823</v>
      </c>
      <c r="G214" s="10" t="s">
        <v>3762</v>
      </c>
      <c r="H214" s="35" t="s">
        <v>16</v>
      </c>
      <c r="I214" s="36" t="s">
        <v>372</v>
      </c>
      <c r="J214" s="38" t="str">
        <f t="shared" si="124"/>
        <v>Ninguno</v>
      </c>
      <c r="K214" s="9" t="str">
        <f t="shared" si="125"/>
        <v>Casos de VIF por comuna</v>
      </c>
      <c r="L214" s="9" t="str">
        <f t="shared" si="126"/>
        <v>Periodo 2020-2021</v>
      </c>
      <c r="M214" s="9" t="str">
        <f t="shared" si="127"/>
        <v>Número de Denuncias</v>
      </c>
      <c r="N214" s="9" t="str">
        <f t="shared" si="128"/>
        <v>Centro de Estudios y Análisis del Delito (CEAD) de la Subsecretaría de Prevención del Delito</v>
      </c>
      <c r="O214" s="20" t="str">
        <f>"Sentencias Dictadas por delitos de Abuso Sexual en la "&amp;Agencia[[#This Row],[territorio]]&amp;" para el "&amp;Agencia[[#This Row],[temporalidad]]</f>
        <v>Sentencias Dictadas por delitos de Abuso Sexual en la Región de Valparaíso para el Periodo 2020-2021</v>
      </c>
      <c r="P214" s="20"/>
      <c r="Q214" s="11" t="str">
        <f t="shared" si="121"/>
        <v>Mapa de calor</v>
      </c>
      <c r="R214" s="20" t="str">
        <f>Agencia[[#This Row],[territorio]]&amp;" comunal VIF violencia intrafamiliar denuncias CEAD mujer"</f>
        <v>Región de Valparaíso comunal VIF violencia intrafamiliar denuncias CEAD mujer</v>
      </c>
      <c r="S214" s="41" t="str">
        <f>HYPERLINK("https://analytics.zoho.com/open-view/2395394000007782100?ZOHO_CRITERIA=%22Localiza%20CL%22.%22Codreg%22%3D"&amp;Agencia[[#This Row],[Filtro URL]])</f>
        <v>https://analytics.zoho.com/open-view/2395394000007782100?ZOHO_CRITERIA=%22Localiza%20CL%22.%22Codreg%22%3D5</v>
      </c>
      <c r="T214" s="69" t="str">
        <f>"100-C-"&amp;Agencia[[#This Row],[Filtro URL]]</f>
        <v>100-C-5</v>
      </c>
      <c r="U214" s="50" t="str">
        <f t="shared" si="164"/>
        <v>#1774B9</v>
      </c>
      <c r="V214" s="118" t="str">
        <f>+Agencia[[#This Row],[idcoleccion]]&amp;"-"&amp;Agencia[[#This Row],[id]]</f>
        <v>990-0203</v>
      </c>
      <c r="W214" s="118">
        <f>+VLOOKUP(Agencia[[#This Row],[Filtro URL]],Estructura!$X$4:$Y$500,2,0)</f>
        <v>99200005</v>
      </c>
      <c r="X214" s="118" t="str">
        <f>+VLOOKUP(Agencia[[#This Row],[tema]],Estructura!$A$4:$C$500,3,0)</f>
        <v>T-1034</v>
      </c>
      <c r="Y214" s="118" t="str">
        <f>+VLOOKUP(Agencia[[#This Row],[contenido]],Estructura!$E$4:$G$500,3,0)</f>
        <v>C-996</v>
      </c>
      <c r="Z214" s="118" t="str">
        <f>+VLOOKUP(Agencia[[#This Row],[Filtro Integrado]],Estructura!$I$4:$K$500,3,0)</f>
        <v>FI-993</v>
      </c>
      <c r="AA214" s="118" t="str">
        <f>+VLOOKUP(Agencia[[#This Row],[Muestra]],Estructura!$M$4:$O$500,3,0)</f>
        <v>M-1009</v>
      </c>
    </row>
    <row r="215" spans="1:27" ht="57.6" x14ac:dyDescent="0.3">
      <c r="A215" s="21" t="s">
        <v>652</v>
      </c>
      <c r="B215" s="24">
        <f t="shared" ref="B215:D215" si="169">+B214</f>
        <v>990</v>
      </c>
      <c r="C215" s="25" t="str">
        <f t="shared" si="169"/>
        <v>Agencia Información</v>
      </c>
      <c r="D215" s="25" t="str">
        <f t="shared" si="169"/>
        <v>Mujeres</v>
      </c>
      <c r="E215" s="19">
        <v>6</v>
      </c>
      <c r="F215" s="10" t="s">
        <v>823</v>
      </c>
      <c r="G215" s="10" t="s">
        <v>3762</v>
      </c>
      <c r="H215" s="35" t="s">
        <v>16</v>
      </c>
      <c r="I215" s="36" t="s">
        <v>373</v>
      </c>
      <c r="J215" s="38" t="str">
        <f t="shared" si="124"/>
        <v>Ninguno</v>
      </c>
      <c r="K215" s="9" t="str">
        <f t="shared" si="125"/>
        <v>Casos de VIF por comuna</v>
      </c>
      <c r="L215" s="9" t="str">
        <f t="shared" si="126"/>
        <v>Periodo 2020-2021</v>
      </c>
      <c r="M215" s="9" t="str">
        <f t="shared" si="127"/>
        <v>Número de Denuncias</v>
      </c>
      <c r="N215" s="9" t="str">
        <f t="shared" si="128"/>
        <v>Centro de Estudios y Análisis del Delito (CEAD) de la Subsecretaría de Prevención del Delito</v>
      </c>
      <c r="O215" s="20" t="str">
        <f>"Sentencias Dictadas por delitos de Abuso Sexual en la "&amp;Agencia[[#This Row],[territorio]]&amp;" para el "&amp;Agencia[[#This Row],[temporalidad]]</f>
        <v>Sentencias Dictadas por delitos de Abuso Sexual en la Región de O'Higgins para el Periodo 2020-2021</v>
      </c>
      <c r="P215" s="20"/>
      <c r="Q215" s="11" t="str">
        <f t="shared" si="121"/>
        <v>Mapa de calor</v>
      </c>
      <c r="R215" s="20" t="str">
        <f>Agencia[[#This Row],[territorio]]&amp;" comunal VIF violencia intrafamiliar denuncias CEAD mujer"</f>
        <v>Región de O'Higgins comunal VIF violencia intrafamiliar denuncias CEAD mujer</v>
      </c>
      <c r="S215" s="41" t="str">
        <f>HYPERLINK("https://analytics.zoho.com/open-view/2395394000007782100?ZOHO_CRITERIA=%22Localiza%20CL%22.%22Codreg%22%3D"&amp;Agencia[[#This Row],[Filtro URL]])</f>
        <v>https://analytics.zoho.com/open-view/2395394000007782100?ZOHO_CRITERIA=%22Localiza%20CL%22.%22Codreg%22%3D6</v>
      </c>
      <c r="T215" s="69" t="str">
        <f>"100-C-"&amp;Agencia[[#This Row],[Filtro URL]]</f>
        <v>100-C-6</v>
      </c>
      <c r="U215" s="50" t="str">
        <f t="shared" si="164"/>
        <v>#1774B9</v>
      </c>
      <c r="V215" s="118" t="str">
        <f>+Agencia[[#This Row],[idcoleccion]]&amp;"-"&amp;Agencia[[#This Row],[id]]</f>
        <v>990-0204</v>
      </c>
      <c r="W215" s="118">
        <f>+VLOOKUP(Agencia[[#This Row],[Filtro URL]],Estructura!$X$4:$Y$500,2,0)</f>
        <v>99200006</v>
      </c>
      <c r="X215" s="118" t="str">
        <f>+VLOOKUP(Agencia[[#This Row],[tema]],Estructura!$A$4:$C$500,3,0)</f>
        <v>T-1034</v>
      </c>
      <c r="Y215" s="118" t="str">
        <f>+VLOOKUP(Agencia[[#This Row],[contenido]],Estructura!$E$4:$G$500,3,0)</f>
        <v>C-996</v>
      </c>
      <c r="Z215" s="118" t="str">
        <f>+VLOOKUP(Agencia[[#This Row],[Filtro Integrado]],Estructura!$I$4:$K$500,3,0)</f>
        <v>FI-993</v>
      </c>
      <c r="AA215" s="118" t="str">
        <f>+VLOOKUP(Agencia[[#This Row],[Muestra]],Estructura!$M$4:$O$500,3,0)</f>
        <v>M-1009</v>
      </c>
    </row>
    <row r="216" spans="1:27" ht="57.6" x14ac:dyDescent="0.3">
      <c r="A216" s="21" t="s">
        <v>653</v>
      </c>
      <c r="B216" s="24">
        <f t="shared" ref="B216:D216" si="170">+B215</f>
        <v>990</v>
      </c>
      <c r="C216" s="25" t="str">
        <f t="shared" si="170"/>
        <v>Agencia Información</v>
      </c>
      <c r="D216" s="25" t="str">
        <f t="shared" si="170"/>
        <v>Mujeres</v>
      </c>
      <c r="E216" s="19">
        <v>7</v>
      </c>
      <c r="F216" s="10" t="s">
        <v>823</v>
      </c>
      <c r="G216" s="10" t="s">
        <v>3762</v>
      </c>
      <c r="H216" s="35" t="s">
        <v>16</v>
      </c>
      <c r="I216" s="36" t="s">
        <v>374</v>
      </c>
      <c r="J216" s="38" t="str">
        <f t="shared" si="124"/>
        <v>Ninguno</v>
      </c>
      <c r="K216" s="9" t="str">
        <f t="shared" si="125"/>
        <v>Casos de VIF por comuna</v>
      </c>
      <c r="L216" s="9" t="str">
        <f t="shared" si="126"/>
        <v>Periodo 2020-2021</v>
      </c>
      <c r="M216" s="9" t="str">
        <f t="shared" si="127"/>
        <v>Número de Denuncias</v>
      </c>
      <c r="N216" s="9" t="str">
        <f t="shared" si="128"/>
        <v>Centro de Estudios y Análisis del Delito (CEAD) de la Subsecretaría de Prevención del Delito</v>
      </c>
      <c r="O216" s="20" t="str">
        <f>"Sentencias Dictadas por delitos de Abuso Sexual en la "&amp;Agencia[[#This Row],[territorio]]&amp;" para el "&amp;Agencia[[#This Row],[temporalidad]]</f>
        <v>Sentencias Dictadas por delitos de Abuso Sexual en la Región de Maule para el Periodo 2020-2021</v>
      </c>
      <c r="P216" s="20"/>
      <c r="Q216" s="11" t="str">
        <f t="shared" si="121"/>
        <v>Mapa de calor</v>
      </c>
      <c r="R216" s="20" t="str">
        <f>Agencia[[#This Row],[territorio]]&amp;" comunal VIF violencia intrafamiliar denuncias CEAD mujer"</f>
        <v>Región de Maule comunal VIF violencia intrafamiliar denuncias CEAD mujer</v>
      </c>
      <c r="S216" s="41" t="str">
        <f>HYPERLINK("https://analytics.zoho.com/open-view/2395394000007782100?ZOHO_CRITERIA=%22Localiza%20CL%22.%22Codreg%22%3D"&amp;Agencia[[#This Row],[Filtro URL]])</f>
        <v>https://analytics.zoho.com/open-view/2395394000007782100?ZOHO_CRITERIA=%22Localiza%20CL%22.%22Codreg%22%3D7</v>
      </c>
      <c r="T216" s="69" t="str">
        <f>"100-C-"&amp;Agencia[[#This Row],[Filtro URL]]</f>
        <v>100-C-7</v>
      </c>
      <c r="U216" s="50" t="str">
        <f t="shared" si="164"/>
        <v>#1774B9</v>
      </c>
      <c r="V216" s="118" t="str">
        <f>+Agencia[[#This Row],[idcoleccion]]&amp;"-"&amp;Agencia[[#This Row],[id]]</f>
        <v>990-0205</v>
      </c>
      <c r="W216" s="118">
        <f>+VLOOKUP(Agencia[[#This Row],[Filtro URL]],Estructura!$X$4:$Y$500,2,0)</f>
        <v>99200007</v>
      </c>
      <c r="X216" s="118" t="str">
        <f>+VLOOKUP(Agencia[[#This Row],[tema]],Estructura!$A$4:$C$500,3,0)</f>
        <v>T-1034</v>
      </c>
      <c r="Y216" s="118" t="str">
        <f>+VLOOKUP(Agencia[[#This Row],[contenido]],Estructura!$E$4:$G$500,3,0)</f>
        <v>C-996</v>
      </c>
      <c r="Z216" s="118" t="str">
        <f>+VLOOKUP(Agencia[[#This Row],[Filtro Integrado]],Estructura!$I$4:$K$500,3,0)</f>
        <v>FI-993</v>
      </c>
      <c r="AA216" s="118" t="str">
        <f>+VLOOKUP(Agencia[[#This Row],[Muestra]],Estructura!$M$4:$O$500,3,0)</f>
        <v>M-1009</v>
      </c>
    </row>
    <row r="217" spans="1:27" ht="57.6" x14ac:dyDescent="0.3">
      <c r="A217" s="21" t="s">
        <v>654</v>
      </c>
      <c r="B217" s="24">
        <f t="shared" ref="B217:D217" si="171">+B216</f>
        <v>990</v>
      </c>
      <c r="C217" s="25" t="str">
        <f t="shared" si="171"/>
        <v>Agencia Información</v>
      </c>
      <c r="D217" s="25" t="str">
        <f t="shared" si="171"/>
        <v>Mujeres</v>
      </c>
      <c r="E217" s="19">
        <v>8</v>
      </c>
      <c r="F217" s="10" t="s">
        <v>823</v>
      </c>
      <c r="G217" s="10" t="s">
        <v>3762</v>
      </c>
      <c r="H217" s="35" t="s">
        <v>16</v>
      </c>
      <c r="I217" s="36" t="s">
        <v>375</v>
      </c>
      <c r="J217" s="38" t="str">
        <f t="shared" si="124"/>
        <v>Ninguno</v>
      </c>
      <c r="K217" s="9" t="str">
        <f t="shared" si="125"/>
        <v>Casos de VIF por comuna</v>
      </c>
      <c r="L217" s="9" t="str">
        <f t="shared" si="126"/>
        <v>Periodo 2020-2021</v>
      </c>
      <c r="M217" s="9" t="str">
        <f t="shared" si="127"/>
        <v>Número de Denuncias</v>
      </c>
      <c r="N217" s="9" t="str">
        <f t="shared" si="128"/>
        <v>Centro de Estudios y Análisis del Delito (CEAD) de la Subsecretaría de Prevención del Delito</v>
      </c>
      <c r="O217" s="20" t="str">
        <f>"Sentencias Dictadas por delitos de Abuso Sexual en la "&amp;Agencia[[#This Row],[territorio]]&amp;" para el "&amp;Agencia[[#This Row],[temporalidad]]</f>
        <v>Sentencias Dictadas por delitos de Abuso Sexual en la Región del Biobío para el Periodo 2020-2021</v>
      </c>
      <c r="P217" s="20"/>
      <c r="Q217" s="11" t="str">
        <f t="shared" si="121"/>
        <v>Mapa de calor</v>
      </c>
      <c r="R217" s="20" t="str">
        <f>Agencia[[#This Row],[territorio]]&amp;" comunal VIF violencia intrafamiliar denuncias CEAD mujer"</f>
        <v>Región del Biobío comunal VIF violencia intrafamiliar denuncias CEAD mujer</v>
      </c>
      <c r="S217" s="41" t="str">
        <f>HYPERLINK("https://analytics.zoho.com/open-view/2395394000007782100?ZOHO_CRITERIA=%22Localiza%20CL%22.%22Codreg%22%3D"&amp;Agencia[[#This Row],[Filtro URL]])</f>
        <v>https://analytics.zoho.com/open-view/2395394000007782100?ZOHO_CRITERIA=%22Localiza%20CL%22.%22Codreg%22%3D8</v>
      </c>
      <c r="T217" s="69" t="str">
        <f>"100-C-"&amp;Agencia[[#This Row],[Filtro URL]]</f>
        <v>100-C-8</v>
      </c>
      <c r="U217" s="50" t="str">
        <f t="shared" si="164"/>
        <v>#1774B9</v>
      </c>
      <c r="V217" s="118" t="str">
        <f>+Agencia[[#This Row],[idcoleccion]]&amp;"-"&amp;Agencia[[#This Row],[id]]</f>
        <v>990-0206</v>
      </c>
      <c r="W217" s="118">
        <f>+VLOOKUP(Agencia[[#This Row],[Filtro URL]],Estructura!$X$4:$Y$500,2,0)</f>
        <v>99200008</v>
      </c>
      <c r="X217" s="118" t="str">
        <f>+VLOOKUP(Agencia[[#This Row],[tema]],Estructura!$A$4:$C$500,3,0)</f>
        <v>T-1034</v>
      </c>
      <c r="Y217" s="118" t="str">
        <f>+VLOOKUP(Agencia[[#This Row],[contenido]],Estructura!$E$4:$G$500,3,0)</f>
        <v>C-996</v>
      </c>
      <c r="Z217" s="118" t="str">
        <f>+VLOOKUP(Agencia[[#This Row],[Filtro Integrado]],Estructura!$I$4:$K$500,3,0)</f>
        <v>FI-993</v>
      </c>
      <c r="AA217" s="118" t="str">
        <f>+VLOOKUP(Agencia[[#This Row],[Muestra]],Estructura!$M$4:$O$500,3,0)</f>
        <v>M-1009</v>
      </c>
    </row>
    <row r="218" spans="1:27" ht="57.6" x14ac:dyDescent="0.3">
      <c r="A218" s="21" t="s">
        <v>655</v>
      </c>
      <c r="B218" s="24">
        <f t="shared" ref="B218:D218" si="172">+B217</f>
        <v>990</v>
      </c>
      <c r="C218" s="25" t="str">
        <f t="shared" si="172"/>
        <v>Agencia Información</v>
      </c>
      <c r="D218" s="25" t="str">
        <f t="shared" si="172"/>
        <v>Mujeres</v>
      </c>
      <c r="E218" s="19">
        <v>9</v>
      </c>
      <c r="F218" s="10" t="s">
        <v>823</v>
      </c>
      <c r="G218" s="10" t="s">
        <v>3762</v>
      </c>
      <c r="H218" s="35" t="s">
        <v>16</v>
      </c>
      <c r="I218" s="36" t="s">
        <v>376</v>
      </c>
      <c r="J218" s="38" t="str">
        <f t="shared" si="124"/>
        <v>Ninguno</v>
      </c>
      <c r="K218" s="9" t="str">
        <f t="shared" si="125"/>
        <v>Casos de VIF por comuna</v>
      </c>
      <c r="L218" s="9" t="str">
        <f t="shared" si="126"/>
        <v>Periodo 2020-2021</v>
      </c>
      <c r="M218" s="9" t="str">
        <f t="shared" si="127"/>
        <v>Número de Denuncias</v>
      </c>
      <c r="N218" s="9" t="str">
        <f t="shared" si="128"/>
        <v>Centro de Estudios y Análisis del Delito (CEAD) de la Subsecretaría de Prevención del Delito</v>
      </c>
      <c r="O218" s="20" t="str">
        <f>"Sentencias Dictadas por delitos de Abuso Sexual en la "&amp;Agencia[[#This Row],[territorio]]&amp;" para el "&amp;Agencia[[#This Row],[temporalidad]]</f>
        <v>Sentencias Dictadas por delitos de Abuso Sexual en la Región de La Araucanía para el Periodo 2020-2021</v>
      </c>
      <c r="P218" s="20"/>
      <c r="Q218" s="11" t="str">
        <f t="shared" si="121"/>
        <v>Mapa de calor</v>
      </c>
      <c r="R218" s="20" t="str">
        <f>Agencia[[#This Row],[territorio]]&amp;" comunal VIF violencia intrafamiliar denuncias CEAD mujer"</f>
        <v>Región de La Araucanía comunal VIF violencia intrafamiliar denuncias CEAD mujer</v>
      </c>
      <c r="S218" s="41" t="str">
        <f>HYPERLINK("https://analytics.zoho.com/open-view/2395394000007782100?ZOHO_CRITERIA=%22Localiza%20CL%22.%22Codreg%22%3D"&amp;Agencia[[#This Row],[Filtro URL]])</f>
        <v>https://analytics.zoho.com/open-view/2395394000007782100?ZOHO_CRITERIA=%22Localiza%20CL%22.%22Codreg%22%3D9</v>
      </c>
      <c r="T218" s="69" t="str">
        <f>"100-C-"&amp;Agencia[[#This Row],[Filtro URL]]</f>
        <v>100-C-9</v>
      </c>
      <c r="U218" s="50" t="str">
        <f t="shared" si="164"/>
        <v>#1774B9</v>
      </c>
      <c r="V218" s="118" t="str">
        <f>+Agencia[[#This Row],[idcoleccion]]&amp;"-"&amp;Agencia[[#This Row],[id]]</f>
        <v>990-0207</v>
      </c>
      <c r="W218" s="118">
        <f>+VLOOKUP(Agencia[[#This Row],[Filtro URL]],Estructura!$X$4:$Y$500,2,0)</f>
        <v>99200009</v>
      </c>
      <c r="X218" s="118" t="str">
        <f>+VLOOKUP(Agencia[[#This Row],[tema]],Estructura!$A$4:$C$500,3,0)</f>
        <v>T-1034</v>
      </c>
      <c r="Y218" s="118" t="str">
        <f>+VLOOKUP(Agencia[[#This Row],[contenido]],Estructura!$E$4:$G$500,3,0)</f>
        <v>C-996</v>
      </c>
      <c r="Z218" s="118" t="str">
        <f>+VLOOKUP(Agencia[[#This Row],[Filtro Integrado]],Estructura!$I$4:$K$500,3,0)</f>
        <v>FI-993</v>
      </c>
      <c r="AA218" s="118" t="str">
        <f>+VLOOKUP(Agencia[[#This Row],[Muestra]],Estructura!$M$4:$O$500,3,0)</f>
        <v>M-1009</v>
      </c>
    </row>
    <row r="219" spans="1:27" ht="57.6" x14ac:dyDescent="0.3">
      <c r="A219" s="21" t="s">
        <v>656</v>
      </c>
      <c r="B219" s="24">
        <f t="shared" ref="B219:D219" si="173">+B218</f>
        <v>990</v>
      </c>
      <c r="C219" s="25" t="str">
        <f t="shared" si="173"/>
        <v>Agencia Información</v>
      </c>
      <c r="D219" s="25" t="str">
        <f t="shared" si="173"/>
        <v>Mujeres</v>
      </c>
      <c r="E219" s="19">
        <v>10</v>
      </c>
      <c r="F219" s="10" t="s">
        <v>823</v>
      </c>
      <c r="G219" s="10" t="s">
        <v>3762</v>
      </c>
      <c r="H219" s="35" t="s">
        <v>16</v>
      </c>
      <c r="I219" s="36" t="s">
        <v>377</v>
      </c>
      <c r="J219" s="38" t="str">
        <f t="shared" si="124"/>
        <v>Ninguno</v>
      </c>
      <c r="K219" s="9" t="str">
        <f t="shared" si="125"/>
        <v>Casos de VIF por comuna</v>
      </c>
      <c r="L219" s="9" t="str">
        <f t="shared" si="126"/>
        <v>Periodo 2020-2021</v>
      </c>
      <c r="M219" s="9" t="str">
        <f t="shared" si="127"/>
        <v>Número de Denuncias</v>
      </c>
      <c r="N219" s="9" t="str">
        <f t="shared" si="128"/>
        <v>Centro de Estudios y Análisis del Delito (CEAD) de la Subsecretaría de Prevención del Delito</v>
      </c>
      <c r="O219" s="20" t="str">
        <f>"Sentencias Dictadas por delitos de Abuso Sexual en la "&amp;Agencia[[#This Row],[territorio]]&amp;" para el "&amp;Agencia[[#This Row],[temporalidad]]</f>
        <v>Sentencias Dictadas por delitos de Abuso Sexual en la Región de Los Lagos para el Periodo 2020-2021</v>
      </c>
      <c r="P219" s="20"/>
      <c r="Q219" s="11" t="str">
        <f t="shared" si="121"/>
        <v>Mapa de calor</v>
      </c>
      <c r="R219" s="20" t="str">
        <f>Agencia[[#This Row],[territorio]]&amp;" comunal VIF violencia intrafamiliar denuncias CEAD mujer"</f>
        <v>Región de Los Lagos comunal VIF violencia intrafamiliar denuncias CEAD mujer</v>
      </c>
      <c r="S219" s="41" t="str">
        <f>HYPERLINK("https://analytics.zoho.com/open-view/2395394000007782100?ZOHO_CRITERIA=%22Localiza%20CL%22.%22Codreg%22%3D"&amp;Agencia[[#This Row],[Filtro URL]])</f>
        <v>https://analytics.zoho.com/open-view/2395394000007782100?ZOHO_CRITERIA=%22Localiza%20CL%22.%22Codreg%22%3D10</v>
      </c>
      <c r="T219" s="69" t="str">
        <f>"100-C-"&amp;Agencia[[#This Row],[Filtro URL]]</f>
        <v>100-C-10</v>
      </c>
      <c r="U219" s="50" t="str">
        <f t="shared" si="164"/>
        <v>#1774B9</v>
      </c>
      <c r="V219" s="118" t="str">
        <f>+Agencia[[#This Row],[idcoleccion]]&amp;"-"&amp;Agencia[[#This Row],[id]]</f>
        <v>990-0208</v>
      </c>
      <c r="W219" s="118">
        <f>+VLOOKUP(Agencia[[#This Row],[Filtro URL]],Estructura!$X$4:$Y$500,2,0)</f>
        <v>99200010</v>
      </c>
      <c r="X219" s="118" t="str">
        <f>+VLOOKUP(Agencia[[#This Row],[tema]],Estructura!$A$4:$C$500,3,0)</f>
        <v>T-1034</v>
      </c>
      <c r="Y219" s="118" t="str">
        <f>+VLOOKUP(Agencia[[#This Row],[contenido]],Estructura!$E$4:$G$500,3,0)</f>
        <v>C-996</v>
      </c>
      <c r="Z219" s="118" t="str">
        <f>+VLOOKUP(Agencia[[#This Row],[Filtro Integrado]],Estructura!$I$4:$K$500,3,0)</f>
        <v>FI-993</v>
      </c>
      <c r="AA219" s="118" t="str">
        <f>+VLOOKUP(Agencia[[#This Row],[Muestra]],Estructura!$M$4:$O$500,3,0)</f>
        <v>M-1009</v>
      </c>
    </row>
    <row r="220" spans="1:27" ht="57.6" x14ac:dyDescent="0.3">
      <c r="A220" s="21" t="s">
        <v>657</v>
      </c>
      <c r="B220" s="24">
        <f t="shared" ref="B220:D220" si="174">+B219</f>
        <v>990</v>
      </c>
      <c r="C220" s="25" t="str">
        <f t="shared" si="174"/>
        <v>Agencia Información</v>
      </c>
      <c r="D220" s="25" t="str">
        <f t="shared" si="174"/>
        <v>Mujeres</v>
      </c>
      <c r="E220" s="19">
        <v>11</v>
      </c>
      <c r="F220" s="10" t="s">
        <v>823</v>
      </c>
      <c r="G220" s="10" t="s">
        <v>3762</v>
      </c>
      <c r="H220" s="35" t="s">
        <v>16</v>
      </c>
      <c r="I220" s="36" t="s">
        <v>378</v>
      </c>
      <c r="J220" s="38" t="str">
        <f t="shared" si="124"/>
        <v>Ninguno</v>
      </c>
      <c r="K220" s="9" t="str">
        <f t="shared" si="125"/>
        <v>Casos de VIF por comuna</v>
      </c>
      <c r="L220" s="9" t="str">
        <f t="shared" si="126"/>
        <v>Periodo 2020-2021</v>
      </c>
      <c r="M220" s="9" t="str">
        <f t="shared" si="127"/>
        <v>Número de Denuncias</v>
      </c>
      <c r="N220" s="9" t="str">
        <f t="shared" si="128"/>
        <v>Centro de Estudios y Análisis del Delito (CEAD) de la Subsecretaría de Prevención del Delito</v>
      </c>
      <c r="O220" s="20" t="str">
        <f>"Sentencias Dictadas por delitos de Abuso Sexual en la "&amp;Agencia[[#This Row],[territorio]]&amp;" para el "&amp;Agencia[[#This Row],[temporalidad]]</f>
        <v>Sentencias Dictadas por delitos de Abuso Sexual en la Región de Aysén para el Periodo 2020-2021</v>
      </c>
      <c r="P220" s="20"/>
      <c r="Q220" s="11" t="str">
        <f t="shared" si="121"/>
        <v>Mapa de calor</v>
      </c>
      <c r="R220" s="20" t="str">
        <f>Agencia[[#This Row],[territorio]]&amp;" comunal VIF violencia intrafamiliar denuncias CEAD mujer"</f>
        <v>Región de Aysén comunal VIF violencia intrafamiliar denuncias CEAD mujer</v>
      </c>
      <c r="S220" s="41" t="str">
        <f>HYPERLINK("https://analytics.zoho.com/open-view/2395394000007782100?ZOHO_CRITERIA=%22Localiza%20CL%22.%22Codreg%22%3D"&amp;Agencia[[#This Row],[Filtro URL]])</f>
        <v>https://analytics.zoho.com/open-view/2395394000007782100?ZOHO_CRITERIA=%22Localiza%20CL%22.%22Codreg%22%3D11</v>
      </c>
      <c r="T220" s="69" t="str">
        <f>"100-C-"&amp;Agencia[[#This Row],[Filtro URL]]</f>
        <v>100-C-11</v>
      </c>
      <c r="U220" s="50" t="str">
        <f t="shared" si="164"/>
        <v>#1774B9</v>
      </c>
      <c r="V220" s="118" t="str">
        <f>+Agencia[[#This Row],[idcoleccion]]&amp;"-"&amp;Agencia[[#This Row],[id]]</f>
        <v>990-0209</v>
      </c>
      <c r="W220" s="118">
        <f>+VLOOKUP(Agencia[[#This Row],[Filtro URL]],Estructura!$X$4:$Y$500,2,0)</f>
        <v>99200011</v>
      </c>
      <c r="X220" s="118" t="str">
        <f>+VLOOKUP(Agencia[[#This Row],[tema]],Estructura!$A$4:$C$500,3,0)</f>
        <v>T-1034</v>
      </c>
      <c r="Y220" s="118" t="str">
        <f>+VLOOKUP(Agencia[[#This Row],[contenido]],Estructura!$E$4:$G$500,3,0)</f>
        <v>C-996</v>
      </c>
      <c r="Z220" s="118" t="str">
        <f>+VLOOKUP(Agencia[[#This Row],[Filtro Integrado]],Estructura!$I$4:$K$500,3,0)</f>
        <v>FI-993</v>
      </c>
      <c r="AA220" s="118" t="str">
        <f>+VLOOKUP(Agencia[[#This Row],[Muestra]],Estructura!$M$4:$O$500,3,0)</f>
        <v>M-1009</v>
      </c>
    </row>
    <row r="221" spans="1:27" ht="57.6" x14ac:dyDescent="0.3">
      <c r="A221" s="21" t="s">
        <v>658</v>
      </c>
      <c r="B221" s="24">
        <f t="shared" ref="B221:D221" si="175">+B220</f>
        <v>990</v>
      </c>
      <c r="C221" s="25" t="str">
        <f t="shared" si="175"/>
        <v>Agencia Información</v>
      </c>
      <c r="D221" s="25" t="str">
        <f t="shared" si="175"/>
        <v>Mujeres</v>
      </c>
      <c r="E221" s="19">
        <v>12</v>
      </c>
      <c r="F221" s="10" t="s">
        <v>823</v>
      </c>
      <c r="G221" s="10" t="s">
        <v>3762</v>
      </c>
      <c r="H221" s="35" t="s">
        <v>16</v>
      </c>
      <c r="I221" s="36" t="s">
        <v>379</v>
      </c>
      <c r="J221" s="38" t="str">
        <f t="shared" si="124"/>
        <v>Ninguno</v>
      </c>
      <c r="K221" s="9" t="str">
        <f t="shared" si="125"/>
        <v>Casos de VIF por comuna</v>
      </c>
      <c r="L221" s="9" t="str">
        <f t="shared" si="126"/>
        <v>Periodo 2020-2021</v>
      </c>
      <c r="M221" s="9" t="str">
        <f t="shared" si="127"/>
        <v>Número de Denuncias</v>
      </c>
      <c r="N221" s="9" t="str">
        <f t="shared" si="128"/>
        <v>Centro de Estudios y Análisis del Delito (CEAD) de la Subsecretaría de Prevención del Delito</v>
      </c>
      <c r="O221" s="20" t="str">
        <f>"Sentencias Dictadas por delitos de Abuso Sexual en la "&amp;Agencia[[#This Row],[territorio]]&amp;" para el "&amp;Agencia[[#This Row],[temporalidad]]</f>
        <v>Sentencias Dictadas por delitos de Abuso Sexual en la Región de Magallanes para el Periodo 2020-2021</v>
      </c>
      <c r="P221" s="20"/>
      <c r="Q221" s="11" t="str">
        <f t="shared" si="121"/>
        <v>Mapa de calor</v>
      </c>
      <c r="R221" s="20" t="str">
        <f>Agencia[[#This Row],[territorio]]&amp;" comunal VIF violencia intrafamiliar denuncias CEAD mujer"</f>
        <v>Región de Magallanes comunal VIF violencia intrafamiliar denuncias CEAD mujer</v>
      </c>
      <c r="S221" s="41" t="str">
        <f>HYPERLINK("https://analytics.zoho.com/open-view/2395394000007782100?ZOHO_CRITERIA=%22Localiza%20CL%22.%22Codreg%22%3D"&amp;Agencia[[#This Row],[Filtro URL]])</f>
        <v>https://analytics.zoho.com/open-view/2395394000007782100?ZOHO_CRITERIA=%22Localiza%20CL%22.%22Codreg%22%3D12</v>
      </c>
      <c r="T221" s="69" t="str">
        <f>"100-C-"&amp;Agencia[[#This Row],[Filtro URL]]</f>
        <v>100-C-12</v>
      </c>
      <c r="U221" s="50" t="str">
        <f t="shared" si="164"/>
        <v>#1774B9</v>
      </c>
      <c r="V221" s="118" t="str">
        <f>+Agencia[[#This Row],[idcoleccion]]&amp;"-"&amp;Agencia[[#This Row],[id]]</f>
        <v>990-0210</v>
      </c>
      <c r="W221" s="118">
        <f>+VLOOKUP(Agencia[[#This Row],[Filtro URL]],Estructura!$X$4:$Y$500,2,0)</f>
        <v>99200012</v>
      </c>
      <c r="X221" s="118" t="str">
        <f>+VLOOKUP(Agencia[[#This Row],[tema]],Estructura!$A$4:$C$500,3,0)</f>
        <v>T-1034</v>
      </c>
      <c r="Y221" s="118" t="str">
        <f>+VLOOKUP(Agencia[[#This Row],[contenido]],Estructura!$E$4:$G$500,3,0)</f>
        <v>C-996</v>
      </c>
      <c r="Z221" s="118" t="str">
        <f>+VLOOKUP(Agencia[[#This Row],[Filtro Integrado]],Estructura!$I$4:$K$500,3,0)</f>
        <v>FI-993</v>
      </c>
      <c r="AA221" s="118" t="str">
        <f>+VLOOKUP(Agencia[[#This Row],[Muestra]],Estructura!$M$4:$O$500,3,0)</f>
        <v>M-1009</v>
      </c>
    </row>
    <row r="222" spans="1:27" ht="57.6" x14ac:dyDescent="0.3">
      <c r="A222" s="21" t="s">
        <v>659</v>
      </c>
      <c r="B222" s="24">
        <f t="shared" ref="B222:D222" si="176">+B221</f>
        <v>990</v>
      </c>
      <c r="C222" s="25" t="str">
        <f t="shared" si="176"/>
        <v>Agencia Información</v>
      </c>
      <c r="D222" s="25" t="str">
        <f t="shared" si="176"/>
        <v>Mujeres</v>
      </c>
      <c r="E222" s="19">
        <v>13</v>
      </c>
      <c r="F222" s="10" t="s">
        <v>823</v>
      </c>
      <c r="G222" s="10" t="s">
        <v>3762</v>
      </c>
      <c r="H222" s="35" t="s">
        <v>16</v>
      </c>
      <c r="I222" s="36" t="s">
        <v>380</v>
      </c>
      <c r="J222" s="38" t="str">
        <f t="shared" si="124"/>
        <v>Ninguno</v>
      </c>
      <c r="K222" s="9" t="str">
        <f t="shared" si="125"/>
        <v>Casos de VIF por comuna</v>
      </c>
      <c r="L222" s="9" t="str">
        <f t="shared" si="126"/>
        <v>Periodo 2020-2021</v>
      </c>
      <c r="M222" s="9" t="str">
        <f t="shared" si="127"/>
        <v>Número de Denuncias</v>
      </c>
      <c r="N222" s="9" t="str">
        <f t="shared" si="128"/>
        <v>Centro de Estudios y Análisis del Delito (CEAD) de la Subsecretaría de Prevención del Delito</v>
      </c>
      <c r="O222" s="20" t="str">
        <f>"Sentencias Dictadas por delitos de Abuso Sexual en la "&amp;Agencia[[#This Row],[territorio]]&amp;" para el "&amp;Agencia[[#This Row],[temporalidad]]</f>
        <v>Sentencias Dictadas por delitos de Abuso Sexual en la Región Metropolitana para el Periodo 2020-2021</v>
      </c>
      <c r="P222" s="20"/>
      <c r="Q222" s="11" t="str">
        <f t="shared" si="121"/>
        <v>Mapa de calor</v>
      </c>
      <c r="R222" s="20" t="str">
        <f>Agencia[[#This Row],[territorio]]&amp;" comunal VIF violencia intrafamiliar denuncias CEAD mujer"</f>
        <v>Región Metropolitana comunal VIF violencia intrafamiliar denuncias CEAD mujer</v>
      </c>
      <c r="S222" s="41" t="str">
        <f>HYPERLINK("https://analytics.zoho.com/open-view/2395394000007782100?ZOHO_CRITERIA=%22Localiza%20CL%22.%22Codreg%22%3D"&amp;Agencia[[#This Row],[Filtro URL]])</f>
        <v>https://analytics.zoho.com/open-view/2395394000007782100?ZOHO_CRITERIA=%22Localiza%20CL%22.%22Codreg%22%3D13</v>
      </c>
      <c r="T222" s="69" t="str">
        <f>"200-C-"&amp;Agencia[[#This Row],[Filtro URL]]</f>
        <v>200-C-13</v>
      </c>
      <c r="U222" s="50" t="str">
        <f t="shared" si="164"/>
        <v>#1774B9</v>
      </c>
      <c r="V222" s="118" t="str">
        <f>+Agencia[[#This Row],[idcoleccion]]&amp;"-"&amp;Agencia[[#This Row],[id]]</f>
        <v>990-0211</v>
      </c>
      <c r="W222" s="118">
        <f>+VLOOKUP(Agencia[[#This Row],[Filtro URL]],Estructura!$X$4:$Y$500,2,0)</f>
        <v>99200013</v>
      </c>
      <c r="X222" s="118" t="str">
        <f>+VLOOKUP(Agencia[[#This Row],[tema]],Estructura!$A$4:$C$500,3,0)</f>
        <v>T-1034</v>
      </c>
      <c r="Y222" s="118" t="str">
        <f>+VLOOKUP(Agencia[[#This Row],[contenido]],Estructura!$E$4:$G$500,3,0)</f>
        <v>C-996</v>
      </c>
      <c r="Z222" s="118" t="str">
        <f>+VLOOKUP(Agencia[[#This Row],[Filtro Integrado]],Estructura!$I$4:$K$500,3,0)</f>
        <v>FI-993</v>
      </c>
      <c r="AA222" s="118" t="str">
        <f>+VLOOKUP(Agencia[[#This Row],[Muestra]],Estructura!$M$4:$O$500,3,0)</f>
        <v>M-1009</v>
      </c>
    </row>
    <row r="223" spans="1:27" ht="57.6" x14ac:dyDescent="0.3">
      <c r="A223" s="21" t="s">
        <v>660</v>
      </c>
      <c r="B223" s="24">
        <f t="shared" ref="B223:D223" si="177">+B222</f>
        <v>990</v>
      </c>
      <c r="C223" s="25" t="str">
        <f t="shared" si="177"/>
        <v>Agencia Información</v>
      </c>
      <c r="D223" s="25" t="str">
        <f t="shared" si="177"/>
        <v>Mujeres</v>
      </c>
      <c r="E223" s="19">
        <v>14</v>
      </c>
      <c r="F223" s="10" t="s">
        <v>823</v>
      </c>
      <c r="G223" s="10" t="s">
        <v>3762</v>
      </c>
      <c r="H223" s="35" t="s">
        <v>16</v>
      </c>
      <c r="I223" s="36" t="s">
        <v>381</v>
      </c>
      <c r="J223" s="38" t="str">
        <f t="shared" si="124"/>
        <v>Ninguno</v>
      </c>
      <c r="K223" s="9" t="str">
        <f t="shared" si="125"/>
        <v>Casos de VIF por comuna</v>
      </c>
      <c r="L223" s="9" t="str">
        <f t="shared" si="126"/>
        <v>Periodo 2020-2021</v>
      </c>
      <c r="M223" s="9" t="str">
        <f t="shared" si="127"/>
        <v>Número de Denuncias</v>
      </c>
      <c r="N223" s="9" t="str">
        <f t="shared" si="128"/>
        <v>Centro de Estudios y Análisis del Delito (CEAD) de la Subsecretaría de Prevención del Delito</v>
      </c>
      <c r="O223" s="20" t="str">
        <f>"Sentencias Dictadas por delitos de Abuso Sexual en la "&amp;Agencia[[#This Row],[territorio]]&amp;" para el "&amp;Agencia[[#This Row],[temporalidad]]</f>
        <v>Sentencias Dictadas por delitos de Abuso Sexual en la Región de Los Ríos para el Periodo 2020-2021</v>
      </c>
      <c r="P223" s="20"/>
      <c r="Q223" s="11" t="str">
        <f t="shared" si="121"/>
        <v>Mapa de calor</v>
      </c>
      <c r="R223" s="20" t="str">
        <f>Agencia[[#This Row],[territorio]]&amp;" comunal VIF violencia intrafamiliar denuncias CEAD mujer"</f>
        <v>Región de Los Ríos comunal VIF violencia intrafamiliar denuncias CEAD mujer</v>
      </c>
      <c r="S223" s="41" t="str">
        <f>HYPERLINK("https://analytics.zoho.com/open-view/2395394000007782100?ZOHO_CRITERIA=%22Localiza%20CL%22.%22Codreg%22%3D"&amp;Agencia[[#This Row],[Filtro URL]])</f>
        <v>https://analytics.zoho.com/open-view/2395394000007782100?ZOHO_CRITERIA=%22Localiza%20CL%22.%22Codreg%22%3D14</v>
      </c>
      <c r="T223" s="69" t="str">
        <f>"100-C-"&amp;Agencia[[#This Row],[Filtro URL]]</f>
        <v>100-C-14</v>
      </c>
      <c r="U223" s="50" t="str">
        <f t="shared" si="164"/>
        <v>#1774B9</v>
      </c>
      <c r="V223" s="118" t="str">
        <f>+Agencia[[#This Row],[idcoleccion]]&amp;"-"&amp;Agencia[[#This Row],[id]]</f>
        <v>990-0212</v>
      </c>
      <c r="W223" s="118">
        <f>+VLOOKUP(Agencia[[#This Row],[Filtro URL]],Estructura!$X$4:$Y$500,2,0)</f>
        <v>99200014</v>
      </c>
      <c r="X223" s="118" t="str">
        <f>+VLOOKUP(Agencia[[#This Row],[tema]],Estructura!$A$4:$C$500,3,0)</f>
        <v>T-1034</v>
      </c>
      <c r="Y223" s="118" t="str">
        <f>+VLOOKUP(Agencia[[#This Row],[contenido]],Estructura!$E$4:$G$500,3,0)</f>
        <v>C-996</v>
      </c>
      <c r="Z223" s="118" t="str">
        <f>+VLOOKUP(Agencia[[#This Row],[Filtro Integrado]],Estructura!$I$4:$K$500,3,0)</f>
        <v>FI-993</v>
      </c>
      <c r="AA223" s="118" t="str">
        <f>+VLOOKUP(Agencia[[#This Row],[Muestra]],Estructura!$M$4:$O$500,3,0)</f>
        <v>M-1009</v>
      </c>
    </row>
    <row r="224" spans="1:27" ht="57.6" x14ac:dyDescent="0.3">
      <c r="A224" s="21" t="s">
        <v>661</v>
      </c>
      <c r="B224" s="24">
        <f t="shared" ref="B224:D224" si="178">+B223</f>
        <v>990</v>
      </c>
      <c r="C224" s="25" t="str">
        <f t="shared" si="178"/>
        <v>Agencia Información</v>
      </c>
      <c r="D224" s="25" t="str">
        <f t="shared" si="178"/>
        <v>Mujeres</v>
      </c>
      <c r="E224" s="19">
        <v>15</v>
      </c>
      <c r="F224" s="10" t="s">
        <v>823</v>
      </c>
      <c r="G224" s="10" t="s">
        <v>3762</v>
      </c>
      <c r="H224" s="35" t="s">
        <v>16</v>
      </c>
      <c r="I224" s="36" t="s">
        <v>382</v>
      </c>
      <c r="J224" s="38" t="str">
        <f t="shared" si="124"/>
        <v>Ninguno</v>
      </c>
      <c r="K224" s="9" t="str">
        <f t="shared" si="125"/>
        <v>Casos de VIF por comuna</v>
      </c>
      <c r="L224" s="9" t="str">
        <f t="shared" si="126"/>
        <v>Periodo 2020-2021</v>
      </c>
      <c r="M224" s="9" t="str">
        <f t="shared" si="127"/>
        <v>Número de Denuncias</v>
      </c>
      <c r="N224" s="9" t="str">
        <f t="shared" si="128"/>
        <v>Centro de Estudios y Análisis del Delito (CEAD) de la Subsecretaría de Prevención del Delito</v>
      </c>
      <c r="O224" s="20" t="str">
        <f>"Sentencias Dictadas por delitos de Abuso Sexual en la "&amp;Agencia[[#This Row],[territorio]]&amp;" para el "&amp;Agencia[[#This Row],[temporalidad]]</f>
        <v>Sentencias Dictadas por delitos de Abuso Sexual en la Región de Arica y Parinacota para el Periodo 2020-2021</v>
      </c>
      <c r="P224" s="20"/>
      <c r="Q224" s="11" t="str">
        <f t="shared" si="121"/>
        <v>Mapa de calor</v>
      </c>
      <c r="R224" s="20" t="str">
        <f>Agencia[[#This Row],[territorio]]&amp;" comunal VIF violencia intrafamiliar denuncias CEAD mujer"</f>
        <v>Región de Arica y Parinacota comunal VIF violencia intrafamiliar denuncias CEAD mujer</v>
      </c>
      <c r="S224" s="41" t="str">
        <f>HYPERLINK("https://analytics.zoho.com/open-view/2395394000007782100?ZOHO_CRITERIA=%22Localiza%20CL%22.%22Codreg%22%3D"&amp;Agencia[[#This Row],[Filtro URL]])</f>
        <v>https://analytics.zoho.com/open-view/2395394000007782100?ZOHO_CRITERIA=%22Localiza%20CL%22.%22Codreg%22%3D15</v>
      </c>
      <c r="T224" s="69" t="str">
        <f>"100-C-"&amp;Agencia[[#This Row],[Filtro URL]]</f>
        <v>100-C-15</v>
      </c>
      <c r="U224" s="50" t="str">
        <f t="shared" si="164"/>
        <v>#1774B9</v>
      </c>
      <c r="V224" s="118" t="str">
        <f>+Agencia[[#This Row],[idcoleccion]]&amp;"-"&amp;Agencia[[#This Row],[id]]</f>
        <v>990-0213</v>
      </c>
      <c r="W224" s="118">
        <f>+VLOOKUP(Agencia[[#This Row],[Filtro URL]],Estructura!$X$4:$Y$500,2,0)</f>
        <v>99200015</v>
      </c>
      <c r="X224" s="118" t="str">
        <f>+VLOOKUP(Agencia[[#This Row],[tema]],Estructura!$A$4:$C$500,3,0)</f>
        <v>T-1034</v>
      </c>
      <c r="Y224" s="118" t="str">
        <f>+VLOOKUP(Agencia[[#This Row],[contenido]],Estructura!$E$4:$G$500,3,0)</f>
        <v>C-996</v>
      </c>
      <c r="Z224" s="118" t="str">
        <f>+VLOOKUP(Agencia[[#This Row],[Filtro Integrado]],Estructura!$I$4:$K$500,3,0)</f>
        <v>FI-993</v>
      </c>
      <c r="AA224" s="118" t="str">
        <f>+VLOOKUP(Agencia[[#This Row],[Muestra]],Estructura!$M$4:$O$500,3,0)</f>
        <v>M-1009</v>
      </c>
    </row>
    <row r="225" spans="1:27" ht="57.6" x14ac:dyDescent="0.3">
      <c r="A225" s="21" t="s">
        <v>662</v>
      </c>
      <c r="B225" s="24">
        <f t="shared" ref="B225:D225" si="179">+B224</f>
        <v>990</v>
      </c>
      <c r="C225" s="25" t="str">
        <f t="shared" si="179"/>
        <v>Agencia Información</v>
      </c>
      <c r="D225" s="25" t="str">
        <f t="shared" si="179"/>
        <v>Mujeres</v>
      </c>
      <c r="E225" s="19">
        <v>16</v>
      </c>
      <c r="F225" s="10" t="s">
        <v>823</v>
      </c>
      <c r="G225" s="10" t="s">
        <v>3762</v>
      </c>
      <c r="H225" s="35" t="s">
        <v>16</v>
      </c>
      <c r="I225" s="36" t="s">
        <v>383</v>
      </c>
      <c r="J225" s="38" t="str">
        <f t="shared" si="124"/>
        <v>Ninguno</v>
      </c>
      <c r="K225" s="9" t="str">
        <f t="shared" si="125"/>
        <v>Casos de VIF por comuna</v>
      </c>
      <c r="L225" s="9" t="str">
        <f t="shared" si="126"/>
        <v>Periodo 2020-2021</v>
      </c>
      <c r="M225" s="9" t="str">
        <f t="shared" si="127"/>
        <v>Número de Denuncias</v>
      </c>
      <c r="N225" s="9" t="str">
        <f t="shared" si="128"/>
        <v>Centro de Estudios y Análisis del Delito (CEAD) de la Subsecretaría de Prevención del Delito</v>
      </c>
      <c r="O225" s="20" t="str">
        <f>"Sentencias Dictadas por delitos de Abuso Sexual en la "&amp;Agencia[[#This Row],[territorio]]&amp;" para el "&amp;Agencia[[#This Row],[temporalidad]]</f>
        <v>Sentencias Dictadas por delitos de Abuso Sexual en la Región de Ñuble para el Periodo 2020-2021</v>
      </c>
      <c r="P225" s="20"/>
      <c r="Q225" s="11" t="str">
        <f t="shared" si="121"/>
        <v>Mapa de calor</v>
      </c>
      <c r="R225" s="20" t="str">
        <f>Agencia[[#This Row],[territorio]]&amp;" comunal VIF violencia intrafamiliar denuncias CEAD mujer"</f>
        <v>Región de Ñuble comunal VIF violencia intrafamiliar denuncias CEAD mujer</v>
      </c>
      <c r="S225" s="41" t="str">
        <f>HYPERLINK("https://analytics.zoho.com/open-view/2395394000007782100?ZOHO_CRITERIA=%22Localiza%20CL%22.%22Codreg%22%3D"&amp;Agencia[[#This Row],[Filtro URL]])</f>
        <v>https://analytics.zoho.com/open-view/2395394000007782100?ZOHO_CRITERIA=%22Localiza%20CL%22.%22Codreg%22%3D16</v>
      </c>
      <c r="T225" s="69" t="str">
        <f>"100-C-"&amp;Agencia[[#This Row],[Filtro URL]]</f>
        <v>100-C-16</v>
      </c>
      <c r="U225" s="50" t="str">
        <f t="shared" si="164"/>
        <v>#1774B9</v>
      </c>
      <c r="V225" s="118" t="str">
        <f>+Agencia[[#This Row],[idcoleccion]]&amp;"-"&amp;Agencia[[#This Row],[id]]</f>
        <v>990-0214</v>
      </c>
      <c r="W225" s="118">
        <f>+VLOOKUP(Agencia[[#This Row],[Filtro URL]],Estructura!$X$4:$Y$500,2,0)</f>
        <v>99200016</v>
      </c>
      <c r="X225" s="118" t="str">
        <f>+VLOOKUP(Agencia[[#This Row],[tema]],Estructura!$A$4:$C$500,3,0)</f>
        <v>T-1034</v>
      </c>
      <c r="Y225" s="118" t="str">
        <f>+VLOOKUP(Agencia[[#This Row],[contenido]],Estructura!$E$4:$G$500,3,0)</f>
        <v>C-996</v>
      </c>
      <c r="Z225" s="118" t="str">
        <f>+VLOOKUP(Agencia[[#This Row],[Filtro Integrado]],Estructura!$I$4:$K$500,3,0)</f>
        <v>FI-993</v>
      </c>
      <c r="AA225" s="118" t="str">
        <f>+VLOOKUP(Agencia[[#This Row],[Muestra]],Estructura!$M$4:$O$500,3,0)</f>
        <v>M-1009</v>
      </c>
    </row>
    <row r="226" spans="1:27" ht="61.2" x14ac:dyDescent="0.3">
      <c r="A226" s="21" t="s">
        <v>663</v>
      </c>
      <c r="B226" s="24">
        <f t="shared" ref="B226:C226" si="180">+B225</f>
        <v>990</v>
      </c>
      <c r="C226" s="25" t="str">
        <f t="shared" si="180"/>
        <v>Agencia Información</v>
      </c>
      <c r="D226" s="25" t="s">
        <v>578</v>
      </c>
      <c r="E226" s="14">
        <v>0</v>
      </c>
      <c r="F226" s="10" t="s">
        <v>832</v>
      </c>
      <c r="G226" s="10" t="s">
        <v>3763</v>
      </c>
      <c r="H226" s="33" t="s">
        <v>20</v>
      </c>
      <c r="I226" s="34" t="s">
        <v>15</v>
      </c>
      <c r="J226" s="9" t="str">
        <f t="shared" si="124"/>
        <v>Ninguno</v>
      </c>
      <c r="K226" s="9" t="s">
        <v>856</v>
      </c>
      <c r="L226" s="9" t="s">
        <v>857</v>
      </c>
      <c r="M226" s="9" t="s">
        <v>581</v>
      </c>
      <c r="N226" s="9" t="s">
        <v>619</v>
      </c>
      <c r="O226" s="20" t="str">
        <f>"Toneladas de fruta producidas en "&amp;I226&amp;" por tipo de envase utilizado"</f>
        <v>Toneladas de fruta producidas en Chile por tipo de envase utilizado</v>
      </c>
      <c r="P226" s="20" t="s">
        <v>833</v>
      </c>
      <c r="Q226" s="11" t="s">
        <v>858</v>
      </c>
      <c r="R226" s="20" t="str">
        <f>Agencia[[#This Row],[territorio]]&amp;" fruta producida producción envases envasada plástico vidrio madera papel cartón metal"</f>
        <v>Chile fruta producida producción envases envasada plástico vidrio madera papel cartón metal</v>
      </c>
      <c r="S226" s="41" t="s">
        <v>859</v>
      </c>
      <c r="T226" s="68">
        <v>0</v>
      </c>
      <c r="U226" s="50" t="str">
        <f t="shared" si="164"/>
        <v>#1774B9</v>
      </c>
      <c r="V226" s="118" t="str">
        <f>+Agencia[[#This Row],[idcoleccion]]&amp;"-"&amp;Agencia[[#This Row],[id]]</f>
        <v>990-0215</v>
      </c>
      <c r="W226" s="118">
        <f>+VLOOKUP(Agencia[[#This Row],[Filtro URL]],Estructura!$X$4:$Y$500,2,0)</f>
        <v>99100000</v>
      </c>
      <c r="X226" s="118" t="str">
        <f>+VLOOKUP(Agencia[[#This Row],[tema]],Estructura!$A$4:$C$500,3,0)</f>
        <v>T-1035</v>
      </c>
      <c r="Y226" s="118" t="str">
        <f>+VLOOKUP(Agencia[[#This Row],[contenido]],Estructura!$E$4:$G$500,3,0)</f>
        <v>C-997</v>
      </c>
      <c r="Z226" s="118" t="str">
        <f>+VLOOKUP(Agencia[[#This Row],[Filtro Integrado]],Estructura!$I$4:$K$500,3,0)</f>
        <v>FI-993</v>
      </c>
      <c r="AA226" s="118" t="str">
        <f>+VLOOKUP(Agencia[[#This Row],[Muestra]],Estructura!$M$4:$O$500,3,0)</f>
        <v>M-1010</v>
      </c>
    </row>
    <row r="227" spans="1:27" ht="36" x14ac:dyDescent="0.3">
      <c r="A227" s="21" t="s">
        <v>664</v>
      </c>
      <c r="B227" s="24">
        <f t="shared" ref="B227:D227" si="181">+B226</f>
        <v>990</v>
      </c>
      <c r="C227" s="25" t="str">
        <f t="shared" si="181"/>
        <v>Agencia Información</v>
      </c>
      <c r="D227" s="25" t="str">
        <f t="shared" si="181"/>
        <v>Agropecuario y Forestal</v>
      </c>
      <c r="E227" s="14">
        <v>0</v>
      </c>
      <c r="F227" s="10" t="s">
        <v>579</v>
      </c>
      <c r="G227" s="10" t="s">
        <v>3763</v>
      </c>
      <c r="H227" s="33" t="s">
        <v>20</v>
      </c>
      <c r="I227" s="34" t="s">
        <v>15</v>
      </c>
      <c r="J227" s="9" t="s">
        <v>18</v>
      </c>
      <c r="K227" s="9" t="s">
        <v>860</v>
      </c>
      <c r="L227" s="9" t="str">
        <f t="shared" si="126"/>
        <v>Periodo 2018-2020</v>
      </c>
      <c r="M227" s="9" t="str">
        <f t="shared" si="127"/>
        <v>Toneladas</v>
      </c>
      <c r="N227" s="9" t="s">
        <v>619</v>
      </c>
      <c r="O227" s="20" t="str">
        <f>"Proporción del destino de la fruta producida por "&amp;I227&amp;", en el "&amp;Agencia[[#This Row],[temporalidad]]</f>
        <v>Proporción del destino de la fruta producida por Chile, en el Periodo 2018-2020</v>
      </c>
      <c r="P227" s="20"/>
      <c r="Q227" s="11" t="str">
        <f t="shared" si="121"/>
        <v xml:space="preserve">Gráfico </v>
      </c>
      <c r="R227" s="20" t="str">
        <f>Agencia[[#This Row],[territorio]]&amp;" fruta producción tonelada europa américa asia continente destino interno externo"</f>
        <v>Chile fruta producción tonelada europa américa asia continente destino interno externo</v>
      </c>
      <c r="S227" s="39" t="s">
        <v>861</v>
      </c>
      <c r="T227" s="68" t="s">
        <v>1033</v>
      </c>
      <c r="U227" s="50" t="str">
        <f t="shared" si="164"/>
        <v>#1774B9</v>
      </c>
      <c r="V227" s="118" t="str">
        <f>+Agencia[[#This Row],[idcoleccion]]&amp;"-"&amp;Agencia[[#This Row],[id]]</f>
        <v>990-0216</v>
      </c>
      <c r="W227" s="118">
        <f>+VLOOKUP(Agencia[[#This Row],[Filtro URL]],Estructura!$X$4:$Y$500,2,0)</f>
        <v>99100000</v>
      </c>
      <c r="X227" s="118" t="str">
        <f>+VLOOKUP(Agencia[[#This Row],[tema]],Estructura!$A$4:$C$500,3,0)</f>
        <v>T-1031</v>
      </c>
      <c r="Y227" s="118" t="str">
        <f>+VLOOKUP(Agencia[[#This Row],[contenido]],Estructura!$E$4:$G$500,3,0)</f>
        <v>C-997</v>
      </c>
      <c r="Z227" s="118" t="str">
        <f>+VLOOKUP(Agencia[[#This Row],[Filtro Integrado]],Estructura!$I$4:$K$500,3,0)</f>
        <v>FI-991</v>
      </c>
      <c r="AA227" s="118" t="str">
        <f>+VLOOKUP(Agencia[[#This Row],[Muestra]],Estructura!$M$4:$O$500,3,0)</f>
        <v>M-1011</v>
      </c>
    </row>
    <row r="228" spans="1:27" ht="57.6" x14ac:dyDescent="0.3">
      <c r="A228" s="21" t="s">
        <v>665</v>
      </c>
      <c r="B228" s="24">
        <f t="shared" ref="B228:D228" si="182">+B227</f>
        <v>990</v>
      </c>
      <c r="C228" s="25" t="str">
        <f t="shared" si="182"/>
        <v>Agencia Información</v>
      </c>
      <c r="D228" s="25" t="str">
        <f t="shared" si="182"/>
        <v>Agropecuario y Forestal</v>
      </c>
      <c r="E228" s="19">
        <v>1</v>
      </c>
      <c r="F228" s="10" t="s">
        <v>579</v>
      </c>
      <c r="G228" s="10" t="s">
        <v>3763</v>
      </c>
      <c r="H228" s="35" t="s">
        <v>16</v>
      </c>
      <c r="I228" s="36" t="s">
        <v>368</v>
      </c>
      <c r="J228" s="9" t="s">
        <v>18</v>
      </c>
      <c r="K228" s="9" t="str">
        <f t="shared" si="125"/>
        <v>Destino de fruta producida por comuna</v>
      </c>
      <c r="L228" s="9" t="str">
        <f t="shared" si="126"/>
        <v>Periodo 2018-2020</v>
      </c>
      <c r="M228" s="9" t="str">
        <f t="shared" si="127"/>
        <v>Toneladas</v>
      </c>
      <c r="N228" s="9" t="str">
        <f t="shared" si="128"/>
        <v>Oficina de Estudios y Políticas Agrarias (ODEPA)</v>
      </c>
      <c r="O228" s="20" t="str">
        <f>"Proporción del destino de la fruta producida por la "&amp;I228&amp;", en el "&amp;Agencia[[#This Row],[temporalidad]]</f>
        <v>Proporción del destino de la fruta producida por la Región de Tarapacá, en el Periodo 2018-2020</v>
      </c>
      <c r="P228" s="20"/>
      <c r="Q228" s="11" t="str">
        <f t="shared" si="121"/>
        <v xml:space="preserve">Gráfico </v>
      </c>
      <c r="R228" s="20" t="str">
        <f>Agencia[[#This Row],[territorio]]&amp;" fruta producción tonelada europa américa asia continente destino interno externo"</f>
        <v>Región de Tarapacá fruta producción tonelada europa américa asia continente destino interno externo</v>
      </c>
      <c r="S228" s="43" t="str">
        <f>HYPERLINK("https://analytics.zoho.com/open-view/2395394000008207486?ZOHO_CRITERIA=%224.6%22.%22C%C3%B3digo_Regi%C3%B3n%22%3D"&amp;Agencia[[#This Row],[Filtro URL]])</f>
        <v>https://analytics.zoho.com/open-view/2395394000008207486?ZOHO_CRITERIA=%224.6%22.%22C%C3%B3digo_Regi%C3%B3n%22%3D1</v>
      </c>
      <c r="T228" s="69" t="str">
        <f>"100-C-"&amp;Agencia[[#This Row],[Filtro URL]]</f>
        <v>100-C-1</v>
      </c>
      <c r="U228" s="50" t="str">
        <f t="shared" si="164"/>
        <v>#1774B9</v>
      </c>
      <c r="V228" s="118" t="str">
        <f>+Agencia[[#This Row],[idcoleccion]]&amp;"-"&amp;Agencia[[#This Row],[id]]</f>
        <v>990-0217</v>
      </c>
      <c r="W228" s="118">
        <f>+VLOOKUP(Agencia[[#This Row],[Filtro URL]],Estructura!$X$4:$Y$500,2,0)</f>
        <v>99200001</v>
      </c>
      <c r="X228" s="118" t="str">
        <f>+VLOOKUP(Agencia[[#This Row],[tema]],Estructura!$A$4:$C$500,3,0)</f>
        <v>T-1031</v>
      </c>
      <c r="Y228" s="118" t="str">
        <f>+VLOOKUP(Agencia[[#This Row],[contenido]],Estructura!$E$4:$G$500,3,0)</f>
        <v>C-997</v>
      </c>
      <c r="Z228" s="118" t="str">
        <f>+VLOOKUP(Agencia[[#This Row],[Filtro Integrado]],Estructura!$I$4:$K$500,3,0)</f>
        <v>FI-991</v>
      </c>
      <c r="AA228" s="118" t="str">
        <f>+VLOOKUP(Agencia[[#This Row],[Muestra]],Estructura!$M$4:$O$500,3,0)</f>
        <v>M-1011</v>
      </c>
    </row>
    <row r="229" spans="1:27" ht="57.6" x14ac:dyDescent="0.3">
      <c r="A229" s="21" t="s">
        <v>666</v>
      </c>
      <c r="B229" s="24">
        <f t="shared" ref="B229:D229" si="183">+B228</f>
        <v>990</v>
      </c>
      <c r="C229" s="25" t="str">
        <f t="shared" si="183"/>
        <v>Agencia Información</v>
      </c>
      <c r="D229" s="25" t="str">
        <f t="shared" si="183"/>
        <v>Agropecuario y Forestal</v>
      </c>
      <c r="E229" s="19">
        <v>2</v>
      </c>
      <c r="F229" s="10" t="s">
        <v>579</v>
      </c>
      <c r="G229" s="10" t="s">
        <v>3763</v>
      </c>
      <c r="H229" s="35" t="s">
        <v>16</v>
      </c>
      <c r="I229" s="36" t="s">
        <v>369</v>
      </c>
      <c r="J229" s="9" t="str">
        <f t="shared" si="124"/>
        <v>Comuna</v>
      </c>
      <c r="K229" s="9" t="str">
        <f t="shared" si="125"/>
        <v>Destino de fruta producida por comuna</v>
      </c>
      <c r="L229" s="9" t="str">
        <f t="shared" si="126"/>
        <v>Periodo 2018-2020</v>
      </c>
      <c r="M229" s="9" t="str">
        <f t="shared" si="127"/>
        <v>Toneladas</v>
      </c>
      <c r="N229" s="9" t="str">
        <f t="shared" si="128"/>
        <v>Oficina de Estudios y Políticas Agrarias (ODEPA)</v>
      </c>
      <c r="O229" s="20" t="str">
        <f>"Proporción del destino de la fruta producida por la "&amp;I229&amp;", en el "&amp;Agencia[[#This Row],[temporalidad]]</f>
        <v>Proporción del destino de la fruta producida por la Región de Antofagasta, en el Periodo 2018-2020</v>
      </c>
      <c r="P229" s="20"/>
      <c r="Q229" s="11" t="str">
        <f t="shared" ref="Q229:Q286" si="184">+Q228</f>
        <v xml:space="preserve">Gráfico </v>
      </c>
      <c r="R229" s="20" t="str">
        <f>Agencia[[#This Row],[territorio]]&amp;" fruta producción tonelada europa américa asia continente destino interno externo"</f>
        <v>Región de Antofagasta fruta producción tonelada europa américa asia continente destino interno externo</v>
      </c>
      <c r="S229" s="43" t="str">
        <f>HYPERLINK("https://analytics.zoho.com/open-view/2395394000008207486?ZOHO_CRITERIA=%224.6%22.%22C%C3%B3digo_Regi%C3%B3n%22%3D"&amp;Agencia[[#This Row],[Filtro URL]])</f>
        <v>https://analytics.zoho.com/open-view/2395394000008207486?ZOHO_CRITERIA=%224.6%22.%22C%C3%B3digo_Regi%C3%B3n%22%3D2</v>
      </c>
      <c r="T229" s="69" t="str">
        <f>"100-C-"&amp;Agencia[[#This Row],[Filtro URL]]</f>
        <v>100-C-2</v>
      </c>
      <c r="U229" s="50" t="str">
        <f t="shared" si="164"/>
        <v>#1774B9</v>
      </c>
      <c r="V229" s="118" t="str">
        <f>+Agencia[[#This Row],[idcoleccion]]&amp;"-"&amp;Agencia[[#This Row],[id]]</f>
        <v>990-0218</v>
      </c>
      <c r="W229" s="118">
        <f>+VLOOKUP(Agencia[[#This Row],[Filtro URL]],Estructura!$X$4:$Y$500,2,0)</f>
        <v>99200002</v>
      </c>
      <c r="X229" s="118" t="str">
        <f>+VLOOKUP(Agencia[[#This Row],[tema]],Estructura!$A$4:$C$500,3,0)</f>
        <v>T-1031</v>
      </c>
      <c r="Y229" s="118" t="str">
        <f>+VLOOKUP(Agencia[[#This Row],[contenido]],Estructura!$E$4:$G$500,3,0)</f>
        <v>C-997</v>
      </c>
      <c r="Z229" s="118" t="str">
        <f>+VLOOKUP(Agencia[[#This Row],[Filtro Integrado]],Estructura!$I$4:$K$500,3,0)</f>
        <v>FI-991</v>
      </c>
      <c r="AA229" s="118" t="str">
        <f>+VLOOKUP(Agencia[[#This Row],[Muestra]],Estructura!$M$4:$O$500,3,0)</f>
        <v>M-1011</v>
      </c>
    </row>
    <row r="230" spans="1:27" ht="57.6" x14ac:dyDescent="0.3">
      <c r="A230" s="21" t="s">
        <v>667</v>
      </c>
      <c r="B230" s="24">
        <f t="shared" ref="B230:D230" si="185">+B229</f>
        <v>990</v>
      </c>
      <c r="C230" s="25" t="str">
        <f t="shared" si="185"/>
        <v>Agencia Información</v>
      </c>
      <c r="D230" s="25" t="str">
        <f t="shared" si="185"/>
        <v>Agropecuario y Forestal</v>
      </c>
      <c r="E230" s="19">
        <v>3</v>
      </c>
      <c r="F230" s="10" t="s">
        <v>579</v>
      </c>
      <c r="G230" s="10" t="s">
        <v>3763</v>
      </c>
      <c r="H230" s="35" t="s">
        <v>16</v>
      </c>
      <c r="I230" s="36" t="s">
        <v>370</v>
      </c>
      <c r="J230" s="9" t="str">
        <f t="shared" si="124"/>
        <v>Comuna</v>
      </c>
      <c r="K230" s="9" t="str">
        <f t="shared" si="125"/>
        <v>Destino de fruta producida por comuna</v>
      </c>
      <c r="L230" s="9" t="str">
        <f t="shared" si="126"/>
        <v>Periodo 2018-2020</v>
      </c>
      <c r="M230" s="9" t="str">
        <f t="shared" si="127"/>
        <v>Toneladas</v>
      </c>
      <c r="N230" s="9" t="str">
        <f t="shared" si="128"/>
        <v>Oficina de Estudios y Políticas Agrarias (ODEPA)</v>
      </c>
      <c r="O230" s="20" t="str">
        <f>"Proporción del destino de la fruta producida por la "&amp;I230&amp;", en el "&amp;Agencia[[#This Row],[temporalidad]]</f>
        <v>Proporción del destino de la fruta producida por la Región de Atacama, en el Periodo 2018-2020</v>
      </c>
      <c r="P230" s="20"/>
      <c r="Q230" s="11" t="str">
        <f t="shared" si="184"/>
        <v xml:space="preserve">Gráfico </v>
      </c>
      <c r="R230" s="20" t="str">
        <f>Agencia[[#This Row],[territorio]]&amp;" fruta producción tonelada europa américa asia continente destino interno externo"</f>
        <v>Región de Atacama fruta producción tonelada europa américa asia continente destino interno externo</v>
      </c>
      <c r="S230" s="43" t="str">
        <f>HYPERLINK("https://analytics.zoho.com/open-view/2395394000008207486?ZOHO_CRITERIA=%224.6%22.%22C%C3%B3digo_Regi%C3%B3n%22%3D"&amp;Agencia[[#This Row],[Filtro URL]])</f>
        <v>https://analytics.zoho.com/open-view/2395394000008207486?ZOHO_CRITERIA=%224.6%22.%22C%C3%B3digo_Regi%C3%B3n%22%3D3</v>
      </c>
      <c r="T230" s="69" t="str">
        <f>"100-C-"&amp;Agencia[[#This Row],[Filtro URL]]</f>
        <v>100-C-3</v>
      </c>
      <c r="U230" s="50" t="str">
        <f t="shared" si="164"/>
        <v>#1774B9</v>
      </c>
      <c r="V230" s="118" t="str">
        <f>+Agencia[[#This Row],[idcoleccion]]&amp;"-"&amp;Agencia[[#This Row],[id]]</f>
        <v>990-0219</v>
      </c>
      <c r="W230" s="118">
        <f>+VLOOKUP(Agencia[[#This Row],[Filtro URL]],Estructura!$X$4:$Y$500,2,0)</f>
        <v>99200003</v>
      </c>
      <c r="X230" s="118" t="str">
        <f>+VLOOKUP(Agencia[[#This Row],[tema]],Estructura!$A$4:$C$500,3,0)</f>
        <v>T-1031</v>
      </c>
      <c r="Y230" s="118" t="str">
        <f>+VLOOKUP(Agencia[[#This Row],[contenido]],Estructura!$E$4:$G$500,3,0)</f>
        <v>C-997</v>
      </c>
      <c r="Z230" s="118" t="str">
        <f>+VLOOKUP(Agencia[[#This Row],[Filtro Integrado]],Estructura!$I$4:$K$500,3,0)</f>
        <v>FI-991</v>
      </c>
      <c r="AA230" s="118" t="str">
        <f>+VLOOKUP(Agencia[[#This Row],[Muestra]],Estructura!$M$4:$O$500,3,0)</f>
        <v>M-1011</v>
      </c>
    </row>
    <row r="231" spans="1:27" ht="81.599999999999994" x14ac:dyDescent="0.3">
      <c r="A231" s="21" t="s">
        <v>668</v>
      </c>
      <c r="B231" s="24">
        <f t="shared" ref="B231:D231" si="186">+B230</f>
        <v>990</v>
      </c>
      <c r="C231" s="25" t="str">
        <f t="shared" si="186"/>
        <v>Agencia Información</v>
      </c>
      <c r="D231" s="25" t="str">
        <f t="shared" si="186"/>
        <v>Agropecuario y Forestal</v>
      </c>
      <c r="E231" s="19">
        <v>4</v>
      </c>
      <c r="F231" s="10" t="s">
        <v>579</v>
      </c>
      <c r="G231" s="10" t="s">
        <v>3763</v>
      </c>
      <c r="H231" s="35" t="s">
        <v>16</v>
      </c>
      <c r="I231" s="36" t="s">
        <v>371</v>
      </c>
      <c r="J231" s="9" t="str">
        <f t="shared" ref="J231:N243" si="187">+J230</f>
        <v>Comuna</v>
      </c>
      <c r="K231" s="9" t="str">
        <f t="shared" si="187"/>
        <v>Destino de fruta producida por comuna</v>
      </c>
      <c r="L231" s="9" t="str">
        <f t="shared" si="187"/>
        <v>Periodo 2018-2020</v>
      </c>
      <c r="M231" s="9" t="str">
        <f t="shared" si="187"/>
        <v>Toneladas</v>
      </c>
      <c r="N231" s="9" t="str">
        <f t="shared" si="187"/>
        <v>Oficina de Estudios y Políticas Agrarias (ODEPA)</v>
      </c>
      <c r="O231" s="20" t="str">
        <f>"Proporción del destino de la fruta producida por la "&amp;I231&amp;", en el "&amp;Agencia[[#This Row],[temporalidad]]</f>
        <v>Proporción del destino de la fruta producida por la Región de Coquimbo, en el Periodo 2018-2020</v>
      </c>
      <c r="P231" s="20" t="s">
        <v>862</v>
      </c>
      <c r="Q231" s="11" t="str">
        <f t="shared" si="184"/>
        <v xml:space="preserve">Gráfico </v>
      </c>
      <c r="R231" s="20" t="str">
        <f>Agencia[[#This Row],[territorio]]&amp;" fruta producción tonelada europa américa asia continente destino interno externo"</f>
        <v>Región de Coquimbo fruta producción tonelada europa américa asia continente destino interno externo</v>
      </c>
      <c r="S231" s="43" t="str">
        <f>HYPERLINK("https://analytics.zoho.com/open-view/2395394000008207486?ZOHO_CRITERIA=%224.6%22.%22C%C3%B3digo_Regi%C3%B3n%22%3D"&amp;Agencia[[#This Row],[Filtro URL]])</f>
        <v>https://analytics.zoho.com/open-view/2395394000008207486?ZOHO_CRITERIA=%224.6%22.%22C%C3%B3digo_Regi%C3%B3n%22%3D4</v>
      </c>
      <c r="T231" s="69" t="str">
        <f>"100-C-"&amp;Agencia[[#This Row],[Filtro URL]]</f>
        <v>100-C-4</v>
      </c>
      <c r="U231" s="50" t="str">
        <f t="shared" si="164"/>
        <v>#1774B9</v>
      </c>
      <c r="V231" s="118" t="str">
        <f>+Agencia[[#This Row],[idcoleccion]]&amp;"-"&amp;Agencia[[#This Row],[id]]</f>
        <v>990-0220</v>
      </c>
      <c r="W231" s="118">
        <f>+VLOOKUP(Agencia[[#This Row],[Filtro URL]],Estructura!$X$4:$Y$500,2,0)</f>
        <v>99200004</v>
      </c>
      <c r="X231" s="118" t="str">
        <f>+VLOOKUP(Agencia[[#This Row],[tema]],Estructura!$A$4:$C$500,3,0)</f>
        <v>T-1031</v>
      </c>
      <c r="Y231" s="118" t="str">
        <f>+VLOOKUP(Agencia[[#This Row],[contenido]],Estructura!$E$4:$G$500,3,0)</f>
        <v>C-997</v>
      </c>
      <c r="Z231" s="118" t="str">
        <f>+VLOOKUP(Agencia[[#This Row],[Filtro Integrado]],Estructura!$I$4:$K$500,3,0)</f>
        <v>FI-991</v>
      </c>
      <c r="AA231" s="118" t="str">
        <f>+VLOOKUP(Agencia[[#This Row],[Muestra]],Estructura!$M$4:$O$500,3,0)</f>
        <v>M-1011</v>
      </c>
    </row>
    <row r="232" spans="1:27" ht="57.6" x14ac:dyDescent="0.3">
      <c r="A232" s="21" t="s">
        <v>669</v>
      </c>
      <c r="B232" s="24">
        <f t="shared" ref="B232:D232" si="188">+B231</f>
        <v>990</v>
      </c>
      <c r="C232" s="25" t="str">
        <f t="shared" si="188"/>
        <v>Agencia Información</v>
      </c>
      <c r="D232" s="25" t="str">
        <f t="shared" si="188"/>
        <v>Agropecuario y Forestal</v>
      </c>
      <c r="E232" s="19">
        <v>5</v>
      </c>
      <c r="F232" s="10" t="s">
        <v>579</v>
      </c>
      <c r="G232" s="10" t="s">
        <v>3763</v>
      </c>
      <c r="H232" s="35" t="s">
        <v>16</v>
      </c>
      <c r="I232" s="36" t="s">
        <v>372</v>
      </c>
      <c r="J232" s="9" t="str">
        <f t="shared" si="187"/>
        <v>Comuna</v>
      </c>
      <c r="K232" s="9" t="str">
        <f t="shared" si="187"/>
        <v>Destino de fruta producida por comuna</v>
      </c>
      <c r="L232" s="9" t="str">
        <f t="shared" si="187"/>
        <v>Periodo 2018-2020</v>
      </c>
      <c r="M232" s="9" t="str">
        <f t="shared" si="187"/>
        <v>Toneladas</v>
      </c>
      <c r="N232" s="9" t="str">
        <f t="shared" si="187"/>
        <v>Oficina de Estudios y Políticas Agrarias (ODEPA)</v>
      </c>
      <c r="O232" s="20" t="str">
        <f>"Proporción del destino de la fruta producida por la "&amp;I232&amp;", en el "&amp;Agencia[[#This Row],[temporalidad]]</f>
        <v>Proporción del destino de la fruta producida por la Región de Valparaíso, en el Periodo 2018-2020</v>
      </c>
      <c r="P232" s="20"/>
      <c r="Q232" s="11" t="str">
        <f t="shared" si="184"/>
        <v xml:space="preserve">Gráfico </v>
      </c>
      <c r="R232" s="20" t="str">
        <f>Agencia[[#This Row],[territorio]]&amp;" fruta producción tonelada europa américa asia continente destino interno externo"</f>
        <v>Región de Valparaíso fruta producción tonelada europa américa asia continente destino interno externo</v>
      </c>
      <c r="S232" s="43" t="str">
        <f>HYPERLINK("https://analytics.zoho.com/open-view/2395394000008207486?ZOHO_CRITERIA=%224.6%22.%22C%C3%B3digo_Regi%C3%B3n%22%3D"&amp;Agencia[[#This Row],[Filtro URL]])</f>
        <v>https://analytics.zoho.com/open-view/2395394000008207486?ZOHO_CRITERIA=%224.6%22.%22C%C3%B3digo_Regi%C3%B3n%22%3D5</v>
      </c>
      <c r="T232" s="69" t="str">
        <f>"100-C-"&amp;Agencia[[#This Row],[Filtro URL]]</f>
        <v>100-C-5</v>
      </c>
      <c r="U232" s="50" t="str">
        <f t="shared" si="164"/>
        <v>#1774B9</v>
      </c>
      <c r="V232" s="118" t="str">
        <f>+Agencia[[#This Row],[idcoleccion]]&amp;"-"&amp;Agencia[[#This Row],[id]]</f>
        <v>990-0221</v>
      </c>
      <c r="W232" s="118">
        <f>+VLOOKUP(Agencia[[#This Row],[Filtro URL]],Estructura!$X$4:$Y$500,2,0)</f>
        <v>99200005</v>
      </c>
      <c r="X232" s="118" t="str">
        <f>+VLOOKUP(Agencia[[#This Row],[tema]],Estructura!$A$4:$C$500,3,0)</f>
        <v>T-1031</v>
      </c>
      <c r="Y232" s="118" t="str">
        <f>+VLOOKUP(Agencia[[#This Row],[contenido]],Estructura!$E$4:$G$500,3,0)</f>
        <v>C-997</v>
      </c>
      <c r="Z232" s="118" t="str">
        <f>+VLOOKUP(Agencia[[#This Row],[Filtro Integrado]],Estructura!$I$4:$K$500,3,0)</f>
        <v>FI-991</v>
      </c>
      <c r="AA232" s="118" t="str">
        <f>+VLOOKUP(Agencia[[#This Row],[Muestra]],Estructura!$M$4:$O$500,3,0)</f>
        <v>M-1011</v>
      </c>
    </row>
    <row r="233" spans="1:27" ht="57.6" x14ac:dyDescent="0.3">
      <c r="A233" s="21" t="s">
        <v>670</v>
      </c>
      <c r="B233" s="24">
        <f t="shared" ref="B233:D233" si="189">+B232</f>
        <v>990</v>
      </c>
      <c r="C233" s="25" t="str">
        <f t="shared" si="189"/>
        <v>Agencia Información</v>
      </c>
      <c r="D233" s="25" t="str">
        <f t="shared" si="189"/>
        <v>Agropecuario y Forestal</v>
      </c>
      <c r="E233" s="19">
        <v>6</v>
      </c>
      <c r="F233" s="10" t="s">
        <v>579</v>
      </c>
      <c r="G233" s="10" t="s">
        <v>3763</v>
      </c>
      <c r="H233" s="35" t="s">
        <v>16</v>
      </c>
      <c r="I233" s="36" t="s">
        <v>373</v>
      </c>
      <c r="J233" s="9" t="str">
        <f t="shared" si="187"/>
        <v>Comuna</v>
      </c>
      <c r="K233" s="9" t="str">
        <f t="shared" si="187"/>
        <v>Destino de fruta producida por comuna</v>
      </c>
      <c r="L233" s="9" t="str">
        <f t="shared" si="187"/>
        <v>Periodo 2018-2020</v>
      </c>
      <c r="M233" s="9" t="str">
        <f t="shared" si="187"/>
        <v>Toneladas</v>
      </c>
      <c r="N233" s="9" t="str">
        <f t="shared" si="187"/>
        <v>Oficina de Estudios y Políticas Agrarias (ODEPA)</v>
      </c>
      <c r="O233" s="20" t="str">
        <f>"Proporción del destino de la fruta producida por la "&amp;I233&amp;", en el "&amp;Agencia[[#This Row],[temporalidad]]</f>
        <v>Proporción del destino de la fruta producida por la Región de O'Higgins, en el Periodo 2018-2020</v>
      </c>
      <c r="P233" s="20"/>
      <c r="Q233" s="11" t="str">
        <f t="shared" si="184"/>
        <v xml:space="preserve">Gráfico </v>
      </c>
      <c r="R233" s="20" t="str">
        <f>Agencia[[#This Row],[territorio]]&amp;" fruta producción tonelada europa américa asia continente destino interno externo"</f>
        <v>Región de O'Higgins fruta producción tonelada europa américa asia continente destino interno externo</v>
      </c>
      <c r="S233" s="43" t="str">
        <f>HYPERLINK("https://analytics.zoho.com/open-view/2395394000008207486?ZOHO_CRITERIA=%224.6%22.%22C%C3%B3digo_Regi%C3%B3n%22%3D"&amp;Agencia[[#This Row],[Filtro URL]])</f>
        <v>https://analytics.zoho.com/open-view/2395394000008207486?ZOHO_CRITERIA=%224.6%22.%22C%C3%B3digo_Regi%C3%B3n%22%3D6</v>
      </c>
      <c r="T233" s="69" t="str">
        <f>"100-C-"&amp;Agencia[[#This Row],[Filtro URL]]</f>
        <v>100-C-6</v>
      </c>
      <c r="U233" s="50" t="str">
        <f t="shared" si="164"/>
        <v>#1774B9</v>
      </c>
      <c r="V233" s="118" t="str">
        <f>+Agencia[[#This Row],[idcoleccion]]&amp;"-"&amp;Agencia[[#This Row],[id]]</f>
        <v>990-0222</v>
      </c>
      <c r="W233" s="118">
        <f>+VLOOKUP(Agencia[[#This Row],[Filtro URL]],Estructura!$X$4:$Y$500,2,0)</f>
        <v>99200006</v>
      </c>
      <c r="X233" s="118" t="str">
        <f>+VLOOKUP(Agencia[[#This Row],[tema]],Estructura!$A$4:$C$500,3,0)</f>
        <v>T-1031</v>
      </c>
      <c r="Y233" s="118" t="str">
        <f>+VLOOKUP(Agencia[[#This Row],[contenido]],Estructura!$E$4:$G$500,3,0)</f>
        <v>C-997</v>
      </c>
      <c r="Z233" s="118" t="str">
        <f>+VLOOKUP(Agencia[[#This Row],[Filtro Integrado]],Estructura!$I$4:$K$500,3,0)</f>
        <v>FI-991</v>
      </c>
      <c r="AA233" s="118" t="str">
        <f>+VLOOKUP(Agencia[[#This Row],[Muestra]],Estructura!$M$4:$O$500,3,0)</f>
        <v>M-1011</v>
      </c>
    </row>
    <row r="234" spans="1:27" ht="57.6" x14ac:dyDescent="0.3">
      <c r="A234" s="21" t="s">
        <v>671</v>
      </c>
      <c r="B234" s="24">
        <f t="shared" ref="B234:D234" si="190">+B233</f>
        <v>990</v>
      </c>
      <c r="C234" s="25" t="str">
        <f t="shared" si="190"/>
        <v>Agencia Información</v>
      </c>
      <c r="D234" s="25" t="str">
        <f t="shared" si="190"/>
        <v>Agropecuario y Forestal</v>
      </c>
      <c r="E234" s="19">
        <v>7</v>
      </c>
      <c r="F234" s="10" t="s">
        <v>579</v>
      </c>
      <c r="G234" s="10" t="s">
        <v>3763</v>
      </c>
      <c r="H234" s="35" t="s">
        <v>16</v>
      </c>
      <c r="I234" s="36" t="s">
        <v>374</v>
      </c>
      <c r="J234" s="9" t="str">
        <f t="shared" si="187"/>
        <v>Comuna</v>
      </c>
      <c r="K234" s="9" t="str">
        <f t="shared" si="187"/>
        <v>Destino de fruta producida por comuna</v>
      </c>
      <c r="L234" s="9" t="str">
        <f t="shared" si="187"/>
        <v>Periodo 2018-2020</v>
      </c>
      <c r="M234" s="9" t="str">
        <f t="shared" si="187"/>
        <v>Toneladas</v>
      </c>
      <c r="N234" s="9" t="str">
        <f t="shared" si="187"/>
        <v>Oficina de Estudios y Políticas Agrarias (ODEPA)</v>
      </c>
      <c r="O234" s="20" t="str">
        <f>"Proporción del destino de la fruta producida por la "&amp;I234&amp;", en el "&amp;Agencia[[#This Row],[temporalidad]]</f>
        <v>Proporción del destino de la fruta producida por la Región de Maule, en el Periodo 2018-2020</v>
      </c>
      <c r="P234" s="20"/>
      <c r="Q234" s="11" t="str">
        <f t="shared" si="184"/>
        <v xml:space="preserve">Gráfico </v>
      </c>
      <c r="R234" s="20" t="str">
        <f>Agencia[[#This Row],[territorio]]&amp;" fruta producción tonelada europa américa asia continente destino interno externo"</f>
        <v>Región de Maule fruta producción tonelada europa américa asia continente destino interno externo</v>
      </c>
      <c r="S234" s="43" t="str">
        <f>HYPERLINK("https://analytics.zoho.com/open-view/2395394000008207486?ZOHO_CRITERIA=%224.6%22.%22C%C3%B3digo_Regi%C3%B3n%22%3D"&amp;Agencia[[#This Row],[Filtro URL]])</f>
        <v>https://analytics.zoho.com/open-view/2395394000008207486?ZOHO_CRITERIA=%224.6%22.%22C%C3%B3digo_Regi%C3%B3n%22%3D7</v>
      </c>
      <c r="T234" s="69" t="str">
        <f>"100-C-"&amp;Agencia[[#This Row],[Filtro URL]]</f>
        <v>100-C-7</v>
      </c>
      <c r="U234" s="50" t="str">
        <f t="shared" si="164"/>
        <v>#1774B9</v>
      </c>
      <c r="V234" s="118" t="str">
        <f>+Agencia[[#This Row],[idcoleccion]]&amp;"-"&amp;Agencia[[#This Row],[id]]</f>
        <v>990-0223</v>
      </c>
      <c r="W234" s="118">
        <f>+VLOOKUP(Agencia[[#This Row],[Filtro URL]],Estructura!$X$4:$Y$500,2,0)</f>
        <v>99200007</v>
      </c>
      <c r="X234" s="118" t="str">
        <f>+VLOOKUP(Agencia[[#This Row],[tema]],Estructura!$A$4:$C$500,3,0)</f>
        <v>T-1031</v>
      </c>
      <c r="Y234" s="118" t="str">
        <f>+VLOOKUP(Agencia[[#This Row],[contenido]],Estructura!$E$4:$G$500,3,0)</f>
        <v>C-997</v>
      </c>
      <c r="Z234" s="118" t="str">
        <f>+VLOOKUP(Agencia[[#This Row],[Filtro Integrado]],Estructura!$I$4:$K$500,3,0)</f>
        <v>FI-991</v>
      </c>
      <c r="AA234" s="118" t="str">
        <f>+VLOOKUP(Agencia[[#This Row],[Muestra]],Estructura!$M$4:$O$500,3,0)</f>
        <v>M-1011</v>
      </c>
    </row>
    <row r="235" spans="1:27" ht="57.6" x14ac:dyDescent="0.3">
      <c r="A235" s="21" t="s">
        <v>672</v>
      </c>
      <c r="B235" s="24">
        <f t="shared" ref="B235:D235" si="191">+B234</f>
        <v>990</v>
      </c>
      <c r="C235" s="25" t="str">
        <f t="shared" si="191"/>
        <v>Agencia Información</v>
      </c>
      <c r="D235" s="25" t="str">
        <f t="shared" si="191"/>
        <v>Agropecuario y Forestal</v>
      </c>
      <c r="E235" s="19">
        <v>8</v>
      </c>
      <c r="F235" s="10" t="s">
        <v>579</v>
      </c>
      <c r="G235" s="10" t="s">
        <v>3763</v>
      </c>
      <c r="H235" s="35" t="s">
        <v>16</v>
      </c>
      <c r="I235" s="36" t="s">
        <v>375</v>
      </c>
      <c r="J235" s="9" t="str">
        <f t="shared" si="187"/>
        <v>Comuna</v>
      </c>
      <c r="K235" s="9" t="str">
        <f t="shared" si="187"/>
        <v>Destino de fruta producida por comuna</v>
      </c>
      <c r="L235" s="9" t="str">
        <f t="shared" si="187"/>
        <v>Periodo 2018-2020</v>
      </c>
      <c r="M235" s="9" t="str">
        <f t="shared" si="187"/>
        <v>Toneladas</v>
      </c>
      <c r="N235" s="9" t="str">
        <f t="shared" si="187"/>
        <v>Oficina de Estudios y Políticas Agrarias (ODEPA)</v>
      </c>
      <c r="O235" s="20" t="str">
        <f>"Proporción del destino de la fruta producida por la "&amp;I235&amp;", en el "&amp;Agencia[[#This Row],[temporalidad]]</f>
        <v>Proporción del destino de la fruta producida por la Región del Biobío, en el Periodo 2018-2020</v>
      </c>
      <c r="P235" s="20"/>
      <c r="Q235" s="11" t="str">
        <f t="shared" si="184"/>
        <v xml:space="preserve">Gráfico </v>
      </c>
      <c r="R235" s="20" t="str">
        <f>Agencia[[#This Row],[territorio]]&amp;" fruta producción tonelada europa américa asia continente destino interno externo"</f>
        <v>Región del Biobío fruta producción tonelada europa américa asia continente destino interno externo</v>
      </c>
      <c r="S235" s="43" t="str">
        <f>HYPERLINK("https://analytics.zoho.com/open-view/2395394000008207486?ZOHO_CRITERIA=%224.6%22.%22C%C3%B3digo_Regi%C3%B3n%22%3D"&amp;Agencia[[#This Row],[Filtro URL]])</f>
        <v>https://analytics.zoho.com/open-view/2395394000008207486?ZOHO_CRITERIA=%224.6%22.%22C%C3%B3digo_Regi%C3%B3n%22%3D8</v>
      </c>
      <c r="T235" s="69" t="str">
        <f>"100-C-"&amp;Agencia[[#This Row],[Filtro URL]]</f>
        <v>100-C-8</v>
      </c>
      <c r="U235" s="50" t="str">
        <f t="shared" si="164"/>
        <v>#1774B9</v>
      </c>
      <c r="V235" s="118" t="str">
        <f>+Agencia[[#This Row],[idcoleccion]]&amp;"-"&amp;Agencia[[#This Row],[id]]</f>
        <v>990-0224</v>
      </c>
      <c r="W235" s="118">
        <f>+VLOOKUP(Agencia[[#This Row],[Filtro URL]],Estructura!$X$4:$Y$500,2,0)</f>
        <v>99200008</v>
      </c>
      <c r="X235" s="118" t="str">
        <f>+VLOOKUP(Agencia[[#This Row],[tema]],Estructura!$A$4:$C$500,3,0)</f>
        <v>T-1031</v>
      </c>
      <c r="Y235" s="118" t="str">
        <f>+VLOOKUP(Agencia[[#This Row],[contenido]],Estructura!$E$4:$G$500,3,0)</f>
        <v>C-997</v>
      </c>
      <c r="Z235" s="118" t="str">
        <f>+VLOOKUP(Agencia[[#This Row],[Filtro Integrado]],Estructura!$I$4:$K$500,3,0)</f>
        <v>FI-991</v>
      </c>
      <c r="AA235" s="118" t="str">
        <f>+VLOOKUP(Agencia[[#This Row],[Muestra]],Estructura!$M$4:$O$500,3,0)</f>
        <v>M-1011</v>
      </c>
    </row>
    <row r="236" spans="1:27" ht="57.6" x14ac:dyDescent="0.3">
      <c r="A236" s="21" t="s">
        <v>673</v>
      </c>
      <c r="B236" s="24">
        <f t="shared" ref="B236:D236" si="192">+B235</f>
        <v>990</v>
      </c>
      <c r="C236" s="25" t="str">
        <f t="shared" si="192"/>
        <v>Agencia Información</v>
      </c>
      <c r="D236" s="25" t="str">
        <f t="shared" si="192"/>
        <v>Agropecuario y Forestal</v>
      </c>
      <c r="E236" s="19">
        <v>9</v>
      </c>
      <c r="F236" s="10" t="s">
        <v>579</v>
      </c>
      <c r="G236" s="10" t="s">
        <v>3763</v>
      </c>
      <c r="H236" s="35" t="s">
        <v>16</v>
      </c>
      <c r="I236" s="36" t="s">
        <v>376</v>
      </c>
      <c r="J236" s="9" t="str">
        <f t="shared" si="187"/>
        <v>Comuna</v>
      </c>
      <c r="K236" s="9" t="str">
        <f t="shared" si="187"/>
        <v>Destino de fruta producida por comuna</v>
      </c>
      <c r="L236" s="9" t="str">
        <f t="shared" si="187"/>
        <v>Periodo 2018-2020</v>
      </c>
      <c r="M236" s="9" t="str">
        <f t="shared" si="187"/>
        <v>Toneladas</v>
      </c>
      <c r="N236" s="9" t="str">
        <f t="shared" si="187"/>
        <v>Oficina de Estudios y Políticas Agrarias (ODEPA)</v>
      </c>
      <c r="O236" s="20" t="str">
        <f>"Proporción del destino de la fruta producida por la "&amp;I236&amp;", en el "&amp;Agencia[[#This Row],[temporalidad]]</f>
        <v>Proporción del destino de la fruta producida por la Región de La Araucanía, en el Periodo 2018-2020</v>
      </c>
      <c r="P236" s="20"/>
      <c r="Q236" s="11" t="str">
        <f t="shared" si="184"/>
        <v xml:space="preserve">Gráfico </v>
      </c>
      <c r="R236" s="20" t="str">
        <f>Agencia[[#This Row],[territorio]]&amp;" fruta producción tonelada europa américa asia continente destino interno externo"</f>
        <v>Región de La Araucanía fruta producción tonelada europa américa asia continente destino interno externo</v>
      </c>
      <c r="S236" s="43" t="str">
        <f>HYPERLINK("https://analytics.zoho.com/open-view/2395394000008207486?ZOHO_CRITERIA=%224.6%22.%22C%C3%B3digo_Regi%C3%B3n%22%3D"&amp;Agencia[[#This Row],[Filtro URL]])</f>
        <v>https://analytics.zoho.com/open-view/2395394000008207486?ZOHO_CRITERIA=%224.6%22.%22C%C3%B3digo_Regi%C3%B3n%22%3D9</v>
      </c>
      <c r="T236" s="69" t="str">
        <f>"100-C-"&amp;Agencia[[#This Row],[Filtro URL]]</f>
        <v>100-C-9</v>
      </c>
      <c r="U236" s="50" t="str">
        <f t="shared" si="164"/>
        <v>#1774B9</v>
      </c>
      <c r="V236" s="118" t="str">
        <f>+Agencia[[#This Row],[idcoleccion]]&amp;"-"&amp;Agencia[[#This Row],[id]]</f>
        <v>990-0225</v>
      </c>
      <c r="W236" s="118">
        <f>+VLOOKUP(Agencia[[#This Row],[Filtro URL]],Estructura!$X$4:$Y$500,2,0)</f>
        <v>99200009</v>
      </c>
      <c r="X236" s="118" t="str">
        <f>+VLOOKUP(Agencia[[#This Row],[tema]],Estructura!$A$4:$C$500,3,0)</f>
        <v>T-1031</v>
      </c>
      <c r="Y236" s="118" t="str">
        <f>+VLOOKUP(Agencia[[#This Row],[contenido]],Estructura!$E$4:$G$500,3,0)</f>
        <v>C-997</v>
      </c>
      <c r="Z236" s="118" t="str">
        <f>+VLOOKUP(Agencia[[#This Row],[Filtro Integrado]],Estructura!$I$4:$K$500,3,0)</f>
        <v>FI-991</v>
      </c>
      <c r="AA236" s="118" t="str">
        <f>+VLOOKUP(Agencia[[#This Row],[Muestra]],Estructura!$M$4:$O$500,3,0)</f>
        <v>M-1011</v>
      </c>
    </row>
    <row r="237" spans="1:27" ht="57.6" x14ac:dyDescent="0.3">
      <c r="A237" s="21" t="s">
        <v>674</v>
      </c>
      <c r="B237" s="24">
        <f t="shared" ref="B237:D237" si="193">+B236</f>
        <v>990</v>
      </c>
      <c r="C237" s="25" t="str">
        <f t="shared" si="193"/>
        <v>Agencia Información</v>
      </c>
      <c r="D237" s="25" t="str">
        <f t="shared" si="193"/>
        <v>Agropecuario y Forestal</v>
      </c>
      <c r="E237" s="19">
        <v>10</v>
      </c>
      <c r="F237" s="10" t="s">
        <v>579</v>
      </c>
      <c r="G237" s="10" t="s">
        <v>3763</v>
      </c>
      <c r="H237" s="35" t="s">
        <v>16</v>
      </c>
      <c r="I237" s="36" t="s">
        <v>377</v>
      </c>
      <c r="J237" s="9" t="str">
        <f t="shared" si="187"/>
        <v>Comuna</v>
      </c>
      <c r="K237" s="9" t="str">
        <f t="shared" si="187"/>
        <v>Destino de fruta producida por comuna</v>
      </c>
      <c r="L237" s="9" t="str">
        <f t="shared" si="187"/>
        <v>Periodo 2018-2020</v>
      </c>
      <c r="M237" s="9" t="str">
        <f t="shared" si="187"/>
        <v>Toneladas</v>
      </c>
      <c r="N237" s="9" t="str">
        <f t="shared" si="187"/>
        <v>Oficina de Estudios y Políticas Agrarias (ODEPA)</v>
      </c>
      <c r="O237" s="20" t="str">
        <f>"Proporción del destino de la fruta producida por la "&amp;I237&amp;", en el "&amp;Agencia[[#This Row],[temporalidad]]</f>
        <v>Proporción del destino de la fruta producida por la Región de Los Lagos, en el Periodo 2018-2020</v>
      </c>
      <c r="P237" s="20"/>
      <c r="Q237" s="11" t="str">
        <f t="shared" si="184"/>
        <v xml:space="preserve">Gráfico </v>
      </c>
      <c r="R237" s="20" t="str">
        <f>Agencia[[#This Row],[territorio]]&amp;" fruta producción tonelada europa américa asia continente destino interno externo"</f>
        <v>Región de Los Lagos fruta producción tonelada europa américa asia continente destino interno externo</v>
      </c>
      <c r="S237" s="43" t="str">
        <f>HYPERLINK("https://analytics.zoho.com/open-view/2395394000008207486?ZOHO_CRITERIA=%224.6%22.%22C%C3%B3digo_Regi%C3%B3n%22%3D"&amp;Agencia[[#This Row],[Filtro URL]])</f>
        <v>https://analytics.zoho.com/open-view/2395394000008207486?ZOHO_CRITERIA=%224.6%22.%22C%C3%B3digo_Regi%C3%B3n%22%3D10</v>
      </c>
      <c r="T237" s="69" t="str">
        <f>"100-C-"&amp;Agencia[[#This Row],[Filtro URL]]</f>
        <v>100-C-10</v>
      </c>
      <c r="U237" s="50" t="str">
        <f t="shared" si="164"/>
        <v>#1774B9</v>
      </c>
      <c r="V237" s="118" t="str">
        <f>+Agencia[[#This Row],[idcoleccion]]&amp;"-"&amp;Agencia[[#This Row],[id]]</f>
        <v>990-0226</v>
      </c>
      <c r="W237" s="118">
        <f>+VLOOKUP(Agencia[[#This Row],[Filtro URL]],Estructura!$X$4:$Y$500,2,0)</f>
        <v>99200010</v>
      </c>
      <c r="X237" s="118" t="str">
        <f>+VLOOKUP(Agencia[[#This Row],[tema]],Estructura!$A$4:$C$500,3,0)</f>
        <v>T-1031</v>
      </c>
      <c r="Y237" s="118" t="str">
        <f>+VLOOKUP(Agencia[[#This Row],[contenido]],Estructura!$E$4:$G$500,3,0)</f>
        <v>C-997</v>
      </c>
      <c r="Z237" s="118" t="str">
        <f>+VLOOKUP(Agencia[[#This Row],[Filtro Integrado]],Estructura!$I$4:$K$500,3,0)</f>
        <v>FI-991</v>
      </c>
      <c r="AA237" s="118" t="str">
        <f>+VLOOKUP(Agencia[[#This Row],[Muestra]],Estructura!$M$4:$O$500,3,0)</f>
        <v>M-1011</v>
      </c>
    </row>
    <row r="238" spans="1:27" ht="57.6" x14ac:dyDescent="0.3">
      <c r="A238" s="21" t="s">
        <v>675</v>
      </c>
      <c r="B238" s="24">
        <f t="shared" ref="B238:D238" si="194">+B237</f>
        <v>990</v>
      </c>
      <c r="C238" s="25" t="str">
        <f t="shared" si="194"/>
        <v>Agencia Información</v>
      </c>
      <c r="D238" s="25" t="str">
        <f t="shared" si="194"/>
        <v>Agropecuario y Forestal</v>
      </c>
      <c r="E238" s="19">
        <v>11</v>
      </c>
      <c r="F238" s="10" t="s">
        <v>579</v>
      </c>
      <c r="G238" s="10" t="s">
        <v>3763</v>
      </c>
      <c r="H238" s="35" t="s">
        <v>16</v>
      </c>
      <c r="I238" s="36" t="s">
        <v>378</v>
      </c>
      <c r="J238" s="9" t="str">
        <f t="shared" si="187"/>
        <v>Comuna</v>
      </c>
      <c r="K238" s="9" t="str">
        <f t="shared" si="187"/>
        <v>Destino de fruta producida por comuna</v>
      </c>
      <c r="L238" s="9" t="str">
        <f t="shared" si="187"/>
        <v>Periodo 2018-2020</v>
      </c>
      <c r="M238" s="9" t="str">
        <f t="shared" si="187"/>
        <v>Toneladas</v>
      </c>
      <c r="N238" s="9" t="str">
        <f t="shared" si="187"/>
        <v>Oficina de Estudios y Políticas Agrarias (ODEPA)</v>
      </c>
      <c r="O238" s="20" t="str">
        <f>"Proporción del destino de la fruta producida por la "&amp;I238&amp;", en el "&amp;Agencia[[#This Row],[temporalidad]]</f>
        <v>Proporción del destino de la fruta producida por la Región de Aysén, en el Periodo 2018-2020</v>
      </c>
      <c r="P238" s="20"/>
      <c r="Q238" s="11" t="str">
        <f t="shared" si="184"/>
        <v xml:space="preserve">Gráfico </v>
      </c>
      <c r="R238" s="20" t="str">
        <f>Agencia[[#This Row],[territorio]]&amp;" fruta producción tonelada europa américa asia continente destino interno externo"</f>
        <v>Región de Aysén fruta producción tonelada europa américa asia continente destino interno externo</v>
      </c>
      <c r="S238" s="43" t="str">
        <f>HYPERLINK("https://analytics.zoho.com/open-view/2395394000008207486?ZOHO_CRITERIA=%224.6%22.%22C%C3%B3digo_Regi%C3%B3n%22%3D"&amp;Agencia[[#This Row],[Filtro URL]])</f>
        <v>https://analytics.zoho.com/open-view/2395394000008207486?ZOHO_CRITERIA=%224.6%22.%22C%C3%B3digo_Regi%C3%B3n%22%3D11</v>
      </c>
      <c r="T238" s="69" t="str">
        <f>"100-C-"&amp;Agencia[[#This Row],[Filtro URL]]</f>
        <v>100-C-11</v>
      </c>
      <c r="U238" s="50" t="str">
        <f t="shared" si="164"/>
        <v>#1774B9</v>
      </c>
      <c r="V238" s="118" t="str">
        <f>+Agencia[[#This Row],[idcoleccion]]&amp;"-"&amp;Agencia[[#This Row],[id]]</f>
        <v>990-0227</v>
      </c>
      <c r="W238" s="118">
        <f>+VLOOKUP(Agencia[[#This Row],[Filtro URL]],Estructura!$X$4:$Y$500,2,0)</f>
        <v>99200011</v>
      </c>
      <c r="X238" s="118" t="str">
        <f>+VLOOKUP(Agencia[[#This Row],[tema]],Estructura!$A$4:$C$500,3,0)</f>
        <v>T-1031</v>
      </c>
      <c r="Y238" s="118" t="str">
        <f>+VLOOKUP(Agencia[[#This Row],[contenido]],Estructura!$E$4:$G$500,3,0)</f>
        <v>C-997</v>
      </c>
      <c r="Z238" s="118" t="str">
        <f>+VLOOKUP(Agencia[[#This Row],[Filtro Integrado]],Estructura!$I$4:$K$500,3,0)</f>
        <v>FI-991</v>
      </c>
      <c r="AA238" s="118" t="str">
        <f>+VLOOKUP(Agencia[[#This Row],[Muestra]],Estructura!$M$4:$O$500,3,0)</f>
        <v>M-1011</v>
      </c>
    </row>
    <row r="239" spans="1:27" ht="57.6" x14ac:dyDescent="0.3">
      <c r="A239" s="21" t="s">
        <v>676</v>
      </c>
      <c r="B239" s="24">
        <f t="shared" ref="B239:D239" si="195">+B238</f>
        <v>990</v>
      </c>
      <c r="C239" s="25" t="str">
        <f t="shared" si="195"/>
        <v>Agencia Información</v>
      </c>
      <c r="D239" s="25" t="str">
        <f t="shared" si="195"/>
        <v>Agropecuario y Forestal</v>
      </c>
      <c r="E239" s="19">
        <v>12</v>
      </c>
      <c r="F239" s="10" t="s">
        <v>579</v>
      </c>
      <c r="G239" s="10" t="s">
        <v>3763</v>
      </c>
      <c r="H239" s="35" t="s">
        <v>16</v>
      </c>
      <c r="I239" s="36" t="s">
        <v>379</v>
      </c>
      <c r="J239" s="9" t="str">
        <f t="shared" si="187"/>
        <v>Comuna</v>
      </c>
      <c r="K239" s="9" t="str">
        <f t="shared" si="187"/>
        <v>Destino de fruta producida por comuna</v>
      </c>
      <c r="L239" s="9" t="str">
        <f t="shared" si="187"/>
        <v>Periodo 2018-2020</v>
      </c>
      <c r="M239" s="9" t="str">
        <f t="shared" si="187"/>
        <v>Toneladas</v>
      </c>
      <c r="N239" s="9" t="str">
        <f t="shared" si="187"/>
        <v>Oficina de Estudios y Políticas Agrarias (ODEPA)</v>
      </c>
      <c r="O239" s="20" t="str">
        <f>"Proporción del destino de la fruta producida por la "&amp;I239&amp;", en el "&amp;Agencia[[#This Row],[temporalidad]]</f>
        <v>Proporción del destino de la fruta producida por la Región de Magallanes, en el Periodo 2018-2020</v>
      </c>
      <c r="P239" s="20"/>
      <c r="Q239" s="11" t="str">
        <f t="shared" si="184"/>
        <v xml:space="preserve">Gráfico </v>
      </c>
      <c r="R239" s="20" t="str">
        <f>Agencia[[#This Row],[territorio]]&amp;" fruta producción tonelada europa américa asia continente destino interno externo"</f>
        <v>Región de Magallanes fruta producción tonelada europa américa asia continente destino interno externo</v>
      </c>
      <c r="S239" s="43" t="str">
        <f>HYPERLINK("https://analytics.zoho.com/open-view/2395394000008207486?ZOHO_CRITERIA=%224.6%22.%22C%C3%B3digo_Regi%C3%B3n%22%3D"&amp;Agencia[[#This Row],[Filtro URL]])</f>
        <v>https://analytics.zoho.com/open-view/2395394000008207486?ZOHO_CRITERIA=%224.6%22.%22C%C3%B3digo_Regi%C3%B3n%22%3D12</v>
      </c>
      <c r="T239" s="69" t="str">
        <f>"100-C-"&amp;Agencia[[#This Row],[Filtro URL]]</f>
        <v>100-C-12</v>
      </c>
      <c r="U239" s="50" t="str">
        <f t="shared" si="164"/>
        <v>#1774B9</v>
      </c>
      <c r="V239" s="118" t="str">
        <f>+Agencia[[#This Row],[idcoleccion]]&amp;"-"&amp;Agencia[[#This Row],[id]]</f>
        <v>990-0228</v>
      </c>
      <c r="W239" s="118">
        <f>+VLOOKUP(Agencia[[#This Row],[Filtro URL]],Estructura!$X$4:$Y$500,2,0)</f>
        <v>99200012</v>
      </c>
      <c r="X239" s="118" t="str">
        <f>+VLOOKUP(Agencia[[#This Row],[tema]],Estructura!$A$4:$C$500,3,0)</f>
        <v>T-1031</v>
      </c>
      <c r="Y239" s="118" t="str">
        <f>+VLOOKUP(Agencia[[#This Row],[contenido]],Estructura!$E$4:$G$500,3,0)</f>
        <v>C-997</v>
      </c>
      <c r="Z239" s="118" t="str">
        <f>+VLOOKUP(Agencia[[#This Row],[Filtro Integrado]],Estructura!$I$4:$K$500,3,0)</f>
        <v>FI-991</v>
      </c>
      <c r="AA239" s="118" t="str">
        <f>+VLOOKUP(Agencia[[#This Row],[Muestra]],Estructura!$M$4:$O$500,3,0)</f>
        <v>M-1011</v>
      </c>
    </row>
    <row r="240" spans="1:27" ht="57.6" x14ac:dyDescent="0.3">
      <c r="A240" s="21" t="s">
        <v>677</v>
      </c>
      <c r="B240" s="24">
        <f t="shared" ref="B240:D240" si="196">+B239</f>
        <v>990</v>
      </c>
      <c r="C240" s="25" t="str">
        <f t="shared" si="196"/>
        <v>Agencia Información</v>
      </c>
      <c r="D240" s="25" t="str">
        <f t="shared" si="196"/>
        <v>Agropecuario y Forestal</v>
      </c>
      <c r="E240" s="19">
        <v>13</v>
      </c>
      <c r="F240" s="10" t="s">
        <v>579</v>
      </c>
      <c r="G240" s="10" t="s">
        <v>3763</v>
      </c>
      <c r="H240" s="35" t="s">
        <v>16</v>
      </c>
      <c r="I240" s="36" t="s">
        <v>380</v>
      </c>
      <c r="J240" s="9" t="str">
        <f t="shared" si="187"/>
        <v>Comuna</v>
      </c>
      <c r="K240" s="9" t="str">
        <f t="shared" si="187"/>
        <v>Destino de fruta producida por comuna</v>
      </c>
      <c r="L240" s="9" t="str">
        <f t="shared" si="187"/>
        <v>Periodo 2018-2020</v>
      </c>
      <c r="M240" s="9" t="str">
        <f t="shared" si="187"/>
        <v>Toneladas</v>
      </c>
      <c r="N240" s="9" t="str">
        <f t="shared" si="187"/>
        <v>Oficina de Estudios y Políticas Agrarias (ODEPA)</v>
      </c>
      <c r="O240" s="20" t="str">
        <f>"Proporción del destino de la fruta producida por la "&amp;I240&amp;", en el "&amp;Agencia[[#This Row],[temporalidad]]</f>
        <v>Proporción del destino de la fruta producida por la Región Metropolitana, en el Periodo 2018-2020</v>
      </c>
      <c r="P240" s="20"/>
      <c r="Q240" s="11" t="str">
        <f t="shared" si="184"/>
        <v xml:space="preserve">Gráfico </v>
      </c>
      <c r="R240" s="20" t="str">
        <f>Agencia[[#This Row],[territorio]]&amp;" fruta producción tonelada europa américa asia continente destino interno externo"</f>
        <v>Región Metropolitana fruta producción tonelada europa américa asia continente destino interno externo</v>
      </c>
      <c r="S240" s="43" t="str">
        <f>HYPERLINK("https://analytics.zoho.com/open-view/2395394000008207486?ZOHO_CRITERIA=%224.6%22.%22C%C3%B3digo_Regi%C3%B3n%22%3D"&amp;Agencia[[#This Row],[Filtro URL]])</f>
        <v>https://analytics.zoho.com/open-view/2395394000008207486?ZOHO_CRITERIA=%224.6%22.%22C%C3%B3digo_Regi%C3%B3n%22%3D13</v>
      </c>
      <c r="T240" s="69" t="str">
        <f>"200-C-"&amp;Agencia[[#This Row],[Filtro URL]]</f>
        <v>200-C-13</v>
      </c>
      <c r="U240" s="50" t="str">
        <f t="shared" si="164"/>
        <v>#1774B9</v>
      </c>
      <c r="V240" s="118" t="str">
        <f>+Agencia[[#This Row],[idcoleccion]]&amp;"-"&amp;Agencia[[#This Row],[id]]</f>
        <v>990-0229</v>
      </c>
      <c r="W240" s="118">
        <f>+VLOOKUP(Agencia[[#This Row],[Filtro URL]],Estructura!$X$4:$Y$500,2,0)</f>
        <v>99200013</v>
      </c>
      <c r="X240" s="118" t="str">
        <f>+VLOOKUP(Agencia[[#This Row],[tema]],Estructura!$A$4:$C$500,3,0)</f>
        <v>T-1031</v>
      </c>
      <c r="Y240" s="118" t="str">
        <f>+VLOOKUP(Agencia[[#This Row],[contenido]],Estructura!$E$4:$G$500,3,0)</f>
        <v>C-997</v>
      </c>
      <c r="Z240" s="118" t="str">
        <f>+VLOOKUP(Agencia[[#This Row],[Filtro Integrado]],Estructura!$I$4:$K$500,3,0)</f>
        <v>FI-991</v>
      </c>
      <c r="AA240" s="118" t="str">
        <f>+VLOOKUP(Agencia[[#This Row],[Muestra]],Estructura!$M$4:$O$500,3,0)</f>
        <v>M-1011</v>
      </c>
    </row>
    <row r="241" spans="1:27" ht="57.6" x14ac:dyDescent="0.3">
      <c r="A241" s="21" t="s">
        <v>678</v>
      </c>
      <c r="B241" s="24">
        <f t="shared" ref="B241:D241" si="197">+B240</f>
        <v>990</v>
      </c>
      <c r="C241" s="25" t="str">
        <f t="shared" si="197"/>
        <v>Agencia Información</v>
      </c>
      <c r="D241" s="25" t="str">
        <f t="shared" si="197"/>
        <v>Agropecuario y Forestal</v>
      </c>
      <c r="E241" s="19">
        <v>14</v>
      </c>
      <c r="F241" s="10" t="s">
        <v>579</v>
      </c>
      <c r="G241" s="10" t="s">
        <v>3763</v>
      </c>
      <c r="H241" s="35" t="s">
        <v>16</v>
      </c>
      <c r="I241" s="36" t="s">
        <v>381</v>
      </c>
      <c r="J241" s="9" t="str">
        <f t="shared" si="187"/>
        <v>Comuna</v>
      </c>
      <c r="K241" s="9" t="str">
        <f t="shared" si="187"/>
        <v>Destino de fruta producida por comuna</v>
      </c>
      <c r="L241" s="9" t="str">
        <f t="shared" si="187"/>
        <v>Periodo 2018-2020</v>
      </c>
      <c r="M241" s="9" t="str">
        <f t="shared" si="187"/>
        <v>Toneladas</v>
      </c>
      <c r="N241" s="9" t="str">
        <f t="shared" si="187"/>
        <v>Oficina de Estudios y Políticas Agrarias (ODEPA)</v>
      </c>
      <c r="O241" s="20" t="str">
        <f>"Proporción del destino de la fruta producida por la "&amp;I241&amp;", en el "&amp;Agencia[[#This Row],[temporalidad]]</f>
        <v>Proporción del destino de la fruta producida por la Región de Los Ríos, en el Periodo 2018-2020</v>
      </c>
      <c r="P241" s="20"/>
      <c r="Q241" s="11" t="str">
        <f t="shared" si="184"/>
        <v xml:space="preserve">Gráfico </v>
      </c>
      <c r="R241" s="20" t="str">
        <f>Agencia[[#This Row],[territorio]]&amp;" fruta producción tonelada europa américa asia continente destino interno externo"</f>
        <v>Región de Los Ríos fruta producción tonelada europa américa asia continente destino interno externo</v>
      </c>
      <c r="S241" s="43" t="str">
        <f>HYPERLINK("https://analytics.zoho.com/open-view/2395394000008207486?ZOHO_CRITERIA=%224.6%22.%22C%C3%B3digo_Regi%C3%B3n%22%3D"&amp;Agencia[[#This Row],[Filtro URL]])</f>
        <v>https://analytics.zoho.com/open-view/2395394000008207486?ZOHO_CRITERIA=%224.6%22.%22C%C3%B3digo_Regi%C3%B3n%22%3D14</v>
      </c>
      <c r="T241" s="69" t="str">
        <f>"100-C-"&amp;Agencia[[#This Row],[Filtro URL]]</f>
        <v>100-C-14</v>
      </c>
      <c r="U241" s="50" t="str">
        <f t="shared" si="164"/>
        <v>#1774B9</v>
      </c>
      <c r="V241" s="118" t="str">
        <f>+Agencia[[#This Row],[idcoleccion]]&amp;"-"&amp;Agencia[[#This Row],[id]]</f>
        <v>990-0230</v>
      </c>
      <c r="W241" s="118">
        <f>+VLOOKUP(Agencia[[#This Row],[Filtro URL]],Estructura!$X$4:$Y$500,2,0)</f>
        <v>99200014</v>
      </c>
      <c r="X241" s="118" t="str">
        <f>+VLOOKUP(Agencia[[#This Row],[tema]],Estructura!$A$4:$C$500,3,0)</f>
        <v>T-1031</v>
      </c>
      <c r="Y241" s="118" t="str">
        <f>+VLOOKUP(Agencia[[#This Row],[contenido]],Estructura!$E$4:$G$500,3,0)</f>
        <v>C-997</v>
      </c>
      <c r="Z241" s="118" t="str">
        <f>+VLOOKUP(Agencia[[#This Row],[Filtro Integrado]],Estructura!$I$4:$K$500,3,0)</f>
        <v>FI-991</v>
      </c>
      <c r="AA241" s="118" t="str">
        <f>+VLOOKUP(Agencia[[#This Row],[Muestra]],Estructura!$M$4:$O$500,3,0)</f>
        <v>M-1011</v>
      </c>
    </row>
    <row r="242" spans="1:27" ht="57.6" x14ac:dyDescent="0.3">
      <c r="A242" s="21" t="s">
        <v>679</v>
      </c>
      <c r="B242" s="24">
        <f t="shared" ref="B242:D242" si="198">+B241</f>
        <v>990</v>
      </c>
      <c r="C242" s="25" t="str">
        <f t="shared" si="198"/>
        <v>Agencia Información</v>
      </c>
      <c r="D242" s="25" t="str">
        <f t="shared" si="198"/>
        <v>Agropecuario y Forestal</v>
      </c>
      <c r="E242" s="19">
        <v>15</v>
      </c>
      <c r="F242" s="10" t="s">
        <v>579</v>
      </c>
      <c r="G242" s="10" t="s">
        <v>3763</v>
      </c>
      <c r="H242" s="35" t="s">
        <v>16</v>
      </c>
      <c r="I242" s="36" t="s">
        <v>382</v>
      </c>
      <c r="J242" s="9" t="str">
        <f t="shared" si="187"/>
        <v>Comuna</v>
      </c>
      <c r="K242" s="9" t="str">
        <f t="shared" si="187"/>
        <v>Destino de fruta producida por comuna</v>
      </c>
      <c r="L242" s="9" t="str">
        <f t="shared" si="187"/>
        <v>Periodo 2018-2020</v>
      </c>
      <c r="M242" s="9" t="str">
        <f t="shared" si="187"/>
        <v>Toneladas</v>
      </c>
      <c r="N242" s="9" t="str">
        <f t="shared" si="187"/>
        <v>Oficina de Estudios y Políticas Agrarias (ODEPA)</v>
      </c>
      <c r="O242" s="20" t="str">
        <f>"Proporción del destino de la fruta producida por la "&amp;I242&amp;", en el "&amp;Agencia[[#This Row],[temporalidad]]</f>
        <v>Proporción del destino de la fruta producida por la Región de Arica y Parinacota, en el Periodo 2018-2020</v>
      </c>
      <c r="P242" s="20"/>
      <c r="Q242" s="11" t="str">
        <f t="shared" si="184"/>
        <v xml:space="preserve">Gráfico </v>
      </c>
      <c r="R242" s="20" t="str">
        <f>Agencia[[#This Row],[territorio]]&amp;" fruta producción tonelada europa américa asia continente destino interno externo"</f>
        <v>Región de Arica y Parinacota fruta producción tonelada europa américa asia continente destino interno externo</v>
      </c>
      <c r="S242" s="43" t="str">
        <f>HYPERLINK("https://analytics.zoho.com/open-view/2395394000008207486?ZOHO_CRITERIA=%224.6%22.%22C%C3%B3digo_Regi%C3%B3n%22%3D"&amp;Agencia[[#This Row],[Filtro URL]])</f>
        <v>https://analytics.zoho.com/open-view/2395394000008207486?ZOHO_CRITERIA=%224.6%22.%22C%C3%B3digo_Regi%C3%B3n%22%3D15</v>
      </c>
      <c r="T242" s="69" t="str">
        <f>"100-C-"&amp;Agencia[[#This Row],[Filtro URL]]</f>
        <v>100-C-15</v>
      </c>
      <c r="U242" s="50" t="str">
        <f t="shared" ref="U242:U249" si="199">+U241</f>
        <v>#1774B9</v>
      </c>
      <c r="V242" s="118" t="str">
        <f>+Agencia[[#This Row],[idcoleccion]]&amp;"-"&amp;Agencia[[#This Row],[id]]</f>
        <v>990-0231</v>
      </c>
      <c r="W242" s="118">
        <f>+VLOOKUP(Agencia[[#This Row],[Filtro URL]],Estructura!$X$4:$Y$500,2,0)</f>
        <v>99200015</v>
      </c>
      <c r="X242" s="118" t="str">
        <f>+VLOOKUP(Agencia[[#This Row],[tema]],Estructura!$A$4:$C$500,3,0)</f>
        <v>T-1031</v>
      </c>
      <c r="Y242" s="118" t="str">
        <f>+VLOOKUP(Agencia[[#This Row],[contenido]],Estructura!$E$4:$G$500,3,0)</f>
        <v>C-997</v>
      </c>
      <c r="Z242" s="118" t="str">
        <f>+VLOOKUP(Agencia[[#This Row],[Filtro Integrado]],Estructura!$I$4:$K$500,3,0)</f>
        <v>FI-991</v>
      </c>
      <c r="AA242" s="118" t="str">
        <f>+VLOOKUP(Agencia[[#This Row],[Muestra]],Estructura!$M$4:$O$500,3,0)</f>
        <v>M-1011</v>
      </c>
    </row>
    <row r="243" spans="1:27" ht="57.6" x14ac:dyDescent="0.3">
      <c r="A243" s="21" t="s">
        <v>680</v>
      </c>
      <c r="B243" s="24">
        <f t="shared" ref="B243:D243" si="200">+B242</f>
        <v>990</v>
      </c>
      <c r="C243" s="25" t="str">
        <f t="shared" si="200"/>
        <v>Agencia Información</v>
      </c>
      <c r="D243" s="25" t="str">
        <f t="shared" si="200"/>
        <v>Agropecuario y Forestal</v>
      </c>
      <c r="E243" s="19">
        <v>16</v>
      </c>
      <c r="F243" s="10" t="s">
        <v>579</v>
      </c>
      <c r="G243" s="10" t="s">
        <v>3763</v>
      </c>
      <c r="H243" s="35" t="s">
        <v>16</v>
      </c>
      <c r="I243" s="36" t="s">
        <v>383</v>
      </c>
      <c r="J243" s="9" t="str">
        <f t="shared" si="187"/>
        <v>Comuna</v>
      </c>
      <c r="K243" s="9" t="str">
        <f t="shared" si="187"/>
        <v>Destino de fruta producida por comuna</v>
      </c>
      <c r="L243" s="9" t="str">
        <f t="shared" si="187"/>
        <v>Periodo 2018-2020</v>
      </c>
      <c r="M243" s="9" t="str">
        <f t="shared" si="187"/>
        <v>Toneladas</v>
      </c>
      <c r="N243" s="9" t="str">
        <f t="shared" si="187"/>
        <v>Oficina de Estudios y Políticas Agrarias (ODEPA)</v>
      </c>
      <c r="O243" s="20" t="str">
        <f>"Proporción del destino de la fruta producida por la "&amp;I243&amp;", en el "&amp;Agencia[[#This Row],[temporalidad]]</f>
        <v>Proporción del destino de la fruta producida por la Región de Ñuble, en el Periodo 2018-2020</v>
      </c>
      <c r="P243" s="20"/>
      <c r="Q243" s="11" t="str">
        <f t="shared" si="184"/>
        <v xml:space="preserve">Gráfico </v>
      </c>
      <c r="R243" s="20" t="str">
        <f>Agencia[[#This Row],[territorio]]&amp;" fruta producción tonelada europa américa asia continente destino interno externo"</f>
        <v>Región de Ñuble fruta producción tonelada europa américa asia continente destino interno externo</v>
      </c>
      <c r="S243" s="43" t="str">
        <f>HYPERLINK("https://analytics.zoho.com/open-view/2395394000008207486?ZOHO_CRITERIA=%224.6%22.%22C%C3%B3digo_Regi%C3%B3n%22%3D"&amp;Agencia[[#This Row],[Filtro URL]])</f>
        <v>https://analytics.zoho.com/open-view/2395394000008207486?ZOHO_CRITERIA=%224.6%22.%22C%C3%B3digo_Regi%C3%B3n%22%3D16</v>
      </c>
      <c r="T243" s="69" t="str">
        <f>"100-C-"&amp;Agencia[[#This Row],[Filtro URL]]</f>
        <v>100-C-16</v>
      </c>
      <c r="U243" s="50" t="str">
        <f t="shared" si="199"/>
        <v>#1774B9</v>
      </c>
      <c r="V243" s="118" t="str">
        <f>+Agencia[[#This Row],[idcoleccion]]&amp;"-"&amp;Agencia[[#This Row],[id]]</f>
        <v>990-0232</v>
      </c>
      <c r="W243" s="118">
        <f>+VLOOKUP(Agencia[[#This Row],[Filtro URL]],Estructura!$X$4:$Y$500,2,0)</f>
        <v>99200016</v>
      </c>
      <c r="X243" s="118" t="str">
        <f>+VLOOKUP(Agencia[[#This Row],[tema]],Estructura!$A$4:$C$500,3,0)</f>
        <v>T-1031</v>
      </c>
      <c r="Y243" s="118" t="str">
        <f>+VLOOKUP(Agencia[[#This Row],[contenido]],Estructura!$E$4:$G$500,3,0)</f>
        <v>C-997</v>
      </c>
      <c r="Z243" s="118" t="str">
        <f>+VLOOKUP(Agencia[[#This Row],[Filtro Integrado]],Estructura!$I$4:$K$500,3,0)</f>
        <v>FI-991</v>
      </c>
      <c r="AA243" s="118" t="str">
        <f>+VLOOKUP(Agencia[[#This Row],[Muestra]],Estructura!$M$4:$O$500,3,0)</f>
        <v>M-1011</v>
      </c>
    </row>
    <row r="244" spans="1:27" ht="71.400000000000006" x14ac:dyDescent="0.3">
      <c r="A244" s="21" t="s">
        <v>681</v>
      </c>
      <c r="B244" s="24">
        <f t="shared" ref="B244:D244" si="201">+B243</f>
        <v>990</v>
      </c>
      <c r="C244" s="25" t="str">
        <f t="shared" si="201"/>
        <v>Agencia Información</v>
      </c>
      <c r="D244" s="25" t="str">
        <f t="shared" si="201"/>
        <v>Agropecuario y Forestal</v>
      </c>
      <c r="E244" s="14">
        <v>0</v>
      </c>
      <c r="F244" s="10" t="s">
        <v>868</v>
      </c>
      <c r="G244" s="10" t="s">
        <v>3763</v>
      </c>
      <c r="H244" s="33" t="s">
        <v>20</v>
      </c>
      <c r="I244" s="34" t="s">
        <v>15</v>
      </c>
      <c r="J244" s="9" t="s">
        <v>404</v>
      </c>
      <c r="K244" s="9" t="s">
        <v>864</v>
      </c>
      <c r="L244" s="9" t="s">
        <v>865</v>
      </c>
      <c r="M244" s="9" t="s">
        <v>612</v>
      </c>
      <c r="N244" s="9" t="s">
        <v>619</v>
      </c>
      <c r="O244" s="20" t="s">
        <v>863</v>
      </c>
      <c r="P244" s="20" t="s">
        <v>866</v>
      </c>
      <c r="Q244" s="11" t="s">
        <v>821</v>
      </c>
      <c r="R244" s="20" t="str">
        <f>Agencia[[#This Row],[territorio]]&amp;" plantación lechuga hortalizas superficie hectáreas"</f>
        <v>Chile plantación lechuga hortalizas superficie hectáreas</v>
      </c>
      <c r="S244" s="39" t="s">
        <v>867</v>
      </c>
      <c r="T244" s="68" t="s">
        <v>855</v>
      </c>
      <c r="U244" s="50" t="str">
        <f t="shared" si="199"/>
        <v>#1774B9</v>
      </c>
      <c r="V244" s="118" t="str">
        <f>+Agencia[[#This Row],[idcoleccion]]&amp;"-"&amp;Agencia[[#This Row],[id]]</f>
        <v>990-0233</v>
      </c>
      <c r="W244" s="118">
        <f>+VLOOKUP(Agencia[[#This Row],[Filtro URL]],Estructura!$X$4:$Y$500,2,0)</f>
        <v>99100000</v>
      </c>
      <c r="X244" s="118" t="str">
        <f>+VLOOKUP(Agencia[[#This Row],[tema]],Estructura!$A$4:$C$500,3,0)</f>
        <v>T-1036</v>
      </c>
      <c r="Y244" s="118" t="str">
        <f>+VLOOKUP(Agencia[[#This Row],[contenido]],Estructura!$E$4:$G$500,3,0)</f>
        <v>C-997</v>
      </c>
      <c r="Z244" s="118" t="str">
        <f>+VLOOKUP(Agencia[[#This Row],[Filtro Integrado]],Estructura!$I$4:$K$500,3,0)</f>
        <v>FI-993</v>
      </c>
      <c r="AA244" s="118" t="str">
        <f>+VLOOKUP(Agencia[[#This Row],[Muestra]],Estructura!$M$4:$O$500,3,0)</f>
        <v>M-1012</v>
      </c>
    </row>
    <row r="245" spans="1:27" ht="57.6" x14ac:dyDescent="0.3">
      <c r="A245" s="21" t="s">
        <v>682</v>
      </c>
      <c r="B245" s="24">
        <f>+B244</f>
        <v>990</v>
      </c>
      <c r="C245" s="25" t="str">
        <f t="shared" ref="C245:D245" si="202">+C244</f>
        <v>Agencia Información</v>
      </c>
      <c r="D245" s="25" t="str">
        <f t="shared" si="202"/>
        <v>Agropecuario y Forestal</v>
      </c>
      <c r="E245" s="19">
        <v>3</v>
      </c>
      <c r="F245" s="10" t="s">
        <v>868</v>
      </c>
      <c r="G245" s="10" t="s">
        <v>3763</v>
      </c>
      <c r="H245" s="35" t="s">
        <v>16</v>
      </c>
      <c r="I245" s="36" t="s">
        <v>370</v>
      </c>
      <c r="J245" s="24" t="str">
        <f t="shared" ref="J245" si="203">+J244</f>
        <v>Ninguno</v>
      </c>
      <c r="K245" s="24" t="str">
        <f t="shared" ref="K245" si="204">+K244</f>
        <v>Superficie plantada por región</v>
      </c>
      <c r="L245" s="24" t="str">
        <f t="shared" ref="L245" si="205">+L244</f>
        <v>Periodo 2010-2019</v>
      </c>
      <c r="M245" s="24" t="str">
        <f t="shared" ref="M245" si="206">+M244</f>
        <v>Hectáreas</v>
      </c>
      <c r="N245" s="24" t="str">
        <f t="shared" ref="N245" si="207">+N244</f>
        <v>Oficina de Estudios y Políticas Agrarias (ODEPA)</v>
      </c>
      <c r="O245" s="20" t="str">
        <f>"Evolución anual de superficie plantada (ha) de lechuga en la "&amp;Agencia[[#This Row],[territorio]]</f>
        <v>Evolución anual de superficie plantada (ha) de lechuga en la Región de Atacama</v>
      </c>
      <c r="P245" s="20"/>
      <c r="Q245" s="11" t="str">
        <f t="shared" ref="Q245" si="208">+Q244</f>
        <v>Gráfico de Evolución</v>
      </c>
      <c r="R245" s="20" t="str">
        <f>Agencia[[#This Row],[territorio]]&amp;" plantación lechuga hortalizas superficie hectáreas"</f>
        <v>Región de Atacama plantación lechuga hortalizas superficie hectáreas</v>
      </c>
      <c r="S245" s="39" t="str">
        <f>HYPERLINK("https://analytics.zoho.com/open-view/2395394000008209595?ZOHO_CRITERIA=%22Trasposicion_4.7%22.%22C%C3%B3digo_Regi%C3%B3n%22%3D"&amp;Agencia[[#This Row],[Filtro URL]])</f>
        <v>https://analytics.zoho.com/open-view/2395394000008209595?ZOHO_CRITERIA=%22Trasposicion_4.7%22.%22C%C3%B3digo_Regi%C3%B3n%22%3D3</v>
      </c>
      <c r="T245" s="68" t="str">
        <f>"100-R-"&amp;Agencia[[#This Row],[Filtro URL]]</f>
        <v>100-R-3</v>
      </c>
      <c r="U245" s="50" t="str">
        <f t="shared" si="199"/>
        <v>#1774B9</v>
      </c>
      <c r="V245" s="118" t="str">
        <f>+Agencia[[#This Row],[idcoleccion]]&amp;"-"&amp;Agencia[[#This Row],[id]]</f>
        <v>990-0234</v>
      </c>
      <c r="W245" s="118">
        <f>+VLOOKUP(Agencia[[#This Row],[Filtro URL]],Estructura!$X$4:$Y$500,2,0)</f>
        <v>99200003</v>
      </c>
      <c r="X245" s="118" t="str">
        <f>+VLOOKUP(Agencia[[#This Row],[tema]],Estructura!$A$4:$C$500,3,0)</f>
        <v>T-1036</v>
      </c>
      <c r="Y245" s="118" t="str">
        <f>+VLOOKUP(Agencia[[#This Row],[contenido]],Estructura!$E$4:$G$500,3,0)</f>
        <v>C-997</v>
      </c>
      <c r="Z245" s="118" t="str">
        <f>+VLOOKUP(Agencia[[#This Row],[Filtro Integrado]],Estructura!$I$4:$K$500,3,0)</f>
        <v>FI-993</v>
      </c>
      <c r="AA245" s="118" t="str">
        <f>+VLOOKUP(Agencia[[#This Row],[Muestra]],Estructura!$M$4:$O$500,3,0)</f>
        <v>M-1012</v>
      </c>
    </row>
    <row r="246" spans="1:27" ht="57.6" x14ac:dyDescent="0.3">
      <c r="A246" s="21" t="s">
        <v>683</v>
      </c>
      <c r="B246" s="24">
        <f t="shared" ref="B246:D246" si="209">+B245</f>
        <v>990</v>
      </c>
      <c r="C246" s="25" t="str">
        <f t="shared" si="209"/>
        <v>Agencia Información</v>
      </c>
      <c r="D246" s="25" t="str">
        <f t="shared" si="209"/>
        <v>Agropecuario y Forestal</v>
      </c>
      <c r="E246" s="19">
        <v>4</v>
      </c>
      <c r="F246" s="10" t="s">
        <v>868</v>
      </c>
      <c r="G246" s="10" t="s">
        <v>3763</v>
      </c>
      <c r="H246" s="35" t="s">
        <v>16</v>
      </c>
      <c r="I246" s="36" t="s">
        <v>371</v>
      </c>
      <c r="J246" s="9" t="str">
        <f t="shared" ref="J246:N251" si="210">+J245</f>
        <v>Ninguno</v>
      </c>
      <c r="K246" s="9" t="str">
        <f t="shared" si="210"/>
        <v>Superficie plantada por región</v>
      </c>
      <c r="L246" s="9" t="str">
        <f t="shared" si="210"/>
        <v>Periodo 2010-2019</v>
      </c>
      <c r="M246" s="9" t="str">
        <f t="shared" si="210"/>
        <v>Hectáreas</v>
      </c>
      <c r="N246" s="9" t="str">
        <f t="shared" si="210"/>
        <v>Oficina de Estudios y Políticas Agrarias (ODEPA)</v>
      </c>
      <c r="O246" s="20" t="str">
        <f>"Evolución anual de superficie plantada (ha) de lechuga en la "&amp;Agencia[[#This Row],[territorio]]</f>
        <v>Evolución anual de superficie plantada (ha) de lechuga en la Región de Coquimbo</v>
      </c>
      <c r="P246" s="20"/>
      <c r="Q246" s="11" t="str">
        <f t="shared" si="184"/>
        <v>Gráfico de Evolución</v>
      </c>
      <c r="R246" s="20" t="str">
        <f>Agencia[[#This Row],[territorio]]&amp;" plantación lechuga hortalizas superficie hectáreas"</f>
        <v>Región de Coquimbo plantación lechuga hortalizas superficie hectáreas</v>
      </c>
      <c r="S246" s="39" t="str">
        <f>HYPERLINK("https://analytics.zoho.com/open-view/2395394000008209595?ZOHO_CRITERIA=%22Trasposicion_4.7%22.%22C%C3%B3digo_Regi%C3%B3n%22%3D"&amp;Agencia[[#This Row],[Filtro URL]])</f>
        <v>https://analytics.zoho.com/open-view/2395394000008209595?ZOHO_CRITERIA=%22Trasposicion_4.7%22.%22C%C3%B3digo_Regi%C3%B3n%22%3D4</v>
      </c>
      <c r="T246" s="68" t="str">
        <f>"100-R-"&amp;Agencia[[#This Row],[Filtro URL]]</f>
        <v>100-R-4</v>
      </c>
      <c r="U246" s="50" t="str">
        <f t="shared" si="199"/>
        <v>#1774B9</v>
      </c>
      <c r="V246" s="118" t="str">
        <f>+Agencia[[#This Row],[idcoleccion]]&amp;"-"&amp;Agencia[[#This Row],[id]]</f>
        <v>990-0235</v>
      </c>
      <c r="W246" s="118">
        <f>+VLOOKUP(Agencia[[#This Row],[Filtro URL]],Estructura!$X$4:$Y$500,2,0)</f>
        <v>99200004</v>
      </c>
      <c r="X246" s="118" t="str">
        <f>+VLOOKUP(Agencia[[#This Row],[tema]],Estructura!$A$4:$C$500,3,0)</f>
        <v>T-1036</v>
      </c>
      <c r="Y246" s="118" t="str">
        <f>+VLOOKUP(Agencia[[#This Row],[contenido]],Estructura!$E$4:$G$500,3,0)</f>
        <v>C-997</v>
      </c>
      <c r="Z246" s="118" t="str">
        <f>+VLOOKUP(Agencia[[#This Row],[Filtro Integrado]],Estructura!$I$4:$K$500,3,0)</f>
        <v>FI-993</v>
      </c>
      <c r="AA246" s="118" t="str">
        <f>+VLOOKUP(Agencia[[#This Row],[Muestra]],Estructura!$M$4:$O$500,3,0)</f>
        <v>M-1012</v>
      </c>
    </row>
    <row r="247" spans="1:27" ht="57.6" x14ac:dyDescent="0.3">
      <c r="A247" s="21" t="s">
        <v>684</v>
      </c>
      <c r="B247" s="24">
        <f t="shared" ref="B247:D247" si="211">+B246</f>
        <v>990</v>
      </c>
      <c r="C247" s="25" t="str">
        <f t="shared" si="211"/>
        <v>Agencia Información</v>
      </c>
      <c r="D247" s="25" t="str">
        <f t="shared" si="211"/>
        <v>Agropecuario y Forestal</v>
      </c>
      <c r="E247" s="19">
        <v>5</v>
      </c>
      <c r="F247" s="10" t="s">
        <v>868</v>
      </c>
      <c r="G247" s="10" t="s">
        <v>3763</v>
      </c>
      <c r="H247" s="35" t="s">
        <v>16</v>
      </c>
      <c r="I247" s="36" t="s">
        <v>372</v>
      </c>
      <c r="J247" s="9" t="str">
        <f t="shared" si="210"/>
        <v>Ninguno</v>
      </c>
      <c r="K247" s="9" t="str">
        <f t="shared" si="210"/>
        <v>Superficie plantada por región</v>
      </c>
      <c r="L247" s="9" t="str">
        <f t="shared" si="210"/>
        <v>Periodo 2010-2019</v>
      </c>
      <c r="M247" s="9" t="str">
        <f t="shared" si="210"/>
        <v>Hectáreas</v>
      </c>
      <c r="N247" s="9" t="str">
        <f t="shared" si="210"/>
        <v>Oficina de Estudios y Políticas Agrarias (ODEPA)</v>
      </c>
      <c r="O247" s="20" t="str">
        <f>"Evolución anual de superficie plantada (ha) de lechuga en la "&amp;Agencia[[#This Row],[territorio]]</f>
        <v>Evolución anual de superficie plantada (ha) de lechuga en la Región de Valparaíso</v>
      </c>
      <c r="P247" s="20"/>
      <c r="Q247" s="11" t="str">
        <f t="shared" si="184"/>
        <v>Gráfico de Evolución</v>
      </c>
      <c r="R247" s="20" t="str">
        <f>Agencia[[#This Row],[territorio]]&amp;" plantación lechuga hortalizas superficie hectáreas"</f>
        <v>Región de Valparaíso plantación lechuga hortalizas superficie hectáreas</v>
      </c>
      <c r="S247" s="39" t="str">
        <f>HYPERLINK("https://analytics.zoho.com/open-view/2395394000008209595?ZOHO_CRITERIA=%22Trasposicion_4.7%22.%22C%C3%B3digo_Regi%C3%B3n%22%3D"&amp;Agencia[[#This Row],[Filtro URL]])</f>
        <v>https://analytics.zoho.com/open-view/2395394000008209595?ZOHO_CRITERIA=%22Trasposicion_4.7%22.%22C%C3%B3digo_Regi%C3%B3n%22%3D5</v>
      </c>
      <c r="T247" s="68" t="str">
        <f>"100-R-"&amp;Agencia[[#This Row],[Filtro URL]]</f>
        <v>100-R-5</v>
      </c>
      <c r="U247" s="50" t="str">
        <f t="shared" si="199"/>
        <v>#1774B9</v>
      </c>
      <c r="V247" s="118" t="str">
        <f>+Agencia[[#This Row],[idcoleccion]]&amp;"-"&amp;Agencia[[#This Row],[id]]</f>
        <v>990-0236</v>
      </c>
      <c r="W247" s="118">
        <f>+VLOOKUP(Agencia[[#This Row],[Filtro URL]],Estructura!$X$4:$Y$500,2,0)</f>
        <v>99200005</v>
      </c>
      <c r="X247" s="118" t="str">
        <f>+VLOOKUP(Agencia[[#This Row],[tema]],Estructura!$A$4:$C$500,3,0)</f>
        <v>T-1036</v>
      </c>
      <c r="Y247" s="118" t="str">
        <f>+VLOOKUP(Agencia[[#This Row],[contenido]],Estructura!$E$4:$G$500,3,0)</f>
        <v>C-997</v>
      </c>
      <c r="Z247" s="118" t="str">
        <f>+VLOOKUP(Agencia[[#This Row],[Filtro Integrado]],Estructura!$I$4:$K$500,3,0)</f>
        <v>FI-993</v>
      </c>
      <c r="AA247" s="118" t="str">
        <f>+VLOOKUP(Agencia[[#This Row],[Muestra]],Estructura!$M$4:$O$500,3,0)</f>
        <v>M-1012</v>
      </c>
    </row>
    <row r="248" spans="1:27" ht="57.6" x14ac:dyDescent="0.3">
      <c r="A248" s="21" t="s">
        <v>685</v>
      </c>
      <c r="B248" s="24">
        <f t="shared" ref="B248:D248" si="212">+B247</f>
        <v>990</v>
      </c>
      <c r="C248" s="25" t="str">
        <f t="shared" si="212"/>
        <v>Agencia Información</v>
      </c>
      <c r="D248" s="25" t="str">
        <f t="shared" si="212"/>
        <v>Agropecuario y Forestal</v>
      </c>
      <c r="E248" s="19">
        <v>6</v>
      </c>
      <c r="F248" s="10" t="s">
        <v>868</v>
      </c>
      <c r="G248" s="10" t="s">
        <v>3763</v>
      </c>
      <c r="H248" s="35" t="s">
        <v>16</v>
      </c>
      <c r="I248" s="36" t="s">
        <v>373</v>
      </c>
      <c r="J248" s="9" t="str">
        <f t="shared" si="210"/>
        <v>Ninguno</v>
      </c>
      <c r="K248" s="9" t="str">
        <f t="shared" si="210"/>
        <v>Superficie plantada por región</v>
      </c>
      <c r="L248" s="9" t="str">
        <f t="shared" si="210"/>
        <v>Periodo 2010-2019</v>
      </c>
      <c r="M248" s="9" t="str">
        <f t="shared" si="210"/>
        <v>Hectáreas</v>
      </c>
      <c r="N248" s="9" t="str">
        <f t="shared" si="210"/>
        <v>Oficina de Estudios y Políticas Agrarias (ODEPA)</v>
      </c>
      <c r="O248" s="20" t="str">
        <f>"Evolución anual de superficie plantada (ha) de lechuga en la "&amp;Agencia[[#This Row],[territorio]]</f>
        <v>Evolución anual de superficie plantada (ha) de lechuga en la Región de O'Higgins</v>
      </c>
      <c r="P248" s="20"/>
      <c r="Q248" s="11" t="str">
        <f t="shared" si="184"/>
        <v>Gráfico de Evolución</v>
      </c>
      <c r="R248" s="20" t="str">
        <f>Agencia[[#This Row],[territorio]]&amp;" plantación lechuga hortalizas superficie hectáreas"</f>
        <v>Región de O'Higgins plantación lechuga hortalizas superficie hectáreas</v>
      </c>
      <c r="S248" s="39" t="str">
        <f>HYPERLINK("https://analytics.zoho.com/open-view/2395394000008209595?ZOHO_CRITERIA=%22Trasposicion_4.7%22.%22C%C3%B3digo_Regi%C3%B3n%22%3D"&amp;Agencia[[#This Row],[Filtro URL]])</f>
        <v>https://analytics.zoho.com/open-view/2395394000008209595?ZOHO_CRITERIA=%22Trasposicion_4.7%22.%22C%C3%B3digo_Regi%C3%B3n%22%3D6</v>
      </c>
      <c r="T248" s="68" t="str">
        <f>"100-R-"&amp;Agencia[[#This Row],[Filtro URL]]</f>
        <v>100-R-6</v>
      </c>
      <c r="U248" s="50" t="str">
        <f t="shared" si="199"/>
        <v>#1774B9</v>
      </c>
      <c r="V248" s="118" t="str">
        <f>+Agencia[[#This Row],[idcoleccion]]&amp;"-"&amp;Agencia[[#This Row],[id]]</f>
        <v>990-0237</v>
      </c>
      <c r="W248" s="118">
        <f>+VLOOKUP(Agencia[[#This Row],[Filtro URL]],Estructura!$X$4:$Y$500,2,0)</f>
        <v>99200006</v>
      </c>
      <c r="X248" s="118" t="str">
        <f>+VLOOKUP(Agencia[[#This Row],[tema]],Estructura!$A$4:$C$500,3,0)</f>
        <v>T-1036</v>
      </c>
      <c r="Y248" s="118" t="str">
        <f>+VLOOKUP(Agencia[[#This Row],[contenido]],Estructura!$E$4:$G$500,3,0)</f>
        <v>C-997</v>
      </c>
      <c r="Z248" s="118" t="str">
        <f>+VLOOKUP(Agencia[[#This Row],[Filtro Integrado]],Estructura!$I$4:$K$500,3,0)</f>
        <v>FI-993</v>
      </c>
      <c r="AA248" s="118" t="str">
        <f>+VLOOKUP(Agencia[[#This Row],[Muestra]],Estructura!$M$4:$O$500,3,0)</f>
        <v>M-1012</v>
      </c>
    </row>
    <row r="249" spans="1:27" ht="57.6" x14ac:dyDescent="0.3">
      <c r="A249" s="21" t="s">
        <v>686</v>
      </c>
      <c r="B249" s="24">
        <f t="shared" ref="B249:D249" si="213">+B248</f>
        <v>990</v>
      </c>
      <c r="C249" s="25" t="str">
        <f t="shared" si="213"/>
        <v>Agencia Información</v>
      </c>
      <c r="D249" s="25" t="str">
        <f t="shared" si="213"/>
        <v>Agropecuario y Forestal</v>
      </c>
      <c r="E249" s="19">
        <v>7</v>
      </c>
      <c r="F249" s="10" t="s">
        <v>868</v>
      </c>
      <c r="G249" s="10" t="s">
        <v>3763</v>
      </c>
      <c r="H249" s="35" t="s">
        <v>16</v>
      </c>
      <c r="I249" s="36" t="s">
        <v>374</v>
      </c>
      <c r="J249" s="9" t="str">
        <f t="shared" si="210"/>
        <v>Ninguno</v>
      </c>
      <c r="K249" s="9" t="str">
        <f t="shared" si="210"/>
        <v>Superficie plantada por región</v>
      </c>
      <c r="L249" s="9" t="str">
        <f t="shared" si="210"/>
        <v>Periodo 2010-2019</v>
      </c>
      <c r="M249" s="9" t="str">
        <f t="shared" si="210"/>
        <v>Hectáreas</v>
      </c>
      <c r="N249" s="9" t="str">
        <f t="shared" si="210"/>
        <v>Oficina de Estudios y Políticas Agrarias (ODEPA)</v>
      </c>
      <c r="O249" s="20" t="str">
        <f>"Evolución anual de superficie plantada (ha) de lechuga en la "&amp;Agencia[[#This Row],[territorio]]</f>
        <v>Evolución anual de superficie plantada (ha) de lechuga en la Región de Maule</v>
      </c>
      <c r="P249" s="20"/>
      <c r="Q249" s="11" t="str">
        <f t="shared" si="184"/>
        <v>Gráfico de Evolución</v>
      </c>
      <c r="R249" s="20" t="str">
        <f>Agencia[[#This Row],[territorio]]&amp;" plantación lechuga hortalizas superficie hectáreas"</f>
        <v>Región de Maule plantación lechuga hortalizas superficie hectáreas</v>
      </c>
      <c r="S249" s="39" t="str">
        <f>HYPERLINK("https://analytics.zoho.com/open-view/2395394000008209595?ZOHO_CRITERIA=%22Trasposicion_4.7%22.%22C%C3%B3digo_Regi%C3%B3n%22%3D"&amp;Agencia[[#This Row],[Filtro URL]])</f>
        <v>https://analytics.zoho.com/open-view/2395394000008209595?ZOHO_CRITERIA=%22Trasposicion_4.7%22.%22C%C3%B3digo_Regi%C3%B3n%22%3D7</v>
      </c>
      <c r="T249" s="68" t="str">
        <f>"100-R-"&amp;Agencia[[#This Row],[Filtro URL]]</f>
        <v>100-R-7</v>
      </c>
      <c r="U249" s="120" t="str">
        <f t="shared" si="199"/>
        <v>#1774B9</v>
      </c>
      <c r="V249" s="118" t="str">
        <f>+Agencia[[#This Row],[idcoleccion]]&amp;"-"&amp;Agencia[[#This Row],[id]]</f>
        <v>990-0238</v>
      </c>
      <c r="W249" s="118">
        <f>+VLOOKUP(Agencia[[#This Row],[Filtro URL]],Estructura!$X$4:$Y$500,2,0)</f>
        <v>99200007</v>
      </c>
      <c r="X249" s="118" t="str">
        <f>+VLOOKUP(Agencia[[#This Row],[tema]],Estructura!$A$4:$C$500,3,0)</f>
        <v>T-1036</v>
      </c>
      <c r="Y249" s="118" t="str">
        <f>+VLOOKUP(Agencia[[#This Row],[contenido]],Estructura!$E$4:$G$500,3,0)</f>
        <v>C-997</v>
      </c>
      <c r="Z249" s="118" t="str">
        <f>+VLOOKUP(Agencia[[#This Row],[Filtro Integrado]],Estructura!$I$4:$K$500,3,0)</f>
        <v>FI-993</v>
      </c>
      <c r="AA249" s="118" t="str">
        <f>+VLOOKUP(Agencia[[#This Row],[Muestra]],Estructura!$M$4:$O$500,3,0)</f>
        <v>M-1012</v>
      </c>
    </row>
    <row r="250" spans="1:27" ht="57.6" x14ac:dyDescent="0.3">
      <c r="A250" s="21" t="s">
        <v>687</v>
      </c>
      <c r="B250" s="24">
        <f t="shared" ref="B250:D250" si="214">+B249</f>
        <v>990</v>
      </c>
      <c r="C250" s="25" t="str">
        <f t="shared" si="214"/>
        <v>Agencia Información</v>
      </c>
      <c r="D250" s="25" t="str">
        <f t="shared" si="214"/>
        <v>Agropecuario y Forestal</v>
      </c>
      <c r="E250" s="19">
        <v>8</v>
      </c>
      <c r="F250" s="10" t="s">
        <v>868</v>
      </c>
      <c r="G250" s="10" t="s">
        <v>3763</v>
      </c>
      <c r="H250" s="35" t="s">
        <v>16</v>
      </c>
      <c r="I250" s="36" t="s">
        <v>375</v>
      </c>
      <c r="J250" s="9" t="str">
        <f t="shared" si="210"/>
        <v>Ninguno</v>
      </c>
      <c r="K250" s="9" t="str">
        <f t="shared" si="210"/>
        <v>Superficie plantada por región</v>
      </c>
      <c r="L250" s="9" t="str">
        <f t="shared" si="210"/>
        <v>Periodo 2010-2019</v>
      </c>
      <c r="M250" s="9" t="str">
        <f t="shared" si="210"/>
        <v>Hectáreas</v>
      </c>
      <c r="N250" s="9" t="str">
        <f t="shared" si="210"/>
        <v>Oficina de Estudios y Políticas Agrarias (ODEPA)</v>
      </c>
      <c r="O250" s="20" t="str">
        <f>"Evolución anual de superficie plantada (ha) de lechuga en la "&amp;Agencia[[#This Row],[territorio]]</f>
        <v>Evolución anual de superficie plantada (ha) de lechuga en la Región del Biobío</v>
      </c>
      <c r="P250" s="20"/>
      <c r="Q250" s="11" t="str">
        <f t="shared" si="184"/>
        <v>Gráfico de Evolución</v>
      </c>
      <c r="R250" s="20" t="str">
        <f>Agencia[[#This Row],[territorio]]&amp;" plantación lechuga hortalizas superficie hectáreas"</f>
        <v>Región del Biobío plantación lechuga hortalizas superficie hectáreas</v>
      </c>
      <c r="S250" s="39" t="str">
        <f>HYPERLINK("https://analytics.zoho.com/open-view/2395394000008209595?ZOHO_CRITERIA=%22Trasposicion_4.7%22.%22C%C3%B3digo_Regi%C3%B3n%22%3D"&amp;Agencia[[#This Row],[Filtro URL]])</f>
        <v>https://analytics.zoho.com/open-view/2395394000008209595?ZOHO_CRITERIA=%22Trasposicion_4.7%22.%22C%C3%B3digo_Regi%C3%B3n%22%3D8</v>
      </c>
      <c r="T250" s="68" t="str">
        <f>"100-R-"&amp;Agencia[[#This Row],[Filtro URL]]</f>
        <v>100-R-8</v>
      </c>
      <c r="U250" s="50" t="str">
        <f t="shared" ref="U250:U277" si="215">+U249</f>
        <v>#1774B9</v>
      </c>
      <c r="V250" s="118" t="str">
        <f>+Agencia[[#This Row],[idcoleccion]]&amp;"-"&amp;Agencia[[#This Row],[id]]</f>
        <v>990-0239</v>
      </c>
      <c r="W250" s="118">
        <f>+VLOOKUP(Agencia[[#This Row],[Filtro URL]],Estructura!$X$4:$Y$500,2,0)</f>
        <v>99200008</v>
      </c>
      <c r="X250" s="118" t="str">
        <f>+VLOOKUP(Agencia[[#This Row],[tema]],Estructura!$A$4:$C$500,3,0)</f>
        <v>T-1036</v>
      </c>
      <c r="Y250" s="118" t="str">
        <f>+VLOOKUP(Agencia[[#This Row],[contenido]],Estructura!$E$4:$G$500,3,0)</f>
        <v>C-997</v>
      </c>
      <c r="Z250" s="118" t="str">
        <f>+VLOOKUP(Agencia[[#This Row],[Filtro Integrado]],Estructura!$I$4:$K$500,3,0)</f>
        <v>FI-993</v>
      </c>
      <c r="AA250" s="118" t="str">
        <f>+VLOOKUP(Agencia[[#This Row],[Muestra]],Estructura!$M$4:$O$500,3,0)</f>
        <v>M-1012</v>
      </c>
    </row>
    <row r="251" spans="1:27" ht="57.6" x14ac:dyDescent="0.3">
      <c r="A251" s="21" t="s">
        <v>688</v>
      </c>
      <c r="B251" s="24">
        <f t="shared" ref="B251:D251" si="216">+B250</f>
        <v>990</v>
      </c>
      <c r="C251" s="25" t="str">
        <f t="shared" si="216"/>
        <v>Agencia Información</v>
      </c>
      <c r="D251" s="25" t="str">
        <f t="shared" si="216"/>
        <v>Agropecuario y Forestal</v>
      </c>
      <c r="E251" s="19">
        <v>9</v>
      </c>
      <c r="F251" s="10" t="s">
        <v>868</v>
      </c>
      <c r="G251" s="10" t="s">
        <v>3763</v>
      </c>
      <c r="H251" s="35" t="s">
        <v>16</v>
      </c>
      <c r="I251" s="36" t="s">
        <v>376</v>
      </c>
      <c r="J251" s="9" t="str">
        <f t="shared" si="210"/>
        <v>Ninguno</v>
      </c>
      <c r="K251" s="9" t="str">
        <f t="shared" si="210"/>
        <v>Superficie plantada por región</v>
      </c>
      <c r="L251" s="9" t="str">
        <f t="shared" si="210"/>
        <v>Periodo 2010-2019</v>
      </c>
      <c r="M251" s="9" t="str">
        <f t="shared" si="210"/>
        <v>Hectáreas</v>
      </c>
      <c r="N251" s="9" t="str">
        <f t="shared" si="210"/>
        <v>Oficina de Estudios y Políticas Agrarias (ODEPA)</v>
      </c>
      <c r="O251" s="20" t="str">
        <f>"Evolución anual de superficie plantada (ha) de lechuga en la "&amp;Agencia[[#This Row],[territorio]]</f>
        <v>Evolución anual de superficie plantada (ha) de lechuga en la Región de La Araucanía</v>
      </c>
      <c r="P251" s="20"/>
      <c r="Q251" s="11" t="str">
        <f t="shared" si="184"/>
        <v>Gráfico de Evolución</v>
      </c>
      <c r="R251" s="20" t="str">
        <f>Agencia[[#This Row],[territorio]]&amp;" plantación lechuga hortalizas superficie hectáreas"</f>
        <v>Región de La Araucanía plantación lechuga hortalizas superficie hectáreas</v>
      </c>
      <c r="S251" s="39" t="str">
        <f>HYPERLINK("https://analytics.zoho.com/open-view/2395394000008209595?ZOHO_CRITERIA=%22Trasposicion_4.7%22.%22C%C3%B3digo_Regi%C3%B3n%22%3D"&amp;Agencia[[#This Row],[Filtro URL]])</f>
        <v>https://analytics.zoho.com/open-view/2395394000008209595?ZOHO_CRITERIA=%22Trasposicion_4.7%22.%22C%C3%B3digo_Regi%C3%B3n%22%3D9</v>
      </c>
      <c r="T251" s="68" t="str">
        <f>"100-R-"&amp;Agencia[[#This Row],[Filtro URL]]</f>
        <v>100-R-9</v>
      </c>
      <c r="U251" s="50" t="str">
        <f t="shared" si="215"/>
        <v>#1774B9</v>
      </c>
      <c r="V251" s="118" t="str">
        <f>+Agencia[[#This Row],[idcoleccion]]&amp;"-"&amp;Agencia[[#This Row],[id]]</f>
        <v>990-0240</v>
      </c>
      <c r="W251" s="118">
        <f>+VLOOKUP(Agencia[[#This Row],[Filtro URL]],Estructura!$X$4:$Y$500,2,0)</f>
        <v>99200009</v>
      </c>
      <c r="X251" s="118" t="str">
        <f>+VLOOKUP(Agencia[[#This Row],[tema]],Estructura!$A$4:$C$500,3,0)</f>
        <v>T-1036</v>
      </c>
      <c r="Y251" s="118" t="str">
        <f>+VLOOKUP(Agencia[[#This Row],[contenido]],Estructura!$E$4:$G$500,3,0)</f>
        <v>C-997</v>
      </c>
      <c r="Z251" s="118" t="str">
        <f>+VLOOKUP(Agencia[[#This Row],[Filtro Integrado]],Estructura!$I$4:$K$500,3,0)</f>
        <v>FI-993</v>
      </c>
      <c r="AA251" s="118" t="str">
        <f>+VLOOKUP(Agencia[[#This Row],[Muestra]],Estructura!$M$4:$O$500,3,0)</f>
        <v>M-1012</v>
      </c>
    </row>
    <row r="252" spans="1:27" ht="57.6" x14ac:dyDescent="0.3">
      <c r="A252" s="21" t="s">
        <v>689</v>
      </c>
      <c r="B252" s="24">
        <f t="shared" ref="B252" si="217">+B251</f>
        <v>990</v>
      </c>
      <c r="C252" s="25" t="str">
        <f t="shared" ref="C252:D252" si="218">+C251</f>
        <v>Agencia Información</v>
      </c>
      <c r="D252" s="25" t="str">
        <f t="shared" si="218"/>
        <v>Agropecuario y Forestal</v>
      </c>
      <c r="E252" s="19">
        <v>13</v>
      </c>
      <c r="F252" s="10" t="s">
        <v>868</v>
      </c>
      <c r="G252" s="10" t="s">
        <v>3763</v>
      </c>
      <c r="H252" s="35" t="s">
        <v>16</v>
      </c>
      <c r="I252" s="36" t="s">
        <v>380</v>
      </c>
      <c r="J252" s="9" t="str">
        <f t="shared" ref="J252:N252" si="219">+J251</f>
        <v>Ninguno</v>
      </c>
      <c r="K252" s="9" t="str">
        <f t="shared" si="219"/>
        <v>Superficie plantada por región</v>
      </c>
      <c r="L252" s="9" t="str">
        <f t="shared" si="219"/>
        <v>Periodo 2010-2019</v>
      </c>
      <c r="M252" s="9" t="str">
        <f t="shared" si="219"/>
        <v>Hectáreas</v>
      </c>
      <c r="N252" s="9" t="str">
        <f t="shared" si="219"/>
        <v>Oficina de Estudios y Políticas Agrarias (ODEPA)</v>
      </c>
      <c r="O252" s="20" t="str">
        <f>"Evolución anual de superficie plantada (ha) de lechuga en la "&amp;Agencia[[#This Row],[territorio]]</f>
        <v>Evolución anual de superficie plantada (ha) de lechuga en la Región Metropolitana</v>
      </c>
      <c r="P252" s="20"/>
      <c r="Q252" s="11" t="str">
        <f>+Q251</f>
        <v>Gráfico de Evolución</v>
      </c>
      <c r="R252" s="20" t="str">
        <f>Agencia[[#This Row],[territorio]]&amp;" plantación lechuga hortalizas superficie hectáreas"</f>
        <v>Región Metropolitana plantación lechuga hortalizas superficie hectáreas</v>
      </c>
      <c r="S252" s="39" t="str">
        <f>HYPERLINK("https://analytics.zoho.com/open-view/2395394000008209595?ZOHO_CRITERIA=%22Trasposicion_4.7%22.%22C%C3%B3digo_Regi%C3%B3n%22%3D"&amp;Agencia[[#This Row],[Filtro URL]])</f>
        <v>https://analytics.zoho.com/open-view/2395394000008209595?ZOHO_CRITERIA=%22Trasposicion_4.7%22.%22C%C3%B3digo_Regi%C3%B3n%22%3D13</v>
      </c>
      <c r="T252" s="68" t="str">
        <f>"200-R-"&amp;Agencia[[#This Row],[Filtro URL]]</f>
        <v>200-R-13</v>
      </c>
      <c r="U252" s="50" t="str">
        <f t="shared" si="215"/>
        <v>#1774B9</v>
      </c>
      <c r="V252" s="118" t="str">
        <f>+Agencia[[#This Row],[idcoleccion]]&amp;"-"&amp;Agencia[[#This Row],[id]]</f>
        <v>990-0241</v>
      </c>
      <c r="W252" s="118">
        <f>+VLOOKUP(Agencia[[#This Row],[Filtro URL]],Estructura!$X$4:$Y$500,2,0)</f>
        <v>99200013</v>
      </c>
      <c r="X252" s="118" t="str">
        <f>+VLOOKUP(Agencia[[#This Row],[tema]],Estructura!$A$4:$C$500,3,0)</f>
        <v>T-1036</v>
      </c>
      <c r="Y252" s="118" t="str">
        <f>+VLOOKUP(Agencia[[#This Row],[contenido]],Estructura!$E$4:$G$500,3,0)</f>
        <v>C-997</v>
      </c>
      <c r="Z252" s="118" t="str">
        <f>+VLOOKUP(Agencia[[#This Row],[Filtro Integrado]],Estructura!$I$4:$K$500,3,0)</f>
        <v>FI-993</v>
      </c>
      <c r="AA252" s="118" t="str">
        <f>+VLOOKUP(Agencia[[#This Row],[Muestra]],Estructura!$M$4:$O$500,3,0)</f>
        <v>M-1012</v>
      </c>
    </row>
    <row r="253" spans="1:27" ht="57.6" x14ac:dyDescent="0.3">
      <c r="A253" s="21" t="s">
        <v>690</v>
      </c>
      <c r="B253" s="24">
        <f t="shared" ref="B253" si="220">+B252</f>
        <v>990</v>
      </c>
      <c r="C253" s="25" t="str">
        <f t="shared" ref="C253:D253" si="221">+C252</f>
        <v>Agencia Información</v>
      </c>
      <c r="D253" s="25" t="str">
        <f t="shared" si="221"/>
        <v>Agropecuario y Forestal</v>
      </c>
      <c r="E253" s="19">
        <v>15</v>
      </c>
      <c r="F253" s="10" t="s">
        <v>868</v>
      </c>
      <c r="G253" s="10" t="s">
        <v>3763</v>
      </c>
      <c r="H253" s="35" t="s">
        <v>16</v>
      </c>
      <c r="I253" s="36" t="s">
        <v>382</v>
      </c>
      <c r="J253" s="9" t="str">
        <f t="shared" ref="J253:N253" si="222">+J252</f>
        <v>Ninguno</v>
      </c>
      <c r="K253" s="9" t="str">
        <f t="shared" si="222"/>
        <v>Superficie plantada por región</v>
      </c>
      <c r="L253" s="9" t="str">
        <f t="shared" si="222"/>
        <v>Periodo 2010-2019</v>
      </c>
      <c r="M253" s="9" t="str">
        <f t="shared" si="222"/>
        <v>Hectáreas</v>
      </c>
      <c r="N253" s="9" t="str">
        <f t="shared" si="222"/>
        <v>Oficina de Estudios y Políticas Agrarias (ODEPA)</v>
      </c>
      <c r="O253" s="20" t="str">
        <f>"Evolución anual de superficie plantada (ha) de lechuga en la "&amp;Agencia[[#This Row],[territorio]]</f>
        <v>Evolución anual de superficie plantada (ha) de lechuga en la Región de Arica y Parinacota</v>
      </c>
      <c r="P253" s="20"/>
      <c r="Q253" s="11" t="str">
        <f t="shared" si="184"/>
        <v>Gráfico de Evolución</v>
      </c>
      <c r="R253" s="20" t="str">
        <f>Agencia[[#This Row],[territorio]]&amp;" plantación lechuga hortalizas superficie hectáreas"</f>
        <v>Región de Arica y Parinacota plantación lechuga hortalizas superficie hectáreas</v>
      </c>
      <c r="S253" s="39" t="str">
        <f>HYPERLINK("https://analytics.zoho.com/open-view/2395394000008209595?ZOHO_CRITERIA=%22Trasposicion_4.7%22.%22C%C3%B3digo_Regi%C3%B3n%22%3D"&amp;Agencia[[#This Row],[Filtro URL]])</f>
        <v>https://analytics.zoho.com/open-view/2395394000008209595?ZOHO_CRITERIA=%22Trasposicion_4.7%22.%22C%C3%B3digo_Regi%C3%B3n%22%3D15</v>
      </c>
      <c r="T253" s="68" t="str">
        <f>"100-R-"&amp;Agencia[[#This Row],[Filtro URL]]</f>
        <v>100-R-15</v>
      </c>
      <c r="U253" s="50" t="str">
        <f t="shared" si="215"/>
        <v>#1774B9</v>
      </c>
      <c r="V253" s="118" t="str">
        <f>+Agencia[[#This Row],[idcoleccion]]&amp;"-"&amp;Agencia[[#This Row],[id]]</f>
        <v>990-0242</v>
      </c>
      <c r="W253" s="118">
        <f>+VLOOKUP(Agencia[[#This Row],[Filtro URL]],Estructura!$X$4:$Y$500,2,0)</f>
        <v>99200015</v>
      </c>
      <c r="X253" s="118" t="str">
        <f>+VLOOKUP(Agencia[[#This Row],[tema]],Estructura!$A$4:$C$500,3,0)</f>
        <v>T-1036</v>
      </c>
      <c r="Y253" s="118" t="str">
        <f>+VLOOKUP(Agencia[[#This Row],[contenido]],Estructura!$E$4:$G$500,3,0)</f>
        <v>C-997</v>
      </c>
      <c r="Z253" s="118" t="str">
        <f>+VLOOKUP(Agencia[[#This Row],[Filtro Integrado]],Estructura!$I$4:$K$500,3,0)</f>
        <v>FI-993</v>
      </c>
      <c r="AA253" s="118" t="str">
        <f>+VLOOKUP(Agencia[[#This Row],[Muestra]],Estructura!$M$4:$O$500,3,0)</f>
        <v>M-1012</v>
      </c>
    </row>
    <row r="254" spans="1:27" ht="57.6" x14ac:dyDescent="0.3">
      <c r="A254" s="21" t="s">
        <v>691</v>
      </c>
      <c r="B254" s="24">
        <f t="shared" ref="B254" si="223">+B253</f>
        <v>990</v>
      </c>
      <c r="C254" s="25" t="str">
        <f t="shared" ref="C254:D254" si="224">+C253</f>
        <v>Agencia Información</v>
      </c>
      <c r="D254" s="25" t="str">
        <f t="shared" si="224"/>
        <v>Agropecuario y Forestal</v>
      </c>
      <c r="E254" s="19">
        <v>16</v>
      </c>
      <c r="F254" s="10" t="s">
        <v>868</v>
      </c>
      <c r="G254" s="10" t="s">
        <v>3763</v>
      </c>
      <c r="H254" s="35" t="s">
        <v>16</v>
      </c>
      <c r="I254" s="36" t="s">
        <v>383</v>
      </c>
      <c r="J254" s="9" t="str">
        <f t="shared" ref="J254:N254" si="225">+J253</f>
        <v>Ninguno</v>
      </c>
      <c r="K254" s="9" t="str">
        <f t="shared" si="225"/>
        <v>Superficie plantada por región</v>
      </c>
      <c r="L254" s="9" t="str">
        <f t="shared" si="225"/>
        <v>Periodo 2010-2019</v>
      </c>
      <c r="M254" s="9" t="str">
        <f t="shared" si="225"/>
        <v>Hectáreas</v>
      </c>
      <c r="N254" s="9" t="str">
        <f t="shared" si="225"/>
        <v>Oficina de Estudios y Políticas Agrarias (ODEPA)</v>
      </c>
      <c r="O254" s="20" t="str">
        <f>"Evolución anual de superficie plantada (ha) de lechuga en la "&amp;Agencia[[#This Row],[territorio]]</f>
        <v>Evolución anual de superficie plantada (ha) de lechuga en la Región de Ñuble</v>
      </c>
      <c r="P254" s="20"/>
      <c r="Q254" s="11" t="str">
        <f t="shared" si="184"/>
        <v>Gráfico de Evolución</v>
      </c>
      <c r="R254" s="20" t="str">
        <f>Agencia[[#This Row],[territorio]]&amp;" plantación lechuga hortalizas superficie hectáreas"</f>
        <v>Región de Ñuble plantación lechuga hortalizas superficie hectáreas</v>
      </c>
      <c r="S254" s="39" t="str">
        <f>HYPERLINK("https://analytics.zoho.com/open-view/2395394000008209595?ZOHO_CRITERIA=%22Trasposicion_4.7%22.%22C%C3%B3digo_Regi%C3%B3n%22%3D"&amp;Agencia[[#This Row],[Filtro URL]])</f>
        <v>https://analytics.zoho.com/open-view/2395394000008209595?ZOHO_CRITERIA=%22Trasposicion_4.7%22.%22C%C3%B3digo_Regi%C3%B3n%22%3D16</v>
      </c>
      <c r="T254" s="68" t="str">
        <f>"100-R-"&amp;Agencia[[#This Row],[Filtro URL]]</f>
        <v>100-R-16</v>
      </c>
      <c r="U254" s="50" t="str">
        <f t="shared" si="215"/>
        <v>#1774B9</v>
      </c>
      <c r="V254" s="118" t="str">
        <f>+Agencia[[#This Row],[idcoleccion]]&amp;"-"&amp;Agencia[[#This Row],[id]]</f>
        <v>990-0243</v>
      </c>
      <c r="W254" s="118">
        <f>+VLOOKUP(Agencia[[#This Row],[Filtro URL]],Estructura!$X$4:$Y$500,2,0)</f>
        <v>99200016</v>
      </c>
      <c r="X254" s="118" t="str">
        <f>+VLOOKUP(Agencia[[#This Row],[tema]],Estructura!$A$4:$C$500,3,0)</f>
        <v>T-1036</v>
      </c>
      <c r="Y254" s="118" t="str">
        <f>+VLOOKUP(Agencia[[#This Row],[contenido]],Estructura!$E$4:$G$500,3,0)</f>
        <v>C-997</v>
      </c>
      <c r="Z254" s="118" t="str">
        <f>+VLOOKUP(Agencia[[#This Row],[Filtro Integrado]],Estructura!$I$4:$K$500,3,0)</f>
        <v>FI-993</v>
      </c>
      <c r="AA254" s="118" t="str">
        <f>+VLOOKUP(Agencia[[#This Row],[Muestra]],Estructura!$M$4:$O$500,3,0)</f>
        <v>M-1012</v>
      </c>
    </row>
    <row r="255" spans="1:27" ht="51" x14ac:dyDescent="0.3">
      <c r="A255" s="21" t="s">
        <v>692</v>
      </c>
      <c r="B255" s="24">
        <f t="shared" ref="B255:C255" si="226">+B254</f>
        <v>990</v>
      </c>
      <c r="C255" s="25" t="str">
        <f t="shared" si="226"/>
        <v>Agencia Información</v>
      </c>
      <c r="D255" s="25" t="s">
        <v>870</v>
      </c>
      <c r="E255" s="14">
        <v>0</v>
      </c>
      <c r="F255" s="10" t="s">
        <v>871</v>
      </c>
      <c r="G255" s="10" t="s">
        <v>3765</v>
      </c>
      <c r="H255" s="33" t="s">
        <v>20</v>
      </c>
      <c r="I255" s="34" t="s">
        <v>15</v>
      </c>
      <c r="J255" s="9" t="s">
        <v>16</v>
      </c>
      <c r="K255" s="9" t="s">
        <v>875</v>
      </c>
      <c r="L255" s="9" t="s">
        <v>460</v>
      </c>
      <c r="M255" s="9" t="s">
        <v>872</v>
      </c>
      <c r="N255" s="9" t="s">
        <v>873</v>
      </c>
      <c r="O255" s="20" t="s">
        <v>874</v>
      </c>
      <c r="P255" s="20" t="s">
        <v>869</v>
      </c>
      <c r="Q255" s="11" t="s">
        <v>831</v>
      </c>
      <c r="R255" s="20" t="str">
        <f>Agencia[[#This Row],[territorio]]&amp;" plan regional desarrollo urbano PRDU MINVU estado vigente inactivo formulación conflicto"</f>
        <v>Chile plan regional desarrollo urbano PRDU MINVU estado vigente inactivo formulación conflicto</v>
      </c>
      <c r="S255" s="22" t="s">
        <v>1080</v>
      </c>
      <c r="T255" s="68">
        <v>0</v>
      </c>
      <c r="U255" s="50" t="str">
        <f t="shared" si="215"/>
        <v>#1774B9</v>
      </c>
      <c r="V255" s="118" t="str">
        <f>+Agencia[[#This Row],[idcoleccion]]&amp;"-"&amp;Agencia[[#This Row],[id]]</f>
        <v>990-0244</v>
      </c>
      <c r="W255" s="118">
        <f>+VLOOKUP(Agencia[[#This Row],[Filtro URL]],Estructura!$X$4:$Y$500,2,0)</f>
        <v>99100000</v>
      </c>
      <c r="X255" s="118" t="str">
        <f>+VLOOKUP(Agencia[[#This Row],[tema]],Estructura!$A$4:$C$500,3,0)</f>
        <v>T-1037</v>
      </c>
      <c r="Y255" s="118" t="str">
        <f>+VLOOKUP(Agencia[[#This Row],[contenido]],Estructura!$E$4:$G$500,3,0)</f>
        <v>C-999</v>
      </c>
      <c r="Z255" s="118" t="str">
        <f>+VLOOKUP(Agencia[[#This Row],[Filtro Integrado]],Estructura!$I$4:$K$500,3,0)</f>
        <v>FI-992</v>
      </c>
      <c r="AA255" s="118" t="str">
        <f>+VLOOKUP(Agencia[[#This Row],[Muestra]],Estructura!$M$4:$O$500,3,0)</f>
        <v>M-1013</v>
      </c>
    </row>
    <row r="256" spans="1:27" ht="61.2" x14ac:dyDescent="0.3">
      <c r="A256" s="21" t="s">
        <v>693</v>
      </c>
      <c r="B256" s="24">
        <f t="shared" ref="B256:C256" si="227">+B255</f>
        <v>990</v>
      </c>
      <c r="C256" s="25" t="str">
        <f t="shared" si="227"/>
        <v>Agencia Información</v>
      </c>
      <c r="D256" s="25" t="s">
        <v>621</v>
      </c>
      <c r="E256" s="14">
        <v>0</v>
      </c>
      <c r="F256" s="10" t="s">
        <v>877</v>
      </c>
      <c r="G256" s="10" t="s">
        <v>3781</v>
      </c>
      <c r="H256" s="33" t="s">
        <v>20</v>
      </c>
      <c r="I256" s="34" t="s">
        <v>15</v>
      </c>
      <c r="J256" s="9" t="s">
        <v>18</v>
      </c>
      <c r="K256" s="9" t="s">
        <v>850</v>
      </c>
      <c r="L256" s="9" t="s">
        <v>614</v>
      </c>
      <c r="M256" s="9" t="s">
        <v>624</v>
      </c>
      <c r="N256" s="9" t="s">
        <v>625</v>
      </c>
      <c r="O256" s="20" t="str">
        <f>"Cantidad de Espacios Culturales con Acceso para Discapacitados en el "&amp;Agencia[[#This Row],[temporalidad]]</f>
        <v>Cantidad de Espacios Culturales con Acceso para Discapacitados en el Año 2021</v>
      </c>
      <c r="P256" s="20" t="s">
        <v>879</v>
      </c>
      <c r="Q256" s="11" t="s">
        <v>584</v>
      </c>
      <c r="R256" s="20" t="str">
        <f>Agencia[[#This Row],[territorio]]&amp;" espacio cultural acceso discapacitados discapacidad cultura"</f>
        <v>Chile espacio cultural acceso discapacitados discapacidad cultura</v>
      </c>
      <c r="S256" s="39" t="s">
        <v>878</v>
      </c>
      <c r="T256" s="68" t="s">
        <v>1033</v>
      </c>
      <c r="U256" s="50" t="str">
        <f t="shared" si="215"/>
        <v>#1774B9</v>
      </c>
      <c r="V256" s="118" t="str">
        <f>+Agencia[[#This Row],[idcoleccion]]&amp;"-"&amp;Agencia[[#This Row],[id]]</f>
        <v>990-0245</v>
      </c>
      <c r="W256" s="118">
        <f>+VLOOKUP(Agencia[[#This Row],[Filtro URL]],Estructura!$X$4:$Y$500,2,0)</f>
        <v>99100000</v>
      </c>
      <c r="X256" s="118" t="str">
        <f>+VLOOKUP(Agencia[[#This Row],[tema]],Estructura!$A$4:$C$500,3,0)</f>
        <v>T-997</v>
      </c>
      <c r="Y256" s="118" t="str">
        <f>+VLOOKUP(Agencia[[#This Row],[contenido]],Estructura!$E$4:$G$500,3,0)</f>
        <v>C-1008</v>
      </c>
      <c r="Z256" s="118" t="str">
        <f>+VLOOKUP(Agencia[[#This Row],[Filtro Integrado]],Estructura!$I$4:$K$500,3,0)</f>
        <v>FI-991</v>
      </c>
      <c r="AA256" s="118" t="str">
        <f>+VLOOKUP(Agencia[[#This Row],[Muestra]],Estructura!$M$4:$O$500,3,0)</f>
        <v>M-1005</v>
      </c>
    </row>
    <row r="257" spans="1:27" ht="72" x14ac:dyDescent="0.3">
      <c r="A257" s="21" t="s">
        <v>694</v>
      </c>
      <c r="B257" s="24">
        <f t="shared" ref="B257:D257" si="228">+B256</f>
        <v>990</v>
      </c>
      <c r="C257" s="25" t="str">
        <f t="shared" si="228"/>
        <v>Agencia Información</v>
      </c>
      <c r="D257" s="25" t="str">
        <f t="shared" si="228"/>
        <v>Arte y cultura</v>
      </c>
      <c r="E257" s="19">
        <v>1</v>
      </c>
      <c r="F257" s="10" t="s">
        <v>877</v>
      </c>
      <c r="G257" s="10" t="s">
        <v>3781</v>
      </c>
      <c r="H257" s="35" t="s">
        <v>16</v>
      </c>
      <c r="I257" s="36" t="s">
        <v>368</v>
      </c>
      <c r="J257" s="9" t="str">
        <f t="shared" ref="J257:N272" si="229">+J256</f>
        <v>Comuna</v>
      </c>
      <c r="K257" s="9" t="str">
        <f t="shared" si="229"/>
        <v>Cantidad de espacios culturales por comuna</v>
      </c>
      <c r="L257" s="9" t="str">
        <f t="shared" si="229"/>
        <v>Año 2021</v>
      </c>
      <c r="M257" s="9" t="str">
        <f t="shared" si="229"/>
        <v>Número de espacios culturales</v>
      </c>
      <c r="N257" s="9" t="str">
        <f t="shared" si="229"/>
        <v>Observatorio Cultural</v>
      </c>
      <c r="O257" s="20" t="str">
        <f>"Cantidad de Espacios Culturales con Acceso para Discapacitados en la "&amp;Agencia[[#This Row],[territorio]]&amp;", en el "&amp;Agencia[[#This Row],[temporalidad]]</f>
        <v>Cantidad de Espacios Culturales con Acceso para Discapacitados en la Región de Tarapacá, en el Año 2021</v>
      </c>
      <c r="P257" s="20"/>
      <c r="Q257" s="11" t="str">
        <f t="shared" si="184"/>
        <v>Gráfico</v>
      </c>
      <c r="R257" s="20" t="str">
        <f>Agencia[[#This Row],[territorio]]&amp;" espacio cultural acceso discapacitados discapacidad cultura"</f>
        <v>Región de Tarapacá espacio cultural acceso discapacitados discapacidad cultura</v>
      </c>
      <c r="S257"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https://analytics.zoho.com/open-view/2395394000008213039?ZOHO_CRITERIA=%22Espacios_Culturales_Completo%201%22.%22C%C3%B3digo_Regi%C3%B3n%22%20%3D%201</v>
      </c>
      <c r="T257" s="69" t="str">
        <f>"100-C-"&amp;Agencia[[#This Row],[Filtro URL]]</f>
        <v>100-C-1</v>
      </c>
      <c r="U257" s="50" t="str">
        <f t="shared" si="215"/>
        <v>#1774B9</v>
      </c>
      <c r="V257" s="118" t="str">
        <f>+Agencia[[#This Row],[idcoleccion]]&amp;"-"&amp;Agencia[[#This Row],[id]]</f>
        <v>990-0246</v>
      </c>
      <c r="W257" s="118">
        <f>+VLOOKUP(Agencia[[#This Row],[Filtro URL]],Estructura!$X$4:$Y$500,2,0)</f>
        <v>99200001</v>
      </c>
      <c r="X257" s="118" t="str">
        <f>+VLOOKUP(Agencia[[#This Row],[tema]],Estructura!$A$4:$C$500,3,0)</f>
        <v>T-997</v>
      </c>
      <c r="Y257" s="118" t="str">
        <f>+VLOOKUP(Agencia[[#This Row],[contenido]],Estructura!$E$4:$G$500,3,0)</f>
        <v>C-1008</v>
      </c>
      <c r="Z257" s="118" t="str">
        <f>+VLOOKUP(Agencia[[#This Row],[Filtro Integrado]],Estructura!$I$4:$K$500,3,0)</f>
        <v>FI-991</v>
      </c>
      <c r="AA257" s="118" t="str">
        <f>+VLOOKUP(Agencia[[#This Row],[Muestra]],Estructura!$M$4:$O$500,3,0)</f>
        <v>M-1005</v>
      </c>
    </row>
    <row r="258" spans="1:27" ht="72" x14ac:dyDescent="0.3">
      <c r="A258" s="21" t="s">
        <v>695</v>
      </c>
      <c r="B258" s="24">
        <f t="shared" ref="B258:D258" si="230">+B257</f>
        <v>990</v>
      </c>
      <c r="C258" s="25" t="str">
        <f t="shared" si="230"/>
        <v>Agencia Información</v>
      </c>
      <c r="D258" s="25" t="str">
        <f t="shared" si="230"/>
        <v>Arte y cultura</v>
      </c>
      <c r="E258" s="19">
        <v>2</v>
      </c>
      <c r="F258" s="10" t="s">
        <v>877</v>
      </c>
      <c r="G258" s="10" t="s">
        <v>3781</v>
      </c>
      <c r="H258" s="35" t="s">
        <v>16</v>
      </c>
      <c r="I258" s="36" t="s">
        <v>369</v>
      </c>
      <c r="J258" s="9" t="str">
        <f t="shared" si="229"/>
        <v>Comuna</v>
      </c>
      <c r="K258" s="9" t="str">
        <f t="shared" si="229"/>
        <v>Cantidad de espacios culturales por comuna</v>
      </c>
      <c r="L258" s="9" t="str">
        <f t="shared" si="229"/>
        <v>Año 2021</v>
      </c>
      <c r="M258" s="9" t="str">
        <f t="shared" si="229"/>
        <v>Número de espacios culturales</v>
      </c>
      <c r="N258" s="9" t="str">
        <f t="shared" si="229"/>
        <v>Observatorio Cultural</v>
      </c>
      <c r="O258" s="20" t="str">
        <f>"Cantidad de Espacios Culturales con Acceso para Discapacitados en la "&amp;Agencia[[#This Row],[territorio]]&amp;", en el "&amp;Agencia[[#This Row],[temporalidad]]</f>
        <v>Cantidad de Espacios Culturales con Acceso para Discapacitados en la Región de Antofagasta, en el Año 2021</v>
      </c>
      <c r="P258" s="20"/>
      <c r="Q258" s="11" t="str">
        <f t="shared" si="184"/>
        <v>Gráfico</v>
      </c>
      <c r="R258" s="20" t="str">
        <f>Agencia[[#This Row],[territorio]]&amp;" espacio cultural acceso discapacitados discapacidad cultura"</f>
        <v>Región de Antofagasta espacio cultural acceso discapacitados discapacidad cultura</v>
      </c>
      <c r="S258"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https://analytics.zoho.com/open-view/2395394000008213039?ZOHO_CRITERIA=%22Espacios_Culturales_Completo%201%22.%22C%C3%B3digo_Regi%C3%B3n%22%20%3D%202</v>
      </c>
      <c r="T258" s="69" t="str">
        <f>"100-C-"&amp;Agencia[[#This Row],[Filtro URL]]</f>
        <v>100-C-2</v>
      </c>
      <c r="U258" s="50" t="str">
        <f t="shared" si="215"/>
        <v>#1774B9</v>
      </c>
      <c r="V258" s="118" t="str">
        <f>+Agencia[[#This Row],[idcoleccion]]&amp;"-"&amp;Agencia[[#This Row],[id]]</f>
        <v>990-0247</v>
      </c>
      <c r="W258" s="118">
        <f>+VLOOKUP(Agencia[[#This Row],[Filtro URL]],Estructura!$X$4:$Y$500,2,0)</f>
        <v>99200002</v>
      </c>
      <c r="X258" s="118" t="str">
        <f>+VLOOKUP(Agencia[[#This Row],[tema]],Estructura!$A$4:$C$500,3,0)</f>
        <v>T-997</v>
      </c>
      <c r="Y258" s="118" t="str">
        <f>+VLOOKUP(Agencia[[#This Row],[contenido]],Estructura!$E$4:$G$500,3,0)</f>
        <v>C-1008</v>
      </c>
      <c r="Z258" s="118" t="str">
        <f>+VLOOKUP(Agencia[[#This Row],[Filtro Integrado]],Estructura!$I$4:$K$500,3,0)</f>
        <v>FI-991</v>
      </c>
      <c r="AA258" s="118" t="str">
        <f>+VLOOKUP(Agencia[[#This Row],[Muestra]],Estructura!$M$4:$O$500,3,0)</f>
        <v>M-1005</v>
      </c>
    </row>
    <row r="259" spans="1:27" ht="72" x14ac:dyDescent="0.3">
      <c r="A259" s="21" t="s">
        <v>696</v>
      </c>
      <c r="B259" s="24">
        <f t="shared" ref="B259:D259" si="231">+B258</f>
        <v>990</v>
      </c>
      <c r="C259" s="25" t="str">
        <f t="shared" si="231"/>
        <v>Agencia Información</v>
      </c>
      <c r="D259" s="25" t="str">
        <f t="shared" si="231"/>
        <v>Arte y cultura</v>
      </c>
      <c r="E259" s="19">
        <v>3</v>
      </c>
      <c r="F259" s="10" t="s">
        <v>877</v>
      </c>
      <c r="G259" s="10" t="s">
        <v>3781</v>
      </c>
      <c r="H259" s="35" t="s">
        <v>16</v>
      </c>
      <c r="I259" s="36" t="s">
        <v>370</v>
      </c>
      <c r="J259" s="9" t="str">
        <f t="shared" si="229"/>
        <v>Comuna</v>
      </c>
      <c r="K259" s="9" t="str">
        <f t="shared" si="229"/>
        <v>Cantidad de espacios culturales por comuna</v>
      </c>
      <c r="L259" s="9" t="str">
        <f t="shared" si="229"/>
        <v>Año 2021</v>
      </c>
      <c r="M259" s="9" t="str">
        <f t="shared" si="229"/>
        <v>Número de espacios culturales</v>
      </c>
      <c r="N259" s="9" t="str">
        <f t="shared" si="229"/>
        <v>Observatorio Cultural</v>
      </c>
      <c r="O259" s="20" t="str">
        <f>"Cantidad de Espacios Culturales con Acceso para Discapacitados en la "&amp;Agencia[[#This Row],[territorio]]&amp;", en el "&amp;Agencia[[#This Row],[temporalidad]]</f>
        <v>Cantidad de Espacios Culturales con Acceso para Discapacitados en la Región de Atacama, en el Año 2021</v>
      </c>
      <c r="P259" s="20"/>
      <c r="Q259" s="11" t="str">
        <f t="shared" si="184"/>
        <v>Gráfico</v>
      </c>
      <c r="R259" s="20" t="str">
        <f>Agencia[[#This Row],[territorio]]&amp;" espacio cultural acceso discapacitados discapacidad cultura"</f>
        <v>Región de Atacama espacio cultural acceso discapacitados discapacidad cultura</v>
      </c>
      <c r="S259"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https://analytics.zoho.com/open-view/2395394000008213039?ZOHO_CRITERIA=%22Espacios_Culturales_Completo%201%22.%22C%C3%B3digo_Regi%C3%B3n%22%20%3D%203</v>
      </c>
      <c r="T259" s="69" t="str">
        <f>"100-C-"&amp;Agencia[[#This Row],[Filtro URL]]</f>
        <v>100-C-3</v>
      </c>
      <c r="U259" s="50" t="str">
        <f t="shared" si="215"/>
        <v>#1774B9</v>
      </c>
      <c r="V259" s="118" t="str">
        <f>+Agencia[[#This Row],[idcoleccion]]&amp;"-"&amp;Agencia[[#This Row],[id]]</f>
        <v>990-0248</v>
      </c>
      <c r="W259" s="118">
        <f>+VLOOKUP(Agencia[[#This Row],[Filtro URL]],Estructura!$X$4:$Y$500,2,0)</f>
        <v>99200003</v>
      </c>
      <c r="X259" s="118" t="str">
        <f>+VLOOKUP(Agencia[[#This Row],[tema]],Estructura!$A$4:$C$500,3,0)</f>
        <v>T-997</v>
      </c>
      <c r="Y259" s="118" t="str">
        <f>+VLOOKUP(Agencia[[#This Row],[contenido]],Estructura!$E$4:$G$500,3,0)</f>
        <v>C-1008</v>
      </c>
      <c r="Z259" s="118" t="str">
        <f>+VLOOKUP(Agencia[[#This Row],[Filtro Integrado]],Estructura!$I$4:$K$500,3,0)</f>
        <v>FI-991</v>
      </c>
      <c r="AA259" s="118" t="str">
        <f>+VLOOKUP(Agencia[[#This Row],[Muestra]],Estructura!$M$4:$O$500,3,0)</f>
        <v>M-1005</v>
      </c>
    </row>
    <row r="260" spans="1:27" ht="72" x14ac:dyDescent="0.3">
      <c r="A260" s="21" t="s">
        <v>697</v>
      </c>
      <c r="B260" s="24">
        <f t="shared" ref="B260:D260" si="232">+B259</f>
        <v>990</v>
      </c>
      <c r="C260" s="25" t="str">
        <f t="shared" si="232"/>
        <v>Agencia Información</v>
      </c>
      <c r="D260" s="25" t="str">
        <f t="shared" si="232"/>
        <v>Arte y cultura</v>
      </c>
      <c r="E260" s="19">
        <v>4</v>
      </c>
      <c r="F260" s="10" t="s">
        <v>877</v>
      </c>
      <c r="G260" s="10" t="s">
        <v>3781</v>
      </c>
      <c r="H260" s="35" t="s">
        <v>16</v>
      </c>
      <c r="I260" s="36" t="s">
        <v>371</v>
      </c>
      <c r="J260" s="9" t="str">
        <f t="shared" si="229"/>
        <v>Comuna</v>
      </c>
      <c r="K260" s="9" t="str">
        <f t="shared" si="229"/>
        <v>Cantidad de espacios culturales por comuna</v>
      </c>
      <c r="L260" s="9" t="str">
        <f t="shared" si="229"/>
        <v>Año 2021</v>
      </c>
      <c r="M260" s="9" t="str">
        <f t="shared" si="229"/>
        <v>Número de espacios culturales</v>
      </c>
      <c r="N260" s="9" t="str">
        <f t="shared" si="229"/>
        <v>Observatorio Cultural</v>
      </c>
      <c r="O260" s="20" t="str">
        <f>"Cantidad de Espacios Culturales con Acceso para Discapacitados en la "&amp;Agencia[[#This Row],[territorio]]&amp;", en el "&amp;Agencia[[#This Row],[temporalidad]]</f>
        <v>Cantidad de Espacios Culturales con Acceso para Discapacitados en la Región de Coquimbo, en el Año 2021</v>
      </c>
      <c r="P260" s="20"/>
      <c r="Q260" s="11" t="str">
        <f t="shared" si="184"/>
        <v>Gráfico</v>
      </c>
      <c r="R260" s="20" t="str">
        <f>Agencia[[#This Row],[territorio]]&amp;" espacio cultural acceso discapacitados discapacidad cultura"</f>
        <v>Región de Coquimbo espacio cultural acceso discapacitados discapacidad cultura</v>
      </c>
      <c r="S260"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https://analytics.zoho.com/open-view/2395394000008213039?ZOHO_CRITERIA=%22Espacios_Culturales_Completo%201%22.%22C%C3%B3digo_Regi%C3%B3n%22%20%3D%204</v>
      </c>
      <c r="T260" s="69" t="str">
        <f>"100-C-"&amp;Agencia[[#This Row],[Filtro URL]]</f>
        <v>100-C-4</v>
      </c>
      <c r="U260" s="50" t="str">
        <f t="shared" si="215"/>
        <v>#1774B9</v>
      </c>
      <c r="V260" s="118" t="str">
        <f>+Agencia[[#This Row],[idcoleccion]]&amp;"-"&amp;Agencia[[#This Row],[id]]</f>
        <v>990-0249</v>
      </c>
      <c r="W260" s="118">
        <f>+VLOOKUP(Agencia[[#This Row],[Filtro URL]],Estructura!$X$4:$Y$500,2,0)</f>
        <v>99200004</v>
      </c>
      <c r="X260" s="118" t="str">
        <f>+VLOOKUP(Agencia[[#This Row],[tema]],Estructura!$A$4:$C$500,3,0)</f>
        <v>T-997</v>
      </c>
      <c r="Y260" s="118" t="str">
        <f>+VLOOKUP(Agencia[[#This Row],[contenido]],Estructura!$E$4:$G$500,3,0)</f>
        <v>C-1008</v>
      </c>
      <c r="Z260" s="118" t="str">
        <f>+VLOOKUP(Agencia[[#This Row],[Filtro Integrado]],Estructura!$I$4:$K$500,3,0)</f>
        <v>FI-991</v>
      </c>
      <c r="AA260" s="118" t="str">
        <f>+VLOOKUP(Agencia[[#This Row],[Muestra]],Estructura!$M$4:$O$500,3,0)</f>
        <v>M-1005</v>
      </c>
    </row>
    <row r="261" spans="1:27" ht="72" x14ac:dyDescent="0.3">
      <c r="A261" s="21" t="s">
        <v>698</v>
      </c>
      <c r="B261" s="24">
        <f t="shared" ref="B261:D261" si="233">+B260</f>
        <v>990</v>
      </c>
      <c r="C261" s="25" t="str">
        <f t="shared" si="233"/>
        <v>Agencia Información</v>
      </c>
      <c r="D261" s="25" t="str">
        <f t="shared" si="233"/>
        <v>Arte y cultura</v>
      </c>
      <c r="E261" s="19">
        <v>5</v>
      </c>
      <c r="F261" s="10" t="s">
        <v>877</v>
      </c>
      <c r="G261" s="10" t="s">
        <v>3781</v>
      </c>
      <c r="H261" s="35" t="s">
        <v>16</v>
      </c>
      <c r="I261" s="36" t="s">
        <v>372</v>
      </c>
      <c r="J261" s="9" t="str">
        <f t="shared" si="229"/>
        <v>Comuna</v>
      </c>
      <c r="K261" s="9" t="str">
        <f t="shared" si="229"/>
        <v>Cantidad de espacios culturales por comuna</v>
      </c>
      <c r="L261" s="9" t="str">
        <f t="shared" si="229"/>
        <v>Año 2021</v>
      </c>
      <c r="M261" s="9" t="str">
        <f t="shared" si="229"/>
        <v>Número de espacios culturales</v>
      </c>
      <c r="N261" s="9" t="str">
        <f t="shared" si="229"/>
        <v>Observatorio Cultural</v>
      </c>
      <c r="O261" s="20" t="str">
        <f>"Cantidad de Espacios Culturales con Acceso para Discapacitados en la "&amp;Agencia[[#This Row],[territorio]]&amp;", en el "&amp;Agencia[[#This Row],[temporalidad]]</f>
        <v>Cantidad de Espacios Culturales con Acceso para Discapacitados en la Región de Valparaíso, en el Año 2021</v>
      </c>
      <c r="P261" s="20"/>
      <c r="Q261" s="11" t="str">
        <f t="shared" si="184"/>
        <v>Gráfico</v>
      </c>
      <c r="R261" s="20" t="str">
        <f>Agencia[[#This Row],[territorio]]&amp;" espacio cultural acceso discapacitados discapacidad cultura"</f>
        <v>Región de Valparaíso espacio cultural acceso discapacitados discapacidad cultura</v>
      </c>
      <c r="S261"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https://analytics.zoho.com/open-view/2395394000008213039?ZOHO_CRITERIA=%22Espacios_Culturales_Completo%201%22.%22C%C3%B3digo_Regi%C3%B3n%22%20%3D%205</v>
      </c>
      <c r="T261" s="69" t="str">
        <f>"100-C-"&amp;Agencia[[#This Row],[Filtro URL]]</f>
        <v>100-C-5</v>
      </c>
      <c r="U261" s="50" t="str">
        <f t="shared" si="215"/>
        <v>#1774B9</v>
      </c>
      <c r="V261" s="118" t="str">
        <f>+Agencia[[#This Row],[idcoleccion]]&amp;"-"&amp;Agencia[[#This Row],[id]]</f>
        <v>990-0250</v>
      </c>
      <c r="W261" s="118">
        <f>+VLOOKUP(Agencia[[#This Row],[Filtro URL]],Estructura!$X$4:$Y$500,2,0)</f>
        <v>99200005</v>
      </c>
      <c r="X261" s="118" t="str">
        <f>+VLOOKUP(Agencia[[#This Row],[tema]],Estructura!$A$4:$C$500,3,0)</f>
        <v>T-997</v>
      </c>
      <c r="Y261" s="118" t="str">
        <f>+VLOOKUP(Agencia[[#This Row],[contenido]],Estructura!$E$4:$G$500,3,0)</f>
        <v>C-1008</v>
      </c>
      <c r="Z261" s="118" t="str">
        <f>+VLOOKUP(Agencia[[#This Row],[Filtro Integrado]],Estructura!$I$4:$K$500,3,0)</f>
        <v>FI-991</v>
      </c>
      <c r="AA261" s="118" t="str">
        <f>+VLOOKUP(Agencia[[#This Row],[Muestra]],Estructura!$M$4:$O$500,3,0)</f>
        <v>M-1005</v>
      </c>
    </row>
    <row r="262" spans="1:27" ht="72" x14ac:dyDescent="0.3">
      <c r="A262" s="21" t="s">
        <v>699</v>
      </c>
      <c r="B262" s="24">
        <f t="shared" ref="B262:D262" si="234">+B261</f>
        <v>990</v>
      </c>
      <c r="C262" s="25" t="str">
        <f t="shared" si="234"/>
        <v>Agencia Información</v>
      </c>
      <c r="D262" s="25" t="str">
        <f t="shared" si="234"/>
        <v>Arte y cultura</v>
      </c>
      <c r="E262" s="19">
        <v>6</v>
      </c>
      <c r="F262" s="10" t="s">
        <v>877</v>
      </c>
      <c r="G262" s="10" t="s">
        <v>3781</v>
      </c>
      <c r="H262" s="35" t="s">
        <v>16</v>
      </c>
      <c r="I262" s="36" t="s">
        <v>373</v>
      </c>
      <c r="J262" s="9" t="str">
        <f t="shared" si="229"/>
        <v>Comuna</v>
      </c>
      <c r="K262" s="9" t="str">
        <f t="shared" si="229"/>
        <v>Cantidad de espacios culturales por comuna</v>
      </c>
      <c r="L262" s="9" t="str">
        <f t="shared" si="229"/>
        <v>Año 2021</v>
      </c>
      <c r="M262" s="9" t="str">
        <f t="shared" si="229"/>
        <v>Número de espacios culturales</v>
      </c>
      <c r="N262" s="9" t="str">
        <f t="shared" si="229"/>
        <v>Observatorio Cultural</v>
      </c>
      <c r="O262" s="20" t="str">
        <f>"Cantidad de Espacios Culturales con Acceso para Discapacitados en la "&amp;Agencia[[#This Row],[territorio]]&amp;", en el "&amp;Agencia[[#This Row],[temporalidad]]</f>
        <v>Cantidad de Espacios Culturales con Acceso para Discapacitados en la Región de O'Higgins, en el Año 2021</v>
      </c>
      <c r="P262" s="20"/>
      <c r="Q262" s="11" t="str">
        <f t="shared" si="184"/>
        <v>Gráfico</v>
      </c>
      <c r="R262" s="20" t="str">
        <f>Agencia[[#This Row],[territorio]]&amp;" espacio cultural acceso discapacitados discapacidad cultura"</f>
        <v>Región de O'Higgins espacio cultural acceso discapacitados discapacidad cultura</v>
      </c>
      <c r="S262"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https://analytics.zoho.com/open-view/2395394000008213039?ZOHO_CRITERIA=%22Espacios_Culturales_Completo%201%22.%22C%C3%B3digo_Regi%C3%B3n%22%20%3D%206</v>
      </c>
      <c r="T262" s="69" t="str">
        <f>"100-C-"&amp;Agencia[[#This Row],[Filtro URL]]</f>
        <v>100-C-6</v>
      </c>
      <c r="U262" s="50" t="str">
        <f t="shared" si="215"/>
        <v>#1774B9</v>
      </c>
      <c r="V262" s="118" t="str">
        <f>+Agencia[[#This Row],[idcoleccion]]&amp;"-"&amp;Agencia[[#This Row],[id]]</f>
        <v>990-0251</v>
      </c>
      <c r="W262" s="118">
        <f>+VLOOKUP(Agencia[[#This Row],[Filtro URL]],Estructura!$X$4:$Y$500,2,0)</f>
        <v>99200006</v>
      </c>
      <c r="X262" s="118" t="str">
        <f>+VLOOKUP(Agencia[[#This Row],[tema]],Estructura!$A$4:$C$500,3,0)</f>
        <v>T-997</v>
      </c>
      <c r="Y262" s="118" t="str">
        <f>+VLOOKUP(Agencia[[#This Row],[contenido]],Estructura!$E$4:$G$500,3,0)</f>
        <v>C-1008</v>
      </c>
      <c r="Z262" s="118" t="str">
        <f>+VLOOKUP(Agencia[[#This Row],[Filtro Integrado]],Estructura!$I$4:$K$500,3,0)</f>
        <v>FI-991</v>
      </c>
      <c r="AA262" s="118" t="str">
        <f>+VLOOKUP(Agencia[[#This Row],[Muestra]],Estructura!$M$4:$O$500,3,0)</f>
        <v>M-1005</v>
      </c>
    </row>
    <row r="263" spans="1:27" ht="72" x14ac:dyDescent="0.3">
      <c r="A263" s="21" t="s">
        <v>700</v>
      </c>
      <c r="B263" s="24">
        <f t="shared" ref="B263:D263" si="235">+B262</f>
        <v>990</v>
      </c>
      <c r="C263" s="25" t="str">
        <f t="shared" si="235"/>
        <v>Agencia Información</v>
      </c>
      <c r="D263" s="25" t="str">
        <f t="shared" si="235"/>
        <v>Arte y cultura</v>
      </c>
      <c r="E263" s="19">
        <v>7</v>
      </c>
      <c r="F263" s="10" t="s">
        <v>877</v>
      </c>
      <c r="G263" s="10" t="s">
        <v>3781</v>
      </c>
      <c r="H263" s="35" t="s">
        <v>16</v>
      </c>
      <c r="I263" s="36" t="s">
        <v>374</v>
      </c>
      <c r="J263" s="9" t="str">
        <f t="shared" si="229"/>
        <v>Comuna</v>
      </c>
      <c r="K263" s="9" t="str">
        <f t="shared" si="229"/>
        <v>Cantidad de espacios culturales por comuna</v>
      </c>
      <c r="L263" s="9" t="str">
        <f t="shared" si="229"/>
        <v>Año 2021</v>
      </c>
      <c r="M263" s="9" t="str">
        <f t="shared" si="229"/>
        <v>Número de espacios culturales</v>
      </c>
      <c r="N263" s="9" t="str">
        <f t="shared" si="229"/>
        <v>Observatorio Cultural</v>
      </c>
      <c r="O263" s="20" t="str">
        <f>"Cantidad de Espacios Culturales con Acceso para Discapacitados en la "&amp;Agencia[[#This Row],[territorio]]&amp;", en el "&amp;Agencia[[#This Row],[temporalidad]]</f>
        <v>Cantidad de Espacios Culturales con Acceso para Discapacitados en la Región de Maule, en el Año 2021</v>
      </c>
      <c r="P263" s="20"/>
      <c r="Q263" s="11" t="str">
        <f t="shared" si="184"/>
        <v>Gráfico</v>
      </c>
      <c r="R263" s="20" t="str">
        <f>Agencia[[#This Row],[territorio]]&amp;" espacio cultural acceso discapacitados discapacidad cultura"</f>
        <v>Región de Maule espacio cultural acceso discapacitados discapacidad cultura</v>
      </c>
      <c r="S263"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https://analytics.zoho.com/open-view/2395394000008213039?ZOHO_CRITERIA=%22Espacios_Culturales_Completo%201%22.%22C%C3%B3digo_Regi%C3%B3n%22%20%3D%207</v>
      </c>
      <c r="T263" s="69" t="str">
        <f>"100-C-"&amp;Agencia[[#This Row],[Filtro URL]]</f>
        <v>100-C-7</v>
      </c>
      <c r="U263" s="50" t="str">
        <f t="shared" si="215"/>
        <v>#1774B9</v>
      </c>
      <c r="V263" s="118" t="str">
        <f>+Agencia[[#This Row],[idcoleccion]]&amp;"-"&amp;Agencia[[#This Row],[id]]</f>
        <v>990-0252</v>
      </c>
      <c r="W263" s="118">
        <f>+VLOOKUP(Agencia[[#This Row],[Filtro URL]],Estructura!$X$4:$Y$500,2,0)</f>
        <v>99200007</v>
      </c>
      <c r="X263" s="118" t="str">
        <f>+VLOOKUP(Agencia[[#This Row],[tema]],Estructura!$A$4:$C$500,3,0)</f>
        <v>T-997</v>
      </c>
      <c r="Y263" s="118" t="str">
        <f>+VLOOKUP(Agencia[[#This Row],[contenido]],Estructura!$E$4:$G$500,3,0)</f>
        <v>C-1008</v>
      </c>
      <c r="Z263" s="118" t="str">
        <f>+VLOOKUP(Agencia[[#This Row],[Filtro Integrado]],Estructura!$I$4:$K$500,3,0)</f>
        <v>FI-991</v>
      </c>
      <c r="AA263" s="118" t="str">
        <f>+VLOOKUP(Agencia[[#This Row],[Muestra]],Estructura!$M$4:$O$500,3,0)</f>
        <v>M-1005</v>
      </c>
    </row>
    <row r="264" spans="1:27" ht="72" x14ac:dyDescent="0.3">
      <c r="A264" s="21" t="s">
        <v>701</v>
      </c>
      <c r="B264" s="24">
        <f t="shared" ref="B264:D264" si="236">+B263</f>
        <v>990</v>
      </c>
      <c r="C264" s="25" t="str">
        <f t="shared" si="236"/>
        <v>Agencia Información</v>
      </c>
      <c r="D264" s="25" t="str">
        <f t="shared" si="236"/>
        <v>Arte y cultura</v>
      </c>
      <c r="E264" s="19">
        <v>8</v>
      </c>
      <c r="F264" s="10" t="s">
        <v>877</v>
      </c>
      <c r="G264" s="10" t="s">
        <v>3781</v>
      </c>
      <c r="H264" s="35" t="s">
        <v>16</v>
      </c>
      <c r="I264" s="36" t="s">
        <v>375</v>
      </c>
      <c r="J264" s="9" t="str">
        <f t="shared" si="229"/>
        <v>Comuna</v>
      </c>
      <c r="K264" s="9" t="str">
        <f t="shared" si="229"/>
        <v>Cantidad de espacios culturales por comuna</v>
      </c>
      <c r="L264" s="9" t="str">
        <f t="shared" si="229"/>
        <v>Año 2021</v>
      </c>
      <c r="M264" s="9" t="str">
        <f t="shared" si="229"/>
        <v>Número de espacios culturales</v>
      </c>
      <c r="N264" s="9" t="str">
        <f t="shared" si="229"/>
        <v>Observatorio Cultural</v>
      </c>
      <c r="O264" s="20" t="str">
        <f>"Cantidad de Espacios Culturales con Acceso para Discapacitados en la "&amp;Agencia[[#This Row],[territorio]]&amp;", en el "&amp;Agencia[[#This Row],[temporalidad]]</f>
        <v>Cantidad de Espacios Culturales con Acceso para Discapacitados en la Región del Biobío, en el Año 2021</v>
      </c>
      <c r="P264" s="20"/>
      <c r="Q264" s="11" t="str">
        <f t="shared" si="184"/>
        <v>Gráfico</v>
      </c>
      <c r="R264" s="20" t="str">
        <f>Agencia[[#This Row],[territorio]]&amp;" espacio cultural acceso discapacitados discapacidad cultura"</f>
        <v>Región del Biobío espacio cultural acceso discapacitados discapacidad cultura</v>
      </c>
      <c r="S264"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https://analytics.zoho.com/open-view/2395394000008213039?ZOHO_CRITERIA=%22Espacios_Culturales_Completo%201%22.%22C%C3%B3digo_Regi%C3%B3n%22%20%3D%208</v>
      </c>
      <c r="T264" s="69" t="str">
        <f>"100-C-"&amp;Agencia[[#This Row],[Filtro URL]]</f>
        <v>100-C-8</v>
      </c>
      <c r="U264" s="50" t="str">
        <f t="shared" si="215"/>
        <v>#1774B9</v>
      </c>
      <c r="V264" s="118" t="str">
        <f>+Agencia[[#This Row],[idcoleccion]]&amp;"-"&amp;Agencia[[#This Row],[id]]</f>
        <v>990-0253</v>
      </c>
      <c r="W264" s="118">
        <f>+VLOOKUP(Agencia[[#This Row],[Filtro URL]],Estructura!$X$4:$Y$500,2,0)</f>
        <v>99200008</v>
      </c>
      <c r="X264" s="118" t="str">
        <f>+VLOOKUP(Agencia[[#This Row],[tema]],Estructura!$A$4:$C$500,3,0)</f>
        <v>T-997</v>
      </c>
      <c r="Y264" s="118" t="str">
        <f>+VLOOKUP(Agencia[[#This Row],[contenido]],Estructura!$E$4:$G$500,3,0)</f>
        <v>C-1008</v>
      </c>
      <c r="Z264" s="118" t="str">
        <f>+VLOOKUP(Agencia[[#This Row],[Filtro Integrado]],Estructura!$I$4:$K$500,3,0)</f>
        <v>FI-991</v>
      </c>
      <c r="AA264" s="118" t="str">
        <f>+VLOOKUP(Agencia[[#This Row],[Muestra]],Estructura!$M$4:$O$500,3,0)</f>
        <v>M-1005</v>
      </c>
    </row>
    <row r="265" spans="1:27" ht="72" x14ac:dyDescent="0.3">
      <c r="A265" s="21" t="s">
        <v>702</v>
      </c>
      <c r="B265" s="24">
        <f t="shared" ref="B265:D265" si="237">+B264</f>
        <v>990</v>
      </c>
      <c r="C265" s="25" t="str">
        <f t="shared" si="237"/>
        <v>Agencia Información</v>
      </c>
      <c r="D265" s="25" t="str">
        <f t="shared" si="237"/>
        <v>Arte y cultura</v>
      </c>
      <c r="E265" s="19">
        <v>9</v>
      </c>
      <c r="F265" s="10" t="s">
        <v>877</v>
      </c>
      <c r="G265" s="10" t="s">
        <v>3781</v>
      </c>
      <c r="H265" s="35" t="s">
        <v>16</v>
      </c>
      <c r="I265" s="36" t="s">
        <v>376</v>
      </c>
      <c r="J265" s="9" t="str">
        <f t="shared" si="229"/>
        <v>Comuna</v>
      </c>
      <c r="K265" s="9" t="str">
        <f t="shared" si="229"/>
        <v>Cantidad de espacios culturales por comuna</v>
      </c>
      <c r="L265" s="9" t="str">
        <f t="shared" si="229"/>
        <v>Año 2021</v>
      </c>
      <c r="M265" s="9" t="str">
        <f t="shared" si="229"/>
        <v>Número de espacios culturales</v>
      </c>
      <c r="N265" s="9" t="str">
        <f t="shared" si="229"/>
        <v>Observatorio Cultural</v>
      </c>
      <c r="O265" s="20" t="str">
        <f>"Cantidad de Espacios Culturales con Acceso para Discapacitados en la "&amp;Agencia[[#This Row],[territorio]]&amp;", en el "&amp;Agencia[[#This Row],[temporalidad]]</f>
        <v>Cantidad de Espacios Culturales con Acceso para Discapacitados en la Región de La Araucanía, en el Año 2021</v>
      </c>
      <c r="P265" s="20"/>
      <c r="Q265" s="11" t="str">
        <f t="shared" si="184"/>
        <v>Gráfico</v>
      </c>
      <c r="R265" s="20" t="str">
        <f>Agencia[[#This Row],[territorio]]&amp;" espacio cultural acceso discapacitados discapacidad cultura"</f>
        <v>Región de La Araucanía espacio cultural acceso discapacitados discapacidad cultura</v>
      </c>
      <c r="S265"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https://analytics.zoho.com/open-view/2395394000008213039?ZOHO_CRITERIA=%22Espacios_Culturales_Completo%201%22.%22C%C3%B3digo_Regi%C3%B3n%22%20%3D%209</v>
      </c>
      <c r="T265" s="69" t="str">
        <f>"100-C-"&amp;Agencia[[#This Row],[Filtro URL]]</f>
        <v>100-C-9</v>
      </c>
      <c r="U265" s="50" t="str">
        <f t="shared" si="215"/>
        <v>#1774B9</v>
      </c>
      <c r="V265" s="118" t="str">
        <f>+Agencia[[#This Row],[idcoleccion]]&amp;"-"&amp;Agencia[[#This Row],[id]]</f>
        <v>990-0254</v>
      </c>
      <c r="W265" s="118">
        <f>+VLOOKUP(Agencia[[#This Row],[Filtro URL]],Estructura!$X$4:$Y$500,2,0)</f>
        <v>99200009</v>
      </c>
      <c r="X265" s="118" t="str">
        <f>+VLOOKUP(Agencia[[#This Row],[tema]],Estructura!$A$4:$C$500,3,0)</f>
        <v>T-997</v>
      </c>
      <c r="Y265" s="118" t="str">
        <f>+VLOOKUP(Agencia[[#This Row],[contenido]],Estructura!$E$4:$G$500,3,0)</f>
        <v>C-1008</v>
      </c>
      <c r="Z265" s="118" t="str">
        <f>+VLOOKUP(Agencia[[#This Row],[Filtro Integrado]],Estructura!$I$4:$K$500,3,0)</f>
        <v>FI-991</v>
      </c>
      <c r="AA265" s="118" t="str">
        <f>+VLOOKUP(Agencia[[#This Row],[Muestra]],Estructura!$M$4:$O$500,3,0)</f>
        <v>M-1005</v>
      </c>
    </row>
    <row r="266" spans="1:27" ht="72" x14ac:dyDescent="0.3">
      <c r="A266" s="21" t="s">
        <v>703</v>
      </c>
      <c r="B266" s="24">
        <f t="shared" ref="B266:D266" si="238">+B265</f>
        <v>990</v>
      </c>
      <c r="C266" s="25" t="str">
        <f t="shared" si="238"/>
        <v>Agencia Información</v>
      </c>
      <c r="D266" s="25" t="str">
        <f t="shared" si="238"/>
        <v>Arte y cultura</v>
      </c>
      <c r="E266" s="19">
        <v>10</v>
      </c>
      <c r="F266" s="10" t="s">
        <v>877</v>
      </c>
      <c r="G266" s="10" t="s">
        <v>3781</v>
      </c>
      <c r="H266" s="35" t="s">
        <v>16</v>
      </c>
      <c r="I266" s="36" t="s">
        <v>377</v>
      </c>
      <c r="J266" s="9" t="str">
        <f t="shared" si="229"/>
        <v>Comuna</v>
      </c>
      <c r="K266" s="9" t="str">
        <f t="shared" si="229"/>
        <v>Cantidad de espacios culturales por comuna</v>
      </c>
      <c r="L266" s="9" t="str">
        <f t="shared" si="229"/>
        <v>Año 2021</v>
      </c>
      <c r="M266" s="9" t="str">
        <f t="shared" si="229"/>
        <v>Número de espacios culturales</v>
      </c>
      <c r="N266" s="9" t="str">
        <f t="shared" si="229"/>
        <v>Observatorio Cultural</v>
      </c>
      <c r="O266" s="20" t="str">
        <f>"Cantidad de Espacios Culturales con Acceso para Discapacitados en la "&amp;Agencia[[#This Row],[territorio]]&amp;", en el "&amp;Agencia[[#This Row],[temporalidad]]</f>
        <v>Cantidad de Espacios Culturales con Acceso para Discapacitados en la Región de Los Lagos, en el Año 2021</v>
      </c>
      <c r="P266" s="20"/>
      <c r="Q266" s="11" t="str">
        <f t="shared" si="184"/>
        <v>Gráfico</v>
      </c>
      <c r="R266" s="20" t="str">
        <f>Agencia[[#This Row],[territorio]]&amp;" espacio cultural acceso discapacitados discapacidad cultura"</f>
        <v>Región de Los Lagos espacio cultural acceso discapacitados discapacidad cultura</v>
      </c>
      <c r="S266"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https://analytics.zoho.com/open-view/2395394000008213039?ZOHO_CRITERIA=%22Espacios_Culturales_Completo%201%22.%22C%C3%B3digo_Regi%C3%B3n%22%20%3D%2010</v>
      </c>
      <c r="T266" s="69" t="str">
        <f>"100-C-"&amp;Agencia[[#This Row],[Filtro URL]]</f>
        <v>100-C-10</v>
      </c>
      <c r="U266" s="50" t="str">
        <f t="shared" si="215"/>
        <v>#1774B9</v>
      </c>
      <c r="V266" s="118" t="str">
        <f>+Agencia[[#This Row],[idcoleccion]]&amp;"-"&amp;Agencia[[#This Row],[id]]</f>
        <v>990-0255</v>
      </c>
      <c r="W266" s="118">
        <f>+VLOOKUP(Agencia[[#This Row],[Filtro URL]],Estructura!$X$4:$Y$500,2,0)</f>
        <v>99200010</v>
      </c>
      <c r="X266" s="118" t="str">
        <f>+VLOOKUP(Agencia[[#This Row],[tema]],Estructura!$A$4:$C$500,3,0)</f>
        <v>T-997</v>
      </c>
      <c r="Y266" s="118" t="str">
        <f>+VLOOKUP(Agencia[[#This Row],[contenido]],Estructura!$E$4:$G$500,3,0)</f>
        <v>C-1008</v>
      </c>
      <c r="Z266" s="118" t="str">
        <f>+VLOOKUP(Agencia[[#This Row],[Filtro Integrado]],Estructura!$I$4:$K$500,3,0)</f>
        <v>FI-991</v>
      </c>
      <c r="AA266" s="118" t="str">
        <f>+VLOOKUP(Agencia[[#This Row],[Muestra]],Estructura!$M$4:$O$500,3,0)</f>
        <v>M-1005</v>
      </c>
    </row>
    <row r="267" spans="1:27" ht="72" x14ac:dyDescent="0.3">
      <c r="A267" s="21" t="s">
        <v>704</v>
      </c>
      <c r="B267" s="24">
        <f t="shared" ref="B267:D267" si="239">+B266</f>
        <v>990</v>
      </c>
      <c r="C267" s="25" t="str">
        <f t="shared" si="239"/>
        <v>Agencia Información</v>
      </c>
      <c r="D267" s="25" t="str">
        <f t="shared" si="239"/>
        <v>Arte y cultura</v>
      </c>
      <c r="E267" s="19">
        <v>11</v>
      </c>
      <c r="F267" s="10" t="s">
        <v>877</v>
      </c>
      <c r="G267" s="10" t="s">
        <v>3781</v>
      </c>
      <c r="H267" s="35" t="s">
        <v>16</v>
      </c>
      <c r="I267" s="36" t="s">
        <v>378</v>
      </c>
      <c r="J267" s="9" t="str">
        <f t="shared" si="229"/>
        <v>Comuna</v>
      </c>
      <c r="K267" s="9" t="str">
        <f t="shared" si="229"/>
        <v>Cantidad de espacios culturales por comuna</v>
      </c>
      <c r="L267" s="9" t="str">
        <f t="shared" si="229"/>
        <v>Año 2021</v>
      </c>
      <c r="M267" s="9" t="str">
        <f t="shared" si="229"/>
        <v>Número de espacios culturales</v>
      </c>
      <c r="N267" s="9" t="str">
        <f t="shared" si="229"/>
        <v>Observatorio Cultural</v>
      </c>
      <c r="O267" s="20" t="str">
        <f>"Cantidad de Espacios Culturales con Acceso para Discapacitados en la "&amp;Agencia[[#This Row],[territorio]]&amp;", en el "&amp;Agencia[[#This Row],[temporalidad]]</f>
        <v>Cantidad de Espacios Culturales con Acceso para Discapacitados en la Región de Aysén, en el Año 2021</v>
      </c>
      <c r="P267" s="20"/>
      <c r="Q267" s="11" t="str">
        <f t="shared" si="184"/>
        <v>Gráfico</v>
      </c>
      <c r="R267" s="20" t="str">
        <f>Agencia[[#This Row],[territorio]]&amp;" espacio cultural acceso discapacitados discapacidad cultura"</f>
        <v>Región de Aysén espacio cultural acceso discapacitados discapacidad cultura</v>
      </c>
      <c r="S267"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https://analytics.zoho.com/open-view/2395394000008213039?ZOHO_CRITERIA=%22Espacios_Culturales_Completo%201%22.%22C%C3%B3digo_Regi%C3%B3n%22%20%3D%2011</v>
      </c>
      <c r="T267" s="69" t="str">
        <f>"100-C-"&amp;Agencia[[#This Row],[Filtro URL]]</f>
        <v>100-C-11</v>
      </c>
      <c r="U267" s="50" t="str">
        <f t="shared" si="215"/>
        <v>#1774B9</v>
      </c>
      <c r="V267" s="118" t="str">
        <f>+Agencia[[#This Row],[idcoleccion]]&amp;"-"&amp;Agencia[[#This Row],[id]]</f>
        <v>990-0256</v>
      </c>
      <c r="W267" s="118">
        <f>+VLOOKUP(Agencia[[#This Row],[Filtro URL]],Estructura!$X$4:$Y$500,2,0)</f>
        <v>99200011</v>
      </c>
      <c r="X267" s="118" t="str">
        <f>+VLOOKUP(Agencia[[#This Row],[tema]],Estructura!$A$4:$C$500,3,0)</f>
        <v>T-997</v>
      </c>
      <c r="Y267" s="118" t="str">
        <f>+VLOOKUP(Agencia[[#This Row],[contenido]],Estructura!$E$4:$G$500,3,0)</f>
        <v>C-1008</v>
      </c>
      <c r="Z267" s="118" t="str">
        <f>+VLOOKUP(Agencia[[#This Row],[Filtro Integrado]],Estructura!$I$4:$K$500,3,0)</f>
        <v>FI-991</v>
      </c>
      <c r="AA267" s="118" t="str">
        <f>+VLOOKUP(Agencia[[#This Row],[Muestra]],Estructura!$M$4:$O$500,3,0)</f>
        <v>M-1005</v>
      </c>
    </row>
    <row r="268" spans="1:27" ht="72" x14ac:dyDescent="0.3">
      <c r="A268" s="21" t="s">
        <v>705</v>
      </c>
      <c r="B268" s="24">
        <f t="shared" ref="B268:D268" si="240">+B267</f>
        <v>990</v>
      </c>
      <c r="C268" s="25" t="str">
        <f t="shared" si="240"/>
        <v>Agencia Información</v>
      </c>
      <c r="D268" s="25" t="str">
        <f t="shared" si="240"/>
        <v>Arte y cultura</v>
      </c>
      <c r="E268" s="19">
        <v>12</v>
      </c>
      <c r="F268" s="10" t="s">
        <v>877</v>
      </c>
      <c r="G268" s="10" t="s">
        <v>3781</v>
      </c>
      <c r="H268" s="35" t="s">
        <v>16</v>
      </c>
      <c r="I268" s="36" t="s">
        <v>379</v>
      </c>
      <c r="J268" s="9" t="str">
        <f t="shared" si="229"/>
        <v>Comuna</v>
      </c>
      <c r="K268" s="9" t="str">
        <f t="shared" si="229"/>
        <v>Cantidad de espacios culturales por comuna</v>
      </c>
      <c r="L268" s="9" t="str">
        <f t="shared" si="229"/>
        <v>Año 2021</v>
      </c>
      <c r="M268" s="9" t="str">
        <f t="shared" si="229"/>
        <v>Número de espacios culturales</v>
      </c>
      <c r="N268" s="9" t="str">
        <f t="shared" si="229"/>
        <v>Observatorio Cultural</v>
      </c>
      <c r="O268" s="20" t="str">
        <f>"Cantidad de Espacios Culturales con Acceso para Discapacitados en la "&amp;Agencia[[#This Row],[territorio]]&amp;", en el "&amp;Agencia[[#This Row],[temporalidad]]</f>
        <v>Cantidad de Espacios Culturales con Acceso para Discapacitados en la Región de Magallanes, en el Año 2021</v>
      </c>
      <c r="P268" s="20"/>
      <c r="Q268" s="11" t="str">
        <f t="shared" si="184"/>
        <v>Gráfico</v>
      </c>
      <c r="R268" s="20" t="str">
        <f>Agencia[[#This Row],[territorio]]&amp;" espacio cultural acceso discapacitados discapacidad cultura"</f>
        <v>Región de Magallanes espacio cultural acceso discapacitados discapacidad cultura</v>
      </c>
      <c r="S268"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https://analytics.zoho.com/open-view/2395394000008213039?ZOHO_CRITERIA=%22Espacios_Culturales_Completo%201%22.%22C%C3%B3digo_Regi%C3%B3n%22%20%3D%2012</v>
      </c>
      <c r="T268" s="69" t="str">
        <f>"100-C-"&amp;Agencia[[#This Row],[Filtro URL]]</f>
        <v>100-C-12</v>
      </c>
      <c r="U268" s="50" t="str">
        <f t="shared" si="215"/>
        <v>#1774B9</v>
      </c>
      <c r="V268" s="118" t="str">
        <f>+Agencia[[#This Row],[idcoleccion]]&amp;"-"&amp;Agencia[[#This Row],[id]]</f>
        <v>990-0257</v>
      </c>
      <c r="W268" s="118">
        <f>+VLOOKUP(Agencia[[#This Row],[Filtro URL]],Estructura!$X$4:$Y$500,2,0)</f>
        <v>99200012</v>
      </c>
      <c r="X268" s="118" t="str">
        <f>+VLOOKUP(Agencia[[#This Row],[tema]],Estructura!$A$4:$C$500,3,0)</f>
        <v>T-997</v>
      </c>
      <c r="Y268" s="118" t="str">
        <f>+VLOOKUP(Agencia[[#This Row],[contenido]],Estructura!$E$4:$G$500,3,0)</f>
        <v>C-1008</v>
      </c>
      <c r="Z268" s="118" t="str">
        <f>+VLOOKUP(Agencia[[#This Row],[Filtro Integrado]],Estructura!$I$4:$K$500,3,0)</f>
        <v>FI-991</v>
      </c>
      <c r="AA268" s="118" t="str">
        <f>+VLOOKUP(Agencia[[#This Row],[Muestra]],Estructura!$M$4:$O$500,3,0)</f>
        <v>M-1005</v>
      </c>
    </row>
    <row r="269" spans="1:27" ht="72" x14ac:dyDescent="0.3">
      <c r="A269" s="21" t="s">
        <v>706</v>
      </c>
      <c r="B269" s="24">
        <f t="shared" ref="B269:D269" si="241">+B268</f>
        <v>990</v>
      </c>
      <c r="C269" s="25" t="str">
        <f t="shared" si="241"/>
        <v>Agencia Información</v>
      </c>
      <c r="D269" s="25" t="str">
        <f t="shared" si="241"/>
        <v>Arte y cultura</v>
      </c>
      <c r="E269" s="19">
        <v>13</v>
      </c>
      <c r="F269" s="10" t="s">
        <v>877</v>
      </c>
      <c r="G269" s="10" t="s">
        <v>3781</v>
      </c>
      <c r="H269" s="35" t="s">
        <v>16</v>
      </c>
      <c r="I269" s="36" t="s">
        <v>380</v>
      </c>
      <c r="J269" s="9" t="str">
        <f t="shared" si="229"/>
        <v>Comuna</v>
      </c>
      <c r="K269" s="9" t="str">
        <f t="shared" si="229"/>
        <v>Cantidad de espacios culturales por comuna</v>
      </c>
      <c r="L269" s="9" t="str">
        <f t="shared" si="229"/>
        <v>Año 2021</v>
      </c>
      <c r="M269" s="9" t="str">
        <f t="shared" si="229"/>
        <v>Número de espacios culturales</v>
      </c>
      <c r="N269" s="9" t="str">
        <f t="shared" si="229"/>
        <v>Observatorio Cultural</v>
      </c>
      <c r="O269" s="20" t="str">
        <f>"Cantidad de Espacios Culturales con Acceso para Discapacitados en la "&amp;Agencia[[#This Row],[territorio]]&amp;", en el "&amp;Agencia[[#This Row],[temporalidad]]</f>
        <v>Cantidad de Espacios Culturales con Acceso para Discapacitados en la Región Metropolitana, en el Año 2021</v>
      </c>
      <c r="P269" s="20"/>
      <c r="Q269" s="11" t="str">
        <f t="shared" si="184"/>
        <v>Gráfico</v>
      </c>
      <c r="R269" s="20" t="str">
        <f>Agencia[[#This Row],[territorio]]&amp;" espacio cultural acceso discapacitados discapacidad cultura"</f>
        <v>Región Metropolitana espacio cultural acceso discapacitados discapacidad cultura</v>
      </c>
      <c r="S269"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https://analytics.zoho.com/open-view/2395394000008213039?ZOHO_CRITERIA=%22Espacios_Culturales_Completo%201%22.%22C%C3%B3digo_Regi%C3%B3n%22%20%3D%2013</v>
      </c>
      <c r="T269" s="69" t="str">
        <f>"200-C-"&amp;Agencia[[#This Row],[Filtro URL]]</f>
        <v>200-C-13</v>
      </c>
      <c r="U269" s="50" t="str">
        <f t="shared" si="215"/>
        <v>#1774B9</v>
      </c>
      <c r="V269" s="118" t="str">
        <f>+Agencia[[#This Row],[idcoleccion]]&amp;"-"&amp;Agencia[[#This Row],[id]]</f>
        <v>990-0258</v>
      </c>
      <c r="W269" s="118">
        <f>+VLOOKUP(Agencia[[#This Row],[Filtro URL]],Estructura!$X$4:$Y$500,2,0)</f>
        <v>99200013</v>
      </c>
      <c r="X269" s="118" t="str">
        <f>+VLOOKUP(Agencia[[#This Row],[tema]],Estructura!$A$4:$C$500,3,0)</f>
        <v>T-997</v>
      </c>
      <c r="Y269" s="118" t="str">
        <f>+VLOOKUP(Agencia[[#This Row],[contenido]],Estructura!$E$4:$G$500,3,0)</f>
        <v>C-1008</v>
      </c>
      <c r="Z269" s="118" t="str">
        <f>+VLOOKUP(Agencia[[#This Row],[Filtro Integrado]],Estructura!$I$4:$K$500,3,0)</f>
        <v>FI-991</v>
      </c>
      <c r="AA269" s="118" t="str">
        <f>+VLOOKUP(Agencia[[#This Row],[Muestra]],Estructura!$M$4:$O$500,3,0)</f>
        <v>M-1005</v>
      </c>
    </row>
    <row r="270" spans="1:27" ht="72" x14ac:dyDescent="0.3">
      <c r="A270" s="21" t="s">
        <v>707</v>
      </c>
      <c r="B270" s="24">
        <f t="shared" ref="B270:D270" si="242">+B269</f>
        <v>990</v>
      </c>
      <c r="C270" s="25" t="str">
        <f t="shared" si="242"/>
        <v>Agencia Información</v>
      </c>
      <c r="D270" s="25" t="str">
        <f t="shared" si="242"/>
        <v>Arte y cultura</v>
      </c>
      <c r="E270" s="19">
        <v>14</v>
      </c>
      <c r="F270" s="10" t="s">
        <v>877</v>
      </c>
      <c r="G270" s="10" t="s">
        <v>3781</v>
      </c>
      <c r="H270" s="35" t="s">
        <v>16</v>
      </c>
      <c r="I270" s="36" t="s">
        <v>381</v>
      </c>
      <c r="J270" s="9" t="str">
        <f t="shared" si="229"/>
        <v>Comuna</v>
      </c>
      <c r="K270" s="9" t="str">
        <f t="shared" si="229"/>
        <v>Cantidad de espacios culturales por comuna</v>
      </c>
      <c r="L270" s="9" t="str">
        <f t="shared" si="229"/>
        <v>Año 2021</v>
      </c>
      <c r="M270" s="9" t="str">
        <f t="shared" si="229"/>
        <v>Número de espacios culturales</v>
      </c>
      <c r="N270" s="9" t="str">
        <f t="shared" si="229"/>
        <v>Observatorio Cultural</v>
      </c>
      <c r="O270" s="20" t="str">
        <f>"Cantidad de Espacios Culturales con Acceso para Discapacitados en la "&amp;Agencia[[#This Row],[territorio]]&amp;", en el "&amp;Agencia[[#This Row],[temporalidad]]</f>
        <v>Cantidad de Espacios Culturales con Acceso para Discapacitados en la Región de Los Ríos, en el Año 2021</v>
      </c>
      <c r="P270" s="20"/>
      <c r="Q270" s="11" t="str">
        <f t="shared" si="184"/>
        <v>Gráfico</v>
      </c>
      <c r="R270" s="20" t="str">
        <f>Agencia[[#This Row],[territorio]]&amp;" espacio cultural acceso discapacitados discapacidad cultura"</f>
        <v>Región de Los Ríos espacio cultural acceso discapacitados discapacidad cultura</v>
      </c>
      <c r="S270"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https://analytics.zoho.com/open-view/2395394000008213039?ZOHO_CRITERIA=%22Espacios_Culturales_Completo%201%22.%22C%C3%B3digo_Regi%C3%B3n%22%20%3D%2014</v>
      </c>
      <c r="T270" s="69" t="str">
        <f>"100-C-"&amp;Agencia[[#This Row],[Filtro URL]]</f>
        <v>100-C-14</v>
      </c>
      <c r="U270" s="50" t="str">
        <f t="shared" si="215"/>
        <v>#1774B9</v>
      </c>
      <c r="V270" s="118" t="str">
        <f>+Agencia[[#This Row],[idcoleccion]]&amp;"-"&amp;Agencia[[#This Row],[id]]</f>
        <v>990-0259</v>
      </c>
      <c r="W270" s="118">
        <f>+VLOOKUP(Agencia[[#This Row],[Filtro URL]],Estructura!$X$4:$Y$500,2,0)</f>
        <v>99200014</v>
      </c>
      <c r="X270" s="118" t="str">
        <f>+VLOOKUP(Agencia[[#This Row],[tema]],Estructura!$A$4:$C$500,3,0)</f>
        <v>T-997</v>
      </c>
      <c r="Y270" s="118" t="str">
        <f>+VLOOKUP(Agencia[[#This Row],[contenido]],Estructura!$E$4:$G$500,3,0)</f>
        <v>C-1008</v>
      </c>
      <c r="Z270" s="118" t="str">
        <f>+VLOOKUP(Agencia[[#This Row],[Filtro Integrado]],Estructura!$I$4:$K$500,3,0)</f>
        <v>FI-991</v>
      </c>
      <c r="AA270" s="118" t="str">
        <f>+VLOOKUP(Agencia[[#This Row],[Muestra]],Estructura!$M$4:$O$500,3,0)</f>
        <v>M-1005</v>
      </c>
    </row>
    <row r="271" spans="1:27" ht="72" x14ac:dyDescent="0.3">
      <c r="A271" s="21" t="s">
        <v>708</v>
      </c>
      <c r="B271" s="24">
        <f t="shared" ref="B271:D271" si="243">+B270</f>
        <v>990</v>
      </c>
      <c r="C271" s="25" t="str">
        <f t="shared" si="243"/>
        <v>Agencia Información</v>
      </c>
      <c r="D271" s="25" t="str">
        <f t="shared" si="243"/>
        <v>Arte y cultura</v>
      </c>
      <c r="E271" s="19">
        <v>15</v>
      </c>
      <c r="F271" s="10" t="s">
        <v>877</v>
      </c>
      <c r="G271" s="10" t="s">
        <v>3781</v>
      </c>
      <c r="H271" s="35" t="s">
        <v>16</v>
      </c>
      <c r="I271" s="36" t="s">
        <v>382</v>
      </c>
      <c r="J271" s="9" t="str">
        <f t="shared" si="229"/>
        <v>Comuna</v>
      </c>
      <c r="K271" s="9" t="str">
        <f t="shared" si="229"/>
        <v>Cantidad de espacios culturales por comuna</v>
      </c>
      <c r="L271" s="9" t="str">
        <f t="shared" si="229"/>
        <v>Año 2021</v>
      </c>
      <c r="M271" s="9" t="str">
        <f t="shared" si="229"/>
        <v>Número de espacios culturales</v>
      </c>
      <c r="N271" s="9" t="str">
        <f t="shared" si="229"/>
        <v>Observatorio Cultural</v>
      </c>
      <c r="O271" s="20" t="str">
        <f>"Cantidad de Espacios Culturales con Acceso para Discapacitados en la "&amp;Agencia[[#This Row],[territorio]]&amp;", en el "&amp;Agencia[[#This Row],[temporalidad]]</f>
        <v>Cantidad de Espacios Culturales con Acceso para Discapacitados en la Región de Arica y Parinacota, en el Año 2021</v>
      </c>
      <c r="P271" s="20"/>
      <c r="Q271" s="11" t="str">
        <f t="shared" si="184"/>
        <v>Gráfico</v>
      </c>
      <c r="R271" s="20" t="str">
        <f>Agencia[[#This Row],[territorio]]&amp;" espacio cultural acceso discapacitados discapacidad cultura"</f>
        <v>Región de Arica y Parinacota espacio cultural acceso discapacitados discapacidad cultura</v>
      </c>
      <c r="S271"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https://analytics.zoho.com/open-view/2395394000008213039?ZOHO_CRITERIA=%22Espacios_Culturales_Completo%201%22.%22C%C3%B3digo_Regi%C3%B3n%22%20%3D%2015</v>
      </c>
      <c r="T271" s="69" t="str">
        <f>"100-C-"&amp;Agencia[[#This Row],[Filtro URL]]</f>
        <v>100-C-15</v>
      </c>
      <c r="U271" s="50" t="str">
        <f t="shared" si="215"/>
        <v>#1774B9</v>
      </c>
      <c r="V271" s="118" t="str">
        <f>+Agencia[[#This Row],[idcoleccion]]&amp;"-"&amp;Agencia[[#This Row],[id]]</f>
        <v>990-0260</v>
      </c>
      <c r="W271" s="118">
        <f>+VLOOKUP(Agencia[[#This Row],[Filtro URL]],Estructura!$X$4:$Y$500,2,0)</f>
        <v>99200015</v>
      </c>
      <c r="X271" s="118" t="str">
        <f>+VLOOKUP(Agencia[[#This Row],[tema]],Estructura!$A$4:$C$500,3,0)</f>
        <v>T-997</v>
      </c>
      <c r="Y271" s="118" t="str">
        <f>+VLOOKUP(Agencia[[#This Row],[contenido]],Estructura!$E$4:$G$500,3,0)</f>
        <v>C-1008</v>
      </c>
      <c r="Z271" s="118" t="str">
        <f>+VLOOKUP(Agencia[[#This Row],[Filtro Integrado]],Estructura!$I$4:$K$500,3,0)</f>
        <v>FI-991</v>
      </c>
      <c r="AA271" s="118" t="str">
        <f>+VLOOKUP(Agencia[[#This Row],[Muestra]],Estructura!$M$4:$O$500,3,0)</f>
        <v>M-1005</v>
      </c>
    </row>
    <row r="272" spans="1:27" ht="72" x14ac:dyDescent="0.3">
      <c r="A272" s="21" t="s">
        <v>709</v>
      </c>
      <c r="B272" s="24">
        <f t="shared" ref="B272:D272" si="244">+B271</f>
        <v>990</v>
      </c>
      <c r="C272" s="25" t="str">
        <f t="shared" si="244"/>
        <v>Agencia Información</v>
      </c>
      <c r="D272" s="25" t="str">
        <f t="shared" si="244"/>
        <v>Arte y cultura</v>
      </c>
      <c r="E272" s="19">
        <v>16</v>
      </c>
      <c r="F272" s="10" t="s">
        <v>877</v>
      </c>
      <c r="G272" s="10" t="s">
        <v>3781</v>
      </c>
      <c r="H272" s="35" t="s">
        <v>16</v>
      </c>
      <c r="I272" s="36" t="s">
        <v>383</v>
      </c>
      <c r="J272" s="9" t="str">
        <f t="shared" si="229"/>
        <v>Comuna</v>
      </c>
      <c r="K272" s="9" t="str">
        <f t="shared" si="229"/>
        <v>Cantidad de espacios culturales por comuna</v>
      </c>
      <c r="L272" s="9" t="str">
        <f t="shared" si="229"/>
        <v>Año 2021</v>
      </c>
      <c r="M272" s="9" t="str">
        <f t="shared" si="229"/>
        <v>Número de espacios culturales</v>
      </c>
      <c r="N272" s="9" t="str">
        <f t="shared" si="229"/>
        <v>Observatorio Cultural</v>
      </c>
      <c r="O272" s="20" t="str">
        <f>"Cantidad de Espacios Culturales con Acceso para Discapacitados en la "&amp;Agencia[[#This Row],[territorio]]&amp;", en el "&amp;Agencia[[#This Row],[temporalidad]]</f>
        <v>Cantidad de Espacios Culturales con Acceso para Discapacitados en la Región de Ñuble, en el Año 2021</v>
      </c>
      <c r="P272" s="20"/>
      <c r="Q272" s="11" t="str">
        <f t="shared" si="184"/>
        <v>Gráfico</v>
      </c>
      <c r="R272" s="20" t="str">
        <f>Agencia[[#This Row],[territorio]]&amp;" espacio cultural acceso discapacitados discapacidad cultura"</f>
        <v>Región de Ñuble espacio cultural acceso discapacitados discapacidad cultura</v>
      </c>
      <c r="S272" s="47" t="str">
        <f>HYPERLINK("https://analytics.zoho.com/open-view/2395394000008213039?ZOHO_CRITERIA=%22Espacios_Culturales_Completo%201%22.%22C%C3%B3digo_Regi%C3%B3n%22%20%3D%20"&amp;Agencia[[#This Row],[Filtro URL]])</f>
        <v>https://analytics.zoho.com/open-view/2395394000008213039?ZOHO_CRITERIA=%22Espacios_Culturales_Completo%201%22.%22C%C3%B3digo_Regi%C3%B3n%22%20%3D%2016</v>
      </c>
      <c r="T272" s="69" t="str">
        <f>"100-C-"&amp;Agencia[[#This Row],[Filtro URL]]</f>
        <v>100-C-16</v>
      </c>
      <c r="U272" s="50" t="str">
        <f t="shared" si="215"/>
        <v>#1774B9</v>
      </c>
      <c r="V272" s="118" t="str">
        <f>+Agencia[[#This Row],[idcoleccion]]&amp;"-"&amp;Agencia[[#This Row],[id]]</f>
        <v>990-0261</v>
      </c>
      <c r="W272" s="118">
        <f>+VLOOKUP(Agencia[[#This Row],[Filtro URL]],Estructura!$X$4:$Y$500,2,0)</f>
        <v>99200016</v>
      </c>
      <c r="X272" s="118" t="str">
        <f>+VLOOKUP(Agencia[[#This Row],[tema]],Estructura!$A$4:$C$500,3,0)</f>
        <v>T-997</v>
      </c>
      <c r="Y272" s="118" t="str">
        <f>+VLOOKUP(Agencia[[#This Row],[contenido]],Estructura!$E$4:$G$500,3,0)</f>
        <v>C-1008</v>
      </c>
      <c r="Z272" s="118" t="str">
        <f>+VLOOKUP(Agencia[[#This Row],[Filtro Integrado]],Estructura!$I$4:$K$500,3,0)</f>
        <v>FI-991</v>
      </c>
      <c r="AA272" s="118" t="str">
        <f>+VLOOKUP(Agencia[[#This Row],[Muestra]],Estructura!$M$4:$O$500,3,0)</f>
        <v>M-1005</v>
      </c>
    </row>
    <row r="273" spans="1:27" ht="28.8" x14ac:dyDescent="0.3">
      <c r="A273" s="21" t="s">
        <v>710</v>
      </c>
      <c r="B273" s="24">
        <f t="shared" ref="B273:C273" si="245">+B272</f>
        <v>990</v>
      </c>
      <c r="C273" s="25" t="str">
        <f t="shared" si="245"/>
        <v>Agencia Información</v>
      </c>
      <c r="D273" s="25" t="s">
        <v>881</v>
      </c>
      <c r="E273" s="14">
        <v>0</v>
      </c>
      <c r="F273" s="10" t="s">
        <v>882</v>
      </c>
      <c r="G273" s="10" t="s">
        <v>1601</v>
      </c>
      <c r="H273" s="33" t="s">
        <v>20</v>
      </c>
      <c r="I273" s="34" t="s">
        <v>15</v>
      </c>
      <c r="J273" s="9" t="s">
        <v>16</v>
      </c>
      <c r="K273" s="9" t="s">
        <v>884</v>
      </c>
      <c r="L273" s="9" t="s">
        <v>886</v>
      </c>
      <c r="M273" s="9" t="s">
        <v>880</v>
      </c>
      <c r="N273" s="9" t="s">
        <v>885</v>
      </c>
      <c r="O273" s="20" t="str">
        <f>"Ventas anuales en UF por rubro en "&amp;Agencia[[#This Row],[territorio]]&amp;", "&amp;Agencia[[#This Row],[temporalidad]]</f>
        <v>Ventas anuales en UF por rubro en Chile, Año 2019</v>
      </c>
      <c r="P273" s="20"/>
      <c r="Q273" s="11" t="str">
        <f t="shared" si="184"/>
        <v>Gráfico</v>
      </c>
      <c r="R273" s="20" t="str">
        <f>Agencia[[#This Row],[territorio]]&amp;" empresas ventas estimadas rubro sector economía"</f>
        <v>Chile empresas ventas estimadas rubro sector economía</v>
      </c>
      <c r="S273" s="39" t="s">
        <v>1519</v>
      </c>
      <c r="T273" s="68" t="s">
        <v>855</v>
      </c>
      <c r="U273" s="50" t="str">
        <f t="shared" si="215"/>
        <v>#1774B9</v>
      </c>
      <c r="V273" s="118" t="str">
        <f>+Agencia[[#This Row],[idcoleccion]]&amp;"-"&amp;Agencia[[#This Row],[id]]</f>
        <v>990-0262</v>
      </c>
      <c r="W273" s="118">
        <f>+VLOOKUP(Agencia[[#This Row],[Filtro URL]],Estructura!$X$4:$Y$500,2,0)</f>
        <v>99100000</v>
      </c>
      <c r="X273" s="118" t="str">
        <f>+VLOOKUP(Agencia[[#This Row],[tema]],Estructura!$A$4:$C$500,3,0)</f>
        <v>T-1038</v>
      </c>
      <c r="Y273" s="118" t="str">
        <f>+VLOOKUP(Agencia[[#This Row],[contenido]],Estructura!$E$4:$G$500,3,0)</f>
        <v>C-993</v>
      </c>
      <c r="Z273" s="118" t="str">
        <f>+VLOOKUP(Agencia[[#This Row],[Filtro Integrado]],Estructura!$I$4:$K$500,3,0)</f>
        <v>FI-992</v>
      </c>
      <c r="AA273" s="118" t="str">
        <f>+VLOOKUP(Agencia[[#This Row],[Muestra]],Estructura!$M$4:$O$500,3,0)</f>
        <v>M-1014</v>
      </c>
    </row>
    <row r="274" spans="1:27" ht="57.6" x14ac:dyDescent="0.3">
      <c r="A274" s="21" t="s">
        <v>711</v>
      </c>
      <c r="B274" s="24">
        <f t="shared" ref="B274:D274" si="246">+B273</f>
        <v>990</v>
      </c>
      <c r="C274" s="25" t="str">
        <f t="shared" si="246"/>
        <v>Agencia Información</v>
      </c>
      <c r="D274" s="25" t="str">
        <f t="shared" si="246"/>
        <v>Economía</v>
      </c>
      <c r="E274" s="19">
        <v>1</v>
      </c>
      <c r="F274" s="10" t="s">
        <v>882</v>
      </c>
      <c r="G274" s="10" t="s">
        <v>1601</v>
      </c>
      <c r="H274" s="35" t="s">
        <v>16</v>
      </c>
      <c r="I274" s="36" t="s">
        <v>368</v>
      </c>
      <c r="J274" s="9" t="s">
        <v>404</v>
      </c>
      <c r="K274" s="9" t="str">
        <f t="shared" ref="J274:N288" si="247">+K273</f>
        <v>Ventas anuales por rubro por región</v>
      </c>
      <c r="L274" s="9" t="str">
        <f t="shared" si="247"/>
        <v>Año 2019</v>
      </c>
      <c r="M274" s="9" t="str">
        <f t="shared" si="247"/>
        <v>UF</v>
      </c>
      <c r="N274" s="9" t="str">
        <f t="shared" si="247"/>
        <v>Servicio de Impuestos Internos (SII)</v>
      </c>
      <c r="O274" s="20" t="str">
        <f>"Ventas anuales en UF por rubro en la "&amp;Agencia[[#This Row],[territorio]]&amp;", "&amp;Agencia[[#This Row],[temporalidad]]</f>
        <v>Ventas anuales en UF por rubro en la Región de Tarapacá, Año 2019</v>
      </c>
      <c r="P274" s="20"/>
      <c r="Q274" s="11" t="str">
        <f t="shared" si="184"/>
        <v>Gráfico</v>
      </c>
      <c r="R274" s="20" t="str">
        <f>Agencia[[#This Row],[territorio]]&amp;" empresas ventas estimadas rubro sector economía"</f>
        <v>Región de Tarapacá empresas ventas estimadas rubro sector economía</v>
      </c>
      <c r="S274" s="41" t="str">
        <f>HYPERLINK("https://analytics.zoho.com/open-view/2395394000008025390?ZOHO_CRITERIA=%22Rubros_Todo%22.%22Id_Regi%C3%B3n%22%3D"&amp;Agencia[[#This Row],[Filtro URL]])</f>
        <v>https://analytics.zoho.com/open-view/2395394000008025390?ZOHO_CRITERIA=%22Rubros_Todo%22.%22Id_Regi%C3%B3n%22%3D1</v>
      </c>
      <c r="T274" s="68" t="str">
        <f>"100-R-"&amp;Agencia[[#This Row],[Filtro URL]]</f>
        <v>100-R-1</v>
      </c>
      <c r="U274" s="50" t="str">
        <f t="shared" si="215"/>
        <v>#1774B9</v>
      </c>
      <c r="V274" s="118" t="str">
        <f>+Agencia[[#This Row],[idcoleccion]]&amp;"-"&amp;Agencia[[#This Row],[id]]</f>
        <v>990-0263</v>
      </c>
      <c r="W274" s="118">
        <f>+VLOOKUP(Agencia[[#This Row],[Filtro URL]],Estructura!$X$4:$Y$500,2,0)</f>
        <v>99200001</v>
      </c>
      <c r="X274" s="118" t="str">
        <f>+VLOOKUP(Agencia[[#This Row],[tema]],Estructura!$A$4:$C$500,3,0)</f>
        <v>T-1038</v>
      </c>
      <c r="Y274" s="118" t="str">
        <f>+VLOOKUP(Agencia[[#This Row],[contenido]],Estructura!$E$4:$G$500,3,0)</f>
        <v>C-993</v>
      </c>
      <c r="Z274" s="118" t="str">
        <f>+VLOOKUP(Agencia[[#This Row],[Filtro Integrado]],Estructura!$I$4:$K$500,3,0)</f>
        <v>FI-993</v>
      </c>
      <c r="AA274" s="118" t="str">
        <f>+VLOOKUP(Agencia[[#This Row],[Muestra]],Estructura!$M$4:$O$500,3,0)</f>
        <v>M-1014</v>
      </c>
    </row>
    <row r="275" spans="1:27" ht="57.6" x14ac:dyDescent="0.3">
      <c r="A275" s="21" t="s">
        <v>712</v>
      </c>
      <c r="B275" s="24">
        <f t="shared" ref="B275:D275" si="248">+B274</f>
        <v>990</v>
      </c>
      <c r="C275" s="25" t="str">
        <f t="shared" si="248"/>
        <v>Agencia Información</v>
      </c>
      <c r="D275" s="25" t="str">
        <f t="shared" si="248"/>
        <v>Economía</v>
      </c>
      <c r="E275" s="19">
        <v>2</v>
      </c>
      <c r="F275" s="10" t="s">
        <v>882</v>
      </c>
      <c r="G275" s="10" t="s">
        <v>1601</v>
      </c>
      <c r="H275" s="35" t="s">
        <v>16</v>
      </c>
      <c r="I275" s="36" t="s">
        <v>369</v>
      </c>
      <c r="J275" s="9" t="str">
        <f t="shared" si="247"/>
        <v>Ninguno</v>
      </c>
      <c r="K275" s="9" t="str">
        <f t="shared" si="247"/>
        <v>Ventas anuales por rubro por región</v>
      </c>
      <c r="L275" s="9" t="str">
        <f t="shared" si="247"/>
        <v>Año 2019</v>
      </c>
      <c r="M275" s="9" t="str">
        <f t="shared" si="247"/>
        <v>UF</v>
      </c>
      <c r="N275" s="9" t="str">
        <f t="shared" si="247"/>
        <v>Servicio de Impuestos Internos (SII)</v>
      </c>
      <c r="O275" s="20" t="str">
        <f>"Ventas anuales en UF por rubro en la "&amp;Agencia[[#This Row],[territorio]]&amp;", "&amp;Agencia[[#This Row],[temporalidad]]</f>
        <v>Ventas anuales en UF por rubro en la Región de Antofagasta, Año 2019</v>
      </c>
      <c r="P275" s="20"/>
      <c r="Q275" s="11" t="str">
        <f t="shared" si="184"/>
        <v>Gráfico</v>
      </c>
      <c r="R275" s="20" t="str">
        <f>Agencia[[#This Row],[territorio]]&amp;" empresas ventas estimadas rubro sector economía"</f>
        <v>Región de Antofagasta empresas ventas estimadas rubro sector economía</v>
      </c>
      <c r="S275" s="41" t="str">
        <f>HYPERLINK("https://analytics.zoho.com/open-view/2395394000008025390?ZOHO_CRITERIA=%22Rubros_Todo%22.%22Id_Regi%C3%B3n%22%3D"&amp;Agencia[[#This Row],[Filtro URL]])</f>
        <v>https://analytics.zoho.com/open-view/2395394000008025390?ZOHO_CRITERIA=%22Rubros_Todo%22.%22Id_Regi%C3%B3n%22%3D2</v>
      </c>
      <c r="T275" s="68" t="str">
        <f>"100-R-"&amp;Agencia[[#This Row],[Filtro URL]]</f>
        <v>100-R-2</v>
      </c>
      <c r="U275" s="50" t="str">
        <f t="shared" si="215"/>
        <v>#1774B9</v>
      </c>
      <c r="V275" s="118" t="str">
        <f>+Agencia[[#This Row],[idcoleccion]]&amp;"-"&amp;Agencia[[#This Row],[id]]</f>
        <v>990-0264</v>
      </c>
      <c r="W275" s="118">
        <f>+VLOOKUP(Agencia[[#This Row],[Filtro URL]],Estructura!$X$4:$Y$500,2,0)</f>
        <v>99200002</v>
      </c>
      <c r="X275" s="118" t="str">
        <f>+VLOOKUP(Agencia[[#This Row],[tema]],Estructura!$A$4:$C$500,3,0)</f>
        <v>T-1038</v>
      </c>
      <c r="Y275" s="118" t="str">
        <f>+VLOOKUP(Agencia[[#This Row],[contenido]],Estructura!$E$4:$G$500,3,0)</f>
        <v>C-993</v>
      </c>
      <c r="Z275" s="118" t="str">
        <f>+VLOOKUP(Agencia[[#This Row],[Filtro Integrado]],Estructura!$I$4:$K$500,3,0)</f>
        <v>FI-993</v>
      </c>
      <c r="AA275" s="118" t="str">
        <f>+VLOOKUP(Agencia[[#This Row],[Muestra]],Estructura!$M$4:$O$500,3,0)</f>
        <v>M-1014</v>
      </c>
    </row>
    <row r="276" spans="1:27" ht="57.6" x14ac:dyDescent="0.3">
      <c r="A276" s="21" t="s">
        <v>713</v>
      </c>
      <c r="B276" s="24">
        <f t="shared" ref="B276:D276" si="249">+B275</f>
        <v>990</v>
      </c>
      <c r="C276" s="25" t="str">
        <f t="shared" si="249"/>
        <v>Agencia Información</v>
      </c>
      <c r="D276" s="25" t="str">
        <f t="shared" si="249"/>
        <v>Economía</v>
      </c>
      <c r="E276" s="19">
        <v>3</v>
      </c>
      <c r="F276" s="10" t="s">
        <v>882</v>
      </c>
      <c r="G276" s="10" t="s">
        <v>1601</v>
      </c>
      <c r="H276" s="35" t="s">
        <v>16</v>
      </c>
      <c r="I276" s="36" t="s">
        <v>370</v>
      </c>
      <c r="J276" s="9" t="str">
        <f t="shared" si="247"/>
        <v>Ninguno</v>
      </c>
      <c r="K276" s="9" t="str">
        <f t="shared" si="247"/>
        <v>Ventas anuales por rubro por región</v>
      </c>
      <c r="L276" s="9" t="str">
        <f t="shared" si="247"/>
        <v>Año 2019</v>
      </c>
      <c r="M276" s="9" t="str">
        <f t="shared" si="247"/>
        <v>UF</v>
      </c>
      <c r="N276" s="9" t="str">
        <f t="shared" si="247"/>
        <v>Servicio de Impuestos Internos (SII)</v>
      </c>
      <c r="O276" s="20" t="str">
        <f>"Ventas anuales en UF por rubro en la "&amp;Agencia[[#This Row],[territorio]]&amp;", "&amp;Agencia[[#This Row],[temporalidad]]</f>
        <v>Ventas anuales en UF por rubro en la Región de Atacama, Año 2019</v>
      </c>
      <c r="P276" s="20"/>
      <c r="Q276" s="11" t="str">
        <f t="shared" si="184"/>
        <v>Gráfico</v>
      </c>
      <c r="R276" s="20" t="str">
        <f>Agencia[[#This Row],[territorio]]&amp;" empresas ventas estimadas rubro sector economía"</f>
        <v>Región de Atacama empresas ventas estimadas rubro sector economía</v>
      </c>
      <c r="S276" s="41" t="str">
        <f>HYPERLINK("https://analytics.zoho.com/open-view/2395394000008025390?ZOHO_CRITERIA=%22Rubros_Todo%22.%22Id_Regi%C3%B3n%22%3D"&amp;Agencia[[#This Row],[Filtro URL]])</f>
        <v>https://analytics.zoho.com/open-view/2395394000008025390?ZOHO_CRITERIA=%22Rubros_Todo%22.%22Id_Regi%C3%B3n%22%3D3</v>
      </c>
      <c r="T276" s="68" t="str">
        <f>"100-R-"&amp;Agencia[[#This Row],[Filtro URL]]</f>
        <v>100-R-3</v>
      </c>
      <c r="U276" s="50" t="str">
        <f t="shared" si="215"/>
        <v>#1774B9</v>
      </c>
      <c r="V276" s="118" t="str">
        <f>+Agencia[[#This Row],[idcoleccion]]&amp;"-"&amp;Agencia[[#This Row],[id]]</f>
        <v>990-0265</v>
      </c>
      <c r="W276" s="118">
        <f>+VLOOKUP(Agencia[[#This Row],[Filtro URL]],Estructura!$X$4:$Y$500,2,0)</f>
        <v>99200003</v>
      </c>
      <c r="X276" s="118" t="str">
        <f>+VLOOKUP(Agencia[[#This Row],[tema]],Estructura!$A$4:$C$500,3,0)</f>
        <v>T-1038</v>
      </c>
      <c r="Y276" s="118" t="str">
        <f>+VLOOKUP(Agencia[[#This Row],[contenido]],Estructura!$E$4:$G$500,3,0)</f>
        <v>C-993</v>
      </c>
      <c r="Z276" s="118" t="str">
        <f>+VLOOKUP(Agencia[[#This Row],[Filtro Integrado]],Estructura!$I$4:$K$500,3,0)</f>
        <v>FI-993</v>
      </c>
      <c r="AA276" s="118" t="str">
        <f>+VLOOKUP(Agencia[[#This Row],[Muestra]],Estructura!$M$4:$O$500,3,0)</f>
        <v>M-1014</v>
      </c>
    </row>
    <row r="277" spans="1:27" ht="57.6" x14ac:dyDescent="0.3">
      <c r="A277" s="21" t="s">
        <v>714</v>
      </c>
      <c r="B277" s="24">
        <f t="shared" ref="B277:D277" si="250">+B276</f>
        <v>990</v>
      </c>
      <c r="C277" s="25" t="str">
        <f t="shared" si="250"/>
        <v>Agencia Información</v>
      </c>
      <c r="D277" s="25" t="str">
        <f t="shared" si="250"/>
        <v>Economía</v>
      </c>
      <c r="E277" s="19">
        <v>4</v>
      </c>
      <c r="F277" s="10" t="s">
        <v>882</v>
      </c>
      <c r="G277" s="10" t="s">
        <v>1601</v>
      </c>
      <c r="H277" s="35" t="s">
        <v>16</v>
      </c>
      <c r="I277" s="36" t="s">
        <v>371</v>
      </c>
      <c r="J277" s="9" t="str">
        <f t="shared" si="247"/>
        <v>Ninguno</v>
      </c>
      <c r="K277" s="9" t="str">
        <f t="shared" si="247"/>
        <v>Ventas anuales por rubro por región</v>
      </c>
      <c r="L277" s="9" t="str">
        <f t="shared" si="247"/>
        <v>Año 2019</v>
      </c>
      <c r="M277" s="9" t="str">
        <f t="shared" si="247"/>
        <v>UF</v>
      </c>
      <c r="N277" s="9" t="str">
        <f t="shared" si="247"/>
        <v>Servicio de Impuestos Internos (SII)</v>
      </c>
      <c r="O277" s="20" t="str">
        <f>"Ventas anuales en UF por rubro en la "&amp;Agencia[[#This Row],[territorio]]&amp;", "&amp;Agencia[[#This Row],[temporalidad]]</f>
        <v>Ventas anuales en UF por rubro en la Región de Coquimbo, Año 2019</v>
      </c>
      <c r="P277" s="20"/>
      <c r="Q277" s="11" t="str">
        <f t="shared" si="184"/>
        <v>Gráfico</v>
      </c>
      <c r="R277" s="20" t="str">
        <f>Agencia[[#This Row],[territorio]]&amp;" empresas ventas estimadas rubro sector economía"</f>
        <v>Región de Coquimbo empresas ventas estimadas rubro sector economía</v>
      </c>
      <c r="S277" s="41" t="str">
        <f>HYPERLINK("https://analytics.zoho.com/open-view/2395394000008025390?ZOHO_CRITERIA=%22Rubros_Todo%22.%22Id_Regi%C3%B3n%22%3D"&amp;Agencia[[#This Row],[Filtro URL]])</f>
        <v>https://analytics.zoho.com/open-view/2395394000008025390?ZOHO_CRITERIA=%22Rubros_Todo%22.%22Id_Regi%C3%B3n%22%3D4</v>
      </c>
      <c r="T277" s="68" t="str">
        <f>"100-R-"&amp;Agencia[[#This Row],[Filtro URL]]</f>
        <v>100-R-4</v>
      </c>
      <c r="U277" s="50" t="str">
        <f t="shared" si="215"/>
        <v>#1774B9</v>
      </c>
      <c r="V277" s="118" t="str">
        <f>+Agencia[[#This Row],[idcoleccion]]&amp;"-"&amp;Agencia[[#This Row],[id]]</f>
        <v>990-0266</v>
      </c>
      <c r="W277" s="118">
        <f>+VLOOKUP(Agencia[[#This Row],[Filtro URL]],Estructura!$X$4:$Y$500,2,0)</f>
        <v>99200004</v>
      </c>
      <c r="X277" s="118" t="str">
        <f>+VLOOKUP(Agencia[[#This Row],[tema]],Estructura!$A$4:$C$500,3,0)</f>
        <v>T-1038</v>
      </c>
      <c r="Y277" s="118" t="str">
        <f>+VLOOKUP(Agencia[[#This Row],[contenido]],Estructura!$E$4:$G$500,3,0)</f>
        <v>C-993</v>
      </c>
      <c r="Z277" s="118" t="str">
        <f>+VLOOKUP(Agencia[[#This Row],[Filtro Integrado]],Estructura!$I$4:$K$500,3,0)</f>
        <v>FI-993</v>
      </c>
      <c r="AA277" s="118" t="str">
        <f>+VLOOKUP(Agencia[[#This Row],[Muestra]],Estructura!$M$4:$O$500,3,0)</f>
        <v>M-1014</v>
      </c>
    </row>
    <row r="278" spans="1:27" ht="57.6" x14ac:dyDescent="0.3">
      <c r="A278" s="21" t="s">
        <v>715</v>
      </c>
      <c r="B278" s="24">
        <f t="shared" ref="B278:D278" si="251">+B277</f>
        <v>990</v>
      </c>
      <c r="C278" s="25" t="str">
        <f t="shared" si="251"/>
        <v>Agencia Información</v>
      </c>
      <c r="D278" s="25" t="str">
        <f t="shared" si="251"/>
        <v>Economía</v>
      </c>
      <c r="E278" s="19">
        <v>5</v>
      </c>
      <c r="F278" s="10" t="s">
        <v>882</v>
      </c>
      <c r="G278" s="10" t="s">
        <v>1601</v>
      </c>
      <c r="H278" s="35" t="s">
        <v>16</v>
      </c>
      <c r="I278" s="36" t="s">
        <v>372</v>
      </c>
      <c r="J278" s="9" t="str">
        <f t="shared" si="247"/>
        <v>Ninguno</v>
      </c>
      <c r="K278" s="9" t="str">
        <f t="shared" si="247"/>
        <v>Ventas anuales por rubro por región</v>
      </c>
      <c r="L278" s="9" t="str">
        <f t="shared" si="247"/>
        <v>Año 2019</v>
      </c>
      <c r="M278" s="9" t="str">
        <f t="shared" si="247"/>
        <v>UF</v>
      </c>
      <c r="N278" s="9" t="str">
        <f t="shared" si="247"/>
        <v>Servicio de Impuestos Internos (SII)</v>
      </c>
      <c r="O278" s="20" t="str">
        <f>"Ventas anuales en UF por rubro en la "&amp;Agencia[[#This Row],[territorio]]&amp;", "&amp;Agencia[[#This Row],[temporalidad]]</f>
        <v>Ventas anuales en UF por rubro en la Región de Valparaíso, Año 2019</v>
      </c>
      <c r="P278" s="20" t="s">
        <v>887</v>
      </c>
      <c r="Q278" s="11" t="str">
        <f t="shared" si="184"/>
        <v>Gráfico</v>
      </c>
      <c r="R278" s="20" t="str">
        <f>Agencia[[#This Row],[territorio]]&amp;" empresas ventas estimadas rubro sector economía"</f>
        <v>Región de Valparaíso empresas ventas estimadas rubro sector economía</v>
      </c>
      <c r="S278" s="41" t="str">
        <f>HYPERLINK("https://analytics.zoho.com/open-view/2395394000008025390?ZOHO_CRITERIA=%22Rubros_Todo%22.%22Id_Regi%C3%B3n%22%3D"&amp;Agencia[[#This Row],[Filtro URL]])</f>
        <v>https://analytics.zoho.com/open-view/2395394000008025390?ZOHO_CRITERIA=%22Rubros_Todo%22.%22Id_Regi%C3%B3n%22%3D5</v>
      </c>
      <c r="T278" s="68" t="str">
        <f>"100-R-"&amp;Agencia[[#This Row],[Filtro URL]]</f>
        <v>100-R-5</v>
      </c>
      <c r="U278" s="50" t="str">
        <f t="shared" ref="U278:U309" si="252">+U277</f>
        <v>#1774B9</v>
      </c>
      <c r="V278" s="118" t="str">
        <f>+Agencia[[#This Row],[idcoleccion]]&amp;"-"&amp;Agencia[[#This Row],[id]]</f>
        <v>990-0267</v>
      </c>
      <c r="W278" s="118">
        <f>+VLOOKUP(Agencia[[#This Row],[Filtro URL]],Estructura!$X$4:$Y$500,2,0)</f>
        <v>99200005</v>
      </c>
      <c r="X278" s="118" t="str">
        <f>+VLOOKUP(Agencia[[#This Row],[tema]],Estructura!$A$4:$C$500,3,0)</f>
        <v>T-1038</v>
      </c>
      <c r="Y278" s="118" t="str">
        <f>+VLOOKUP(Agencia[[#This Row],[contenido]],Estructura!$E$4:$G$500,3,0)</f>
        <v>C-993</v>
      </c>
      <c r="Z278" s="118" t="str">
        <f>+VLOOKUP(Agencia[[#This Row],[Filtro Integrado]],Estructura!$I$4:$K$500,3,0)</f>
        <v>FI-993</v>
      </c>
      <c r="AA278" s="118" t="str">
        <f>+VLOOKUP(Agencia[[#This Row],[Muestra]],Estructura!$M$4:$O$500,3,0)</f>
        <v>M-1014</v>
      </c>
    </row>
    <row r="279" spans="1:27" ht="57.6" x14ac:dyDescent="0.3">
      <c r="A279" s="21" t="s">
        <v>716</v>
      </c>
      <c r="B279" s="24">
        <f t="shared" ref="B279:D279" si="253">+B278</f>
        <v>990</v>
      </c>
      <c r="C279" s="25" t="str">
        <f t="shared" si="253"/>
        <v>Agencia Información</v>
      </c>
      <c r="D279" s="25" t="str">
        <f t="shared" si="253"/>
        <v>Economía</v>
      </c>
      <c r="E279" s="19">
        <v>6</v>
      </c>
      <c r="F279" s="10" t="s">
        <v>882</v>
      </c>
      <c r="G279" s="10" t="s">
        <v>1601</v>
      </c>
      <c r="H279" s="35" t="s">
        <v>16</v>
      </c>
      <c r="I279" s="36" t="s">
        <v>373</v>
      </c>
      <c r="J279" s="9" t="str">
        <f t="shared" si="247"/>
        <v>Ninguno</v>
      </c>
      <c r="K279" s="9" t="str">
        <f t="shared" si="247"/>
        <v>Ventas anuales por rubro por región</v>
      </c>
      <c r="L279" s="9" t="str">
        <f t="shared" si="247"/>
        <v>Año 2019</v>
      </c>
      <c r="M279" s="9" t="str">
        <f t="shared" si="247"/>
        <v>UF</v>
      </c>
      <c r="N279" s="9" t="str">
        <f t="shared" si="247"/>
        <v>Servicio de Impuestos Internos (SII)</v>
      </c>
      <c r="O279" s="20" t="str">
        <f>"Ventas anuales en UF por rubro en la "&amp;Agencia[[#This Row],[territorio]]&amp;", "&amp;Agencia[[#This Row],[temporalidad]]</f>
        <v>Ventas anuales en UF por rubro en la Región de O'Higgins, Año 2019</v>
      </c>
      <c r="P279" s="20"/>
      <c r="Q279" s="11" t="str">
        <f t="shared" si="184"/>
        <v>Gráfico</v>
      </c>
      <c r="R279" s="20" t="str">
        <f>Agencia[[#This Row],[territorio]]&amp;" empresas ventas estimadas rubro sector economía"</f>
        <v>Región de O'Higgins empresas ventas estimadas rubro sector economía</v>
      </c>
      <c r="S279" s="41" t="str">
        <f>HYPERLINK("https://analytics.zoho.com/open-view/2395394000008025390?ZOHO_CRITERIA=%22Rubros_Todo%22.%22Id_Regi%C3%B3n%22%3D"&amp;Agencia[[#This Row],[Filtro URL]])</f>
        <v>https://analytics.zoho.com/open-view/2395394000008025390?ZOHO_CRITERIA=%22Rubros_Todo%22.%22Id_Regi%C3%B3n%22%3D6</v>
      </c>
      <c r="T279" s="68" t="str">
        <f>"100-R-"&amp;Agencia[[#This Row],[Filtro URL]]</f>
        <v>100-R-6</v>
      </c>
      <c r="U279" s="50" t="str">
        <f t="shared" si="252"/>
        <v>#1774B9</v>
      </c>
      <c r="V279" s="118" t="str">
        <f>+Agencia[[#This Row],[idcoleccion]]&amp;"-"&amp;Agencia[[#This Row],[id]]</f>
        <v>990-0268</v>
      </c>
      <c r="W279" s="118">
        <f>+VLOOKUP(Agencia[[#This Row],[Filtro URL]],Estructura!$X$4:$Y$500,2,0)</f>
        <v>99200006</v>
      </c>
      <c r="X279" s="118" t="str">
        <f>+VLOOKUP(Agencia[[#This Row],[tema]],Estructura!$A$4:$C$500,3,0)</f>
        <v>T-1038</v>
      </c>
      <c r="Y279" s="118" t="str">
        <f>+VLOOKUP(Agencia[[#This Row],[contenido]],Estructura!$E$4:$G$500,3,0)</f>
        <v>C-993</v>
      </c>
      <c r="Z279" s="118" t="str">
        <f>+VLOOKUP(Agencia[[#This Row],[Filtro Integrado]],Estructura!$I$4:$K$500,3,0)</f>
        <v>FI-993</v>
      </c>
      <c r="AA279" s="118" t="str">
        <f>+VLOOKUP(Agencia[[#This Row],[Muestra]],Estructura!$M$4:$O$500,3,0)</f>
        <v>M-1014</v>
      </c>
    </row>
    <row r="280" spans="1:27" ht="57.6" x14ac:dyDescent="0.3">
      <c r="A280" s="21" t="s">
        <v>717</v>
      </c>
      <c r="B280" s="24">
        <f t="shared" ref="B280:D280" si="254">+B279</f>
        <v>990</v>
      </c>
      <c r="C280" s="25" t="str">
        <f t="shared" si="254"/>
        <v>Agencia Información</v>
      </c>
      <c r="D280" s="25" t="str">
        <f t="shared" si="254"/>
        <v>Economía</v>
      </c>
      <c r="E280" s="19">
        <v>7</v>
      </c>
      <c r="F280" s="10" t="s">
        <v>882</v>
      </c>
      <c r="G280" s="10" t="s">
        <v>1601</v>
      </c>
      <c r="H280" s="35" t="s">
        <v>16</v>
      </c>
      <c r="I280" s="36" t="s">
        <v>374</v>
      </c>
      <c r="J280" s="9" t="str">
        <f t="shared" si="247"/>
        <v>Ninguno</v>
      </c>
      <c r="K280" s="9" t="str">
        <f t="shared" si="247"/>
        <v>Ventas anuales por rubro por región</v>
      </c>
      <c r="L280" s="9" t="str">
        <f t="shared" si="247"/>
        <v>Año 2019</v>
      </c>
      <c r="M280" s="9" t="str">
        <f t="shared" si="247"/>
        <v>UF</v>
      </c>
      <c r="N280" s="9" t="str">
        <f t="shared" si="247"/>
        <v>Servicio de Impuestos Internos (SII)</v>
      </c>
      <c r="O280" s="20" t="str">
        <f>"Ventas anuales en UF por rubro en la "&amp;Agencia[[#This Row],[territorio]]&amp;", "&amp;Agencia[[#This Row],[temporalidad]]</f>
        <v>Ventas anuales en UF por rubro en la Región de Maule, Año 2019</v>
      </c>
      <c r="P280" s="20"/>
      <c r="Q280" s="11" t="str">
        <f t="shared" si="184"/>
        <v>Gráfico</v>
      </c>
      <c r="R280" s="20" t="str">
        <f>Agencia[[#This Row],[territorio]]&amp;" empresas ventas estimadas rubro sector economía"</f>
        <v>Región de Maule empresas ventas estimadas rubro sector economía</v>
      </c>
      <c r="S280" s="41" t="str">
        <f>HYPERLINK("https://analytics.zoho.com/open-view/2395394000008025390?ZOHO_CRITERIA=%22Rubros_Todo%22.%22Id_Regi%C3%B3n%22%3D"&amp;Agencia[[#This Row],[Filtro URL]])</f>
        <v>https://analytics.zoho.com/open-view/2395394000008025390?ZOHO_CRITERIA=%22Rubros_Todo%22.%22Id_Regi%C3%B3n%22%3D7</v>
      </c>
      <c r="T280" s="68" t="str">
        <f>"100-R-"&amp;Agencia[[#This Row],[Filtro URL]]</f>
        <v>100-R-7</v>
      </c>
      <c r="U280" s="50" t="str">
        <f t="shared" si="252"/>
        <v>#1774B9</v>
      </c>
      <c r="V280" s="118" t="str">
        <f>+Agencia[[#This Row],[idcoleccion]]&amp;"-"&amp;Agencia[[#This Row],[id]]</f>
        <v>990-0269</v>
      </c>
      <c r="W280" s="118">
        <f>+VLOOKUP(Agencia[[#This Row],[Filtro URL]],Estructura!$X$4:$Y$500,2,0)</f>
        <v>99200007</v>
      </c>
      <c r="X280" s="118" t="str">
        <f>+VLOOKUP(Agencia[[#This Row],[tema]],Estructura!$A$4:$C$500,3,0)</f>
        <v>T-1038</v>
      </c>
      <c r="Y280" s="118" t="str">
        <f>+VLOOKUP(Agencia[[#This Row],[contenido]],Estructura!$E$4:$G$500,3,0)</f>
        <v>C-993</v>
      </c>
      <c r="Z280" s="118" t="str">
        <f>+VLOOKUP(Agencia[[#This Row],[Filtro Integrado]],Estructura!$I$4:$K$500,3,0)</f>
        <v>FI-993</v>
      </c>
      <c r="AA280" s="118" t="str">
        <f>+VLOOKUP(Agencia[[#This Row],[Muestra]],Estructura!$M$4:$O$500,3,0)</f>
        <v>M-1014</v>
      </c>
    </row>
    <row r="281" spans="1:27" ht="57.6" x14ac:dyDescent="0.3">
      <c r="A281" s="21" t="s">
        <v>718</v>
      </c>
      <c r="B281" s="24">
        <f t="shared" ref="B281:D281" si="255">+B280</f>
        <v>990</v>
      </c>
      <c r="C281" s="25" t="str">
        <f t="shared" si="255"/>
        <v>Agencia Información</v>
      </c>
      <c r="D281" s="25" t="str">
        <f t="shared" si="255"/>
        <v>Economía</v>
      </c>
      <c r="E281" s="19">
        <v>8</v>
      </c>
      <c r="F281" s="10" t="s">
        <v>882</v>
      </c>
      <c r="G281" s="10" t="s">
        <v>1601</v>
      </c>
      <c r="H281" s="35" t="s">
        <v>16</v>
      </c>
      <c r="I281" s="36" t="s">
        <v>375</v>
      </c>
      <c r="J281" s="9" t="str">
        <f t="shared" si="247"/>
        <v>Ninguno</v>
      </c>
      <c r="K281" s="9" t="str">
        <f t="shared" si="247"/>
        <v>Ventas anuales por rubro por región</v>
      </c>
      <c r="L281" s="9" t="str">
        <f t="shared" si="247"/>
        <v>Año 2019</v>
      </c>
      <c r="M281" s="9" t="str">
        <f t="shared" si="247"/>
        <v>UF</v>
      </c>
      <c r="N281" s="9" t="str">
        <f t="shared" si="247"/>
        <v>Servicio de Impuestos Internos (SII)</v>
      </c>
      <c r="O281" s="20" t="str">
        <f>"Ventas anuales en UF por rubro en la "&amp;Agencia[[#This Row],[territorio]]&amp;", "&amp;Agencia[[#This Row],[temporalidad]]</f>
        <v>Ventas anuales en UF por rubro en la Región del Biobío, Año 2019</v>
      </c>
      <c r="P281" s="20"/>
      <c r="Q281" s="11" t="str">
        <f t="shared" si="184"/>
        <v>Gráfico</v>
      </c>
      <c r="R281" s="20" t="str">
        <f>Agencia[[#This Row],[territorio]]&amp;" empresas ventas estimadas rubro sector economía"</f>
        <v>Región del Biobío empresas ventas estimadas rubro sector economía</v>
      </c>
      <c r="S281" s="41" t="str">
        <f>HYPERLINK("https://analytics.zoho.com/open-view/2395394000008025390?ZOHO_CRITERIA=%22Rubros_Todo%22.%22Id_Regi%C3%B3n%22%3D"&amp;Agencia[[#This Row],[Filtro URL]])</f>
        <v>https://analytics.zoho.com/open-view/2395394000008025390?ZOHO_CRITERIA=%22Rubros_Todo%22.%22Id_Regi%C3%B3n%22%3D8</v>
      </c>
      <c r="T281" s="68" t="str">
        <f>"100-R-"&amp;Agencia[[#This Row],[Filtro URL]]</f>
        <v>100-R-8</v>
      </c>
      <c r="U281" s="50" t="str">
        <f t="shared" si="252"/>
        <v>#1774B9</v>
      </c>
      <c r="V281" s="118" t="str">
        <f>+Agencia[[#This Row],[idcoleccion]]&amp;"-"&amp;Agencia[[#This Row],[id]]</f>
        <v>990-0270</v>
      </c>
      <c r="W281" s="118">
        <f>+VLOOKUP(Agencia[[#This Row],[Filtro URL]],Estructura!$X$4:$Y$500,2,0)</f>
        <v>99200008</v>
      </c>
      <c r="X281" s="118" t="str">
        <f>+VLOOKUP(Agencia[[#This Row],[tema]],Estructura!$A$4:$C$500,3,0)</f>
        <v>T-1038</v>
      </c>
      <c r="Y281" s="118" t="str">
        <f>+VLOOKUP(Agencia[[#This Row],[contenido]],Estructura!$E$4:$G$500,3,0)</f>
        <v>C-993</v>
      </c>
      <c r="Z281" s="118" t="str">
        <f>+VLOOKUP(Agencia[[#This Row],[Filtro Integrado]],Estructura!$I$4:$K$500,3,0)</f>
        <v>FI-993</v>
      </c>
      <c r="AA281" s="118" t="str">
        <f>+VLOOKUP(Agencia[[#This Row],[Muestra]],Estructura!$M$4:$O$500,3,0)</f>
        <v>M-1014</v>
      </c>
    </row>
    <row r="282" spans="1:27" ht="57.6" x14ac:dyDescent="0.3">
      <c r="A282" s="21" t="s">
        <v>719</v>
      </c>
      <c r="B282" s="24">
        <f t="shared" ref="B282:D282" si="256">+B281</f>
        <v>990</v>
      </c>
      <c r="C282" s="25" t="str">
        <f t="shared" si="256"/>
        <v>Agencia Información</v>
      </c>
      <c r="D282" s="25" t="str">
        <f t="shared" si="256"/>
        <v>Economía</v>
      </c>
      <c r="E282" s="19">
        <v>9</v>
      </c>
      <c r="F282" s="10" t="s">
        <v>882</v>
      </c>
      <c r="G282" s="10" t="s">
        <v>1601</v>
      </c>
      <c r="H282" s="35" t="s">
        <v>16</v>
      </c>
      <c r="I282" s="36" t="s">
        <v>376</v>
      </c>
      <c r="J282" s="9" t="str">
        <f t="shared" si="247"/>
        <v>Ninguno</v>
      </c>
      <c r="K282" s="9" t="str">
        <f t="shared" si="247"/>
        <v>Ventas anuales por rubro por región</v>
      </c>
      <c r="L282" s="9" t="str">
        <f t="shared" si="247"/>
        <v>Año 2019</v>
      </c>
      <c r="M282" s="9" t="str">
        <f t="shared" si="247"/>
        <v>UF</v>
      </c>
      <c r="N282" s="9" t="str">
        <f t="shared" si="247"/>
        <v>Servicio de Impuestos Internos (SII)</v>
      </c>
      <c r="O282" s="20" t="str">
        <f>"Ventas anuales en UF por rubro en la "&amp;Agencia[[#This Row],[territorio]]&amp;", "&amp;Agencia[[#This Row],[temporalidad]]</f>
        <v>Ventas anuales en UF por rubro en la Región de La Araucanía, Año 2019</v>
      </c>
      <c r="P282" s="20"/>
      <c r="Q282" s="11" t="str">
        <f t="shared" si="184"/>
        <v>Gráfico</v>
      </c>
      <c r="R282" s="20" t="str">
        <f>Agencia[[#This Row],[territorio]]&amp;" empresas ventas estimadas rubro sector economía"</f>
        <v>Región de La Araucanía empresas ventas estimadas rubro sector economía</v>
      </c>
      <c r="S282" s="41" t="str">
        <f>HYPERLINK("https://analytics.zoho.com/open-view/2395394000008025390?ZOHO_CRITERIA=%22Rubros_Todo%22.%22Id_Regi%C3%B3n%22%3D"&amp;Agencia[[#This Row],[Filtro URL]])</f>
        <v>https://analytics.zoho.com/open-view/2395394000008025390?ZOHO_CRITERIA=%22Rubros_Todo%22.%22Id_Regi%C3%B3n%22%3D9</v>
      </c>
      <c r="T282" s="68" t="str">
        <f>"100-R-"&amp;Agencia[[#This Row],[Filtro URL]]</f>
        <v>100-R-9</v>
      </c>
      <c r="U282" s="50" t="str">
        <f t="shared" si="252"/>
        <v>#1774B9</v>
      </c>
      <c r="V282" s="118" t="str">
        <f>+Agencia[[#This Row],[idcoleccion]]&amp;"-"&amp;Agencia[[#This Row],[id]]</f>
        <v>990-0271</v>
      </c>
      <c r="W282" s="118">
        <f>+VLOOKUP(Agencia[[#This Row],[Filtro URL]],Estructura!$X$4:$Y$500,2,0)</f>
        <v>99200009</v>
      </c>
      <c r="X282" s="118" t="str">
        <f>+VLOOKUP(Agencia[[#This Row],[tema]],Estructura!$A$4:$C$500,3,0)</f>
        <v>T-1038</v>
      </c>
      <c r="Y282" s="118" t="str">
        <f>+VLOOKUP(Agencia[[#This Row],[contenido]],Estructura!$E$4:$G$500,3,0)</f>
        <v>C-993</v>
      </c>
      <c r="Z282" s="118" t="str">
        <f>+VLOOKUP(Agencia[[#This Row],[Filtro Integrado]],Estructura!$I$4:$K$500,3,0)</f>
        <v>FI-993</v>
      </c>
      <c r="AA282" s="118" t="str">
        <f>+VLOOKUP(Agencia[[#This Row],[Muestra]],Estructura!$M$4:$O$500,3,0)</f>
        <v>M-1014</v>
      </c>
    </row>
    <row r="283" spans="1:27" ht="57.6" x14ac:dyDescent="0.3">
      <c r="A283" s="21" t="s">
        <v>720</v>
      </c>
      <c r="B283" s="24">
        <f t="shared" ref="B283:D283" si="257">+B282</f>
        <v>990</v>
      </c>
      <c r="C283" s="25" t="str">
        <f t="shared" si="257"/>
        <v>Agencia Información</v>
      </c>
      <c r="D283" s="25" t="str">
        <f t="shared" si="257"/>
        <v>Economía</v>
      </c>
      <c r="E283" s="19">
        <v>10</v>
      </c>
      <c r="F283" s="10" t="s">
        <v>882</v>
      </c>
      <c r="G283" s="10" t="s">
        <v>1601</v>
      </c>
      <c r="H283" s="35" t="s">
        <v>16</v>
      </c>
      <c r="I283" s="36" t="s">
        <v>377</v>
      </c>
      <c r="J283" s="9" t="str">
        <f t="shared" si="247"/>
        <v>Ninguno</v>
      </c>
      <c r="K283" s="9" t="str">
        <f t="shared" si="247"/>
        <v>Ventas anuales por rubro por región</v>
      </c>
      <c r="L283" s="9" t="str">
        <f t="shared" si="247"/>
        <v>Año 2019</v>
      </c>
      <c r="M283" s="9" t="str">
        <f t="shared" si="247"/>
        <v>UF</v>
      </c>
      <c r="N283" s="9" t="str">
        <f t="shared" si="247"/>
        <v>Servicio de Impuestos Internos (SII)</v>
      </c>
      <c r="O283" s="20" t="str">
        <f>"Ventas anuales en UF por rubro en la "&amp;Agencia[[#This Row],[territorio]]&amp;", "&amp;Agencia[[#This Row],[temporalidad]]</f>
        <v>Ventas anuales en UF por rubro en la Región de Los Lagos, Año 2019</v>
      </c>
      <c r="P283" s="20"/>
      <c r="Q283" s="11" t="str">
        <f t="shared" si="184"/>
        <v>Gráfico</v>
      </c>
      <c r="R283" s="20" t="str">
        <f>Agencia[[#This Row],[territorio]]&amp;" empresas ventas estimadas rubro sector economía"</f>
        <v>Región de Los Lagos empresas ventas estimadas rubro sector economía</v>
      </c>
      <c r="S283" s="41" t="str">
        <f>HYPERLINK("https://analytics.zoho.com/open-view/2395394000008025390?ZOHO_CRITERIA=%22Rubros_Todo%22.%22Id_Regi%C3%B3n%22%3D"&amp;Agencia[[#This Row],[Filtro URL]])</f>
        <v>https://analytics.zoho.com/open-view/2395394000008025390?ZOHO_CRITERIA=%22Rubros_Todo%22.%22Id_Regi%C3%B3n%22%3D10</v>
      </c>
      <c r="T283" s="68" t="str">
        <f>"100-R-"&amp;Agencia[[#This Row],[Filtro URL]]</f>
        <v>100-R-10</v>
      </c>
      <c r="U283" s="50" t="str">
        <f t="shared" si="252"/>
        <v>#1774B9</v>
      </c>
      <c r="V283" s="118" t="str">
        <f>+Agencia[[#This Row],[idcoleccion]]&amp;"-"&amp;Agencia[[#This Row],[id]]</f>
        <v>990-0272</v>
      </c>
      <c r="W283" s="118">
        <f>+VLOOKUP(Agencia[[#This Row],[Filtro URL]],Estructura!$X$4:$Y$500,2,0)</f>
        <v>99200010</v>
      </c>
      <c r="X283" s="118" t="str">
        <f>+VLOOKUP(Agencia[[#This Row],[tema]],Estructura!$A$4:$C$500,3,0)</f>
        <v>T-1038</v>
      </c>
      <c r="Y283" s="118" t="str">
        <f>+VLOOKUP(Agencia[[#This Row],[contenido]],Estructura!$E$4:$G$500,3,0)</f>
        <v>C-993</v>
      </c>
      <c r="Z283" s="118" t="str">
        <f>+VLOOKUP(Agencia[[#This Row],[Filtro Integrado]],Estructura!$I$4:$K$500,3,0)</f>
        <v>FI-993</v>
      </c>
      <c r="AA283" s="118" t="str">
        <f>+VLOOKUP(Agencia[[#This Row],[Muestra]],Estructura!$M$4:$O$500,3,0)</f>
        <v>M-1014</v>
      </c>
    </row>
    <row r="284" spans="1:27" ht="57.6" x14ac:dyDescent="0.3">
      <c r="A284" s="21" t="s">
        <v>721</v>
      </c>
      <c r="B284" s="24">
        <f t="shared" ref="B284:D284" si="258">+B283</f>
        <v>990</v>
      </c>
      <c r="C284" s="25" t="str">
        <f t="shared" si="258"/>
        <v>Agencia Información</v>
      </c>
      <c r="D284" s="25" t="str">
        <f t="shared" si="258"/>
        <v>Economía</v>
      </c>
      <c r="E284" s="19">
        <v>11</v>
      </c>
      <c r="F284" s="10" t="s">
        <v>882</v>
      </c>
      <c r="G284" s="10" t="s">
        <v>1601</v>
      </c>
      <c r="H284" s="35" t="s">
        <v>16</v>
      </c>
      <c r="I284" s="36" t="s">
        <v>378</v>
      </c>
      <c r="J284" s="9" t="str">
        <f t="shared" si="247"/>
        <v>Ninguno</v>
      </c>
      <c r="K284" s="9" t="str">
        <f t="shared" si="247"/>
        <v>Ventas anuales por rubro por región</v>
      </c>
      <c r="L284" s="9" t="str">
        <f t="shared" si="247"/>
        <v>Año 2019</v>
      </c>
      <c r="M284" s="9" t="str">
        <f t="shared" si="247"/>
        <v>UF</v>
      </c>
      <c r="N284" s="9" t="str">
        <f t="shared" si="247"/>
        <v>Servicio de Impuestos Internos (SII)</v>
      </c>
      <c r="O284" s="20" t="str">
        <f>"Ventas anuales en UF por rubro en la "&amp;Agencia[[#This Row],[territorio]]&amp;", "&amp;Agencia[[#This Row],[temporalidad]]</f>
        <v>Ventas anuales en UF por rubro en la Región de Aysén, Año 2019</v>
      </c>
      <c r="P284" s="20"/>
      <c r="Q284" s="11" t="str">
        <f t="shared" si="184"/>
        <v>Gráfico</v>
      </c>
      <c r="R284" s="20" t="str">
        <f>Agencia[[#This Row],[territorio]]&amp;" empresas ventas estimadas rubro sector economía"</f>
        <v>Región de Aysén empresas ventas estimadas rubro sector economía</v>
      </c>
      <c r="S284" s="41" t="str">
        <f>HYPERLINK("https://analytics.zoho.com/open-view/2395394000008025390?ZOHO_CRITERIA=%22Rubros_Todo%22.%22Id_Regi%C3%B3n%22%3D"&amp;Agencia[[#This Row],[Filtro URL]])</f>
        <v>https://analytics.zoho.com/open-view/2395394000008025390?ZOHO_CRITERIA=%22Rubros_Todo%22.%22Id_Regi%C3%B3n%22%3D11</v>
      </c>
      <c r="T284" s="68" t="str">
        <f>"100-R-"&amp;Agencia[[#This Row],[Filtro URL]]</f>
        <v>100-R-11</v>
      </c>
      <c r="U284" s="50" t="str">
        <f t="shared" si="252"/>
        <v>#1774B9</v>
      </c>
      <c r="V284" s="118" t="str">
        <f>+Agencia[[#This Row],[idcoleccion]]&amp;"-"&amp;Agencia[[#This Row],[id]]</f>
        <v>990-0273</v>
      </c>
      <c r="W284" s="118">
        <f>+VLOOKUP(Agencia[[#This Row],[Filtro URL]],Estructura!$X$4:$Y$500,2,0)</f>
        <v>99200011</v>
      </c>
      <c r="X284" s="118" t="str">
        <f>+VLOOKUP(Agencia[[#This Row],[tema]],Estructura!$A$4:$C$500,3,0)</f>
        <v>T-1038</v>
      </c>
      <c r="Y284" s="118" t="str">
        <f>+VLOOKUP(Agencia[[#This Row],[contenido]],Estructura!$E$4:$G$500,3,0)</f>
        <v>C-993</v>
      </c>
      <c r="Z284" s="118" t="str">
        <f>+VLOOKUP(Agencia[[#This Row],[Filtro Integrado]],Estructura!$I$4:$K$500,3,0)</f>
        <v>FI-993</v>
      </c>
      <c r="AA284" s="118" t="str">
        <f>+VLOOKUP(Agencia[[#This Row],[Muestra]],Estructura!$M$4:$O$500,3,0)</f>
        <v>M-1014</v>
      </c>
    </row>
    <row r="285" spans="1:27" ht="57.6" x14ac:dyDescent="0.3">
      <c r="A285" s="21" t="s">
        <v>722</v>
      </c>
      <c r="B285" s="24">
        <f t="shared" ref="B285:D285" si="259">+B284</f>
        <v>990</v>
      </c>
      <c r="C285" s="25" t="str">
        <f t="shared" si="259"/>
        <v>Agencia Información</v>
      </c>
      <c r="D285" s="25" t="str">
        <f t="shared" si="259"/>
        <v>Economía</v>
      </c>
      <c r="E285" s="19">
        <v>12</v>
      </c>
      <c r="F285" s="10" t="s">
        <v>882</v>
      </c>
      <c r="G285" s="10" t="s">
        <v>1601</v>
      </c>
      <c r="H285" s="35" t="s">
        <v>16</v>
      </c>
      <c r="I285" s="36" t="s">
        <v>379</v>
      </c>
      <c r="J285" s="9" t="str">
        <f t="shared" si="247"/>
        <v>Ninguno</v>
      </c>
      <c r="K285" s="9" t="str">
        <f t="shared" si="247"/>
        <v>Ventas anuales por rubro por región</v>
      </c>
      <c r="L285" s="9" t="str">
        <f t="shared" si="247"/>
        <v>Año 2019</v>
      </c>
      <c r="M285" s="9" t="str">
        <f t="shared" si="247"/>
        <v>UF</v>
      </c>
      <c r="N285" s="9" t="str">
        <f t="shared" si="247"/>
        <v>Servicio de Impuestos Internos (SII)</v>
      </c>
      <c r="O285" s="20" t="str">
        <f>"Ventas anuales en UF por rubro en la "&amp;Agencia[[#This Row],[territorio]]&amp;", "&amp;Agencia[[#This Row],[temporalidad]]</f>
        <v>Ventas anuales en UF por rubro en la Región de Magallanes, Año 2019</v>
      </c>
      <c r="P285" s="20"/>
      <c r="Q285" s="11" t="str">
        <f t="shared" si="184"/>
        <v>Gráfico</v>
      </c>
      <c r="R285" s="20" t="str">
        <f>Agencia[[#This Row],[territorio]]&amp;" empresas ventas estimadas rubro sector economía"</f>
        <v>Región de Magallanes empresas ventas estimadas rubro sector economía</v>
      </c>
      <c r="S285" s="41" t="str">
        <f>HYPERLINK("https://analytics.zoho.com/open-view/2395394000008025390?ZOHO_CRITERIA=%22Rubros_Todo%22.%22Id_Regi%C3%B3n%22%3D"&amp;Agencia[[#This Row],[Filtro URL]])</f>
        <v>https://analytics.zoho.com/open-view/2395394000008025390?ZOHO_CRITERIA=%22Rubros_Todo%22.%22Id_Regi%C3%B3n%22%3D12</v>
      </c>
      <c r="T285" s="68" t="str">
        <f>"100-R-"&amp;Agencia[[#This Row],[Filtro URL]]</f>
        <v>100-R-12</v>
      </c>
      <c r="U285" s="50" t="str">
        <f t="shared" si="252"/>
        <v>#1774B9</v>
      </c>
      <c r="V285" s="118" t="str">
        <f>+Agencia[[#This Row],[idcoleccion]]&amp;"-"&amp;Agencia[[#This Row],[id]]</f>
        <v>990-0274</v>
      </c>
      <c r="W285" s="118">
        <f>+VLOOKUP(Agencia[[#This Row],[Filtro URL]],Estructura!$X$4:$Y$500,2,0)</f>
        <v>99200012</v>
      </c>
      <c r="X285" s="118" t="str">
        <f>+VLOOKUP(Agencia[[#This Row],[tema]],Estructura!$A$4:$C$500,3,0)</f>
        <v>T-1038</v>
      </c>
      <c r="Y285" s="118" t="str">
        <f>+VLOOKUP(Agencia[[#This Row],[contenido]],Estructura!$E$4:$G$500,3,0)</f>
        <v>C-993</v>
      </c>
      <c r="Z285" s="118" t="str">
        <f>+VLOOKUP(Agencia[[#This Row],[Filtro Integrado]],Estructura!$I$4:$K$500,3,0)</f>
        <v>FI-993</v>
      </c>
      <c r="AA285" s="118" t="str">
        <f>+VLOOKUP(Agencia[[#This Row],[Muestra]],Estructura!$M$4:$O$500,3,0)</f>
        <v>M-1014</v>
      </c>
    </row>
    <row r="286" spans="1:27" ht="57.6" x14ac:dyDescent="0.3">
      <c r="A286" s="21" t="s">
        <v>723</v>
      </c>
      <c r="B286" s="24">
        <f t="shared" ref="B286:D286" si="260">+B285</f>
        <v>990</v>
      </c>
      <c r="C286" s="25" t="str">
        <f t="shared" si="260"/>
        <v>Agencia Información</v>
      </c>
      <c r="D286" s="25" t="str">
        <f t="shared" si="260"/>
        <v>Economía</v>
      </c>
      <c r="E286" s="19">
        <v>13</v>
      </c>
      <c r="F286" s="10" t="s">
        <v>882</v>
      </c>
      <c r="G286" s="10" t="s">
        <v>1601</v>
      </c>
      <c r="H286" s="35" t="s">
        <v>16</v>
      </c>
      <c r="I286" s="36" t="s">
        <v>380</v>
      </c>
      <c r="J286" s="9" t="str">
        <f t="shared" si="247"/>
        <v>Ninguno</v>
      </c>
      <c r="K286" s="9" t="str">
        <f t="shared" si="247"/>
        <v>Ventas anuales por rubro por región</v>
      </c>
      <c r="L286" s="9" t="str">
        <f t="shared" si="247"/>
        <v>Año 2019</v>
      </c>
      <c r="M286" s="9" t="str">
        <f t="shared" si="247"/>
        <v>UF</v>
      </c>
      <c r="N286" s="9" t="str">
        <f t="shared" si="247"/>
        <v>Servicio de Impuestos Internos (SII)</v>
      </c>
      <c r="O286" s="20" t="str">
        <f>"Ventas anuales en UF por rubro en la "&amp;Agencia[[#This Row],[territorio]]&amp;", "&amp;Agencia[[#This Row],[temporalidad]]</f>
        <v>Ventas anuales en UF por rubro en la Región Metropolitana, Año 2019</v>
      </c>
      <c r="P286" s="20"/>
      <c r="Q286" s="11" t="str">
        <f t="shared" si="184"/>
        <v>Gráfico</v>
      </c>
      <c r="R286" s="20" t="str">
        <f>Agencia[[#This Row],[territorio]]&amp;" empresas ventas estimadas rubro sector economía"</f>
        <v>Región Metropolitana empresas ventas estimadas rubro sector economía</v>
      </c>
      <c r="S286" s="41" t="str">
        <f>HYPERLINK("https://analytics.zoho.com/open-view/2395394000008025390?ZOHO_CRITERIA=%22Rubros_Todo%22.%22Id_Regi%C3%B3n%22%3D"&amp;Agencia[[#This Row],[Filtro URL]])</f>
        <v>https://analytics.zoho.com/open-view/2395394000008025390?ZOHO_CRITERIA=%22Rubros_Todo%22.%22Id_Regi%C3%B3n%22%3D13</v>
      </c>
      <c r="T286" s="68" t="str">
        <f>"200-R-"&amp;Agencia[[#This Row],[Filtro URL]]</f>
        <v>200-R-13</v>
      </c>
      <c r="U286" s="50" t="str">
        <f t="shared" si="252"/>
        <v>#1774B9</v>
      </c>
      <c r="V286" s="118" t="str">
        <f>+Agencia[[#This Row],[idcoleccion]]&amp;"-"&amp;Agencia[[#This Row],[id]]</f>
        <v>990-0275</v>
      </c>
      <c r="W286" s="118">
        <f>+VLOOKUP(Agencia[[#This Row],[Filtro URL]],Estructura!$X$4:$Y$500,2,0)</f>
        <v>99200013</v>
      </c>
      <c r="X286" s="118" t="str">
        <f>+VLOOKUP(Agencia[[#This Row],[tema]],Estructura!$A$4:$C$500,3,0)</f>
        <v>T-1038</v>
      </c>
      <c r="Y286" s="118" t="str">
        <f>+VLOOKUP(Agencia[[#This Row],[contenido]],Estructura!$E$4:$G$500,3,0)</f>
        <v>C-993</v>
      </c>
      <c r="Z286" s="118" t="str">
        <f>+VLOOKUP(Agencia[[#This Row],[Filtro Integrado]],Estructura!$I$4:$K$500,3,0)</f>
        <v>FI-993</v>
      </c>
      <c r="AA286" s="118" t="str">
        <f>+VLOOKUP(Agencia[[#This Row],[Muestra]],Estructura!$M$4:$O$500,3,0)</f>
        <v>M-1014</v>
      </c>
    </row>
    <row r="287" spans="1:27" ht="57.6" x14ac:dyDescent="0.3">
      <c r="A287" s="21" t="s">
        <v>724</v>
      </c>
      <c r="B287" s="24">
        <f t="shared" ref="B287:D287" si="261">+B286</f>
        <v>990</v>
      </c>
      <c r="C287" s="25" t="str">
        <f t="shared" si="261"/>
        <v>Agencia Información</v>
      </c>
      <c r="D287" s="25" t="str">
        <f t="shared" si="261"/>
        <v>Economía</v>
      </c>
      <c r="E287" s="19">
        <v>14</v>
      </c>
      <c r="F287" s="10" t="s">
        <v>882</v>
      </c>
      <c r="G287" s="10" t="s">
        <v>1601</v>
      </c>
      <c r="H287" s="35" t="s">
        <v>16</v>
      </c>
      <c r="I287" s="36" t="s">
        <v>381</v>
      </c>
      <c r="J287" s="9" t="str">
        <f t="shared" si="247"/>
        <v>Ninguno</v>
      </c>
      <c r="K287" s="9" t="str">
        <f t="shared" si="247"/>
        <v>Ventas anuales por rubro por región</v>
      </c>
      <c r="L287" s="9" t="str">
        <f t="shared" si="247"/>
        <v>Año 2019</v>
      </c>
      <c r="M287" s="9" t="str">
        <f t="shared" si="247"/>
        <v>UF</v>
      </c>
      <c r="N287" s="9" t="str">
        <f t="shared" si="247"/>
        <v>Servicio de Impuestos Internos (SII)</v>
      </c>
      <c r="O287" s="20" t="str">
        <f>"Ventas anuales en UF por rubro en la "&amp;Agencia[[#This Row],[territorio]]&amp;", "&amp;Agencia[[#This Row],[temporalidad]]</f>
        <v>Ventas anuales en UF por rubro en la Región de Los Ríos, Año 2019</v>
      </c>
      <c r="P287" s="20"/>
      <c r="Q287" s="11" t="str">
        <f t="shared" ref="Q287:Q350" si="262">+Q286</f>
        <v>Gráfico</v>
      </c>
      <c r="R287" s="20" t="str">
        <f>Agencia[[#This Row],[territorio]]&amp;" empresas ventas estimadas rubro sector economía"</f>
        <v>Región de Los Ríos empresas ventas estimadas rubro sector economía</v>
      </c>
      <c r="S287" s="41" t="str">
        <f>HYPERLINK("https://analytics.zoho.com/open-view/2395394000008025390?ZOHO_CRITERIA=%22Rubros_Todo%22.%22Id_Regi%C3%B3n%22%3D"&amp;Agencia[[#This Row],[Filtro URL]])</f>
        <v>https://analytics.zoho.com/open-view/2395394000008025390?ZOHO_CRITERIA=%22Rubros_Todo%22.%22Id_Regi%C3%B3n%22%3D14</v>
      </c>
      <c r="T287" s="68" t="str">
        <f>"100-R-"&amp;Agencia[[#This Row],[Filtro URL]]</f>
        <v>100-R-14</v>
      </c>
      <c r="U287" s="50" t="str">
        <f t="shared" si="252"/>
        <v>#1774B9</v>
      </c>
      <c r="V287" s="118" t="str">
        <f>+Agencia[[#This Row],[idcoleccion]]&amp;"-"&amp;Agencia[[#This Row],[id]]</f>
        <v>990-0276</v>
      </c>
      <c r="W287" s="118">
        <f>+VLOOKUP(Agencia[[#This Row],[Filtro URL]],Estructura!$X$4:$Y$500,2,0)</f>
        <v>99200014</v>
      </c>
      <c r="X287" s="118" t="str">
        <f>+VLOOKUP(Agencia[[#This Row],[tema]],Estructura!$A$4:$C$500,3,0)</f>
        <v>T-1038</v>
      </c>
      <c r="Y287" s="118" t="str">
        <f>+VLOOKUP(Agencia[[#This Row],[contenido]],Estructura!$E$4:$G$500,3,0)</f>
        <v>C-993</v>
      </c>
      <c r="Z287" s="118" t="str">
        <f>+VLOOKUP(Agencia[[#This Row],[Filtro Integrado]],Estructura!$I$4:$K$500,3,0)</f>
        <v>FI-993</v>
      </c>
      <c r="AA287" s="118" t="str">
        <f>+VLOOKUP(Agencia[[#This Row],[Muestra]],Estructura!$M$4:$O$500,3,0)</f>
        <v>M-1014</v>
      </c>
    </row>
    <row r="288" spans="1:27" ht="57.6" x14ac:dyDescent="0.3">
      <c r="A288" s="21" t="s">
        <v>725</v>
      </c>
      <c r="B288" s="24">
        <f t="shared" ref="B288:D288" si="263">+B287</f>
        <v>990</v>
      </c>
      <c r="C288" s="25" t="str">
        <f t="shared" si="263"/>
        <v>Agencia Información</v>
      </c>
      <c r="D288" s="25" t="str">
        <f t="shared" si="263"/>
        <v>Economía</v>
      </c>
      <c r="E288" s="19">
        <v>15</v>
      </c>
      <c r="F288" s="10" t="s">
        <v>882</v>
      </c>
      <c r="G288" s="10" t="s">
        <v>1601</v>
      </c>
      <c r="H288" s="35" t="s">
        <v>16</v>
      </c>
      <c r="I288" s="36" t="s">
        <v>382</v>
      </c>
      <c r="J288" s="9" t="str">
        <f t="shared" si="247"/>
        <v>Ninguno</v>
      </c>
      <c r="K288" s="9" t="str">
        <f t="shared" si="247"/>
        <v>Ventas anuales por rubro por región</v>
      </c>
      <c r="L288" s="9" t="str">
        <f t="shared" si="247"/>
        <v>Año 2019</v>
      </c>
      <c r="M288" s="9" t="str">
        <f t="shared" si="247"/>
        <v>UF</v>
      </c>
      <c r="N288" s="9" t="str">
        <f t="shared" si="247"/>
        <v>Servicio de Impuestos Internos (SII)</v>
      </c>
      <c r="O288" s="20" t="str">
        <f>"Ventas anuales en UF por rubro en la "&amp;Agencia[[#This Row],[territorio]]&amp;", "&amp;Agencia[[#This Row],[temporalidad]]</f>
        <v>Ventas anuales en UF por rubro en la Región de Arica y Parinacota, Año 2019</v>
      </c>
      <c r="P288" s="20"/>
      <c r="Q288" s="11" t="str">
        <f t="shared" si="262"/>
        <v>Gráfico</v>
      </c>
      <c r="R288" s="20" t="str">
        <f>Agencia[[#This Row],[territorio]]&amp;" empresas ventas estimadas rubro sector economía"</f>
        <v>Región de Arica y Parinacota empresas ventas estimadas rubro sector economía</v>
      </c>
      <c r="S288" s="41" t="str">
        <f>HYPERLINK("https://analytics.zoho.com/open-view/2395394000008025390?ZOHO_CRITERIA=%22Rubros_Todo%22.%22Id_Regi%C3%B3n%22%3D"&amp;Agencia[[#This Row],[Filtro URL]])</f>
        <v>https://analytics.zoho.com/open-view/2395394000008025390?ZOHO_CRITERIA=%22Rubros_Todo%22.%22Id_Regi%C3%B3n%22%3D15</v>
      </c>
      <c r="T288" s="68" t="str">
        <f>"100-R-"&amp;Agencia[[#This Row],[Filtro URL]]</f>
        <v>100-R-15</v>
      </c>
      <c r="U288" s="50" t="str">
        <f t="shared" si="252"/>
        <v>#1774B9</v>
      </c>
      <c r="V288" s="118" t="str">
        <f>+Agencia[[#This Row],[idcoleccion]]&amp;"-"&amp;Agencia[[#This Row],[id]]</f>
        <v>990-0277</v>
      </c>
      <c r="W288" s="118">
        <f>+VLOOKUP(Agencia[[#This Row],[Filtro URL]],Estructura!$X$4:$Y$500,2,0)</f>
        <v>99200015</v>
      </c>
      <c r="X288" s="118" t="str">
        <f>+VLOOKUP(Agencia[[#This Row],[tema]],Estructura!$A$4:$C$500,3,0)</f>
        <v>T-1038</v>
      </c>
      <c r="Y288" s="118" t="str">
        <f>+VLOOKUP(Agencia[[#This Row],[contenido]],Estructura!$E$4:$G$500,3,0)</f>
        <v>C-993</v>
      </c>
      <c r="Z288" s="118" t="str">
        <f>+VLOOKUP(Agencia[[#This Row],[Filtro Integrado]],Estructura!$I$4:$K$500,3,0)</f>
        <v>FI-993</v>
      </c>
      <c r="AA288" s="118" t="str">
        <f>+VLOOKUP(Agencia[[#This Row],[Muestra]],Estructura!$M$4:$O$500,3,0)</f>
        <v>M-1014</v>
      </c>
    </row>
    <row r="289" spans="1:27" ht="57.6" x14ac:dyDescent="0.3">
      <c r="A289" s="21" t="s">
        <v>726</v>
      </c>
      <c r="B289" s="24">
        <f t="shared" ref="B289:D289" si="264">+B288</f>
        <v>990</v>
      </c>
      <c r="C289" s="25" t="str">
        <f t="shared" si="264"/>
        <v>Agencia Información</v>
      </c>
      <c r="D289" s="25" t="str">
        <f t="shared" si="264"/>
        <v>Economía</v>
      </c>
      <c r="E289" s="19">
        <v>16</v>
      </c>
      <c r="F289" s="10" t="s">
        <v>882</v>
      </c>
      <c r="G289" s="10" t="s">
        <v>1601</v>
      </c>
      <c r="H289" s="35" t="s">
        <v>16</v>
      </c>
      <c r="I289" s="36" t="s">
        <v>383</v>
      </c>
      <c r="J289" s="9" t="str">
        <f t="shared" ref="J289:N304" si="265">+J288</f>
        <v>Ninguno</v>
      </c>
      <c r="K289" s="9" t="str">
        <f t="shared" si="265"/>
        <v>Ventas anuales por rubro por región</v>
      </c>
      <c r="L289" s="9" t="str">
        <f t="shared" si="265"/>
        <v>Año 2019</v>
      </c>
      <c r="M289" s="9" t="str">
        <f t="shared" si="265"/>
        <v>UF</v>
      </c>
      <c r="N289" s="9" t="str">
        <f t="shared" si="265"/>
        <v>Servicio de Impuestos Internos (SII)</v>
      </c>
      <c r="O289" s="20" t="str">
        <f>"Ventas anuales en UF por rubro en la "&amp;Agencia[[#This Row],[territorio]]&amp;", "&amp;Agencia[[#This Row],[temporalidad]]</f>
        <v>Ventas anuales en UF por rubro en la Región de Ñuble, Año 2019</v>
      </c>
      <c r="P289" s="20"/>
      <c r="Q289" s="11" t="str">
        <f t="shared" si="262"/>
        <v>Gráfico</v>
      </c>
      <c r="R289" s="20" t="str">
        <f>Agencia[[#This Row],[territorio]]&amp;" empresas ventas estimadas rubro sector economía"</f>
        <v>Región de Ñuble empresas ventas estimadas rubro sector economía</v>
      </c>
      <c r="S289" s="41" t="str">
        <f>HYPERLINK("https://analytics.zoho.com/open-view/2395394000008025390?ZOHO_CRITERIA=%22Rubros_Todo%22.%22Id_Regi%C3%B3n%22%3D"&amp;Agencia[[#This Row],[Filtro URL]])</f>
        <v>https://analytics.zoho.com/open-view/2395394000008025390?ZOHO_CRITERIA=%22Rubros_Todo%22.%22Id_Regi%C3%B3n%22%3D16</v>
      </c>
      <c r="T289" s="68" t="str">
        <f>"100-R-"&amp;Agencia[[#This Row],[Filtro URL]]</f>
        <v>100-R-16</v>
      </c>
      <c r="U289" s="50" t="str">
        <f t="shared" si="252"/>
        <v>#1774B9</v>
      </c>
      <c r="V289" s="118" t="str">
        <f>+Agencia[[#This Row],[idcoleccion]]&amp;"-"&amp;Agencia[[#This Row],[id]]</f>
        <v>990-0278</v>
      </c>
      <c r="W289" s="118">
        <f>+VLOOKUP(Agencia[[#This Row],[Filtro URL]],Estructura!$X$4:$Y$500,2,0)</f>
        <v>99200016</v>
      </c>
      <c r="X289" s="118" t="str">
        <f>+VLOOKUP(Agencia[[#This Row],[tema]],Estructura!$A$4:$C$500,3,0)</f>
        <v>T-1038</v>
      </c>
      <c r="Y289" s="118" t="str">
        <f>+VLOOKUP(Agencia[[#This Row],[contenido]],Estructura!$E$4:$G$500,3,0)</f>
        <v>C-993</v>
      </c>
      <c r="Z289" s="118" t="str">
        <f>+VLOOKUP(Agencia[[#This Row],[Filtro Integrado]],Estructura!$I$4:$K$500,3,0)</f>
        <v>FI-993</v>
      </c>
      <c r="AA289" s="118" t="str">
        <f>+VLOOKUP(Agencia[[#This Row],[Muestra]],Estructura!$M$4:$O$500,3,0)</f>
        <v>M-1014</v>
      </c>
    </row>
    <row r="290" spans="1:27" ht="51" x14ac:dyDescent="0.3">
      <c r="A290" s="21" t="s">
        <v>727</v>
      </c>
      <c r="B290" s="24">
        <f t="shared" ref="B290:C290" si="266">+B289</f>
        <v>990</v>
      </c>
      <c r="C290" s="25" t="str">
        <f t="shared" si="266"/>
        <v>Agencia Información</v>
      </c>
      <c r="D290" s="25" t="s">
        <v>462</v>
      </c>
      <c r="E290" s="14">
        <v>0</v>
      </c>
      <c r="F290" s="10" t="s">
        <v>888</v>
      </c>
      <c r="G290" s="10" t="s">
        <v>3762</v>
      </c>
      <c r="H290" s="33" t="s">
        <v>20</v>
      </c>
      <c r="I290" s="34" t="s">
        <v>15</v>
      </c>
      <c r="J290" s="9" t="str">
        <f t="shared" si="265"/>
        <v>Ninguno</v>
      </c>
      <c r="K290" s="9" t="s">
        <v>893</v>
      </c>
      <c r="L290" s="9" t="s">
        <v>614</v>
      </c>
      <c r="M290" s="9" t="s">
        <v>892</v>
      </c>
      <c r="N290" s="9" t="s">
        <v>891</v>
      </c>
      <c r="O290" s="20" t="str">
        <f>"Cantidad de Centros de la Mujer por Región en el "&amp;Agencia[[#This Row],[temporalidad]]</f>
        <v>Cantidad de Centros de la Mujer por Región en el Año 2021</v>
      </c>
      <c r="P290" s="20" t="s">
        <v>889</v>
      </c>
      <c r="Q290" s="11" t="str">
        <f t="shared" si="262"/>
        <v>Gráfico</v>
      </c>
      <c r="R290" s="20" t="str">
        <f>Agencia[[#This Row],[territorio]]&amp;" centros mujer violencia género mujeres establecimientos"</f>
        <v>Chile centros mujer violencia género mujeres establecimientos</v>
      </c>
      <c r="S290" s="41" t="s">
        <v>890</v>
      </c>
      <c r="T290" s="68">
        <v>0</v>
      </c>
      <c r="U290" s="50" t="str">
        <f t="shared" si="252"/>
        <v>#1774B9</v>
      </c>
      <c r="V290" s="118" t="str">
        <f>+Agencia[[#This Row],[idcoleccion]]&amp;"-"&amp;Agencia[[#This Row],[id]]</f>
        <v>990-0279</v>
      </c>
      <c r="W290" s="118">
        <f>+VLOOKUP(Agencia[[#This Row],[Filtro URL]],Estructura!$X$4:$Y$500,2,0)</f>
        <v>99100000</v>
      </c>
      <c r="X290" s="118" t="str">
        <f>+VLOOKUP(Agencia[[#This Row],[tema]],Estructura!$A$4:$C$500,3,0)</f>
        <v>T-1039</v>
      </c>
      <c r="Y290" s="118" t="str">
        <f>+VLOOKUP(Agencia[[#This Row],[contenido]],Estructura!$E$4:$G$500,3,0)</f>
        <v>C-996</v>
      </c>
      <c r="Z290" s="118" t="str">
        <f>+VLOOKUP(Agencia[[#This Row],[Filtro Integrado]],Estructura!$I$4:$K$500,3,0)</f>
        <v>FI-993</v>
      </c>
      <c r="AA290" s="118" t="str">
        <f>+VLOOKUP(Agencia[[#This Row],[Muestra]],Estructura!$M$4:$O$500,3,0)</f>
        <v>M-1015</v>
      </c>
    </row>
    <row r="291" spans="1:27" ht="61.2" x14ac:dyDescent="0.3">
      <c r="A291" s="21" t="s">
        <v>728</v>
      </c>
      <c r="B291" s="24">
        <f t="shared" ref="B291:C291" si="267">+B290</f>
        <v>990</v>
      </c>
      <c r="C291" s="25" t="str">
        <f t="shared" si="267"/>
        <v>Agencia Información</v>
      </c>
      <c r="D291" s="25" t="s">
        <v>462</v>
      </c>
      <c r="E291" s="14">
        <v>0</v>
      </c>
      <c r="F291" s="10" t="s">
        <v>888</v>
      </c>
      <c r="G291" s="10" t="s">
        <v>3762</v>
      </c>
      <c r="H291" s="33" t="s">
        <v>20</v>
      </c>
      <c r="I291" s="34" t="s">
        <v>15</v>
      </c>
      <c r="J291" s="9" t="s">
        <v>404</v>
      </c>
      <c r="K291" s="9" t="s">
        <v>898</v>
      </c>
      <c r="L291" s="9" t="s">
        <v>894</v>
      </c>
      <c r="M291" s="9" t="s">
        <v>895</v>
      </c>
      <c r="N291" s="9" t="s">
        <v>891</v>
      </c>
      <c r="O291" s="20" t="str">
        <f>"Cantidad de Mujeres Ingresadas en Centros de la Mujer en "&amp;Agencia[[#This Row],[territorio]]&amp;" para el "&amp;Agencia[[#This Row],[temporalidad]]</f>
        <v>Cantidad de Mujeres Ingresadas en Centros de la Mujer en Chile para el Periodo 2014-2019</v>
      </c>
      <c r="P291" s="20" t="s">
        <v>896</v>
      </c>
      <c r="Q291" s="11" t="s">
        <v>821</v>
      </c>
      <c r="R291" s="20" t="str">
        <f>Agencia[[#This Row],[territorio]]&amp;" centros mujer violencia género mujeres ingresos cantidad"</f>
        <v>Chile centros mujer violencia género mujeres ingresos cantidad</v>
      </c>
      <c r="S291" s="41" t="s">
        <v>897</v>
      </c>
      <c r="T291" s="68">
        <v>0</v>
      </c>
      <c r="U291" s="50" t="str">
        <f t="shared" si="252"/>
        <v>#1774B9</v>
      </c>
      <c r="V291" s="118" t="str">
        <f>+Agencia[[#This Row],[idcoleccion]]&amp;"-"&amp;Agencia[[#This Row],[id]]</f>
        <v>990-0280</v>
      </c>
      <c r="W291" s="118">
        <f>+VLOOKUP(Agencia[[#This Row],[Filtro URL]],Estructura!$X$4:$Y$500,2,0)</f>
        <v>99100000</v>
      </c>
      <c r="X291" s="118" t="str">
        <f>+VLOOKUP(Agencia[[#This Row],[tema]],Estructura!$A$4:$C$500,3,0)</f>
        <v>T-1039</v>
      </c>
      <c r="Y291" s="118" t="str">
        <f>+VLOOKUP(Agencia[[#This Row],[contenido]],Estructura!$E$4:$G$500,3,0)</f>
        <v>C-996</v>
      </c>
      <c r="Z291" s="118" t="str">
        <f>+VLOOKUP(Agencia[[#This Row],[Filtro Integrado]],Estructura!$I$4:$K$500,3,0)</f>
        <v>FI-993</v>
      </c>
      <c r="AA291" s="118" t="str">
        <f>+VLOOKUP(Agencia[[#This Row],[Muestra]],Estructura!$M$4:$O$500,3,0)</f>
        <v>M-1016</v>
      </c>
    </row>
    <row r="292" spans="1:27" ht="40.799999999999997" x14ac:dyDescent="0.3">
      <c r="A292" s="21" t="s">
        <v>729</v>
      </c>
      <c r="B292" s="24">
        <f t="shared" ref="B292:C292" si="268">+B291</f>
        <v>990</v>
      </c>
      <c r="C292" s="25" t="str">
        <f t="shared" si="268"/>
        <v>Agencia Información</v>
      </c>
      <c r="D292" s="25" t="s">
        <v>462</v>
      </c>
      <c r="E292" s="14">
        <v>0</v>
      </c>
      <c r="F292" s="10" t="s">
        <v>888</v>
      </c>
      <c r="G292" s="10" t="s">
        <v>3762</v>
      </c>
      <c r="H292" s="33" t="s">
        <v>20</v>
      </c>
      <c r="I292" s="34" t="s">
        <v>15</v>
      </c>
      <c r="J292" s="9" t="s">
        <v>404</v>
      </c>
      <c r="K292" s="9" t="s">
        <v>900</v>
      </c>
      <c r="L292" s="9" t="s">
        <v>894</v>
      </c>
      <c r="M292" s="9" t="s">
        <v>899</v>
      </c>
      <c r="N292" s="9" t="s">
        <v>891</v>
      </c>
      <c r="O292" s="20" t="str">
        <f>"Cantidad de Salidas desde Casas de Acogida en "&amp;Agencia[[#This Row],[territorio]]&amp;" durante el "&amp;Agencia[[#This Row],[temporalidad]]</f>
        <v>Cantidad de Salidas desde Casas de Acogida en Chile durante el Periodo 2014-2019</v>
      </c>
      <c r="P292" s="20" t="s">
        <v>901</v>
      </c>
      <c r="Q292" s="11" t="s">
        <v>821</v>
      </c>
      <c r="R292" s="20" t="str">
        <f>Agencia[[#This Row],[territorio]]&amp;" casas acogida violencia género mujeres salidas establecimientos"</f>
        <v>Chile casas acogida violencia género mujeres salidas establecimientos</v>
      </c>
      <c r="S292" s="41" t="s">
        <v>902</v>
      </c>
      <c r="T292" s="68">
        <v>0</v>
      </c>
      <c r="U292" s="50" t="str">
        <f t="shared" si="252"/>
        <v>#1774B9</v>
      </c>
      <c r="V292" s="118" t="str">
        <f>+Agencia[[#This Row],[idcoleccion]]&amp;"-"&amp;Agencia[[#This Row],[id]]</f>
        <v>990-0281</v>
      </c>
      <c r="W292" s="118">
        <f>+VLOOKUP(Agencia[[#This Row],[Filtro URL]],Estructura!$X$4:$Y$500,2,0)</f>
        <v>99100000</v>
      </c>
      <c r="X292" s="118" t="str">
        <f>+VLOOKUP(Agencia[[#This Row],[tema]],Estructura!$A$4:$C$500,3,0)</f>
        <v>T-1039</v>
      </c>
      <c r="Y292" s="118" t="str">
        <f>+VLOOKUP(Agencia[[#This Row],[contenido]],Estructura!$E$4:$G$500,3,0)</f>
        <v>C-996</v>
      </c>
      <c r="Z292" s="118" t="str">
        <f>+VLOOKUP(Agencia[[#This Row],[Filtro Integrado]],Estructura!$I$4:$K$500,3,0)</f>
        <v>FI-993</v>
      </c>
      <c r="AA292" s="118" t="str">
        <f>+VLOOKUP(Agencia[[#This Row],[Muestra]],Estructura!$M$4:$O$500,3,0)</f>
        <v>M-1017</v>
      </c>
    </row>
    <row r="293" spans="1:27" ht="36" x14ac:dyDescent="0.3">
      <c r="A293" s="21" t="s">
        <v>730</v>
      </c>
      <c r="B293" s="24">
        <f t="shared" ref="B293:C293" si="269">+B292</f>
        <v>990</v>
      </c>
      <c r="C293" s="25" t="str">
        <f t="shared" si="269"/>
        <v>Agencia Información</v>
      </c>
      <c r="D293" s="25" t="s">
        <v>462</v>
      </c>
      <c r="E293" s="14">
        <v>0</v>
      </c>
      <c r="F293" s="10" t="s">
        <v>888</v>
      </c>
      <c r="G293" s="10" t="s">
        <v>3762</v>
      </c>
      <c r="H293" s="33" t="s">
        <v>20</v>
      </c>
      <c r="I293" s="34" t="s">
        <v>15</v>
      </c>
      <c r="J293" s="9" t="s">
        <v>404</v>
      </c>
      <c r="K293" s="9" t="s">
        <v>905</v>
      </c>
      <c r="L293" s="9" t="s">
        <v>894</v>
      </c>
      <c r="M293" s="9" t="s">
        <v>899</v>
      </c>
      <c r="N293" s="9" t="s">
        <v>891</v>
      </c>
      <c r="O293" s="20" t="str">
        <f>"Proporción por tipo de Salida desde Casas de Acogida en "&amp;Agencia[[#This Row],[territorio]]&amp;" para el "&amp;Agencia[[#This Row],[temporalidad]]</f>
        <v>Proporción por tipo de Salida desde Casas de Acogida en Chile para el Periodo 2014-2019</v>
      </c>
      <c r="P293" s="20" t="s">
        <v>903</v>
      </c>
      <c r="Q293" s="11" t="str">
        <f t="shared" si="262"/>
        <v>Gráfico de Evolución</v>
      </c>
      <c r="R293" s="20" t="str">
        <f>Agencia[[#This Row],[territorio]]&amp;" casas acogida violencia género mujeres salidas egresos establecimiento tipo derivación deserción interrupción"</f>
        <v>Chile casas acogida violencia género mujeres salidas egresos establecimiento tipo derivación deserción interrupción</v>
      </c>
      <c r="S293" s="41" t="s">
        <v>904</v>
      </c>
      <c r="T293" s="68">
        <v>0</v>
      </c>
      <c r="U293" s="50" t="str">
        <f t="shared" si="252"/>
        <v>#1774B9</v>
      </c>
      <c r="V293" s="118" t="str">
        <f>+Agencia[[#This Row],[idcoleccion]]&amp;"-"&amp;Agencia[[#This Row],[id]]</f>
        <v>990-0282</v>
      </c>
      <c r="W293" s="118">
        <f>+VLOOKUP(Agencia[[#This Row],[Filtro URL]],Estructura!$X$4:$Y$500,2,0)</f>
        <v>99100000</v>
      </c>
      <c r="X293" s="118" t="str">
        <f>+VLOOKUP(Agencia[[#This Row],[tema]],Estructura!$A$4:$C$500,3,0)</f>
        <v>T-1039</v>
      </c>
      <c r="Y293" s="118" t="str">
        <f>+VLOOKUP(Agencia[[#This Row],[contenido]],Estructura!$E$4:$G$500,3,0)</f>
        <v>C-996</v>
      </c>
      <c r="Z293" s="118" t="str">
        <f>+VLOOKUP(Agencia[[#This Row],[Filtro Integrado]],Estructura!$I$4:$K$500,3,0)</f>
        <v>FI-993</v>
      </c>
      <c r="AA293" s="118" t="str">
        <f>+VLOOKUP(Agencia[[#This Row],[Muestra]],Estructura!$M$4:$O$500,3,0)</f>
        <v>M-1018</v>
      </c>
    </row>
    <row r="294" spans="1:27" ht="48" x14ac:dyDescent="0.3">
      <c r="A294" s="21" t="s">
        <v>731</v>
      </c>
      <c r="B294" s="24">
        <f t="shared" ref="B294:D294" si="270">+B293</f>
        <v>990</v>
      </c>
      <c r="C294" s="25" t="str">
        <f t="shared" si="270"/>
        <v>Agencia Información</v>
      </c>
      <c r="D294" s="25" t="str">
        <f t="shared" si="270"/>
        <v>Mujeres</v>
      </c>
      <c r="E294" s="14">
        <v>0</v>
      </c>
      <c r="F294" s="10" t="s">
        <v>906</v>
      </c>
      <c r="G294" s="10" t="s">
        <v>3762</v>
      </c>
      <c r="H294" s="33" t="s">
        <v>20</v>
      </c>
      <c r="I294" s="34" t="s">
        <v>15</v>
      </c>
      <c r="J294" s="9" t="s">
        <v>16</v>
      </c>
      <c r="K294" s="9" t="s">
        <v>911</v>
      </c>
      <c r="L294" s="9" t="s">
        <v>907</v>
      </c>
      <c r="M294" s="9" t="s">
        <v>908</v>
      </c>
      <c r="N294" s="9" t="s">
        <v>910</v>
      </c>
      <c r="O294" s="20" t="str">
        <f>"Evolución de las Atenciones de Salud por Violencia de Género en "&amp;Agencia[[#This Row],[territorio]]&amp;", para el "&amp;Agencia[[#This Row],[temporalidad]]</f>
        <v>Evolución de las Atenciones de Salud por Violencia de Género en Chile, para el Periodo 2010-2016</v>
      </c>
      <c r="P294" s="20"/>
      <c r="Q294" s="11" t="s">
        <v>821</v>
      </c>
      <c r="R294" s="20" t="str">
        <f>Agencia[[#This Row],[territorio]]&amp;" salud violencia género mujer urgencia atenciones médicas"</f>
        <v>Chile salud violencia género mujer urgencia atenciones médicas</v>
      </c>
      <c r="S294" s="22" t="s">
        <v>423</v>
      </c>
      <c r="T294" s="68" t="s">
        <v>855</v>
      </c>
      <c r="U294" s="50" t="str">
        <f t="shared" si="252"/>
        <v>#1774B9</v>
      </c>
      <c r="V294" s="118" t="str">
        <f>+Agencia[[#This Row],[idcoleccion]]&amp;"-"&amp;Agencia[[#This Row],[id]]</f>
        <v>990-0283</v>
      </c>
      <c r="W294" s="118">
        <f>+VLOOKUP(Agencia[[#This Row],[Filtro URL]],Estructura!$X$4:$Y$500,2,0)</f>
        <v>99100000</v>
      </c>
      <c r="X294" s="118" t="str">
        <f>+VLOOKUP(Agencia[[#This Row],[tema]],Estructura!$A$4:$C$500,3,0)</f>
        <v>T-1040</v>
      </c>
      <c r="Y294" s="118" t="str">
        <f>+VLOOKUP(Agencia[[#This Row],[contenido]],Estructura!$E$4:$G$500,3,0)</f>
        <v>C-996</v>
      </c>
      <c r="Z294" s="118" t="str">
        <f>+VLOOKUP(Agencia[[#This Row],[Filtro Integrado]],Estructura!$I$4:$K$500,3,0)</f>
        <v>FI-992</v>
      </c>
      <c r="AA294" s="118" t="str">
        <f>+VLOOKUP(Agencia[[#This Row],[Muestra]],Estructura!$M$4:$O$500,3,0)</f>
        <v>M-1019</v>
      </c>
    </row>
    <row r="295" spans="1:27" ht="57.6" x14ac:dyDescent="0.3">
      <c r="A295" s="21" t="s">
        <v>732</v>
      </c>
      <c r="B295" s="24">
        <f t="shared" ref="B295:D295" si="271">+B294</f>
        <v>990</v>
      </c>
      <c r="C295" s="25" t="str">
        <f t="shared" si="271"/>
        <v>Agencia Información</v>
      </c>
      <c r="D295" s="25" t="str">
        <f t="shared" si="271"/>
        <v>Mujeres</v>
      </c>
      <c r="E295" s="19">
        <v>1</v>
      </c>
      <c r="F295" s="10" t="s">
        <v>906</v>
      </c>
      <c r="G295" s="10" t="s">
        <v>3762</v>
      </c>
      <c r="H295" s="35" t="s">
        <v>16</v>
      </c>
      <c r="I295" s="36" t="s">
        <v>368</v>
      </c>
      <c r="J295" s="9" t="s">
        <v>404</v>
      </c>
      <c r="K295" s="9" t="str">
        <f t="shared" si="265"/>
        <v>Cantidad de atenciones por región</v>
      </c>
      <c r="L295" s="9" t="str">
        <f t="shared" si="265"/>
        <v>Periodo 2010-2016</v>
      </c>
      <c r="M295" s="9" t="str">
        <f t="shared" si="265"/>
        <v>Número de atenciones médicas</v>
      </c>
      <c r="N295" s="9" t="str">
        <f t="shared" si="265"/>
        <v>Departamento de Estadísticas e Información de la Salud (DEIS) - Ministerio de Salud</v>
      </c>
      <c r="O295" s="20" t="str">
        <f>"Evolución de las Atenciones de Salud por Violencia de Género en "&amp;Agencia[[#This Row],[territorio]]&amp;", para el "&amp;Agencia[[#This Row],[temporalidad]]</f>
        <v>Evolución de las Atenciones de Salud por Violencia de Género en Región de Tarapacá, para el Periodo 2010-2016</v>
      </c>
      <c r="P295" s="20"/>
      <c r="Q295" s="11" t="str">
        <f t="shared" si="262"/>
        <v>Gráfico de Evolución</v>
      </c>
      <c r="R295" s="20" t="str">
        <f>Agencia[[#This Row],[territorio]]&amp;" salud violencia género mujer urgencia atenciones médicas"</f>
        <v>Región de Tarapacá salud violencia género mujer urgencia atenciones médicas</v>
      </c>
      <c r="S295" s="39" t="str">
        <f>HYPERLINK("https://analytics.zoho.com/open-view/2395394000007782905?ZOHO_CRITERIA=%2227.10%22.%22Id_Regi%C3%B3n%22%20%3D%20"&amp;Agencia[[#This Row],[Filtro URL]])</f>
        <v>https://analytics.zoho.com/open-view/2395394000007782905?ZOHO_CRITERIA=%2227.10%22.%22Id_Regi%C3%B3n%22%20%3D%201</v>
      </c>
      <c r="T295" s="68" t="str">
        <f>"100-R-"&amp;Agencia[[#This Row],[Filtro URL]]</f>
        <v>100-R-1</v>
      </c>
      <c r="U295" s="50" t="str">
        <f t="shared" si="252"/>
        <v>#1774B9</v>
      </c>
      <c r="V295" s="118" t="str">
        <f>+Agencia[[#This Row],[idcoleccion]]&amp;"-"&amp;Agencia[[#This Row],[id]]</f>
        <v>990-0284</v>
      </c>
      <c r="W295" s="118">
        <f>+VLOOKUP(Agencia[[#This Row],[Filtro URL]],Estructura!$X$4:$Y$500,2,0)</f>
        <v>99200001</v>
      </c>
      <c r="X295" s="118" t="str">
        <f>+VLOOKUP(Agencia[[#This Row],[tema]],Estructura!$A$4:$C$500,3,0)</f>
        <v>T-1040</v>
      </c>
      <c r="Y295" s="118" t="str">
        <f>+VLOOKUP(Agencia[[#This Row],[contenido]],Estructura!$E$4:$G$500,3,0)</f>
        <v>C-996</v>
      </c>
      <c r="Z295" s="118" t="str">
        <f>+VLOOKUP(Agencia[[#This Row],[Filtro Integrado]],Estructura!$I$4:$K$500,3,0)</f>
        <v>FI-993</v>
      </c>
      <c r="AA295" s="118" t="str">
        <f>+VLOOKUP(Agencia[[#This Row],[Muestra]],Estructura!$M$4:$O$500,3,0)</f>
        <v>M-1019</v>
      </c>
    </row>
    <row r="296" spans="1:27" ht="57.6" x14ac:dyDescent="0.3">
      <c r="A296" s="21" t="s">
        <v>733</v>
      </c>
      <c r="B296" s="24">
        <f t="shared" ref="B296:D296" si="272">+B295</f>
        <v>990</v>
      </c>
      <c r="C296" s="25" t="str">
        <f t="shared" si="272"/>
        <v>Agencia Información</v>
      </c>
      <c r="D296" s="25" t="str">
        <f t="shared" si="272"/>
        <v>Mujeres</v>
      </c>
      <c r="E296" s="19">
        <v>2</v>
      </c>
      <c r="F296" s="10" t="s">
        <v>906</v>
      </c>
      <c r="G296" s="10" t="s">
        <v>3762</v>
      </c>
      <c r="H296" s="35" t="s">
        <v>16</v>
      </c>
      <c r="I296" s="36" t="s">
        <v>369</v>
      </c>
      <c r="J296" s="9" t="str">
        <f t="shared" si="265"/>
        <v>Ninguno</v>
      </c>
      <c r="K296" s="9" t="str">
        <f t="shared" si="265"/>
        <v>Cantidad de atenciones por región</v>
      </c>
      <c r="L296" s="9" t="str">
        <f t="shared" si="265"/>
        <v>Periodo 2010-2016</v>
      </c>
      <c r="M296" s="9" t="str">
        <f t="shared" si="265"/>
        <v>Número de atenciones médicas</v>
      </c>
      <c r="N296" s="9" t="str">
        <f t="shared" si="265"/>
        <v>Departamento de Estadísticas e Información de la Salud (DEIS) - Ministerio de Salud</v>
      </c>
      <c r="O296" s="20" t="str">
        <f>"Evolución de las Atenciones de Salud por Violencia de Género en "&amp;Agencia[[#This Row],[territorio]]&amp;", para el "&amp;Agencia[[#This Row],[temporalidad]]</f>
        <v>Evolución de las Atenciones de Salud por Violencia de Género en Región de Antofagasta, para el Periodo 2010-2016</v>
      </c>
      <c r="P296" s="20"/>
      <c r="Q296" s="11" t="str">
        <f t="shared" si="262"/>
        <v>Gráfico de Evolución</v>
      </c>
      <c r="R296" s="20" t="str">
        <f>Agencia[[#This Row],[territorio]]&amp;" salud violencia género mujer urgencia atenciones médicas"</f>
        <v>Región de Antofagasta salud violencia género mujer urgencia atenciones médicas</v>
      </c>
      <c r="S296" s="39" t="str">
        <f>HYPERLINK("https://analytics.zoho.com/open-view/2395394000007782905?ZOHO_CRITERIA=%2227.10%22.%22Id_Regi%C3%B3n%22%20%3D%20"&amp;Agencia[[#This Row],[Filtro URL]])</f>
        <v>https://analytics.zoho.com/open-view/2395394000007782905?ZOHO_CRITERIA=%2227.10%22.%22Id_Regi%C3%B3n%22%20%3D%202</v>
      </c>
      <c r="T296" s="68" t="str">
        <f>"100-R-"&amp;Agencia[[#This Row],[Filtro URL]]</f>
        <v>100-R-2</v>
      </c>
      <c r="U296" s="50" t="str">
        <f t="shared" si="252"/>
        <v>#1774B9</v>
      </c>
      <c r="V296" s="118" t="str">
        <f>+Agencia[[#This Row],[idcoleccion]]&amp;"-"&amp;Agencia[[#This Row],[id]]</f>
        <v>990-0285</v>
      </c>
      <c r="W296" s="118">
        <f>+VLOOKUP(Agencia[[#This Row],[Filtro URL]],Estructura!$X$4:$Y$500,2,0)</f>
        <v>99200002</v>
      </c>
      <c r="X296" s="118" t="str">
        <f>+VLOOKUP(Agencia[[#This Row],[tema]],Estructura!$A$4:$C$500,3,0)</f>
        <v>T-1040</v>
      </c>
      <c r="Y296" s="118" t="str">
        <f>+VLOOKUP(Agencia[[#This Row],[contenido]],Estructura!$E$4:$G$500,3,0)</f>
        <v>C-996</v>
      </c>
      <c r="Z296" s="118" t="str">
        <f>+VLOOKUP(Agencia[[#This Row],[Filtro Integrado]],Estructura!$I$4:$K$500,3,0)</f>
        <v>FI-993</v>
      </c>
      <c r="AA296" s="118" t="str">
        <f>+VLOOKUP(Agencia[[#This Row],[Muestra]],Estructura!$M$4:$O$500,3,0)</f>
        <v>M-1019</v>
      </c>
    </row>
    <row r="297" spans="1:27" ht="57.6" x14ac:dyDescent="0.3">
      <c r="A297" s="21" t="s">
        <v>734</v>
      </c>
      <c r="B297" s="24">
        <f t="shared" ref="B297:D297" si="273">+B296</f>
        <v>990</v>
      </c>
      <c r="C297" s="25" t="str">
        <f t="shared" si="273"/>
        <v>Agencia Información</v>
      </c>
      <c r="D297" s="25" t="str">
        <f t="shared" si="273"/>
        <v>Mujeres</v>
      </c>
      <c r="E297" s="19">
        <v>3</v>
      </c>
      <c r="F297" s="10" t="s">
        <v>906</v>
      </c>
      <c r="G297" s="10" t="s">
        <v>3762</v>
      </c>
      <c r="H297" s="35" t="s">
        <v>16</v>
      </c>
      <c r="I297" s="36" t="s">
        <v>370</v>
      </c>
      <c r="J297" s="9" t="str">
        <f t="shared" si="265"/>
        <v>Ninguno</v>
      </c>
      <c r="K297" s="9" t="str">
        <f t="shared" si="265"/>
        <v>Cantidad de atenciones por región</v>
      </c>
      <c r="L297" s="9" t="str">
        <f t="shared" si="265"/>
        <v>Periodo 2010-2016</v>
      </c>
      <c r="M297" s="9" t="str">
        <f t="shared" si="265"/>
        <v>Número de atenciones médicas</v>
      </c>
      <c r="N297" s="9" t="str">
        <f t="shared" si="265"/>
        <v>Departamento de Estadísticas e Información de la Salud (DEIS) - Ministerio de Salud</v>
      </c>
      <c r="O297" s="20" t="str">
        <f>"Evolución de las Atenciones de Salud por Violencia de Género en "&amp;Agencia[[#This Row],[territorio]]&amp;", para el "&amp;Agencia[[#This Row],[temporalidad]]</f>
        <v>Evolución de las Atenciones de Salud por Violencia de Género en Región de Atacama, para el Periodo 2010-2016</v>
      </c>
      <c r="P297" s="20"/>
      <c r="Q297" s="11" t="str">
        <f t="shared" si="262"/>
        <v>Gráfico de Evolución</v>
      </c>
      <c r="R297" s="20" t="str">
        <f>Agencia[[#This Row],[territorio]]&amp;" salud violencia género mujer urgencia atenciones médicas"</f>
        <v>Región de Atacama salud violencia género mujer urgencia atenciones médicas</v>
      </c>
      <c r="S297" s="39" t="str">
        <f>HYPERLINK("https://analytics.zoho.com/open-view/2395394000007782905?ZOHO_CRITERIA=%2227.10%22.%22Id_Regi%C3%B3n%22%20%3D%20"&amp;Agencia[[#This Row],[Filtro URL]])</f>
        <v>https://analytics.zoho.com/open-view/2395394000007782905?ZOHO_CRITERIA=%2227.10%22.%22Id_Regi%C3%B3n%22%20%3D%203</v>
      </c>
      <c r="T297" s="68" t="str">
        <f>"100-R-"&amp;Agencia[[#This Row],[Filtro URL]]</f>
        <v>100-R-3</v>
      </c>
      <c r="U297" s="50" t="str">
        <f t="shared" si="252"/>
        <v>#1774B9</v>
      </c>
      <c r="V297" s="118" t="str">
        <f>+Agencia[[#This Row],[idcoleccion]]&amp;"-"&amp;Agencia[[#This Row],[id]]</f>
        <v>990-0286</v>
      </c>
      <c r="W297" s="118">
        <f>+VLOOKUP(Agencia[[#This Row],[Filtro URL]],Estructura!$X$4:$Y$500,2,0)</f>
        <v>99200003</v>
      </c>
      <c r="X297" s="118" t="str">
        <f>+VLOOKUP(Agencia[[#This Row],[tema]],Estructura!$A$4:$C$500,3,0)</f>
        <v>T-1040</v>
      </c>
      <c r="Y297" s="118" t="str">
        <f>+VLOOKUP(Agencia[[#This Row],[contenido]],Estructura!$E$4:$G$500,3,0)</f>
        <v>C-996</v>
      </c>
      <c r="Z297" s="118" t="str">
        <f>+VLOOKUP(Agencia[[#This Row],[Filtro Integrado]],Estructura!$I$4:$K$500,3,0)</f>
        <v>FI-993</v>
      </c>
      <c r="AA297" s="118" t="str">
        <f>+VLOOKUP(Agencia[[#This Row],[Muestra]],Estructura!$M$4:$O$500,3,0)</f>
        <v>M-1019</v>
      </c>
    </row>
    <row r="298" spans="1:27" ht="57.6" x14ac:dyDescent="0.3">
      <c r="A298" s="21" t="s">
        <v>735</v>
      </c>
      <c r="B298" s="24">
        <f t="shared" ref="B298:D298" si="274">+B297</f>
        <v>990</v>
      </c>
      <c r="C298" s="25" t="str">
        <f t="shared" si="274"/>
        <v>Agencia Información</v>
      </c>
      <c r="D298" s="25" t="str">
        <f t="shared" si="274"/>
        <v>Mujeres</v>
      </c>
      <c r="E298" s="19">
        <v>4</v>
      </c>
      <c r="F298" s="10" t="s">
        <v>906</v>
      </c>
      <c r="G298" s="10" t="s">
        <v>3762</v>
      </c>
      <c r="H298" s="35" t="s">
        <v>16</v>
      </c>
      <c r="I298" s="36" t="s">
        <v>371</v>
      </c>
      <c r="J298" s="9" t="str">
        <f t="shared" si="265"/>
        <v>Ninguno</v>
      </c>
      <c r="K298" s="9" t="str">
        <f t="shared" si="265"/>
        <v>Cantidad de atenciones por región</v>
      </c>
      <c r="L298" s="9" t="str">
        <f t="shared" si="265"/>
        <v>Periodo 2010-2016</v>
      </c>
      <c r="M298" s="9" t="str">
        <f t="shared" si="265"/>
        <v>Número de atenciones médicas</v>
      </c>
      <c r="N298" s="9" t="str">
        <f t="shared" si="265"/>
        <v>Departamento de Estadísticas e Información de la Salud (DEIS) - Ministerio de Salud</v>
      </c>
      <c r="O298" s="20" t="str">
        <f>"Evolución de las Atenciones de Salud por Violencia de Género en "&amp;Agencia[[#This Row],[territorio]]&amp;", para el "&amp;Agencia[[#This Row],[temporalidad]]</f>
        <v>Evolución de las Atenciones de Salud por Violencia de Género en Región de Coquimbo, para el Periodo 2010-2016</v>
      </c>
      <c r="P298" s="20"/>
      <c r="Q298" s="11" t="str">
        <f t="shared" si="262"/>
        <v>Gráfico de Evolución</v>
      </c>
      <c r="R298" s="20" t="str">
        <f>Agencia[[#This Row],[territorio]]&amp;" salud violencia género mujer urgencia atenciones médicas"</f>
        <v>Región de Coquimbo salud violencia género mujer urgencia atenciones médicas</v>
      </c>
      <c r="S298" s="39" t="str">
        <f>HYPERLINK("https://analytics.zoho.com/open-view/2395394000007782905?ZOHO_CRITERIA=%2227.10%22.%22Id_Regi%C3%B3n%22%20%3D%20"&amp;Agencia[[#This Row],[Filtro URL]])</f>
        <v>https://analytics.zoho.com/open-view/2395394000007782905?ZOHO_CRITERIA=%2227.10%22.%22Id_Regi%C3%B3n%22%20%3D%204</v>
      </c>
      <c r="T298" s="68" t="str">
        <f>"100-R-"&amp;Agencia[[#This Row],[Filtro URL]]</f>
        <v>100-R-4</v>
      </c>
      <c r="U298" s="50" t="str">
        <f t="shared" si="252"/>
        <v>#1774B9</v>
      </c>
      <c r="V298" s="118" t="str">
        <f>+Agencia[[#This Row],[idcoleccion]]&amp;"-"&amp;Agencia[[#This Row],[id]]</f>
        <v>990-0287</v>
      </c>
      <c r="W298" s="118">
        <f>+VLOOKUP(Agencia[[#This Row],[Filtro URL]],Estructura!$X$4:$Y$500,2,0)</f>
        <v>99200004</v>
      </c>
      <c r="X298" s="118" t="str">
        <f>+VLOOKUP(Agencia[[#This Row],[tema]],Estructura!$A$4:$C$500,3,0)</f>
        <v>T-1040</v>
      </c>
      <c r="Y298" s="118" t="str">
        <f>+VLOOKUP(Agencia[[#This Row],[contenido]],Estructura!$E$4:$G$500,3,0)</f>
        <v>C-996</v>
      </c>
      <c r="Z298" s="118" t="str">
        <f>+VLOOKUP(Agencia[[#This Row],[Filtro Integrado]],Estructura!$I$4:$K$500,3,0)</f>
        <v>FI-993</v>
      </c>
      <c r="AA298" s="118" t="str">
        <f>+VLOOKUP(Agencia[[#This Row],[Muestra]],Estructura!$M$4:$O$500,3,0)</f>
        <v>M-1019</v>
      </c>
    </row>
    <row r="299" spans="1:27" ht="57.6" x14ac:dyDescent="0.3">
      <c r="A299" s="21" t="s">
        <v>736</v>
      </c>
      <c r="B299" s="24">
        <f t="shared" ref="B299:D299" si="275">+B298</f>
        <v>990</v>
      </c>
      <c r="C299" s="25" t="str">
        <f t="shared" si="275"/>
        <v>Agencia Información</v>
      </c>
      <c r="D299" s="25" t="str">
        <f t="shared" si="275"/>
        <v>Mujeres</v>
      </c>
      <c r="E299" s="19">
        <v>5</v>
      </c>
      <c r="F299" s="10" t="s">
        <v>906</v>
      </c>
      <c r="G299" s="10" t="s">
        <v>3762</v>
      </c>
      <c r="H299" s="35" t="s">
        <v>16</v>
      </c>
      <c r="I299" s="36" t="s">
        <v>372</v>
      </c>
      <c r="J299" s="9" t="str">
        <f t="shared" si="265"/>
        <v>Ninguno</v>
      </c>
      <c r="K299" s="9" t="str">
        <f t="shared" si="265"/>
        <v>Cantidad de atenciones por región</v>
      </c>
      <c r="L299" s="9" t="str">
        <f t="shared" si="265"/>
        <v>Periodo 2010-2016</v>
      </c>
      <c r="M299" s="9" t="str">
        <f t="shared" si="265"/>
        <v>Número de atenciones médicas</v>
      </c>
      <c r="N299" s="9" t="str">
        <f t="shared" si="265"/>
        <v>Departamento de Estadísticas e Información de la Salud (DEIS) - Ministerio de Salud</v>
      </c>
      <c r="O299" s="20" t="str">
        <f>"Evolución de las Atenciones de Salud por Violencia de Género en "&amp;Agencia[[#This Row],[territorio]]&amp;", para el "&amp;Agencia[[#This Row],[temporalidad]]</f>
        <v>Evolución de las Atenciones de Salud por Violencia de Género en Región de Valparaíso, para el Periodo 2010-2016</v>
      </c>
      <c r="P299" s="20"/>
      <c r="Q299" s="11" t="str">
        <f t="shared" si="262"/>
        <v>Gráfico de Evolución</v>
      </c>
      <c r="R299" s="20" t="str">
        <f>Agencia[[#This Row],[territorio]]&amp;" salud violencia género mujer urgencia atenciones médicas"</f>
        <v>Región de Valparaíso salud violencia género mujer urgencia atenciones médicas</v>
      </c>
      <c r="S299" s="39" t="str">
        <f>HYPERLINK("https://analytics.zoho.com/open-view/2395394000007782905?ZOHO_CRITERIA=%2227.10%22.%22Id_Regi%C3%B3n%22%20%3D%20"&amp;Agencia[[#This Row],[Filtro URL]])</f>
        <v>https://analytics.zoho.com/open-view/2395394000007782905?ZOHO_CRITERIA=%2227.10%22.%22Id_Regi%C3%B3n%22%20%3D%205</v>
      </c>
      <c r="T299" s="68" t="str">
        <f>"100-R-"&amp;Agencia[[#This Row],[Filtro URL]]</f>
        <v>100-R-5</v>
      </c>
      <c r="U299" s="50" t="str">
        <f t="shared" si="252"/>
        <v>#1774B9</v>
      </c>
      <c r="V299" s="118" t="str">
        <f>+Agencia[[#This Row],[idcoleccion]]&amp;"-"&amp;Agencia[[#This Row],[id]]</f>
        <v>990-0288</v>
      </c>
      <c r="W299" s="118">
        <f>+VLOOKUP(Agencia[[#This Row],[Filtro URL]],Estructura!$X$4:$Y$500,2,0)</f>
        <v>99200005</v>
      </c>
      <c r="X299" s="118" t="str">
        <f>+VLOOKUP(Agencia[[#This Row],[tema]],Estructura!$A$4:$C$500,3,0)</f>
        <v>T-1040</v>
      </c>
      <c r="Y299" s="118" t="str">
        <f>+VLOOKUP(Agencia[[#This Row],[contenido]],Estructura!$E$4:$G$500,3,0)</f>
        <v>C-996</v>
      </c>
      <c r="Z299" s="118" t="str">
        <f>+VLOOKUP(Agencia[[#This Row],[Filtro Integrado]],Estructura!$I$4:$K$500,3,0)</f>
        <v>FI-993</v>
      </c>
      <c r="AA299" s="118" t="str">
        <f>+VLOOKUP(Agencia[[#This Row],[Muestra]],Estructura!$M$4:$O$500,3,0)</f>
        <v>M-1019</v>
      </c>
    </row>
    <row r="300" spans="1:27" ht="57.6" x14ac:dyDescent="0.3">
      <c r="A300" s="21" t="s">
        <v>737</v>
      </c>
      <c r="B300" s="24">
        <f t="shared" ref="B300:D300" si="276">+B299</f>
        <v>990</v>
      </c>
      <c r="C300" s="25" t="str">
        <f t="shared" si="276"/>
        <v>Agencia Información</v>
      </c>
      <c r="D300" s="25" t="str">
        <f t="shared" si="276"/>
        <v>Mujeres</v>
      </c>
      <c r="E300" s="19">
        <v>6</v>
      </c>
      <c r="F300" s="10" t="s">
        <v>906</v>
      </c>
      <c r="G300" s="10" t="s">
        <v>3762</v>
      </c>
      <c r="H300" s="35" t="s">
        <v>16</v>
      </c>
      <c r="I300" s="36" t="s">
        <v>373</v>
      </c>
      <c r="J300" s="9" t="str">
        <f t="shared" si="265"/>
        <v>Ninguno</v>
      </c>
      <c r="K300" s="9" t="str">
        <f t="shared" si="265"/>
        <v>Cantidad de atenciones por región</v>
      </c>
      <c r="L300" s="9" t="str">
        <f t="shared" si="265"/>
        <v>Periodo 2010-2016</v>
      </c>
      <c r="M300" s="9" t="str">
        <f t="shared" si="265"/>
        <v>Número de atenciones médicas</v>
      </c>
      <c r="N300" s="9" t="str">
        <f t="shared" si="265"/>
        <v>Departamento de Estadísticas e Información de la Salud (DEIS) - Ministerio de Salud</v>
      </c>
      <c r="O300" s="20" t="str">
        <f>"Evolución de las Atenciones de Salud por Violencia de Género en "&amp;Agencia[[#This Row],[territorio]]&amp;", para el "&amp;Agencia[[#This Row],[temporalidad]]</f>
        <v>Evolución de las Atenciones de Salud por Violencia de Género en Región de O'Higgins, para el Periodo 2010-2016</v>
      </c>
      <c r="P300" s="20"/>
      <c r="Q300" s="11" t="str">
        <f t="shared" si="262"/>
        <v>Gráfico de Evolución</v>
      </c>
      <c r="R300" s="20" t="str">
        <f>Agencia[[#This Row],[territorio]]&amp;" salud violencia género mujer urgencia atenciones médicas"</f>
        <v>Región de O'Higgins salud violencia género mujer urgencia atenciones médicas</v>
      </c>
      <c r="S300" s="39" t="str">
        <f>HYPERLINK("https://analytics.zoho.com/open-view/2395394000007782905?ZOHO_CRITERIA=%2227.10%22.%22Id_Regi%C3%B3n%22%20%3D%20"&amp;Agencia[[#This Row],[Filtro URL]])</f>
        <v>https://analytics.zoho.com/open-view/2395394000007782905?ZOHO_CRITERIA=%2227.10%22.%22Id_Regi%C3%B3n%22%20%3D%206</v>
      </c>
      <c r="T300" s="68" t="str">
        <f>"100-R-"&amp;Agencia[[#This Row],[Filtro URL]]</f>
        <v>100-R-6</v>
      </c>
      <c r="U300" s="50" t="str">
        <f t="shared" si="252"/>
        <v>#1774B9</v>
      </c>
      <c r="V300" s="118" t="str">
        <f>+Agencia[[#This Row],[idcoleccion]]&amp;"-"&amp;Agencia[[#This Row],[id]]</f>
        <v>990-0289</v>
      </c>
      <c r="W300" s="118">
        <f>+VLOOKUP(Agencia[[#This Row],[Filtro URL]],Estructura!$X$4:$Y$500,2,0)</f>
        <v>99200006</v>
      </c>
      <c r="X300" s="118" t="str">
        <f>+VLOOKUP(Agencia[[#This Row],[tema]],Estructura!$A$4:$C$500,3,0)</f>
        <v>T-1040</v>
      </c>
      <c r="Y300" s="118" t="str">
        <f>+VLOOKUP(Agencia[[#This Row],[contenido]],Estructura!$E$4:$G$500,3,0)</f>
        <v>C-996</v>
      </c>
      <c r="Z300" s="118" t="str">
        <f>+VLOOKUP(Agencia[[#This Row],[Filtro Integrado]],Estructura!$I$4:$K$500,3,0)</f>
        <v>FI-993</v>
      </c>
      <c r="AA300" s="118" t="str">
        <f>+VLOOKUP(Agencia[[#This Row],[Muestra]],Estructura!$M$4:$O$500,3,0)</f>
        <v>M-1019</v>
      </c>
    </row>
    <row r="301" spans="1:27" ht="57.6" x14ac:dyDescent="0.3">
      <c r="A301" s="21" t="s">
        <v>738</v>
      </c>
      <c r="B301" s="24">
        <f t="shared" ref="B301:D301" si="277">+B300</f>
        <v>990</v>
      </c>
      <c r="C301" s="25" t="str">
        <f t="shared" si="277"/>
        <v>Agencia Información</v>
      </c>
      <c r="D301" s="25" t="str">
        <f t="shared" si="277"/>
        <v>Mujeres</v>
      </c>
      <c r="E301" s="19">
        <v>7</v>
      </c>
      <c r="F301" s="10" t="s">
        <v>906</v>
      </c>
      <c r="G301" s="10" t="s">
        <v>3762</v>
      </c>
      <c r="H301" s="35" t="s">
        <v>16</v>
      </c>
      <c r="I301" s="36" t="s">
        <v>374</v>
      </c>
      <c r="J301" s="9" t="str">
        <f t="shared" si="265"/>
        <v>Ninguno</v>
      </c>
      <c r="K301" s="9" t="str">
        <f t="shared" si="265"/>
        <v>Cantidad de atenciones por región</v>
      </c>
      <c r="L301" s="9" t="str">
        <f t="shared" si="265"/>
        <v>Periodo 2010-2016</v>
      </c>
      <c r="M301" s="9" t="str">
        <f t="shared" si="265"/>
        <v>Número de atenciones médicas</v>
      </c>
      <c r="N301" s="9" t="str">
        <f t="shared" si="265"/>
        <v>Departamento de Estadísticas e Información de la Salud (DEIS) - Ministerio de Salud</v>
      </c>
      <c r="O301" s="20" t="str">
        <f>"Evolución de las Atenciones de Salud por Violencia de Género en "&amp;Agencia[[#This Row],[territorio]]&amp;", para el "&amp;Agencia[[#This Row],[temporalidad]]</f>
        <v>Evolución de las Atenciones de Salud por Violencia de Género en Región de Maule, para el Periodo 2010-2016</v>
      </c>
      <c r="P301" s="20"/>
      <c r="Q301" s="11" t="str">
        <f t="shared" si="262"/>
        <v>Gráfico de Evolución</v>
      </c>
      <c r="R301" s="20" t="str">
        <f>Agencia[[#This Row],[territorio]]&amp;" salud violencia género mujer urgencia atenciones médicas"</f>
        <v>Región de Maule salud violencia género mujer urgencia atenciones médicas</v>
      </c>
      <c r="S301" s="39" t="str">
        <f>HYPERLINK("https://analytics.zoho.com/open-view/2395394000007782905?ZOHO_CRITERIA=%2227.10%22.%22Id_Regi%C3%B3n%22%20%3D%20"&amp;Agencia[[#This Row],[Filtro URL]])</f>
        <v>https://analytics.zoho.com/open-view/2395394000007782905?ZOHO_CRITERIA=%2227.10%22.%22Id_Regi%C3%B3n%22%20%3D%207</v>
      </c>
      <c r="T301" s="68" t="str">
        <f>"100-R-"&amp;Agencia[[#This Row],[Filtro URL]]</f>
        <v>100-R-7</v>
      </c>
      <c r="U301" s="50" t="str">
        <f t="shared" si="252"/>
        <v>#1774B9</v>
      </c>
      <c r="V301" s="118" t="str">
        <f>+Agencia[[#This Row],[idcoleccion]]&amp;"-"&amp;Agencia[[#This Row],[id]]</f>
        <v>990-0290</v>
      </c>
      <c r="W301" s="118">
        <f>+VLOOKUP(Agencia[[#This Row],[Filtro URL]],Estructura!$X$4:$Y$500,2,0)</f>
        <v>99200007</v>
      </c>
      <c r="X301" s="118" t="str">
        <f>+VLOOKUP(Agencia[[#This Row],[tema]],Estructura!$A$4:$C$500,3,0)</f>
        <v>T-1040</v>
      </c>
      <c r="Y301" s="118" t="str">
        <f>+VLOOKUP(Agencia[[#This Row],[contenido]],Estructura!$E$4:$G$500,3,0)</f>
        <v>C-996</v>
      </c>
      <c r="Z301" s="118" t="str">
        <f>+VLOOKUP(Agencia[[#This Row],[Filtro Integrado]],Estructura!$I$4:$K$500,3,0)</f>
        <v>FI-993</v>
      </c>
      <c r="AA301" s="118" t="str">
        <f>+VLOOKUP(Agencia[[#This Row],[Muestra]],Estructura!$M$4:$O$500,3,0)</f>
        <v>M-1019</v>
      </c>
    </row>
    <row r="302" spans="1:27" ht="57.6" x14ac:dyDescent="0.3">
      <c r="A302" s="21" t="s">
        <v>739</v>
      </c>
      <c r="B302" s="24">
        <f t="shared" ref="B302:D302" si="278">+B301</f>
        <v>990</v>
      </c>
      <c r="C302" s="25" t="str">
        <f t="shared" si="278"/>
        <v>Agencia Información</v>
      </c>
      <c r="D302" s="25" t="str">
        <f t="shared" si="278"/>
        <v>Mujeres</v>
      </c>
      <c r="E302" s="19">
        <v>8</v>
      </c>
      <c r="F302" s="10" t="s">
        <v>906</v>
      </c>
      <c r="G302" s="10" t="s">
        <v>3762</v>
      </c>
      <c r="H302" s="35" t="s">
        <v>16</v>
      </c>
      <c r="I302" s="36" t="s">
        <v>375</v>
      </c>
      <c r="J302" s="9" t="str">
        <f t="shared" si="265"/>
        <v>Ninguno</v>
      </c>
      <c r="K302" s="9" t="str">
        <f t="shared" si="265"/>
        <v>Cantidad de atenciones por región</v>
      </c>
      <c r="L302" s="9" t="str">
        <f t="shared" si="265"/>
        <v>Periodo 2010-2016</v>
      </c>
      <c r="M302" s="9" t="str">
        <f t="shared" si="265"/>
        <v>Número de atenciones médicas</v>
      </c>
      <c r="N302" s="9" t="str">
        <f t="shared" si="265"/>
        <v>Departamento de Estadísticas e Información de la Salud (DEIS) - Ministerio de Salud</v>
      </c>
      <c r="O302" s="20" t="str">
        <f>"Evolución de las Atenciones de Salud por Violencia de Género en "&amp;Agencia[[#This Row],[territorio]]&amp;", para el "&amp;Agencia[[#This Row],[temporalidad]]</f>
        <v>Evolución de las Atenciones de Salud por Violencia de Género en Región del Biobío, para el Periodo 2010-2016</v>
      </c>
      <c r="P302" s="20"/>
      <c r="Q302" s="11" t="str">
        <f t="shared" si="262"/>
        <v>Gráfico de Evolución</v>
      </c>
      <c r="R302" s="20" t="str">
        <f>Agencia[[#This Row],[territorio]]&amp;" salud violencia género mujer urgencia atenciones médicas"</f>
        <v>Región del Biobío salud violencia género mujer urgencia atenciones médicas</v>
      </c>
      <c r="S302" s="39" t="str">
        <f>HYPERLINK("https://analytics.zoho.com/open-view/2395394000007782905?ZOHO_CRITERIA=%2227.10%22.%22Id_Regi%C3%B3n%22%20%3D%20"&amp;Agencia[[#This Row],[Filtro URL]])</f>
        <v>https://analytics.zoho.com/open-view/2395394000007782905?ZOHO_CRITERIA=%2227.10%22.%22Id_Regi%C3%B3n%22%20%3D%208</v>
      </c>
      <c r="T302" s="68" t="str">
        <f>"100-R-"&amp;Agencia[[#This Row],[Filtro URL]]</f>
        <v>100-R-8</v>
      </c>
      <c r="U302" s="50" t="str">
        <f t="shared" si="252"/>
        <v>#1774B9</v>
      </c>
      <c r="V302" s="118" t="str">
        <f>+Agencia[[#This Row],[idcoleccion]]&amp;"-"&amp;Agencia[[#This Row],[id]]</f>
        <v>990-0291</v>
      </c>
      <c r="W302" s="118">
        <f>+VLOOKUP(Agencia[[#This Row],[Filtro URL]],Estructura!$X$4:$Y$500,2,0)</f>
        <v>99200008</v>
      </c>
      <c r="X302" s="118" t="str">
        <f>+VLOOKUP(Agencia[[#This Row],[tema]],Estructura!$A$4:$C$500,3,0)</f>
        <v>T-1040</v>
      </c>
      <c r="Y302" s="118" t="str">
        <f>+VLOOKUP(Agencia[[#This Row],[contenido]],Estructura!$E$4:$G$500,3,0)</f>
        <v>C-996</v>
      </c>
      <c r="Z302" s="118" t="str">
        <f>+VLOOKUP(Agencia[[#This Row],[Filtro Integrado]],Estructura!$I$4:$K$500,3,0)</f>
        <v>FI-993</v>
      </c>
      <c r="AA302" s="118" t="str">
        <f>+VLOOKUP(Agencia[[#This Row],[Muestra]],Estructura!$M$4:$O$500,3,0)</f>
        <v>M-1019</v>
      </c>
    </row>
    <row r="303" spans="1:27" ht="57.6" x14ac:dyDescent="0.3">
      <c r="A303" s="21" t="s">
        <v>740</v>
      </c>
      <c r="B303" s="24">
        <f t="shared" ref="B303:D303" si="279">+B302</f>
        <v>990</v>
      </c>
      <c r="C303" s="25" t="str">
        <f t="shared" si="279"/>
        <v>Agencia Información</v>
      </c>
      <c r="D303" s="25" t="str">
        <f t="shared" si="279"/>
        <v>Mujeres</v>
      </c>
      <c r="E303" s="19">
        <v>9</v>
      </c>
      <c r="F303" s="10" t="s">
        <v>906</v>
      </c>
      <c r="G303" s="10" t="s">
        <v>3762</v>
      </c>
      <c r="H303" s="35" t="s">
        <v>16</v>
      </c>
      <c r="I303" s="36" t="s">
        <v>376</v>
      </c>
      <c r="J303" s="9" t="str">
        <f t="shared" si="265"/>
        <v>Ninguno</v>
      </c>
      <c r="K303" s="9" t="str">
        <f t="shared" si="265"/>
        <v>Cantidad de atenciones por región</v>
      </c>
      <c r="L303" s="9" t="str">
        <f t="shared" si="265"/>
        <v>Periodo 2010-2016</v>
      </c>
      <c r="M303" s="9" t="str">
        <f t="shared" si="265"/>
        <v>Número de atenciones médicas</v>
      </c>
      <c r="N303" s="9" t="str">
        <f t="shared" si="265"/>
        <v>Departamento de Estadísticas e Información de la Salud (DEIS) - Ministerio de Salud</v>
      </c>
      <c r="O303" s="20" t="str">
        <f>"Evolución de las Atenciones de Salud por Violencia de Género en "&amp;Agencia[[#This Row],[territorio]]&amp;", para el "&amp;Agencia[[#This Row],[temporalidad]]</f>
        <v>Evolución de las Atenciones de Salud por Violencia de Género en Región de La Araucanía, para el Periodo 2010-2016</v>
      </c>
      <c r="P303" s="20"/>
      <c r="Q303" s="11" t="str">
        <f t="shared" si="262"/>
        <v>Gráfico de Evolución</v>
      </c>
      <c r="R303" s="20" t="str">
        <f>Agencia[[#This Row],[territorio]]&amp;" salud violencia género mujer urgencia atenciones médicas"</f>
        <v>Región de La Araucanía salud violencia género mujer urgencia atenciones médicas</v>
      </c>
      <c r="S303" s="39" t="str">
        <f>HYPERLINK("https://analytics.zoho.com/open-view/2395394000007782905?ZOHO_CRITERIA=%2227.10%22.%22Id_Regi%C3%B3n%22%20%3D%20"&amp;Agencia[[#This Row],[Filtro URL]])</f>
        <v>https://analytics.zoho.com/open-view/2395394000007782905?ZOHO_CRITERIA=%2227.10%22.%22Id_Regi%C3%B3n%22%20%3D%209</v>
      </c>
      <c r="T303" s="68" t="str">
        <f>"100-R-"&amp;Agencia[[#This Row],[Filtro URL]]</f>
        <v>100-R-9</v>
      </c>
      <c r="U303" s="50" t="str">
        <f t="shared" si="252"/>
        <v>#1774B9</v>
      </c>
      <c r="V303" s="118" t="str">
        <f>+Agencia[[#This Row],[idcoleccion]]&amp;"-"&amp;Agencia[[#This Row],[id]]</f>
        <v>990-0292</v>
      </c>
      <c r="W303" s="118">
        <f>+VLOOKUP(Agencia[[#This Row],[Filtro URL]],Estructura!$X$4:$Y$500,2,0)</f>
        <v>99200009</v>
      </c>
      <c r="X303" s="118" t="str">
        <f>+VLOOKUP(Agencia[[#This Row],[tema]],Estructura!$A$4:$C$500,3,0)</f>
        <v>T-1040</v>
      </c>
      <c r="Y303" s="118" t="str">
        <f>+VLOOKUP(Agencia[[#This Row],[contenido]],Estructura!$E$4:$G$500,3,0)</f>
        <v>C-996</v>
      </c>
      <c r="Z303" s="118" t="str">
        <f>+VLOOKUP(Agencia[[#This Row],[Filtro Integrado]],Estructura!$I$4:$K$500,3,0)</f>
        <v>FI-993</v>
      </c>
      <c r="AA303" s="118" t="str">
        <f>+VLOOKUP(Agencia[[#This Row],[Muestra]],Estructura!$M$4:$O$500,3,0)</f>
        <v>M-1019</v>
      </c>
    </row>
    <row r="304" spans="1:27" ht="57.6" x14ac:dyDescent="0.3">
      <c r="A304" s="21" t="s">
        <v>741</v>
      </c>
      <c r="B304" s="24">
        <f t="shared" ref="B304:D304" si="280">+B303</f>
        <v>990</v>
      </c>
      <c r="C304" s="25" t="str">
        <f t="shared" si="280"/>
        <v>Agencia Información</v>
      </c>
      <c r="D304" s="25" t="str">
        <f t="shared" si="280"/>
        <v>Mujeres</v>
      </c>
      <c r="E304" s="19">
        <v>10</v>
      </c>
      <c r="F304" s="10" t="s">
        <v>906</v>
      </c>
      <c r="G304" s="10" t="s">
        <v>3762</v>
      </c>
      <c r="H304" s="35" t="s">
        <v>16</v>
      </c>
      <c r="I304" s="36" t="s">
        <v>377</v>
      </c>
      <c r="J304" s="9" t="str">
        <f t="shared" si="265"/>
        <v>Ninguno</v>
      </c>
      <c r="K304" s="9" t="str">
        <f t="shared" si="265"/>
        <v>Cantidad de atenciones por región</v>
      </c>
      <c r="L304" s="9" t="str">
        <f t="shared" si="265"/>
        <v>Periodo 2010-2016</v>
      </c>
      <c r="M304" s="9" t="str">
        <f t="shared" si="265"/>
        <v>Número de atenciones médicas</v>
      </c>
      <c r="N304" s="9" t="str">
        <f t="shared" si="265"/>
        <v>Departamento de Estadísticas e Información de la Salud (DEIS) - Ministerio de Salud</v>
      </c>
      <c r="O304" s="20" t="str">
        <f>"Evolución de las Atenciones de Salud por Violencia de Género en "&amp;Agencia[[#This Row],[territorio]]&amp;", para el "&amp;Agencia[[#This Row],[temporalidad]]</f>
        <v>Evolución de las Atenciones de Salud por Violencia de Género en Región de Los Lagos, para el Periodo 2010-2016</v>
      </c>
      <c r="P304" s="20"/>
      <c r="Q304" s="11" t="str">
        <f t="shared" si="262"/>
        <v>Gráfico de Evolución</v>
      </c>
      <c r="R304" s="20" t="str">
        <f>Agencia[[#This Row],[territorio]]&amp;" salud violencia género mujer urgencia atenciones médicas"</f>
        <v>Región de Los Lagos salud violencia género mujer urgencia atenciones médicas</v>
      </c>
      <c r="S304" s="39" t="str">
        <f>HYPERLINK("https://analytics.zoho.com/open-view/2395394000007782905?ZOHO_CRITERIA=%2227.10%22.%22Id_Regi%C3%B3n%22%20%3D%20"&amp;Agencia[[#This Row],[Filtro URL]])</f>
        <v>https://analytics.zoho.com/open-view/2395394000007782905?ZOHO_CRITERIA=%2227.10%22.%22Id_Regi%C3%B3n%22%20%3D%2010</v>
      </c>
      <c r="T304" s="68" t="str">
        <f>"100-R-"&amp;Agencia[[#This Row],[Filtro URL]]</f>
        <v>100-R-10</v>
      </c>
      <c r="U304" s="50" t="str">
        <f t="shared" si="252"/>
        <v>#1774B9</v>
      </c>
      <c r="V304" s="118" t="str">
        <f>+Agencia[[#This Row],[idcoleccion]]&amp;"-"&amp;Agencia[[#This Row],[id]]</f>
        <v>990-0293</v>
      </c>
      <c r="W304" s="118">
        <f>+VLOOKUP(Agencia[[#This Row],[Filtro URL]],Estructura!$X$4:$Y$500,2,0)</f>
        <v>99200010</v>
      </c>
      <c r="X304" s="118" t="str">
        <f>+VLOOKUP(Agencia[[#This Row],[tema]],Estructura!$A$4:$C$500,3,0)</f>
        <v>T-1040</v>
      </c>
      <c r="Y304" s="118" t="str">
        <f>+VLOOKUP(Agencia[[#This Row],[contenido]],Estructura!$E$4:$G$500,3,0)</f>
        <v>C-996</v>
      </c>
      <c r="Z304" s="118" t="str">
        <f>+VLOOKUP(Agencia[[#This Row],[Filtro Integrado]],Estructura!$I$4:$K$500,3,0)</f>
        <v>FI-993</v>
      </c>
      <c r="AA304" s="118" t="str">
        <f>+VLOOKUP(Agencia[[#This Row],[Muestra]],Estructura!$M$4:$O$500,3,0)</f>
        <v>M-1019</v>
      </c>
    </row>
    <row r="305" spans="1:27" ht="57.6" x14ac:dyDescent="0.3">
      <c r="A305" s="21" t="s">
        <v>742</v>
      </c>
      <c r="B305" s="24">
        <f t="shared" ref="B305:D305" si="281">+B304</f>
        <v>990</v>
      </c>
      <c r="C305" s="25" t="str">
        <f t="shared" si="281"/>
        <v>Agencia Información</v>
      </c>
      <c r="D305" s="25" t="str">
        <f t="shared" si="281"/>
        <v>Mujeres</v>
      </c>
      <c r="E305" s="19">
        <v>11</v>
      </c>
      <c r="F305" s="10" t="s">
        <v>906</v>
      </c>
      <c r="G305" s="10" t="s">
        <v>3762</v>
      </c>
      <c r="H305" s="35" t="s">
        <v>16</v>
      </c>
      <c r="I305" s="36" t="s">
        <v>378</v>
      </c>
      <c r="J305" s="9" t="str">
        <f t="shared" ref="J305:N320" si="282">+J304</f>
        <v>Ninguno</v>
      </c>
      <c r="K305" s="9" t="str">
        <f t="shared" si="282"/>
        <v>Cantidad de atenciones por región</v>
      </c>
      <c r="L305" s="9" t="str">
        <f t="shared" si="282"/>
        <v>Periodo 2010-2016</v>
      </c>
      <c r="M305" s="9" t="str">
        <f t="shared" si="282"/>
        <v>Número de atenciones médicas</v>
      </c>
      <c r="N305" s="9" t="str">
        <f t="shared" si="282"/>
        <v>Departamento de Estadísticas e Información de la Salud (DEIS) - Ministerio de Salud</v>
      </c>
      <c r="O305" s="20" t="str">
        <f>"Evolución de las Atenciones de Salud por Violencia de Género en "&amp;Agencia[[#This Row],[territorio]]&amp;", para el "&amp;Agencia[[#This Row],[temporalidad]]</f>
        <v>Evolución de las Atenciones de Salud por Violencia de Género en Región de Aysén, para el Periodo 2010-2016</v>
      </c>
      <c r="P305" s="20"/>
      <c r="Q305" s="11" t="str">
        <f t="shared" si="262"/>
        <v>Gráfico de Evolución</v>
      </c>
      <c r="R305" s="20" t="str">
        <f>Agencia[[#This Row],[territorio]]&amp;" salud violencia género mujer urgencia atenciones médicas"</f>
        <v>Región de Aysén salud violencia género mujer urgencia atenciones médicas</v>
      </c>
      <c r="S305" s="39" t="str">
        <f>HYPERLINK("https://analytics.zoho.com/open-view/2395394000007782905?ZOHO_CRITERIA=%2227.10%22.%22Id_Regi%C3%B3n%22%20%3D%20"&amp;Agencia[[#This Row],[Filtro URL]])</f>
        <v>https://analytics.zoho.com/open-view/2395394000007782905?ZOHO_CRITERIA=%2227.10%22.%22Id_Regi%C3%B3n%22%20%3D%2011</v>
      </c>
      <c r="T305" s="68" t="str">
        <f>"100-R-"&amp;Agencia[[#This Row],[Filtro URL]]</f>
        <v>100-R-11</v>
      </c>
      <c r="U305" s="50" t="str">
        <f t="shared" si="252"/>
        <v>#1774B9</v>
      </c>
      <c r="V305" s="118" t="str">
        <f>+Agencia[[#This Row],[idcoleccion]]&amp;"-"&amp;Agencia[[#This Row],[id]]</f>
        <v>990-0294</v>
      </c>
      <c r="W305" s="118">
        <f>+VLOOKUP(Agencia[[#This Row],[Filtro URL]],Estructura!$X$4:$Y$500,2,0)</f>
        <v>99200011</v>
      </c>
      <c r="X305" s="118" t="str">
        <f>+VLOOKUP(Agencia[[#This Row],[tema]],Estructura!$A$4:$C$500,3,0)</f>
        <v>T-1040</v>
      </c>
      <c r="Y305" s="118" t="str">
        <f>+VLOOKUP(Agencia[[#This Row],[contenido]],Estructura!$E$4:$G$500,3,0)</f>
        <v>C-996</v>
      </c>
      <c r="Z305" s="118" t="str">
        <f>+VLOOKUP(Agencia[[#This Row],[Filtro Integrado]],Estructura!$I$4:$K$500,3,0)</f>
        <v>FI-993</v>
      </c>
      <c r="AA305" s="118" t="str">
        <f>+VLOOKUP(Agencia[[#This Row],[Muestra]],Estructura!$M$4:$O$500,3,0)</f>
        <v>M-1019</v>
      </c>
    </row>
    <row r="306" spans="1:27" ht="57.6" x14ac:dyDescent="0.3">
      <c r="A306" s="21" t="s">
        <v>743</v>
      </c>
      <c r="B306" s="24">
        <f t="shared" ref="B306:D306" si="283">+B305</f>
        <v>990</v>
      </c>
      <c r="C306" s="25" t="str">
        <f t="shared" si="283"/>
        <v>Agencia Información</v>
      </c>
      <c r="D306" s="25" t="str">
        <f t="shared" si="283"/>
        <v>Mujeres</v>
      </c>
      <c r="E306" s="19">
        <v>12</v>
      </c>
      <c r="F306" s="10" t="s">
        <v>906</v>
      </c>
      <c r="G306" s="10" t="s">
        <v>3762</v>
      </c>
      <c r="H306" s="35" t="s">
        <v>16</v>
      </c>
      <c r="I306" s="36" t="s">
        <v>379</v>
      </c>
      <c r="J306" s="9" t="str">
        <f t="shared" si="282"/>
        <v>Ninguno</v>
      </c>
      <c r="K306" s="9" t="str">
        <f t="shared" si="282"/>
        <v>Cantidad de atenciones por región</v>
      </c>
      <c r="L306" s="9" t="str">
        <f t="shared" si="282"/>
        <v>Periodo 2010-2016</v>
      </c>
      <c r="M306" s="9" t="str">
        <f t="shared" si="282"/>
        <v>Número de atenciones médicas</v>
      </c>
      <c r="N306" s="9" t="str">
        <f t="shared" si="282"/>
        <v>Departamento de Estadísticas e Información de la Salud (DEIS) - Ministerio de Salud</v>
      </c>
      <c r="O306" s="20" t="str">
        <f>"Evolución de las Atenciones de Salud por Violencia de Género en "&amp;Agencia[[#This Row],[territorio]]&amp;", para el "&amp;Agencia[[#This Row],[temporalidad]]</f>
        <v>Evolución de las Atenciones de Salud por Violencia de Género en Región de Magallanes, para el Periodo 2010-2016</v>
      </c>
      <c r="P306" s="20"/>
      <c r="Q306" s="11" t="str">
        <f t="shared" si="262"/>
        <v>Gráfico de Evolución</v>
      </c>
      <c r="R306" s="20" t="str">
        <f>Agencia[[#This Row],[territorio]]&amp;" salud violencia género mujer urgencia atenciones médicas"</f>
        <v>Región de Magallanes salud violencia género mujer urgencia atenciones médicas</v>
      </c>
      <c r="S306" s="39" t="str">
        <f>HYPERLINK("https://analytics.zoho.com/open-view/2395394000007782905?ZOHO_CRITERIA=%2227.10%22.%22Id_Regi%C3%B3n%22%20%3D%20"&amp;Agencia[[#This Row],[Filtro URL]])</f>
        <v>https://analytics.zoho.com/open-view/2395394000007782905?ZOHO_CRITERIA=%2227.10%22.%22Id_Regi%C3%B3n%22%20%3D%2012</v>
      </c>
      <c r="T306" s="68" t="str">
        <f>"100-R-"&amp;Agencia[[#This Row],[Filtro URL]]</f>
        <v>100-R-12</v>
      </c>
      <c r="U306" s="50" t="str">
        <f t="shared" si="252"/>
        <v>#1774B9</v>
      </c>
      <c r="V306" s="118" t="str">
        <f>+Agencia[[#This Row],[idcoleccion]]&amp;"-"&amp;Agencia[[#This Row],[id]]</f>
        <v>990-0295</v>
      </c>
      <c r="W306" s="118">
        <f>+VLOOKUP(Agencia[[#This Row],[Filtro URL]],Estructura!$X$4:$Y$500,2,0)</f>
        <v>99200012</v>
      </c>
      <c r="X306" s="118" t="str">
        <f>+VLOOKUP(Agencia[[#This Row],[tema]],Estructura!$A$4:$C$500,3,0)</f>
        <v>T-1040</v>
      </c>
      <c r="Y306" s="118" t="str">
        <f>+VLOOKUP(Agencia[[#This Row],[contenido]],Estructura!$E$4:$G$500,3,0)</f>
        <v>C-996</v>
      </c>
      <c r="Z306" s="118" t="str">
        <f>+VLOOKUP(Agencia[[#This Row],[Filtro Integrado]],Estructura!$I$4:$K$500,3,0)</f>
        <v>FI-993</v>
      </c>
      <c r="AA306" s="118" t="str">
        <f>+VLOOKUP(Agencia[[#This Row],[Muestra]],Estructura!$M$4:$O$500,3,0)</f>
        <v>M-1019</v>
      </c>
    </row>
    <row r="307" spans="1:27" ht="61.2" x14ac:dyDescent="0.3">
      <c r="A307" s="21" t="s">
        <v>744</v>
      </c>
      <c r="B307" s="24">
        <f t="shared" ref="B307:D307" si="284">+B306</f>
        <v>990</v>
      </c>
      <c r="C307" s="25" t="str">
        <f t="shared" si="284"/>
        <v>Agencia Información</v>
      </c>
      <c r="D307" s="25" t="str">
        <f t="shared" si="284"/>
        <v>Mujeres</v>
      </c>
      <c r="E307" s="19">
        <v>13</v>
      </c>
      <c r="F307" s="10" t="s">
        <v>906</v>
      </c>
      <c r="G307" s="10" t="s">
        <v>3762</v>
      </c>
      <c r="H307" s="35" t="s">
        <v>16</v>
      </c>
      <c r="I307" s="36" t="s">
        <v>380</v>
      </c>
      <c r="J307" s="9" t="str">
        <f t="shared" si="282"/>
        <v>Ninguno</v>
      </c>
      <c r="K307" s="9" t="str">
        <f t="shared" si="282"/>
        <v>Cantidad de atenciones por región</v>
      </c>
      <c r="L307" s="9" t="str">
        <f t="shared" si="282"/>
        <v>Periodo 2010-2016</v>
      </c>
      <c r="M307" s="9" t="str">
        <f t="shared" si="282"/>
        <v>Número de atenciones médicas</v>
      </c>
      <c r="N307" s="9" t="str">
        <f t="shared" si="282"/>
        <v>Departamento de Estadísticas e Información de la Salud (DEIS) - Ministerio de Salud</v>
      </c>
      <c r="O307" s="20" t="str">
        <f>"Evolución de las Atenciones de Salud por Violencia de Género en "&amp;Agencia[[#This Row],[territorio]]&amp;", para el "&amp;Agencia[[#This Row],[temporalidad]]</f>
        <v>Evolución de las Atenciones de Salud por Violencia de Género en Región Metropolitana, para el Periodo 2010-2016</v>
      </c>
      <c r="P307" s="20" t="s">
        <v>909</v>
      </c>
      <c r="Q307" s="11" t="str">
        <f t="shared" si="262"/>
        <v>Gráfico de Evolución</v>
      </c>
      <c r="R307" s="20" t="str">
        <f>Agencia[[#This Row],[territorio]]&amp;" salud violencia género mujer urgencia atenciones médicas"</f>
        <v>Región Metropolitana salud violencia género mujer urgencia atenciones médicas</v>
      </c>
      <c r="S307" s="39" t="str">
        <f>HYPERLINK("https://analytics.zoho.com/open-view/2395394000007782905?ZOHO_CRITERIA=%2227.10%22.%22Id_Regi%C3%B3n%22%20%3D%20"&amp;Agencia[[#This Row],[Filtro URL]])</f>
        <v>https://analytics.zoho.com/open-view/2395394000007782905?ZOHO_CRITERIA=%2227.10%22.%22Id_Regi%C3%B3n%22%20%3D%2013</v>
      </c>
      <c r="T307" s="68" t="str">
        <f>"200-R-"&amp;Agencia[[#This Row],[Filtro URL]]</f>
        <v>200-R-13</v>
      </c>
      <c r="U307" s="50" t="str">
        <f t="shared" si="252"/>
        <v>#1774B9</v>
      </c>
      <c r="V307" s="118" t="str">
        <f>+Agencia[[#This Row],[idcoleccion]]&amp;"-"&amp;Agencia[[#This Row],[id]]</f>
        <v>990-0296</v>
      </c>
      <c r="W307" s="118">
        <f>+VLOOKUP(Agencia[[#This Row],[Filtro URL]],Estructura!$X$4:$Y$500,2,0)</f>
        <v>99200013</v>
      </c>
      <c r="X307" s="118" t="str">
        <f>+VLOOKUP(Agencia[[#This Row],[tema]],Estructura!$A$4:$C$500,3,0)</f>
        <v>T-1040</v>
      </c>
      <c r="Y307" s="118" t="str">
        <f>+VLOOKUP(Agencia[[#This Row],[contenido]],Estructura!$E$4:$G$500,3,0)</f>
        <v>C-996</v>
      </c>
      <c r="Z307" s="118" t="str">
        <f>+VLOOKUP(Agencia[[#This Row],[Filtro Integrado]],Estructura!$I$4:$K$500,3,0)</f>
        <v>FI-993</v>
      </c>
      <c r="AA307" s="118" t="str">
        <f>+VLOOKUP(Agencia[[#This Row],[Muestra]],Estructura!$M$4:$O$500,3,0)</f>
        <v>M-1019</v>
      </c>
    </row>
    <row r="308" spans="1:27" ht="57.6" x14ac:dyDescent="0.3">
      <c r="A308" s="21" t="s">
        <v>745</v>
      </c>
      <c r="B308" s="24">
        <f t="shared" ref="B308:D308" si="285">+B307</f>
        <v>990</v>
      </c>
      <c r="C308" s="25" t="str">
        <f t="shared" si="285"/>
        <v>Agencia Información</v>
      </c>
      <c r="D308" s="25" t="str">
        <f t="shared" si="285"/>
        <v>Mujeres</v>
      </c>
      <c r="E308" s="19">
        <v>14</v>
      </c>
      <c r="F308" s="10" t="s">
        <v>906</v>
      </c>
      <c r="G308" s="10" t="s">
        <v>3762</v>
      </c>
      <c r="H308" s="35" t="s">
        <v>16</v>
      </c>
      <c r="I308" s="36" t="s">
        <v>381</v>
      </c>
      <c r="J308" s="9" t="str">
        <f t="shared" si="282"/>
        <v>Ninguno</v>
      </c>
      <c r="K308" s="9" t="str">
        <f t="shared" si="282"/>
        <v>Cantidad de atenciones por región</v>
      </c>
      <c r="L308" s="9" t="str">
        <f t="shared" si="282"/>
        <v>Periodo 2010-2016</v>
      </c>
      <c r="M308" s="9" t="str">
        <f t="shared" si="282"/>
        <v>Número de atenciones médicas</v>
      </c>
      <c r="N308" s="9" t="str">
        <f t="shared" si="282"/>
        <v>Departamento de Estadísticas e Información de la Salud (DEIS) - Ministerio de Salud</v>
      </c>
      <c r="O308" s="20" t="str">
        <f>"Evolución de las Atenciones de Salud por Violencia de Género en "&amp;Agencia[[#This Row],[territorio]]&amp;", para el "&amp;Agencia[[#This Row],[temporalidad]]</f>
        <v>Evolución de las Atenciones de Salud por Violencia de Género en Región de Los Ríos, para el Periodo 2010-2016</v>
      </c>
      <c r="P308" s="20"/>
      <c r="Q308" s="11" t="str">
        <f t="shared" si="262"/>
        <v>Gráfico de Evolución</v>
      </c>
      <c r="R308" s="20" t="str">
        <f>Agencia[[#This Row],[territorio]]&amp;" salud violencia género mujer urgencia atenciones médicas"</f>
        <v>Región de Los Ríos salud violencia género mujer urgencia atenciones médicas</v>
      </c>
      <c r="S308" s="39" t="str">
        <f>HYPERLINK("https://analytics.zoho.com/open-view/2395394000007782905?ZOHO_CRITERIA=%2227.10%22.%22Id_Regi%C3%B3n%22%20%3D%20"&amp;Agencia[[#This Row],[Filtro URL]])</f>
        <v>https://analytics.zoho.com/open-view/2395394000007782905?ZOHO_CRITERIA=%2227.10%22.%22Id_Regi%C3%B3n%22%20%3D%2014</v>
      </c>
      <c r="T308" s="68" t="str">
        <f>"100-R-"&amp;Agencia[[#This Row],[Filtro URL]]</f>
        <v>100-R-14</v>
      </c>
      <c r="U308" s="50" t="str">
        <f t="shared" si="252"/>
        <v>#1774B9</v>
      </c>
      <c r="V308" s="118" t="str">
        <f>+Agencia[[#This Row],[idcoleccion]]&amp;"-"&amp;Agencia[[#This Row],[id]]</f>
        <v>990-0297</v>
      </c>
      <c r="W308" s="118">
        <f>+VLOOKUP(Agencia[[#This Row],[Filtro URL]],Estructura!$X$4:$Y$500,2,0)</f>
        <v>99200014</v>
      </c>
      <c r="X308" s="118" t="str">
        <f>+VLOOKUP(Agencia[[#This Row],[tema]],Estructura!$A$4:$C$500,3,0)</f>
        <v>T-1040</v>
      </c>
      <c r="Y308" s="118" t="str">
        <f>+VLOOKUP(Agencia[[#This Row],[contenido]],Estructura!$E$4:$G$500,3,0)</f>
        <v>C-996</v>
      </c>
      <c r="Z308" s="118" t="str">
        <f>+VLOOKUP(Agencia[[#This Row],[Filtro Integrado]],Estructura!$I$4:$K$500,3,0)</f>
        <v>FI-993</v>
      </c>
      <c r="AA308" s="118" t="str">
        <f>+VLOOKUP(Agencia[[#This Row],[Muestra]],Estructura!$M$4:$O$500,3,0)</f>
        <v>M-1019</v>
      </c>
    </row>
    <row r="309" spans="1:27" ht="57.6" x14ac:dyDescent="0.3">
      <c r="A309" s="21" t="s">
        <v>746</v>
      </c>
      <c r="B309" s="24">
        <f t="shared" ref="B309:D309" si="286">+B308</f>
        <v>990</v>
      </c>
      <c r="C309" s="25" t="str">
        <f t="shared" si="286"/>
        <v>Agencia Información</v>
      </c>
      <c r="D309" s="25" t="str">
        <f t="shared" si="286"/>
        <v>Mujeres</v>
      </c>
      <c r="E309" s="19">
        <v>15</v>
      </c>
      <c r="F309" s="10" t="s">
        <v>906</v>
      </c>
      <c r="G309" s="10" t="s">
        <v>3762</v>
      </c>
      <c r="H309" s="35" t="s">
        <v>16</v>
      </c>
      <c r="I309" s="36" t="s">
        <v>382</v>
      </c>
      <c r="J309" s="9" t="str">
        <f t="shared" si="282"/>
        <v>Ninguno</v>
      </c>
      <c r="K309" s="9" t="str">
        <f t="shared" si="282"/>
        <v>Cantidad de atenciones por región</v>
      </c>
      <c r="L309" s="9" t="str">
        <f t="shared" si="282"/>
        <v>Periodo 2010-2016</v>
      </c>
      <c r="M309" s="9" t="str">
        <f t="shared" si="282"/>
        <v>Número de atenciones médicas</v>
      </c>
      <c r="N309" s="9" t="str">
        <f t="shared" si="282"/>
        <v>Departamento de Estadísticas e Información de la Salud (DEIS) - Ministerio de Salud</v>
      </c>
      <c r="O309" s="20" t="str">
        <f>"Evolución de las Atenciones de Salud por Violencia de Género en "&amp;Agencia[[#This Row],[territorio]]&amp;", para el "&amp;Agencia[[#This Row],[temporalidad]]</f>
        <v>Evolución de las Atenciones de Salud por Violencia de Género en Región de Arica y Parinacota, para el Periodo 2010-2016</v>
      </c>
      <c r="P309" s="20"/>
      <c r="Q309" s="11" t="str">
        <f t="shared" si="262"/>
        <v>Gráfico de Evolución</v>
      </c>
      <c r="R309" s="20" t="str">
        <f>Agencia[[#This Row],[territorio]]&amp;" salud violencia género mujer urgencia atenciones médicas"</f>
        <v>Región de Arica y Parinacota salud violencia género mujer urgencia atenciones médicas</v>
      </c>
      <c r="S309" s="39" t="str">
        <f>HYPERLINK("https://analytics.zoho.com/open-view/2395394000007782905?ZOHO_CRITERIA=%2227.10%22.%22Id_Regi%C3%B3n%22%20%3D%20"&amp;Agencia[[#This Row],[Filtro URL]])</f>
        <v>https://analytics.zoho.com/open-view/2395394000007782905?ZOHO_CRITERIA=%2227.10%22.%22Id_Regi%C3%B3n%22%20%3D%2015</v>
      </c>
      <c r="T309" s="68" t="str">
        <f>"100-R-"&amp;Agencia[[#This Row],[Filtro URL]]</f>
        <v>100-R-15</v>
      </c>
      <c r="U309" s="50" t="str">
        <f t="shared" si="252"/>
        <v>#1774B9</v>
      </c>
      <c r="V309" s="118" t="str">
        <f>+Agencia[[#This Row],[idcoleccion]]&amp;"-"&amp;Agencia[[#This Row],[id]]</f>
        <v>990-0298</v>
      </c>
      <c r="W309" s="118">
        <f>+VLOOKUP(Agencia[[#This Row],[Filtro URL]],Estructura!$X$4:$Y$500,2,0)</f>
        <v>99200015</v>
      </c>
      <c r="X309" s="118" t="str">
        <f>+VLOOKUP(Agencia[[#This Row],[tema]],Estructura!$A$4:$C$500,3,0)</f>
        <v>T-1040</v>
      </c>
      <c r="Y309" s="118" t="str">
        <f>+VLOOKUP(Agencia[[#This Row],[contenido]],Estructura!$E$4:$G$500,3,0)</f>
        <v>C-996</v>
      </c>
      <c r="Z309" s="118" t="str">
        <f>+VLOOKUP(Agencia[[#This Row],[Filtro Integrado]],Estructura!$I$4:$K$500,3,0)</f>
        <v>FI-993</v>
      </c>
      <c r="AA309" s="118" t="str">
        <f>+VLOOKUP(Agencia[[#This Row],[Muestra]],Estructura!$M$4:$O$500,3,0)</f>
        <v>M-1019</v>
      </c>
    </row>
    <row r="310" spans="1:27" ht="57.6" x14ac:dyDescent="0.3">
      <c r="A310" s="21" t="s">
        <v>747</v>
      </c>
      <c r="B310" s="24">
        <f t="shared" ref="B310:D310" si="287">+B309</f>
        <v>990</v>
      </c>
      <c r="C310" s="25" t="str">
        <f t="shared" si="287"/>
        <v>Agencia Información</v>
      </c>
      <c r="D310" s="25" t="str">
        <f t="shared" si="287"/>
        <v>Mujeres</v>
      </c>
      <c r="E310" s="19">
        <v>16</v>
      </c>
      <c r="F310" s="10" t="s">
        <v>906</v>
      </c>
      <c r="G310" s="10" t="s">
        <v>3762</v>
      </c>
      <c r="H310" s="35" t="s">
        <v>16</v>
      </c>
      <c r="I310" s="36" t="s">
        <v>383</v>
      </c>
      <c r="J310" s="9" t="str">
        <f t="shared" si="282"/>
        <v>Ninguno</v>
      </c>
      <c r="K310" s="9" t="str">
        <f t="shared" si="282"/>
        <v>Cantidad de atenciones por región</v>
      </c>
      <c r="L310" s="9" t="str">
        <f t="shared" si="282"/>
        <v>Periodo 2010-2016</v>
      </c>
      <c r="M310" s="9" t="str">
        <f t="shared" si="282"/>
        <v>Número de atenciones médicas</v>
      </c>
      <c r="N310" s="9" t="str">
        <f t="shared" si="282"/>
        <v>Departamento de Estadísticas e Información de la Salud (DEIS) - Ministerio de Salud</v>
      </c>
      <c r="O310" s="20" t="str">
        <f>"Evolución de las Atenciones de Salud por Violencia de Género en "&amp;Agencia[[#This Row],[territorio]]&amp;", para el "&amp;Agencia[[#This Row],[temporalidad]]</f>
        <v>Evolución de las Atenciones de Salud por Violencia de Género en Región de Ñuble, para el Periodo 2010-2016</v>
      </c>
      <c r="P310" s="20"/>
      <c r="Q310" s="11" t="str">
        <f t="shared" si="262"/>
        <v>Gráfico de Evolución</v>
      </c>
      <c r="R310" s="20" t="str">
        <f>Agencia[[#This Row],[territorio]]&amp;" salud violencia género mujer urgencia atenciones médicas"</f>
        <v>Región de Ñuble salud violencia género mujer urgencia atenciones médicas</v>
      </c>
      <c r="S310" s="39" t="str">
        <f>HYPERLINK("https://analytics.zoho.com/open-view/2395394000007782905?ZOHO_CRITERIA=%2227.10%22.%22Id_Regi%C3%B3n%22%20%3D%20"&amp;Agencia[[#This Row],[Filtro URL]])</f>
        <v>https://analytics.zoho.com/open-view/2395394000007782905?ZOHO_CRITERIA=%2227.10%22.%22Id_Regi%C3%B3n%22%20%3D%2016</v>
      </c>
      <c r="T310" s="68" t="str">
        <f>"100-R-"&amp;Agencia[[#This Row],[Filtro URL]]</f>
        <v>100-R-16</v>
      </c>
      <c r="U310" s="50" t="str">
        <f t="shared" ref="U310:U341" si="288">+U309</f>
        <v>#1774B9</v>
      </c>
      <c r="V310" s="118" t="str">
        <f>+Agencia[[#This Row],[idcoleccion]]&amp;"-"&amp;Agencia[[#This Row],[id]]</f>
        <v>990-0299</v>
      </c>
      <c r="W310" s="118">
        <f>+VLOOKUP(Agencia[[#This Row],[Filtro URL]],Estructura!$X$4:$Y$500,2,0)</f>
        <v>99200016</v>
      </c>
      <c r="X310" s="118" t="str">
        <f>+VLOOKUP(Agencia[[#This Row],[tema]],Estructura!$A$4:$C$500,3,0)</f>
        <v>T-1040</v>
      </c>
      <c r="Y310" s="118" t="str">
        <f>+VLOOKUP(Agencia[[#This Row],[contenido]],Estructura!$E$4:$G$500,3,0)</f>
        <v>C-996</v>
      </c>
      <c r="Z310" s="118" t="str">
        <f>+VLOOKUP(Agencia[[#This Row],[Filtro Integrado]],Estructura!$I$4:$K$500,3,0)</f>
        <v>FI-993</v>
      </c>
      <c r="AA310" s="118" t="str">
        <f>+VLOOKUP(Agencia[[#This Row],[Muestra]],Estructura!$M$4:$O$500,3,0)</f>
        <v>M-1019</v>
      </c>
    </row>
    <row r="311" spans="1:27" ht="36" x14ac:dyDescent="0.3">
      <c r="A311" s="21" t="s">
        <v>748</v>
      </c>
      <c r="B311" s="24">
        <f t="shared" ref="B311:C311" si="289">+B310</f>
        <v>990</v>
      </c>
      <c r="C311" s="25" t="str">
        <f t="shared" si="289"/>
        <v>Agencia Información</v>
      </c>
      <c r="D311" s="25" t="s">
        <v>578</v>
      </c>
      <c r="E311" s="14">
        <v>0</v>
      </c>
      <c r="F311" s="10" t="s">
        <v>579</v>
      </c>
      <c r="G311" s="10" t="s">
        <v>3763</v>
      </c>
      <c r="H311" s="33" t="s">
        <v>20</v>
      </c>
      <c r="I311" s="34" t="s">
        <v>15</v>
      </c>
      <c r="J311" s="9" t="s">
        <v>16</v>
      </c>
      <c r="K311" s="9" t="s">
        <v>929</v>
      </c>
      <c r="L311" s="9" t="s">
        <v>580</v>
      </c>
      <c r="M311" s="9" t="s">
        <v>928</v>
      </c>
      <c r="N311" s="9" t="s">
        <v>582</v>
      </c>
      <c r="O311" s="20" t="str">
        <f>"Evolución de las Exportaciones (USD) de frutas desde "&amp;Agencia[[#This Row],[territorio]]&amp;" para el "&amp;Agencia[[#This Row],[temporalidad]]</f>
        <v>Evolución de las Exportaciones (USD) de frutas desde Chile para el Periodo 2012-2020</v>
      </c>
      <c r="P311" s="20"/>
      <c r="Q311" s="11" t="s">
        <v>821</v>
      </c>
      <c r="R311" s="45" t="str">
        <f>Agencia[[#This Row],[territorio]]&amp;" valor exportaciones dólar frutas región origen"</f>
        <v>Chile valor exportaciones dólar frutas región origen</v>
      </c>
      <c r="S311" s="39" t="s">
        <v>1501</v>
      </c>
      <c r="T311" s="68" t="s">
        <v>855</v>
      </c>
      <c r="U311" s="50" t="str">
        <f t="shared" si="288"/>
        <v>#1774B9</v>
      </c>
      <c r="V311" s="118" t="str">
        <f>+Agencia[[#This Row],[idcoleccion]]&amp;"-"&amp;Agencia[[#This Row],[id]]</f>
        <v>990-0300</v>
      </c>
      <c r="W311" s="118">
        <f>+VLOOKUP(Agencia[[#This Row],[Filtro URL]],Estructura!$X$4:$Y$500,2,0)</f>
        <v>99100000</v>
      </c>
      <c r="X311" s="118" t="str">
        <f>+VLOOKUP(Agencia[[#This Row],[tema]],Estructura!$A$4:$C$500,3,0)</f>
        <v>T-1031</v>
      </c>
      <c r="Y311" s="118" t="str">
        <f>+VLOOKUP(Agencia[[#This Row],[contenido]],Estructura!$E$4:$G$500,3,0)</f>
        <v>C-997</v>
      </c>
      <c r="Z311" s="118" t="str">
        <f>+VLOOKUP(Agencia[[#This Row],[Filtro Integrado]],Estructura!$I$4:$K$500,3,0)</f>
        <v>FI-992</v>
      </c>
      <c r="AA311" s="118" t="str">
        <f>+VLOOKUP(Agencia[[#This Row],[Muestra]],Estructura!$M$4:$O$500,3,0)</f>
        <v>M-1020</v>
      </c>
    </row>
    <row r="312" spans="1:27" ht="57.6" x14ac:dyDescent="0.3">
      <c r="A312" s="21" t="s">
        <v>749</v>
      </c>
      <c r="B312" s="24">
        <f t="shared" ref="B312:D312" si="290">+B311</f>
        <v>990</v>
      </c>
      <c r="C312" s="25" t="str">
        <f t="shared" si="290"/>
        <v>Agencia Información</v>
      </c>
      <c r="D312" s="25" t="str">
        <f t="shared" si="290"/>
        <v>Agropecuario y Forestal</v>
      </c>
      <c r="E312" s="19">
        <v>1</v>
      </c>
      <c r="F312" s="10" t="s">
        <v>579</v>
      </c>
      <c r="G312" s="10" t="s">
        <v>3763</v>
      </c>
      <c r="H312" s="35" t="s">
        <v>16</v>
      </c>
      <c r="I312" s="36" t="s">
        <v>368</v>
      </c>
      <c r="J312" s="9" t="s">
        <v>404</v>
      </c>
      <c r="K312" s="9" t="str">
        <f t="shared" si="282"/>
        <v>Valor de exportaciones por región</v>
      </c>
      <c r="L312" s="9" t="str">
        <f t="shared" si="282"/>
        <v>Periodo 2012-2020</v>
      </c>
      <c r="M312" s="9" t="str">
        <f t="shared" si="282"/>
        <v>USD</v>
      </c>
      <c r="N312" s="9" t="str">
        <f t="shared" si="282"/>
        <v>Servicio Nacional de Aduanas</v>
      </c>
      <c r="O312" s="20" t="str">
        <f>"Evolución de las Exportaciones (USD) de frutas desde la "&amp;Agencia[[#This Row],[territorio]]&amp;" para el "&amp;Agencia[[#This Row],[temporalidad]]</f>
        <v>Evolución de las Exportaciones (USD) de frutas desde la Región de Tarapacá para el Periodo 2012-2020</v>
      </c>
      <c r="P312" s="20"/>
      <c r="Q312" s="11" t="str">
        <f t="shared" si="262"/>
        <v>Gráfico de Evolución</v>
      </c>
      <c r="R312" s="45" t="str">
        <f>Agencia[[#This Row],[territorio]]&amp;" valor exportaciones dólar frutas región origen"</f>
        <v>Región de Tarapacá valor exportaciones dólar frutas región origen</v>
      </c>
      <c r="S312" s="39" t="str">
        <f>HYPERLINK("https://analytics.zoho.com/open-view/2395394000007782936?ZOHO_CRITERIA=%22Trasposicion_4.2%22.%22C%C3%B3digo_Regi%C3%B3n%22%20%3D%20"&amp;Agencia[[#This Row],[Filtro URL]])</f>
        <v>https://analytics.zoho.com/open-view/2395394000007782936?ZOHO_CRITERIA=%22Trasposicion_4.2%22.%22C%C3%B3digo_Regi%C3%B3n%22%20%3D%201</v>
      </c>
      <c r="T312" s="68" t="str">
        <f>"100-R-"&amp;Agencia[[#This Row],[Filtro URL]]</f>
        <v>100-R-1</v>
      </c>
      <c r="U312" s="50" t="str">
        <f t="shared" si="288"/>
        <v>#1774B9</v>
      </c>
      <c r="V312" s="118" t="str">
        <f>+Agencia[[#This Row],[idcoleccion]]&amp;"-"&amp;Agencia[[#This Row],[id]]</f>
        <v>990-0301</v>
      </c>
      <c r="W312" s="118">
        <f>+VLOOKUP(Agencia[[#This Row],[Filtro URL]],Estructura!$X$4:$Y$500,2,0)</f>
        <v>99200001</v>
      </c>
      <c r="X312" s="118" t="str">
        <f>+VLOOKUP(Agencia[[#This Row],[tema]],Estructura!$A$4:$C$500,3,0)</f>
        <v>T-1031</v>
      </c>
      <c r="Y312" s="118" t="str">
        <f>+VLOOKUP(Agencia[[#This Row],[contenido]],Estructura!$E$4:$G$500,3,0)</f>
        <v>C-997</v>
      </c>
      <c r="Z312" s="118" t="str">
        <f>+VLOOKUP(Agencia[[#This Row],[Filtro Integrado]],Estructura!$I$4:$K$500,3,0)</f>
        <v>FI-993</v>
      </c>
      <c r="AA312" s="118" t="str">
        <f>+VLOOKUP(Agencia[[#This Row],[Muestra]],Estructura!$M$4:$O$500,3,0)</f>
        <v>M-1020</v>
      </c>
    </row>
    <row r="313" spans="1:27" ht="57.6" x14ac:dyDescent="0.3">
      <c r="A313" s="21" t="s">
        <v>750</v>
      </c>
      <c r="B313" s="24">
        <f t="shared" ref="B313:D313" si="291">+B312</f>
        <v>990</v>
      </c>
      <c r="C313" s="25" t="str">
        <f t="shared" si="291"/>
        <v>Agencia Información</v>
      </c>
      <c r="D313" s="25" t="str">
        <f t="shared" si="291"/>
        <v>Agropecuario y Forestal</v>
      </c>
      <c r="E313" s="19">
        <v>2</v>
      </c>
      <c r="F313" s="10" t="s">
        <v>579</v>
      </c>
      <c r="G313" s="10" t="s">
        <v>3763</v>
      </c>
      <c r="H313" s="35" t="s">
        <v>16</v>
      </c>
      <c r="I313" s="36" t="s">
        <v>369</v>
      </c>
      <c r="J313" s="9" t="str">
        <f t="shared" si="282"/>
        <v>Ninguno</v>
      </c>
      <c r="K313" s="9" t="str">
        <f t="shared" si="282"/>
        <v>Valor de exportaciones por región</v>
      </c>
      <c r="L313" s="9" t="str">
        <f t="shared" si="282"/>
        <v>Periodo 2012-2020</v>
      </c>
      <c r="M313" s="9" t="str">
        <f t="shared" si="282"/>
        <v>USD</v>
      </c>
      <c r="N313" s="9" t="str">
        <f t="shared" si="282"/>
        <v>Servicio Nacional de Aduanas</v>
      </c>
      <c r="O313" s="20" t="str">
        <f>"Evolución de las Exportaciones (USD) de frutas desde la "&amp;Agencia[[#This Row],[territorio]]&amp;" para el "&amp;Agencia[[#This Row],[temporalidad]]</f>
        <v>Evolución de las Exportaciones (USD) de frutas desde la Región de Antofagasta para el Periodo 2012-2020</v>
      </c>
      <c r="P313" s="20"/>
      <c r="Q313" s="11" t="str">
        <f t="shared" si="262"/>
        <v>Gráfico de Evolución</v>
      </c>
      <c r="R313" s="45" t="str">
        <f>Agencia[[#This Row],[territorio]]&amp;" valor exportaciones dólar frutas región origen"</f>
        <v>Región de Antofagasta valor exportaciones dólar frutas región origen</v>
      </c>
      <c r="S313" s="39" t="str">
        <f>HYPERLINK("https://analytics.zoho.com/open-view/2395394000007782936?ZOHO_CRITERIA=%22Trasposicion_4.2%22.%22C%C3%B3digo_Regi%C3%B3n%22%20%3D%20"&amp;Agencia[[#This Row],[Filtro URL]])</f>
        <v>https://analytics.zoho.com/open-view/2395394000007782936?ZOHO_CRITERIA=%22Trasposicion_4.2%22.%22C%C3%B3digo_Regi%C3%B3n%22%20%3D%202</v>
      </c>
      <c r="T313" s="68" t="str">
        <f>"100-R-"&amp;Agencia[[#This Row],[Filtro URL]]</f>
        <v>100-R-2</v>
      </c>
      <c r="U313" s="50" t="str">
        <f t="shared" si="288"/>
        <v>#1774B9</v>
      </c>
      <c r="V313" s="118" t="str">
        <f>+Agencia[[#This Row],[idcoleccion]]&amp;"-"&amp;Agencia[[#This Row],[id]]</f>
        <v>990-0302</v>
      </c>
      <c r="W313" s="118">
        <f>+VLOOKUP(Agencia[[#This Row],[Filtro URL]],Estructura!$X$4:$Y$500,2,0)</f>
        <v>99200002</v>
      </c>
      <c r="X313" s="118" t="str">
        <f>+VLOOKUP(Agencia[[#This Row],[tema]],Estructura!$A$4:$C$500,3,0)</f>
        <v>T-1031</v>
      </c>
      <c r="Y313" s="118" t="str">
        <f>+VLOOKUP(Agencia[[#This Row],[contenido]],Estructura!$E$4:$G$500,3,0)</f>
        <v>C-997</v>
      </c>
      <c r="Z313" s="118" t="str">
        <f>+VLOOKUP(Agencia[[#This Row],[Filtro Integrado]],Estructura!$I$4:$K$500,3,0)</f>
        <v>FI-993</v>
      </c>
      <c r="AA313" s="118" t="str">
        <f>+VLOOKUP(Agencia[[#This Row],[Muestra]],Estructura!$M$4:$O$500,3,0)</f>
        <v>M-1020</v>
      </c>
    </row>
    <row r="314" spans="1:27" ht="57.6" x14ac:dyDescent="0.3">
      <c r="A314" s="21" t="s">
        <v>751</v>
      </c>
      <c r="B314" s="24">
        <f t="shared" ref="B314:D314" si="292">+B313</f>
        <v>990</v>
      </c>
      <c r="C314" s="25" t="str">
        <f t="shared" si="292"/>
        <v>Agencia Información</v>
      </c>
      <c r="D314" s="25" t="str">
        <f t="shared" si="292"/>
        <v>Agropecuario y Forestal</v>
      </c>
      <c r="E314" s="19">
        <v>3</v>
      </c>
      <c r="F314" s="10" t="s">
        <v>579</v>
      </c>
      <c r="G314" s="10" t="s">
        <v>3763</v>
      </c>
      <c r="H314" s="35" t="s">
        <v>16</v>
      </c>
      <c r="I314" s="36" t="s">
        <v>370</v>
      </c>
      <c r="J314" s="9" t="str">
        <f t="shared" si="282"/>
        <v>Ninguno</v>
      </c>
      <c r="K314" s="9" t="str">
        <f t="shared" si="282"/>
        <v>Valor de exportaciones por región</v>
      </c>
      <c r="L314" s="9" t="str">
        <f t="shared" si="282"/>
        <v>Periodo 2012-2020</v>
      </c>
      <c r="M314" s="9" t="str">
        <f t="shared" si="282"/>
        <v>USD</v>
      </c>
      <c r="N314" s="9" t="str">
        <f t="shared" si="282"/>
        <v>Servicio Nacional de Aduanas</v>
      </c>
      <c r="O314" s="20" t="str">
        <f>"Evolución de las Exportaciones (USD) de frutas desde la "&amp;Agencia[[#This Row],[territorio]]&amp;" para el "&amp;Agencia[[#This Row],[temporalidad]]</f>
        <v>Evolución de las Exportaciones (USD) de frutas desde la Región de Atacama para el Periodo 2012-2020</v>
      </c>
      <c r="P314" s="20"/>
      <c r="Q314" s="11" t="str">
        <f t="shared" si="262"/>
        <v>Gráfico de Evolución</v>
      </c>
      <c r="R314" s="45" t="str">
        <f>Agencia[[#This Row],[territorio]]&amp;" valor exportaciones dólar frutas región origen"</f>
        <v>Región de Atacama valor exportaciones dólar frutas región origen</v>
      </c>
      <c r="S314" s="39" t="str">
        <f>HYPERLINK("https://analytics.zoho.com/open-view/2395394000007782936?ZOHO_CRITERIA=%22Trasposicion_4.2%22.%22C%C3%B3digo_Regi%C3%B3n%22%20%3D%20"&amp;Agencia[[#This Row],[Filtro URL]])</f>
        <v>https://analytics.zoho.com/open-view/2395394000007782936?ZOHO_CRITERIA=%22Trasposicion_4.2%22.%22C%C3%B3digo_Regi%C3%B3n%22%20%3D%203</v>
      </c>
      <c r="T314" s="68" t="str">
        <f>"100-R-"&amp;Agencia[[#This Row],[Filtro URL]]</f>
        <v>100-R-3</v>
      </c>
      <c r="U314" s="50" t="str">
        <f t="shared" si="288"/>
        <v>#1774B9</v>
      </c>
      <c r="V314" s="118" t="str">
        <f>+Agencia[[#This Row],[idcoleccion]]&amp;"-"&amp;Agencia[[#This Row],[id]]</f>
        <v>990-0303</v>
      </c>
      <c r="W314" s="118">
        <f>+VLOOKUP(Agencia[[#This Row],[Filtro URL]],Estructura!$X$4:$Y$500,2,0)</f>
        <v>99200003</v>
      </c>
      <c r="X314" s="118" t="str">
        <f>+VLOOKUP(Agencia[[#This Row],[tema]],Estructura!$A$4:$C$500,3,0)</f>
        <v>T-1031</v>
      </c>
      <c r="Y314" s="118" t="str">
        <f>+VLOOKUP(Agencia[[#This Row],[contenido]],Estructura!$E$4:$G$500,3,0)</f>
        <v>C-997</v>
      </c>
      <c r="Z314" s="118" t="str">
        <f>+VLOOKUP(Agencia[[#This Row],[Filtro Integrado]],Estructura!$I$4:$K$500,3,0)</f>
        <v>FI-993</v>
      </c>
      <c r="AA314" s="118" t="str">
        <f>+VLOOKUP(Agencia[[#This Row],[Muestra]],Estructura!$M$4:$O$500,3,0)</f>
        <v>M-1020</v>
      </c>
    </row>
    <row r="315" spans="1:27" ht="57.6" x14ac:dyDescent="0.3">
      <c r="A315" s="21" t="s">
        <v>752</v>
      </c>
      <c r="B315" s="24">
        <f t="shared" ref="B315:D315" si="293">+B314</f>
        <v>990</v>
      </c>
      <c r="C315" s="25" t="str">
        <f t="shared" si="293"/>
        <v>Agencia Información</v>
      </c>
      <c r="D315" s="25" t="str">
        <f t="shared" si="293"/>
        <v>Agropecuario y Forestal</v>
      </c>
      <c r="E315" s="19">
        <v>4</v>
      </c>
      <c r="F315" s="10" t="s">
        <v>579</v>
      </c>
      <c r="G315" s="10" t="s">
        <v>3763</v>
      </c>
      <c r="H315" s="35" t="s">
        <v>16</v>
      </c>
      <c r="I315" s="36" t="s">
        <v>371</v>
      </c>
      <c r="J315" s="9" t="str">
        <f t="shared" si="282"/>
        <v>Ninguno</v>
      </c>
      <c r="K315" s="9" t="str">
        <f t="shared" si="282"/>
        <v>Valor de exportaciones por región</v>
      </c>
      <c r="L315" s="9" t="str">
        <f t="shared" si="282"/>
        <v>Periodo 2012-2020</v>
      </c>
      <c r="M315" s="9" t="str">
        <f t="shared" si="282"/>
        <v>USD</v>
      </c>
      <c r="N315" s="9" t="str">
        <f t="shared" si="282"/>
        <v>Servicio Nacional de Aduanas</v>
      </c>
      <c r="O315" s="20" t="str">
        <f>"Evolución de las Exportaciones (USD) de frutas desde la "&amp;Agencia[[#This Row],[territorio]]&amp;" para el "&amp;Agencia[[#This Row],[temporalidad]]</f>
        <v>Evolución de las Exportaciones (USD) de frutas desde la Región de Coquimbo para el Periodo 2012-2020</v>
      </c>
      <c r="P315" s="20"/>
      <c r="Q315" s="11" t="str">
        <f t="shared" si="262"/>
        <v>Gráfico de Evolución</v>
      </c>
      <c r="R315" s="45" t="str">
        <f>Agencia[[#This Row],[territorio]]&amp;" valor exportaciones dólar frutas región origen"</f>
        <v>Región de Coquimbo valor exportaciones dólar frutas región origen</v>
      </c>
      <c r="S315" s="39" t="str">
        <f>HYPERLINK("https://analytics.zoho.com/open-view/2395394000007782936?ZOHO_CRITERIA=%22Trasposicion_4.2%22.%22C%C3%B3digo_Regi%C3%B3n%22%20%3D%20"&amp;Agencia[[#This Row],[Filtro URL]])</f>
        <v>https://analytics.zoho.com/open-view/2395394000007782936?ZOHO_CRITERIA=%22Trasposicion_4.2%22.%22C%C3%B3digo_Regi%C3%B3n%22%20%3D%204</v>
      </c>
      <c r="T315" s="68" t="str">
        <f>"100-R-"&amp;Agencia[[#This Row],[Filtro URL]]</f>
        <v>100-R-4</v>
      </c>
      <c r="U315" s="50" t="str">
        <f t="shared" si="288"/>
        <v>#1774B9</v>
      </c>
      <c r="V315" s="118" t="str">
        <f>+Agencia[[#This Row],[idcoleccion]]&amp;"-"&amp;Agencia[[#This Row],[id]]</f>
        <v>990-0304</v>
      </c>
      <c r="W315" s="118">
        <f>+VLOOKUP(Agencia[[#This Row],[Filtro URL]],Estructura!$X$4:$Y$500,2,0)</f>
        <v>99200004</v>
      </c>
      <c r="X315" s="118" t="str">
        <f>+VLOOKUP(Agencia[[#This Row],[tema]],Estructura!$A$4:$C$500,3,0)</f>
        <v>T-1031</v>
      </c>
      <c r="Y315" s="118" t="str">
        <f>+VLOOKUP(Agencia[[#This Row],[contenido]],Estructura!$E$4:$G$500,3,0)</f>
        <v>C-997</v>
      </c>
      <c r="Z315" s="118" t="str">
        <f>+VLOOKUP(Agencia[[#This Row],[Filtro Integrado]],Estructura!$I$4:$K$500,3,0)</f>
        <v>FI-993</v>
      </c>
      <c r="AA315" s="118" t="str">
        <f>+VLOOKUP(Agencia[[#This Row],[Muestra]],Estructura!$M$4:$O$500,3,0)</f>
        <v>M-1020</v>
      </c>
    </row>
    <row r="316" spans="1:27" ht="57.6" x14ac:dyDescent="0.3">
      <c r="A316" s="21" t="s">
        <v>753</v>
      </c>
      <c r="B316" s="24">
        <f t="shared" ref="B316:D316" si="294">+B315</f>
        <v>990</v>
      </c>
      <c r="C316" s="25" t="str">
        <f t="shared" si="294"/>
        <v>Agencia Información</v>
      </c>
      <c r="D316" s="25" t="str">
        <f t="shared" si="294"/>
        <v>Agropecuario y Forestal</v>
      </c>
      <c r="E316" s="19">
        <v>5</v>
      </c>
      <c r="F316" s="10" t="s">
        <v>579</v>
      </c>
      <c r="G316" s="10" t="s">
        <v>3763</v>
      </c>
      <c r="H316" s="35" t="s">
        <v>16</v>
      </c>
      <c r="I316" s="36" t="s">
        <v>372</v>
      </c>
      <c r="J316" s="9" t="str">
        <f t="shared" si="282"/>
        <v>Ninguno</v>
      </c>
      <c r="K316" s="9" t="str">
        <f t="shared" si="282"/>
        <v>Valor de exportaciones por región</v>
      </c>
      <c r="L316" s="9" t="str">
        <f t="shared" si="282"/>
        <v>Periodo 2012-2020</v>
      </c>
      <c r="M316" s="9" t="str">
        <f t="shared" si="282"/>
        <v>USD</v>
      </c>
      <c r="N316" s="9" t="str">
        <f t="shared" si="282"/>
        <v>Servicio Nacional de Aduanas</v>
      </c>
      <c r="O316" s="20" t="str">
        <f>"Evolución de las Exportaciones (USD) de frutas desde la "&amp;Agencia[[#This Row],[territorio]]&amp;" para el "&amp;Agencia[[#This Row],[temporalidad]]</f>
        <v>Evolución de las Exportaciones (USD) de frutas desde la Región de Valparaíso para el Periodo 2012-2020</v>
      </c>
      <c r="P316" s="20"/>
      <c r="Q316" s="11" t="str">
        <f t="shared" si="262"/>
        <v>Gráfico de Evolución</v>
      </c>
      <c r="R316" s="45" t="str">
        <f>Agencia[[#This Row],[territorio]]&amp;" valor exportaciones dólar frutas región origen"</f>
        <v>Región de Valparaíso valor exportaciones dólar frutas región origen</v>
      </c>
      <c r="S316" s="39" t="str">
        <f>HYPERLINK("https://analytics.zoho.com/open-view/2395394000007782936?ZOHO_CRITERIA=%22Trasposicion_4.2%22.%22C%C3%B3digo_Regi%C3%B3n%22%20%3D%20"&amp;Agencia[[#This Row],[Filtro URL]])</f>
        <v>https://analytics.zoho.com/open-view/2395394000007782936?ZOHO_CRITERIA=%22Trasposicion_4.2%22.%22C%C3%B3digo_Regi%C3%B3n%22%20%3D%205</v>
      </c>
      <c r="T316" s="68" t="str">
        <f>"100-R-"&amp;Agencia[[#This Row],[Filtro URL]]</f>
        <v>100-R-5</v>
      </c>
      <c r="U316" s="50" t="str">
        <f t="shared" si="288"/>
        <v>#1774B9</v>
      </c>
      <c r="V316" s="118" t="str">
        <f>+Agencia[[#This Row],[idcoleccion]]&amp;"-"&amp;Agencia[[#This Row],[id]]</f>
        <v>990-0305</v>
      </c>
      <c r="W316" s="118">
        <f>+VLOOKUP(Agencia[[#This Row],[Filtro URL]],Estructura!$X$4:$Y$500,2,0)</f>
        <v>99200005</v>
      </c>
      <c r="X316" s="118" t="str">
        <f>+VLOOKUP(Agencia[[#This Row],[tema]],Estructura!$A$4:$C$500,3,0)</f>
        <v>T-1031</v>
      </c>
      <c r="Y316" s="118" t="str">
        <f>+VLOOKUP(Agencia[[#This Row],[contenido]],Estructura!$E$4:$G$500,3,0)</f>
        <v>C-997</v>
      </c>
      <c r="Z316" s="118" t="str">
        <f>+VLOOKUP(Agencia[[#This Row],[Filtro Integrado]],Estructura!$I$4:$K$500,3,0)</f>
        <v>FI-993</v>
      </c>
      <c r="AA316" s="118" t="str">
        <f>+VLOOKUP(Agencia[[#This Row],[Muestra]],Estructura!$M$4:$O$500,3,0)</f>
        <v>M-1020</v>
      </c>
    </row>
    <row r="317" spans="1:27" ht="57.6" x14ac:dyDescent="0.3">
      <c r="A317" s="21" t="s">
        <v>754</v>
      </c>
      <c r="B317" s="24">
        <f t="shared" ref="B317:D317" si="295">+B316</f>
        <v>990</v>
      </c>
      <c r="C317" s="25" t="str">
        <f t="shared" si="295"/>
        <v>Agencia Información</v>
      </c>
      <c r="D317" s="25" t="str">
        <f t="shared" si="295"/>
        <v>Agropecuario y Forestal</v>
      </c>
      <c r="E317" s="19">
        <v>6</v>
      </c>
      <c r="F317" s="10" t="s">
        <v>579</v>
      </c>
      <c r="G317" s="10" t="s">
        <v>3763</v>
      </c>
      <c r="H317" s="35" t="s">
        <v>16</v>
      </c>
      <c r="I317" s="36" t="s">
        <v>373</v>
      </c>
      <c r="J317" s="9" t="str">
        <f t="shared" si="282"/>
        <v>Ninguno</v>
      </c>
      <c r="K317" s="9" t="str">
        <f t="shared" si="282"/>
        <v>Valor de exportaciones por región</v>
      </c>
      <c r="L317" s="9" t="str">
        <f t="shared" si="282"/>
        <v>Periodo 2012-2020</v>
      </c>
      <c r="M317" s="9" t="str">
        <f t="shared" si="282"/>
        <v>USD</v>
      </c>
      <c r="N317" s="9" t="str">
        <f t="shared" si="282"/>
        <v>Servicio Nacional de Aduanas</v>
      </c>
      <c r="O317" s="20" t="str">
        <f>"Evolución de las Exportaciones (USD) de frutas desde la "&amp;Agencia[[#This Row],[territorio]]&amp;" para el "&amp;Agencia[[#This Row],[temporalidad]]</f>
        <v>Evolución de las Exportaciones (USD) de frutas desde la Región de O'Higgins para el Periodo 2012-2020</v>
      </c>
      <c r="P317" s="20"/>
      <c r="Q317" s="11" t="str">
        <f t="shared" si="262"/>
        <v>Gráfico de Evolución</v>
      </c>
      <c r="R317" s="45" t="str">
        <f>Agencia[[#This Row],[territorio]]&amp;" valor exportaciones dólar frutas región origen"</f>
        <v>Región de O'Higgins valor exportaciones dólar frutas región origen</v>
      </c>
      <c r="S317" s="39" t="str">
        <f>HYPERLINK("https://analytics.zoho.com/open-view/2395394000007782936?ZOHO_CRITERIA=%22Trasposicion_4.2%22.%22C%C3%B3digo_Regi%C3%B3n%22%20%3D%20"&amp;Agencia[[#This Row],[Filtro URL]])</f>
        <v>https://analytics.zoho.com/open-view/2395394000007782936?ZOHO_CRITERIA=%22Trasposicion_4.2%22.%22C%C3%B3digo_Regi%C3%B3n%22%20%3D%206</v>
      </c>
      <c r="T317" s="68" t="str">
        <f>"100-R-"&amp;Agencia[[#This Row],[Filtro URL]]</f>
        <v>100-R-6</v>
      </c>
      <c r="U317" s="50" t="str">
        <f t="shared" si="288"/>
        <v>#1774B9</v>
      </c>
      <c r="V317" s="118" t="str">
        <f>+Agencia[[#This Row],[idcoleccion]]&amp;"-"&amp;Agencia[[#This Row],[id]]</f>
        <v>990-0306</v>
      </c>
      <c r="W317" s="118">
        <f>+VLOOKUP(Agencia[[#This Row],[Filtro URL]],Estructura!$X$4:$Y$500,2,0)</f>
        <v>99200006</v>
      </c>
      <c r="X317" s="118" t="str">
        <f>+VLOOKUP(Agencia[[#This Row],[tema]],Estructura!$A$4:$C$500,3,0)</f>
        <v>T-1031</v>
      </c>
      <c r="Y317" s="118" t="str">
        <f>+VLOOKUP(Agencia[[#This Row],[contenido]],Estructura!$E$4:$G$500,3,0)</f>
        <v>C-997</v>
      </c>
      <c r="Z317" s="118" t="str">
        <f>+VLOOKUP(Agencia[[#This Row],[Filtro Integrado]],Estructura!$I$4:$K$500,3,0)</f>
        <v>FI-993</v>
      </c>
      <c r="AA317" s="118" t="str">
        <f>+VLOOKUP(Agencia[[#This Row],[Muestra]],Estructura!$M$4:$O$500,3,0)</f>
        <v>M-1020</v>
      </c>
    </row>
    <row r="318" spans="1:27" ht="57.6" x14ac:dyDescent="0.3">
      <c r="A318" s="21" t="s">
        <v>755</v>
      </c>
      <c r="B318" s="24">
        <f t="shared" ref="B318:D318" si="296">+B317</f>
        <v>990</v>
      </c>
      <c r="C318" s="25" t="str">
        <f t="shared" si="296"/>
        <v>Agencia Información</v>
      </c>
      <c r="D318" s="25" t="str">
        <f t="shared" si="296"/>
        <v>Agropecuario y Forestal</v>
      </c>
      <c r="E318" s="19">
        <v>7</v>
      </c>
      <c r="F318" s="10" t="s">
        <v>579</v>
      </c>
      <c r="G318" s="10" t="s">
        <v>3763</v>
      </c>
      <c r="H318" s="35" t="s">
        <v>16</v>
      </c>
      <c r="I318" s="36" t="s">
        <v>374</v>
      </c>
      <c r="J318" s="9" t="str">
        <f t="shared" si="282"/>
        <v>Ninguno</v>
      </c>
      <c r="K318" s="9" t="str">
        <f t="shared" si="282"/>
        <v>Valor de exportaciones por región</v>
      </c>
      <c r="L318" s="9" t="str">
        <f t="shared" si="282"/>
        <v>Periodo 2012-2020</v>
      </c>
      <c r="M318" s="9" t="str">
        <f t="shared" si="282"/>
        <v>USD</v>
      </c>
      <c r="N318" s="9" t="str">
        <f t="shared" si="282"/>
        <v>Servicio Nacional de Aduanas</v>
      </c>
      <c r="O318" s="20" t="str">
        <f>"Evolución de las Exportaciones (USD) de frutas desde la "&amp;Agencia[[#This Row],[territorio]]&amp;" para el "&amp;Agencia[[#This Row],[temporalidad]]</f>
        <v>Evolución de las Exportaciones (USD) de frutas desde la Región de Maule para el Periodo 2012-2020</v>
      </c>
      <c r="P318" s="20"/>
      <c r="Q318" s="11" t="str">
        <f t="shared" si="262"/>
        <v>Gráfico de Evolución</v>
      </c>
      <c r="R318" s="45" t="str">
        <f>Agencia[[#This Row],[territorio]]&amp;" valor exportaciones dólar frutas región origen"</f>
        <v>Región de Maule valor exportaciones dólar frutas región origen</v>
      </c>
      <c r="S318" s="39" t="str">
        <f>HYPERLINK("https://analytics.zoho.com/open-view/2395394000007782936?ZOHO_CRITERIA=%22Trasposicion_4.2%22.%22C%C3%B3digo_Regi%C3%B3n%22%20%3D%20"&amp;Agencia[[#This Row],[Filtro URL]])</f>
        <v>https://analytics.zoho.com/open-view/2395394000007782936?ZOHO_CRITERIA=%22Trasposicion_4.2%22.%22C%C3%B3digo_Regi%C3%B3n%22%20%3D%207</v>
      </c>
      <c r="T318" s="68" t="str">
        <f>"100-R-"&amp;Agencia[[#This Row],[Filtro URL]]</f>
        <v>100-R-7</v>
      </c>
      <c r="U318" s="50" t="str">
        <f t="shared" si="288"/>
        <v>#1774B9</v>
      </c>
      <c r="V318" s="118" t="str">
        <f>+Agencia[[#This Row],[idcoleccion]]&amp;"-"&amp;Agencia[[#This Row],[id]]</f>
        <v>990-0307</v>
      </c>
      <c r="W318" s="118">
        <f>+VLOOKUP(Agencia[[#This Row],[Filtro URL]],Estructura!$X$4:$Y$500,2,0)</f>
        <v>99200007</v>
      </c>
      <c r="X318" s="118" t="str">
        <f>+VLOOKUP(Agencia[[#This Row],[tema]],Estructura!$A$4:$C$500,3,0)</f>
        <v>T-1031</v>
      </c>
      <c r="Y318" s="118" t="str">
        <f>+VLOOKUP(Agencia[[#This Row],[contenido]],Estructura!$E$4:$G$500,3,0)</f>
        <v>C-997</v>
      </c>
      <c r="Z318" s="118" t="str">
        <f>+VLOOKUP(Agencia[[#This Row],[Filtro Integrado]],Estructura!$I$4:$K$500,3,0)</f>
        <v>FI-993</v>
      </c>
      <c r="AA318" s="118" t="str">
        <f>+VLOOKUP(Agencia[[#This Row],[Muestra]],Estructura!$M$4:$O$500,3,0)</f>
        <v>M-1020</v>
      </c>
    </row>
    <row r="319" spans="1:27" ht="57.6" x14ac:dyDescent="0.3">
      <c r="A319" s="21" t="s">
        <v>756</v>
      </c>
      <c r="B319" s="24">
        <f t="shared" ref="B319:D319" si="297">+B318</f>
        <v>990</v>
      </c>
      <c r="C319" s="25" t="str">
        <f t="shared" si="297"/>
        <v>Agencia Información</v>
      </c>
      <c r="D319" s="25" t="str">
        <f t="shared" si="297"/>
        <v>Agropecuario y Forestal</v>
      </c>
      <c r="E319" s="19">
        <v>8</v>
      </c>
      <c r="F319" s="10" t="s">
        <v>579</v>
      </c>
      <c r="G319" s="10" t="s">
        <v>3763</v>
      </c>
      <c r="H319" s="35" t="s">
        <v>16</v>
      </c>
      <c r="I319" s="36" t="s">
        <v>375</v>
      </c>
      <c r="J319" s="9" t="str">
        <f t="shared" si="282"/>
        <v>Ninguno</v>
      </c>
      <c r="K319" s="9" t="str">
        <f t="shared" si="282"/>
        <v>Valor de exportaciones por región</v>
      </c>
      <c r="L319" s="9" t="str">
        <f t="shared" si="282"/>
        <v>Periodo 2012-2020</v>
      </c>
      <c r="M319" s="9" t="str">
        <f t="shared" si="282"/>
        <v>USD</v>
      </c>
      <c r="N319" s="9" t="str">
        <f t="shared" si="282"/>
        <v>Servicio Nacional de Aduanas</v>
      </c>
      <c r="O319" s="20" t="str">
        <f>"Evolución de las Exportaciones (USD) de frutas desde la "&amp;Agencia[[#This Row],[territorio]]&amp;" para el "&amp;Agencia[[#This Row],[temporalidad]]</f>
        <v>Evolución de las Exportaciones (USD) de frutas desde la Región del Biobío para el Periodo 2012-2020</v>
      </c>
      <c r="P319" s="20"/>
      <c r="Q319" s="11" t="str">
        <f t="shared" si="262"/>
        <v>Gráfico de Evolución</v>
      </c>
      <c r="R319" s="45" t="str">
        <f>Agencia[[#This Row],[territorio]]&amp;" valor exportaciones dólar frutas región origen"</f>
        <v>Región del Biobío valor exportaciones dólar frutas región origen</v>
      </c>
      <c r="S319" s="39" t="str">
        <f>HYPERLINK("https://analytics.zoho.com/open-view/2395394000007782936?ZOHO_CRITERIA=%22Trasposicion_4.2%22.%22C%C3%B3digo_Regi%C3%B3n%22%20%3D%20"&amp;Agencia[[#This Row],[Filtro URL]])</f>
        <v>https://analytics.zoho.com/open-view/2395394000007782936?ZOHO_CRITERIA=%22Trasposicion_4.2%22.%22C%C3%B3digo_Regi%C3%B3n%22%20%3D%208</v>
      </c>
      <c r="T319" s="68" t="str">
        <f>"100-R-"&amp;Agencia[[#This Row],[Filtro URL]]</f>
        <v>100-R-8</v>
      </c>
      <c r="U319" s="50" t="str">
        <f t="shared" si="288"/>
        <v>#1774B9</v>
      </c>
      <c r="V319" s="118" t="str">
        <f>+Agencia[[#This Row],[idcoleccion]]&amp;"-"&amp;Agencia[[#This Row],[id]]</f>
        <v>990-0308</v>
      </c>
      <c r="W319" s="118">
        <f>+VLOOKUP(Agencia[[#This Row],[Filtro URL]],Estructura!$X$4:$Y$500,2,0)</f>
        <v>99200008</v>
      </c>
      <c r="X319" s="118" t="str">
        <f>+VLOOKUP(Agencia[[#This Row],[tema]],Estructura!$A$4:$C$500,3,0)</f>
        <v>T-1031</v>
      </c>
      <c r="Y319" s="118" t="str">
        <f>+VLOOKUP(Agencia[[#This Row],[contenido]],Estructura!$E$4:$G$500,3,0)</f>
        <v>C-997</v>
      </c>
      <c r="Z319" s="118" t="str">
        <f>+VLOOKUP(Agencia[[#This Row],[Filtro Integrado]],Estructura!$I$4:$K$500,3,0)</f>
        <v>FI-993</v>
      </c>
      <c r="AA319" s="118" t="str">
        <f>+VLOOKUP(Agencia[[#This Row],[Muestra]],Estructura!$M$4:$O$500,3,0)</f>
        <v>M-1020</v>
      </c>
    </row>
    <row r="320" spans="1:27" ht="57.6" x14ac:dyDescent="0.3">
      <c r="A320" s="21" t="s">
        <v>757</v>
      </c>
      <c r="B320" s="24">
        <f t="shared" ref="B320:D320" si="298">+B319</f>
        <v>990</v>
      </c>
      <c r="C320" s="25" t="str">
        <f t="shared" si="298"/>
        <v>Agencia Información</v>
      </c>
      <c r="D320" s="25" t="str">
        <f t="shared" si="298"/>
        <v>Agropecuario y Forestal</v>
      </c>
      <c r="E320" s="19">
        <v>9</v>
      </c>
      <c r="F320" s="10" t="s">
        <v>579</v>
      </c>
      <c r="G320" s="10" t="s">
        <v>3763</v>
      </c>
      <c r="H320" s="35" t="s">
        <v>16</v>
      </c>
      <c r="I320" s="36" t="s">
        <v>376</v>
      </c>
      <c r="J320" s="9" t="str">
        <f t="shared" si="282"/>
        <v>Ninguno</v>
      </c>
      <c r="K320" s="9" t="str">
        <f t="shared" si="282"/>
        <v>Valor de exportaciones por región</v>
      </c>
      <c r="L320" s="9" t="str">
        <f t="shared" si="282"/>
        <v>Periodo 2012-2020</v>
      </c>
      <c r="M320" s="9" t="str">
        <f t="shared" si="282"/>
        <v>USD</v>
      </c>
      <c r="N320" s="9" t="str">
        <f t="shared" si="282"/>
        <v>Servicio Nacional de Aduanas</v>
      </c>
      <c r="O320" s="20" t="str">
        <f>"Evolución de las Exportaciones (USD) de frutas desde la "&amp;Agencia[[#This Row],[territorio]]&amp;" para el "&amp;Agencia[[#This Row],[temporalidad]]</f>
        <v>Evolución de las Exportaciones (USD) de frutas desde la Región de La Araucanía para el Periodo 2012-2020</v>
      </c>
      <c r="P320" s="20"/>
      <c r="Q320" s="11" t="str">
        <f t="shared" si="262"/>
        <v>Gráfico de Evolución</v>
      </c>
      <c r="R320" s="45" t="str">
        <f>Agencia[[#This Row],[territorio]]&amp;" valor exportaciones dólar frutas región origen"</f>
        <v>Región de La Araucanía valor exportaciones dólar frutas región origen</v>
      </c>
      <c r="S320" s="39" t="str">
        <f>HYPERLINK("https://analytics.zoho.com/open-view/2395394000007782936?ZOHO_CRITERIA=%22Trasposicion_4.2%22.%22C%C3%B3digo_Regi%C3%B3n%22%20%3D%20"&amp;Agencia[[#This Row],[Filtro URL]])</f>
        <v>https://analytics.zoho.com/open-view/2395394000007782936?ZOHO_CRITERIA=%22Trasposicion_4.2%22.%22C%C3%B3digo_Regi%C3%B3n%22%20%3D%209</v>
      </c>
      <c r="T320" s="68" t="str">
        <f>"100-R-"&amp;Agencia[[#This Row],[Filtro URL]]</f>
        <v>100-R-9</v>
      </c>
      <c r="U320" s="50" t="str">
        <f t="shared" si="288"/>
        <v>#1774B9</v>
      </c>
      <c r="V320" s="118" t="str">
        <f>+Agencia[[#This Row],[idcoleccion]]&amp;"-"&amp;Agencia[[#This Row],[id]]</f>
        <v>990-0309</v>
      </c>
      <c r="W320" s="118">
        <f>+VLOOKUP(Agencia[[#This Row],[Filtro URL]],Estructura!$X$4:$Y$500,2,0)</f>
        <v>99200009</v>
      </c>
      <c r="X320" s="118" t="str">
        <f>+VLOOKUP(Agencia[[#This Row],[tema]],Estructura!$A$4:$C$500,3,0)</f>
        <v>T-1031</v>
      </c>
      <c r="Y320" s="118" t="str">
        <f>+VLOOKUP(Agencia[[#This Row],[contenido]],Estructura!$E$4:$G$500,3,0)</f>
        <v>C-997</v>
      </c>
      <c r="Z320" s="118" t="str">
        <f>+VLOOKUP(Agencia[[#This Row],[Filtro Integrado]],Estructura!$I$4:$K$500,3,0)</f>
        <v>FI-993</v>
      </c>
      <c r="AA320" s="118" t="str">
        <f>+VLOOKUP(Agencia[[#This Row],[Muestra]],Estructura!$M$4:$O$500,3,0)</f>
        <v>M-1020</v>
      </c>
    </row>
    <row r="321" spans="1:27" ht="57.6" x14ac:dyDescent="0.3">
      <c r="A321" s="21" t="s">
        <v>758</v>
      </c>
      <c r="B321" s="24">
        <f t="shared" ref="B321:D321" si="299">+B320</f>
        <v>990</v>
      </c>
      <c r="C321" s="25" t="str">
        <f t="shared" si="299"/>
        <v>Agencia Información</v>
      </c>
      <c r="D321" s="25" t="str">
        <f t="shared" si="299"/>
        <v>Agropecuario y Forestal</v>
      </c>
      <c r="E321" s="19">
        <v>10</v>
      </c>
      <c r="F321" s="10" t="s">
        <v>579</v>
      </c>
      <c r="G321" s="10" t="s">
        <v>3763</v>
      </c>
      <c r="H321" s="35" t="s">
        <v>16</v>
      </c>
      <c r="I321" s="36" t="s">
        <v>377</v>
      </c>
      <c r="J321" s="9" t="str">
        <f t="shared" ref="J321:N336" si="300">+J320</f>
        <v>Ninguno</v>
      </c>
      <c r="K321" s="9" t="str">
        <f t="shared" si="300"/>
        <v>Valor de exportaciones por región</v>
      </c>
      <c r="L321" s="9" t="str">
        <f t="shared" si="300"/>
        <v>Periodo 2012-2020</v>
      </c>
      <c r="M321" s="9" t="str">
        <f t="shared" si="300"/>
        <v>USD</v>
      </c>
      <c r="N321" s="9" t="str">
        <f t="shared" si="300"/>
        <v>Servicio Nacional de Aduanas</v>
      </c>
      <c r="O321" s="20" t="str">
        <f>"Evolución de las Exportaciones (USD) de frutas desde la "&amp;Agencia[[#This Row],[territorio]]&amp;" para el "&amp;Agencia[[#This Row],[temporalidad]]</f>
        <v>Evolución de las Exportaciones (USD) de frutas desde la Región de Los Lagos para el Periodo 2012-2020</v>
      </c>
      <c r="P321" s="20"/>
      <c r="Q321" s="11" t="str">
        <f t="shared" si="262"/>
        <v>Gráfico de Evolución</v>
      </c>
      <c r="R321" s="45" t="str">
        <f>Agencia[[#This Row],[territorio]]&amp;" valor exportaciones dólar frutas región origen"</f>
        <v>Región de Los Lagos valor exportaciones dólar frutas región origen</v>
      </c>
      <c r="S321" s="39" t="str">
        <f>HYPERLINK("https://analytics.zoho.com/open-view/2395394000007782936?ZOHO_CRITERIA=%22Trasposicion_4.2%22.%22C%C3%B3digo_Regi%C3%B3n%22%20%3D%20"&amp;Agencia[[#This Row],[Filtro URL]])</f>
        <v>https://analytics.zoho.com/open-view/2395394000007782936?ZOHO_CRITERIA=%22Trasposicion_4.2%22.%22C%C3%B3digo_Regi%C3%B3n%22%20%3D%2010</v>
      </c>
      <c r="T321" s="68" t="str">
        <f>"100-R-"&amp;Agencia[[#This Row],[Filtro URL]]</f>
        <v>100-R-10</v>
      </c>
      <c r="U321" s="50" t="str">
        <f t="shared" si="288"/>
        <v>#1774B9</v>
      </c>
      <c r="V321" s="118" t="str">
        <f>+Agencia[[#This Row],[idcoleccion]]&amp;"-"&amp;Agencia[[#This Row],[id]]</f>
        <v>990-0310</v>
      </c>
      <c r="W321" s="118">
        <f>+VLOOKUP(Agencia[[#This Row],[Filtro URL]],Estructura!$X$4:$Y$500,2,0)</f>
        <v>99200010</v>
      </c>
      <c r="X321" s="118" t="str">
        <f>+VLOOKUP(Agencia[[#This Row],[tema]],Estructura!$A$4:$C$500,3,0)</f>
        <v>T-1031</v>
      </c>
      <c r="Y321" s="118" t="str">
        <f>+VLOOKUP(Agencia[[#This Row],[contenido]],Estructura!$E$4:$G$500,3,0)</f>
        <v>C-997</v>
      </c>
      <c r="Z321" s="118" t="str">
        <f>+VLOOKUP(Agencia[[#This Row],[Filtro Integrado]],Estructura!$I$4:$K$500,3,0)</f>
        <v>FI-993</v>
      </c>
      <c r="AA321" s="118" t="str">
        <f>+VLOOKUP(Agencia[[#This Row],[Muestra]],Estructura!$M$4:$O$500,3,0)</f>
        <v>M-1020</v>
      </c>
    </row>
    <row r="322" spans="1:27" ht="57.6" x14ac:dyDescent="0.3">
      <c r="A322" s="21" t="s">
        <v>759</v>
      </c>
      <c r="B322" s="24">
        <f t="shared" ref="B322:D322" si="301">+B321</f>
        <v>990</v>
      </c>
      <c r="C322" s="25" t="str">
        <f t="shared" si="301"/>
        <v>Agencia Información</v>
      </c>
      <c r="D322" s="25" t="str">
        <f t="shared" si="301"/>
        <v>Agropecuario y Forestal</v>
      </c>
      <c r="E322" s="19">
        <v>11</v>
      </c>
      <c r="F322" s="10" t="s">
        <v>579</v>
      </c>
      <c r="G322" s="10" t="s">
        <v>3763</v>
      </c>
      <c r="H322" s="35" t="s">
        <v>16</v>
      </c>
      <c r="I322" s="36" t="s">
        <v>378</v>
      </c>
      <c r="J322" s="9" t="str">
        <f t="shared" si="300"/>
        <v>Ninguno</v>
      </c>
      <c r="K322" s="9" t="str">
        <f t="shared" si="300"/>
        <v>Valor de exportaciones por región</v>
      </c>
      <c r="L322" s="9" t="str">
        <f t="shared" si="300"/>
        <v>Periodo 2012-2020</v>
      </c>
      <c r="M322" s="9" t="str">
        <f t="shared" si="300"/>
        <v>USD</v>
      </c>
      <c r="N322" s="9" t="str">
        <f t="shared" si="300"/>
        <v>Servicio Nacional de Aduanas</v>
      </c>
      <c r="O322" s="20" t="str">
        <f>"Evolución de las Exportaciones (USD) de frutas desde la "&amp;Agencia[[#This Row],[territorio]]&amp;" para el "&amp;Agencia[[#This Row],[temporalidad]]</f>
        <v>Evolución de las Exportaciones (USD) de frutas desde la Región de Aysén para el Periodo 2012-2020</v>
      </c>
      <c r="P322" s="20"/>
      <c r="Q322" s="11" t="str">
        <f t="shared" si="262"/>
        <v>Gráfico de Evolución</v>
      </c>
      <c r="R322" s="45" t="str">
        <f>Agencia[[#This Row],[territorio]]&amp;" valor exportaciones dólar frutas región origen"</f>
        <v>Región de Aysén valor exportaciones dólar frutas región origen</v>
      </c>
      <c r="S322" s="39" t="str">
        <f>HYPERLINK("https://analytics.zoho.com/open-view/2395394000007782936?ZOHO_CRITERIA=%22Trasposicion_4.2%22.%22C%C3%B3digo_Regi%C3%B3n%22%20%3D%20"&amp;Agencia[[#This Row],[Filtro URL]])</f>
        <v>https://analytics.zoho.com/open-view/2395394000007782936?ZOHO_CRITERIA=%22Trasposicion_4.2%22.%22C%C3%B3digo_Regi%C3%B3n%22%20%3D%2011</v>
      </c>
      <c r="T322" s="68" t="str">
        <f>"100-R-"&amp;Agencia[[#This Row],[Filtro URL]]</f>
        <v>100-R-11</v>
      </c>
      <c r="U322" s="50" t="str">
        <f t="shared" si="288"/>
        <v>#1774B9</v>
      </c>
      <c r="V322" s="118" t="str">
        <f>+Agencia[[#This Row],[idcoleccion]]&amp;"-"&amp;Agencia[[#This Row],[id]]</f>
        <v>990-0311</v>
      </c>
      <c r="W322" s="118">
        <f>+VLOOKUP(Agencia[[#This Row],[Filtro URL]],Estructura!$X$4:$Y$500,2,0)</f>
        <v>99200011</v>
      </c>
      <c r="X322" s="118" t="str">
        <f>+VLOOKUP(Agencia[[#This Row],[tema]],Estructura!$A$4:$C$500,3,0)</f>
        <v>T-1031</v>
      </c>
      <c r="Y322" s="118" t="str">
        <f>+VLOOKUP(Agencia[[#This Row],[contenido]],Estructura!$E$4:$G$500,3,0)</f>
        <v>C-997</v>
      </c>
      <c r="Z322" s="118" t="str">
        <f>+VLOOKUP(Agencia[[#This Row],[Filtro Integrado]],Estructura!$I$4:$K$500,3,0)</f>
        <v>FI-993</v>
      </c>
      <c r="AA322" s="118" t="str">
        <f>+VLOOKUP(Agencia[[#This Row],[Muestra]],Estructura!$M$4:$O$500,3,0)</f>
        <v>M-1020</v>
      </c>
    </row>
    <row r="323" spans="1:27" ht="57.6" x14ac:dyDescent="0.3">
      <c r="A323" s="21" t="s">
        <v>760</v>
      </c>
      <c r="B323" s="24">
        <f t="shared" ref="B323:D323" si="302">+B322</f>
        <v>990</v>
      </c>
      <c r="C323" s="25" t="str">
        <f t="shared" si="302"/>
        <v>Agencia Información</v>
      </c>
      <c r="D323" s="25" t="str">
        <f t="shared" si="302"/>
        <v>Agropecuario y Forestal</v>
      </c>
      <c r="E323" s="19">
        <v>12</v>
      </c>
      <c r="F323" s="10" t="s">
        <v>579</v>
      </c>
      <c r="G323" s="10" t="s">
        <v>3763</v>
      </c>
      <c r="H323" s="35" t="s">
        <v>16</v>
      </c>
      <c r="I323" s="36" t="s">
        <v>379</v>
      </c>
      <c r="J323" s="9" t="str">
        <f t="shared" si="300"/>
        <v>Ninguno</v>
      </c>
      <c r="K323" s="9" t="str">
        <f t="shared" si="300"/>
        <v>Valor de exportaciones por región</v>
      </c>
      <c r="L323" s="9" t="str">
        <f t="shared" si="300"/>
        <v>Periodo 2012-2020</v>
      </c>
      <c r="M323" s="9" t="str">
        <f t="shared" si="300"/>
        <v>USD</v>
      </c>
      <c r="N323" s="9" t="str">
        <f t="shared" si="300"/>
        <v>Servicio Nacional de Aduanas</v>
      </c>
      <c r="O323" s="20" t="str">
        <f>"Evolución de las Exportaciones (USD) de frutas desde la "&amp;Agencia[[#This Row],[territorio]]&amp;" para el "&amp;Agencia[[#This Row],[temporalidad]]</f>
        <v>Evolución de las Exportaciones (USD) de frutas desde la Región de Magallanes para el Periodo 2012-2020</v>
      </c>
      <c r="P323" s="20"/>
      <c r="Q323" s="11" t="str">
        <f t="shared" si="262"/>
        <v>Gráfico de Evolución</v>
      </c>
      <c r="R323" s="45" t="str">
        <f>Agencia[[#This Row],[territorio]]&amp;" valor exportaciones dólar frutas región origen"</f>
        <v>Región de Magallanes valor exportaciones dólar frutas región origen</v>
      </c>
      <c r="S323" s="39" t="str">
        <f>HYPERLINK("https://analytics.zoho.com/open-view/2395394000007782936?ZOHO_CRITERIA=%22Trasposicion_4.2%22.%22C%C3%B3digo_Regi%C3%B3n%22%20%3D%20"&amp;Agencia[[#This Row],[Filtro URL]])</f>
        <v>https://analytics.zoho.com/open-view/2395394000007782936?ZOHO_CRITERIA=%22Trasposicion_4.2%22.%22C%C3%B3digo_Regi%C3%B3n%22%20%3D%2012</v>
      </c>
      <c r="T323" s="68" t="str">
        <f>"100-R-"&amp;Agencia[[#This Row],[Filtro URL]]</f>
        <v>100-R-12</v>
      </c>
      <c r="U323" s="50" t="str">
        <f t="shared" si="288"/>
        <v>#1774B9</v>
      </c>
      <c r="V323" s="118" t="str">
        <f>+Agencia[[#This Row],[idcoleccion]]&amp;"-"&amp;Agencia[[#This Row],[id]]</f>
        <v>990-0312</v>
      </c>
      <c r="W323" s="118">
        <f>+VLOOKUP(Agencia[[#This Row],[Filtro URL]],Estructura!$X$4:$Y$500,2,0)</f>
        <v>99200012</v>
      </c>
      <c r="X323" s="118" t="str">
        <f>+VLOOKUP(Agencia[[#This Row],[tema]],Estructura!$A$4:$C$500,3,0)</f>
        <v>T-1031</v>
      </c>
      <c r="Y323" s="118" t="str">
        <f>+VLOOKUP(Agencia[[#This Row],[contenido]],Estructura!$E$4:$G$500,3,0)</f>
        <v>C-997</v>
      </c>
      <c r="Z323" s="118" t="str">
        <f>+VLOOKUP(Agencia[[#This Row],[Filtro Integrado]],Estructura!$I$4:$K$500,3,0)</f>
        <v>FI-993</v>
      </c>
      <c r="AA323" s="118" t="str">
        <f>+VLOOKUP(Agencia[[#This Row],[Muestra]],Estructura!$M$4:$O$500,3,0)</f>
        <v>M-1020</v>
      </c>
    </row>
    <row r="324" spans="1:27" ht="61.2" x14ac:dyDescent="0.3">
      <c r="A324" s="21" t="s">
        <v>761</v>
      </c>
      <c r="B324" s="24">
        <f t="shared" ref="B324:D324" si="303">+B323</f>
        <v>990</v>
      </c>
      <c r="C324" s="25" t="str">
        <f t="shared" si="303"/>
        <v>Agencia Información</v>
      </c>
      <c r="D324" s="25" t="str">
        <f t="shared" si="303"/>
        <v>Agropecuario y Forestal</v>
      </c>
      <c r="E324" s="19">
        <v>13</v>
      </c>
      <c r="F324" s="10" t="s">
        <v>579</v>
      </c>
      <c r="G324" s="10" t="s">
        <v>3763</v>
      </c>
      <c r="H324" s="35" t="s">
        <v>16</v>
      </c>
      <c r="I324" s="36" t="s">
        <v>380</v>
      </c>
      <c r="J324" s="9" t="str">
        <f t="shared" si="300"/>
        <v>Ninguno</v>
      </c>
      <c r="K324" s="9" t="str">
        <f t="shared" si="300"/>
        <v>Valor de exportaciones por región</v>
      </c>
      <c r="L324" s="9" t="str">
        <f t="shared" si="300"/>
        <v>Periodo 2012-2020</v>
      </c>
      <c r="M324" s="9" t="str">
        <f t="shared" si="300"/>
        <v>USD</v>
      </c>
      <c r="N324" s="9" t="str">
        <f t="shared" si="300"/>
        <v>Servicio Nacional de Aduanas</v>
      </c>
      <c r="O324" s="20" t="str">
        <f>"Evolución de las Exportaciones (USD) de frutas desde la "&amp;Agencia[[#This Row],[territorio]]&amp;" para el "&amp;Agencia[[#This Row],[temporalidad]]</f>
        <v>Evolución de las Exportaciones (USD) de frutas desde la Región Metropolitana para el Periodo 2012-2020</v>
      </c>
      <c r="P324" s="20" t="s">
        <v>927</v>
      </c>
      <c r="Q324" s="11" t="str">
        <f t="shared" si="262"/>
        <v>Gráfico de Evolución</v>
      </c>
      <c r="R324" s="45" t="str">
        <f>Agencia[[#This Row],[territorio]]&amp;" valor exportaciones dólar frutas región origen"</f>
        <v>Región Metropolitana valor exportaciones dólar frutas región origen</v>
      </c>
      <c r="S324" s="39" t="str">
        <f>HYPERLINK("https://analytics.zoho.com/open-view/2395394000007782936?ZOHO_CRITERIA=%22Trasposicion_4.2%22.%22C%C3%B3digo_Regi%C3%B3n%22%20%3D%20"&amp;Agencia[[#This Row],[Filtro URL]])</f>
        <v>https://analytics.zoho.com/open-view/2395394000007782936?ZOHO_CRITERIA=%22Trasposicion_4.2%22.%22C%C3%B3digo_Regi%C3%B3n%22%20%3D%2013</v>
      </c>
      <c r="T324" s="68" t="str">
        <f>"200-R-"&amp;Agencia[[#This Row],[Filtro URL]]</f>
        <v>200-R-13</v>
      </c>
      <c r="U324" s="50" t="str">
        <f t="shared" si="288"/>
        <v>#1774B9</v>
      </c>
      <c r="V324" s="118" t="str">
        <f>+Agencia[[#This Row],[idcoleccion]]&amp;"-"&amp;Agencia[[#This Row],[id]]</f>
        <v>990-0313</v>
      </c>
      <c r="W324" s="118">
        <f>+VLOOKUP(Agencia[[#This Row],[Filtro URL]],Estructura!$X$4:$Y$500,2,0)</f>
        <v>99200013</v>
      </c>
      <c r="X324" s="118" t="str">
        <f>+VLOOKUP(Agencia[[#This Row],[tema]],Estructura!$A$4:$C$500,3,0)</f>
        <v>T-1031</v>
      </c>
      <c r="Y324" s="118" t="str">
        <f>+VLOOKUP(Agencia[[#This Row],[contenido]],Estructura!$E$4:$G$500,3,0)</f>
        <v>C-997</v>
      </c>
      <c r="Z324" s="118" t="str">
        <f>+VLOOKUP(Agencia[[#This Row],[Filtro Integrado]],Estructura!$I$4:$K$500,3,0)</f>
        <v>FI-993</v>
      </c>
      <c r="AA324" s="118" t="str">
        <f>+VLOOKUP(Agencia[[#This Row],[Muestra]],Estructura!$M$4:$O$500,3,0)</f>
        <v>M-1020</v>
      </c>
    </row>
    <row r="325" spans="1:27" ht="57.6" x14ac:dyDescent="0.3">
      <c r="A325" s="21" t="s">
        <v>762</v>
      </c>
      <c r="B325" s="24">
        <f t="shared" ref="B325:D325" si="304">+B324</f>
        <v>990</v>
      </c>
      <c r="C325" s="25" t="str">
        <f t="shared" si="304"/>
        <v>Agencia Información</v>
      </c>
      <c r="D325" s="25" t="str">
        <f t="shared" si="304"/>
        <v>Agropecuario y Forestal</v>
      </c>
      <c r="E325" s="19">
        <v>14</v>
      </c>
      <c r="F325" s="10" t="s">
        <v>579</v>
      </c>
      <c r="G325" s="10" t="s">
        <v>3763</v>
      </c>
      <c r="H325" s="35" t="s">
        <v>16</v>
      </c>
      <c r="I325" s="36" t="s">
        <v>381</v>
      </c>
      <c r="J325" s="9" t="str">
        <f t="shared" si="300"/>
        <v>Ninguno</v>
      </c>
      <c r="K325" s="9" t="str">
        <f t="shared" si="300"/>
        <v>Valor de exportaciones por región</v>
      </c>
      <c r="L325" s="9" t="str">
        <f t="shared" si="300"/>
        <v>Periodo 2012-2020</v>
      </c>
      <c r="M325" s="9" t="str">
        <f t="shared" si="300"/>
        <v>USD</v>
      </c>
      <c r="N325" s="9" t="str">
        <f t="shared" si="300"/>
        <v>Servicio Nacional de Aduanas</v>
      </c>
      <c r="O325" s="20" t="str">
        <f>"Evolución de las Exportaciones (USD) de frutas desde la "&amp;Agencia[[#This Row],[territorio]]&amp;" para el "&amp;Agencia[[#This Row],[temporalidad]]</f>
        <v>Evolución de las Exportaciones (USD) de frutas desde la Región de Los Ríos para el Periodo 2012-2020</v>
      </c>
      <c r="P325" s="20"/>
      <c r="Q325" s="11" t="str">
        <f t="shared" si="262"/>
        <v>Gráfico de Evolución</v>
      </c>
      <c r="R325" s="45" t="str">
        <f>Agencia[[#This Row],[territorio]]&amp;" valor exportaciones dólar frutas región origen"</f>
        <v>Región de Los Ríos valor exportaciones dólar frutas región origen</v>
      </c>
      <c r="S325" s="39" t="str">
        <f>HYPERLINK("https://analytics.zoho.com/open-view/2395394000007782936?ZOHO_CRITERIA=%22Trasposicion_4.2%22.%22C%C3%B3digo_Regi%C3%B3n%22%20%3D%20"&amp;Agencia[[#This Row],[Filtro URL]])</f>
        <v>https://analytics.zoho.com/open-view/2395394000007782936?ZOHO_CRITERIA=%22Trasposicion_4.2%22.%22C%C3%B3digo_Regi%C3%B3n%22%20%3D%2014</v>
      </c>
      <c r="T325" s="68" t="str">
        <f>"100-R-"&amp;Agencia[[#This Row],[Filtro URL]]</f>
        <v>100-R-14</v>
      </c>
      <c r="U325" s="50" t="str">
        <f t="shared" si="288"/>
        <v>#1774B9</v>
      </c>
      <c r="V325" s="118" t="str">
        <f>+Agencia[[#This Row],[idcoleccion]]&amp;"-"&amp;Agencia[[#This Row],[id]]</f>
        <v>990-0314</v>
      </c>
      <c r="W325" s="118">
        <f>+VLOOKUP(Agencia[[#This Row],[Filtro URL]],Estructura!$X$4:$Y$500,2,0)</f>
        <v>99200014</v>
      </c>
      <c r="X325" s="118" t="str">
        <f>+VLOOKUP(Agencia[[#This Row],[tema]],Estructura!$A$4:$C$500,3,0)</f>
        <v>T-1031</v>
      </c>
      <c r="Y325" s="118" t="str">
        <f>+VLOOKUP(Agencia[[#This Row],[contenido]],Estructura!$E$4:$G$500,3,0)</f>
        <v>C-997</v>
      </c>
      <c r="Z325" s="118" t="str">
        <f>+VLOOKUP(Agencia[[#This Row],[Filtro Integrado]],Estructura!$I$4:$K$500,3,0)</f>
        <v>FI-993</v>
      </c>
      <c r="AA325" s="118" t="str">
        <f>+VLOOKUP(Agencia[[#This Row],[Muestra]],Estructura!$M$4:$O$500,3,0)</f>
        <v>M-1020</v>
      </c>
    </row>
    <row r="326" spans="1:27" ht="57.6" x14ac:dyDescent="0.3">
      <c r="A326" s="21" t="s">
        <v>763</v>
      </c>
      <c r="B326" s="24">
        <f t="shared" ref="B326:D326" si="305">+B325</f>
        <v>990</v>
      </c>
      <c r="C326" s="25" t="str">
        <f t="shared" si="305"/>
        <v>Agencia Información</v>
      </c>
      <c r="D326" s="25" t="str">
        <f t="shared" si="305"/>
        <v>Agropecuario y Forestal</v>
      </c>
      <c r="E326" s="19">
        <v>15</v>
      </c>
      <c r="F326" s="10" t="s">
        <v>579</v>
      </c>
      <c r="G326" s="10" t="s">
        <v>3763</v>
      </c>
      <c r="H326" s="35" t="s">
        <v>16</v>
      </c>
      <c r="I326" s="36" t="s">
        <v>382</v>
      </c>
      <c r="J326" s="9" t="str">
        <f t="shared" si="300"/>
        <v>Ninguno</v>
      </c>
      <c r="K326" s="9" t="str">
        <f t="shared" si="300"/>
        <v>Valor de exportaciones por región</v>
      </c>
      <c r="L326" s="9" t="str">
        <f t="shared" si="300"/>
        <v>Periodo 2012-2020</v>
      </c>
      <c r="M326" s="9" t="str">
        <f t="shared" si="300"/>
        <v>USD</v>
      </c>
      <c r="N326" s="9" t="str">
        <f t="shared" si="300"/>
        <v>Servicio Nacional de Aduanas</v>
      </c>
      <c r="O326" s="20" t="str">
        <f>"Evolución de las Exportaciones (USD) de frutas desde la "&amp;Agencia[[#This Row],[territorio]]&amp;" para el "&amp;Agencia[[#This Row],[temporalidad]]</f>
        <v>Evolución de las Exportaciones (USD) de frutas desde la Región de Arica y Parinacota para el Periodo 2012-2020</v>
      </c>
      <c r="P326" s="20"/>
      <c r="Q326" s="11" t="str">
        <f t="shared" si="262"/>
        <v>Gráfico de Evolución</v>
      </c>
      <c r="R326" s="45" t="str">
        <f>Agencia[[#This Row],[territorio]]&amp;" valor exportaciones dólar frutas región origen"</f>
        <v>Región de Arica y Parinacota valor exportaciones dólar frutas región origen</v>
      </c>
      <c r="S326" s="39" t="str">
        <f>HYPERLINK("https://analytics.zoho.com/open-view/2395394000007782936?ZOHO_CRITERIA=%22Trasposicion_4.2%22.%22C%C3%B3digo_Regi%C3%B3n%22%20%3D%20"&amp;Agencia[[#This Row],[Filtro URL]])</f>
        <v>https://analytics.zoho.com/open-view/2395394000007782936?ZOHO_CRITERIA=%22Trasposicion_4.2%22.%22C%C3%B3digo_Regi%C3%B3n%22%20%3D%2015</v>
      </c>
      <c r="T326" s="68" t="str">
        <f>"100-R-"&amp;Agencia[[#This Row],[Filtro URL]]</f>
        <v>100-R-15</v>
      </c>
      <c r="U326" s="50" t="str">
        <f t="shared" si="288"/>
        <v>#1774B9</v>
      </c>
      <c r="V326" s="118" t="str">
        <f>+Agencia[[#This Row],[idcoleccion]]&amp;"-"&amp;Agencia[[#This Row],[id]]</f>
        <v>990-0315</v>
      </c>
      <c r="W326" s="118">
        <f>+VLOOKUP(Agencia[[#This Row],[Filtro URL]],Estructura!$X$4:$Y$500,2,0)</f>
        <v>99200015</v>
      </c>
      <c r="X326" s="118" t="str">
        <f>+VLOOKUP(Agencia[[#This Row],[tema]],Estructura!$A$4:$C$500,3,0)</f>
        <v>T-1031</v>
      </c>
      <c r="Y326" s="118" t="str">
        <f>+VLOOKUP(Agencia[[#This Row],[contenido]],Estructura!$E$4:$G$500,3,0)</f>
        <v>C-997</v>
      </c>
      <c r="Z326" s="118" t="str">
        <f>+VLOOKUP(Agencia[[#This Row],[Filtro Integrado]],Estructura!$I$4:$K$500,3,0)</f>
        <v>FI-993</v>
      </c>
      <c r="AA326" s="118" t="str">
        <f>+VLOOKUP(Agencia[[#This Row],[Muestra]],Estructura!$M$4:$O$500,3,0)</f>
        <v>M-1020</v>
      </c>
    </row>
    <row r="327" spans="1:27" ht="57.6" x14ac:dyDescent="0.3">
      <c r="A327" s="21" t="s">
        <v>764</v>
      </c>
      <c r="B327" s="24">
        <f t="shared" ref="B327:D327" si="306">+B326</f>
        <v>990</v>
      </c>
      <c r="C327" s="25" t="str">
        <f t="shared" si="306"/>
        <v>Agencia Información</v>
      </c>
      <c r="D327" s="25" t="str">
        <f t="shared" si="306"/>
        <v>Agropecuario y Forestal</v>
      </c>
      <c r="E327" s="19">
        <v>16</v>
      </c>
      <c r="F327" s="10" t="s">
        <v>579</v>
      </c>
      <c r="G327" s="10" t="s">
        <v>3763</v>
      </c>
      <c r="H327" s="35" t="s">
        <v>16</v>
      </c>
      <c r="I327" s="36" t="s">
        <v>383</v>
      </c>
      <c r="J327" s="9" t="str">
        <f t="shared" si="300"/>
        <v>Ninguno</v>
      </c>
      <c r="K327" s="9" t="str">
        <f t="shared" si="300"/>
        <v>Valor de exportaciones por región</v>
      </c>
      <c r="L327" s="9" t="str">
        <f t="shared" si="300"/>
        <v>Periodo 2012-2020</v>
      </c>
      <c r="M327" s="9" t="str">
        <f t="shared" si="300"/>
        <v>USD</v>
      </c>
      <c r="N327" s="9" t="str">
        <f t="shared" si="300"/>
        <v>Servicio Nacional de Aduanas</v>
      </c>
      <c r="O327" s="20" t="str">
        <f>"Evolución de las Exportaciones (USD) de frutas desde la "&amp;Agencia[[#This Row],[territorio]]&amp;" para el "&amp;Agencia[[#This Row],[temporalidad]]</f>
        <v>Evolución de las Exportaciones (USD) de frutas desde la Región de Ñuble para el Periodo 2012-2020</v>
      </c>
      <c r="P327" s="20"/>
      <c r="Q327" s="11" t="str">
        <f t="shared" si="262"/>
        <v>Gráfico de Evolución</v>
      </c>
      <c r="R327" s="45" t="str">
        <f>Agencia[[#This Row],[territorio]]&amp;" valor exportaciones dólar frutas región origen"</f>
        <v>Región de Ñuble valor exportaciones dólar frutas región origen</v>
      </c>
      <c r="S327" s="39" t="str">
        <f>HYPERLINK("https://analytics.zoho.com/open-view/2395394000007782936?ZOHO_CRITERIA=%22Trasposicion_4.2%22.%22C%C3%B3digo_Regi%C3%B3n%22%20%3D%20"&amp;Agencia[[#This Row],[Filtro URL]])</f>
        <v>https://analytics.zoho.com/open-view/2395394000007782936?ZOHO_CRITERIA=%22Trasposicion_4.2%22.%22C%C3%B3digo_Regi%C3%B3n%22%20%3D%2016</v>
      </c>
      <c r="T327" s="68" t="str">
        <f>"100-R-"&amp;Agencia[[#This Row],[Filtro URL]]</f>
        <v>100-R-16</v>
      </c>
      <c r="U327" s="50" t="str">
        <f t="shared" si="288"/>
        <v>#1774B9</v>
      </c>
      <c r="V327" s="118" t="str">
        <f>+Agencia[[#This Row],[idcoleccion]]&amp;"-"&amp;Agencia[[#This Row],[id]]</f>
        <v>990-0316</v>
      </c>
      <c r="W327" s="118">
        <f>+VLOOKUP(Agencia[[#This Row],[Filtro URL]],Estructura!$X$4:$Y$500,2,0)</f>
        <v>99200016</v>
      </c>
      <c r="X327" s="118" t="str">
        <f>+VLOOKUP(Agencia[[#This Row],[tema]],Estructura!$A$4:$C$500,3,0)</f>
        <v>T-1031</v>
      </c>
      <c r="Y327" s="118" t="str">
        <f>+VLOOKUP(Agencia[[#This Row],[contenido]],Estructura!$E$4:$G$500,3,0)</f>
        <v>C-997</v>
      </c>
      <c r="Z327" s="118" t="str">
        <f>+VLOOKUP(Agencia[[#This Row],[Filtro Integrado]],Estructura!$I$4:$K$500,3,0)</f>
        <v>FI-993</v>
      </c>
      <c r="AA327" s="118" t="str">
        <f>+VLOOKUP(Agencia[[#This Row],[Muestra]],Estructura!$M$4:$O$500,3,0)</f>
        <v>M-1020</v>
      </c>
    </row>
    <row r="328" spans="1:27" ht="61.2" x14ac:dyDescent="0.3">
      <c r="A328" s="21" t="s">
        <v>765</v>
      </c>
      <c r="B328" s="24">
        <f t="shared" ref="B328:C328" si="307">+B327</f>
        <v>990</v>
      </c>
      <c r="C328" s="25" t="str">
        <f t="shared" si="307"/>
        <v>Agencia Información</v>
      </c>
      <c r="D328" s="25" t="s">
        <v>578</v>
      </c>
      <c r="E328" s="14">
        <v>0</v>
      </c>
      <c r="F328" s="10" t="s">
        <v>579</v>
      </c>
      <c r="G328" s="10" t="s">
        <v>3763</v>
      </c>
      <c r="H328" s="33" t="s">
        <v>20</v>
      </c>
      <c r="I328" s="34" t="s">
        <v>15</v>
      </c>
      <c r="J328" s="9" t="s">
        <v>404</v>
      </c>
      <c r="K328" s="9" t="s">
        <v>931</v>
      </c>
      <c r="L328" s="9" t="s">
        <v>580</v>
      </c>
      <c r="M328" s="9" t="s">
        <v>928</v>
      </c>
      <c r="N328" s="9" t="s">
        <v>582</v>
      </c>
      <c r="O328" s="20" t="str">
        <f>"Valor acumulado (USD) de Exportaciones Frutícolas por país de destino, "&amp;Agencia[[#This Row],[temporalidad]]</f>
        <v>Valor acumulado (USD) de Exportaciones Frutícolas por país de destino, Periodo 2012-2020</v>
      </c>
      <c r="P328" s="20" t="s">
        <v>932</v>
      </c>
      <c r="Q328" s="11" t="s">
        <v>831</v>
      </c>
      <c r="R328" s="20" t="str">
        <f>Agencia[[#This Row],[territorio]]&amp;" exportaciones valor dólar frutas nacional"</f>
        <v>Chile exportaciones valor dólar frutas nacional</v>
      </c>
      <c r="S328" s="39" t="s">
        <v>930</v>
      </c>
      <c r="T328" s="68">
        <v>0</v>
      </c>
      <c r="U328" s="50" t="str">
        <f t="shared" si="288"/>
        <v>#1774B9</v>
      </c>
      <c r="V328" s="118" t="str">
        <f>+Agencia[[#This Row],[idcoleccion]]&amp;"-"&amp;Agencia[[#This Row],[id]]</f>
        <v>990-0317</v>
      </c>
      <c r="W328" s="118">
        <f>+VLOOKUP(Agencia[[#This Row],[Filtro URL]],Estructura!$X$4:$Y$500,2,0)</f>
        <v>99100000</v>
      </c>
      <c r="X328" s="118" t="str">
        <f>+VLOOKUP(Agencia[[#This Row],[tema]],Estructura!$A$4:$C$500,3,0)</f>
        <v>T-1031</v>
      </c>
      <c r="Y328" s="118" t="str">
        <f>+VLOOKUP(Agencia[[#This Row],[contenido]],Estructura!$E$4:$G$500,3,0)</f>
        <v>C-997</v>
      </c>
      <c r="Z328" s="118" t="str">
        <f>+VLOOKUP(Agencia[[#This Row],[Filtro Integrado]],Estructura!$I$4:$K$500,3,0)</f>
        <v>FI-993</v>
      </c>
      <c r="AA328" s="118" t="str">
        <f>+VLOOKUP(Agencia[[#This Row],[Muestra]],Estructura!$M$4:$O$500,3,0)</f>
        <v>M-1021</v>
      </c>
    </row>
    <row r="329" spans="1:27" ht="48" x14ac:dyDescent="0.3">
      <c r="A329" s="21" t="s">
        <v>766</v>
      </c>
      <c r="B329" s="24">
        <f t="shared" ref="B329:C329" si="308">+B328</f>
        <v>990</v>
      </c>
      <c r="C329" s="25" t="str">
        <f t="shared" si="308"/>
        <v>Agencia Información</v>
      </c>
      <c r="D329" s="25" t="s">
        <v>933</v>
      </c>
      <c r="E329" s="14">
        <v>0</v>
      </c>
      <c r="F329" s="10" t="s">
        <v>1521</v>
      </c>
      <c r="G329" s="10" t="s">
        <v>933</v>
      </c>
      <c r="H329" s="33" t="s">
        <v>20</v>
      </c>
      <c r="I329" s="34" t="s">
        <v>15</v>
      </c>
      <c r="J329" s="9" t="s">
        <v>16</v>
      </c>
      <c r="K329" s="48" t="s">
        <v>936</v>
      </c>
      <c r="L329" s="38" t="s">
        <v>614</v>
      </c>
      <c r="M329" s="9" t="s">
        <v>934</v>
      </c>
      <c r="N329" s="9" t="s">
        <v>935</v>
      </c>
      <c r="O329" s="45" t="str">
        <f>"Capacidad Instalada (MW) de Centrales de Energía Renovable y No Renovable en "&amp;Agencia[[#This Row],[territorio]]&amp;", para el "&amp;Agencia[[#This Row],[temporalidad]]</f>
        <v>Capacidad Instalada (MW) de Centrales de Energía Renovable y No Renovable en Chile, para el Año 2021</v>
      </c>
      <c r="P329" s="20"/>
      <c r="Q329" s="11" t="s">
        <v>584</v>
      </c>
      <c r="R329" s="20" t="str">
        <f>Agencia[[#This Row],[territorio]]&amp;" energía capacidad instalada MW ERNC renovable regional potencia neta"</f>
        <v>Chile energía capacidad instalada MW ERNC renovable regional potencia neta</v>
      </c>
      <c r="S329" s="102" t="s">
        <v>8316</v>
      </c>
      <c r="T329" s="68" t="s">
        <v>855</v>
      </c>
      <c r="U329" s="50" t="str">
        <f t="shared" si="288"/>
        <v>#1774B9</v>
      </c>
      <c r="V329" s="118" t="str">
        <f>+Agencia[[#This Row],[idcoleccion]]&amp;"-"&amp;Agencia[[#This Row],[id]]</f>
        <v>990-0318</v>
      </c>
      <c r="W329" s="118">
        <f>+VLOOKUP(Agencia[[#This Row],[Filtro URL]],Estructura!$X$4:$Y$500,2,0)</f>
        <v>99100000</v>
      </c>
      <c r="X329" s="118" t="str">
        <f>+VLOOKUP(Agencia[[#This Row],[tema]],Estructura!$A$4:$C$500,3,0)</f>
        <v>T-1041</v>
      </c>
      <c r="Y329" s="118" t="str">
        <f>+VLOOKUP(Agencia[[#This Row],[contenido]],Estructura!$E$4:$G$500,3,0)</f>
        <v>C-1000</v>
      </c>
      <c r="Z329" s="118" t="str">
        <f>+VLOOKUP(Agencia[[#This Row],[Filtro Integrado]],Estructura!$I$4:$K$500,3,0)</f>
        <v>FI-992</v>
      </c>
      <c r="AA329" s="118" t="str">
        <f>+VLOOKUP(Agencia[[#This Row],[Muestra]],Estructura!$M$4:$O$500,3,0)</f>
        <v>M-1022</v>
      </c>
    </row>
    <row r="330" spans="1:27" ht="72" x14ac:dyDescent="0.3">
      <c r="A330" s="21" t="s">
        <v>767</v>
      </c>
      <c r="B330" s="24">
        <f t="shared" ref="B330:D330" si="309">+B329</f>
        <v>990</v>
      </c>
      <c r="C330" s="25" t="str">
        <f t="shared" si="309"/>
        <v>Agencia Información</v>
      </c>
      <c r="D330" s="25" t="str">
        <f t="shared" si="309"/>
        <v>Energía</v>
      </c>
      <c r="E330" s="19">
        <v>1</v>
      </c>
      <c r="F330" s="10" t="s">
        <v>1521</v>
      </c>
      <c r="G330" s="10" t="s">
        <v>933</v>
      </c>
      <c r="H330" s="35" t="s">
        <v>16</v>
      </c>
      <c r="I330" s="36" t="s">
        <v>368</v>
      </c>
      <c r="J330" s="9" t="s">
        <v>404</v>
      </c>
      <c r="K330" s="38" t="str">
        <f t="shared" si="300"/>
        <v>Capacidad instalada de generación por región</v>
      </c>
      <c r="L330" s="38" t="str">
        <f t="shared" si="300"/>
        <v>Año 2021</v>
      </c>
      <c r="M330" s="9" t="str">
        <f t="shared" si="300"/>
        <v>MW</v>
      </c>
      <c r="N330" s="9" t="str">
        <f t="shared" si="300"/>
        <v>Comisión Nacional de Energía (CNE)</v>
      </c>
      <c r="O330" s="45" t="str">
        <f>"Capacidad Instalada (MW) de Centrales de Energía Renovable y No Renovable en la "&amp;Agencia[[#This Row],[territorio]]&amp;", para el "&amp;Agencia[[#This Row],[temporalidad]]</f>
        <v>Capacidad Instalada (MW) de Centrales de Energía Renovable y No Renovable en la Región de Tarapacá, para el Año 2021</v>
      </c>
      <c r="P330" s="20"/>
      <c r="Q330" s="11" t="str">
        <f t="shared" si="262"/>
        <v>Gráfico</v>
      </c>
      <c r="R330" s="87" t="str">
        <f>Agencia[[#This Row],[territorio]]&amp;" energía capacidad instalada MW ERNC renovable regional potencia neta"</f>
        <v>Región de Tarapacá energía capacidad instalada MW ERNC renovable regional potencia neta</v>
      </c>
      <c r="S330"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https://analytics.zoho.com/open-view/2395394000008378752?ZOHO_CRITERIA=%2216%20Energ%C3%ADas%20Renovables%20y%20No%20Renovables%22.%22Cod_Regi%C3%B3n%22%20%3D%201</v>
      </c>
      <c r="T330" s="68" t="str">
        <f>"100-R-"&amp;Agencia[[#This Row],[Filtro URL]]</f>
        <v>100-R-1</v>
      </c>
      <c r="U330" s="50" t="str">
        <f t="shared" si="288"/>
        <v>#1774B9</v>
      </c>
      <c r="V330" s="118" t="str">
        <f>+Agencia[[#This Row],[idcoleccion]]&amp;"-"&amp;Agencia[[#This Row],[id]]</f>
        <v>990-0319</v>
      </c>
      <c r="W330" s="118">
        <f>+VLOOKUP(Agencia[[#This Row],[Filtro URL]],Estructura!$X$4:$Y$500,2,0)</f>
        <v>99200001</v>
      </c>
      <c r="X330" s="118" t="str">
        <f>+VLOOKUP(Agencia[[#This Row],[tema]],Estructura!$A$4:$C$500,3,0)</f>
        <v>T-1041</v>
      </c>
      <c r="Y330" s="118" t="str">
        <f>+VLOOKUP(Agencia[[#This Row],[contenido]],Estructura!$E$4:$G$500,3,0)</f>
        <v>C-1000</v>
      </c>
      <c r="Z330" s="118" t="str">
        <f>+VLOOKUP(Agencia[[#This Row],[Filtro Integrado]],Estructura!$I$4:$K$500,3,0)</f>
        <v>FI-993</v>
      </c>
      <c r="AA330" s="118" t="str">
        <f>+VLOOKUP(Agencia[[#This Row],[Muestra]],Estructura!$M$4:$O$500,3,0)</f>
        <v>M-1022</v>
      </c>
    </row>
    <row r="331" spans="1:27" ht="72" x14ac:dyDescent="0.3">
      <c r="A331" s="21" t="s">
        <v>768</v>
      </c>
      <c r="B331" s="24">
        <f t="shared" ref="B331:D331" si="310">+B330</f>
        <v>990</v>
      </c>
      <c r="C331" s="25" t="str">
        <f t="shared" si="310"/>
        <v>Agencia Información</v>
      </c>
      <c r="D331" s="25" t="str">
        <f t="shared" si="310"/>
        <v>Energía</v>
      </c>
      <c r="E331" s="19">
        <v>2</v>
      </c>
      <c r="F331" s="10" t="s">
        <v>1521</v>
      </c>
      <c r="G331" s="10" t="s">
        <v>933</v>
      </c>
      <c r="H331" s="35" t="s">
        <v>16</v>
      </c>
      <c r="I331" s="36" t="s">
        <v>369</v>
      </c>
      <c r="J331" s="9" t="str">
        <f t="shared" si="300"/>
        <v>Ninguno</v>
      </c>
      <c r="K331" s="38" t="str">
        <f t="shared" si="300"/>
        <v>Capacidad instalada de generación por región</v>
      </c>
      <c r="L331" s="38" t="str">
        <f t="shared" si="300"/>
        <v>Año 2021</v>
      </c>
      <c r="M331" s="9" t="str">
        <f t="shared" si="300"/>
        <v>MW</v>
      </c>
      <c r="N331" s="9" t="str">
        <f t="shared" si="300"/>
        <v>Comisión Nacional de Energía (CNE)</v>
      </c>
      <c r="O331" s="45" t="str">
        <f>"Capacidad Instalada (MW) de Centrales de Energía Renovable y No Renovable en la "&amp;Agencia[[#This Row],[territorio]]&amp;", para el "&amp;Agencia[[#This Row],[temporalidad]]</f>
        <v>Capacidad Instalada (MW) de Centrales de Energía Renovable y No Renovable en la Región de Antofagasta, para el Año 2021</v>
      </c>
      <c r="P331" s="20"/>
      <c r="Q331" s="11" t="str">
        <f t="shared" si="262"/>
        <v>Gráfico</v>
      </c>
      <c r="R331" s="87" t="str">
        <f>Agencia[[#This Row],[territorio]]&amp;" energía capacidad instalada MW ERNC renovable regional potencia neta"</f>
        <v>Región de Antofagasta energía capacidad instalada MW ERNC renovable regional potencia neta</v>
      </c>
      <c r="S331"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https://analytics.zoho.com/open-view/2395394000008378752?ZOHO_CRITERIA=%2216%20Energ%C3%ADas%20Renovables%20y%20No%20Renovables%22.%22Cod_Regi%C3%B3n%22%20%3D%202</v>
      </c>
      <c r="T331" s="68" t="str">
        <f>"100-R-"&amp;Agencia[[#This Row],[Filtro URL]]</f>
        <v>100-R-2</v>
      </c>
      <c r="U331" s="50" t="str">
        <f t="shared" si="288"/>
        <v>#1774B9</v>
      </c>
      <c r="V331" s="118" t="str">
        <f>+Agencia[[#This Row],[idcoleccion]]&amp;"-"&amp;Agencia[[#This Row],[id]]</f>
        <v>990-0320</v>
      </c>
      <c r="W331" s="118">
        <f>+VLOOKUP(Agencia[[#This Row],[Filtro URL]],Estructura!$X$4:$Y$500,2,0)</f>
        <v>99200002</v>
      </c>
      <c r="X331" s="118" t="str">
        <f>+VLOOKUP(Agencia[[#This Row],[tema]],Estructura!$A$4:$C$500,3,0)</f>
        <v>T-1041</v>
      </c>
      <c r="Y331" s="118" t="str">
        <f>+VLOOKUP(Agencia[[#This Row],[contenido]],Estructura!$E$4:$G$500,3,0)</f>
        <v>C-1000</v>
      </c>
      <c r="Z331" s="118" t="str">
        <f>+VLOOKUP(Agencia[[#This Row],[Filtro Integrado]],Estructura!$I$4:$K$500,3,0)</f>
        <v>FI-993</v>
      </c>
      <c r="AA331" s="118" t="str">
        <f>+VLOOKUP(Agencia[[#This Row],[Muestra]],Estructura!$M$4:$O$500,3,0)</f>
        <v>M-1022</v>
      </c>
    </row>
    <row r="332" spans="1:27" ht="72" x14ac:dyDescent="0.3">
      <c r="A332" s="21" t="s">
        <v>769</v>
      </c>
      <c r="B332" s="24">
        <f t="shared" ref="B332:D332" si="311">+B331</f>
        <v>990</v>
      </c>
      <c r="C332" s="25" t="str">
        <f t="shared" si="311"/>
        <v>Agencia Información</v>
      </c>
      <c r="D332" s="25" t="str">
        <f t="shared" si="311"/>
        <v>Energía</v>
      </c>
      <c r="E332" s="19">
        <v>3</v>
      </c>
      <c r="F332" s="10" t="s">
        <v>1521</v>
      </c>
      <c r="G332" s="10" t="s">
        <v>933</v>
      </c>
      <c r="H332" s="35" t="s">
        <v>16</v>
      </c>
      <c r="I332" s="36" t="s">
        <v>370</v>
      </c>
      <c r="J332" s="9" t="str">
        <f t="shared" si="300"/>
        <v>Ninguno</v>
      </c>
      <c r="K332" s="38" t="str">
        <f t="shared" si="300"/>
        <v>Capacidad instalada de generación por región</v>
      </c>
      <c r="L332" s="38" t="str">
        <f t="shared" si="300"/>
        <v>Año 2021</v>
      </c>
      <c r="M332" s="9" t="str">
        <f t="shared" si="300"/>
        <v>MW</v>
      </c>
      <c r="N332" s="9" t="str">
        <f t="shared" si="300"/>
        <v>Comisión Nacional de Energía (CNE)</v>
      </c>
      <c r="O332" s="45" t="str">
        <f>"Capacidad Instalada (MW) de Centrales de Energía Renovable y No Renovable en la "&amp;Agencia[[#This Row],[territorio]]&amp;", para el "&amp;Agencia[[#This Row],[temporalidad]]</f>
        <v>Capacidad Instalada (MW) de Centrales de Energía Renovable y No Renovable en la Región de Atacama, para el Año 2021</v>
      </c>
      <c r="P332" s="20"/>
      <c r="Q332" s="11" t="str">
        <f t="shared" si="262"/>
        <v>Gráfico</v>
      </c>
      <c r="R332" s="87" t="str">
        <f>Agencia[[#This Row],[territorio]]&amp;" energía capacidad instalada MW ERNC renovable regional potencia neta"</f>
        <v>Región de Atacama energía capacidad instalada MW ERNC renovable regional potencia neta</v>
      </c>
      <c r="S332"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https://analytics.zoho.com/open-view/2395394000008378752?ZOHO_CRITERIA=%2216%20Energ%C3%ADas%20Renovables%20y%20No%20Renovables%22.%22Cod_Regi%C3%B3n%22%20%3D%203</v>
      </c>
      <c r="T332" s="68" t="str">
        <f>"100-R-"&amp;Agencia[[#This Row],[Filtro URL]]</f>
        <v>100-R-3</v>
      </c>
      <c r="U332" s="50" t="str">
        <f t="shared" si="288"/>
        <v>#1774B9</v>
      </c>
      <c r="V332" s="118" t="str">
        <f>+Agencia[[#This Row],[idcoleccion]]&amp;"-"&amp;Agencia[[#This Row],[id]]</f>
        <v>990-0321</v>
      </c>
      <c r="W332" s="118">
        <f>+VLOOKUP(Agencia[[#This Row],[Filtro URL]],Estructura!$X$4:$Y$500,2,0)</f>
        <v>99200003</v>
      </c>
      <c r="X332" s="118" t="str">
        <f>+VLOOKUP(Agencia[[#This Row],[tema]],Estructura!$A$4:$C$500,3,0)</f>
        <v>T-1041</v>
      </c>
      <c r="Y332" s="118" t="str">
        <f>+VLOOKUP(Agencia[[#This Row],[contenido]],Estructura!$E$4:$G$500,3,0)</f>
        <v>C-1000</v>
      </c>
      <c r="Z332" s="118" t="str">
        <f>+VLOOKUP(Agencia[[#This Row],[Filtro Integrado]],Estructura!$I$4:$K$500,3,0)</f>
        <v>FI-993</v>
      </c>
      <c r="AA332" s="118" t="str">
        <f>+VLOOKUP(Agencia[[#This Row],[Muestra]],Estructura!$M$4:$O$500,3,0)</f>
        <v>M-1022</v>
      </c>
    </row>
    <row r="333" spans="1:27" ht="72" x14ac:dyDescent="0.3">
      <c r="A333" s="21" t="s">
        <v>770</v>
      </c>
      <c r="B333" s="24">
        <f t="shared" ref="B333:D333" si="312">+B332</f>
        <v>990</v>
      </c>
      <c r="C333" s="25" t="str">
        <f t="shared" si="312"/>
        <v>Agencia Información</v>
      </c>
      <c r="D333" s="25" t="str">
        <f t="shared" si="312"/>
        <v>Energía</v>
      </c>
      <c r="E333" s="19">
        <v>4</v>
      </c>
      <c r="F333" s="10" t="s">
        <v>1521</v>
      </c>
      <c r="G333" s="10" t="s">
        <v>933</v>
      </c>
      <c r="H333" s="35" t="s">
        <v>16</v>
      </c>
      <c r="I333" s="36" t="s">
        <v>371</v>
      </c>
      <c r="J333" s="9" t="str">
        <f t="shared" si="300"/>
        <v>Ninguno</v>
      </c>
      <c r="K333" s="38" t="str">
        <f t="shared" si="300"/>
        <v>Capacidad instalada de generación por región</v>
      </c>
      <c r="L333" s="38" t="str">
        <f t="shared" si="300"/>
        <v>Año 2021</v>
      </c>
      <c r="M333" s="9" t="str">
        <f t="shared" si="300"/>
        <v>MW</v>
      </c>
      <c r="N333" s="9" t="str">
        <f t="shared" si="300"/>
        <v>Comisión Nacional de Energía (CNE)</v>
      </c>
      <c r="O333" s="45" t="str">
        <f>"Capacidad Instalada (MW) de Centrales de Energía Renovable y No Renovable en la "&amp;Agencia[[#This Row],[territorio]]&amp;", para el "&amp;Agencia[[#This Row],[temporalidad]]</f>
        <v>Capacidad Instalada (MW) de Centrales de Energía Renovable y No Renovable en la Región de Coquimbo, para el Año 2021</v>
      </c>
      <c r="P333" s="20"/>
      <c r="Q333" s="11" t="str">
        <f t="shared" si="262"/>
        <v>Gráfico</v>
      </c>
      <c r="R333" s="87" t="str">
        <f>Agencia[[#This Row],[territorio]]&amp;" energía capacidad instalada MW ERNC renovable regional potencia neta"</f>
        <v>Región de Coquimbo energía capacidad instalada MW ERNC renovable regional potencia neta</v>
      </c>
      <c r="S333"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https://analytics.zoho.com/open-view/2395394000008378752?ZOHO_CRITERIA=%2216%20Energ%C3%ADas%20Renovables%20y%20No%20Renovables%22.%22Cod_Regi%C3%B3n%22%20%3D%204</v>
      </c>
      <c r="T333" s="68" t="str">
        <f>"100-R-"&amp;Agencia[[#This Row],[Filtro URL]]</f>
        <v>100-R-4</v>
      </c>
      <c r="U333" s="50" t="str">
        <f t="shared" si="288"/>
        <v>#1774B9</v>
      </c>
      <c r="V333" s="118" t="str">
        <f>+Agencia[[#This Row],[idcoleccion]]&amp;"-"&amp;Agencia[[#This Row],[id]]</f>
        <v>990-0322</v>
      </c>
      <c r="W333" s="118">
        <f>+VLOOKUP(Agencia[[#This Row],[Filtro URL]],Estructura!$X$4:$Y$500,2,0)</f>
        <v>99200004</v>
      </c>
      <c r="X333" s="118" t="str">
        <f>+VLOOKUP(Agencia[[#This Row],[tema]],Estructura!$A$4:$C$500,3,0)</f>
        <v>T-1041</v>
      </c>
      <c r="Y333" s="118" t="str">
        <f>+VLOOKUP(Agencia[[#This Row],[contenido]],Estructura!$E$4:$G$500,3,0)</f>
        <v>C-1000</v>
      </c>
      <c r="Z333" s="118" t="str">
        <f>+VLOOKUP(Agencia[[#This Row],[Filtro Integrado]],Estructura!$I$4:$K$500,3,0)</f>
        <v>FI-993</v>
      </c>
      <c r="AA333" s="118" t="str">
        <f>+VLOOKUP(Agencia[[#This Row],[Muestra]],Estructura!$M$4:$O$500,3,0)</f>
        <v>M-1022</v>
      </c>
    </row>
    <row r="334" spans="1:27" ht="72" x14ac:dyDescent="0.3">
      <c r="A334" s="21" t="s">
        <v>771</v>
      </c>
      <c r="B334" s="24">
        <f t="shared" ref="B334:D334" si="313">+B333</f>
        <v>990</v>
      </c>
      <c r="C334" s="25" t="str">
        <f t="shared" si="313"/>
        <v>Agencia Información</v>
      </c>
      <c r="D334" s="25" t="str">
        <f t="shared" si="313"/>
        <v>Energía</v>
      </c>
      <c r="E334" s="19">
        <v>5</v>
      </c>
      <c r="F334" s="10" t="s">
        <v>1521</v>
      </c>
      <c r="G334" s="10" t="s">
        <v>933</v>
      </c>
      <c r="H334" s="35" t="s">
        <v>16</v>
      </c>
      <c r="I334" s="36" t="s">
        <v>372</v>
      </c>
      <c r="J334" s="9" t="str">
        <f t="shared" si="300"/>
        <v>Ninguno</v>
      </c>
      <c r="K334" s="38" t="str">
        <f t="shared" si="300"/>
        <v>Capacidad instalada de generación por región</v>
      </c>
      <c r="L334" s="38" t="str">
        <f t="shared" si="300"/>
        <v>Año 2021</v>
      </c>
      <c r="M334" s="9" t="str">
        <f t="shared" si="300"/>
        <v>MW</v>
      </c>
      <c r="N334" s="9" t="str">
        <f t="shared" si="300"/>
        <v>Comisión Nacional de Energía (CNE)</v>
      </c>
      <c r="O334" s="45" t="str">
        <f>"Capacidad Instalada (MW) de Centrales de Energía Renovable y No Renovable en la "&amp;Agencia[[#This Row],[territorio]]&amp;", para el "&amp;Agencia[[#This Row],[temporalidad]]</f>
        <v>Capacidad Instalada (MW) de Centrales de Energía Renovable y No Renovable en la Región de Valparaíso, para el Año 2021</v>
      </c>
      <c r="P334" s="20"/>
      <c r="Q334" s="11" t="str">
        <f t="shared" si="262"/>
        <v>Gráfico</v>
      </c>
      <c r="R334" s="87" t="str">
        <f>Agencia[[#This Row],[territorio]]&amp;" energía capacidad instalada MW ERNC renovable regional potencia neta"</f>
        <v>Región de Valparaíso energía capacidad instalada MW ERNC renovable regional potencia neta</v>
      </c>
      <c r="S334"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https://analytics.zoho.com/open-view/2395394000008378752?ZOHO_CRITERIA=%2216%20Energ%C3%ADas%20Renovables%20y%20No%20Renovables%22.%22Cod_Regi%C3%B3n%22%20%3D%205</v>
      </c>
      <c r="T334" s="68" t="str">
        <f>"100-R-"&amp;Agencia[[#This Row],[Filtro URL]]</f>
        <v>100-R-5</v>
      </c>
      <c r="U334" s="50" t="str">
        <f t="shared" si="288"/>
        <v>#1774B9</v>
      </c>
      <c r="V334" s="118" t="str">
        <f>+Agencia[[#This Row],[idcoleccion]]&amp;"-"&amp;Agencia[[#This Row],[id]]</f>
        <v>990-0323</v>
      </c>
      <c r="W334" s="118">
        <f>+VLOOKUP(Agencia[[#This Row],[Filtro URL]],Estructura!$X$4:$Y$500,2,0)</f>
        <v>99200005</v>
      </c>
      <c r="X334" s="118" t="str">
        <f>+VLOOKUP(Agencia[[#This Row],[tema]],Estructura!$A$4:$C$500,3,0)</f>
        <v>T-1041</v>
      </c>
      <c r="Y334" s="118" t="str">
        <f>+VLOOKUP(Agencia[[#This Row],[contenido]],Estructura!$E$4:$G$500,3,0)</f>
        <v>C-1000</v>
      </c>
      <c r="Z334" s="118" t="str">
        <f>+VLOOKUP(Agencia[[#This Row],[Filtro Integrado]],Estructura!$I$4:$K$500,3,0)</f>
        <v>FI-993</v>
      </c>
      <c r="AA334" s="118" t="str">
        <f>+VLOOKUP(Agencia[[#This Row],[Muestra]],Estructura!$M$4:$O$500,3,0)</f>
        <v>M-1022</v>
      </c>
    </row>
    <row r="335" spans="1:27" ht="72" x14ac:dyDescent="0.3">
      <c r="A335" s="21" t="s">
        <v>772</v>
      </c>
      <c r="B335" s="24">
        <f t="shared" ref="B335:D335" si="314">+B334</f>
        <v>990</v>
      </c>
      <c r="C335" s="25" t="str">
        <f t="shared" si="314"/>
        <v>Agencia Información</v>
      </c>
      <c r="D335" s="25" t="str">
        <f t="shared" si="314"/>
        <v>Energía</v>
      </c>
      <c r="E335" s="19">
        <v>6</v>
      </c>
      <c r="F335" s="10" t="s">
        <v>1521</v>
      </c>
      <c r="G335" s="10" t="s">
        <v>933</v>
      </c>
      <c r="H335" s="35" t="s">
        <v>16</v>
      </c>
      <c r="I335" s="36" t="s">
        <v>373</v>
      </c>
      <c r="J335" s="9" t="str">
        <f t="shared" si="300"/>
        <v>Ninguno</v>
      </c>
      <c r="K335" s="38" t="str">
        <f t="shared" si="300"/>
        <v>Capacidad instalada de generación por región</v>
      </c>
      <c r="L335" s="38" t="str">
        <f t="shared" si="300"/>
        <v>Año 2021</v>
      </c>
      <c r="M335" s="9" t="str">
        <f t="shared" si="300"/>
        <v>MW</v>
      </c>
      <c r="N335" s="9" t="str">
        <f t="shared" si="300"/>
        <v>Comisión Nacional de Energía (CNE)</v>
      </c>
      <c r="O335" s="45" t="str">
        <f>"Capacidad Instalada (MW) de Centrales de Energía Renovable y No Renovable en la "&amp;Agencia[[#This Row],[territorio]]&amp;", para el "&amp;Agencia[[#This Row],[temporalidad]]</f>
        <v>Capacidad Instalada (MW) de Centrales de Energía Renovable y No Renovable en la Región de O'Higgins, para el Año 2021</v>
      </c>
      <c r="P335" s="20"/>
      <c r="Q335" s="11" t="str">
        <f t="shared" si="262"/>
        <v>Gráfico</v>
      </c>
      <c r="R335" s="87" t="str">
        <f>Agencia[[#This Row],[territorio]]&amp;" energía capacidad instalada MW ERNC renovable regional potencia neta"</f>
        <v>Región de O'Higgins energía capacidad instalada MW ERNC renovable regional potencia neta</v>
      </c>
      <c r="S335"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https://analytics.zoho.com/open-view/2395394000008378752?ZOHO_CRITERIA=%2216%20Energ%C3%ADas%20Renovables%20y%20No%20Renovables%22.%22Cod_Regi%C3%B3n%22%20%3D%206</v>
      </c>
      <c r="T335" s="68" t="str">
        <f>"100-R-"&amp;Agencia[[#This Row],[Filtro URL]]</f>
        <v>100-R-6</v>
      </c>
      <c r="U335" s="50" t="str">
        <f t="shared" si="288"/>
        <v>#1774B9</v>
      </c>
      <c r="V335" s="118" t="str">
        <f>+Agencia[[#This Row],[idcoleccion]]&amp;"-"&amp;Agencia[[#This Row],[id]]</f>
        <v>990-0324</v>
      </c>
      <c r="W335" s="118">
        <f>+VLOOKUP(Agencia[[#This Row],[Filtro URL]],Estructura!$X$4:$Y$500,2,0)</f>
        <v>99200006</v>
      </c>
      <c r="X335" s="118" t="str">
        <f>+VLOOKUP(Agencia[[#This Row],[tema]],Estructura!$A$4:$C$500,3,0)</f>
        <v>T-1041</v>
      </c>
      <c r="Y335" s="118" t="str">
        <f>+VLOOKUP(Agencia[[#This Row],[contenido]],Estructura!$E$4:$G$500,3,0)</f>
        <v>C-1000</v>
      </c>
      <c r="Z335" s="118" t="str">
        <f>+VLOOKUP(Agencia[[#This Row],[Filtro Integrado]],Estructura!$I$4:$K$500,3,0)</f>
        <v>FI-993</v>
      </c>
      <c r="AA335" s="118" t="str">
        <f>+VLOOKUP(Agencia[[#This Row],[Muestra]],Estructura!$M$4:$O$500,3,0)</f>
        <v>M-1022</v>
      </c>
    </row>
    <row r="336" spans="1:27" ht="72" x14ac:dyDescent="0.3">
      <c r="A336" s="21" t="s">
        <v>773</v>
      </c>
      <c r="B336" s="24">
        <f t="shared" ref="B336:D336" si="315">+B335</f>
        <v>990</v>
      </c>
      <c r="C336" s="25" t="str">
        <f t="shared" si="315"/>
        <v>Agencia Información</v>
      </c>
      <c r="D336" s="25" t="str">
        <f t="shared" si="315"/>
        <v>Energía</v>
      </c>
      <c r="E336" s="19">
        <v>7</v>
      </c>
      <c r="F336" s="10" t="s">
        <v>1521</v>
      </c>
      <c r="G336" s="10" t="s">
        <v>933</v>
      </c>
      <c r="H336" s="35" t="s">
        <v>16</v>
      </c>
      <c r="I336" s="36" t="s">
        <v>374</v>
      </c>
      <c r="J336" s="9" t="str">
        <f t="shared" si="300"/>
        <v>Ninguno</v>
      </c>
      <c r="K336" s="38" t="str">
        <f t="shared" si="300"/>
        <v>Capacidad instalada de generación por región</v>
      </c>
      <c r="L336" s="38" t="str">
        <f t="shared" si="300"/>
        <v>Año 2021</v>
      </c>
      <c r="M336" s="9" t="str">
        <f t="shared" si="300"/>
        <v>MW</v>
      </c>
      <c r="N336" s="9" t="str">
        <f t="shared" si="300"/>
        <v>Comisión Nacional de Energía (CNE)</v>
      </c>
      <c r="O336" s="45" t="str">
        <f>"Capacidad Instalada (MW) de Centrales de Energía Renovable y No Renovable en la "&amp;Agencia[[#This Row],[territorio]]&amp;", para el "&amp;Agencia[[#This Row],[temporalidad]]</f>
        <v>Capacidad Instalada (MW) de Centrales de Energía Renovable y No Renovable en la Región de Maule, para el Año 2021</v>
      </c>
      <c r="P336" s="20"/>
      <c r="Q336" s="11" t="str">
        <f t="shared" si="262"/>
        <v>Gráfico</v>
      </c>
      <c r="R336" s="87" t="str">
        <f>Agencia[[#This Row],[territorio]]&amp;" energía capacidad instalada MW ERNC renovable regional potencia neta"</f>
        <v>Región de Maule energía capacidad instalada MW ERNC renovable regional potencia neta</v>
      </c>
      <c r="S336"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https://analytics.zoho.com/open-view/2395394000008378752?ZOHO_CRITERIA=%2216%20Energ%C3%ADas%20Renovables%20y%20No%20Renovables%22.%22Cod_Regi%C3%B3n%22%20%3D%207</v>
      </c>
      <c r="T336" s="68" t="str">
        <f>"100-R-"&amp;Agencia[[#This Row],[Filtro URL]]</f>
        <v>100-R-7</v>
      </c>
      <c r="U336" s="50" t="str">
        <f t="shared" si="288"/>
        <v>#1774B9</v>
      </c>
      <c r="V336" s="118" t="str">
        <f>+Agencia[[#This Row],[idcoleccion]]&amp;"-"&amp;Agencia[[#This Row],[id]]</f>
        <v>990-0325</v>
      </c>
      <c r="W336" s="118">
        <f>+VLOOKUP(Agencia[[#This Row],[Filtro URL]],Estructura!$X$4:$Y$500,2,0)</f>
        <v>99200007</v>
      </c>
      <c r="X336" s="118" t="str">
        <f>+VLOOKUP(Agencia[[#This Row],[tema]],Estructura!$A$4:$C$500,3,0)</f>
        <v>T-1041</v>
      </c>
      <c r="Y336" s="118" t="str">
        <f>+VLOOKUP(Agencia[[#This Row],[contenido]],Estructura!$E$4:$G$500,3,0)</f>
        <v>C-1000</v>
      </c>
      <c r="Z336" s="118" t="str">
        <f>+VLOOKUP(Agencia[[#This Row],[Filtro Integrado]],Estructura!$I$4:$K$500,3,0)</f>
        <v>FI-993</v>
      </c>
      <c r="AA336" s="118" t="str">
        <f>+VLOOKUP(Agencia[[#This Row],[Muestra]],Estructura!$M$4:$O$500,3,0)</f>
        <v>M-1022</v>
      </c>
    </row>
    <row r="337" spans="1:27" ht="72" x14ac:dyDescent="0.3">
      <c r="A337" s="21" t="s">
        <v>774</v>
      </c>
      <c r="B337" s="24">
        <f t="shared" ref="B337:D337" si="316">+B336</f>
        <v>990</v>
      </c>
      <c r="C337" s="25" t="str">
        <f t="shared" si="316"/>
        <v>Agencia Información</v>
      </c>
      <c r="D337" s="25" t="str">
        <f t="shared" si="316"/>
        <v>Energía</v>
      </c>
      <c r="E337" s="19">
        <v>8</v>
      </c>
      <c r="F337" s="10" t="s">
        <v>1521</v>
      </c>
      <c r="G337" s="10" t="s">
        <v>933</v>
      </c>
      <c r="H337" s="35" t="s">
        <v>16</v>
      </c>
      <c r="I337" s="36" t="s">
        <v>375</v>
      </c>
      <c r="J337" s="9" t="str">
        <f t="shared" ref="J337:N352" si="317">+J336</f>
        <v>Ninguno</v>
      </c>
      <c r="K337" s="38" t="str">
        <f t="shared" si="317"/>
        <v>Capacidad instalada de generación por región</v>
      </c>
      <c r="L337" s="38" t="str">
        <f t="shared" si="317"/>
        <v>Año 2021</v>
      </c>
      <c r="M337" s="9" t="str">
        <f t="shared" si="317"/>
        <v>MW</v>
      </c>
      <c r="N337" s="9" t="str">
        <f t="shared" si="317"/>
        <v>Comisión Nacional de Energía (CNE)</v>
      </c>
      <c r="O337" s="45" t="str">
        <f>"Capacidad Instalada (MW) de Centrales de Energía Renovable y No Renovable en la "&amp;Agencia[[#This Row],[territorio]]&amp;", para el "&amp;Agencia[[#This Row],[temporalidad]]</f>
        <v>Capacidad Instalada (MW) de Centrales de Energía Renovable y No Renovable en la Región del Biobío, para el Año 2021</v>
      </c>
      <c r="P337" s="20"/>
      <c r="Q337" s="11" t="str">
        <f t="shared" si="262"/>
        <v>Gráfico</v>
      </c>
      <c r="R337" s="87" t="str">
        <f>Agencia[[#This Row],[territorio]]&amp;" energía capacidad instalada MW ERNC renovable regional potencia neta"</f>
        <v>Región del Biobío energía capacidad instalada MW ERNC renovable regional potencia neta</v>
      </c>
      <c r="S337"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https://analytics.zoho.com/open-view/2395394000008378752?ZOHO_CRITERIA=%2216%20Energ%C3%ADas%20Renovables%20y%20No%20Renovables%22.%22Cod_Regi%C3%B3n%22%20%3D%208</v>
      </c>
      <c r="T337" s="68" t="str">
        <f>"100-R-"&amp;Agencia[[#This Row],[Filtro URL]]</f>
        <v>100-R-8</v>
      </c>
      <c r="U337" s="50" t="str">
        <f t="shared" si="288"/>
        <v>#1774B9</v>
      </c>
      <c r="V337" s="118" t="str">
        <f>+Agencia[[#This Row],[idcoleccion]]&amp;"-"&amp;Agencia[[#This Row],[id]]</f>
        <v>990-0326</v>
      </c>
      <c r="W337" s="118">
        <f>+VLOOKUP(Agencia[[#This Row],[Filtro URL]],Estructura!$X$4:$Y$500,2,0)</f>
        <v>99200008</v>
      </c>
      <c r="X337" s="118" t="str">
        <f>+VLOOKUP(Agencia[[#This Row],[tema]],Estructura!$A$4:$C$500,3,0)</f>
        <v>T-1041</v>
      </c>
      <c r="Y337" s="118" t="str">
        <f>+VLOOKUP(Agencia[[#This Row],[contenido]],Estructura!$E$4:$G$500,3,0)</f>
        <v>C-1000</v>
      </c>
      <c r="Z337" s="118" t="str">
        <f>+VLOOKUP(Agencia[[#This Row],[Filtro Integrado]],Estructura!$I$4:$K$500,3,0)</f>
        <v>FI-993</v>
      </c>
      <c r="AA337" s="118" t="str">
        <f>+VLOOKUP(Agencia[[#This Row],[Muestra]],Estructura!$M$4:$O$500,3,0)</f>
        <v>M-1022</v>
      </c>
    </row>
    <row r="338" spans="1:27" ht="72" x14ac:dyDescent="0.3">
      <c r="A338" s="21" t="s">
        <v>775</v>
      </c>
      <c r="B338" s="24">
        <f t="shared" ref="B338:D338" si="318">+B337</f>
        <v>990</v>
      </c>
      <c r="C338" s="25" t="str">
        <f t="shared" si="318"/>
        <v>Agencia Información</v>
      </c>
      <c r="D338" s="25" t="str">
        <f t="shared" si="318"/>
        <v>Energía</v>
      </c>
      <c r="E338" s="19">
        <v>9</v>
      </c>
      <c r="F338" s="10" t="s">
        <v>1521</v>
      </c>
      <c r="G338" s="10" t="s">
        <v>933</v>
      </c>
      <c r="H338" s="35" t="s">
        <v>16</v>
      </c>
      <c r="I338" s="36" t="s">
        <v>376</v>
      </c>
      <c r="J338" s="9" t="str">
        <f t="shared" si="317"/>
        <v>Ninguno</v>
      </c>
      <c r="K338" s="38" t="str">
        <f t="shared" si="317"/>
        <v>Capacidad instalada de generación por región</v>
      </c>
      <c r="L338" s="38" t="str">
        <f t="shared" si="317"/>
        <v>Año 2021</v>
      </c>
      <c r="M338" s="9" t="str">
        <f t="shared" si="317"/>
        <v>MW</v>
      </c>
      <c r="N338" s="9" t="str">
        <f t="shared" si="317"/>
        <v>Comisión Nacional de Energía (CNE)</v>
      </c>
      <c r="O338" s="45" t="str">
        <f>"Capacidad Instalada (MW) de Centrales de Energía Renovable y No Renovable en la "&amp;Agencia[[#This Row],[territorio]]&amp;", para el "&amp;Agencia[[#This Row],[temporalidad]]</f>
        <v>Capacidad Instalada (MW) de Centrales de Energía Renovable y No Renovable en la Región de La Araucanía, para el Año 2021</v>
      </c>
      <c r="P338" s="20"/>
      <c r="Q338" s="11" t="str">
        <f t="shared" si="262"/>
        <v>Gráfico</v>
      </c>
      <c r="R338" s="87" t="str">
        <f>Agencia[[#This Row],[territorio]]&amp;" energía capacidad instalada MW ERNC renovable regional potencia neta"</f>
        <v>Región de La Araucanía energía capacidad instalada MW ERNC renovable regional potencia neta</v>
      </c>
      <c r="S338"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https://analytics.zoho.com/open-view/2395394000008378752?ZOHO_CRITERIA=%2216%20Energ%C3%ADas%20Renovables%20y%20No%20Renovables%22.%22Cod_Regi%C3%B3n%22%20%3D%209</v>
      </c>
      <c r="T338" s="68" t="str">
        <f>"100-R-"&amp;Agencia[[#This Row],[Filtro URL]]</f>
        <v>100-R-9</v>
      </c>
      <c r="U338" s="50" t="str">
        <f t="shared" si="288"/>
        <v>#1774B9</v>
      </c>
      <c r="V338" s="118" t="str">
        <f>+Agencia[[#This Row],[idcoleccion]]&amp;"-"&amp;Agencia[[#This Row],[id]]</f>
        <v>990-0327</v>
      </c>
      <c r="W338" s="118">
        <f>+VLOOKUP(Agencia[[#This Row],[Filtro URL]],Estructura!$X$4:$Y$500,2,0)</f>
        <v>99200009</v>
      </c>
      <c r="X338" s="118" t="str">
        <f>+VLOOKUP(Agencia[[#This Row],[tema]],Estructura!$A$4:$C$500,3,0)</f>
        <v>T-1041</v>
      </c>
      <c r="Y338" s="118" t="str">
        <f>+VLOOKUP(Agencia[[#This Row],[contenido]],Estructura!$E$4:$G$500,3,0)</f>
        <v>C-1000</v>
      </c>
      <c r="Z338" s="118" t="str">
        <f>+VLOOKUP(Agencia[[#This Row],[Filtro Integrado]],Estructura!$I$4:$K$500,3,0)</f>
        <v>FI-993</v>
      </c>
      <c r="AA338" s="118" t="str">
        <f>+VLOOKUP(Agencia[[#This Row],[Muestra]],Estructura!$M$4:$O$500,3,0)</f>
        <v>M-1022</v>
      </c>
    </row>
    <row r="339" spans="1:27" ht="72" x14ac:dyDescent="0.3">
      <c r="A339" s="21" t="s">
        <v>776</v>
      </c>
      <c r="B339" s="24">
        <f t="shared" ref="B339:D339" si="319">+B338</f>
        <v>990</v>
      </c>
      <c r="C339" s="25" t="str">
        <f t="shared" si="319"/>
        <v>Agencia Información</v>
      </c>
      <c r="D339" s="25" t="str">
        <f t="shared" si="319"/>
        <v>Energía</v>
      </c>
      <c r="E339" s="19">
        <v>10</v>
      </c>
      <c r="F339" s="10" t="s">
        <v>1521</v>
      </c>
      <c r="G339" s="10" t="s">
        <v>933</v>
      </c>
      <c r="H339" s="35" t="s">
        <v>16</v>
      </c>
      <c r="I339" s="36" t="s">
        <v>377</v>
      </c>
      <c r="J339" s="9" t="str">
        <f t="shared" si="317"/>
        <v>Ninguno</v>
      </c>
      <c r="K339" s="38" t="str">
        <f t="shared" si="317"/>
        <v>Capacidad instalada de generación por región</v>
      </c>
      <c r="L339" s="38" t="str">
        <f t="shared" si="317"/>
        <v>Año 2021</v>
      </c>
      <c r="M339" s="9" t="str">
        <f t="shared" si="317"/>
        <v>MW</v>
      </c>
      <c r="N339" s="9" t="str">
        <f t="shared" si="317"/>
        <v>Comisión Nacional de Energía (CNE)</v>
      </c>
      <c r="O339" s="45" t="str">
        <f>"Capacidad Instalada (MW) de Centrales de Energía Renovable y No Renovable en la "&amp;Agencia[[#This Row],[territorio]]&amp;", para el "&amp;Agencia[[#This Row],[temporalidad]]</f>
        <v>Capacidad Instalada (MW) de Centrales de Energía Renovable y No Renovable en la Región de Los Lagos, para el Año 2021</v>
      </c>
      <c r="P339" s="20"/>
      <c r="Q339" s="11" t="str">
        <f t="shared" si="262"/>
        <v>Gráfico</v>
      </c>
      <c r="R339" s="87" t="str">
        <f>Agencia[[#This Row],[territorio]]&amp;" energía capacidad instalada MW ERNC renovable regional potencia neta"</f>
        <v>Región de Los Lagos energía capacidad instalada MW ERNC renovable regional potencia neta</v>
      </c>
      <c r="S339"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https://analytics.zoho.com/open-view/2395394000008378752?ZOHO_CRITERIA=%2216%20Energ%C3%ADas%20Renovables%20y%20No%20Renovables%22.%22Cod_Regi%C3%B3n%22%20%3D%2010</v>
      </c>
      <c r="T339" s="68" t="str">
        <f>"100-R-"&amp;Agencia[[#This Row],[Filtro URL]]</f>
        <v>100-R-10</v>
      </c>
      <c r="U339" s="50" t="str">
        <f t="shared" si="288"/>
        <v>#1774B9</v>
      </c>
      <c r="V339" s="118" t="str">
        <f>+Agencia[[#This Row],[idcoleccion]]&amp;"-"&amp;Agencia[[#This Row],[id]]</f>
        <v>990-0328</v>
      </c>
      <c r="W339" s="118">
        <f>+VLOOKUP(Agencia[[#This Row],[Filtro URL]],Estructura!$X$4:$Y$500,2,0)</f>
        <v>99200010</v>
      </c>
      <c r="X339" s="118" t="str">
        <f>+VLOOKUP(Agencia[[#This Row],[tema]],Estructura!$A$4:$C$500,3,0)</f>
        <v>T-1041</v>
      </c>
      <c r="Y339" s="118" t="str">
        <f>+VLOOKUP(Agencia[[#This Row],[contenido]],Estructura!$E$4:$G$500,3,0)</f>
        <v>C-1000</v>
      </c>
      <c r="Z339" s="118" t="str">
        <f>+VLOOKUP(Agencia[[#This Row],[Filtro Integrado]],Estructura!$I$4:$K$500,3,0)</f>
        <v>FI-993</v>
      </c>
      <c r="AA339" s="118" t="str">
        <f>+VLOOKUP(Agencia[[#This Row],[Muestra]],Estructura!$M$4:$O$500,3,0)</f>
        <v>M-1022</v>
      </c>
    </row>
    <row r="340" spans="1:27" ht="72" x14ac:dyDescent="0.3">
      <c r="A340" s="21" t="s">
        <v>777</v>
      </c>
      <c r="B340" s="24">
        <f t="shared" ref="B340:D340" si="320">+B339</f>
        <v>990</v>
      </c>
      <c r="C340" s="25" t="str">
        <f t="shared" si="320"/>
        <v>Agencia Información</v>
      </c>
      <c r="D340" s="25" t="str">
        <f t="shared" si="320"/>
        <v>Energía</v>
      </c>
      <c r="E340" s="19">
        <v>11</v>
      </c>
      <c r="F340" s="10" t="s">
        <v>1521</v>
      </c>
      <c r="G340" s="10" t="s">
        <v>933</v>
      </c>
      <c r="H340" s="35" t="s">
        <v>16</v>
      </c>
      <c r="I340" s="36" t="s">
        <v>378</v>
      </c>
      <c r="J340" s="9" t="str">
        <f t="shared" si="317"/>
        <v>Ninguno</v>
      </c>
      <c r="K340" s="38" t="str">
        <f t="shared" si="317"/>
        <v>Capacidad instalada de generación por región</v>
      </c>
      <c r="L340" s="38" t="str">
        <f t="shared" si="317"/>
        <v>Año 2021</v>
      </c>
      <c r="M340" s="9" t="str">
        <f t="shared" si="317"/>
        <v>MW</v>
      </c>
      <c r="N340" s="9" t="str">
        <f t="shared" si="317"/>
        <v>Comisión Nacional de Energía (CNE)</v>
      </c>
      <c r="O340" s="45" t="str">
        <f>"Capacidad Instalada (MW) de Centrales de Energía Renovable y No Renovable en la "&amp;Agencia[[#This Row],[territorio]]&amp;", para el "&amp;Agencia[[#This Row],[temporalidad]]</f>
        <v>Capacidad Instalada (MW) de Centrales de Energía Renovable y No Renovable en la Región de Aysén, para el Año 2021</v>
      </c>
      <c r="P340" s="20"/>
      <c r="Q340" s="11" t="str">
        <f t="shared" si="262"/>
        <v>Gráfico</v>
      </c>
      <c r="R340" s="87" t="str">
        <f>Agencia[[#This Row],[territorio]]&amp;" energía capacidad instalada MW ERNC renovable regional potencia neta"</f>
        <v>Región de Aysén energía capacidad instalada MW ERNC renovable regional potencia neta</v>
      </c>
      <c r="S340"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https://analytics.zoho.com/open-view/2395394000008378752?ZOHO_CRITERIA=%2216%20Energ%C3%ADas%20Renovables%20y%20No%20Renovables%22.%22Cod_Regi%C3%B3n%22%20%3D%2011</v>
      </c>
      <c r="T340" s="68" t="str">
        <f>"100-R-"&amp;Agencia[[#This Row],[Filtro URL]]</f>
        <v>100-R-11</v>
      </c>
      <c r="U340" s="50" t="str">
        <f t="shared" si="288"/>
        <v>#1774B9</v>
      </c>
      <c r="V340" s="118" t="str">
        <f>+Agencia[[#This Row],[idcoleccion]]&amp;"-"&amp;Agencia[[#This Row],[id]]</f>
        <v>990-0329</v>
      </c>
      <c r="W340" s="118">
        <f>+VLOOKUP(Agencia[[#This Row],[Filtro URL]],Estructura!$X$4:$Y$500,2,0)</f>
        <v>99200011</v>
      </c>
      <c r="X340" s="118" t="str">
        <f>+VLOOKUP(Agencia[[#This Row],[tema]],Estructura!$A$4:$C$500,3,0)</f>
        <v>T-1041</v>
      </c>
      <c r="Y340" s="118" t="str">
        <f>+VLOOKUP(Agencia[[#This Row],[contenido]],Estructura!$E$4:$G$500,3,0)</f>
        <v>C-1000</v>
      </c>
      <c r="Z340" s="118" t="str">
        <f>+VLOOKUP(Agencia[[#This Row],[Filtro Integrado]],Estructura!$I$4:$K$500,3,0)</f>
        <v>FI-993</v>
      </c>
      <c r="AA340" s="118" t="str">
        <f>+VLOOKUP(Agencia[[#This Row],[Muestra]],Estructura!$M$4:$O$500,3,0)</f>
        <v>M-1022</v>
      </c>
    </row>
    <row r="341" spans="1:27" ht="72" x14ac:dyDescent="0.3">
      <c r="A341" s="21" t="s">
        <v>778</v>
      </c>
      <c r="B341" s="24">
        <f t="shared" ref="B341:D341" si="321">+B340</f>
        <v>990</v>
      </c>
      <c r="C341" s="25" t="str">
        <f t="shared" si="321"/>
        <v>Agencia Información</v>
      </c>
      <c r="D341" s="25" t="str">
        <f t="shared" si="321"/>
        <v>Energía</v>
      </c>
      <c r="E341" s="19">
        <v>12</v>
      </c>
      <c r="F341" s="10" t="s">
        <v>1521</v>
      </c>
      <c r="G341" s="10" t="s">
        <v>933</v>
      </c>
      <c r="H341" s="35" t="s">
        <v>16</v>
      </c>
      <c r="I341" s="36" t="s">
        <v>379</v>
      </c>
      <c r="J341" s="9" t="str">
        <f t="shared" si="317"/>
        <v>Ninguno</v>
      </c>
      <c r="K341" s="38" t="str">
        <f t="shared" si="317"/>
        <v>Capacidad instalada de generación por región</v>
      </c>
      <c r="L341" s="38" t="str">
        <f t="shared" si="317"/>
        <v>Año 2021</v>
      </c>
      <c r="M341" s="9" t="str">
        <f t="shared" si="317"/>
        <v>MW</v>
      </c>
      <c r="N341" s="9" t="str">
        <f t="shared" si="317"/>
        <v>Comisión Nacional de Energía (CNE)</v>
      </c>
      <c r="O341" s="45" t="str">
        <f>"Capacidad Instalada (MW) de Centrales de Energía Renovable y No Renovable en la "&amp;Agencia[[#This Row],[territorio]]&amp;", para el "&amp;Agencia[[#This Row],[temporalidad]]</f>
        <v>Capacidad Instalada (MW) de Centrales de Energía Renovable y No Renovable en la Región de Magallanes, para el Año 2021</v>
      </c>
      <c r="P341" s="20"/>
      <c r="Q341" s="11" t="str">
        <f t="shared" si="262"/>
        <v>Gráfico</v>
      </c>
      <c r="R341" s="87" t="str">
        <f>Agencia[[#This Row],[territorio]]&amp;" energía capacidad instalada MW ERNC renovable regional potencia neta"</f>
        <v>Región de Magallanes energía capacidad instalada MW ERNC renovable regional potencia neta</v>
      </c>
      <c r="S341"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https://analytics.zoho.com/open-view/2395394000008378752?ZOHO_CRITERIA=%2216%20Energ%C3%ADas%20Renovables%20y%20No%20Renovables%22.%22Cod_Regi%C3%B3n%22%20%3D%2012</v>
      </c>
      <c r="T341" s="68" t="str">
        <f>"100-R-"&amp;Agencia[[#This Row],[Filtro URL]]</f>
        <v>100-R-12</v>
      </c>
      <c r="U341" s="50" t="str">
        <f t="shared" si="288"/>
        <v>#1774B9</v>
      </c>
      <c r="V341" s="118" t="str">
        <f>+Agencia[[#This Row],[idcoleccion]]&amp;"-"&amp;Agencia[[#This Row],[id]]</f>
        <v>990-0330</v>
      </c>
      <c r="W341" s="118">
        <f>+VLOOKUP(Agencia[[#This Row],[Filtro URL]],Estructura!$X$4:$Y$500,2,0)</f>
        <v>99200012</v>
      </c>
      <c r="X341" s="118" t="str">
        <f>+VLOOKUP(Agencia[[#This Row],[tema]],Estructura!$A$4:$C$500,3,0)</f>
        <v>T-1041</v>
      </c>
      <c r="Y341" s="118" t="str">
        <f>+VLOOKUP(Agencia[[#This Row],[contenido]],Estructura!$E$4:$G$500,3,0)</f>
        <v>C-1000</v>
      </c>
      <c r="Z341" s="118" t="str">
        <f>+VLOOKUP(Agencia[[#This Row],[Filtro Integrado]],Estructura!$I$4:$K$500,3,0)</f>
        <v>FI-993</v>
      </c>
      <c r="AA341" s="118" t="str">
        <f>+VLOOKUP(Agencia[[#This Row],[Muestra]],Estructura!$M$4:$O$500,3,0)</f>
        <v>M-1022</v>
      </c>
    </row>
    <row r="342" spans="1:27" ht="72" x14ac:dyDescent="0.3">
      <c r="A342" s="21" t="s">
        <v>779</v>
      </c>
      <c r="B342" s="24">
        <f t="shared" ref="B342:D342" si="322">+B341</f>
        <v>990</v>
      </c>
      <c r="C342" s="25" t="str">
        <f t="shared" si="322"/>
        <v>Agencia Información</v>
      </c>
      <c r="D342" s="25" t="str">
        <f t="shared" si="322"/>
        <v>Energía</v>
      </c>
      <c r="E342" s="19">
        <v>13</v>
      </c>
      <c r="F342" s="10" t="s">
        <v>1521</v>
      </c>
      <c r="G342" s="10" t="s">
        <v>933</v>
      </c>
      <c r="H342" s="35" t="s">
        <v>16</v>
      </c>
      <c r="I342" s="36" t="s">
        <v>380</v>
      </c>
      <c r="J342" s="9" t="str">
        <f t="shared" si="317"/>
        <v>Ninguno</v>
      </c>
      <c r="K342" s="38" t="str">
        <f t="shared" si="317"/>
        <v>Capacidad instalada de generación por región</v>
      </c>
      <c r="L342" s="38" t="str">
        <f t="shared" si="317"/>
        <v>Año 2021</v>
      </c>
      <c r="M342" s="9" t="str">
        <f t="shared" si="317"/>
        <v>MW</v>
      </c>
      <c r="N342" s="9" t="str">
        <f t="shared" si="317"/>
        <v>Comisión Nacional de Energía (CNE)</v>
      </c>
      <c r="O342" s="45" t="str">
        <f>"Capacidad Instalada (MW) de Centrales de Energía Renovable y No Renovable en la "&amp;Agencia[[#This Row],[territorio]]&amp;", para el "&amp;Agencia[[#This Row],[temporalidad]]</f>
        <v>Capacidad Instalada (MW) de Centrales de Energía Renovable y No Renovable en la Región Metropolitana, para el Año 2021</v>
      </c>
      <c r="P342" s="20"/>
      <c r="Q342" s="11" t="str">
        <f t="shared" si="262"/>
        <v>Gráfico</v>
      </c>
      <c r="R342" s="87" t="str">
        <f>Agencia[[#This Row],[territorio]]&amp;" energía capacidad instalada MW ERNC renovable regional potencia neta"</f>
        <v>Región Metropolitana energía capacidad instalada MW ERNC renovable regional potencia neta</v>
      </c>
      <c r="S342"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https://analytics.zoho.com/open-view/2395394000008378752?ZOHO_CRITERIA=%2216%20Energ%C3%ADas%20Renovables%20y%20No%20Renovables%22.%22Cod_Regi%C3%B3n%22%20%3D%2013</v>
      </c>
      <c r="T342" s="68" t="str">
        <f>"200-R-"&amp;Agencia[[#This Row],[Filtro URL]]</f>
        <v>200-R-13</v>
      </c>
      <c r="U342" s="50" t="str">
        <f t="shared" ref="U342:U360" si="323">+U341</f>
        <v>#1774B9</v>
      </c>
      <c r="V342" s="118" t="str">
        <f>+Agencia[[#This Row],[idcoleccion]]&amp;"-"&amp;Agencia[[#This Row],[id]]</f>
        <v>990-0331</v>
      </c>
      <c r="W342" s="118">
        <f>+VLOOKUP(Agencia[[#This Row],[Filtro URL]],Estructura!$X$4:$Y$500,2,0)</f>
        <v>99200013</v>
      </c>
      <c r="X342" s="118" t="str">
        <f>+VLOOKUP(Agencia[[#This Row],[tema]],Estructura!$A$4:$C$500,3,0)</f>
        <v>T-1041</v>
      </c>
      <c r="Y342" s="118" t="str">
        <f>+VLOOKUP(Agencia[[#This Row],[contenido]],Estructura!$E$4:$G$500,3,0)</f>
        <v>C-1000</v>
      </c>
      <c r="Z342" s="118" t="str">
        <f>+VLOOKUP(Agencia[[#This Row],[Filtro Integrado]],Estructura!$I$4:$K$500,3,0)</f>
        <v>FI-993</v>
      </c>
      <c r="AA342" s="118" t="str">
        <f>+VLOOKUP(Agencia[[#This Row],[Muestra]],Estructura!$M$4:$O$500,3,0)</f>
        <v>M-1022</v>
      </c>
    </row>
    <row r="343" spans="1:27" ht="72" x14ac:dyDescent="0.3">
      <c r="A343" s="21" t="s">
        <v>780</v>
      </c>
      <c r="B343" s="24">
        <f t="shared" ref="B343:D343" si="324">+B342</f>
        <v>990</v>
      </c>
      <c r="C343" s="25" t="str">
        <f t="shared" si="324"/>
        <v>Agencia Información</v>
      </c>
      <c r="D343" s="25" t="str">
        <f t="shared" si="324"/>
        <v>Energía</v>
      </c>
      <c r="E343" s="19">
        <v>14</v>
      </c>
      <c r="F343" s="10" t="s">
        <v>1521</v>
      </c>
      <c r="G343" s="10" t="s">
        <v>933</v>
      </c>
      <c r="H343" s="35" t="s">
        <v>16</v>
      </c>
      <c r="I343" s="36" t="s">
        <v>381</v>
      </c>
      <c r="J343" s="9" t="str">
        <f t="shared" si="317"/>
        <v>Ninguno</v>
      </c>
      <c r="K343" s="38" t="str">
        <f t="shared" si="317"/>
        <v>Capacidad instalada de generación por región</v>
      </c>
      <c r="L343" s="38" t="str">
        <f t="shared" si="317"/>
        <v>Año 2021</v>
      </c>
      <c r="M343" s="9" t="str">
        <f t="shared" si="317"/>
        <v>MW</v>
      </c>
      <c r="N343" s="9" t="str">
        <f t="shared" si="317"/>
        <v>Comisión Nacional de Energía (CNE)</v>
      </c>
      <c r="O343" s="45" t="str">
        <f>"Capacidad Instalada (MW) de Centrales de Energía Renovable y No Renovable en la "&amp;Agencia[[#This Row],[territorio]]&amp;", para el "&amp;Agencia[[#This Row],[temporalidad]]</f>
        <v>Capacidad Instalada (MW) de Centrales de Energía Renovable y No Renovable en la Región de Los Ríos, para el Año 2021</v>
      </c>
      <c r="P343" s="20"/>
      <c r="Q343" s="11" t="str">
        <f t="shared" si="262"/>
        <v>Gráfico</v>
      </c>
      <c r="R343" s="87" t="str">
        <f>Agencia[[#This Row],[territorio]]&amp;" energía capacidad instalada MW ERNC renovable regional potencia neta"</f>
        <v>Región de Los Ríos energía capacidad instalada MW ERNC renovable regional potencia neta</v>
      </c>
      <c r="S343"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https://analytics.zoho.com/open-view/2395394000008378752?ZOHO_CRITERIA=%2216%20Energ%C3%ADas%20Renovables%20y%20No%20Renovables%22.%22Cod_Regi%C3%B3n%22%20%3D%2014</v>
      </c>
      <c r="T343" s="68" t="str">
        <f>"100-R-"&amp;Agencia[[#This Row],[Filtro URL]]</f>
        <v>100-R-14</v>
      </c>
      <c r="U343" s="50" t="str">
        <f t="shared" si="323"/>
        <v>#1774B9</v>
      </c>
      <c r="V343" s="118" t="str">
        <f>+Agencia[[#This Row],[idcoleccion]]&amp;"-"&amp;Agencia[[#This Row],[id]]</f>
        <v>990-0332</v>
      </c>
      <c r="W343" s="118">
        <f>+VLOOKUP(Agencia[[#This Row],[Filtro URL]],Estructura!$X$4:$Y$500,2,0)</f>
        <v>99200014</v>
      </c>
      <c r="X343" s="118" t="str">
        <f>+VLOOKUP(Agencia[[#This Row],[tema]],Estructura!$A$4:$C$500,3,0)</f>
        <v>T-1041</v>
      </c>
      <c r="Y343" s="118" t="str">
        <f>+VLOOKUP(Agencia[[#This Row],[contenido]],Estructura!$E$4:$G$500,3,0)</f>
        <v>C-1000</v>
      </c>
      <c r="Z343" s="118" t="str">
        <f>+VLOOKUP(Agencia[[#This Row],[Filtro Integrado]],Estructura!$I$4:$K$500,3,0)</f>
        <v>FI-993</v>
      </c>
      <c r="AA343" s="118" t="str">
        <f>+VLOOKUP(Agencia[[#This Row],[Muestra]],Estructura!$M$4:$O$500,3,0)</f>
        <v>M-1022</v>
      </c>
    </row>
    <row r="344" spans="1:27" ht="72" x14ac:dyDescent="0.3">
      <c r="A344" s="21" t="s">
        <v>781</v>
      </c>
      <c r="B344" s="24">
        <f t="shared" ref="B344:D344" si="325">+B343</f>
        <v>990</v>
      </c>
      <c r="C344" s="25" t="str">
        <f t="shared" si="325"/>
        <v>Agencia Información</v>
      </c>
      <c r="D344" s="25" t="str">
        <f t="shared" si="325"/>
        <v>Energía</v>
      </c>
      <c r="E344" s="19">
        <v>15</v>
      </c>
      <c r="F344" s="10" t="s">
        <v>1521</v>
      </c>
      <c r="G344" s="10" t="s">
        <v>933</v>
      </c>
      <c r="H344" s="35" t="s">
        <v>16</v>
      </c>
      <c r="I344" s="36" t="s">
        <v>382</v>
      </c>
      <c r="J344" s="9" t="str">
        <f t="shared" si="317"/>
        <v>Ninguno</v>
      </c>
      <c r="K344" s="38" t="str">
        <f t="shared" si="317"/>
        <v>Capacidad instalada de generación por región</v>
      </c>
      <c r="L344" s="38" t="str">
        <f t="shared" si="317"/>
        <v>Año 2021</v>
      </c>
      <c r="M344" s="9" t="str">
        <f t="shared" si="317"/>
        <v>MW</v>
      </c>
      <c r="N344" s="9" t="str">
        <f t="shared" si="317"/>
        <v>Comisión Nacional de Energía (CNE)</v>
      </c>
      <c r="O344" s="45" t="str">
        <f>"Capacidad Instalada (MW) de Centrales de Energía Renovable y No Renovable en la "&amp;Agencia[[#This Row],[territorio]]&amp;", para el "&amp;Agencia[[#This Row],[temporalidad]]</f>
        <v>Capacidad Instalada (MW) de Centrales de Energía Renovable y No Renovable en la Región de Arica y Parinacota, para el Año 2021</v>
      </c>
      <c r="P344" s="20"/>
      <c r="Q344" s="11" t="str">
        <f t="shared" si="262"/>
        <v>Gráfico</v>
      </c>
      <c r="R344" s="87" t="str">
        <f>Agencia[[#This Row],[territorio]]&amp;" energía capacidad instalada MW ERNC renovable regional potencia neta"</f>
        <v>Región de Arica y Parinacota energía capacidad instalada MW ERNC renovable regional potencia neta</v>
      </c>
      <c r="S344"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https://analytics.zoho.com/open-view/2395394000008378752?ZOHO_CRITERIA=%2216%20Energ%C3%ADas%20Renovables%20y%20No%20Renovables%22.%22Cod_Regi%C3%B3n%22%20%3D%2015</v>
      </c>
      <c r="T344" s="68" t="str">
        <f>"100-R-"&amp;Agencia[[#This Row],[Filtro URL]]</f>
        <v>100-R-15</v>
      </c>
      <c r="U344" s="50" t="str">
        <f t="shared" si="323"/>
        <v>#1774B9</v>
      </c>
      <c r="V344" s="118" t="str">
        <f>+Agencia[[#This Row],[idcoleccion]]&amp;"-"&amp;Agencia[[#This Row],[id]]</f>
        <v>990-0333</v>
      </c>
      <c r="W344" s="118">
        <f>+VLOOKUP(Agencia[[#This Row],[Filtro URL]],Estructura!$X$4:$Y$500,2,0)</f>
        <v>99200015</v>
      </c>
      <c r="X344" s="118" t="str">
        <f>+VLOOKUP(Agencia[[#This Row],[tema]],Estructura!$A$4:$C$500,3,0)</f>
        <v>T-1041</v>
      </c>
      <c r="Y344" s="118" t="str">
        <f>+VLOOKUP(Agencia[[#This Row],[contenido]],Estructura!$E$4:$G$500,3,0)</f>
        <v>C-1000</v>
      </c>
      <c r="Z344" s="118" t="str">
        <f>+VLOOKUP(Agencia[[#This Row],[Filtro Integrado]],Estructura!$I$4:$K$500,3,0)</f>
        <v>FI-993</v>
      </c>
      <c r="AA344" s="118" t="str">
        <f>+VLOOKUP(Agencia[[#This Row],[Muestra]],Estructura!$M$4:$O$500,3,0)</f>
        <v>M-1022</v>
      </c>
    </row>
    <row r="345" spans="1:27" ht="72" x14ac:dyDescent="0.3">
      <c r="A345" s="21" t="s">
        <v>782</v>
      </c>
      <c r="B345" s="24">
        <f t="shared" ref="B345:D345" si="326">+B344</f>
        <v>990</v>
      </c>
      <c r="C345" s="25" t="str">
        <f t="shared" si="326"/>
        <v>Agencia Información</v>
      </c>
      <c r="D345" s="25" t="str">
        <f t="shared" si="326"/>
        <v>Energía</v>
      </c>
      <c r="E345" s="19">
        <v>16</v>
      </c>
      <c r="F345" s="10" t="s">
        <v>1521</v>
      </c>
      <c r="G345" s="10" t="s">
        <v>933</v>
      </c>
      <c r="H345" s="35" t="s">
        <v>16</v>
      </c>
      <c r="I345" s="36" t="s">
        <v>383</v>
      </c>
      <c r="J345" s="9" t="str">
        <f t="shared" si="317"/>
        <v>Ninguno</v>
      </c>
      <c r="K345" s="38" t="str">
        <f t="shared" si="317"/>
        <v>Capacidad instalada de generación por región</v>
      </c>
      <c r="L345" s="38" t="str">
        <f t="shared" si="317"/>
        <v>Año 2021</v>
      </c>
      <c r="M345" s="9" t="str">
        <f t="shared" si="317"/>
        <v>MW</v>
      </c>
      <c r="N345" s="9" t="str">
        <f t="shared" si="317"/>
        <v>Comisión Nacional de Energía (CNE)</v>
      </c>
      <c r="O345" s="45" t="str">
        <f>"Capacidad Instalada (MW) de Centrales de Energía Renovable y No Renovable en la "&amp;Agencia[[#This Row],[territorio]]&amp;", para el "&amp;Agencia[[#This Row],[temporalidad]]</f>
        <v>Capacidad Instalada (MW) de Centrales de Energía Renovable y No Renovable en la Región de Ñuble, para el Año 2021</v>
      </c>
      <c r="P345" s="20"/>
      <c r="Q345" s="11" t="str">
        <f t="shared" si="262"/>
        <v>Gráfico</v>
      </c>
      <c r="R345" s="87" t="str">
        <f>Agencia[[#This Row],[territorio]]&amp;" energía capacidad instalada MW ERNC renovable regional potencia neta"</f>
        <v>Región de Ñuble energía capacidad instalada MW ERNC renovable regional potencia neta</v>
      </c>
      <c r="S345" s="39" t="str">
        <f>HYPERLINK("https://analytics.zoho.com/open-view/2395394000008378752?ZOHO_CRITERIA=%2216%20Energ%C3%ADas%20Renovables%20y%20No%20Renovables%22.%22Cod_Regi%C3%B3n%22%20%3D%20"&amp;Agencia[[#This Row],[Filtro URL]])</f>
        <v>https://analytics.zoho.com/open-view/2395394000008378752?ZOHO_CRITERIA=%2216%20Energ%C3%ADas%20Renovables%20y%20No%20Renovables%22.%22Cod_Regi%C3%B3n%22%20%3D%2016</v>
      </c>
      <c r="T345" s="68" t="str">
        <f>"100-R-"&amp;Agencia[[#This Row],[Filtro URL]]</f>
        <v>100-R-16</v>
      </c>
      <c r="U345" s="50" t="str">
        <f t="shared" si="323"/>
        <v>#1774B9</v>
      </c>
      <c r="V345" s="118" t="str">
        <f>+Agencia[[#This Row],[idcoleccion]]&amp;"-"&amp;Agencia[[#This Row],[id]]</f>
        <v>990-0334</v>
      </c>
      <c r="W345" s="118">
        <f>+VLOOKUP(Agencia[[#This Row],[Filtro URL]],Estructura!$X$4:$Y$500,2,0)</f>
        <v>99200016</v>
      </c>
      <c r="X345" s="118" t="str">
        <f>+VLOOKUP(Agencia[[#This Row],[tema]],Estructura!$A$4:$C$500,3,0)</f>
        <v>T-1041</v>
      </c>
      <c r="Y345" s="118" t="str">
        <f>+VLOOKUP(Agencia[[#This Row],[contenido]],Estructura!$E$4:$G$500,3,0)</f>
        <v>C-1000</v>
      </c>
      <c r="Z345" s="118" t="str">
        <f>+VLOOKUP(Agencia[[#This Row],[Filtro Integrado]],Estructura!$I$4:$K$500,3,0)</f>
        <v>FI-993</v>
      </c>
      <c r="AA345" s="118" t="str">
        <f>+VLOOKUP(Agencia[[#This Row],[Muestra]],Estructura!$M$4:$O$500,3,0)</f>
        <v>M-1022</v>
      </c>
    </row>
    <row r="346" spans="1:27" ht="28.8" x14ac:dyDescent="0.3">
      <c r="A346" s="21" t="s">
        <v>783</v>
      </c>
      <c r="B346" s="24">
        <f t="shared" ref="B346:C346" si="327">+B345</f>
        <v>990</v>
      </c>
      <c r="C346" s="25" t="str">
        <f t="shared" si="327"/>
        <v>Agencia Información</v>
      </c>
      <c r="D346" s="25" t="s">
        <v>578</v>
      </c>
      <c r="E346" s="14">
        <v>0</v>
      </c>
      <c r="F346" s="10" t="s">
        <v>832</v>
      </c>
      <c r="G346" s="10" t="s">
        <v>3763</v>
      </c>
      <c r="H346" s="33" t="s">
        <v>20</v>
      </c>
      <c r="I346" s="34" t="s">
        <v>15</v>
      </c>
      <c r="J346" s="9" t="s">
        <v>16</v>
      </c>
      <c r="K346" s="9" t="s">
        <v>1009</v>
      </c>
      <c r="L346" s="9" t="s">
        <v>1007</v>
      </c>
      <c r="M346" s="9" t="s">
        <v>581</v>
      </c>
      <c r="N346" s="9" t="s">
        <v>619</v>
      </c>
      <c r="O346" s="20" t="str">
        <f>"Producción Agrícola (t) en "&amp;Agencia[[#This Row],[territorio]]&amp;" en el "&amp;Agencia[[#This Row],[temporalidad]]</f>
        <v>Producción Agrícola (t) en Chile en el Periodo 1979-2020</v>
      </c>
      <c r="P346" s="20"/>
      <c r="Q346" s="11" t="s">
        <v>821</v>
      </c>
      <c r="R346" s="20" t="str">
        <f>Agencia[[#This Row],[territorio]]&amp;" cultivos producción agrícola agricultura regional"</f>
        <v>Chile cultivos producción agrícola agricultura regional</v>
      </c>
      <c r="S346" s="39" t="s">
        <v>1520</v>
      </c>
      <c r="T346" s="68" t="s">
        <v>855</v>
      </c>
      <c r="U346" s="50" t="str">
        <f t="shared" si="323"/>
        <v>#1774B9</v>
      </c>
      <c r="V346" s="118" t="str">
        <f>+Agencia[[#This Row],[idcoleccion]]&amp;"-"&amp;Agencia[[#This Row],[id]]</f>
        <v>990-0335</v>
      </c>
      <c r="W346" s="118">
        <f>+VLOOKUP(Agencia[[#This Row],[Filtro URL]],Estructura!$X$4:$Y$500,2,0)</f>
        <v>99100000</v>
      </c>
      <c r="X346" s="118" t="str">
        <f>+VLOOKUP(Agencia[[#This Row],[tema]],Estructura!$A$4:$C$500,3,0)</f>
        <v>T-1035</v>
      </c>
      <c r="Y346" s="118" t="str">
        <f>+VLOOKUP(Agencia[[#This Row],[contenido]],Estructura!$E$4:$G$500,3,0)</f>
        <v>C-997</v>
      </c>
      <c r="Z346" s="118" t="str">
        <f>+VLOOKUP(Agencia[[#This Row],[Filtro Integrado]],Estructura!$I$4:$K$500,3,0)</f>
        <v>FI-992</v>
      </c>
      <c r="AA346" s="118" t="str">
        <f>+VLOOKUP(Agencia[[#This Row],[Muestra]],Estructura!$M$4:$O$500,3,0)</f>
        <v>M-1023</v>
      </c>
    </row>
    <row r="347" spans="1:27" ht="57.6" x14ac:dyDescent="0.3">
      <c r="A347" s="21" t="s">
        <v>784</v>
      </c>
      <c r="B347" s="24">
        <f t="shared" ref="B347:D347" si="328">+B346</f>
        <v>990</v>
      </c>
      <c r="C347" s="25" t="str">
        <f t="shared" si="328"/>
        <v>Agencia Información</v>
      </c>
      <c r="D347" s="25" t="str">
        <f t="shared" si="328"/>
        <v>Agropecuario y Forestal</v>
      </c>
      <c r="E347" s="19">
        <v>1</v>
      </c>
      <c r="F347" s="10" t="s">
        <v>832</v>
      </c>
      <c r="G347" s="10" t="s">
        <v>3763</v>
      </c>
      <c r="H347" s="35" t="s">
        <v>16</v>
      </c>
      <c r="I347" s="36" t="s">
        <v>368</v>
      </c>
      <c r="J347" s="9" t="s">
        <v>404</v>
      </c>
      <c r="K347" s="9" t="str">
        <f t="shared" si="317"/>
        <v>Producción agrícola por región</v>
      </c>
      <c r="L347" s="9" t="str">
        <f t="shared" si="317"/>
        <v>Periodo 1979-2020</v>
      </c>
      <c r="M347" s="9" t="str">
        <f t="shared" si="317"/>
        <v>Toneladas</v>
      </c>
      <c r="N347" s="9" t="str">
        <f t="shared" si="317"/>
        <v>Oficina de Estudios y Políticas Agrarias (ODEPA)</v>
      </c>
      <c r="O347" s="20" t="str">
        <f>"Producción Agrícola (t) en la "&amp;Agencia[[#This Row],[territorio]]&amp;" en el "&amp;Agencia[[#This Row],[temporalidad]]</f>
        <v>Producción Agrícola (t) en la Región de Tarapacá en el Periodo 1979-2020</v>
      </c>
      <c r="P347" s="20"/>
      <c r="Q347" s="11" t="str">
        <f t="shared" si="262"/>
        <v>Gráfico de Evolución</v>
      </c>
      <c r="R347" s="87" t="str">
        <f>Agencia[[#This Row],[territorio]]&amp;" cultivos producción agrícola agricultura regional"</f>
        <v>Región de Tarapacá cultivos producción agrícola agricultura regional</v>
      </c>
      <c r="S347" s="39" t="str">
        <f>HYPERLINK("https://analytics.zoho.com/open-view/2395394000008257083?ZOHO_CRITERIA=%22Trasposicion_4.10%22.%22Cod_regi%C3%B3n%22%20%3D%20"&amp;Agencia[[#This Row],[Filtro URL]])</f>
        <v>https://analytics.zoho.com/open-view/2395394000008257083?ZOHO_CRITERIA=%22Trasposicion_4.10%22.%22Cod_regi%C3%B3n%22%20%3D%201</v>
      </c>
      <c r="T347" s="68" t="str">
        <f>"100-R-"&amp;Agencia[[#This Row],[Filtro URL]]</f>
        <v>100-R-1</v>
      </c>
      <c r="U347" s="50" t="str">
        <f t="shared" si="323"/>
        <v>#1774B9</v>
      </c>
      <c r="V347" s="118" t="str">
        <f>+Agencia[[#This Row],[idcoleccion]]&amp;"-"&amp;Agencia[[#This Row],[id]]</f>
        <v>990-0336</v>
      </c>
      <c r="W347" s="118">
        <f>+VLOOKUP(Agencia[[#This Row],[Filtro URL]],Estructura!$X$4:$Y$500,2,0)</f>
        <v>99200001</v>
      </c>
      <c r="X347" s="118" t="str">
        <f>+VLOOKUP(Agencia[[#This Row],[tema]],Estructura!$A$4:$C$500,3,0)</f>
        <v>T-1035</v>
      </c>
      <c r="Y347" s="118" t="str">
        <f>+VLOOKUP(Agencia[[#This Row],[contenido]],Estructura!$E$4:$G$500,3,0)</f>
        <v>C-997</v>
      </c>
      <c r="Z347" s="118" t="str">
        <f>+VLOOKUP(Agencia[[#This Row],[Filtro Integrado]],Estructura!$I$4:$K$500,3,0)</f>
        <v>FI-993</v>
      </c>
      <c r="AA347" s="118" t="str">
        <f>+VLOOKUP(Agencia[[#This Row],[Muestra]],Estructura!$M$4:$O$500,3,0)</f>
        <v>M-1023</v>
      </c>
    </row>
    <row r="348" spans="1:27" ht="57.6" x14ac:dyDescent="0.3">
      <c r="A348" s="21" t="s">
        <v>785</v>
      </c>
      <c r="B348" s="24">
        <f t="shared" ref="B348:D348" si="329">+B347</f>
        <v>990</v>
      </c>
      <c r="C348" s="25" t="str">
        <f t="shared" si="329"/>
        <v>Agencia Información</v>
      </c>
      <c r="D348" s="25" t="str">
        <f t="shared" si="329"/>
        <v>Agropecuario y Forestal</v>
      </c>
      <c r="E348" s="19">
        <v>2</v>
      </c>
      <c r="F348" s="10" t="s">
        <v>832</v>
      </c>
      <c r="G348" s="10" t="s">
        <v>3763</v>
      </c>
      <c r="H348" s="35" t="s">
        <v>16</v>
      </c>
      <c r="I348" s="36" t="s">
        <v>369</v>
      </c>
      <c r="J348" s="9" t="str">
        <f t="shared" si="317"/>
        <v>Ninguno</v>
      </c>
      <c r="K348" s="9" t="str">
        <f t="shared" si="317"/>
        <v>Producción agrícola por región</v>
      </c>
      <c r="L348" s="9" t="str">
        <f t="shared" si="317"/>
        <v>Periodo 1979-2020</v>
      </c>
      <c r="M348" s="9" t="str">
        <f t="shared" si="317"/>
        <v>Toneladas</v>
      </c>
      <c r="N348" s="9" t="str">
        <f t="shared" si="317"/>
        <v>Oficina de Estudios y Políticas Agrarias (ODEPA)</v>
      </c>
      <c r="O348" s="20" t="str">
        <f>"Producción Agrícola (t) en la "&amp;Agencia[[#This Row],[territorio]]&amp;" en el "&amp;Agencia[[#This Row],[temporalidad]]</f>
        <v>Producción Agrícola (t) en la Región de Antofagasta en el Periodo 1979-2020</v>
      </c>
      <c r="P348" s="20"/>
      <c r="Q348" s="11" t="str">
        <f t="shared" si="262"/>
        <v>Gráfico de Evolución</v>
      </c>
      <c r="R348" s="87" t="str">
        <f>Agencia[[#This Row],[territorio]]&amp;" cultivos producción agrícola agricultura regional"</f>
        <v>Región de Antofagasta cultivos producción agrícola agricultura regional</v>
      </c>
      <c r="S348" s="39" t="str">
        <f>HYPERLINK("https://analytics.zoho.com/open-view/2395394000008257083?ZOHO_CRITERIA=%22Trasposicion_4.10%22.%22Cod_regi%C3%B3n%22%20%3D%20"&amp;Agencia[[#This Row],[Filtro URL]])</f>
        <v>https://analytics.zoho.com/open-view/2395394000008257083?ZOHO_CRITERIA=%22Trasposicion_4.10%22.%22Cod_regi%C3%B3n%22%20%3D%202</v>
      </c>
      <c r="T348" s="68" t="str">
        <f>"100-R-"&amp;Agencia[[#This Row],[Filtro URL]]</f>
        <v>100-R-2</v>
      </c>
      <c r="U348" s="50" t="str">
        <f t="shared" si="323"/>
        <v>#1774B9</v>
      </c>
      <c r="V348" s="118" t="str">
        <f>+Agencia[[#This Row],[idcoleccion]]&amp;"-"&amp;Agencia[[#This Row],[id]]</f>
        <v>990-0337</v>
      </c>
      <c r="W348" s="118">
        <f>+VLOOKUP(Agencia[[#This Row],[Filtro URL]],Estructura!$X$4:$Y$500,2,0)</f>
        <v>99200002</v>
      </c>
      <c r="X348" s="118" t="str">
        <f>+VLOOKUP(Agencia[[#This Row],[tema]],Estructura!$A$4:$C$500,3,0)</f>
        <v>T-1035</v>
      </c>
      <c r="Y348" s="118" t="str">
        <f>+VLOOKUP(Agencia[[#This Row],[contenido]],Estructura!$E$4:$G$500,3,0)</f>
        <v>C-997</v>
      </c>
      <c r="Z348" s="118" t="str">
        <f>+VLOOKUP(Agencia[[#This Row],[Filtro Integrado]],Estructura!$I$4:$K$500,3,0)</f>
        <v>FI-993</v>
      </c>
      <c r="AA348" s="118" t="str">
        <f>+VLOOKUP(Agencia[[#This Row],[Muestra]],Estructura!$M$4:$O$500,3,0)</f>
        <v>M-1023</v>
      </c>
    </row>
    <row r="349" spans="1:27" ht="57.6" x14ac:dyDescent="0.3">
      <c r="A349" s="21" t="s">
        <v>786</v>
      </c>
      <c r="B349" s="24">
        <f t="shared" ref="B349:D349" si="330">+B348</f>
        <v>990</v>
      </c>
      <c r="C349" s="25" t="str">
        <f t="shared" si="330"/>
        <v>Agencia Información</v>
      </c>
      <c r="D349" s="25" t="str">
        <f t="shared" si="330"/>
        <v>Agropecuario y Forestal</v>
      </c>
      <c r="E349" s="19">
        <v>3</v>
      </c>
      <c r="F349" s="10" t="s">
        <v>832</v>
      </c>
      <c r="G349" s="10" t="s">
        <v>3763</v>
      </c>
      <c r="H349" s="35" t="s">
        <v>16</v>
      </c>
      <c r="I349" s="36" t="s">
        <v>370</v>
      </c>
      <c r="J349" s="9" t="str">
        <f t="shared" si="317"/>
        <v>Ninguno</v>
      </c>
      <c r="K349" s="9" t="str">
        <f t="shared" si="317"/>
        <v>Producción agrícola por región</v>
      </c>
      <c r="L349" s="9" t="str">
        <f t="shared" si="317"/>
        <v>Periodo 1979-2020</v>
      </c>
      <c r="M349" s="9" t="str">
        <f t="shared" si="317"/>
        <v>Toneladas</v>
      </c>
      <c r="N349" s="9" t="str">
        <f t="shared" si="317"/>
        <v>Oficina de Estudios y Políticas Agrarias (ODEPA)</v>
      </c>
      <c r="O349" s="20" t="str">
        <f>"Producción Agrícola (t) en la "&amp;Agencia[[#This Row],[territorio]]&amp;" en el "&amp;Agencia[[#This Row],[temporalidad]]</f>
        <v>Producción Agrícola (t) en la Región de Atacama en el Periodo 1979-2020</v>
      </c>
      <c r="P349" s="20"/>
      <c r="Q349" s="11" t="str">
        <f t="shared" si="262"/>
        <v>Gráfico de Evolución</v>
      </c>
      <c r="R349" s="87" t="str">
        <f>Agencia[[#This Row],[territorio]]&amp;" cultivos producción agrícola agricultura regional"</f>
        <v>Región de Atacama cultivos producción agrícola agricultura regional</v>
      </c>
      <c r="S349" s="39" t="str">
        <f>HYPERLINK("https://analytics.zoho.com/open-view/2395394000008257083?ZOHO_CRITERIA=%22Trasposicion_4.10%22.%22Cod_regi%C3%B3n%22%20%3D%20"&amp;Agencia[[#This Row],[Filtro URL]])</f>
        <v>https://analytics.zoho.com/open-view/2395394000008257083?ZOHO_CRITERIA=%22Trasposicion_4.10%22.%22Cod_regi%C3%B3n%22%20%3D%203</v>
      </c>
      <c r="T349" s="68" t="str">
        <f>"100-R-"&amp;Agencia[[#This Row],[Filtro URL]]</f>
        <v>100-R-3</v>
      </c>
      <c r="U349" s="50" t="str">
        <f t="shared" si="323"/>
        <v>#1774B9</v>
      </c>
      <c r="V349" s="118" t="str">
        <f>+Agencia[[#This Row],[idcoleccion]]&amp;"-"&amp;Agencia[[#This Row],[id]]</f>
        <v>990-0338</v>
      </c>
      <c r="W349" s="118">
        <f>+VLOOKUP(Agencia[[#This Row],[Filtro URL]],Estructura!$X$4:$Y$500,2,0)</f>
        <v>99200003</v>
      </c>
      <c r="X349" s="118" t="str">
        <f>+VLOOKUP(Agencia[[#This Row],[tema]],Estructura!$A$4:$C$500,3,0)</f>
        <v>T-1035</v>
      </c>
      <c r="Y349" s="118" t="str">
        <f>+VLOOKUP(Agencia[[#This Row],[contenido]],Estructura!$E$4:$G$500,3,0)</f>
        <v>C-997</v>
      </c>
      <c r="Z349" s="118" t="str">
        <f>+VLOOKUP(Agencia[[#This Row],[Filtro Integrado]],Estructura!$I$4:$K$500,3,0)</f>
        <v>FI-993</v>
      </c>
      <c r="AA349" s="118" t="str">
        <f>+VLOOKUP(Agencia[[#This Row],[Muestra]],Estructura!$M$4:$O$500,3,0)</f>
        <v>M-1023</v>
      </c>
    </row>
    <row r="350" spans="1:27" ht="57.6" x14ac:dyDescent="0.3">
      <c r="A350" s="21" t="s">
        <v>787</v>
      </c>
      <c r="B350" s="24">
        <f t="shared" ref="B350:D350" si="331">+B349</f>
        <v>990</v>
      </c>
      <c r="C350" s="25" t="str">
        <f t="shared" si="331"/>
        <v>Agencia Información</v>
      </c>
      <c r="D350" s="25" t="str">
        <f t="shared" si="331"/>
        <v>Agropecuario y Forestal</v>
      </c>
      <c r="E350" s="19">
        <v>4</v>
      </c>
      <c r="F350" s="10" t="s">
        <v>832</v>
      </c>
      <c r="G350" s="10" t="s">
        <v>3763</v>
      </c>
      <c r="H350" s="35" t="s">
        <v>16</v>
      </c>
      <c r="I350" s="36" t="s">
        <v>371</v>
      </c>
      <c r="J350" s="9" t="str">
        <f t="shared" si="317"/>
        <v>Ninguno</v>
      </c>
      <c r="K350" s="9" t="str">
        <f t="shared" si="317"/>
        <v>Producción agrícola por región</v>
      </c>
      <c r="L350" s="9" t="str">
        <f t="shared" si="317"/>
        <v>Periodo 1979-2020</v>
      </c>
      <c r="M350" s="9" t="str">
        <f t="shared" si="317"/>
        <v>Toneladas</v>
      </c>
      <c r="N350" s="9" t="str">
        <f t="shared" si="317"/>
        <v>Oficina de Estudios y Políticas Agrarias (ODEPA)</v>
      </c>
      <c r="O350" s="20" t="str">
        <f>"Producción Agrícola (t) en la "&amp;Agencia[[#This Row],[territorio]]&amp;" en el "&amp;Agencia[[#This Row],[temporalidad]]</f>
        <v>Producción Agrícola (t) en la Región de Coquimbo en el Periodo 1979-2020</v>
      </c>
      <c r="P350" s="20"/>
      <c r="Q350" s="11" t="str">
        <f t="shared" si="262"/>
        <v>Gráfico de Evolución</v>
      </c>
      <c r="R350" s="87" t="str">
        <f>Agencia[[#This Row],[territorio]]&amp;" cultivos producción agrícola agricultura regional"</f>
        <v>Región de Coquimbo cultivos producción agrícola agricultura regional</v>
      </c>
      <c r="S350" s="39" t="str">
        <f>HYPERLINK("https://analytics.zoho.com/open-view/2395394000008257083?ZOHO_CRITERIA=%22Trasposicion_4.10%22.%22Cod_regi%C3%B3n%22%20%3D%20"&amp;Agencia[[#This Row],[Filtro URL]])</f>
        <v>https://analytics.zoho.com/open-view/2395394000008257083?ZOHO_CRITERIA=%22Trasposicion_4.10%22.%22Cod_regi%C3%B3n%22%20%3D%204</v>
      </c>
      <c r="T350" s="68" t="str">
        <f>"100-R-"&amp;Agencia[[#This Row],[Filtro URL]]</f>
        <v>100-R-4</v>
      </c>
      <c r="U350" s="50" t="str">
        <f t="shared" si="323"/>
        <v>#1774B9</v>
      </c>
      <c r="V350" s="118" t="str">
        <f>+Agencia[[#This Row],[idcoleccion]]&amp;"-"&amp;Agencia[[#This Row],[id]]</f>
        <v>990-0339</v>
      </c>
      <c r="W350" s="118">
        <f>+VLOOKUP(Agencia[[#This Row],[Filtro URL]],Estructura!$X$4:$Y$500,2,0)</f>
        <v>99200004</v>
      </c>
      <c r="X350" s="118" t="str">
        <f>+VLOOKUP(Agencia[[#This Row],[tema]],Estructura!$A$4:$C$500,3,0)</f>
        <v>T-1035</v>
      </c>
      <c r="Y350" s="118" t="str">
        <f>+VLOOKUP(Agencia[[#This Row],[contenido]],Estructura!$E$4:$G$500,3,0)</f>
        <v>C-997</v>
      </c>
      <c r="Z350" s="118" t="str">
        <f>+VLOOKUP(Agencia[[#This Row],[Filtro Integrado]],Estructura!$I$4:$K$500,3,0)</f>
        <v>FI-993</v>
      </c>
      <c r="AA350" s="118" t="str">
        <f>+VLOOKUP(Agencia[[#This Row],[Muestra]],Estructura!$M$4:$O$500,3,0)</f>
        <v>M-1023</v>
      </c>
    </row>
    <row r="351" spans="1:27" ht="57.6" x14ac:dyDescent="0.3">
      <c r="A351" s="21" t="s">
        <v>788</v>
      </c>
      <c r="B351" s="24">
        <f t="shared" ref="B351:D351" si="332">+B350</f>
        <v>990</v>
      </c>
      <c r="C351" s="25" t="str">
        <f t="shared" si="332"/>
        <v>Agencia Información</v>
      </c>
      <c r="D351" s="25" t="str">
        <f t="shared" si="332"/>
        <v>Agropecuario y Forestal</v>
      </c>
      <c r="E351" s="19">
        <v>5</v>
      </c>
      <c r="F351" s="10" t="s">
        <v>832</v>
      </c>
      <c r="G351" s="10" t="s">
        <v>3763</v>
      </c>
      <c r="H351" s="35" t="s">
        <v>16</v>
      </c>
      <c r="I351" s="36" t="s">
        <v>372</v>
      </c>
      <c r="J351" s="9" t="str">
        <f t="shared" si="317"/>
        <v>Ninguno</v>
      </c>
      <c r="K351" s="9" t="str">
        <f t="shared" si="317"/>
        <v>Producción agrícola por región</v>
      </c>
      <c r="L351" s="9" t="str">
        <f t="shared" si="317"/>
        <v>Periodo 1979-2020</v>
      </c>
      <c r="M351" s="9" t="str">
        <f t="shared" si="317"/>
        <v>Toneladas</v>
      </c>
      <c r="N351" s="9" t="str">
        <f t="shared" si="317"/>
        <v>Oficina de Estudios y Políticas Agrarias (ODEPA)</v>
      </c>
      <c r="O351" s="20" t="str">
        <f>"Producción Agrícola (t) en la "&amp;Agencia[[#This Row],[territorio]]&amp;" en el "&amp;Agencia[[#This Row],[temporalidad]]</f>
        <v>Producción Agrícola (t) en la Región de Valparaíso en el Periodo 1979-2020</v>
      </c>
      <c r="P351" s="20"/>
      <c r="Q351" s="11" t="str">
        <f t="shared" ref="Q351:Q360" si="333">+Q350</f>
        <v>Gráfico de Evolución</v>
      </c>
      <c r="R351" s="87" t="str">
        <f>Agencia[[#This Row],[territorio]]&amp;" cultivos producción agrícola agricultura regional"</f>
        <v>Región de Valparaíso cultivos producción agrícola agricultura regional</v>
      </c>
      <c r="S351" s="39" t="str">
        <f>HYPERLINK("https://analytics.zoho.com/open-view/2395394000008257083?ZOHO_CRITERIA=%22Trasposicion_4.10%22.%22Cod_regi%C3%B3n%22%20%3D%20"&amp;Agencia[[#This Row],[Filtro URL]])</f>
        <v>https://analytics.zoho.com/open-view/2395394000008257083?ZOHO_CRITERIA=%22Trasposicion_4.10%22.%22Cod_regi%C3%B3n%22%20%3D%205</v>
      </c>
      <c r="T351" s="68" t="str">
        <f>"100-R-"&amp;Agencia[[#This Row],[Filtro URL]]</f>
        <v>100-R-5</v>
      </c>
      <c r="U351" s="50" t="str">
        <f t="shared" si="323"/>
        <v>#1774B9</v>
      </c>
      <c r="V351" s="118" t="str">
        <f>+Agencia[[#This Row],[idcoleccion]]&amp;"-"&amp;Agencia[[#This Row],[id]]</f>
        <v>990-0340</v>
      </c>
      <c r="W351" s="118">
        <f>+VLOOKUP(Agencia[[#This Row],[Filtro URL]],Estructura!$X$4:$Y$500,2,0)</f>
        <v>99200005</v>
      </c>
      <c r="X351" s="118" t="str">
        <f>+VLOOKUP(Agencia[[#This Row],[tema]],Estructura!$A$4:$C$500,3,0)</f>
        <v>T-1035</v>
      </c>
      <c r="Y351" s="118" t="str">
        <f>+VLOOKUP(Agencia[[#This Row],[contenido]],Estructura!$E$4:$G$500,3,0)</f>
        <v>C-997</v>
      </c>
      <c r="Z351" s="118" t="str">
        <f>+VLOOKUP(Agencia[[#This Row],[Filtro Integrado]],Estructura!$I$4:$K$500,3,0)</f>
        <v>FI-993</v>
      </c>
      <c r="AA351" s="118" t="str">
        <f>+VLOOKUP(Agencia[[#This Row],[Muestra]],Estructura!$M$4:$O$500,3,0)</f>
        <v>M-1023</v>
      </c>
    </row>
    <row r="352" spans="1:27" ht="91.8" x14ac:dyDescent="0.3">
      <c r="A352" s="21" t="s">
        <v>789</v>
      </c>
      <c r="B352" s="24">
        <f t="shared" ref="B352:D352" si="334">+B351</f>
        <v>990</v>
      </c>
      <c r="C352" s="25" t="str">
        <f t="shared" si="334"/>
        <v>Agencia Información</v>
      </c>
      <c r="D352" s="25" t="str">
        <f t="shared" si="334"/>
        <v>Agropecuario y Forestal</v>
      </c>
      <c r="E352" s="19">
        <v>6</v>
      </c>
      <c r="F352" s="10" t="s">
        <v>832</v>
      </c>
      <c r="G352" s="10" t="s">
        <v>3763</v>
      </c>
      <c r="H352" s="35" t="s">
        <v>16</v>
      </c>
      <c r="I352" s="36" t="s">
        <v>373</v>
      </c>
      <c r="J352" s="9" t="str">
        <f t="shared" si="317"/>
        <v>Ninguno</v>
      </c>
      <c r="K352" s="9" t="str">
        <f t="shared" si="317"/>
        <v>Producción agrícola por región</v>
      </c>
      <c r="L352" s="9" t="str">
        <f t="shared" si="317"/>
        <v>Periodo 1979-2020</v>
      </c>
      <c r="M352" s="9" t="str">
        <f t="shared" si="317"/>
        <v>Toneladas</v>
      </c>
      <c r="N352" s="9" t="str">
        <f t="shared" si="317"/>
        <v>Oficina de Estudios y Políticas Agrarias (ODEPA)</v>
      </c>
      <c r="O352" s="20" t="str">
        <f>"Producción Agrícola (t) en la "&amp;Agencia[[#This Row],[territorio]]&amp;" en el "&amp;Agencia[[#This Row],[temporalidad]]</f>
        <v>Producción Agrícola (t) en la Región de O'Higgins en el Periodo 1979-2020</v>
      </c>
      <c r="P352" s="20" t="s">
        <v>1008</v>
      </c>
      <c r="Q352" s="11" t="str">
        <f t="shared" si="333"/>
        <v>Gráfico de Evolución</v>
      </c>
      <c r="R352" s="87" t="str">
        <f>Agencia[[#This Row],[territorio]]&amp;" cultivos producción agrícola agricultura regional"</f>
        <v>Región de O'Higgins cultivos producción agrícola agricultura regional</v>
      </c>
      <c r="S352" s="39" t="str">
        <f>HYPERLINK("https://analytics.zoho.com/open-view/2395394000008257083?ZOHO_CRITERIA=%22Trasposicion_4.10%22.%22Cod_regi%C3%B3n%22%20%3D%20"&amp;Agencia[[#This Row],[Filtro URL]])</f>
        <v>https://analytics.zoho.com/open-view/2395394000008257083?ZOHO_CRITERIA=%22Trasposicion_4.10%22.%22Cod_regi%C3%B3n%22%20%3D%206</v>
      </c>
      <c r="T352" s="68" t="str">
        <f>"100-R-"&amp;Agencia[[#This Row],[Filtro URL]]</f>
        <v>100-R-6</v>
      </c>
      <c r="U352" s="50" t="str">
        <f t="shared" si="323"/>
        <v>#1774B9</v>
      </c>
      <c r="V352" s="118" t="str">
        <f>+Agencia[[#This Row],[idcoleccion]]&amp;"-"&amp;Agencia[[#This Row],[id]]</f>
        <v>990-0341</v>
      </c>
      <c r="W352" s="118">
        <f>+VLOOKUP(Agencia[[#This Row],[Filtro URL]],Estructura!$X$4:$Y$500,2,0)</f>
        <v>99200006</v>
      </c>
      <c r="X352" s="118" t="str">
        <f>+VLOOKUP(Agencia[[#This Row],[tema]],Estructura!$A$4:$C$500,3,0)</f>
        <v>T-1035</v>
      </c>
      <c r="Y352" s="118" t="str">
        <f>+VLOOKUP(Agencia[[#This Row],[contenido]],Estructura!$E$4:$G$500,3,0)</f>
        <v>C-997</v>
      </c>
      <c r="Z352" s="118" t="str">
        <f>+VLOOKUP(Agencia[[#This Row],[Filtro Integrado]],Estructura!$I$4:$K$500,3,0)</f>
        <v>FI-993</v>
      </c>
      <c r="AA352" s="118" t="str">
        <f>+VLOOKUP(Agencia[[#This Row],[Muestra]],Estructura!$M$4:$O$500,3,0)</f>
        <v>M-1023</v>
      </c>
    </row>
    <row r="353" spans="1:27" ht="57.6" x14ac:dyDescent="0.3">
      <c r="A353" s="21" t="s">
        <v>790</v>
      </c>
      <c r="B353" s="24">
        <f t="shared" ref="B353:D353" si="335">+B352</f>
        <v>990</v>
      </c>
      <c r="C353" s="25" t="str">
        <f t="shared" si="335"/>
        <v>Agencia Información</v>
      </c>
      <c r="D353" s="25" t="str">
        <f t="shared" si="335"/>
        <v>Agropecuario y Forestal</v>
      </c>
      <c r="E353" s="19">
        <v>7</v>
      </c>
      <c r="F353" s="10" t="s">
        <v>832</v>
      </c>
      <c r="G353" s="10" t="s">
        <v>3763</v>
      </c>
      <c r="H353" s="35" t="s">
        <v>16</v>
      </c>
      <c r="I353" s="36" t="s">
        <v>374</v>
      </c>
      <c r="J353" s="9" t="str">
        <f t="shared" ref="J353:N360" si="336">+J352</f>
        <v>Ninguno</v>
      </c>
      <c r="K353" s="9" t="str">
        <f t="shared" si="336"/>
        <v>Producción agrícola por región</v>
      </c>
      <c r="L353" s="9" t="str">
        <f t="shared" si="336"/>
        <v>Periodo 1979-2020</v>
      </c>
      <c r="M353" s="9" t="str">
        <f t="shared" si="336"/>
        <v>Toneladas</v>
      </c>
      <c r="N353" s="9" t="str">
        <f t="shared" si="336"/>
        <v>Oficina de Estudios y Políticas Agrarias (ODEPA)</v>
      </c>
      <c r="O353" s="20" t="str">
        <f>"Producción Agrícola (t) en la "&amp;Agencia[[#This Row],[territorio]]&amp;" en el "&amp;Agencia[[#This Row],[temporalidad]]</f>
        <v>Producción Agrícola (t) en la Región de Maule en el Periodo 1979-2020</v>
      </c>
      <c r="P353" s="20"/>
      <c r="Q353" s="11" t="str">
        <f t="shared" si="333"/>
        <v>Gráfico de Evolución</v>
      </c>
      <c r="R353" s="87" t="str">
        <f>Agencia[[#This Row],[territorio]]&amp;" cultivos producción agrícola agricultura regional"</f>
        <v>Región de Maule cultivos producción agrícola agricultura regional</v>
      </c>
      <c r="S353" s="39" t="str">
        <f>HYPERLINK("https://analytics.zoho.com/open-view/2395394000008257083?ZOHO_CRITERIA=%22Trasposicion_4.10%22.%22Cod_regi%C3%B3n%22%20%3D%20"&amp;Agencia[[#This Row],[Filtro URL]])</f>
        <v>https://analytics.zoho.com/open-view/2395394000008257083?ZOHO_CRITERIA=%22Trasposicion_4.10%22.%22Cod_regi%C3%B3n%22%20%3D%207</v>
      </c>
      <c r="T353" s="68" t="str">
        <f>"100-R-"&amp;Agencia[[#This Row],[Filtro URL]]</f>
        <v>100-R-7</v>
      </c>
      <c r="U353" s="50" t="str">
        <f t="shared" si="323"/>
        <v>#1774B9</v>
      </c>
      <c r="V353" s="118" t="str">
        <f>+Agencia[[#This Row],[idcoleccion]]&amp;"-"&amp;Agencia[[#This Row],[id]]</f>
        <v>990-0342</v>
      </c>
      <c r="W353" s="118">
        <f>+VLOOKUP(Agencia[[#This Row],[Filtro URL]],Estructura!$X$4:$Y$500,2,0)</f>
        <v>99200007</v>
      </c>
      <c r="X353" s="118" t="str">
        <f>+VLOOKUP(Agencia[[#This Row],[tema]],Estructura!$A$4:$C$500,3,0)</f>
        <v>T-1035</v>
      </c>
      <c r="Y353" s="118" t="str">
        <f>+VLOOKUP(Agencia[[#This Row],[contenido]],Estructura!$E$4:$G$500,3,0)</f>
        <v>C-997</v>
      </c>
      <c r="Z353" s="118" t="str">
        <f>+VLOOKUP(Agencia[[#This Row],[Filtro Integrado]],Estructura!$I$4:$K$500,3,0)</f>
        <v>FI-993</v>
      </c>
      <c r="AA353" s="118" t="str">
        <f>+VLOOKUP(Agencia[[#This Row],[Muestra]],Estructura!$M$4:$O$500,3,0)</f>
        <v>M-1023</v>
      </c>
    </row>
    <row r="354" spans="1:27" ht="57.6" x14ac:dyDescent="0.3">
      <c r="A354" s="21" t="s">
        <v>791</v>
      </c>
      <c r="B354" s="24">
        <f t="shared" ref="B354:D354" si="337">+B353</f>
        <v>990</v>
      </c>
      <c r="C354" s="25" t="str">
        <f t="shared" si="337"/>
        <v>Agencia Información</v>
      </c>
      <c r="D354" s="25" t="str">
        <f t="shared" si="337"/>
        <v>Agropecuario y Forestal</v>
      </c>
      <c r="E354" s="19">
        <v>8</v>
      </c>
      <c r="F354" s="10" t="s">
        <v>832</v>
      </c>
      <c r="G354" s="10" t="s">
        <v>3763</v>
      </c>
      <c r="H354" s="35" t="s">
        <v>16</v>
      </c>
      <c r="I354" s="36" t="s">
        <v>375</v>
      </c>
      <c r="J354" s="9" t="str">
        <f t="shared" si="336"/>
        <v>Ninguno</v>
      </c>
      <c r="K354" s="9" t="str">
        <f t="shared" si="336"/>
        <v>Producción agrícola por región</v>
      </c>
      <c r="L354" s="9" t="str">
        <f t="shared" si="336"/>
        <v>Periodo 1979-2020</v>
      </c>
      <c r="M354" s="9" t="str">
        <f t="shared" si="336"/>
        <v>Toneladas</v>
      </c>
      <c r="N354" s="9" t="str">
        <f t="shared" si="336"/>
        <v>Oficina de Estudios y Políticas Agrarias (ODEPA)</v>
      </c>
      <c r="O354" s="20" t="str">
        <f>"Producción Agrícola (t) en la "&amp;Agencia[[#This Row],[territorio]]&amp;" en el "&amp;Agencia[[#This Row],[temporalidad]]</f>
        <v>Producción Agrícola (t) en la Región del Biobío en el Periodo 1979-2020</v>
      </c>
      <c r="P354" s="20"/>
      <c r="Q354" s="11" t="str">
        <f t="shared" si="333"/>
        <v>Gráfico de Evolución</v>
      </c>
      <c r="R354" s="87" t="str">
        <f>Agencia[[#This Row],[territorio]]&amp;" cultivos producción agrícola agricultura regional"</f>
        <v>Región del Biobío cultivos producción agrícola agricultura regional</v>
      </c>
      <c r="S354" s="39" t="str">
        <f>HYPERLINK("https://analytics.zoho.com/open-view/2395394000008257083?ZOHO_CRITERIA=%22Trasposicion_4.10%22.%22Cod_regi%C3%B3n%22%20%3D%20"&amp;Agencia[[#This Row],[Filtro URL]])</f>
        <v>https://analytics.zoho.com/open-view/2395394000008257083?ZOHO_CRITERIA=%22Trasposicion_4.10%22.%22Cod_regi%C3%B3n%22%20%3D%208</v>
      </c>
      <c r="T354" s="68" t="str">
        <f>"100-R-"&amp;Agencia[[#This Row],[Filtro URL]]</f>
        <v>100-R-8</v>
      </c>
      <c r="U354" s="50" t="str">
        <f t="shared" si="323"/>
        <v>#1774B9</v>
      </c>
      <c r="V354" s="118" t="str">
        <f>+Agencia[[#This Row],[idcoleccion]]&amp;"-"&amp;Agencia[[#This Row],[id]]</f>
        <v>990-0343</v>
      </c>
      <c r="W354" s="118">
        <f>+VLOOKUP(Agencia[[#This Row],[Filtro URL]],Estructura!$X$4:$Y$500,2,0)</f>
        <v>99200008</v>
      </c>
      <c r="X354" s="118" t="str">
        <f>+VLOOKUP(Agencia[[#This Row],[tema]],Estructura!$A$4:$C$500,3,0)</f>
        <v>T-1035</v>
      </c>
      <c r="Y354" s="118" t="str">
        <f>+VLOOKUP(Agencia[[#This Row],[contenido]],Estructura!$E$4:$G$500,3,0)</f>
        <v>C-997</v>
      </c>
      <c r="Z354" s="118" t="str">
        <f>+VLOOKUP(Agencia[[#This Row],[Filtro Integrado]],Estructura!$I$4:$K$500,3,0)</f>
        <v>FI-993</v>
      </c>
      <c r="AA354" s="118" t="str">
        <f>+VLOOKUP(Agencia[[#This Row],[Muestra]],Estructura!$M$4:$O$500,3,0)</f>
        <v>M-1023</v>
      </c>
    </row>
    <row r="355" spans="1:27" ht="57.6" x14ac:dyDescent="0.3">
      <c r="A355" s="21" t="s">
        <v>792</v>
      </c>
      <c r="B355" s="24">
        <f t="shared" ref="B355:D355" si="338">+B354</f>
        <v>990</v>
      </c>
      <c r="C355" s="25" t="str">
        <f t="shared" si="338"/>
        <v>Agencia Información</v>
      </c>
      <c r="D355" s="25" t="str">
        <f t="shared" si="338"/>
        <v>Agropecuario y Forestal</v>
      </c>
      <c r="E355" s="19">
        <v>9</v>
      </c>
      <c r="F355" s="10" t="s">
        <v>832</v>
      </c>
      <c r="G355" s="10" t="s">
        <v>3763</v>
      </c>
      <c r="H355" s="35" t="s">
        <v>16</v>
      </c>
      <c r="I355" s="36" t="s">
        <v>376</v>
      </c>
      <c r="J355" s="9" t="str">
        <f t="shared" si="336"/>
        <v>Ninguno</v>
      </c>
      <c r="K355" s="9" t="str">
        <f t="shared" si="336"/>
        <v>Producción agrícola por región</v>
      </c>
      <c r="L355" s="9" t="str">
        <f t="shared" si="336"/>
        <v>Periodo 1979-2020</v>
      </c>
      <c r="M355" s="9" t="str">
        <f t="shared" si="336"/>
        <v>Toneladas</v>
      </c>
      <c r="N355" s="9" t="str">
        <f t="shared" si="336"/>
        <v>Oficina de Estudios y Políticas Agrarias (ODEPA)</v>
      </c>
      <c r="O355" s="20" t="str">
        <f>"Producción Agrícola (t) en la "&amp;Agencia[[#This Row],[territorio]]&amp;" en el "&amp;Agencia[[#This Row],[temporalidad]]</f>
        <v>Producción Agrícola (t) en la Región de La Araucanía en el Periodo 1979-2020</v>
      </c>
      <c r="P355" s="20"/>
      <c r="Q355" s="11" t="str">
        <f t="shared" si="333"/>
        <v>Gráfico de Evolución</v>
      </c>
      <c r="R355" s="87" t="str">
        <f>Agencia[[#This Row],[territorio]]&amp;" cultivos producción agrícola agricultura regional"</f>
        <v>Región de La Araucanía cultivos producción agrícola agricultura regional</v>
      </c>
      <c r="S355" s="39" t="str">
        <f>HYPERLINK("https://analytics.zoho.com/open-view/2395394000008257083?ZOHO_CRITERIA=%22Trasposicion_4.10%22.%22Cod_regi%C3%B3n%22%20%3D%20"&amp;Agencia[[#This Row],[Filtro URL]])</f>
        <v>https://analytics.zoho.com/open-view/2395394000008257083?ZOHO_CRITERIA=%22Trasposicion_4.10%22.%22Cod_regi%C3%B3n%22%20%3D%209</v>
      </c>
      <c r="T355" s="68" t="str">
        <f>"100-R-"&amp;Agencia[[#This Row],[Filtro URL]]</f>
        <v>100-R-9</v>
      </c>
      <c r="U355" s="50" t="str">
        <f t="shared" si="323"/>
        <v>#1774B9</v>
      </c>
      <c r="V355" s="118" t="str">
        <f>+Agencia[[#This Row],[idcoleccion]]&amp;"-"&amp;Agencia[[#This Row],[id]]</f>
        <v>990-0344</v>
      </c>
      <c r="W355" s="118">
        <f>+VLOOKUP(Agencia[[#This Row],[Filtro URL]],Estructura!$X$4:$Y$500,2,0)</f>
        <v>99200009</v>
      </c>
      <c r="X355" s="118" t="str">
        <f>+VLOOKUP(Agencia[[#This Row],[tema]],Estructura!$A$4:$C$500,3,0)</f>
        <v>T-1035</v>
      </c>
      <c r="Y355" s="118" t="str">
        <f>+VLOOKUP(Agencia[[#This Row],[contenido]],Estructura!$E$4:$G$500,3,0)</f>
        <v>C-997</v>
      </c>
      <c r="Z355" s="118" t="str">
        <f>+VLOOKUP(Agencia[[#This Row],[Filtro Integrado]],Estructura!$I$4:$K$500,3,0)</f>
        <v>FI-993</v>
      </c>
      <c r="AA355" s="118" t="str">
        <f>+VLOOKUP(Agencia[[#This Row],[Muestra]],Estructura!$M$4:$O$500,3,0)</f>
        <v>M-1023</v>
      </c>
    </row>
    <row r="356" spans="1:27" ht="57.6" x14ac:dyDescent="0.3">
      <c r="A356" s="21" t="s">
        <v>793</v>
      </c>
      <c r="B356" s="24">
        <f t="shared" ref="B356:D356" si="339">+B355</f>
        <v>990</v>
      </c>
      <c r="C356" s="25" t="str">
        <f t="shared" si="339"/>
        <v>Agencia Información</v>
      </c>
      <c r="D356" s="25" t="str">
        <f t="shared" si="339"/>
        <v>Agropecuario y Forestal</v>
      </c>
      <c r="E356" s="19">
        <v>10</v>
      </c>
      <c r="F356" s="10" t="s">
        <v>832</v>
      </c>
      <c r="G356" s="10" t="s">
        <v>3763</v>
      </c>
      <c r="H356" s="35" t="s">
        <v>16</v>
      </c>
      <c r="I356" s="36" t="s">
        <v>377</v>
      </c>
      <c r="J356" s="9" t="str">
        <f t="shared" si="336"/>
        <v>Ninguno</v>
      </c>
      <c r="K356" s="9" t="str">
        <f t="shared" si="336"/>
        <v>Producción agrícola por región</v>
      </c>
      <c r="L356" s="9" t="str">
        <f t="shared" si="336"/>
        <v>Periodo 1979-2020</v>
      </c>
      <c r="M356" s="9" t="str">
        <f t="shared" si="336"/>
        <v>Toneladas</v>
      </c>
      <c r="N356" s="9" t="str">
        <f t="shared" si="336"/>
        <v>Oficina de Estudios y Políticas Agrarias (ODEPA)</v>
      </c>
      <c r="O356" s="20" t="str">
        <f>"Producción Agrícola (t) en la "&amp;Agencia[[#This Row],[territorio]]&amp;" en el "&amp;Agencia[[#This Row],[temporalidad]]</f>
        <v>Producción Agrícola (t) en la Región de Los Lagos en el Periodo 1979-2020</v>
      </c>
      <c r="P356" s="20"/>
      <c r="Q356" s="11" t="str">
        <f t="shared" si="333"/>
        <v>Gráfico de Evolución</v>
      </c>
      <c r="R356" s="87" t="str">
        <f>Agencia[[#This Row],[territorio]]&amp;" cultivos producción agrícola agricultura regional"</f>
        <v>Región de Los Lagos cultivos producción agrícola agricultura regional</v>
      </c>
      <c r="S356" s="39" t="str">
        <f>HYPERLINK("https://analytics.zoho.com/open-view/2395394000008257083?ZOHO_CRITERIA=%22Trasposicion_4.10%22.%22Cod_regi%C3%B3n%22%20%3D%20"&amp;Agencia[[#This Row],[Filtro URL]])</f>
        <v>https://analytics.zoho.com/open-view/2395394000008257083?ZOHO_CRITERIA=%22Trasposicion_4.10%22.%22Cod_regi%C3%B3n%22%20%3D%2010</v>
      </c>
      <c r="T356" s="68" t="str">
        <f>"100-R-"&amp;Agencia[[#This Row],[Filtro URL]]</f>
        <v>100-R-10</v>
      </c>
      <c r="U356" s="50" t="str">
        <f t="shared" si="323"/>
        <v>#1774B9</v>
      </c>
      <c r="V356" s="118" t="str">
        <f>+Agencia[[#This Row],[idcoleccion]]&amp;"-"&amp;Agencia[[#This Row],[id]]</f>
        <v>990-0345</v>
      </c>
      <c r="W356" s="118">
        <f>+VLOOKUP(Agencia[[#This Row],[Filtro URL]],Estructura!$X$4:$Y$500,2,0)</f>
        <v>99200010</v>
      </c>
      <c r="X356" s="118" t="str">
        <f>+VLOOKUP(Agencia[[#This Row],[tema]],Estructura!$A$4:$C$500,3,0)</f>
        <v>T-1035</v>
      </c>
      <c r="Y356" s="118" t="str">
        <f>+VLOOKUP(Agencia[[#This Row],[contenido]],Estructura!$E$4:$G$500,3,0)</f>
        <v>C-997</v>
      </c>
      <c r="Z356" s="118" t="str">
        <f>+VLOOKUP(Agencia[[#This Row],[Filtro Integrado]],Estructura!$I$4:$K$500,3,0)</f>
        <v>FI-993</v>
      </c>
      <c r="AA356" s="118" t="str">
        <f>+VLOOKUP(Agencia[[#This Row],[Muestra]],Estructura!$M$4:$O$500,3,0)</f>
        <v>M-1023</v>
      </c>
    </row>
    <row r="357" spans="1:27" ht="57.6" x14ac:dyDescent="0.3">
      <c r="A357" s="21" t="s">
        <v>794</v>
      </c>
      <c r="B357" s="24">
        <f t="shared" ref="B357:D357" si="340">+B356</f>
        <v>990</v>
      </c>
      <c r="C357" s="25" t="str">
        <f t="shared" si="340"/>
        <v>Agencia Información</v>
      </c>
      <c r="D357" s="25" t="str">
        <f t="shared" si="340"/>
        <v>Agropecuario y Forestal</v>
      </c>
      <c r="E357" s="19">
        <v>11</v>
      </c>
      <c r="F357" s="10" t="s">
        <v>832</v>
      </c>
      <c r="G357" s="10" t="s">
        <v>3763</v>
      </c>
      <c r="H357" s="35" t="s">
        <v>16</v>
      </c>
      <c r="I357" s="36" t="s">
        <v>378</v>
      </c>
      <c r="J357" s="9" t="str">
        <f t="shared" si="336"/>
        <v>Ninguno</v>
      </c>
      <c r="K357" s="9" t="str">
        <f t="shared" si="336"/>
        <v>Producción agrícola por región</v>
      </c>
      <c r="L357" s="9" t="str">
        <f t="shared" si="336"/>
        <v>Periodo 1979-2020</v>
      </c>
      <c r="M357" s="9" t="str">
        <f t="shared" si="336"/>
        <v>Toneladas</v>
      </c>
      <c r="N357" s="9" t="str">
        <f t="shared" si="336"/>
        <v>Oficina de Estudios y Políticas Agrarias (ODEPA)</v>
      </c>
      <c r="O357" s="20" t="str">
        <f>"Producción Agrícola (t) en la "&amp;Agencia[[#This Row],[territorio]]&amp;" en el "&amp;Agencia[[#This Row],[temporalidad]]</f>
        <v>Producción Agrícola (t) en la Región de Aysén en el Periodo 1979-2020</v>
      </c>
      <c r="P357" s="20"/>
      <c r="Q357" s="11" t="str">
        <f t="shared" si="333"/>
        <v>Gráfico de Evolución</v>
      </c>
      <c r="R357" s="87" t="str">
        <f>Agencia[[#This Row],[territorio]]&amp;" cultivos producción agrícola agricultura regional"</f>
        <v>Región de Aysén cultivos producción agrícola agricultura regional</v>
      </c>
      <c r="S357" s="39" t="str">
        <f>HYPERLINK("https://analytics.zoho.com/open-view/2395394000008257083?ZOHO_CRITERIA=%22Trasposicion_4.10%22.%22Cod_regi%C3%B3n%22%20%3D%20"&amp;Agencia[[#This Row],[Filtro URL]])</f>
        <v>https://analytics.zoho.com/open-view/2395394000008257083?ZOHO_CRITERIA=%22Trasposicion_4.10%22.%22Cod_regi%C3%B3n%22%20%3D%2011</v>
      </c>
      <c r="T357" s="68" t="str">
        <f>"100-R-"&amp;Agencia[[#This Row],[Filtro URL]]</f>
        <v>100-R-11</v>
      </c>
      <c r="U357" s="50" t="str">
        <f t="shared" si="323"/>
        <v>#1774B9</v>
      </c>
      <c r="V357" s="118" t="str">
        <f>+Agencia[[#This Row],[idcoleccion]]&amp;"-"&amp;Agencia[[#This Row],[id]]</f>
        <v>990-0346</v>
      </c>
      <c r="W357" s="118">
        <f>+VLOOKUP(Agencia[[#This Row],[Filtro URL]],Estructura!$X$4:$Y$500,2,0)</f>
        <v>99200011</v>
      </c>
      <c r="X357" s="118" t="str">
        <f>+VLOOKUP(Agencia[[#This Row],[tema]],Estructura!$A$4:$C$500,3,0)</f>
        <v>T-1035</v>
      </c>
      <c r="Y357" s="118" t="str">
        <f>+VLOOKUP(Agencia[[#This Row],[contenido]],Estructura!$E$4:$G$500,3,0)</f>
        <v>C-997</v>
      </c>
      <c r="Z357" s="118" t="str">
        <f>+VLOOKUP(Agencia[[#This Row],[Filtro Integrado]],Estructura!$I$4:$K$500,3,0)</f>
        <v>FI-993</v>
      </c>
      <c r="AA357" s="118" t="str">
        <f>+VLOOKUP(Agencia[[#This Row],[Muestra]],Estructura!$M$4:$O$500,3,0)</f>
        <v>M-1023</v>
      </c>
    </row>
    <row r="358" spans="1:27" ht="57.6" x14ac:dyDescent="0.3">
      <c r="A358" s="21" t="s">
        <v>795</v>
      </c>
      <c r="B358" s="24">
        <f t="shared" ref="B358:D358" si="341">+B357</f>
        <v>990</v>
      </c>
      <c r="C358" s="25" t="str">
        <f t="shared" si="341"/>
        <v>Agencia Información</v>
      </c>
      <c r="D358" s="25" t="str">
        <f t="shared" si="341"/>
        <v>Agropecuario y Forestal</v>
      </c>
      <c r="E358" s="19">
        <v>12</v>
      </c>
      <c r="F358" s="10" t="s">
        <v>832</v>
      </c>
      <c r="G358" s="10" t="s">
        <v>3763</v>
      </c>
      <c r="H358" s="35" t="s">
        <v>16</v>
      </c>
      <c r="I358" s="36" t="s">
        <v>379</v>
      </c>
      <c r="J358" s="9" t="str">
        <f t="shared" si="336"/>
        <v>Ninguno</v>
      </c>
      <c r="K358" s="9" t="str">
        <f t="shared" si="336"/>
        <v>Producción agrícola por región</v>
      </c>
      <c r="L358" s="9" t="str">
        <f t="shared" si="336"/>
        <v>Periodo 1979-2020</v>
      </c>
      <c r="M358" s="9" t="str">
        <f t="shared" si="336"/>
        <v>Toneladas</v>
      </c>
      <c r="N358" s="9" t="str">
        <f t="shared" si="336"/>
        <v>Oficina de Estudios y Políticas Agrarias (ODEPA)</v>
      </c>
      <c r="O358" s="20" t="str">
        <f>"Producción Agrícola (t) en la "&amp;Agencia[[#This Row],[territorio]]&amp;" en el "&amp;Agencia[[#This Row],[temporalidad]]</f>
        <v>Producción Agrícola (t) en la Región de Magallanes en el Periodo 1979-2020</v>
      </c>
      <c r="P358" s="20"/>
      <c r="Q358" s="11" t="str">
        <f t="shared" si="333"/>
        <v>Gráfico de Evolución</v>
      </c>
      <c r="R358" s="87" t="str">
        <f>Agencia[[#This Row],[territorio]]&amp;" cultivos producción agrícola agricultura regional"</f>
        <v>Región de Magallanes cultivos producción agrícola agricultura regional</v>
      </c>
      <c r="S358" s="39" t="str">
        <f>HYPERLINK("https://analytics.zoho.com/open-view/2395394000008257083?ZOHO_CRITERIA=%22Trasposicion_4.10%22.%22Cod_regi%C3%B3n%22%20%3D%20"&amp;Agencia[[#This Row],[Filtro URL]])</f>
        <v>https://analytics.zoho.com/open-view/2395394000008257083?ZOHO_CRITERIA=%22Trasposicion_4.10%22.%22Cod_regi%C3%B3n%22%20%3D%2012</v>
      </c>
      <c r="T358" s="68" t="str">
        <f>"100-R-"&amp;Agencia[[#This Row],[Filtro URL]]</f>
        <v>100-R-12</v>
      </c>
      <c r="U358" s="50" t="str">
        <f t="shared" si="323"/>
        <v>#1774B9</v>
      </c>
      <c r="V358" s="118" t="str">
        <f>+Agencia[[#This Row],[idcoleccion]]&amp;"-"&amp;Agencia[[#This Row],[id]]</f>
        <v>990-0347</v>
      </c>
      <c r="W358" s="118">
        <f>+VLOOKUP(Agencia[[#This Row],[Filtro URL]],Estructura!$X$4:$Y$500,2,0)</f>
        <v>99200012</v>
      </c>
      <c r="X358" s="118" t="str">
        <f>+VLOOKUP(Agencia[[#This Row],[tema]],Estructura!$A$4:$C$500,3,0)</f>
        <v>T-1035</v>
      </c>
      <c r="Y358" s="118" t="str">
        <f>+VLOOKUP(Agencia[[#This Row],[contenido]],Estructura!$E$4:$G$500,3,0)</f>
        <v>C-997</v>
      </c>
      <c r="Z358" s="118" t="str">
        <f>+VLOOKUP(Agencia[[#This Row],[Filtro Integrado]],Estructura!$I$4:$K$500,3,0)</f>
        <v>FI-993</v>
      </c>
      <c r="AA358" s="118" t="str">
        <f>+VLOOKUP(Agencia[[#This Row],[Muestra]],Estructura!$M$4:$O$500,3,0)</f>
        <v>M-1023</v>
      </c>
    </row>
    <row r="359" spans="1:27" ht="57.6" x14ac:dyDescent="0.3">
      <c r="A359" s="21" t="s">
        <v>796</v>
      </c>
      <c r="B359" s="24">
        <f t="shared" ref="B359:D359" si="342">+B358</f>
        <v>990</v>
      </c>
      <c r="C359" s="25" t="str">
        <f t="shared" si="342"/>
        <v>Agencia Información</v>
      </c>
      <c r="D359" s="25" t="str">
        <f t="shared" si="342"/>
        <v>Agropecuario y Forestal</v>
      </c>
      <c r="E359" s="19">
        <v>13</v>
      </c>
      <c r="F359" s="10" t="s">
        <v>832</v>
      </c>
      <c r="G359" s="10" t="s">
        <v>3763</v>
      </c>
      <c r="H359" s="35" t="s">
        <v>16</v>
      </c>
      <c r="I359" s="36" t="s">
        <v>380</v>
      </c>
      <c r="J359" s="9" t="str">
        <f t="shared" si="336"/>
        <v>Ninguno</v>
      </c>
      <c r="K359" s="9" t="str">
        <f t="shared" si="336"/>
        <v>Producción agrícola por región</v>
      </c>
      <c r="L359" s="9" t="str">
        <f t="shared" si="336"/>
        <v>Periodo 1979-2020</v>
      </c>
      <c r="M359" s="9" t="str">
        <f t="shared" si="336"/>
        <v>Toneladas</v>
      </c>
      <c r="N359" s="9" t="str">
        <f t="shared" si="336"/>
        <v>Oficina de Estudios y Políticas Agrarias (ODEPA)</v>
      </c>
      <c r="O359" s="20" t="str">
        <f>"Producción Agrícola (t) en la "&amp;Agencia[[#This Row],[territorio]]&amp;" en el "&amp;Agencia[[#This Row],[temporalidad]]</f>
        <v>Producción Agrícola (t) en la Región Metropolitana en el Periodo 1979-2020</v>
      </c>
      <c r="P359" s="20"/>
      <c r="Q359" s="11" t="str">
        <f t="shared" si="333"/>
        <v>Gráfico de Evolución</v>
      </c>
      <c r="R359" s="87" t="str">
        <f>Agencia[[#This Row],[territorio]]&amp;" cultivos producción agrícola agricultura regional"</f>
        <v>Región Metropolitana cultivos producción agrícola agricultura regional</v>
      </c>
      <c r="S359" s="39" t="str">
        <f>HYPERLINK("https://analytics.zoho.com/open-view/2395394000008257083?ZOHO_CRITERIA=%22Trasposicion_4.10%22.%22Cod_regi%C3%B3n%22%20%3D%20"&amp;Agencia[[#This Row],[Filtro URL]])</f>
        <v>https://analytics.zoho.com/open-view/2395394000008257083?ZOHO_CRITERIA=%22Trasposicion_4.10%22.%22Cod_regi%C3%B3n%22%20%3D%2013</v>
      </c>
      <c r="T359" s="68" t="str">
        <f>"200-R-"&amp;Agencia[[#This Row],[Filtro URL]]</f>
        <v>200-R-13</v>
      </c>
      <c r="U359" s="50" t="str">
        <f t="shared" si="323"/>
        <v>#1774B9</v>
      </c>
      <c r="V359" s="118" t="str">
        <f>+Agencia[[#This Row],[idcoleccion]]&amp;"-"&amp;Agencia[[#This Row],[id]]</f>
        <v>990-0348</v>
      </c>
      <c r="W359" s="118">
        <f>+VLOOKUP(Agencia[[#This Row],[Filtro URL]],Estructura!$X$4:$Y$500,2,0)</f>
        <v>99200013</v>
      </c>
      <c r="X359" s="118" t="str">
        <f>+VLOOKUP(Agencia[[#This Row],[tema]],Estructura!$A$4:$C$500,3,0)</f>
        <v>T-1035</v>
      </c>
      <c r="Y359" s="118" t="str">
        <f>+VLOOKUP(Agencia[[#This Row],[contenido]],Estructura!$E$4:$G$500,3,0)</f>
        <v>C-997</v>
      </c>
      <c r="Z359" s="118" t="str">
        <f>+VLOOKUP(Agencia[[#This Row],[Filtro Integrado]],Estructura!$I$4:$K$500,3,0)</f>
        <v>FI-993</v>
      </c>
      <c r="AA359" s="118" t="str">
        <f>+VLOOKUP(Agencia[[#This Row],[Muestra]],Estructura!$M$4:$O$500,3,0)</f>
        <v>M-1023</v>
      </c>
    </row>
    <row r="360" spans="1:27" ht="57.6" x14ac:dyDescent="0.3">
      <c r="A360" s="21" t="s">
        <v>797</v>
      </c>
      <c r="B360" s="24">
        <f t="shared" ref="B360:D360" si="343">+B359</f>
        <v>990</v>
      </c>
      <c r="C360" s="25" t="str">
        <f t="shared" si="343"/>
        <v>Agencia Información</v>
      </c>
      <c r="D360" s="25" t="str">
        <f t="shared" si="343"/>
        <v>Agropecuario y Forestal</v>
      </c>
      <c r="E360" s="19">
        <v>14</v>
      </c>
      <c r="F360" s="10" t="s">
        <v>832</v>
      </c>
      <c r="G360" s="10" t="s">
        <v>3763</v>
      </c>
      <c r="H360" s="35" t="s">
        <v>16</v>
      </c>
      <c r="I360" s="36" t="s">
        <v>381</v>
      </c>
      <c r="J360" s="9" t="str">
        <f t="shared" si="336"/>
        <v>Ninguno</v>
      </c>
      <c r="K360" s="9" t="str">
        <f t="shared" si="336"/>
        <v>Producción agrícola por región</v>
      </c>
      <c r="L360" s="9" t="str">
        <f t="shared" si="336"/>
        <v>Periodo 1979-2020</v>
      </c>
      <c r="M360" s="9" t="str">
        <f t="shared" si="336"/>
        <v>Toneladas</v>
      </c>
      <c r="N360" s="9" t="str">
        <f t="shared" si="336"/>
        <v>Oficina de Estudios y Políticas Agrarias (ODEPA)</v>
      </c>
      <c r="O360" s="20" t="str">
        <f>"Producción Agrícola (t) en la "&amp;Agencia[[#This Row],[territorio]]&amp;" en el "&amp;Agencia[[#This Row],[temporalidad]]</f>
        <v>Producción Agrícola (t) en la Región de Los Ríos en el Periodo 1979-2020</v>
      </c>
      <c r="P360" s="20"/>
      <c r="Q360" s="11" t="str">
        <f t="shared" si="333"/>
        <v>Gráfico de Evolución</v>
      </c>
      <c r="R360" s="87" t="str">
        <f>Agencia[[#This Row],[territorio]]&amp;" cultivos producción agrícola agricultura regional"</f>
        <v>Región de Los Ríos cultivos producción agrícola agricultura regional</v>
      </c>
      <c r="S360" s="39" t="str">
        <f>HYPERLINK("https://analytics.zoho.com/open-view/2395394000008257083?ZOHO_CRITERIA=%22Trasposicion_4.10%22.%22Cod_regi%C3%B3n%22%20%3D%20"&amp;Agencia[[#This Row],[Filtro URL]])</f>
        <v>https://analytics.zoho.com/open-view/2395394000008257083?ZOHO_CRITERIA=%22Trasposicion_4.10%22.%22Cod_regi%C3%B3n%22%20%3D%2014</v>
      </c>
      <c r="T360" s="68" t="str">
        <f>"100-R-"&amp;Agencia[[#This Row],[Filtro URL]]</f>
        <v>100-R-14</v>
      </c>
      <c r="U360" s="50" t="str">
        <f t="shared" si="323"/>
        <v>#1774B9</v>
      </c>
      <c r="V360" s="118" t="str">
        <f>+Agencia[[#This Row],[idcoleccion]]&amp;"-"&amp;Agencia[[#This Row],[id]]</f>
        <v>990-0349</v>
      </c>
      <c r="W360" s="118">
        <f>+VLOOKUP(Agencia[[#This Row],[Filtro URL]],Estructura!$X$4:$Y$500,2,0)</f>
        <v>99200014</v>
      </c>
      <c r="X360" s="118" t="str">
        <f>+VLOOKUP(Agencia[[#This Row],[tema]],Estructura!$A$4:$C$500,3,0)</f>
        <v>T-1035</v>
      </c>
      <c r="Y360" s="118" t="str">
        <f>+VLOOKUP(Agencia[[#This Row],[contenido]],Estructura!$E$4:$G$500,3,0)</f>
        <v>C-997</v>
      </c>
      <c r="Z360" s="118" t="str">
        <f>+VLOOKUP(Agencia[[#This Row],[Filtro Integrado]],Estructura!$I$4:$K$500,3,0)</f>
        <v>FI-993</v>
      </c>
      <c r="AA360" s="118" t="str">
        <f>+VLOOKUP(Agencia[[#This Row],[Muestra]],Estructura!$M$4:$O$500,3,0)</f>
        <v>M-1023</v>
      </c>
    </row>
    <row r="361" spans="1:27" ht="57.6" x14ac:dyDescent="0.3">
      <c r="A361" s="21" t="s">
        <v>798</v>
      </c>
      <c r="B361" s="24">
        <f t="shared" ref="B361:D361" si="344">+B360</f>
        <v>990</v>
      </c>
      <c r="C361" s="25" t="str">
        <f t="shared" si="344"/>
        <v>Agencia Información</v>
      </c>
      <c r="D361" s="25" t="str">
        <f t="shared" si="344"/>
        <v>Agropecuario y Forestal</v>
      </c>
      <c r="E361" s="19">
        <v>15</v>
      </c>
      <c r="F361" s="10" t="s">
        <v>832</v>
      </c>
      <c r="G361" s="10" t="s">
        <v>3763</v>
      </c>
      <c r="H361" s="35" t="s">
        <v>16</v>
      </c>
      <c r="I361" s="36" t="s">
        <v>382</v>
      </c>
      <c r="J361" s="9" t="str">
        <f t="shared" ref="J361:N361" si="345">+J360</f>
        <v>Ninguno</v>
      </c>
      <c r="K361" s="9" t="str">
        <f t="shared" si="345"/>
        <v>Producción agrícola por región</v>
      </c>
      <c r="L361" s="9" t="str">
        <f t="shared" si="345"/>
        <v>Periodo 1979-2020</v>
      </c>
      <c r="M361" s="9" t="str">
        <f t="shared" si="345"/>
        <v>Toneladas</v>
      </c>
      <c r="N361" s="9" t="str">
        <f t="shared" si="345"/>
        <v>Oficina de Estudios y Políticas Agrarias (ODEPA)</v>
      </c>
      <c r="O361" s="20" t="str">
        <f>"Producción Agrícola (t) en la "&amp;Agencia[[#This Row],[territorio]]&amp;" en el "&amp;Agencia[[#This Row],[temporalidad]]</f>
        <v>Producción Agrícola (t) en la Región de Arica y Parinacota en el Periodo 1979-2020</v>
      </c>
      <c r="P361" s="20"/>
      <c r="Q361" s="11" t="str">
        <f t="shared" ref="Q361" si="346">+Q360</f>
        <v>Gráfico de Evolución</v>
      </c>
      <c r="R361" s="87" t="str">
        <f>Agencia[[#This Row],[territorio]]&amp;" cultivos producción agrícola agricultura regional"</f>
        <v>Región de Arica y Parinacota cultivos producción agrícola agricultura regional</v>
      </c>
      <c r="S361" s="39" t="str">
        <f>HYPERLINK("https://analytics.zoho.com/open-view/2395394000008257083?ZOHO_CRITERIA=%22Trasposicion_4.10%22.%22Cod_regi%C3%B3n%22%20%3D%20"&amp;Agencia[[#This Row],[Filtro URL]])</f>
        <v>https://analytics.zoho.com/open-view/2395394000008257083?ZOHO_CRITERIA=%22Trasposicion_4.10%22.%22Cod_regi%C3%B3n%22%20%3D%2015</v>
      </c>
      <c r="T361" s="68" t="str">
        <f>"100-R-"&amp;Agencia[[#This Row],[Filtro URL]]</f>
        <v>100-R-15</v>
      </c>
      <c r="U361" s="50" t="str">
        <f t="shared" ref="U361:U368" si="347">+U360</f>
        <v>#1774B9</v>
      </c>
      <c r="V361" s="118" t="str">
        <f>+Agencia[[#This Row],[idcoleccion]]&amp;"-"&amp;Agencia[[#This Row],[id]]</f>
        <v>990-0350</v>
      </c>
      <c r="W361" s="118">
        <f>+VLOOKUP(Agencia[[#This Row],[Filtro URL]],Estructura!$X$4:$Y$500,2,0)</f>
        <v>99200015</v>
      </c>
      <c r="X361" s="118" t="str">
        <f>+VLOOKUP(Agencia[[#This Row],[tema]],Estructura!$A$4:$C$500,3,0)</f>
        <v>T-1035</v>
      </c>
      <c r="Y361" s="118" t="str">
        <f>+VLOOKUP(Agencia[[#This Row],[contenido]],Estructura!$E$4:$G$500,3,0)</f>
        <v>C-997</v>
      </c>
      <c r="Z361" s="118" t="str">
        <f>+VLOOKUP(Agencia[[#This Row],[Filtro Integrado]],Estructura!$I$4:$K$500,3,0)</f>
        <v>FI-993</v>
      </c>
      <c r="AA361" s="118" t="str">
        <f>+VLOOKUP(Agencia[[#This Row],[Muestra]],Estructura!$M$4:$O$500,3,0)</f>
        <v>M-1023</v>
      </c>
    </row>
    <row r="362" spans="1:27" ht="57.6" x14ac:dyDescent="0.3">
      <c r="A362" s="21" t="s">
        <v>799</v>
      </c>
      <c r="B362" s="24">
        <f t="shared" ref="B362:D362" si="348">+B361</f>
        <v>990</v>
      </c>
      <c r="C362" s="25" t="str">
        <f t="shared" si="348"/>
        <v>Agencia Información</v>
      </c>
      <c r="D362" s="25" t="str">
        <f t="shared" si="348"/>
        <v>Agropecuario y Forestal</v>
      </c>
      <c r="E362" s="19">
        <v>16</v>
      </c>
      <c r="F362" s="10" t="s">
        <v>832</v>
      </c>
      <c r="G362" s="10" t="s">
        <v>3763</v>
      </c>
      <c r="H362" s="35" t="s">
        <v>16</v>
      </c>
      <c r="I362" s="36" t="s">
        <v>383</v>
      </c>
      <c r="J362" s="9" t="str">
        <f t="shared" ref="J362:N362" si="349">+J361</f>
        <v>Ninguno</v>
      </c>
      <c r="K362" s="9" t="str">
        <f t="shared" si="349"/>
        <v>Producción agrícola por región</v>
      </c>
      <c r="L362" s="9" t="str">
        <f t="shared" si="349"/>
        <v>Periodo 1979-2020</v>
      </c>
      <c r="M362" s="9" t="str">
        <f t="shared" si="349"/>
        <v>Toneladas</v>
      </c>
      <c r="N362" s="9" t="str">
        <f t="shared" si="349"/>
        <v>Oficina de Estudios y Políticas Agrarias (ODEPA)</v>
      </c>
      <c r="O362" s="20" t="str">
        <f>"Producción Agrícola (t) en la "&amp;Agencia[[#This Row],[territorio]]&amp;" en el "&amp;Agencia[[#This Row],[temporalidad]]</f>
        <v>Producción Agrícola (t) en la Región de Ñuble en el Periodo 1979-2020</v>
      </c>
      <c r="P362" s="20"/>
      <c r="Q362" s="11" t="str">
        <f t="shared" ref="Q362" si="350">+Q361</f>
        <v>Gráfico de Evolución</v>
      </c>
      <c r="R362" s="87" t="str">
        <f>Agencia[[#This Row],[territorio]]&amp;" cultivos producción agrícola agricultura regional"</f>
        <v>Región de Ñuble cultivos producción agrícola agricultura regional</v>
      </c>
      <c r="S362" s="39" t="str">
        <f>HYPERLINK("https://analytics.zoho.com/open-view/2395394000008257083?ZOHO_CRITERIA=%22Trasposicion_4.10%22.%22Cod_regi%C3%B3n%22%20%3D%20"&amp;Agencia[[#This Row],[Filtro URL]])</f>
        <v>https://analytics.zoho.com/open-view/2395394000008257083?ZOHO_CRITERIA=%22Trasposicion_4.10%22.%22Cod_regi%C3%B3n%22%20%3D%2016</v>
      </c>
      <c r="T362" s="68" t="str">
        <f>"100-R-"&amp;Agencia[[#This Row],[Filtro URL]]</f>
        <v>100-R-16</v>
      </c>
      <c r="U362" s="50" t="str">
        <f t="shared" si="347"/>
        <v>#1774B9</v>
      </c>
      <c r="V362" s="118" t="str">
        <f>+Agencia[[#This Row],[idcoleccion]]&amp;"-"&amp;Agencia[[#This Row],[id]]</f>
        <v>990-0351</v>
      </c>
      <c r="W362" s="118">
        <f>+VLOOKUP(Agencia[[#This Row],[Filtro URL]],Estructura!$X$4:$Y$500,2,0)</f>
        <v>99200016</v>
      </c>
      <c r="X362" s="118" t="str">
        <f>+VLOOKUP(Agencia[[#This Row],[tema]],Estructura!$A$4:$C$500,3,0)</f>
        <v>T-1035</v>
      </c>
      <c r="Y362" s="118" t="str">
        <f>+VLOOKUP(Agencia[[#This Row],[contenido]],Estructura!$E$4:$G$500,3,0)</f>
        <v>C-997</v>
      </c>
      <c r="Z362" s="118" t="str">
        <f>+VLOOKUP(Agencia[[#This Row],[Filtro Integrado]],Estructura!$I$4:$K$500,3,0)</f>
        <v>FI-993</v>
      </c>
      <c r="AA362" s="118" t="str">
        <f>+VLOOKUP(Agencia[[#This Row],[Muestra]],Estructura!$M$4:$O$500,3,0)</f>
        <v>M-1023</v>
      </c>
    </row>
    <row r="363" spans="1:27" ht="57.6" x14ac:dyDescent="0.3">
      <c r="A363" s="21" t="s">
        <v>800</v>
      </c>
      <c r="B363" s="24">
        <f t="shared" ref="B363:C363" si="351">+B362</f>
        <v>990</v>
      </c>
      <c r="C363" s="25" t="str">
        <f t="shared" si="351"/>
        <v>Agencia Información</v>
      </c>
      <c r="D363" s="25" t="s">
        <v>578</v>
      </c>
      <c r="E363" s="14">
        <v>0</v>
      </c>
      <c r="F363" s="18" t="s">
        <v>1010</v>
      </c>
      <c r="G363" s="18" t="s">
        <v>3763</v>
      </c>
      <c r="H363" s="33" t="s">
        <v>20</v>
      </c>
      <c r="I363" s="34" t="s">
        <v>15</v>
      </c>
      <c r="J363" s="9" t="s">
        <v>404</v>
      </c>
      <c r="K363" s="9" t="s">
        <v>1011</v>
      </c>
      <c r="L363" s="9" t="s">
        <v>580</v>
      </c>
      <c r="M363" s="9" t="s">
        <v>581</v>
      </c>
      <c r="N363" s="9" t="s">
        <v>582</v>
      </c>
      <c r="O363" s="20" t="str">
        <f>"Volumen de Importaciones (t) de frutas tropicales y subtropicales, en el "&amp;Agencia[[#This Row],[temporalidad]]</f>
        <v>Volumen de Importaciones (t) de frutas tropicales y subtropicales, en el Periodo 2012-2020</v>
      </c>
      <c r="P363" s="20" t="s">
        <v>1012</v>
      </c>
      <c r="Q363" s="11" t="s">
        <v>821</v>
      </c>
      <c r="R363" s="20" t="str">
        <f>Agencia[[#This Row],[territorio]]&amp;" importaciones fruta comercio tropical subtropical mango piña papaya coco plátano"</f>
        <v>Chile importaciones fruta comercio tropical subtropical mango piña papaya coco plátano</v>
      </c>
      <c r="S363" s="39" t="s">
        <v>1013</v>
      </c>
      <c r="T363" s="68">
        <v>0</v>
      </c>
      <c r="U363" s="50" t="str">
        <f t="shared" si="347"/>
        <v>#1774B9</v>
      </c>
      <c r="V363" s="118" t="str">
        <f>+Agencia[[#This Row],[idcoleccion]]&amp;"-"&amp;Agencia[[#This Row],[id]]</f>
        <v>990-0352</v>
      </c>
      <c r="W363" s="118">
        <f>+VLOOKUP(Agencia[[#This Row],[Filtro URL]],Estructura!$X$4:$Y$500,2,0)</f>
        <v>99100000</v>
      </c>
      <c r="X363" s="118" t="str">
        <f>+VLOOKUP(Agencia[[#This Row],[tema]],Estructura!$A$4:$C$500,3,0)</f>
        <v>T-1042</v>
      </c>
      <c r="Y363" s="118" t="str">
        <f>+VLOOKUP(Agencia[[#This Row],[contenido]],Estructura!$E$4:$G$500,3,0)</f>
        <v>C-997</v>
      </c>
      <c r="Z363" s="118" t="str">
        <f>+VLOOKUP(Agencia[[#This Row],[Filtro Integrado]],Estructura!$I$4:$K$500,3,0)</f>
        <v>FI-993</v>
      </c>
      <c r="AA363" s="118" t="str">
        <f>+VLOOKUP(Agencia[[#This Row],[Muestra]],Estructura!$M$4:$O$500,3,0)</f>
        <v>M-1024</v>
      </c>
    </row>
    <row r="364" spans="1:27" ht="61.2" x14ac:dyDescent="0.3">
      <c r="A364" s="21" t="s">
        <v>801</v>
      </c>
      <c r="B364" s="24">
        <f t="shared" ref="B364:D364" si="352">+B363</f>
        <v>990</v>
      </c>
      <c r="C364" s="25" t="str">
        <f t="shared" si="352"/>
        <v>Agencia Información</v>
      </c>
      <c r="D364" s="25" t="str">
        <f t="shared" si="352"/>
        <v>Agropecuario y Forestal</v>
      </c>
      <c r="E364" s="14">
        <v>0</v>
      </c>
      <c r="F364" s="18" t="s">
        <v>1010</v>
      </c>
      <c r="G364" s="18" t="s">
        <v>3763</v>
      </c>
      <c r="H364" s="33" t="s">
        <v>20</v>
      </c>
      <c r="I364" s="34" t="s">
        <v>15</v>
      </c>
      <c r="J364" s="9" t="s">
        <v>404</v>
      </c>
      <c r="K364" s="9" t="s">
        <v>1011</v>
      </c>
      <c r="L364" s="9" t="s">
        <v>580</v>
      </c>
      <c r="M364" s="9" t="s">
        <v>581</v>
      </c>
      <c r="N364" s="9" t="s">
        <v>582</v>
      </c>
      <c r="O364" s="20" t="str">
        <f>"Volumen de Importaciones (t) por Procesamiento, en el "&amp;Agencia[[#This Row],[temporalidad]]</f>
        <v>Volumen de Importaciones (t) por Procesamiento, en el Periodo 2012-2020</v>
      </c>
      <c r="P364" s="20" t="s">
        <v>1014</v>
      </c>
      <c r="Q364" s="11" t="s">
        <v>821</v>
      </c>
      <c r="R364" s="20" t="str">
        <f>Agencia[[#This Row],[territorio]]&amp;" importaciones fruta procesamiento comercio fresca jugo congelado conservas"</f>
        <v>Chile importaciones fruta procesamiento comercio fresca jugo congelado conservas</v>
      </c>
      <c r="S364" s="39" t="s">
        <v>1015</v>
      </c>
      <c r="T364" s="68">
        <v>0</v>
      </c>
      <c r="U364" s="50" t="str">
        <f t="shared" si="347"/>
        <v>#1774B9</v>
      </c>
      <c r="V364" s="118" t="str">
        <f>+Agencia[[#This Row],[idcoleccion]]&amp;"-"&amp;Agencia[[#This Row],[id]]</f>
        <v>990-0353</v>
      </c>
      <c r="W364" s="118">
        <f>+VLOOKUP(Agencia[[#This Row],[Filtro URL]],Estructura!$X$4:$Y$500,2,0)</f>
        <v>99100000</v>
      </c>
      <c r="X364" s="118" t="str">
        <f>+VLOOKUP(Agencia[[#This Row],[tema]],Estructura!$A$4:$C$500,3,0)</f>
        <v>T-1042</v>
      </c>
      <c r="Y364" s="118" t="str">
        <f>+VLOOKUP(Agencia[[#This Row],[contenido]],Estructura!$E$4:$G$500,3,0)</f>
        <v>C-997</v>
      </c>
      <c r="Z364" s="118" t="str">
        <f>+VLOOKUP(Agencia[[#This Row],[Filtro Integrado]],Estructura!$I$4:$K$500,3,0)</f>
        <v>FI-993</v>
      </c>
      <c r="AA364" s="118" t="str">
        <f>+VLOOKUP(Agencia[[#This Row],[Muestra]],Estructura!$M$4:$O$500,3,0)</f>
        <v>M-1024</v>
      </c>
    </row>
    <row r="365" spans="1:27" ht="91.8" x14ac:dyDescent="0.3">
      <c r="A365" s="21" t="s">
        <v>802</v>
      </c>
      <c r="B365" s="24">
        <f t="shared" ref="B365:C365" si="353">+B364</f>
        <v>990</v>
      </c>
      <c r="C365" s="25" t="str">
        <f t="shared" si="353"/>
        <v>Agencia Información</v>
      </c>
      <c r="D365" s="25" t="s">
        <v>462</v>
      </c>
      <c r="E365" s="14">
        <v>0</v>
      </c>
      <c r="F365" s="10" t="s">
        <v>1018</v>
      </c>
      <c r="G365" s="18" t="s">
        <v>3783</v>
      </c>
      <c r="H365" s="33" t="s">
        <v>20</v>
      </c>
      <c r="I365" s="34" t="s">
        <v>15</v>
      </c>
      <c r="J365" s="9" t="s">
        <v>404</v>
      </c>
      <c r="K365" s="9" t="s">
        <v>1019</v>
      </c>
      <c r="L365" s="9" t="s">
        <v>1016</v>
      </c>
      <c r="M365" s="9" t="s">
        <v>592</v>
      </c>
      <c r="N365" s="9" t="s">
        <v>910</v>
      </c>
      <c r="O365" s="20" t="str">
        <f>"Evolución de Casos de Cáncer de Cuello Uterino en "&amp;Agencia[[#This Row],[territorio]]&amp;" durante el "&amp;Agencia[[#This Row],[temporalidad]]</f>
        <v>Evolución de Casos de Cáncer de Cuello Uterino en Chile durante el Periodo 2011-2018</v>
      </c>
      <c r="P365" s="20" t="s">
        <v>1017</v>
      </c>
      <c r="Q365" s="11" t="s">
        <v>821</v>
      </c>
      <c r="R365" s="20" t="str">
        <f>Agencia[[#This Row],[territorio]]&amp;" casos cáncer cuello uterino útero salud PAP examen papanicolaou"</f>
        <v>Chile casos cáncer cuello uterino útero salud PAP examen papanicolaou</v>
      </c>
      <c r="S365" s="39" t="s">
        <v>1020</v>
      </c>
      <c r="T365" s="68">
        <v>0</v>
      </c>
      <c r="U365" s="50" t="str">
        <f t="shared" si="347"/>
        <v>#1774B9</v>
      </c>
      <c r="V365" s="118" t="str">
        <f>+Agencia[[#This Row],[idcoleccion]]&amp;"-"&amp;Agencia[[#This Row],[id]]</f>
        <v>990-0354</v>
      </c>
      <c r="W365" s="118">
        <f>+VLOOKUP(Agencia[[#This Row],[Filtro URL]],Estructura!$X$4:$Y$500,2,0)</f>
        <v>99100000</v>
      </c>
      <c r="X365" s="118" t="str">
        <f>+VLOOKUP(Agencia[[#This Row],[tema]],Estructura!$A$4:$C$500,3,0)</f>
        <v>T-999</v>
      </c>
      <c r="Y365" s="118" t="str">
        <f>+VLOOKUP(Agencia[[#This Row],[contenido]],Estructura!$E$4:$G$500,3,0)</f>
        <v>C-1009</v>
      </c>
      <c r="Z365" s="118" t="str">
        <f>+VLOOKUP(Agencia[[#This Row],[Filtro Integrado]],Estructura!$I$4:$K$500,3,0)</f>
        <v>FI-993</v>
      </c>
      <c r="AA365" s="118" t="str">
        <f>+VLOOKUP(Agencia[[#This Row],[Muestra]],Estructura!$M$4:$O$500,3,0)</f>
        <v>M-1025</v>
      </c>
    </row>
    <row r="366" spans="1:27" ht="61.2" x14ac:dyDescent="0.3">
      <c r="A366" s="21" t="s">
        <v>803</v>
      </c>
      <c r="B366" s="24">
        <f t="shared" ref="B366:C366" si="354">+B365</f>
        <v>990</v>
      </c>
      <c r="C366" s="25" t="str">
        <f t="shared" si="354"/>
        <v>Agencia Información</v>
      </c>
      <c r="D366" s="25" t="s">
        <v>574</v>
      </c>
      <c r="E366" s="14">
        <v>0</v>
      </c>
      <c r="F366" s="10" t="s">
        <v>1021</v>
      </c>
      <c r="G366" s="18" t="s">
        <v>3784</v>
      </c>
      <c r="H366" s="33" t="s">
        <v>20</v>
      </c>
      <c r="I366" s="34" t="s">
        <v>15</v>
      </c>
      <c r="J366" s="51" t="s">
        <v>16</v>
      </c>
      <c r="K366" s="9" t="s">
        <v>2015</v>
      </c>
      <c r="L366" s="9" t="str">
        <f t="shared" ref="L366:N366" si="355">+L365</f>
        <v>Periodo 2011-2018</v>
      </c>
      <c r="M366" s="9" t="str">
        <f t="shared" si="355"/>
        <v>Número de Casos</v>
      </c>
      <c r="N366" s="9" t="str">
        <f t="shared" si="355"/>
        <v>Departamento de Estadísticas e Información de la Salud (DEIS) - Ministerio de Salud</v>
      </c>
      <c r="O366" s="20" t="str">
        <f>"Evolución de Población en Control en el Programa de VIH/SIDA según sexo en "&amp;Agencia[[#This Row],[territorio]]&amp;" durante el "&amp;Agencia[[#This Row],[temporalidad]]</f>
        <v>Evolución de Población en Control en el Programa de VIH/SIDA según sexo en Chile durante el Periodo 2011-2018</v>
      </c>
      <c r="P366" s="20" t="s">
        <v>1023</v>
      </c>
      <c r="Q366" s="11" t="s">
        <v>821</v>
      </c>
      <c r="R366" s="20" t="str">
        <f>Agencia[[#This Row],[territorio]]&amp;" VIH SIDA enfermedad transmisión sexual casos población control programa sexo hombre mujer"</f>
        <v>Chile VIH SIDA enfermedad transmisión sexual casos población control programa sexo hombre mujer</v>
      </c>
      <c r="S366" s="39" t="s">
        <v>1022</v>
      </c>
      <c r="T366" s="68" t="s">
        <v>855</v>
      </c>
      <c r="U366" s="50" t="str">
        <f t="shared" si="347"/>
        <v>#1774B9</v>
      </c>
      <c r="V366" s="118" t="str">
        <f>+Agencia[[#This Row],[idcoleccion]]&amp;"-"&amp;Agencia[[#This Row],[id]]</f>
        <v>990-0355</v>
      </c>
      <c r="W366" s="118">
        <f>+VLOOKUP(Agencia[[#This Row],[Filtro URL]],Estructura!$X$4:$Y$500,2,0)</f>
        <v>99100000</v>
      </c>
      <c r="X366" s="118" t="str">
        <f>+VLOOKUP(Agencia[[#This Row],[tema]],Estructura!$A$4:$C$500,3,0)</f>
        <v>T-1000</v>
      </c>
      <c r="Y366" s="118" t="str">
        <f>+VLOOKUP(Agencia[[#This Row],[contenido]],Estructura!$E$4:$G$500,3,0)</f>
        <v>C-1010</v>
      </c>
      <c r="Z366" s="118" t="str">
        <f>+VLOOKUP(Agencia[[#This Row],[Filtro Integrado]],Estructura!$I$4:$K$500,3,0)</f>
        <v>FI-992</v>
      </c>
      <c r="AA366" s="118" t="str">
        <f>+VLOOKUP(Agencia[[#This Row],[Muestra]],Estructura!$M$4:$O$500,3,0)</f>
        <v>M-1026</v>
      </c>
    </row>
    <row r="367" spans="1:27" ht="57.6" x14ac:dyDescent="0.3">
      <c r="A367" s="21" t="s">
        <v>804</v>
      </c>
      <c r="B367" s="24">
        <f t="shared" ref="B367:D367" si="356">+B366</f>
        <v>990</v>
      </c>
      <c r="C367" s="25" t="str">
        <f t="shared" si="356"/>
        <v>Agencia Información</v>
      </c>
      <c r="D367" s="25" t="str">
        <f t="shared" si="356"/>
        <v>Salud</v>
      </c>
      <c r="E367" s="19">
        <v>1</v>
      </c>
      <c r="F367" s="10" t="s">
        <v>1021</v>
      </c>
      <c r="G367" s="18" t="s">
        <v>3784</v>
      </c>
      <c r="H367" s="35" t="s">
        <v>16</v>
      </c>
      <c r="I367" s="36" t="s">
        <v>368</v>
      </c>
      <c r="J367" s="9" t="s">
        <v>404</v>
      </c>
      <c r="K367" s="9" t="s">
        <v>2016</v>
      </c>
      <c r="L367" s="9" t="str">
        <f t="shared" ref="L367:N367" si="357">+L366</f>
        <v>Periodo 2011-2018</v>
      </c>
      <c r="M367" s="9" t="str">
        <f t="shared" si="357"/>
        <v>Número de Casos</v>
      </c>
      <c r="N367" s="9" t="str">
        <f t="shared" si="357"/>
        <v>Departamento de Estadísticas e Información de la Salud (DEIS) - Ministerio de Salud</v>
      </c>
      <c r="O367" s="20" t="str">
        <f>"Evolución de Población en Control en el Programa de VIH/SIDA según sexo en "&amp;Agencia[[#This Row],[territorio]]&amp;" durante el "&amp;Agencia[[#This Row],[temporalidad]]</f>
        <v>Evolución de Población en Control en el Programa de VIH/SIDA según sexo en Región de Tarapacá durante el Periodo 2011-2018</v>
      </c>
      <c r="P367" s="20"/>
      <c r="Q367" s="11" t="str">
        <f t="shared" ref="Q367" si="358">+Q366</f>
        <v>Gráfico de Evolución</v>
      </c>
      <c r="R367" s="87" t="str">
        <f>Agencia[[#This Row],[territorio]]&amp;" VIH SIDA enfermedad transmisión sexual casos población control programa sexo hombre mujer"</f>
        <v>Región de Tarapacá VIH SIDA enfermedad transmisión sexual casos población control programa sexo hombre mujer</v>
      </c>
      <c r="S367" s="39" t="str">
        <f>HYPERLINK("https://analytics.zoho.com/open-view/2395394000007991542?ZOHO_CRITERIA=%22Localiza%20CL%22.%22Codreg%22%20%3D%20"&amp;Agencia[[#This Row],[Filtro URL]])</f>
        <v>https://analytics.zoho.com/open-view/2395394000007991542?ZOHO_CRITERIA=%22Localiza%20CL%22.%22Codreg%22%20%3D%201</v>
      </c>
      <c r="T367" s="68" t="str">
        <f>"100-R-"&amp;Agencia[[#This Row],[Filtro URL]]</f>
        <v>100-R-1</v>
      </c>
      <c r="U367" s="50" t="str">
        <f t="shared" si="347"/>
        <v>#1774B9</v>
      </c>
      <c r="V367" s="118" t="str">
        <f>+Agencia[[#This Row],[idcoleccion]]&amp;"-"&amp;Agencia[[#This Row],[id]]</f>
        <v>990-0356</v>
      </c>
      <c r="W367" s="118">
        <f>+VLOOKUP(Agencia[[#This Row],[Filtro URL]],Estructura!$X$4:$Y$500,2,0)</f>
        <v>99200001</v>
      </c>
      <c r="X367" s="118" t="str">
        <f>+VLOOKUP(Agencia[[#This Row],[tema]],Estructura!$A$4:$C$500,3,0)</f>
        <v>T-1000</v>
      </c>
      <c r="Y367" s="118" t="str">
        <f>+VLOOKUP(Agencia[[#This Row],[contenido]],Estructura!$E$4:$G$500,3,0)</f>
        <v>C-1010</v>
      </c>
      <c r="Z367" s="118" t="str">
        <f>+VLOOKUP(Agencia[[#This Row],[Filtro Integrado]],Estructura!$I$4:$K$500,3,0)</f>
        <v>FI-993</v>
      </c>
      <c r="AA367" s="118" t="str">
        <f>+VLOOKUP(Agencia[[#This Row],[Muestra]],Estructura!$M$4:$O$500,3,0)</f>
        <v>M-1027</v>
      </c>
    </row>
    <row r="368" spans="1:27" ht="57.6" x14ac:dyDescent="0.3">
      <c r="A368" s="21" t="s">
        <v>805</v>
      </c>
      <c r="B368" s="24">
        <f t="shared" ref="B368:D368" si="359">+B367</f>
        <v>990</v>
      </c>
      <c r="C368" s="25" t="str">
        <f t="shared" si="359"/>
        <v>Agencia Información</v>
      </c>
      <c r="D368" s="25" t="str">
        <f t="shared" si="359"/>
        <v>Salud</v>
      </c>
      <c r="E368" s="19">
        <v>2</v>
      </c>
      <c r="F368" s="10" t="s">
        <v>1021</v>
      </c>
      <c r="G368" s="26" t="s">
        <v>3784</v>
      </c>
      <c r="H368" s="35" t="s">
        <v>16</v>
      </c>
      <c r="I368" s="36" t="s">
        <v>369</v>
      </c>
      <c r="J368" s="9" t="str">
        <f t="shared" ref="J368:N368" si="360">+J367</f>
        <v>Ninguno</v>
      </c>
      <c r="K368" s="9" t="str">
        <f t="shared" si="360"/>
        <v>Población en control por sexo por región</v>
      </c>
      <c r="L368" s="9" t="str">
        <f t="shared" si="360"/>
        <v>Periodo 2011-2018</v>
      </c>
      <c r="M368" s="9" t="str">
        <f t="shared" si="360"/>
        <v>Número de Casos</v>
      </c>
      <c r="N368" s="9" t="str">
        <f t="shared" si="360"/>
        <v>Departamento de Estadísticas e Información de la Salud (DEIS) - Ministerio de Salud</v>
      </c>
      <c r="O368" s="20" t="str">
        <f>"Evolución de Población en Control en el Programa de VIH/SIDA según sexo en "&amp;Agencia[[#This Row],[territorio]]&amp;" durante el "&amp;Agencia[[#This Row],[temporalidad]]</f>
        <v>Evolución de Población en Control en el Programa de VIH/SIDA según sexo en Región de Antofagasta durante el Periodo 2011-2018</v>
      </c>
      <c r="P368" s="20"/>
      <c r="Q368" s="11" t="str">
        <f t="shared" ref="Q368" si="361">+Q367</f>
        <v>Gráfico de Evolución</v>
      </c>
      <c r="R368" s="87" t="str">
        <f>Agencia[[#This Row],[territorio]]&amp;" VIH SIDA enfermedad transmisión sexual casos población control programa sexo hombre mujer"</f>
        <v>Región de Antofagasta VIH SIDA enfermedad transmisión sexual casos población control programa sexo hombre mujer</v>
      </c>
      <c r="S368" s="39" t="str">
        <f>HYPERLINK("https://analytics.zoho.com/open-view/2395394000007991542?ZOHO_CRITERIA=%22Localiza%20CL%22.%22Codreg%22%20%3D%20"&amp;Agencia[[#This Row],[Filtro URL]])</f>
        <v>https://analytics.zoho.com/open-view/2395394000007991542?ZOHO_CRITERIA=%22Localiza%20CL%22.%22Codreg%22%20%3D%202</v>
      </c>
      <c r="T368" s="68" t="str">
        <f>"100-R-"&amp;Agencia[[#This Row],[Filtro URL]]</f>
        <v>100-R-2</v>
      </c>
      <c r="U368" s="120" t="str">
        <f t="shared" si="347"/>
        <v>#1774B9</v>
      </c>
      <c r="V368" s="118" t="str">
        <f>+Agencia[[#This Row],[idcoleccion]]&amp;"-"&amp;Agencia[[#This Row],[id]]</f>
        <v>990-0357</v>
      </c>
      <c r="W368" s="118">
        <f>+VLOOKUP(Agencia[[#This Row],[Filtro URL]],Estructura!$X$4:$Y$500,2,0)</f>
        <v>99200002</v>
      </c>
      <c r="X368" s="118" t="str">
        <f>+VLOOKUP(Agencia[[#This Row],[tema]],Estructura!$A$4:$C$500,3,0)</f>
        <v>T-1000</v>
      </c>
      <c r="Y368" s="118" t="str">
        <f>+VLOOKUP(Agencia[[#This Row],[contenido]],Estructura!$E$4:$G$500,3,0)</f>
        <v>C-1010</v>
      </c>
      <c r="Z368" s="118" t="str">
        <f>+VLOOKUP(Agencia[[#This Row],[Filtro Integrado]],Estructura!$I$4:$K$500,3,0)</f>
        <v>FI-993</v>
      </c>
      <c r="AA368" s="118" t="str">
        <f>+VLOOKUP(Agencia[[#This Row],[Muestra]],Estructura!$M$4:$O$500,3,0)</f>
        <v>M-1027</v>
      </c>
    </row>
    <row r="369" spans="1:27" ht="57.6" x14ac:dyDescent="0.3">
      <c r="A369" s="21" t="s">
        <v>806</v>
      </c>
      <c r="B369" s="24">
        <f t="shared" ref="B369:D369" si="362">+B368</f>
        <v>990</v>
      </c>
      <c r="C369" s="25" t="str">
        <f t="shared" si="362"/>
        <v>Agencia Información</v>
      </c>
      <c r="D369" s="25" t="str">
        <f t="shared" si="362"/>
        <v>Salud</v>
      </c>
      <c r="E369" s="19">
        <v>3</v>
      </c>
      <c r="F369" s="10" t="s">
        <v>1021</v>
      </c>
      <c r="G369" s="26" t="s">
        <v>3784</v>
      </c>
      <c r="H369" s="35" t="s">
        <v>16</v>
      </c>
      <c r="I369" s="36" t="s">
        <v>370</v>
      </c>
      <c r="J369" s="9" t="str">
        <f t="shared" ref="J369:N369" si="363">+J368</f>
        <v>Ninguno</v>
      </c>
      <c r="K369" s="9" t="str">
        <f t="shared" si="363"/>
        <v>Población en control por sexo por región</v>
      </c>
      <c r="L369" s="9" t="str">
        <f t="shared" si="363"/>
        <v>Periodo 2011-2018</v>
      </c>
      <c r="M369" s="9" t="str">
        <f t="shared" si="363"/>
        <v>Número de Casos</v>
      </c>
      <c r="N369" s="9" t="str">
        <f t="shared" si="363"/>
        <v>Departamento de Estadísticas e Información de la Salud (DEIS) - Ministerio de Salud</v>
      </c>
      <c r="O369" s="20" t="str">
        <f>"Evolución de Población en Control en el Programa de VIH/SIDA según sexo en "&amp;Agencia[[#This Row],[territorio]]&amp;" durante el "&amp;Agencia[[#This Row],[temporalidad]]</f>
        <v>Evolución de Población en Control en el Programa de VIH/SIDA según sexo en Región de Atacama durante el Periodo 2011-2018</v>
      </c>
      <c r="P369" s="20"/>
      <c r="Q369" s="11" t="str">
        <f t="shared" ref="Q369" si="364">+Q368</f>
        <v>Gráfico de Evolución</v>
      </c>
      <c r="R369" s="87" t="str">
        <f>Agencia[[#This Row],[territorio]]&amp;" VIH SIDA enfermedad transmisión sexual casos población control programa sexo hombre mujer"</f>
        <v>Región de Atacama VIH SIDA enfermedad transmisión sexual casos población control programa sexo hombre mujer</v>
      </c>
      <c r="S369" s="39" t="str">
        <f>HYPERLINK("https://analytics.zoho.com/open-view/2395394000007991542?ZOHO_CRITERIA=%22Localiza%20CL%22.%22Codreg%22%20%3D%20"&amp;Agencia[[#This Row],[Filtro URL]])</f>
        <v>https://analytics.zoho.com/open-view/2395394000007991542?ZOHO_CRITERIA=%22Localiza%20CL%22.%22Codreg%22%20%3D%203</v>
      </c>
      <c r="T369" s="68" t="str">
        <f>"100-R-"&amp;Agencia[[#This Row],[Filtro URL]]</f>
        <v>100-R-3</v>
      </c>
      <c r="U369" s="50" t="str">
        <f t="shared" ref="U369:U400" si="365">+U368</f>
        <v>#1774B9</v>
      </c>
      <c r="V369" s="118" t="str">
        <f>+Agencia[[#This Row],[idcoleccion]]&amp;"-"&amp;Agencia[[#This Row],[id]]</f>
        <v>990-0358</v>
      </c>
      <c r="W369" s="118">
        <f>+VLOOKUP(Agencia[[#This Row],[Filtro URL]],Estructura!$X$4:$Y$500,2,0)</f>
        <v>99200003</v>
      </c>
      <c r="X369" s="118" t="str">
        <f>+VLOOKUP(Agencia[[#This Row],[tema]],Estructura!$A$4:$C$500,3,0)</f>
        <v>T-1000</v>
      </c>
      <c r="Y369" s="118" t="str">
        <f>+VLOOKUP(Agencia[[#This Row],[contenido]],Estructura!$E$4:$G$500,3,0)</f>
        <v>C-1010</v>
      </c>
      <c r="Z369" s="118" t="str">
        <f>+VLOOKUP(Agencia[[#This Row],[Filtro Integrado]],Estructura!$I$4:$K$500,3,0)</f>
        <v>FI-993</v>
      </c>
      <c r="AA369" s="118" t="str">
        <f>+VLOOKUP(Agencia[[#This Row],[Muestra]],Estructura!$M$4:$O$500,3,0)</f>
        <v>M-1027</v>
      </c>
    </row>
    <row r="370" spans="1:27" ht="57.6" x14ac:dyDescent="0.3">
      <c r="A370" s="21" t="s">
        <v>807</v>
      </c>
      <c r="B370" s="24">
        <f t="shared" ref="B370:D370" si="366">+B369</f>
        <v>990</v>
      </c>
      <c r="C370" s="25" t="str">
        <f t="shared" si="366"/>
        <v>Agencia Información</v>
      </c>
      <c r="D370" s="25" t="str">
        <f t="shared" si="366"/>
        <v>Salud</v>
      </c>
      <c r="E370" s="19">
        <v>4</v>
      </c>
      <c r="F370" s="10" t="s">
        <v>1021</v>
      </c>
      <c r="G370" s="26" t="s">
        <v>3784</v>
      </c>
      <c r="H370" s="35" t="s">
        <v>16</v>
      </c>
      <c r="I370" s="36" t="s">
        <v>371</v>
      </c>
      <c r="J370" s="9" t="str">
        <f t="shared" ref="J370:N370" si="367">+J369</f>
        <v>Ninguno</v>
      </c>
      <c r="K370" s="9" t="str">
        <f t="shared" si="367"/>
        <v>Población en control por sexo por región</v>
      </c>
      <c r="L370" s="9" t="str">
        <f t="shared" si="367"/>
        <v>Periodo 2011-2018</v>
      </c>
      <c r="M370" s="9" t="str">
        <f t="shared" si="367"/>
        <v>Número de Casos</v>
      </c>
      <c r="N370" s="9" t="str">
        <f t="shared" si="367"/>
        <v>Departamento de Estadísticas e Información de la Salud (DEIS) - Ministerio de Salud</v>
      </c>
      <c r="O370" s="20" t="str">
        <f>"Evolución de Población en Control en el Programa de VIH/SIDA según sexo en "&amp;Agencia[[#This Row],[territorio]]&amp;" durante el "&amp;Agencia[[#This Row],[temporalidad]]</f>
        <v>Evolución de Población en Control en el Programa de VIH/SIDA según sexo en Región de Coquimbo durante el Periodo 2011-2018</v>
      </c>
      <c r="P370" s="20"/>
      <c r="Q370" s="11" t="str">
        <f t="shared" ref="Q370" si="368">+Q369</f>
        <v>Gráfico de Evolución</v>
      </c>
      <c r="R370" s="87" t="str">
        <f>Agencia[[#This Row],[territorio]]&amp;" VIH SIDA enfermedad transmisión sexual casos población control programa sexo hombre mujer"</f>
        <v>Región de Coquimbo VIH SIDA enfermedad transmisión sexual casos población control programa sexo hombre mujer</v>
      </c>
      <c r="S370" s="39" t="str">
        <f>HYPERLINK("https://analytics.zoho.com/open-view/2395394000007991542?ZOHO_CRITERIA=%22Localiza%20CL%22.%22Codreg%22%20%3D%20"&amp;Agencia[[#This Row],[Filtro URL]])</f>
        <v>https://analytics.zoho.com/open-view/2395394000007991542?ZOHO_CRITERIA=%22Localiza%20CL%22.%22Codreg%22%20%3D%204</v>
      </c>
      <c r="T370" s="68" t="str">
        <f>"100-R-"&amp;Agencia[[#This Row],[Filtro URL]]</f>
        <v>100-R-4</v>
      </c>
      <c r="U370" s="50" t="str">
        <f t="shared" si="365"/>
        <v>#1774B9</v>
      </c>
      <c r="V370" s="118" t="str">
        <f>+Agencia[[#This Row],[idcoleccion]]&amp;"-"&amp;Agencia[[#This Row],[id]]</f>
        <v>990-0359</v>
      </c>
      <c r="W370" s="118">
        <f>+VLOOKUP(Agencia[[#This Row],[Filtro URL]],Estructura!$X$4:$Y$500,2,0)</f>
        <v>99200004</v>
      </c>
      <c r="X370" s="118" t="str">
        <f>+VLOOKUP(Agencia[[#This Row],[tema]],Estructura!$A$4:$C$500,3,0)</f>
        <v>T-1000</v>
      </c>
      <c r="Y370" s="118" t="str">
        <f>+VLOOKUP(Agencia[[#This Row],[contenido]],Estructura!$E$4:$G$500,3,0)</f>
        <v>C-1010</v>
      </c>
      <c r="Z370" s="118" t="str">
        <f>+VLOOKUP(Agencia[[#This Row],[Filtro Integrado]],Estructura!$I$4:$K$500,3,0)</f>
        <v>FI-993</v>
      </c>
      <c r="AA370" s="118" t="str">
        <f>+VLOOKUP(Agencia[[#This Row],[Muestra]],Estructura!$M$4:$O$500,3,0)</f>
        <v>M-1027</v>
      </c>
    </row>
    <row r="371" spans="1:27" ht="57.6" x14ac:dyDescent="0.3">
      <c r="A371" s="21" t="s">
        <v>808</v>
      </c>
      <c r="B371" s="24">
        <f t="shared" ref="B371:D371" si="369">+B370</f>
        <v>990</v>
      </c>
      <c r="C371" s="25" t="str">
        <f t="shared" si="369"/>
        <v>Agencia Información</v>
      </c>
      <c r="D371" s="25" t="str">
        <f t="shared" si="369"/>
        <v>Salud</v>
      </c>
      <c r="E371" s="19">
        <v>5</v>
      </c>
      <c r="F371" s="10" t="s">
        <v>1021</v>
      </c>
      <c r="G371" s="26" t="s">
        <v>3784</v>
      </c>
      <c r="H371" s="35" t="s">
        <v>16</v>
      </c>
      <c r="I371" s="36" t="s">
        <v>372</v>
      </c>
      <c r="J371" s="9" t="str">
        <f t="shared" ref="J371:N371" si="370">+J370</f>
        <v>Ninguno</v>
      </c>
      <c r="K371" s="9" t="str">
        <f t="shared" si="370"/>
        <v>Población en control por sexo por región</v>
      </c>
      <c r="L371" s="9" t="str">
        <f t="shared" si="370"/>
        <v>Periodo 2011-2018</v>
      </c>
      <c r="M371" s="9" t="str">
        <f t="shared" si="370"/>
        <v>Número de Casos</v>
      </c>
      <c r="N371" s="9" t="str">
        <f t="shared" si="370"/>
        <v>Departamento de Estadísticas e Información de la Salud (DEIS) - Ministerio de Salud</v>
      </c>
      <c r="O371" s="20" t="str">
        <f>"Evolución de Población en Control en el Programa de VIH/SIDA según sexo en "&amp;Agencia[[#This Row],[territorio]]&amp;" durante el "&amp;Agencia[[#This Row],[temporalidad]]</f>
        <v>Evolución de Población en Control en el Programa de VIH/SIDA según sexo en Región de Valparaíso durante el Periodo 2011-2018</v>
      </c>
      <c r="P371" s="20"/>
      <c r="Q371" s="11" t="str">
        <f t="shared" ref="Q371" si="371">+Q370</f>
        <v>Gráfico de Evolución</v>
      </c>
      <c r="R371" s="87" t="str">
        <f>Agencia[[#This Row],[territorio]]&amp;" VIH SIDA enfermedad transmisión sexual casos población control programa sexo hombre mujer"</f>
        <v>Región de Valparaíso VIH SIDA enfermedad transmisión sexual casos población control programa sexo hombre mujer</v>
      </c>
      <c r="S371" s="39" t="str">
        <f>HYPERLINK("https://analytics.zoho.com/open-view/2395394000007991542?ZOHO_CRITERIA=%22Localiza%20CL%22.%22Codreg%22%20%3D%20"&amp;Agencia[[#This Row],[Filtro URL]])</f>
        <v>https://analytics.zoho.com/open-view/2395394000007991542?ZOHO_CRITERIA=%22Localiza%20CL%22.%22Codreg%22%20%3D%205</v>
      </c>
      <c r="T371" s="68" t="str">
        <f>"100-R-"&amp;Agencia[[#This Row],[Filtro URL]]</f>
        <v>100-R-5</v>
      </c>
      <c r="U371" s="50" t="str">
        <f t="shared" si="365"/>
        <v>#1774B9</v>
      </c>
      <c r="V371" s="118" t="str">
        <f>+Agencia[[#This Row],[idcoleccion]]&amp;"-"&amp;Agencia[[#This Row],[id]]</f>
        <v>990-0360</v>
      </c>
      <c r="W371" s="118">
        <f>+VLOOKUP(Agencia[[#This Row],[Filtro URL]],Estructura!$X$4:$Y$500,2,0)</f>
        <v>99200005</v>
      </c>
      <c r="X371" s="118" t="str">
        <f>+VLOOKUP(Agencia[[#This Row],[tema]],Estructura!$A$4:$C$500,3,0)</f>
        <v>T-1000</v>
      </c>
      <c r="Y371" s="118" t="str">
        <f>+VLOOKUP(Agencia[[#This Row],[contenido]],Estructura!$E$4:$G$500,3,0)</f>
        <v>C-1010</v>
      </c>
      <c r="Z371" s="118" t="str">
        <f>+VLOOKUP(Agencia[[#This Row],[Filtro Integrado]],Estructura!$I$4:$K$500,3,0)</f>
        <v>FI-993</v>
      </c>
      <c r="AA371" s="118" t="str">
        <f>+VLOOKUP(Agencia[[#This Row],[Muestra]],Estructura!$M$4:$O$500,3,0)</f>
        <v>M-1027</v>
      </c>
    </row>
    <row r="372" spans="1:27" ht="57.6" x14ac:dyDescent="0.3">
      <c r="A372" s="21" t="s">
        <v>809</v>
      </c>
      <c r="B372" s="24">
        <f t="shared" ref="B372:D372" si="372">+B371</f>
        <v>990</v>
      </c>
      <c r="C372" s="25" t="str">
        <f t="shared" si="372"/>
        <v>Agencia Información</v>
      </c>
      <c r="D372" s="25" t="str">
        <f t="shared" si="372"/>
        <v>Salud</v>
      </c>
      <c r="E372" s="19">
        <v>6</v>
      </c>
      <c r="F372" s="10" t="s">
        <v>1021</v>
      </c>
      <c r="G372" s="26" t="s">
        <v>3784</v>
      </c>
      <c r="H372" s="35" t="s">
        <v>16</v>
      </c>
      <c r="I372" s="36" t="s">
        <v>373</v>
      </c>
      <c r="J372" s="9" t="str">
        <f t="shared" ref="J372:N372" si="373">+J371</f>
        <v>Ninguno</v>
      </c>
      <c r="K372" s="9" t="str">
        <f t="shared" si="373"/>
        <v>Población en control por sexo por región</v>
      </c>
      <c r="L372" s="9" t="str">
        <f t="shared" si="373"/>
        <v>Periodo 2011-2018</v>
      </c>
      <c r="M372" s="9" t="str">
        <f t="shared" si="373"/>
        <v>Número de Casos</v>
      </c>
      <c r="N372" s="9" t="str">
        <f t="shared" si="373"/>
        <v>Departamento de Estadísticas e Información de la Salud (DEIS) - Ministerio de Salud</v>
      </c>
      <c r="O372" s="20" t="str">
        <f>"Evolución de Población en Control en el Programa de VIH/SIDA según sexo en "&amp;Agencia[[#This Row],[territorio]]&amp;" durante el "&amp;Agencia[[#This Row],[temporalidad]]</f>
        <v>Evolución de Población en Control en el Programa de VIH/SIDA según sexo en Región de O'Higgins durante el Periodo 2011-2018</v>
      </c>
      <c r="P372" s="20"/>
      <c r="Q372" s="11" t="str">
        <f t="shared" ref="Q372" si="374">+Q371</f>
        <v>Gráfico de Evolución</v>
      </c>
      <c r="R372" s="87" t="str">
        <f>Agencia[[#This Row],[territorio]]&amp;" VIH SIDA enfermedad transmisión sexual casos población control programa sexo hombre mujer"</f>
        <v>Región de O'Higgins VIH SIDA enfermedad transmisión sexual casos población control programa sexo hombre mujer</v>
      </c>
      <c r="S372" s="39" t="str">
        <f>HYPERLINK("https://analytics.zoho.com/open-view/2395394000007991542?ZOHO_CRITERIA=%22Localiza%20CL%22.%22Codreg%22%20%3D%20"&amp;Agencia[[#This Row],[Filtro URL]])</f>
        <v>https://analytics.zoho.com/open-view/2395394000007991542?ZOHO_CRITERIA=%22Localiza%20CL%22.%22Codreg%22%20%3D%206</v>
      </c>
      <c r="T372" s="68" t="str">
        <f>"100-R-"&amp;Agencia[[#This Row],[Filtro URL]]</f>
        <v>100-R-6</v>
      </c>
      <c r="U372" s="50" t="str">
        <f t="shared" si="365"/>
        <v>#1774B9</v>
      </c>
      <c r="V372" s="118" t="str">
        <f>+Agencia[[#This Row],[idcoleccion]]&amp;"-"&amp;Agencia[[#This Row],[id]]</f>
        <v>990-0361</v>
      </c>
      <c r="W372" s="118">
        <f>+VLOOKUP(Agencia[[#This Row],[Filtro URL]],Estructura!$X$4:$Y$500,2,0)</f>
        <v>99200006</v>
      </c>
      <c r="X372" s="118" t="str">
        <f>+VLOOKUP(Agencia[[#This Row],[tema]],Estructura!$A$4:$C$500,3,0)</f>
        <v>T-1000</v>
      </c>
      <c r="Y372" s="118" t="str">
        <f>+VLOOKUP(Agencia[[#This Row],[contenido]],Estructura!$E$4:$G$500,3,0)</f>
        <v>C-1010</v>
      </c>
      <c r="Z372" s="118" t="str">
        <f>+VLOOKUP(Agencia[[#This Row],[Filtro Integrado]],Estructura!$I$4:$K$500,3,0)</f>
        <v>FI-993</v>
      </c>
      <c r="AA372" s="118" t="str">
        <f>+VLOOKUP(Agencia[[#This Row],[Muestra]],Estructura!$M$4:$O$500,3,0)</f>
        <v>M-1027</v>
      </c>
    </row>
    <row r="373" spans="1:27" ht="57.6" x14ac:dyDescent="0.3">
      <c r="A373" s="21" t="s">
        <v>810</v>
      </c>
      <c r="B373" s="24">
        <f t="shared" ref="B373:D373" si="375">+B372</f>
        <v>990</v>
      </c>
      <c r="C373" s="25" t="str">
        <f t="shared" si="375"/>
        <v>Agencia Información</v>
      </c>
      <c r="D373" s="25" t="str">
        <f t="shared" si="375"/>
        <v>Salud</v>
      </c>
      <c r="E373" s="19">
        <v>7</v>
      </c>
      <c r="F373" s="10" t="s">
        <v>1021</v>
      </c>
      <c r="G373" s="26" t="s">
        <v>3784</v>
      </c>
      <c r="H373" s="35" t="s">
        <v>16</v>
      </c>
      <c r="I373" s="36" t="s">
        <v>374</v>
      </c>
      <c r="J373" s="9" t="str">
        <f t="shared" ref="J373:N373" si="376">+J372</f>
        <v>Ninguno</v>
      </c>
      <c r="K373" s="9" t="str">
        <f t="shared" si="376"/>
        <v>Población en control por sexo por región</v>
      </c>
      <c r="L373" s="9" t="str">
        <f t="shared" si="376"/>
        <v>Periodo 2011-2018</v>
      </c>
      <c r="M373" s="9" t="str">
        <f t="shared" si="376"/>
        <v>Número de Casos</v>
      </c>
      <c r="N373" s="9" t="str">
        <f t="shared" si="376"/>
        <v>Departamento de Estadísticas e Información de la Salud (DEIS) - Ministerio de Salud</v>
      </c>
      <c r="O373" s="20" t="str">
        <f>"Evolución de Población en Control en el Programa de VIH/SIDA según sexo en "&amp;Agencia[[#This Row],[territorio]]&amp;" durante el "&amp;Agencia[[#This Row],[temporalidad]]</f>
        <v>Evolución de Población en Control en el Programa de VIH/SIDA según sexo en Región de Maule durante el Periodo 2011-2018</v>
      </c>
      <c r="P373" s="20"/>
      <c r="Q373" s="11" t="str">
        <f t="shared" ref="Q373" si="377">+Q372</f>
        <v>Gráfico de Evolución</v>
      </c>
      <c r="R373" s="87" t="str">
        <f>Agencia[[#This Row],[territorio]]&amp;" VIH SIDA enfermedad transmisión sexual casos población control programa sexo hombre mujer"</f>
        <v>Región de Maule VIH SIDA enfermedad transmisión sexual casos población control programa sexo hombre mujer</v>
      </c>
      <c r="S373" s="39" t="str">
        <f>HYPERLINK("https://analytics.zoho.com/open-view/2395394000007991542?ZOHO_CRITERIA=%22Localiza%20CL%22.%22Codreg%22%20%3D%20"&amp;Agencia[[#This Row],[Filtro URL]])</f>
        <v>https://analytics.zoho.com/open-view/2395394000007991542?ZOHO_CRITERIA=%22Localiza%20CL%22.%22Codreg%22%20%3D%207</v>
      </c>
      <c r="T373" s="68" t="str">
        <f>"100-R-"&amp;Agencia[[#This Row],[Filtro URL]]</f>
        <v>100-R-7</v>
      </c>
      <c r="U373" s="50" t="str">
        <f t="shared" si="365"/>
        <v>#1774B9</v>
      </c>
      <c r="V373" s="118" t="str">
        <f>+Agencia[[#This Row],[idcoleccion]]&amp;"-"&amp;Agencia[[#This Row],[id]]</f>
        <v>990-0362</v>
      </c>
      <c r="W373" s="118">
        <f>+VLOOKUP(Agencia[[#This Row],[Filtro URL]],Estructura!$X$4:$Y$500,2,0)</f>
        <v>99200007</v>
      </c>
      <c r="X373" s="118" t="str">
        <f>+VLOOKUP(Agencia[[#This Row],[tema]],Estructura!$A$4:$C$500,3,0)</f>
        <v>T-1000</v>
      </c>
      <c r="Y373" s="118" t="str">
        <f>+VLOOKUP(Agencia[[#This Row],[contenido]],Estructura!$E$4:$G$500,3,0)</f>
        <v>C-1010</v>
      </c>
      <c r="Z373" s="118" t="str">
        <f>+VLOOKUP(Agencia[[#This Row],[Filtro Integrado]],Estructura!$I$4:$K$500,3,0)</f>
        <v>FI-993</v>
      </c>
      <c r="AA373" s="118" t="str">
        <f>+VLOOKUP(Agencia[[#This Row],[Muestra]],Estructura!$M$4:$O$500,3,0)</f>
        <v>M-1027</v>
      </c>
    </row>
    <row r="374" spans="1:27" ht="57.6" x14ac:dyDescent="0.3">
      <c r="A374" s="21" t="s">
        <v>811</v>
      </c>
      <c r="B374" s="24">
        <f t="shared" ref="B374:D374" si="378">+B373</f>
        <v>990</v>
      </c>
      <c r="C374" s="25" t="str">
        <f t="shared" si="378"/>
        <v>Agencia Información</v>
      </c>
      <c r="D374" s="25" t="str">
        <f t="shared" si="378"/>
        <v>Salud</v>
      </c>
      <c r="E374" s="19">
        <v>8</v>
      </c>
      <c r="F374" s="10" t="s">
        <v>1021</v>
      </c>
      <c r="G374" s="26" t="s">
        <v>3784</v>
      </c>
      <c r="H374" s="35" t="s">
        <v>16</v>
      </c>
      <c r="I374" s="36" t="s">
        <v>375</v>
      </c>
      <c r="J374" s="9" t="str">
        <f t="shared" ref="J374:N374" si="379">+J373</f>
        <v>Ninguno</v>
      </c>
      <c r="K374" s="9" t="str">
        <f t="shared" si="379"/>
        <v>Población en control por sexo por región</v>
      </c>
      <c r="L374" s="9" t="str">
        <f t="shared" si="379"/>
        <v>Periodo 2011-2018</v>
      </c>
      <c r="M374" s="9" t="str">
        <f t="shared" si="379"/>
        <v>Número de Casos</v>
      </c>
      <c r="N374" s="9" t="str">
        <f t="shared" si="379"/>
        <v>Departamento de Estadísticas e Información de la Salud (DEIS) - Ministerio de Salud</v>
      </c>
      <c r="O374" s="20" t="str">
        <f>"Evolución de Población en Control en el Programa de VIH/SIDA según sexo en "&amp;Agencia[[#This Row],[territorio]]&amp;" durante el "&amp;Agencia[[#This Row],[temporalidad]]</f>
        <v>Evolución de Población en Control en el Programa de VIH/SIDA según sexo en Región del Biobío durante el Periodo 2011-2018</v>
      </c>
      <c r="P374" s="20"/>
      <c r="Q374" s="11" t="str">
        <f t="shared" ref="Q374" si="380">+Q373</f>
        <v>Gráfico de Evolución</v>
      </c>
      <c r="R374" s="87" t="str">
        <f>Agencia[[#This Row],[territorio]]&amp;" VIH SIDA enfermedad transmisión sexual casos población control programa sexo hombre mujer"</f>
        <v>Región del Biobío VIH SIDA enfermedad transmisión sexual casos población control programa sexo hombre mujer</v>
      </c>
      <c r="S374" s="39" t="str">
        <f>HYPERLINK("https://analytics.zoho.com/open-view/2395394000007991542?ZOHO_CRITERIA=%22Localiza%20CL%22.%22Codreg%22%20%3D%20"&amp;Agencia[[#This Row],[Filtro URL]])</f>
        <v>https://analytics.zoho.com/open-view/2395394000007991542?ZOHO_CRITERIA=%22Localiza%20CL%22.%22Codreg%22%20%3D%208</v>
      </c>
      <c r="T374" s="68" t="str">
        <f>"100-R-"&amp;Agencia[[#This Row],[Filtro URL]]</f>
        <v>100-R-8</v>
      </c>
      <c r="U374" s="50" t="str">
        <f t="shared" si="365"/>
        <v>#1774B9</v>
      </c>
      <c r="V374" s="118" t="str">
        <f>+Agencia[[#This Row],[idcoleccion]]&amp;"-"&amp;Agencia[[#This Row],[id]]</f>
        <v>990-0363</v>
      </c>
      <c r="W374" s="118">
        <f>+VLOOKUP(Agencia[[#This Row],[Filtro URL]],Estructura!$X$4:$Y$500,2,0)</f>
        <v>99200008</v>
      </c>
      <c r="X374" s="118" t="str">
        <f>+VLOOKUP(Agencia[[#This Row],[tema]],Estructura!$A$4:$C$500,3,0)</f>
        <v>T-1000</v>
      </c>
      <c r="Y374" s="118" t="str">
        <f>+VLOOKUP(Agencia[[#This Row],[contenido]],Estructura!$E$4:$G$500,3,0)</f>
        <v>C-1010</v>
      </c>
      <c r="Z374" s="118" t="str">
        <f>+VLOOKUP(Agencia[[#This Row],[Filtro Integrado]],Estructura!$I$4:$K$500,3,0)</f>
        <v>FI-993</v>
      </c>
      <c r="AA374" s="118" t="str">
        <f>+VLOOKUP(Agencia[[#This Row],[Muestra]],Estructura!$M$4:$O$500,3,0)</f>
        <v>M-1027</v>
      </c>
    </row>
    <row r="375" spans="1:27" ht="57.6" x14ac:dyDescent="0.3">
      <c r="A375" s="21" t="s">
        <v>812</v>
      </c>
      <c r="B375" s="24">
        <f t="shared" ref="B375:D375" si="381">+B374</f>
        <v>990</v>
      </c>
      <c r="C375" s="25" t="str">
        <f t="shared" si="381"/>
        <v>Agencia Información</v>
      </c>
      <c r="D375" s="25" t="str">
        <f t="shared" si="381"/>
        <v>Salud</v>
      </c>
      <c r="E375" s="19">
        <v>9</v>
      </c>
      <c r="F375" s="10" t="s">
        <v>1021</v>
      </c>
      <c r="G375" s="26" t="s">
        <v>3784</v>
      </c>
      <c r="H375" s="35" t="s">
        <v>16</v>
      </c>
      <c r="I375" s="36" t="s">
        <v>376</v>
      </c>
      <c r="J375" s="9" t="str">
        <f t="shared" ref="J375:N375" si="382">+J374</f>
        <v>Ninguno</v>
      </c>
      <c r="K375" s="9" t="str">
        <f t="shared" si="382"/>
        <v>Población en control por sexo por región</v>
      </c>
      <c r="L375" s="9" t="str">
        <f t="shared" si="382"/>
        <v>Periodo 2011-2018</v>
      </c>
      <c r="M375" s="9" t="str">
        <f t="shared" si="382"/>
        <v>Número de Casos</v>
      </c>
      <c r="N375" s="9" t="str">
        <f t="shared" si="382"/>
        <v>Departamento de Estadísticas e Información de la Salud (DEIS) - Ministerio de Salud</v>
      </c>
      <c r="O375" s="20" t="str">
        <f>"Evolución de Población en Control en el Programa de VIH/SIDA según sexo en "&amp;Agencia[[#This Row],[territorio]]&amp;" durante el "&amp;Agencia[[#This Row],[temporalidad]]</f>
        <v>Evolución de Población en Control en el Programa de VIH/SIDA según sexo en Región de La Araucanía durante el Periodo 2011-2018</v>
      </c>
      <c r="P375" s="20"/>
      <c r="Q375" s="11" t="str">
        <f t="shared" ref="Q375" si="383">+Q374</f>
        <v>Gráfico de Evolución</v>
      </c>
      <c r="R375" s="87" t="str">
        <f>Agencia[[#This Row],[territorio]]&amp;" VIH SIDA enfermedad transmisión sexual casos población control programa sexo hombre mujer"</f>
        <v>Región de La Araucanía VIH SIDA enfermedad transmisión sexual casos población control programa sexo hombre mujer</v>
      </c>
      <c r="S375" s="39" t="str">
        <f>HYPERLINK("https://analytics.zoho.com/open-view/2395394000007991542?ZOHO_CRITERIA=%22Localiza%20CL%22.%22Codreg%22%20%3D%20"&amp;Agencia[[#This Row],[Filtro URL]])</f>
        <v>https://analytics.zoho.com/open-view/2395394000007991542?ZOHO_CRITERIA=%22Localiza%20CL%22.%22Codreg%22%20%3D%209</v>
      </c>
      <c r="T375" s="68" t="str">
        <f>"100-R-"&amp;Agencia[[#This Row],[Filtro URL]]</f>
        <v>100-R-9</v>
      </c>
      <c r="U375" s="50" t="str">
        <f t="shared" si="365"/>
        <v>#1774B9</v>
      </c>
      <c r="V375" s="118" t="str">
        <f>+Agencia[[#This Row],[idcoleccion]]&amp;"-"&amp;Agencia[[#This Row],[id]]</f>
        <v>990-0364</v>
      </c>
      <c r="W375" s="118">
        <f>+VLOOKUP(Agencia[[#This Row],[Filtro URL]],Estructura!$X$4:$Y$500,2,0)</f>
        <v>99200009</v>
      </c>
      <c r="X375" s="118" t="str">
        <f>+VLOOKUP(Agencia[[#This Row],[tema]],Estructura!$A$4:$C$500,3,0)</f>
        <v>T-1000</v>
      </c>
      <c r="Y375" s="118" t="str">
        <f>+VLOOKUP(Agencia[[#This Row],[contenido]],Estructura!$E$4:$G$500,3,0)</f>
        <v>C-1010</v>
      </c>
      <c r="Z375" s="118" t="str">
        <f>+VLOOKUP(Agencia[[#This Row],[Filtro Integrado]],Estructura!$I$4:$K$500,3,0)</f>
        <v>FI-993</v>
      </c>
      <c r="AA375" s="118" t="str">
        <f>+VLOOKUP(Agencia[[#This Row],[Muestra]],Estructura!$M$4:$O$500,3,0)</f>
        <v>M-1027</v>
      </c>
    </row>
    <row r="376" spans="1:27" ht="57.6" x14ac:dyDescent="0.3">
      <c r="A376" s="21" t="s">
        <v>813</v>
      </c>
      <c r="B376" s="24">
        <f t="shared" ref="B376:D376" si="384">+B375</f>
        <v>990</v>
      </c>
      <c r="C376" s="25" t="str">
        <f t="shared" si="384"/>
        <v>Agencia Información</v>
      </c>
      <c r="D376" s="25" t="str">
        <f t="shared" si="384"/>
        <v>Salud</v>
      </c>
      <c r="E376" s="19">
        <v>10</v>
      </c>
      <c r="F376" s="10" t="s">
        <v>1021</v>
      </c>
      <c r="G376" s="26" t="s">
        <v>3784</v>
      </c>
      <c r="H376" s="35" t="s">
        <v>16</v>
      </c>
      <c r="I376" s="36" t="s">
        <v>377</v>
      </c>
      <c r="J376" s="9" t="str">
        <f t="shared" ref="J376:N376" si="385">+J375</f>
        <v>Ninguno</v>
      </c>
      <c r="K376" s="9" t="str">
        <f t="shared" si="385"/>
        <v>Población en control por sexo por región</v>
      </c>
      <c r="L376" s="9" t="str">
        <f t="shared" si="385"/>
        <v>Periodo 2011-2018</v>
      </c>
      <c r="M376" s="9" t="str">
        <f t="shared" si="385"/>
        <v>Número de Casos</v>
      </c>
      <c r="N376" s="9" t="str">
        <f t="shared" si="385"/>
        <v>Departamento de Estadísticas e Información de la Salud (DEIS) - Ministerio de Salud</v>
      </c>
      <c r="O376" s="20" t="str">
        <f>"Evolución de Población en Control en el Programa de VIH/SIDA según sexo en "&amp;Agencia[[#This Row],[territorio]]&amp;" durante el "&amp;Agencia[[#This Row],[temporalidad]]</f>
        <v>Evolución de Población en Control en el Programa de VIH/SIDA según sexo en Región de Los Lagos durante el Periodo 2011-2018</v>
      </c>
      <c r="P376" s="20"/>
      <c r="Q376" s="11" t="str">
        <f t="shared" ref="Q376" si="386">+Q375</f>
        <v>Gráfico de Evolución</v>
      </c>
      <c r="R376" s="87" t="str">
        <f>Agencia[[#This Row],[territorio]]&amp;" VIH SIDA enfermedad transmisión sexual casos población control programa sexo hombre mujer"</f>
        <v>Región de Los Lagos VIH SIDA enfermedad transmisión sexual casos población control programa sexo hombre mujer</v>
      </c>
      <c r="S376" s="39" t="str">
        <f>HYPERLINK("https://analytics.zoho.com/open-view/2395394000007991542?ZOHO_CRITERIA=%22Localiza%20CL%22.%22Codreg%22%20%3D%20"&amp;Agencia[[#This Row],[Filtro URL]])</f>
        <v>https://analytics.zoho.com/open-view/2395394000007991542?ZOHO_CRITERIA=%22Localiza%20CL%22.%22Codreg%22%20%3D%2010</v>
      </c>
      <c r="T376" s="68" t="str">
        <f>"100-R-"&amp;Agencia[[#This Row],[Filtro URL]]</f>
        <v>100-R-10</v>
      </c>
      <c r="U376" s="50" t="str">
        <f t="shared" si="365"/>
        <v>#1774B9</v>
      </c>
      <c r="V376" s="118" t="str">
        <f>+Agencia[[#This Row],[idcoleccion]]&amp;"-"&amp;Agencia[[#This Row],[id]]</f>
        <v>990-0365</v>
      </c>
      <c r="W376" s="118">
        <f>+VLOOKUP(Agencia[[#This Row],[Filtro URL]],Estructura!$X$4:$Y$500,2,0)</f>
        <v>99200010</v>
      </c>
      <c r="X376" s="118" t="str">
        <f>+VLOOKUP(Agencia[[#This Row],[tema]],Estructura!$A$4:$C$500,3,0)</f>
        <v>T-1000</v>
      </c>
      <c r="Y376" s="118" t="str">
        <f>+VLOOKUP(Agencia[[#This Row],[contenido]],Estructura!$E$4:$G$500,3,0)</f>
        <v>C-1010</v>
      </c>
      <c r="Z376" s="118" t="str">
        <f>+VLOOKUP(Agencia[[#This Row],[Filtro Integrado]],Estructura!$I$4:$K$500,3,0)</f>
        <v>FI-993</v>
      </c>
      <c r="AA376" s="118" t="str">
        <f>+VLOOKUP(Agencia[[#This Row],[Muestra]],Estructura!$M$4:$O$500,3,0)</f>
        <v>M-1027</v>
      </c>
    </row>
    <row r="377" spans="1:27" ht="57.6" x14ac:dyDescent="0.3">
      <c r="A377" s="21" t="s">
        <v>814</v>
      </c>
      <c r="B377" s="24">
        <f t="shared" ref="B377:D377" si="387">+B376</f>
        <v>990</v>
      </c>
      <c r="C377" s="25" t="str">
        <f t="shared" si="387"/>
        <v>Agencia Información</v>
      </c>
      <c r="D377" s="25" t="str">
        <f t="shared" si="387"/>
        <v>Salud</v>
      </c>
      <c r="E377" s="19">
        <v>11</v>
      </c>
      <c r="F377" s="10" t="s">
        <v>1021</v>
      </c>
      <c r="G377" s="26" t="s">
        <v>3784</v>
      </c>
      <c r="H377" s="35" t="s">
        <v>16</v>
      </c>
      <c r="I377" s="36" t="s">
        <v>378</v>
      </c>
      <c r="J377" s="9" t="str">
        <f t="shared" ref="J377:N377" si="388">+J376</f>
        <v>Ninguno</v>
      </c>
      <c r="K377" s="9" t="str">
        <f t="shared" si="388"/>
        <v>Población en control por sexo por región</v>
      </c>
      <c r="L377" s="9" t="str">
        <f t="shared" si="388"/>
        <v>Periodo 2011-2018</v>
      </c>
      <c r="M377" s="9" t="str">
        <f t="shared" si="388"/>
        <v>Número de Casos</v>
      </c>
      <c r="N377" s="9" t="str">
        <f t="shared" si="388"/>
        <v>Departamento de Estadísticas e Información de la Salud (DEIS) - Ministerio de Salud</v>
      </c>
      <c r="O377" s="20" t="str">
        <f>"Evolución de Población en Control en el Programa de VIH/SIDA según sexo en "&amp;Agencia[[#This Row],[territorio]]&amp;" durante el "&amp;Agencia[[#This Row],[temporalidad]]</f>
        <v>Evolución de Población en Control en el Programa de VIH/SIDA según sexo en Región de Aysén durante el Periodo 2011-2018</v>
      </c>
      <c r="P377" s="20"/>
      <c r="Q377" s="11" t="str">
        <f t="shared" ref="Q377" si="389">+Q376</f>
        <v>Gráfico de Evolución</v>
      </c>
      <c r="R377" s="87" t="str">
        <f>Agencia[[#This Row],[territorio]]&amp;" VIH SIDA enfermedad transmisión sexual casos población control programa sexo hombre mujer"</f>
        <v>Región de Aysén VIH SIDA enfermedad transmisión sexual casos población control programa sexo hombre mujer</v>
      </c>
      <c r="S377" s="39" t="str">
        <f>HYPERLINK("https://analytics.zoho.com/open-view/2395394000007991542?ZOHO_CRITERIA=%22Localiza%20CL%22.%22Codreg%22%20%3D%20"&amp;Agencia[[#This Row],[Filtro URL]])</f>
        <v>https://analytics.zoho.com/open-view/2395394000007991542?ZOHO_CRITERIA=%22Localiza%20CL%22.%22Codreg%22%20%3D%2011</v>
      </c>
      <c r="T377" s="68" t="str">
        <f>"100-R-"&amp;Agencia[[#This Row],[Filtro URL]]</f>
        <v>100-R-11</v>
      </c>
      <c r="U377" s="50" t="str">
        <f t="shared" si="365"/>
        <v>#1774B9</v>
      </c>
      <c r="V377" s="118" t="str">
        <f>+Agencia[[#This Row],[idcoleccion]]&amp;"-"&amp;Agencia[[#This Row],[id]]</f>
        <v>990-0366</v>
      </c>
      <c r="W377" s="118">
        <f>+VLOOKUP(Agencia[[#This Row],[Filtro URL]],Estructura!$X$4:$Y$500,2,0)</f>
        <v>99200011</v>
      </c>
      <c r="X377" s="118" t="str">
        <f>+VLOOKUP(Agencia[[#This Row],[tema]],Estructura!$A$4:$C$500,3,0)</f>
        <v>T-1000</v>
      </c>
      <c r="Y377" s="118" t="str">
        <f>+VLOOKUP(Agencia[[#This Row],[contenido]],Estructura!$E$4:$G$500,3,0)</f>
        <v>C-1010</v>
      </c>
      <c r="Z377" s="118" t="str">
        <f>+VLOOKUP(Agencia[[#This Row],[Filtro Integrado]],Estructura!$I$4:$K$500,3,0)</f>
        <v>FI-993</v>
      </c>
      <c r="AA377" s="118" t="str">
        <f>+VLOOKUP(Agencia[[#This Row],[Muestra]],Estructura!$M$4:$O$500,3,0)</f>
        <v>M-1027</v>
      </c>
    </row>
    <row r="378" spans="1:27" ht="57.6" x14ac:dyDescent="0.3">
      <c r="A378" s="21" t="s">
        <v>815</v>
      </c>
      <c r="B378" s="24">
        <f t="shared" ref="B378:D378" si="390">+B377</f>
        <v>990</v>
      </c>
      <c r="C378" s="25" t="str">
        <f t="shared" si="390"/>
        <v>Agencia Información</v>
      </c>
      <c r="D378" s="25" t="str">
        <f t="shared" si="390"/>
        <v>Salud</v>
      </c>
      <c r="E378" s="19">
        <v>12</v>
      </c>
      <c r="F378" s="10" t="s">
        <v>1021</v>
      </c>
      <c r="G378" s="26" t="s">
        <v>3784</v>
      </c>
      <c r="H378" s="35" t="s">
        <v>16</v>
      </c>
      <c r="I378" s="36" t="s">
        <v>379</v>
      </c>
      <c r="J378" s="9" t="str">
        <f t="shared" ref="J378:N378" si="391">+J377</f>
        <v>Ninguno</v>
      </c>
      <c r="K378" s="9" t="str">
        <f t="shared" si="391"/>
        <v>Población en control por sexo por región</v>
      </c>
      <c r="L378" s="9" t="str">
        <f t="shared" si="391"/>
        <v>Periodo 2011-2018</v>
      </c>
      <c r="M378" s="9" t="str">
        <f t="shared" si="391"/>
        <v>Número de Casos</v>
      </c>
      <c r="N378" s="9" t="str">
        <f t="shared" si="391"/>
        <v>Departamento de Estadísticas e Información de la Salud (DEIS) - Ministerio de Salud</v>
      </c>
      <c r="O378" s="20" t="str">
        <f>"Evolución de Población en Control en el Programa de VIH/SIDA según sexo en "&amp;Agencia[[#This Row],[territorio]]&amp;" durante el "&amp;Agencia[[#This Row],[temporalidad]]</f>
        <v>Evolución de Población en Control en el Programa de VIH/SIDA según sexo en Región de Magallanes durante el Periodo 2011-2018</v>
      </c>
      <c r="P378" s="20"/>
      <c r="Q378" s="11" t="str">
        <f t="shared" ref="Q378" si="392">+Q377</f>
        <v>Gráfico de Evolución</v>
      </c>
      <c r="R378" s="87" t="str">
        <f>Agencia[[#This Row],[territorio]]&amp;" VIH SIDA enfermedad transmisión sexual casos población control programa sexo hombre mujer"</f>
        <v>Región de Magallanes VIH SIDA enfermedad transmisión sexual casos población control programa sexo hombre mujer</v>
      </c>
      <c r="S378" s="39" t="str">
        <f>HYPERLINK("https://analytics.zoho.com/open-view/2395394000007991542?ZOHO_CRITERIA=%22Localiza%20CL%22.%22Codreg%22%20%3D%20"&amp;Agencia[[#This Row],[Filtro URL]])</f>
        <v>https://analytics.zoho.com/open-view/2395394000007991542?ZOHO_CRITERIA=%22Localiza%20CL%22.%22Codreg%22%20%3D%2012</v>
      </c>
      <c r="T378" s="68" t="str">
        <f>"100-R-"&amp;Agencia[[#This Row],[Filtro URL]]</f>
        <v>100-R-12</v>
      </c>
      <c r="U378" s="50" t="str">
        <f t="shared" si="365"/>
        <v>#1774B9</v>
      </c>
      <c r="V378" s="118" t="str">
        <f>+Agencia[[#This Row],[idcoleccion]]&amp;"-"&amp;Agencia[[#This Row],[id]]</f>
        <v>990-0367</v>
      </c>
      <c r="W378" s="118">
        <f>+VLOOKUP(Agencia[[#This Row],[Filtro URL]],Estructura!$X$4:$Y$500,2,0)</f>
        <v>99200012</v>
      </c>
      <c r="X378" s="118" t="str">
        <f>+VLOOKUP(Agencia[[#This Row],[tema]],Estructura!$A$4:$C$500,3,0)</f>
        <v>T-1000</v>
      </c>
      <c r="Y378" s="118" t="str">
        <f>+VLOOKUP(Agencia[[#This Row],[contenido]],Estructura!$E$4:$G$500,3,0)</f>
        <v>C-1010</v>
      </c>
      <c r="Z378" s="118" t="str">
        <f>+VLOOKUP(Agencia[[#This Row],[Filtro Integrado]],Estructura!$I$4:$K$500,3,0)</f>
        <v>FI-993</v>
      </c>
      <c r="AA378" s="118" t="str">
        <f>+VLOOKUP(Agencia[[#This Row],[Muestra]],Estructura!$M$4:$O$500,3,0)</f>
        <v>M-1027</v>
      </c>
    </row>
    <row r="379" spans="1:27" ht="57.6" x14ac:dyDescent="0.3">
      <c r="A379" s="21" t="s">
        <v>816</v>
      </c>
      <c r="B379" s="24">
        <f t="shared" ref="B379:D379" si="393">+B378</f>
        <v>990</v>
      </c>
      <c r="C379" s="25" t="str">
        <f t="shared" si="393"/>
        <v>Agencia Información</v>
      </c>
      <c r="D379" s="25" t="str">
        <f t="shared" si="393"/>
        <v>Salud</v>
      </c>
      <c r="E379" s="19">
        <v>13</v>
      </c>
      <c r="F379" s="10" t="s">
        <v>1021</v>
      </c>
      <c r="G379" s="26" t="s">
        <v>3784</v>
      </c>
      <c r="H379" s="35" t="s">
        <v>16</v>
      </c>
      <c r="I379" s="36" t="s">
        <v>380</v>
      </c>
      <c r="J379" s="9" t="str">
        <f t="shared" ref="J379:N379" si="394">+J378</f>
        <v>Ninguno</v>
      </c>
      <c r="K379" s="9" t="str">
        <f t="shared" si="394"/>
        <v>Población en control por sexo por región</v>
      </c>
      <c r="L379" s="9" t="str">
        <f t="shared" si="394"/>
        <v>Periodo 2011-2018</v>
      </c>
      <c r="M379" s="9" t="str">
        <f t="shared" si="394"/>
        <v>Número de Casos</v>
      </c>
      <c r="N379" s="9" t="str">
        <f t="shared" si="394"/>
        <v>Departamento de Estadísticas e Información de la Salud (DEIS) - Ministerio de Salud</v>
      </c>
      <c r="O379" s="20" t="str">
        <f>"Evolución de Población en Control en el Programa de VIH/SIDA según sexo en "&amp;Agencia[[#This Row],[territorio]]&amp;" durante el "&amp;Agencia[[#This Row],[temporalidad]]</f>
        <v>Evolución de Población en Control en el Programa de VIH/SIDA según sexo en Región Metropolitana durante el Periodo 2011-2018</v>
      </c>
      <c r="P379" s="20"/>
      <c r="Q379" s="11" t="str">
        <f t="shared" ref="Q379" si="395">+Q378</f>
        <v>Gráfico de Evolución</v>
      </c>
      <c r="R379" s="87" t="str">
        <f>Agencia[[#This Row],[territorio]]&amp;" VIH SIDA enfermedad transmisión sexual casos población control programa sexo hombre mujer"</f>
        <v>Región Metropolitana VIH SIDA enfermedad transmisión sexual casos población control programa sexo hombre mujer</v>
      </c>
      <c r="S379" s="39" t="str">
        <f>HYPERLINK("https://analytics.zoho.com/open-view/2395394000007991542?ZOHO_CRITERIA=%22Localiza%20CL%22.%22Codreg%22%20%3D%20"&amp;Agencia[[#This Row],[Filtro URL]])</f>
        <v>https://analytics.zoho.com/open-view/2395394000007991542?ZOHO_CRITERIA=%22Localiza%20CL%22.%22Codreg%22%20%3D%2013</v>
      </c>
      <c r="T379" s="68" t="str">
        <f>"200-R-"&amp;Agencia[[#This Row],[Filtro URL]]</f>
        <v>200-R-13</v>
      </c>
      <c r="U379" s="50" t="str">
        <f t="shared" si="365"/>
        <v>#1774B9</v>
      </c>
      <c r="V379" s="118" t="str">
        <f>+Agencia[[#This Row],[idcoleccion]]&amp;"-"&amp;Agencia[[#This Row],[id]]</f>
        <v>990-0368</v>
      </c>
      <c r="W379" s="118">
        <f>+VLOOKUP(Agencia[[#This Row],[Filtro URL]],Estructura!$X$4:$Y$500,2,0)</f>
        <v>99200013</v>
      </c>
      <c r="X379" s="118" t="str">
        <f>+VLOOKUP(Agencia[[#This Row],[tema]],Estructura!$A$4:$C$500,3,0)</f>
        <v>T-1000</v>
      </c>
      <c r="Y379" s="118" t="str">
        <f>+VLOOKUP(Agencia[[#This Row],[contenido]],Estructura!$E$4:$G$500,3,0)</f>
        <v>C-1010</v>
      </c>
      <c r="Z379" s="118" t="str">
        <f>+VLOOKUP(Agencia[[#This Row],[Filtro Integrado]],Estructura!$I$4:$K$500,3,0)</f>
        <v>FI-993</v>
      </c>
      <c r="AA379" s="118" t="str">
        <f>+VLOOKUP(Agencia[[#This Row],[Muestra]],Estructura!$M$4:$O$500,3,0)</f>
        <v>M-1027</v>
      </c>
    </row>
    <row r="380" spans="1:27" ht="57.6" x14ac:dyDescent="0.3">
      <c r="A380" s="21" t="s">
        <v>817</v>
      </c>
      <c r="B380" s="24">
        <f t="shared" ref="B380:D380" si="396">+B379</f>
        <v>990</v>
      </c>
      <c r="C380" s="25" t="str">
        <f t="shared" si="396"/>
        <v>Agencia Información</v>
      </c>
      <c r="D380" s="25" t="str">
        <f t="shared" si="396"/>
        <v>Salud</v>
      </c>
      <c r="E380" s="19">
        <v>14</v>
      </c>
      <c r="F380" s="10" t="s">
        <v>1021</v>
      </c>
      <c r="G380" s="26" t="s">
        <v>3784</v>
      </c>
      <c r="H380" s="35" t="s">
        <v>16</v>
      </c>
      <c r="I380" s="36" t="s">
        <v>381</v>
      </c>
      <c r="J380" s="9" t="str">
        <f t="shared" ref="J380:N380" si="397">+J379</f>
        <v>Ninguno</v>
      </c>
      <c r="K380" s="9" t="str">
        <f t="shared" si="397"/>
        <v>Población en control por sexo por región</v>
      </c>
      <c r="L380" s="9" t="str">
        <f t="shared" si="397"/>
        <v>Periodo 2011-2018</v>
      </c>
      <c r="M380" s="9" t="str">
        <f t="shared" si="397"/>
        <v>Número de Casos</v>
      </c>
      <c r="N380" s="9" t="str">
        <f t="shared" si="397"/>
        <v>Departamento de Estadísticas e Información de la Salud (DEIS) - Ministerio de Salud</v>
      </c>
      <c r="O380" s="20" t="str">
        <f>"Evolución de Población en Control en el Programa de VIH/SIDA según sexo en "&amp;Agencia[[#This Row],[territorio]]&amp;" durante el "&amp;Agencia[[#This Row],[temporalidad]]</f>
        <v>Evolución de Población en Control en el Programa de VIH/SIDA según sexo en Región de Los Ríos durante el Periodo 2011-2018</v>
      </c>
      <c r="P380" s="20"/>
      <c r="Q380" s="11" t="str">
        <f t="shared" ref="Q380" si="398">+Q379</f>
        <v>Gráfico de Evolución</v>
      </c>
      <c r="R380" s="87" t="str">
        <f>Agencia[[#This Row],[territorio]]&amp;" VIH SIDA enfermedad transmisión sexual casos población control programa sexo hombre mujer"</f>
        <v>Región de Los Ríos VIH SIDA enfermedad transmisión sexual casos población control programa sexo hombre mujer</v>
      </c>
      <c r="S380" s="39" t="str">
        <f>HYPERLINK("https://analytics.zoho.com/open-view/2395394000007991542?ZOHO_CRITERIA=%22Localiza%20CL%22.%22Codreg%22%20%3D%20"&amp;Agencia[[#This Row],[Filtro URL]])</f>
        <v>https://analytics.zoho.com/open-view/2395394000007991542?ZOHO_CRITERIA=%22Localiza%20CL%22.%22Codreg%22%20%3D%2014</v>
      </c>
      <c r="T380" s="68" t="str">
        <f>"100-R-"&amp;Agencia[[#This Row],[Filtro URL]]</f>
        <v>100-R-14</v>
      </c>
      <c r="U380" s="50" t="str">
        <f t="shared" si="365"/>
        <v>#1774B9</v>
      </c>
      <c r="V380" s="118" t="str">
        <f>+Agencia[[#This Row],[idcoleccion]]&amp;"-"&amp;Agencia[[#This Row],[id]]</f>
        <v>990-0369</v>
      </c>
      <c r="W380" s="118">
        <f>+VLOOKUP(Agencia[[#This Row],[Filtro URL]],Estructura!$X$4:$Y$500,2,0)</f>
        <v>99200014</v>
      </c>
      <c r="X380" s="118" t="str">
        <f>+VLOOKUP(Agencia[[#This Row],[tema]],Estructura!$A$4:$C$500,3,0)</f>
        <v>T-1000</v>
      </c>
      <c r="Y380" s="118" t="str">
        <f>+VLOOKUP(Agencia[[#This Row],[contenido]],Estructura!$E$4:$G$500,3,0)</f>
        <v>C-1010</v>
      </c>
      <c r="Z380" s="118" t="str">
        <f>+VLOOKUP(Agencia[[#This Row],[Filtro Integrado]],Estructura!$I$4:$K$500,3,0)</f>
        <v>FI-993</v>
      </c>
      <c r="AA380" s="118" t="str">
        <f>+VLOOKUP(Agencia[[#This Row],[Muestra]],Estructura!$M$4:$O$500,3,0)</f>
        <v>M-1027</v>
      </c>
    </row>
    <row r="381" spans="1:27" ht="57.6" x14ac:dyDescent="0.3">
      <c r="A381" s="21" t="s">
        <v>852</v>
      </c>
      <c r="B381" s="24">
        <f t="shared" ref="B381:D381" si="399">+B380</f>
        <v>990</v>
      </c>
      <c r="C381" s="25" t="str">
        <f t="shared" si="399"/>
        <v>Agencia Información</v>
      </c>
      <c r="D381" s="25" t="str">
        <f t="shared" si="399"/>
        <v>Salud</v>
      </c>
      <c r="E381" s="19">
        <v>15</v>
      </c>
      <c r="F381" s="10" t="s">
        <v>1021</v>
      </c>
      <c r="G381" s="26" t="s">
        <v>3784</v>
      </c>
      <c r="H381" s="35" t="s">
        <v>16</v>
      </c>
      <c r="I381" s="36" t="s">
        <v>382</v>
      </c>
      <c r="J381" s="9" t="str">
        <f t="shared" ref="J381:N381" si="400">+J380</f>
        <v>Ninguno</v>
      </c>
      <c r="K381" s="9" t="str">
        <f t="shared" si="400"/>
        <v>Población en control por sexo por región</v>
      </c>
      <c r="L381" s="9" t="str">
        <f t="shared" si="400"/>
        <v>Periodo 2011-2018</v>
      </c>
      <c r="M381" s="9" t="str">
        <f t="shared" si="400"/>
        <v>Número de Casos</v>
      </c>
      <c r="N381" s="9" t="str">
        <f t="shared" si="400"/>
        <v>Departamento de Estadísticas e Información de la Salud (DEIS) - Ministerio de Salud</v>
      </c>
      <c r="O381" s="20" t="str">
        <f>"Evolución de Población en Control en el Programa de VIH/SIDA según sexo en "&amp;Agencia[[#This Row],[territorio]]&amp;" durante el "&amp;Agencia[[#This Row],[temporalidad]]</f>
        <v>Evolución de Población en Control en el Programa de VIH/SIDA según sexo en Región de Arica y Parinacota durante el Periodo 2011-2018</v>
      </c>
      <c r="P381" s="20"/>
      <c r="Q381" s="11" t="str">
        <f t="shared" ref="Q381" si="401">+Q380</f>
        <v>Gráfico de Evolución</v>
      </c>
      <c r="R381" s="87" t="str">
        <f>Agencia[[#This Row],[territorio]]&amp;" VIH SIDA enfermedad transmisión sexual casos población control programa sexo hombre mujer"</f>
        <v>Región de Arica y Parinacota VIH SIDA enfermedad transmisión sexual casos población control programa sexo hombre mujer</v>
      </c>
      <c r="S381" s="39" t="str">
        <f>HYPERLINK("https://analytics.zoho.com/open-view/2395394000007991542?ZOHO_CRITERIA=%22Localiza%20CL%22.%22Codreg%22%20%3D%20"&amp;Agencia[[#This Row],[Filtro URL]])</f>
        <v>https://analytics.zoho.com/open-view/2395394000007991542?ZOHO_CRITERIA=%22Localiza%20CL%22.%22Codreg%22%20%3D%2015</v>
      </c>
      <c r="T381" s="68" t="str">
        <f>"100-R-"&amp;Agencia[[#This Row],[Filtro URL]]</f>
        <v>100-R-15</v>
      </c>
      <c r="U381" s="50" t="str">
        <f t="shared" si="365"/>
        <v>#1774B9</v>
      </c>
      <c r="V381" s="118" t="str">
        <f>+Agencia[[#This Row],[idcoleccion]]&amp;"-"&amp;Agencia[[#This Row],[id]]</f>
        <v>990-0370</v>
      </c>
      <c r="W381" s="118">
        <f>+VLOOKUP(Agencia[[#This Row],[Filtro URL]],Estructura!$X$4:$Y$500,2,0)</f>
        <v>99200015</v>
      </c>
      <c r="X381" s="118" t="str">
        <f>+VLOOKUP(Agencia[[#This Row],[tema]],Estructura!$A$4:$C$500,3,0)</f>
        <v>T-1000</v>
      </c>
      <c r="Y381" s="118" t="str">
        <f>+VLOOKUP(Agencia[[#This Row],[contenido]],Estructura!$E$4:$G$500,3,0)</f>
        <v>C-1010</v>
      </c>
      <c r="Z381" s="118" t="str">
        <f>+VLOOKUP(Agencia[[#This Row],[Filtro Integrado]],Estructura!$I$4:$K$500,3,0)</f>
        <v>FI-993</v>
      </c>
      <c r="AA381" s="118" t="str">
        <f>+VLOOKUP(Agencia[[#This Row],[Muestra]],Estructura!$M$4:$O$500,3,0)</f>
        <v>M-1027</v>
      </c>
    </row>
    <row r="382" spans="1:27" ht="57.6" x14ac:dyDescent="0.3">
      <c r="A382" s="21" t="s">
        <v>937</v>
      </c>
      <c r="B382" s="24">
        <f t="shared" ref="B382:D382" si="402">+B381</f>
        <v>990</v>
      </c>
      <c r="C382" s="25" t="str">
        <f t="shared" si="402"/>
        <v>Agencia Información</v>
      </c>
      <c r="D382" s="25" t="str">
        <f t="shared" si="402"/>
        <v>Salud</v>
      </c>
      <c r="E382" s="19">
        <v>16</v>
      </c>
      <c r="F382" s="10" t="s">
        <v>1021</v>
      </c>
      <c r="G382" s="26" t="s">
        <v>3784</v>
      </c>
      <c r="H382" s="35" t="s">
        <v>16</v>
      </c>
      <c r="I382" s="36" t="s">
        <v>383</v>
      </c>
      <c r="J382" s="9" t="str">
        <f t="shared" ref="J382:N382" si="403">+J381</f>
        <v>Ninguno</v>
      </c>
      <c r="K382" s="9" t="str">
        <f t="shared" si="403"/>
        <v>Población en control por sexo por región</v>
      </c>
      <c r="L382" s="9" t="str">
        <f t="shared" si="403"/>
        <v>Periodo 2011-2018</v>
      </c>
      <c r="M382" s="9" t="str">
        <f t="shared" si="403"/>
        <v>Número de Casos</v>
      </c>
      <c r="N382" s="9" t="str">
        <f t="shared" si="403"/>
        <v>Departamento de Estadísticas e Información de la Salud (DEIS) - Ministerio de Salud</v>
      </c>
      <c r="O382" s="20" t="str">
        <f>"Evolución de Población en Control en el Programa de VIH/SIDA según sexo en "&amp;Agencia[[#This Row],[territorio]]&amp;" durante el "&amp;Agencia[[#This Row],[temporalidad]]</f>
        <v>Evolución de Población en Control en el Programa de VIH/SIDA según sexo en Región de Ñuble durante el Periodo 2011-2018</v>
      </c>
      <c r="P382" s="20"/>
      <c r="Q382" s="11" t="str">
        <f t="shared" ref="Q382" si="404">+Q381</f>
        <v>Gráfico de Evolución</v>
      </c>
      <c r="R382" s="87" t="str">
        <f>Agencia[[#This Row],[territorio]]&amp;" VIH SIDA enfermedad transmisión sexual casos población control programa sexo hombre mujer"</f>
        <v>Región de Ñuble VIH SIDA enfermedad transmisión sexual casos población control programa sexo hombre mujer</v>
      </c>
      <c r="S382" s="39" t="str">
        <f>HYPERLINK("https://analytics.zoho.com/open-view/2395394000007991542?ZOHO_CRITERIA=%22Localiza%20CL%22.%22Codreg%22%20%3D%20"&amp;Agencia[[#This Row],[Filtro URL]])</f>
        <v>https://analytics.zoho.com/open-view/2395394000007991542?ZOHO_CRITERIA=%22Localiza%20CL%22.%22Codreg%22%20%3D%2016</v>
      </c>
      <c r="T382" s="68" t="str">
        <f>"100-R-"&amp;Agencia[[#This Row],[Filtro URL]]</f>
        <v>100-R-16</v>
      </c>
      <c r="U382" s="50" t="str">
        <f t="shared" si="365"/>
        <v>#1774B9</v>
      </c>
      <c r="V382" s="118" t="str">
        <f>+Agencia[[#This Row],[idcoleccion]]&amp;"-"&amp;Agencia[[#This Row],[id]]</f>
        <v>990-0371</v>
      </c>
      <c r="W382" s="118">
        <f>+VLOOKUP(Agencia[[#This Row],[Filtro URL]],Estructura!$X$4:$Y$500,2,0)</f>
        <v>99200016</v>
      </c>
      <c r="X382" s="118" t="str">
        <f>+VLOOKUP(Agencia[[#This Row],[tema]],Estructura!$A$4:$C$500,3,0)</f>
        <v>T-1000</v>
      </c>
      <c r="Y382" s="118" t="str">
        <f>+VLOOKUP(Agencia[[#This Row],[contenido]],Estructura!$E$4:$G$500,3,0)</f>
        <v>C-1010</v>
      </c>
      <c r="Z382" s="118" t="str">
        <f>+VLOOKUP(Agencia[[#This Row],[Filtro Integrado]],Estructura!$I$4:$K$500,3,0)</f>
        <v>FI-993</v>
      </c>
      <c r="AA382" s="118" t="str">
        <f>+VLOOKUP(Agencia[[#This Row],[Muestra]],Estructura!$M$4:$O$500,3,0)</f>
        <v>M-1027</v>
      </c>
    </row>
    <row r="383" spans="1:27" ht="122.4" x14ac:dyDescent="0.3">
      <c r="A383" s="21" t="s">
        <v>938</v>
      </c>
      <c r="B383" s="24">
        <f t="shared" ref="B383:C383" si="405">+B382</f>
        <v>990</v>
      </c>
      <c r="C383" s="25" t="str">
        <f t="shared" si="405"/>
        <v>Agencia Información</v>
      </c>
      <c r="D383" s="25" t="s">
        <v>1030</v>
      </c>
      <c r="E383" s="14">
        <v>0</v>
      </c>
      <c r="F383" s="10" t="s">
        <v>1028</v>
      </c>
      <c r="G383" s="26" t="s">
        <v>1029</v>
      </c>
      <c r="H383" s="33" t="s">
        <v>20</v>
      </c>
      <c r="I383" s="34" t="s">
        <v>15</v>
      </c>
      <c r="J383" s="9" t="s">
        <v>404</v>
      </c>
      <c r="K383" s="9" t="s">
        <v>1031</v>
      </c>
      <c r="L383" s="40" t="s">
        <v>472</v>
      </c>
      <c r="M383" s="9" t="s">
        <v>1027</v>
      </c>
      <c r="N383" s="9" t="s">
        <v>1026</v>
      </c>
      <c r="O383" s="32" t="str">
        <f>"Cantidad de comunas por región según grado de vulnerabilidad al cambio climático, "&amp;Agencia[[#This Row],[temporalidad]]</f>
        <v>Cantidad de comunas por región según grado de vulnerabilidad al cambio climático, POR DEFINIR</v>
      </c>
      <c r="P383" s="20" t="s">
        <v>1025</v>
      </c>
      <c r="Q383" s="11" t="s">
        <v>584</v>
      </c>
      <c r="R383" s="20" t="str">
        <f>Agencia[[#This Row],[territorio]]&amp;" cambio climático vulnerabilidad índice cantidad comunas"</f>
        <v>Chile cambio climático vulnerabilidad índice cantidad comunas</v>
      </c>
      <c r="S383" s="39" t="s">
        <v>1024</v>
      </c>
      <c r="T383" s="68" t="s">
        <v>855</v>
      </c>
      <c r="U383" s="50" t="str">
        <f t="shared" si="365"/>
        <v>#1774B9</v>
      </c>
      <c r="V383" s="118" t="str">
        <f>+Agencia[[#This Row],[idcoleccion]]&amp;"-"&amp;Agencia[[#This Row],[id]]</f>
        <v>990-0372</v>
      </c>
      <c r="W383" s="118">
        <f>+VLOOKUP(Agencia[[#This Row],[Filtro URL]],Estructura!$X$4:$Y$500,2,0)</f>
        <v>99100000</v>
      </c>
      <c r="X383" s="118" t="str">
        <f>+VLOOKUP(Agencia[[#This Row],[tema]],Estructura!$A$4:$C$500,3,0)</f>
        <v>T-1001</v>
      </c>
      <c r="Y383" s="118" t="str">
        <f>+VLOOKUP(Agencia[[#This Row],[contenido]],Estructura!$E$4:$G$500,3,0)</f>
        <v>C-992</v>
      </c>
      <c r="Z383" s="118" t="str">
        <f>+VLOOKUP(Agencia[[#This Row],[Filtro Integrado]],Estructura!$I$4:$K$500,3,0)</f>
        <v>FI-993</v>
      </c>
      <c r="AA383" s="118" t="str">
        <f>+VLOOKUP(Agencia[[#This Row],[Muestra]],Estructura!$M$4:$O$500,3,0)</f>
        <v>M-1028</v>
      </c>
    </row>
    <row r="384" spans="1:27" ht="48" x14ac:dyDescent="0.3">
      <c r="A384" s="21" t="s">
        <v>939</v>
      </c>
      <c r="B384" s="24">
        <f t="shared" ref="B384:C384" si="406">+B383</f>
        <v>990</v>
      </c>
      <c r="C384" s="25" t="str">
        <f t="shared" si="406"/>
        <v>Agencia Información</v>
      </c>
      <c r="D384" s="25" t="str">
        <f t="shared" ref="B384:D385" si="407">+D383</f>
        <v>Medio Ambiente</v>
      </c>
      <c r="E384" s="19">
        <v>1</v>
      </c>
      <c r="F384" s="10" t="s">
        <v>1028</v>
      </c>
      <c r="G384" s="26" t="s">
        <v>1029</v>
      </c>
      <c r="H384" s="35" t="s">
        <v>16</v>
      </c>
      <c r="I384" s="36" t="s">
        <v>368</v>
      </c>
      <c r="J384" s="9" t="str">
        <f t="shared" ref="J384:N384" si="408">+J383</f>
        <v>Ninguno</v>
      </c>
      <c r="K384" s="9" t="str">
        <f t="shared" si="408"/>
        <v>Cantidad de comunas según grado por región</v>
      </c>
      <c r="L384" s="40" t="str">
        <f t="shared" si="408"/>
        <v>POR DEFINIR</v>
      </c>
      <c r="M384" s="9" t="str">
        <f t="shared" si="408"/>
        <v>Número de comunas</v>
      </c>
      <c r="N384" s="9" t="str">
        <f t="shared" si="408"/>
        <v>Elaboración propia con datos de CONAF/SUD-Austral, CASEN, CENSO 2017.</v>
      </c>
      <c r="O384" s="32" t="str">
        <f>"Cantidad de comunas según grado de vulnerabilidad al cambio climático, "&amp;Agencia[[#This Row],[territorio]]&amp;", "&amp;Agencia[[#This Row],[temporalidad]]</f>
        <v>Cantidad de comunas según grado de vulnerabilidad al cambio climático, Región de Tarapacá, POR DEFINIR</v>
      </c>
      <c r="P384" s="20"/>
      <c r="Q384" s="11" t="str">
        <f t="shared" ref="Q384" si="409">+Q383</f>
        <v>Gráfico</v>
      </c>
      <c r="R384" s="87" t="str">
        <f>Agencia[[#This Row],[territorio]]&amp;" cambio climático vulnerabilidad índice cantidad comunas"</f>
        <v>Región de Tarapacá cambio climático vulnerabilidad índice cantidad comunas</v>
      </c>
      <c r="S384" s="22" t="s">
        <v>423</v>
      </c>
      <c r="T384" s="68" t="str">
        <f>"100-R-"&amp;Agencia[[#This Row],[Filtro URL]]</f>
        <v>100-R-1</v>
      </c>
      <c r="U384" s="50" t="str">
        <f t="shared" si="365"/>
        <v>#1774B9</v>
      </c>
      <c r="V384" s="118" t="str">
        <f>+Agencia[[#This Row],[idcoleccion]]&amp;"-"&amp;Agencia[[#This Row],[id]]</f>
        <v>990-0373</v>
      </c>
      <c r="W384" s="118">
        <f>+VLOOKUP(Agencia[[#This Row],[Filtro URL]],Estructura!$X$4:$Y$500,2,0)</f>
        <v>99200001</v>
      </c>
      <c r="X384" s="118" t="str">
        <f>+VLOOKUP(Agencia[[#This Row],[tema]],Estructura!$A$4:$C$500,3,0)</f>
        <v>T-1001</v>
      </c>
      <c r="Y384" s="118" t="str">
        <f>+VLOOKUP(Agencia[[#This Row],[contenido]],Estructura!$E$4:$G$500,3,0)</f>
        <v>C-992</v>
      </c>
      <c r="Z384" s="118" t="str">
        <f>+VLOOKUP(Agencia[[#This Row],[Filtro Integrado]],Estructura!$I$4:$K$500,3,0)</f>
        <v>FI-993</v>
      </c>
      <c r="AA384" s="118" t="str">
        <f>+VLOOKUP(Agencia[[#This Row],[Muestra]],Estructura!$M$4:$O$500,3,0)</f>
        <v>M-1028</v>
      </c>
    </row>
    <row r="385" spans="1:27" ht="48" x14ac:dyDescent="0.3">
      <c r="A385" s="21" t="s">
        <v>940</v>
      </c>
      <c r="B385" s="24">
        <f t="shared" si="407"/>
        <v>990</v>
      </c>
      <c r="C385" s="25" t="str">
        <f t="shared" si="407"/>
        <v>Agencia Información</v>
      </c>
      <c r="D385" s="25" t="str">
        <f t="shared" si="407"/>
        <v>Medio Ambiente</v>
      </c>
      <c r="E385" s="19">
        <v>2</v>
      </c>
      <c r="F385" s="10" t="s">
        <v>1028</v>
      </c>
      <c r="G385" s="26" t="s">
        <v>1029</v>
      </c>
      <c r="H385" s="35" t="s">
        <v>16</v>
      </c>
      <c r="I385" s="36" t="s">
        <v>369</v>
      </c>
      <c r="J385" s="9" t="str">
        <f t="shared" ref="J385:N385" si="410">+J384</f>
        <v>Ninguno</v>
      </c>
      <c r="K385" s="9" t="str">
        <f t="shared" si="410"/>
        <v>Cantidad de comunas según grado por región</v>
      </c>
      <c r="L385" s="40" t="str">
        <f t="shared" si="410"/>
        <v>POR DEFINIR</v>
      </c>
      <c r="M385" s="9" t="str">
        <f t="shared" si="410"/>
        <v>Número de comunas</v>
      </c>
      <c r="N385" s="9" t="str">
        <f t="shared" si="410"/>
        <v>Elaboración propia con datos de CONAF/SUD-Austral, CASEN, CENSO 2017.</v>
      </c>
      <c r="O385" s="32" t="str">
        <f>"Cantidad de comunas según grado de vulnerabilidad al cambio climático, "&amp;Agencia[[#This Row],[territorio]]&amp;", "&amp;Agencia[[#This Row],[temporalidad]]</f>
        <v>Cantidad de comunas según grado de vulnerabilidad al cambio climático, Región de Antofagasta, POR DEFINIR</v>
      </c>
      <c r="P385" s="20"/>
      <c r="Q385" s="11" t="str">
        <f t="shared" ref="Q385" si="411">+Q384</f>
        <v>Gráfico</v>
      </c>
      <c r="R385" s="87" t="str">
        <f>Agencia[[#This Row],[territorio]]&amp;" cambio climático vulnerabilidad índice cantidad comunas"</f>
        <v>Región de Antofagasta cambio climático vulnerabilidad índice cantidad comunas</v>
      </c>
      <c r="S385" s="22" t="s">
        <v>423</v>
      </c>
      <c r="T385" s="68" t="str">
        <f>"100-R-"&amp;Agencia[[#This Row],[Filtro URL]]</f>
        <v>100-R-2</v>
      </c>
      <c r="U385" s="50" t="str">
        <f t="shared" si="365"/>
        <v>#1774B9</v>
      </c>
      <c r="V385" s="118" t="str">
        <f>+Agencia[[#This Row],[idcoleccion]]&amp;"-"&amp;Agencia[[#This Row],[id]]</f>
        <v>990-0374</v>
      </c>
      <c r="W385" s="118">
        <f>+VLOOKUP(Agencia[[#This Row],[Filtro URL]],Estructura!$X$4:$Y$500,2,0)</f>
        <v>99200002</v>
      </c>
      <c r="X385" s="118" t="str">
        <f>+VLOOKUP(Agencia[[#This Row],[tema]],Estructura!$A$4:$C$500,3,0)</f>
        <v>T-1001</v>
      </c>
      <c r="Y385" s="118" t="str">
        <f>+VLOOKUP(Agencia[[#This Row],[contenido]],Estructura!$E$4:$G$500,3,0)</f>
        <v>C-992</v>
      </c>
      <c r="Z385" s="118" t="str">
        <f>+VLOOKUP(Agencia[[#This Row],[Filtro Integrado]],Estructura!$I$4:$K$500,3,0)</f>
        <v>FI-993</v>
      </c>
      <c r="AA385" s="118" t="str">
        <f>+VLOOKUP(Agencia[[#This Row],[Muestra]],Estructura!$M$4:$O$500,3,0)</f>
        <v>M-1028</v>
      </c>
    </row>
    <row r="386" spans="1:27" ht="48" x14ac:dyDescent="0.3">
      <c r="A386" s="21" t="s">
        <v>941</v>
      </c>
      <c r="B386" s="24">
        <f t="shared" ref="B386:D386" si="412">+B385</f>
        <v>990</v>
      </c>
      <c r="C386" s="25" t="str">
        <f t="shared" si="412"/>
        <v>Agencia Información</v>
      </c>
      <c r="D386" s="25" t="str">
        <f t="shared" si="412"/>
        <v>Medio Ambiente</v>
      </c>
      <c r="E386" s="19">
        <v>3</v>
      </c>
      <c r="F386" s="10" t="s">
        <v>1028</v>
      </c>
      <c r="G386" s="26" t="s">
        <v>1029</v>
      </c>
      <c r="H386" s="35" t="s">
        <v>16</v>
      </c>
      <c r="I386" s="36" t="s">
        <v>370</v>
      </c>
      <c r="J386" s="9" t="str">
        <f t="shared" ref="J386:N386" si="413">+J385</f>
        <v>Ninguno</v>
      </c>
      <c r="K386" s="9" t="str">
        <f t="shared" si="413"/>
        <v>Cantidad de comunas según grado por región</v>
      </c>
      <c r="L386" s="40" t="str">
        <f t="shared" si="413"/>
        <v>POR DEFINIR</v>
      </c>
      <c r="M386" s="9" t="str">
        <f t="shared" si="413"/>
        <v>Número de comunas</v>
      </c>
      <c r="N386" s="9" t="str">
        <f t="shared" si="413"/>
        <v>Elaboración propia con datos de CONAF/SUD-Austral, CASEN, CENSO 2017.</v>
      </c>
      <c r="O386" s="32" t="str">
        <f>"Cantidad de comunas según grado de vulnerabilidad al cambio climático, "&amp;Agencia[[#This Row],[territorio]]&amp;", "&amp;Agencia[[#This Row],[temporalidad]]</f>
        <v>Cantidad de comunas según grado de vulnerabilidad al cambio climático, Región de Atacama, POR DEFINIR</v>
      </c>
      <c r="P386" s="20"/>
      <c r="Q386" s="11" t="str">
        <f t="shared" ref="Q386" si="414">+Q385</f>
        <v>Gráfico</v>
      </c>
      <c r="R386" s="87" t="str">
        <f>Agencia[[#This Row],[territorio]]&amp;" cambio climático vulnerabilidad índice cantidad comunas"</f>
        <v>Región de Atacama cambio climático vulnerabilidad índice cantidad comunas</v>
      </c>
      <c r="S386" s="22" t="s">
        <v>423</v>
      </c>
      <c r="T386" s="68" t="str">
        <f>"100-R-"&amp;Agencia[[#This Row],[Filtro URL]]</f>
        <v>100-R-3</v>
      </c>
      <c r="U386" s="50" t="str">
        <f t="shared" si="365"/>
        <v>#1774B9</v>
      </c>
      <c r="V386" s="118" t="str">
        <f>+Agencia[[#This Row],[idcoleccion]]&amp;"-"&amp;Agencia[[#This Row],[id]]</f>
        <v>990-0375</v>
      </c>
      <c r="W386" s="118">
        <f>+VLOOKUP(Agencia[[#This Row],[Filtro URL]],Estructura!$X$4:$Y$500,2,0)</f>
        <v>99200003</v>
      </c>
      <c r="X386" s="118" t="str">
        <f>+VLOOKUP(Agencia[[#This Row],[tema]],Estructura!$A$4:$C$500,3,0)</f>
        <v>T-1001</v>
      </c>
      <c r="Y386" s="118" t="str">
        <f>+VLOOKUP(Agencia[[#This Row],[contenido]],Estructura!$E$4:$G$500,3,0)</f>
        <v>C-992</v>
      </c>
      <c r="Z386" s="118" t="str">
        <f>+VLOOKUP(Agencia[[#This Row],[Filtro Integrado]],Estructura!$I$4:$K$500,3,0)</f>
        <v>FI-993</v>
      </c>
      <c r="AA386" s="118" t="str">
        <f>+VLOOKUP(Agencia[[#This Row],[Muestra]],Estructura!$M$4:$O$500,3,0)</f>
        <v>M-1028</v>
      </c>
    </row>
    <row r="387" spans="1:27" ht="48" x14ac:dyDescent="0.3">
      <c r="A387" s="21" t="s">
        <v>942</v>
      </c>
      <c r="B387" s="24">
        <f t="shared" ref="B387:D387" si="415">+B386</f>
        <v>990</v>
      </c>
      <c r="C387" s="25" t="str">
        <f t="shared" si="415"/>
        <v>Agencia Información</v>
      </c>
      <c r="D387" s="25" t="str">
        <f t="shared" si="415"/>
        <v>Medio Ambiente</v>
      </c>
      <c r="E387" s="19">
        <v>4</v>
      </c>
      <c r="F387" s="10" t="s">
        <v>1028</v>
      </c>
      <c r="G387" s="26" t="s">
        <v>1029</v>
      </c>
      <c r="H387" s="35" t="s">
        <v>16</v>
      </c>
      <c r="I387" s="36" t="s">
        <v>371</v>
      </c>
      <c r="J387" s="9" t="str">
        <f t="shared" ref="J387:N387" si="416">+J386</f>
        <v>Ninguno</v>
      </c>
      <c r="K387" s="9" t="str">
        <f t="shared" si="416"/>
        <v>Cantidad de comunas según grado por región</v>
      </c>
      <c r="L387" s="40" t="str">
        <f t="shared" si="416"/>
        <v>POR DEFINIR</v>
      </c>
      <c r="M387" s="9" t="str">
        <f t="shared" si="416"/>
        <v>Número de comunas</v>
      </c>
      <c r="N387" s="9" t="str">
        <f t="shared" si="416"/>
        <v>Elaboración propia con datos de CONAF/SUD-Austral, CASEN, CENSO 2017.</v>
      </c>
      <c r="O387" s="32" t="str">
        <f>"Cantidad de comunas según grado de vulnerabilidad al cambio climático, "&amp;Agencia[[#This Row],[territorio]]&amp;", "&amp;Agencia[[#This Row],[temporalidad]]</f>
        <v>Cantidad de comunas según grado de vulnerabilidad al cambio climático, Región de Coquimbo, POR DEFINIR</v>
      </c>
      <c r="P387" s="20"/>
      <c r="Q387" s="11" t="str">
        <f t="shared" ref="Q387" si="417">+Q386</f>
        <v>Gráfico</v>
      </c>
      <c r="R387" s="87" t="str">
        <f>Agencia[[#This Row],[territorio]]&amp;" cambio climático vulnerabilidad índice cantidad comunas"</f>
        <v>Región de Coquimbo cambio climático vulnerabilidad índice cantidad comunas</v>
      </c>
      <c r="S387" s="22" t="s">
        <v>423</v>
      </c>
      <c r="T387" s="68" t="str">
        <f>"100-R-"&amp;Agencia[[#This Row],[Filtro URL]]</f>
        <v>100-R-4</v>
      </c>
      <c r="U387" s="50" t="str">
        <f t="shared" si="365"/>
        <v>#1774B9</v>
      </c>
      <c r="V387" s="118" t="str">
        <f>+Agencia[[#This Row],[idcoleccion]]&amp;"-"&amp;Agencia[[#This Row],[id]]</f>
        <v>990-0376</v>
      </c>
      <c r="W387" s="118">
        <f>+VLOOKUP(Agencia[[#This Row],[Filtro URL]],Estructura!$X$4:$Y$500,2,0)</f>
        <v>99200004</v>
      </c>
      <c r="X387" s="118" t="str">
        <f>+VLOOKUP(Agencia[[#This Row],[tema]],Estructura!$A$4:$C$500,3,0)</f>
        <v>T-1001</v>
      </c>
      <c r="Y387" s="118" t="str">
        <f>+VLOOKUP(Agencia[[#This Row],[contenido]],Estructura!$E$4:$G$500,3,0)</f>
        <v>C-992</v>
      </c>
      <c r="Z387" s="118" t="str">
        <f>+VLOOKUP(Agencia[[#This Row],[Filtro Integrado]],Estructura!$I$4:$K$500,3,0)</f>
        <v>FI-993</v>
      </c>
      <c r="AA387" s="118" t="str">
        <f>+VLOOKUP(Agencia[[#This Row],[Muestra]],Estructura!$M$4:$O$500,3,0)</f>
        <v>M-1028</v>
      </c>
    </row>
    <row r="388" spans="1:27" ht="48" x14ac:dyDescent="0.3">
      <c r="A388" s="21" t="s">
        <v>943</v>
      </c>
      <c r="B388" s="24">
        <f t="shared" ref="B388:D388" si="418">+B387</f>
        <v>990</v>
      </c>
      <c r="C388" s="25" t="str">
        <f t="shared" si="418"/>
        <v>Agencia Información</v>
      </c>
      <c r="D388" s="25" t="str">
        <f t="shared" si="418"/>
        <v>Medio Ambiente</v>
      </c>
      <c r="E388" s="19">
        <v>5</v>
      </c>
      <c r="F388" s="10" t="s">
        <v>1028</v>
      </c>
      <c r="G388" s="26" t="s">
        <v>1029</v>
      </c>
      <c r="H388" s="35" t="s">
        <v>16</v>
      </c>
      <c r="I388" s="36" t="s">
        <v>372</v>
      </c>
      <c r="J388" s="9" t="str">
        <f t="shared" ref="J388:N388" si="419">+J387</f>
        <v>Ninguno</v>
      </c>
      <c r="K388" s="9" t="str">
        <f t="shared" si="419"/>
        <v>Cantidad de comunas según grado por región</v>
      </c>
      <c r="L388" s="40" t="str">
        <f t="shared" si="419"/>
        <v>POR DEFINIR</v>
      </c>
      <c r="M388" s="9" t="str">
        <f t="shared" si="419"/>
        <v>Número de comunas</v>
      </c>
      <c r="N388" s="9" t="str">
        <f t="shared" si="419"/>
        <v>Elaboración propia con datos de CONAF/SUD-Austral, CASEN, CENSO 2017.</v>
      </c>
      <c r="O388" s="32" t="str">
        <f>"Cantidad de comunas según grado de vulnerabilidad al cambio climático, "&amp;Agencia[[#This Row],[territorio]]&amp;", "&amp;Agencia[[#This Row],[temporalidad]]</f>
        <v>Cantidad de comunas según grado de vulnerabilidad al cambio climático, Región de Valparaíso, POR DEFINIR</v>
      </c>
      <c r="P388" s="20"/>
      <c r="Q388" s="11" t="str">
        <f t="shared" ref="Q388" si="420">+Q387</f>
        <v>Gráfico</v>
      </c>
      <c r="R388" s="87" t="str">
        <f>Agencia[[#This Row],[territorio]]&amp;" cambio climático vulnerabilidad índice cantidad comunas"</f>
        <v>Región de Valparaíso cambio climático vulnerabilidad índice cantidad comunas</v>
      </c>
      <c r="S388" s="22" t="s">
        <v>423</v>
      </c>
      <c r="T388" s="68" t="str">
        <f>"100-R-"&amp;Agencia[[#This Row],[Filtro URL]]</f>
        <v>100-R-5</v>
      </c>
      <c r="U388" s="50" t="str">
        <f t="shared" si="365"/>
        <v>#1774B9</v>
      </c>
      <c r="V388" s="118" t="str">
        <f>+Agencia[[#This Row],[idcoleccion]]&amp;"-"&amp;Agencia[[#This Row],[id]]</f>
        <v>990-0377</v>
      </c>
      <c r="W388" s="118">
        <f>+VLOOKUP(Agencia[[#This Row],[Filtro URL]],Estructura!$X$4:$Y$500,2,0)</f>
        <v>99200005</v>
      </c>
      <c r="X388" s="118" t="str">
        <f>+VLOOKUP(Agencia[[#This Row],[tema]],Estructura!$A$4:$C$500,3,0)</f>
        <v>T-1001</v>
      </c>
      <c r="Y388" s="118" t="str">
        <f>+VLOOKUP(Agencia[[#This Row],[contenido]],Estructura!$E$4:$G$500,3,0)</f>
        <v>C-992</v>
      </c>
      <c r="Z388" s="118" t="str">
        <f>+VLOOKUP(Agencia[[#This Row],[Filtro Integrado]],Estructura!$I$4:$K$500,3,0)</f>
        <v>FI-993</v>
      </c>
      <c r="AA388" s="118" t="str">
        <f>+VLOOKUP(Agencia[[#This Row],[Muestra]],Estructura!$M$4:$O$500,3,0)</f>
        <v>M-1028</v>
      </c>
    </row>
    <row r="389" spans="1:27" ht="48" x14ac:dyDescent="0.3">
      <c r="A389" s="21" t="s">
        <v>944</v>
      </c>
      <c r="B389" s="24">
        <f t="shared" ref="B389:D389" si="421">+B388</f>
        <v>990</v>
      </c>
      <c r="C389" s="25" t="str">
        <f t="shared" si="421"/>
        <v>Agencia Información</v>
      </c>
      <c r="D389" s="25" t="str">
        <f t="shared" si="421"/>
        <v>Medio Ambiente</v>
      </c>
      <c r="E389" s="19">
        <v>6</v>
      </c>
      <c r="F389" s="10" t="s">
        <v>1028</v>
      </c>
      <c r="G389" s="26" t="s">
        <v>1029</v>
      </c>
      <c r="H389" s="35" t="s">
        <v>16</v>
      </c>
      <c r="I389" s="36" t="s">
        <v>373</v>
      </c>
      <c r="J389" s="9" t="str">
        <f t="shared" ref="J389:N389" si="422">+J388</f>
        <v>Ninguno</v>
      </c>
      <c r="K389" s="9" t="str">
        <f t="shared" si="422"/>
        <v>Cantidad de comunas según grado por región</v>
      </c>
      <c r="L389" s="40" t="str">
        <f t="shared" si="422"/>
        <v>POR DEFINIR</v>
      </c>
      <c r="M389" s="9" t="str">
        <f t="shared" si="422"/>
        <v>Número de comunas</v>
      </c>
      <c r="N389" s="9" t="str">
        <f t="shared" si="422"/>
        <v>Elaboración propia con datos de CONAF/SUD-Austral, CASEN, CENSO 2017.</v>
      </c>
      <c r="O389" s="32" t="str">
        <f>"Cantidad de comunas según grado de vulnerabilidad al cambio climático, "&amp;Agencia[[#This Row],[territorio]]&amp;", "&amp;Agencia[[#This Row],[temporalidad]]</f>
        <v>Cantidad de comunas según grado de vulnerabilidad al cambio climático, Región de O'Higgins, POR DEFINIR</v>
      </c>
      <c r="P389" s="20"/>
      <c r="Q389" s="11" t="str">
        <f t="shared" ref="Q389" si="423">+Q388</f>
        <v>Gráfico</v>
      </c>
      <c r="R389" s="87" t="str">
        <f>Agencia[[#This Row],[territorio]]&amp;" cambio climático vulnerabilidad índice cantidad comunas"</f>
        <v>Región de O'Higgins cambio climático vulnerabilidad índice cantidad comunas</v>
      </c>
      <c r="S389" s="22" t="s">
        <v>423</v>
      </c>
      <c r="T389" s="68" t="str">
        <f>"100-R-"&amp;Agencia[[#This Row],[Filtro URL]]</f>
        <v>100-R-6</v>
      </c>
      <c r="U389" s="50" t="str">
        <f t="shared" si="365"/>
        <v>#1774B9</v>
      </c>
      <c r="V389" s="118" t="str">
        <f>+Agencia[[#This Row],[idcoleccion]]&amp;"-"&amp;Agencia[[#This Row],[id]]</f>
        <v>990-0378</v>
      </c>
      <c r="W389" s="118">
        <f>+VLOOKUP(Agencia[[#This Row],[Filtro URL]],Estructura!$X$4:$Y$500,2,0)</f>
        <v>99200006</v>
      </c>
      <c r="X389" s="118" t="str">
        <f>+VLOOKUP(Agencia[[#This Row],[tema]],Estructura!$A$4:$C$500,3,0)</f>
        <v>T-1001</v>
      </c>
      <c r="Y389" s="118" t="str">
        <f>+VLOOKUP(Agencia[[#This Row],[contenido]],Estructura!$E$4:$G$500,3,0)</f>
        <v>C-992</v>
      </c>
      <c r="Z389" s="118" t="str">
        <f>+VLOOKUP(Agencia[[#This Row],[Filtro Integrado]],Estructura!$I$4:$K$500,3,0)</f>
        <v>FI-993</v>
      </c>
      <c r="AA389" s="118" t="str">
        <f>+VLOOKUP(Agencia[[#This Row],[Muestra]],Estructura!$M$4:$O$500,3,0)</f>
        <v>M-1028</v>
      </c>
    </row>
    <row r="390" spans="1:27" ht="48" x14ac:dyDescent="0.3">
      <c r="A390" s="21" t="s">
        <v>945</v>
      </c>
      <c r="B390" s="24">
        <f t="shared" ref="B390:D390" si="424">+B389</f>
        <v>990</v>
      </c>
      <c r="C390" s="25" t="str">
        <f t="shared" si="424"/>
        <v>Agencia Información</v>
      </c>
      <c r="D390" s="25" t="str">
        <f t="shared" si="424"/>
        <v>Medio Ambiente</v>
      </c>
      <c r="E390" s="19">
        <v>7</v>
      </c>
      <c r="F390" s="10" t="s">
        <v>1028</v>
      </c>
      <c r="G390" s="26" t="s">
        <v>1029</v>
      </c>
      <c r="H390" s="35" t="s">
        <v>16</v>
      </c>
      <c r="I390" s="36" t="s">
        <v>374</v>
      </c>
      <c r="J390" s="9" t="str">
        <f t="shared" ref="J390:N390" si="425">+J389</f>
        <v>Ninguno</v>
      </c>
      <c r="K390" s="9" t="str">
        <f t="shared" si="425"/>
        <v>Cantidad de comunas según grado por región</v>
      </c>
      <c r="L390" s="40" t="str">
        <f t="shared" si="425"/>
        <v>POR DEFINIR</v>
      </c>
      <c r="M390" s="9" t="str">
        <f t="shared" si="425"/>
        <v>Número de comunas</v>
      </c>
      <c r="N390" s="9" t="str">
        <f t="shared" si="425"/>
        <v>Elaboración propia con datos de CONAF/SUD-Austral, CASEN, CENSO 2017.</v>
      </c>
      <c r="O390" s="32" t="str">
        <f>"Cantidad de comunas según grado de vulnerabilidad al cambio climático, "&amp;Agencia[[#This Row],[territorio]]&amp;", "&amp;Agencia[[#This Row],[temporalidad]]</f>
        <v>Cantidad de comunas según grado de vulnerabilidad al cambio climático, Región de Maule, POR DEFINIR</v>
      </c>
      <c r="P390" s="20"/>
      <c r="Q390" s="11" t="str">
        <f t="shared" ref="Q390" si="426">+Q389</f>
        <v>Gráfico</v>
      </c>
      <c r="R390" s="87" t="str">
        <f>Agencia[[#This Row],[territorio]]&amp;" cambio climático vulnerabilidad índice cantidad comunas"</f>
        <v>Región de Maule cambio climático vulnerabilidad índice cantidad comunas</v>
      </c>
      <c r="S390" s="22" t="s">
        <v>423</v>
      </c>
      <c r="T390" s="68" t="str">
        <f>"100-R-"&amp;Agencia[[#This Row],[Filtro URL]]</f>
        <v>100-R-7</v>
      </c>
      <c r="U390" s="50" t="str">
        <f t="shared" si="365"/>
        <v>#1774B9</v>
      </c>
      <c r="V390" s="118" t="str">
        <f>+Agencia[[#This Row],[idcoleccion]]&amp;"-"&amp;Agencia[[#This Row],[id]]</f>
        <v>990-0379</v>
      </c>
      <c r="W390" s="118">
        <f>+VLOOKUP(Agencia[[#This Row],[Filtro URL]],Estructura!$X$4:$Y$500,2,0)</f>
        <v>99200007</v>
      </c>
      <c r="X390" s="118" t="str">
        <f>+VLOOKUP(Agencia[[#This Row],[tema]],Estructura!$A$4:$C$500,3,0)</f>
        <v>T-1001</v>
      </c>
      <c r="Y390" s="118" t="str">
        <f>+VLOOKUP(Agencia[[#This Row],[contenido]],Estructura!$E$4:$G$500,3,0)</f>
        <v>C-992</v>
      </c>
      <c r="Z390" s="118" t="str">
        <f>+VLOOKUP(Agencia[[#This Row],[Filtro Integrado]],Estructura!$I$4:$K$500,3,0)</f>
        <v>FI-993</v>
      </c>
      <c r="AA390" s="118" t="str">
        <f>+VLOOKUP(Agencia[[#This Row],[Muestra]],Estructura!$M$4:$O$500,3,0)</f>
        <v>M-1028</v>
      </c>
    </row>
    <row r="391" spans="1:27" ht="48" x14ac:dyDescent="0.3">
      <c r="A391" s="21" t="s">
        <v>946</v>
      </c>
      <c r="B391" s="24">
        <f t="shared" ref="B391:D391" si="427">+B390</f>
        <v>990</v>
      </c>
      <c r="C391" s="25" t="str">
        <f t="shared" si="427"/>
        <v>Agencia Información</v>
      </c>
      <c r="D391" s="25" t="str">
        <f t="shared" si="427"/>
        <v>Medio Ambiente</v>
      </c>
      <c r="E391" s="19">
        <v>8</v>
      </c>
      <c r="F391" s="10" t="s">
        <v>1028</v>
      </c>
      <c r="G391" s="26" t="s">
        <v>1029</v>
      </c>
      <c r="H391" s="35" t="s">
        <v>16</v>
      </c>
      <c r="I391" s="36" t="s">
        <v>375</v>
      </c>
      <c r="J391" s="9" t="str">
        <f t="shared" ref="J391:N391" si="428">+J390</f>
        <v>Ninguno</v>
      </c>
      <c r="K391" s="9" t="str">
        <f t="shared" si="428"/>
        <v>Cantidad de comunas según grado por región</v>
      </c>
      <c r="L391" s="40" t="str">
        <f t="shared" si="428"/>
        <v>POR DEFINIR</v>
      </c>
      <c r="M391" s="9" t="str">
        <f t="shared" si="428"/>
        <v>Número de comunas</v>
      </c>
      <c r="N391" s="9" t="str">
        <f t="shared" si="428"/>
        <v>Elaboración propia con datos de CONAF/SUD-Austral, CASEN, CENSO 2017.</v>
      </c>
      <c r="O391" s="32" t="str">
        <f>"Cantidad de comunas según grado de vulnerabilidad al cambio climático, "&amp;Agencia[[#This Row],[territorio]]&amp;", "&amp;Agencia[[#This Row],[temporalidad]]</f>
        <v>Cantidad de comunas según grado de vulnerabilidad al cambio climático, Región del Biobío, POR DEFINIR</v>
      </c>
      <c r="P391" s="20"/>
      <c r="Q391" s="11" t="str">
        <f t="shared" ref="Q391" si="429">+Q390</f>
        <v>Gráfico</v>
      </c>
      <c r="R391" s="87" t="str">
        <f>Agencia[[#This Row],[territorio]]&amp;" cambio climático vulnerabilidad índice cantidad comunas"</f>
        <v>Región del Biobío cambio climático vulnerabilidad índice cantidad comunas</v>
      </c>
      <c r="S391" s="22" t="s">
        <v>423</v>
      </c>
      <c r="T391" s="68" t="str">
        <f>"100-R-"&amp;Agencia[[#This Row],[Filtro URL]]</f>
        <v>100-R-8</v>
      </c>
      <c r="U391" s="50" t="str">
        <f t="shared" si="365"/>
        <v>#1774B9</v>
      </c>
      <c r="V391" s="118" t="str">
        <f>+Agencia[[#This Row],[idcoleccion]]&amp;"-"&amp;Agencia[[#This Row],[id]]</f>
        <v>990-0380</v>
      </c>
      <c r="W391" s="118">
        <f>+VLOOKUP(Agencia[[#This Row],[Filtro URL]],Estructura!$X$4:$Y$500,2,0)</f>
        <v>99200008</v>
      </c>
      <c r="X391" s="118" t="str">
        <f>+VLOOKUP(Agencia[[#This Row],[tema]],Estructura!$A$4:$C$500,3,0)</f>
        <v>T-1001</v>
      </c>
      <c r="Y391" s="118" t="str">
        <f>+VLOOKUP(Agencia[[#This Row],[contenido]],Estructura!$E$4:$G$500,3,0)</f>
        <v>C-992</v>
      </c>
      <c r="Z391" s="118" t="str">
        <f>+VLOOKUP(Agencia[[#This Row],[Filtro Integrado]],Estructura!$I$4:$K$500,3,0)</f>
        <v>FI-993</v>
      </c>
      <c r="AA391" s="118" t="str">
        <f>+VLOOKUP(Agencia[[#This Row],[Muestra]],Estructura!$M$4:$O$500,3,0)</f>
        <v>M-1028</v>
      </c>
    </row>
    <row r="392" spans="1:27" ht="48" x14ac:dyDescent="0.3">
      <c r="A392" s="21" t="s">
        <v>947</v>
      </c>
      <c r="B392" s="24">
        <f t="shared" ref="B392:D392" si="430">+B391</f>
        <v>990</v>
      </c>
      <c r="C392" s="25" t="str">
        <f t="shared" si="430"/>
        <v>Agencia Información</v>
      </c>
      <c r="D392" s="25" t="str">
        <f t="shared" si="430"/>
        <v>Medio Ambiente</v>
      </c>
      <c r="E392" s="19">
        <v>9</v>
      </c>
      <c r="F392" s="10" t="s">
        <v>1028</v>
      </c>
      <c r="G392" s="26" t="s">
        <v>1029</v>
      </c>
      <c r="H392" s="35" t="s">
        <v>16</v>
      </c>
      <c r="I392" s="36" t="s">
        <v>376</v>
      </c>
      <c r="J392" s="9" t="str">
        <f t="shared" ref="J392:N392" si="431">+J391</f>
        <v>Ninguno</v>
      </c>
      <c r="K392" s="9" t="str">
        <f t="shared" si="431"/>
        <v>Cantidad de comunas según grado por región</v>
      </c>
      <c r="L392" s="40" t="str">
        <f t="shared" si="431"/>
        <v>POR DEFINIR</v>
      </c>
      <c r="M392" s="9" t="str">
        <f t="shared" si="431"/>
        <v>Número de comunas</v>
      </c>
      <c r="N392" s="9" t="str">
        <f t="shared" si="431"/>
        <v>Elaboración propia con datos de CONAF/SUD-Austral, CASEN, CENSO 2017.</v>
      </c>
      <c r="O392" s="32" t="str">
        <f>"Cantidad de comunas según grado de vulnerabilidad al cambio climático, "&amp;Agencia[[#This Row],[territorio]]&amp;", "&amp;Agencia[[#This Row],[temporalidad]]</f>
        <v>Cantidad de comunas según grado de vulnerabilidad al cambio climático, Región de La Araucanía, POR DEFINIR</v>
      </c>
      <c r="P392" s="20"/>
      <c r="Q392" s="11" t="str">
        <f t="shared" ref="Q392" si="432">+Q391</f>
        <v>Gráfico</v>
      </c>
      <c r="R392" s="87" t="str">
        <f>Agencia[[#This Row],[territorio]]&amp;" cambio climático vulnerabilidad índice cantidad comunas"</f>
        <v>Región de La Araucanía cambio climático vulnerabilidad índice cantidad comunas</v>
      </c>
      <c r="S392" s="22" t="s">
        <v>423</v>
      </c>
      <c r="T392" s="68" t="str">
        <f>"100-R-"&amp;Agencia[[#This Row],[Filtro URL]]</f>
        <v>100-R-9</v>
      </c>
      <c r="U392" s="50" t="str">
        <f t="shared" si="365"/>
        <v>#1774B9</v>
      </c>
      <c r="V392" s="118" t="str">
        <f>+Agencia[[#This Row],[idcoleccion]]&amp;"-"&amp;Agencia[[#This Row],[id]]</f>
        <v>990-0381</v>
      </c>
      <c r="W392" s="118">
        <f>+VLOOKUP(Agencia[[#This Row],[Filtro URL]],Estructura!$X$4:$Y$500,2,0)</f>
        <v>99200009</v>
      </c>
      <c r="X392" s="118" t="str">
        <f>+VLOOKUP(Agencia[[#This Row],[tema]],Estructura!$A$4:$C$500,3,0)</f>
        <v>T-1001</v>
      </c>
      <c r="Y392" s="118" t="str">
        <f>+VLOOKUP(Agencia[[#This Row],[contenido]],Estructura!$E$4:$G$500,3,0)</f>
        <v>C-992</v>
      </c>
      <c r="Z392" s="118" t="str">
        <f>+VLOOKUP(Agencia[[#This Row],[Filtro Integrado]],Estructura!$I$4:$K$500,3,0)</f>
        <v>FI-993</v>
      </c>
      <c r="AA392" s="118" t="str">
        <f>+VLOOKUP(Agencia[[#This Row],[Muestra]],Estructura!$M$4:$O$500,3,0)</f>
        <v>M-1028</v>
      </c>
    </row>
    <row r="393" spans="1:27" ht="48" x14ac:dyDescent="0.3">
      <c r="A393" s="21" t="s">
        <v>948</v>
      </c>
      <c r="B393" s="24">
        <f t="shared" ref="B393:D393" si="433">+B392</f>
        <v>990</v>
      </c>
      <c r="C393" s="25" t="str">
        <f t="shared" si="433"/>
        <v>Agencia Información</v>
      </c>
      <c r="D393" s="25" t="str">
        <f t="shared" si="433"/>
        <v>Medio Ambiente</v>
      </c>
      <c r="E393" s="19">
        <v>10</v>
      </c>
      <c r="F393" s="10" t="s">
        <v>1028</v>
      </c>
      <c r="G393" s="26" t="s">
        <v>1029</v>
      </c>
      <c r="H393" s="35" t="s">
        <v>16</v>
      </c>
      <c r="I393" s="36" t="s">
        <v>377</v>
      </c>
      <c r="J393" s="9" t="str">
        <f t="shared" ref="J393:N393" si="434">+J392</f>
        <v>Ninguno</v>
      </c>
      <c r="K393" s="9" t="str">
        <f t="shared" si="434"/>
        <v>Cantidad de comunas según grado por región</v>
      </c>
      <c r="L393" s="40" t="str">
        <f t="shared" si="434"/>
        <v>POR DEFINIR</v>
      </c>
      <c r="M393" s="9" t="str">
        <f t="shared" si="434"/>
        <v>Número de comunas</v>
      </c>
      <c r="N393" s="9" t="str">
        <f t="shared" si="434"/>
        <v>Elaboración propia con datos de CONAF/SUD-Austral, CASEN, CENSO 2017.</v>
      </c>
      <c r="O393" s="32" t="str">
        <f>"Cantidad de comunas según grado de vulnerabilidad al cambio climático, "&amp;Agencia[[#This Row],[territorio]]&amp;", "&amp;Agencia[[#This Row],[temporalidad]]</f>
        <v>Cantidad de comunas según grado de vulnerabilidad al cambio climático, Región de Los Lagos, POR DEFINIR</v>
      </c>
      <c r="P393" s="20"/>
      <c r="Q393" s="11" t="str">
        <f t="shared" ref="Q393" si="435">+Q392</f>
        <v>Gráfico</v>
      </c>
      <c r="R393" s="87" t="str">
        <f>Agencia[[#This Row],[territorio]]&amp;" cambio climático vulnerabilidad índice cantidad comunas"</f>
        <v>Región de Los Lagos cambio climático vulnerabilidad índice cantidad comunas</v>
      </c>
      <c r="S393" s="22" t="s">
        <v>423</v>
      </c>
      <c r="T393" s="68" t="str">
        <f>"100-R-"&amp;Agencia[[#This Row],[Filtro URL]]</f>
        <v>100-R-10</v>
      </c>
      <c r="U393" s="50" t="str">
        <f t="shared" si="365"/>
        <v>#1774B9</v>
      </c>
      <c r="V393" s="118" t="str">
        <f>+Agencia[[#This Row],[idcoleccion]]&amp;"-"&amp;Agencia[[#This Row],[id]]</f>
        <v>990-0382</v>
      </c>
      <c r="W393" s="118">
        <f>+VLOOKUP(Agencia[[#This Row],[Filtro URL]],Estructura!$X$4:$Y$500,2,0)</f>
        <v>99200010</v>
      </c>
      <c r="X393" s="118" t="str">
        <f>+VLOOKUP(Agencia[[#This Row],[tema]],Estructura!$A$4:$C$500,3,0)</f>
        <v>T-1001</v>
      </c>
      <c r="Y393" s="118" t="str">
        <f>+VLOOKUP(Agencia[[#This Row],[contenido]],Estructura!$E$4:$G$500,3,0)</f>
        <v>C-992</v>
      </c>
      <c r="Z393" s="118" t="str">
        <f>+VLOOKUP(Agencia[[#This Row],[Filtro Integrado]],Estructura!$I$4:$K$500,3,0)</f>
        <v>FI-993</v>
      </c>
      <c r="AA393" s="118" t="str">
        <f>+VLOOKUP(Agencia[[#This Row],[Muestra]],Estructura!$M$4:$O$500,3,0)</f>
        <v>M-1028</v>
      </c>
    </row>
    <row r="394" spans="1:27" ht="48" x14ac:dyDescent="0.3">
      <c r="A394" s="21" t="s">
        <v>949</v>
      </c>
      <c r="B394" s="24">
        <f t="shared" ref="B394:D394" si="436">+B393</f>
        <v>990</v>
      </c>
      <c r="C394" s="25" t="str">
        <f t="shared" si="436"/>
        <v>Agencia Información</v>
      </c>
      <c r="D394" s="25" t="str">
        <f t="shared" si="436"/>
        <v>Medio Ambiente</v>
      </c>
      <c r="E394" s="19">
        <v>11</v>
      </c>
      <c r="F394" s="10" t="s">
        <v>1028</v>
      </c>
      <c r="G394" s="26" t="s">
        <v>1029</v>
      </c>
      <c r="H394" s="35" t="s">
        <v>16</v>
      </c>
      <c r="I394" s="36" t="s">
        <v>378</v>
      </c>
      <c r="J394" s="9" t="str">
        <f t="shared" ref="J394:N394" si="437">+J393</f>
        <v>Ninguno</v>
      </c>
      <c r="K394" s="9" t="str">
        <f t="shared" si="437"/>
        <v>Cantidad de comunas según grado por región</v>
      </c>
      <c r="L394" s="40" t="str">
        <f t="shared" si="437"/>
        <v>POR DEFINIR</v>
      </c>
      <c r="M394" s="9" t="str">
        <f t="shared" si="437"/>
        <v>Número de comunas</v>
      </c>
      <c r="N394" s="9" t="str">
        <f t="shared" si="437"/>
        <v>Elaboración propia con datos de CONAF/SUD-Austral, CASEN, CENSO 2017.</v>
      </c>
      <c r="O394" s="32" t="str">
        <f>"Cantidad de comunas según grado de vulnerabilidad al cambio climático, "&amp;Agencia[[#This Row],[territorio]]&amp;", "&amp;Agencia[[#This Row],[temporalidad]]</f>
        <v>Cantidad de comunas según grado de vulnerabilidad al cambio climático, Región de Aysén, POR DEFINIR</v>
      </c>
      <c r="P394" s="20"/>
      <c r="Q394" s="11" t="str">
        <f t="shared" ref="Q394" si="438">+Q393</f>
        <v>Gráfico</v>
      </c>
      <c r="R394" s="87" t="str">
        <f>Agencia[[#This Row],[territorio]]&amp;" cambio climático vulnerabilidad índice cantidad comunas"</f>
        <v>Región de Aysén cambio climático vulnerabilidad índice cantidad comunas</v>
      </c>
      <c r="S394" s="22" t="s">
        <v>423</v>
      </c>
      <c r="T394" s="68" t="str">
        <f>"100-R-"&amp;Agencia[[#This Row],[Filtro URL]]</f>
        <v>100-R-11</v>
      </c>
      <c r="U394" s="50" t="str">
        <f t="shared" si="365"/>
        <v>#1774B9</v>
      </c>
      <c r="V394" s="118" t="str">
        <f>+Agencia[[#This Row],[idcoleccion]]&amp;"-"&amp;Agencia[[#This Row],[id]]</f>
        <v>990-0383</v>
      </c>
      <c r="W394" s="118">
        <f>+VLOOKUP(Agencia[[#This Row],[Filtro URL]],Estructura!$X$4:$Y$500,2,0)</f>
        <v>99200011</v>
      </c>
      <c r="X394" s="118" t="str">
        <f>+VLOOKUP(Agencia[[#This Row],[tema]],Estructura!$A$4:$C$500,3,0)</f>
        <v>T-1001</v>
      </c>
      <c r="Y394" s="118" t="str">
        <f>+VLOOKUP(Agencia[[#This Row],[contenido]],Estructura!$E$4:$G$500,3,0)</f>
        <v>C-992</v>
      </c>
      <c r="Z394" s="118" t="str">
        <f>+VLOOKUP(Agencia[[#This Row],[Filtro Integrado]],Estructura!$I$4:$K$500,3,0)</f>
        <v>FI-993</v>
      </c>
      <c r="AA394" s="118" t="str">
        <f>+VLOOKUP(Agencia[[#This Row],[Muestra]],Estructura!$M$4:$O$500,3,0)</f>
        <v>M-1028</v>
      </c>
    </row>
    <row r="395" spans="1:27" ht="48" x14ac:dyDescent="0.3">
      <c r="A395" s="21" t="s">
        <v>950</v>
      </c>
      <c r="B395" s="24">
        <f t="shared" ref="B395:D395" si="439">+B394</f>
        <v>990</v>
      </c>
      <c r="C395" s="25" t="str">
        <f t="shared" si="439"/>
        <v>Agencia Información</v>
      </c>
      <c r="D395" s="25" t="str">
        <f t="shared" si="439"/>
        <v>Medio Ambiente</v>
      </c>
      <c r="E395" s="19">
        <v>12</v>
      </c>
      <c r="F395" s="10" t="s">
        <v>1028</v>
      </c>
      <c r="G395" s="26" t="s">
        <v>1029</v>
      </c>
      <c r="H395" s="35" t="s">
        <v>16</v>
      </c>
      <c r="I395" s="36" t="s">
        <v>379</v>
      </c>
      <c r="J395" s="9" t="str">
        <f t="shared" ref="J395:N395" si="440">+J394</f>
        <v>Ninguno</v>
      </c>
      <c r="K395" s="9" t="str">
        <f t="shared" si="440"/>
        <v>Cantidad de comunas según grado por región</v>
      </c>
      <c r="L395" s="40" t="str">
        <f t="shared" si="440"/>
        <v>POR DEFINIR</v>
      </c>
      <c r="M395" s="9" t="str">
        <f t="shared" si="440"/>
        <v>Número de comunas</v>
      </c>
      <c r="N395" s="9" t="str">
        <f t="shared" si="440"/>
        <v>Elaboración propia con datos de CONAF/SUD-Austral, CASEN, CENSO 2017.</v>
      </c>
      <c r="O395" s="32" t="str">
        <f>"Cantidad de comunas según grado de vulnerabilidad al cambio climático, "&amp;Agencia[[#This Row],[territorio]]&amp;", "&amp;Agencia[[#This Row],[temporalidad]]</f>
        <v>Cantidad de comunas según grado de vulnerabilidad al cambio climático, Región de Magallanes, POR DEFINIR</v>
      </c>
      <c r="P395" s="20"/>
      <c r="Q395" s="11" t="str">
        <f t="shared" ref="Q395" si="441">+Q394</f>
        <v>Gráfico</v>
      </c>
      <c r="R395" s="87" t="str">
        <f>Agencia[[#This Row],[territorio]]&amp;" cambio climático vulnerabilidad índice cantidad comunas"</f>
        <v>Región de Magallanes cambio climático vulnerabilidad índice cantidad comunas</v>
      </c>
      <c r="S395" s="22" t="s">
        <v>423</v>
      </c>
      <c r="T395" s="68" t="str">
        <f>"100-R-"&amp;Agencia[[#This Row],[Filtro URL]]</f>
        <v>100-R-12</v>
      </c>
      <c r="U395" s="50" t="str">
        <f t="shared" si="365"/>
        <v>#1774B9</v>
      </c>
      <c r="V395" s="118" t="str">
        <f>+Agencia[[#This Row],[idcoleccion]]&amp;"-"&amp;Agencia[[#This Row],[id]]</f>
        <v>990-0384</v>
      </c>
      <c r="W395" s="118">
        <f>+VLOOKUP(Agencia[[#This Row],[Filtro URL]],Estructura!$X$4:$Y$500,2,0)</f>
        <v>99200012</v>
      </c>
      <c r="X395" s="118" t="str">
        <f>+VLOOKUP(Agencia[[#This Row],[tema]],Estructura!$A$4:$C$500,3,0)</f>
        <v>T-1001</v>
      </c>
      <c r="Y395" s="118" t="str">
        <f>+VLOOKUP(Agencia[[#This Row],[contenido]],Estructura!$E$4:$G$500,3,0)</f>
        <v>C-992</v>
      </c>
      <c r="Z395" s="118" t="str">
        <f>+VLOOKUP(Agencia[[#This Row],[Filtro Integrado]],Estructura!$I$4:$K$500,3,0)</f>
        <v>FI-993</v>
      </c>
      <c r="AA395" s="118" t="str">
        <f>+VLOOKUP(Agencia[[#This Row],[Muestra]],Estructura!$M$4:$O$500,3,0)</f>
        <v>M-1028</v>
      </c>
    </row>
    <row r="396" spans="1:27" ht="48" x14ac:dyDescent="0.3">
      <c r="A396" s="21" t="s">
        <v>951</v>
      </c>
      <c r="B396" s="24">
        <f t="shared" ref="B396:D396" si="442">+B395</f>
        <v>990</v>
      </c>
      <c r="C396" s="25" t="str">
        <f t="shared" si="442"/>
        <v>Agencia Información</v>
      </c>
      <c r="D396" s="25" t="str">
        <f t="shared" si="442"/>
        <v>Medio Ambiente</v>
      </c>
      <c r="E396" s="19">
        <v>13</v>
      </c>
      <c r="F396" s="10" t="s">
        <v>1028</v>
      </c>
      <c r="G396" s="26" t="s">
        <v>1029</v>
      </c>
      <c r="H396" s="35" t="s">
        <v>16</v>
      </c>
      <c r="I396" s="36" t="s">
        <v>380</v>
      </c>
      <c r="J396" s="9" t="str">
        <f t="shared" ref="J396:N396" si="443">+J395</f>
        <v>Ninguno</v>
      </c>
      <c r="K396" s="9" t="str">
        <f t="shared" si="443"/>
        <v>Cantidad de comunas según grado por región</v>
      </c>
      <c r="L396" s="40" t="str">
        <f t="shared" si="443"/>
        <v>POR DEFINIR</v>
      </c>
      <c r="M396" s="9" t="str">
        <f t="shared" si="443"/>
        <v>Número de comunas</v>
      </c>
      <c r="N396" s="9" t="str">
        <f t="shared" si="443"/>
        <v>Elaboración propia con datos de CONAF/SUD-Austral, CASEN, CENSO 2017.</v>
      </c>
      <c r="O396" s="32" t="str">
        <f>"Cantidad de comunas según grado de vulnerabilidad al cambio climático, "&amp;Agencia[[#This Row],[territorio]]&amp;", "&amp;Agencia[[#This Row],[temporalidad]]</f>
        <v>Cantidad de comunas según grado de vulnerabilidad al cambio climático, Región Metropolitana, POR DEFINIR</v>
      </c>
      <c r="P396" s="20"/>
      <c r="Q396" s="11" t="str">
        <f t="shared" ref="Q396" si="444">+Q395</f>
        <v>Gráfico</v>
      </c>
      <c r="R396" s="87" t="str">
        <f>Agencia[[#This Row],[territorio]]&amp;" cambio climático vulnerabilidad índice cantidad comunas"</f>
        <v>Región Metropolitana cambio climático vulnerabilidad índice cantidad comunas</v>
      </c>
      <c r="S396" s="22" t="s">
        <v>423</v>
      </c>
      <c r="T396" s="68" t="str">
        <f>"200-R-"&amp;Agencia[[#This Row],[Filtro URL]]</f>
        <v>200-R-13</v>
      </c>
      <c r="U396" s="50" t="str">
        <f t="shared" si="365"/>
        <v>#1774B9</v>
      </c>
      <c r="V396" s="118" t="str">
        <f>+Agencia[[#This Row],[idcoleccion]]&amp;"-"&amp;Agencia[[#This Row],[id]]</f>
        <v>990-0385</v>
      </c>
      <c r="W396" s="118">
        <f>+VLOOKUP(Agencia[[#This Row],[Filtro URL]],Estructura!$X$4:$Y$500,2,0)</f>
        <v>99200013</v>
      </c>
      <c r="X396" s="118" t="str">
        <f>+VLOOKUP(Agencia[[#This Row],[tema]],Estructura!$A$4:$C$500,3,0)</f>
        <v>T-1001</v>
      </c>
      <c r="Y396" s="118" t="str">
        <f>+VLOOKUP(Agencia[[#This Row],[contenido]],Estructura!$E$4:$G$500,3,0)</f>
        <v>C-992</v>
      </c>
      <c r="Z396" s="118" t="str">
        <f>+VLOOKUP(Agencia[[#This Row],[Filtro Integrado]],Estructura!$I$4:$K$500,3,0)</f>
        <v>FI-993</v>
      </c>
      <c r="AA396" s="118" t="str">
        <f>+VLOOKUP(Agencia[[#This Row],[Muestra]],Estructura!$M$4:$O$500,3,0)</f>
        <v>M-1028</v>
      </c>
    </row>
    <row r="397" spans="1:27" ht="48" x14ac:dyDescent="0.3">
      <c r="A397" s="21" t="s">
        <v>952</v>
      </c>
      <c r="B397" s="24">
        <f t="shared" ref="B397:D397" si="445">+B396</f>
        <v>990</v>
      </c>
      <c r="C397" s="25" t="str">
        <f t="shared" si="445"/>
        <v>Agencia Información</v>
      </c>
      <c r="D397" s="25" t="str">
        <f t="shared" si="445"/>
        <v>Medio Ambiente</v>
      </c>
      <c r="E397" s="19">
        <v>14</v>
      </c>
      <c r="F397" s="10" t="s">
        <v>1028</v>
      </c>
      <c r="G397" s="26" t="s">
        <v>1029</v>
      </c>
      <c r="H397" s="35" t="s">
        <v>16</v>
      </c>
      <c r="I397" s="36" t="s">
        <v>381</v>
      </c>
      <c r="J397" s="9" t="str">
        <f t="shared" ref="J397:N397" si="446">+J396</f>
        <v>Ninguno</v>
      </c>
      <c r="K397" s="9" t="str">
        <f t="shared" si="446"/>
        <v>Cantidad de comunas según grado por región</v>
      </c>
      <c r="L397" s="40" t="str">
        <f t="shared" si="446"/>
        <v>POR DEFINIR</v>
      </c>
      <c r="M397" s="9" t="str">
        <f t="shared" si="446"/>
        <v>Número de comunas</v>
      </c>
      <c r="N397" s="9" t="str">
        <f t="shared" si="446"/>
        <v>Elaboración propia con datos de CONAF/SUD-Austral, CASEN, CENSO 2017.</v>
      </c>
      <c r="O397" s="32" t="str">
        <f>"Cantidad de comunas según grado de vulnerabilidad al cambio climático, "&amp;Agencia[[#This Row],[territorio]]&amp;", "&amp;Agencia[[#This Row],[temporalidad]]</f>
        <v>Cantidad de comunas según grado de vulnerabilidad al cambio climático, Región de Los Ríos, POR DEFINIR</v>
      </c>
      <c r="P397" s="20"/>
      <c r="Q397" s="11" t="str">
        <f t="shared" ref="Q397" si="447">+Q396</f>
        <v>Gráfico</v>
      </c>
      <c r="R397" s="87" t="str">
        <f>Agencia[[#This Row],[territorio]]&amp;" cambio climático vulnerabilidad índice cantidad comunas"</f>
        <v>Región de Los Ríos cambio climático vulnerabilidad índice cantidad comunas</v>
      </c>
      <c r="S397" s="22" t="s">
        <v>423</v>
      </c>
      <c r="T397" s="68" t="str">
        <f>"100-R-"&amp;Agencia[[#This Row],[Filtro URL]]</f>
        <v>100-R-14</v>
      </c>
      <c r="U397" s="50" t="str">
        <f t="shared" si="365"/>
        <v>#1774B9</v>
      </c>
      <c r="V397" s="118" t="str">
        <f>+Agencia[[#This Row],[idcoleccion]]&amp;"-"&amp;Agencia[[#This Row],[id]]</f>
        <v>990-0386</v>
      </c>
      <c r="W397" s="118">
        <f>+VLOOKUP(Agencia[[#This Row],[Filtro URL]],Estructura!$X$4:$Y$500,2,0)</f>
        <v>99200014</v>
      </c>
      <c r="X397" s="118" t="str">
        <f>+VLOOKUP(Agencia[[#This Row],[tema]],Estructura!$A$4:$C$500,3,0)</f>
        <v>T-1001</v>
      </c>
      <c r="Y397" s="118" t="str">
        <f>+VLOOKUP(Agencia[[#This Row],[contenido]],Estructura!$E$4:$G$500,3,0)</f>
        <v>C-992</v>
      </c>
      <c r="Z397" s="118" t="str">
        <f>+VLOOKUP(Agencia[[#This Row],[Filtro Integrado]],Estructura!$I$4:$K$500,3,0)</f>
        <v>FI-993</v>
      </c>
      <c r="AA397" s="118" t="str">
        <f>+VLOOKUP(Agencia[[#This Row],[Muestra]],Estructura!$M$4:$O$500,3,0)</f>
        <v>M-1028</v>
      </c>
    </row>
    <row r="398" spans="1:27" ht="48" x14ac:dyDescent="0.3">
      <c r="A398" s="21" t="s">
        <v>953</v>
      </c>
      <c r="B398" s="24">
        <f t="shared" ref="B398:D398" si="448">+B397</f>
        <v>990</v>
      </c>
      <c r="C398" s="25" t="str">
        <f t="shared" si="448"/>
        <v>Agencia Información</v>
      </c>
      <c r="D398" s="25" t="str">
        <f t="shared" si="448"/>
        <v>Medio Ambiente</v>
      </c>
      <c r="E398" s="19">
        <v>15</v>
      </c>
      <c r="F398" s="10" t="s">
        <v>1028</v>
      </c>
      <c r="G398" s="26" t="s">
        <v>1029</v>
      </c>
      <c r="H398" s="35" t="s">
        <v>16</v>
      </c>
      <c r="I398" s="36" t="s">
        <v>382</v>
      </c>
      <c r="J398" s="9" t="str">
        <f t="shared" ref="J398:N398" si="449">+J397</f>
        <v>Ninguno</v>
      </c>
      <c r="K398" s="9" t="str">
        <f t="shared" si="449"/>
        <v>Cantidad de comunas según grado por región</v>
      </c>
      <c r="L398" s="40" t="str">
        <f t="shared" si="449"/>
        <v>POR DEFINIR</v>
      </c>
      <c r="M398" s="9" t="str">
        <f t="shared" si="449"/>
        <v>Número de comunas</v>
      </c>
      <c r="N398" s="9" t="str">
        <f t="shared" si="449"/>
        <v>Elaboración propia con datos de CONAF/SUD-Austral, CASEN, CENSO 2017.</v>
      </c>
      <c r="O398" s="32" t="str">
        <f>"Cantidad de comunas según grado de vulnerabilidad al cambio climático, "&amp;Agencia[[#This Row],[territorio]]&amp;", "&amp;Agencia[[#This Row],[temporalidad]]</f>
        <v>Cantidad de comunas según grado de vulnerabilidad al cambio climático, Región de Arica y Parinacota, POR DEFINIR</v>
      </c>
      <c r="P398" s="20"/>
      <c r="Q398" s="11" t="str">
        <f t="shared" ref="Q398" si="450">+Q397</f>
        <v>Gráfico</v>
      </c>
      <c r="R398" s="87" t="str">
        <f>Agencia[[#This Row],[territorio]]&amp;" cambio climático vulnerabilidad índice cantidad comunas"</f>
        <v>Región de Arica y Parinacota cambio climático vulnerabilidad índice cantidad comunas</v>
      </c>
      <c r="S398" s="22" t="s">
        <v>423</v>
      </c>
      <c r="T398" s="68" t="str">
        <f>"100-R-"&amp;Agencia[[#This Row],[Filtro URL]]</f>
        <v>100-R-15</v>
      </c>
      <c r="U398" s="50" t="str">
        <f t="shared" si="365"/>
        <v>#1774B9</v>
      </c>
      <c r="V398" s="118" t="str">
        <f>+Agencia[[#This Row],[idcoleccion]]&amp;"-"&amp;Agencia[[#This Row],[id]]</f>
        <v>990-0387</v>
      </c>
      <c r="W398" s="118">
        <f>+VLOOKUP(Agencia[[#This Row],[Filtro URL]],Estructura!$X$4:$Y$500,2,0)</f>
        <v>99200015</v>
      </c>
      <c r="X398" s="118" t="str">
        <f>+VLOOKUP(Agencia[[#This Row],[tema]],Estructura!$A$4:$C$500,3,0)</f>
        <v>T-1001</v>
      </c>
      <c r="Y398" s="118" t="str">
        <f>+VLOOKUP(Agencia[[#This Row],[contenido]],Estructura!$E$4:$G$500,3,0)</f>
        <v>C-992</v>
      </c>
      <c r="Z398" s="118" t="str">
        <f>+VLOOKUP(Agencia[[#This Row],[Filtro Integrado]],Estructura!$I$4:$K$500,3,0)</f>
        <v>FI-993</v>
      </c>
      <c r="AA398" s="118" t="str">
        <f>+VLOOKUP(Agencia[[#This Row],[Muestra]],Estructura!$M$4:$O$500,3,0)</f>
        <v>M-1028</v>
      </c>
    </row>
    <row r="399" spans="1:27" ht="48" x14ac:dyDescent="0.3">
      <c r="A399" s="21" t="s">
        <v>954</v>
      </c>
      <c r="B399" s="24">
        <f t="shared" ref="B399:D399" si="451">+B398</f>
        <v>990</v>
      </c>
      <c r="C399" s="25" t="str">
        <f t="shared" si="451"/>
        <v>Agencia Información</v>
      </c>
      <c r="D399" s="25" t="str">
        <f t="shared" si="451"/>
        <v>Medio Ambiente</v>
      </c>
      <c r="E399" s="19">
        <v>16</v>
      </c>
      <c r="F399" s="10" t="s">
        <v>1028</v>
      </c>
      <c r="G399" s="26" t="s">
        <v>1029</v>
      </c>
      <c r="H399" s="35" t="s">
        <v>16</v>
      </c>
      <c r="I399" s="36" t="s">
        <v>383</v>
      </c>
      <c r="J399" s="9" t="str">
        <f t="shared" ref="J399:N399" si="452">+J398</f>
        <v>Ninguno</v>
      </c>
      <c r="K399" s="9" t="str">
        <f t="shared" si="452"/>
        <v>Cantidad de comunas según grado por región</v>
      </c>
      <c r="L399" s="40" t="str">
        <f t="shared" si="452"/>
        <v>POR DEFINIR</v>
      </c>
      <c r="M399" s="9" t="str">
        <f t="shared" si="452"/>
        <v>Número de comunas</v>
      </c>
      <c r="N399" s="9" t="str">
        <f t="shared" si="452"/>
        <v>Elaboración propia con datos de CONAF/SUD-Austral, CASEN, CENSO 2017.</v>
      </c>
      <c r="O399" s="32" t="str">
        <f>"Cantidad de comunas según grado de vulnerabilidad al cambio climático, "&amp;Agencia[[#This Row],[territorio]]&amp;", "&amp;Agencia[[#This Row],[temporalidad]]</f>
        <v>Cantidad de comunas según grado de vulnerabilidad al cambio climático, Región de Ñuble, POR DEFINIR</v>
      </c>
      <c r="P399" s="20"/>
      <c r="Q399" s="11" t="str">
        <f t="shared" ref="Q399" si="453">+Q398</f>
        <v>Gráfico</v>
      </c>
      <c r="R399" s="87" t="str">
        <f>Agencia[[#This Row],[territorio]]&amp;" cambio climático vulnerabilidad índice cantidad comunas"</f>
        <v>Región de Ñuble cambio climático vulnerabilidad índice cantidad comunas</v>
      </c>
      <c r="S399" s="22" t="s">
        <v>423</v>
      </c>
      <c r="T399" s="68" t="str">
        <f>"100-R-"&amp;Agencia[[#This Row],[Filtro URL]]</f>
        <v>100-R-16</v>
      </c>
      <c r="U399" s="50" t="str">
        <f t="shared" si="365"/>
        <v>#1774B9</v>
      </c>
      <c r="V399" s="118" t="str">
        <f>+Agencia[[#This Row],[idcoleccion]]&amp;"-"&amp;Agencia[[#This Row],[id]]</f>
        <v>990-0388</v>
      </c>
      <c r="W399" s="118">
        <f>+VLOOKUP(Agencia[[#This Row],[Filtro URL]],Estructura!$X$4:$Y$500,2,0)</f>
        <v>99200016</v>
      </c>
      <c r="X399" s="118" t="str">
        <f>+VLOOKUP(Agencia[[#This Row],[tema]],Estructura!$A$4:$C$500,3,0)</f>
        <v>T-1001</v>
      </c>
      <c r="Y399" s="118" t="str">
        <f>+VLOOKUP(Agencia[[#This Row],[contenido]],Estructura!$E$4:$G$500,3,0)</f>
        <v>C-992</v>
      </c>
      <c r="Z399" s="118" t="str">
        <f>+VLOOKUP(Agencia[[#This Row],[Filtro Integrado]],Estructura!$I$4:$K$500,3,0)</f>
        <v>FI-993</v>
      </c>
      <c r="AA399" s="118" t="str">
        <f>+VLOOKUP(Agencia[[#This Row],[Muestra]],Estructura!$M$4:$O$500,3,0)</f>
        <v>M-1028</v>
      </c>
    </row>
    <row r="400" spans="1:27" ht="122.4" x14ac:dyDescent="0.3">
      <c r="A400" s="21" t="s">
        <v>955</v>
      </c>
      <c r="B400" s="24">
        <f t="shared" ref="B400:C400" si="454">+B399</f>
        <v>990</v>
      </c>
      <c r="C400" s="25" t="str">
        <f t="shared" si="454"/>
        <v>Agencia Información</v>
      </c>
      <c r="D400" s="25" t="s">
        <v>1030</v>
      </c>
      <c r="E400" s="14">
        <v>0</v>
      </c>
      <c r="F400" s="10" t="s">
        <v>1028</v>
      </c>
      <c r="G400" s="26" t="s">
        <v>1029</v>
      </c>
      <c r="H400" s="33" t="s">
        <v>20</v>
      </c>
      <c r="I400" s="34" t="s">
        <v>15</v>
      </c>
      <c r="J400" s="9" t="s">
        <v>404</v>
      </c>
      <c r="K400" s="9" t="s">
        <v>1067</v>
      </c>
      <c r="L400" s="40" t="s">
        <v>472</v>
      </c>
      <c r="M400" s="9" t="s">
        <v>1027</v>
      </c>
      <c r="N400" s="9" t="s">
        <v>1026</v>
      </c>
      <c r="O400" s="32" t="str">
        <f>"Mapa de Comunas con ALTA Vulnerabilidad al Cambio Climático en "&amp;Agencia[[#This Row],[territorio]]&amp;", "&amp;Agencia[[#This Row],[temporalidad]]</f>
        <v>Mapa de Comunas con ALTA Vulnerabilidad al Cambio Climático en Chile, POR DEFINIR</v>
      </c>
      <c r="P400" s="20" t="s">
        <v>1072</v>
      </c>
      <c r="Q400" s="11" t="s">
        <v>831</v>
      </c>
      <c r="R400" s="20" t="str">
        <f>Agencia[[#This Row],[territorio]]&amp;" cambio climático vulnerabilidad índice comunas alta"</f>
        <v>Chile cambio climático vulnerabilidad índice comunas alta</v>
      </c>
      <c r="S400" s="39" t="s">
        <v>1068</v>
      </c>
      <c r="T400" s="68">
        <v>0</v>
      </c>
      <c r="U400" s="50" t="str">
        <f t="shared" si="365"/>
        <v>#1774B9</v>
      </c>
      <c r="V400" s="118" t="str">
        <f>+Agencia[[#This Row],[idcoleccion]]&amp;"-"&amp;Agencia[[#This Row],[id]]</f>
        <v>990-0389</v>
      </c>
      <c r="W400" s="118">
        <f>+VLOOKUP(Agencia[[#This Row],[Filtro URL]],Estructura!$X$4:$Y$500,2,0)</f>
        <v>99100000</v>
      </c>
      <c r="X400" s="118" t="str">
        <f>+VLOOKUP(Agencia[[#This Row],[tema]],Estructura!$A$4:$C$500,3,0)</f>
        <v>T-1001</v>
      </c>
      <c r="Y400" s="118" t="str">
        <f>+VLOOKUP(Agencia[[#This Row],[contenido]],Estructura!$E$4:$G$500,3,0)</f>
        <v>C-992</v>
      </c>
      <c r="Z400" s="118" t="str">
        <f>+VLOOKUP(Agencia[[#This Row],[Filtro Integrado]],Estructura!$I$4:$K$500,3,0)</f>
        <v>FI-993</v>
      </c>
      <c r="AA400" s="118" t="str">
        <f>+VLOOKUP(Agencia[[#This Row],[Muestra]],Estructura!$M$4:$O$500,3,0)</f>
        <v>M-1029</v>
      </c>
    </row>
    <row r="401" spans="1:27" ht="122.4" x14ac:dyDescent="0.3">
      <c r="A401" s="21" t="s">
        <v>956</v>
      </c>
      <c r="B401" s="24">
        <f t="shared" ref="B401:D401" si="455">+B400</f>
        <v>990</v>
      </c>
      <c r="C401" s="25" t="str">
        <f t="shared" si="455"/>
        <v>Agencia Información</v>
      </c>
      <c r="D401" s="25" t="str">
        <f t="shared" si="455"/>
        <v>Medio Ambiente</v>
      </c>
      <c r="E401" s="14">
        <v>0</v>
      </c>
      <c r="F401" s="10" t="s">
        <v>1028</v>
      </c>
      <c r="G401" s="26" t="s">
        <v>1029</v>
      </c>
      <c r="H401" s="33" t="s">
        <v>20</v>
      </c>
      <c r="I401" s="34" t="s">
        <v>15</v>
      </c>
      <c r="J401" s="9" t="str">
        <f t="shared" ref="J401" si="456">+J400</f>
        <v>Ninguno</v>
      </c>
      <c r="K401" s="9" t="s">
        <v>1069</v>
      </c>
      <c r="L401" s="40" t="s">
        <v>472</v>
      </c>
      <c r="M401" s="9" t="s">
        <v>1027</v>
      </c>
      <c r="N401" s="9" t="s">
        <v>1026</v>
      </c>
      <c r="O401" s="32" t="str">
        <f>"Ranking de las regiones con mayor Vulnerabilidad al Cambio Climático en "&amp;Agencia[[#This Row],[territorio]]&amp;", "&amp;Agencia[[#This Row],[temporalidad]]</f>
        <v>Ranking de las regiones con mayor Vulnerabilidad al Cambio Climático en Chile, POR DEFINIR</v>
      </c>
      <c r="P401" s="20" t="s">
        <v>1070</v>
      </c>
      <c r="Q401" s="11" t="s">
        <v>510</v>
      </c>
      <c r="R401" s="20" t="str">
        <f>Agencia[[#This Row],[territorio]]&amp;" cambio climático vulnerabilidad índice comunas alta moderada"</f>
        <v>Chile cambio climático vulnerabilidad índice comunas alta moderada</v>
      </c>
      <c r="S401" s="39" t="s">
        <v>1071</v>
      </c>
      <c r="T401" s="68">
        <v>0</v>
      </c>
      <c r="U401" s="50" t="str">
        <f t="shared" ref="U401:U439" si="457">+U400</f>
        <v>#1774B9</v>
      </c>
      <c r="V401" s="118" t="str">
        <f>+Agencia[[#This Row],[idcoleccion]]&amp;"-"&amp;Agencia[[#This Row],[id]]</f>
        <v>990-0390</v>
      </c>
      <c r="W401" s="118">
        <f>+VLOOKUP(Agencia[[#This Row],[Filtro URL]],Estructura!$X$4:$Y$500,2,0)</f>
        <v>99100000</v>
      </c>
      <c r="X401" s="118" t="str">
        <f>+VLOOKUP(Agencia[[#This Row],[tema]],Estructura!$A$4:$C$500,3,0)</f>
        <v>T-1001</v>
      </c>
      <c r="Y401" s="118" t="str">
        <f>+VLOOKUP(Agencia[[#This Row],[contenido]],Estructura!$E$4:$G$500,3,0)</f>
        <v>C-992</v>
      </c>
      <c r="Z401" s="118" t="str">
        <f>+VLOOKUP(Agencia[[#This Row],[Filtro Integrado]],Estructura!$I$4:$K$500,3,0)</f>
        <v>FI-993</v>
      </c>
      <c r="AA401" s="118" t="str">
        <f>+VLOOKUP(Agencia[[#This Row],[Muestra]],Estructura!$M$4:$O$500,3,0)</f>
        <v>M-1030</v>
      </c>
    </row>
    <row r="402" spans="1:27" ht="60" x14ac:dyDescent="0.3">
      <c r="A402" s="21" t="s">
        <v>957</v>
      </c>
      <c r="B402" s="24">
        <f t="shared" ref="B402:C402" si="458">+B401</f>
        <v>990</v>
      </c>
      <c r="C402" s="25" t="str">
        <f t="shared" si="458"/>
        <v>Agencia Información</v>
      </c>
      <c r="D402" s="25" t="s">
        <v>1030</v>
      </c>
      <c r="E402" s="14">
        <v>0</v>
      </c>
      <c r="F402" s="10" t="s">
        <v>1073</v>
      </c>
      <c r="G402" s="26" t="s">
        <v>3766</v>
      </c>
      <c r="H402" s="33" t="s">
        <v>20</v>
      </c>
      <c r="I402" s="34" t="s">
        <v>15</v>
      </c>
      <c r="J402" s="40" t="s">
        <v>1066</v>
      </c>
      <c r="K402" s="9" t="s">
        <v>1074</v>
      </c>
      <c r="L402" s="9" t="s">
        <v>1075</v>
      </c>
      <c r="M402" s="9" t="s">
        <v>612</v>
      </c>
      <c r="N402" s="9" t="s">
        <v>1076</v>
      </c>
      <c r="O402" s="20" t="str">
        <f>"Superficie de glaciares en "&amp;Agencia[[#This Row],[territorio]]&amp;" para el "&amp;Agencia[[#This Row],[temporalidad]]</f>
        <v>Superficie de glaciares en Chile para el Periodo 2016-2021</v>
      </c>
      <c r="P402" s="20" t="s">
        <v>423</v>
      </c>
      <c r="Q402" s="11" t="s">
        <v>584</v>
      </c>
      <c r="R402" s="20" t="str">
        <f>Agencia[[#This Row],[territorio]]&amp;" glaciares cambio climático monitoreo hectáreas superficie"</f>
        <v>Chile glaciares cambio climático monitoreo hectáreas superficie</v>
      </c>
      <c r="S402" s="22" t="s">
        <v>423</v>
      </c>
      <c r="T402" s="68" t="s">
        <v>855</v>
      </c>
      <c r="U402" s="50" t="str">
        <f t="shared" si="457"/>
        <v>#1774B9</v>
      </c>
      <c r="V402" s="118" t="str">
        <f>+Agencia[[#This Row],[idcoleccion]]&amp;"-"&amp;Agencia[[#This Row],[id]]</f>
        <v>990-0391</v>
      </c>
      <c r="W402" s="118">
        <f>+VLOOKUP(Agencia[[#This Row],[Filtro URL]],Estructura!$X$4:$Y$500,2,0)</f>
        <v>99100000</v>
      </c>
      <c r="X402" s="118" t="str">
        <f>+VLOOKUP(Agencia[[#This Row],[tema]],Estructura!$A$4:$C$500,3,0)</f>
        <v>T-1002</v>
      </c>
      <c r="Y402" s="118" t="str">
        <f>+VLOOKUP(Agencia[[#This Row],[contenido]],Estructura!$E$4:$G$500,3,0)</f>
        <v>C-1001</v>
      </c>
      <c r="Z402" s="118" t="str">
        <f>+VLOOKUP(Agencia[[#This Row],[Filtro Integrado]],Estructura!$I$4:$K$500,3,0)</f>
        <v>FI-998</v>
      </c>
      <c r="AA402" s="118" t="str">
        <f>+VLOOKUP(Agencia[[#This Row],[Muestra]],Estructura!$M$4:$O$500,3,0)</f>
        <v>M-1031</v>
      </c>
    </row>
    <row r="403" spans="1:27" ht="60" x14ac:dyDescent="0.3">
      <c r="A403" s="21" t="s">
        <v>958</v>
      </c>
      <c r="B403" s="24">
        <f t="shared" ref="B403:D403" si="459">+B402</f>
        <v>990</v>
      </c>
      <c r="C403" s="25" t="str">
        <f t="shared" si="459"/>
        <v>Agencia Información</v>
      </c>
      <c r="D403" s="25" t="str">
        <f t="shared" si="459"/>
        <v>Medio Ambiente</v>
      </c>
      <c r="E403" s="19">
        <v>1</v>
      </c>
      <c r="F403" s="10" t="s">
        <v>1073</v>
      </c>
      <c r="G403" s="26" t="s">
        <v>3766</v>
      </c>
      <c r="H403" s="35" t="s">
        <v>16</v>
      </c>
      <c r="I403" s="36" t="s">
        <v>368</v>
      </c>
      <c r="J403" s="9" t="str">
        <f t="shared" ref="J403:N403" si="460">+J402</f>
        <v>Por definir</v>
      </c>
      <c r="K403" s="9" t="str">
        <f t="shared" si="460"/>
        <v>Superficie de glaciares por región</v>
      </c>
      <c r="L403" s="9" t="str">
        <f t="shared" si="460"/>
        <v>Periodo 2016-2021</v>
      </c>
      <c r="M403" s="9" t="str">
        <f t="shared" si="460"/>
        <v>Hectáreas</v>
      </c>
      <c r="N403" s="9" t="str">
        <f t="shared" si="460"/>
        <v>Elaboración propia con datos Dirección General de Aguas (DGA) e imágenes satelitales SENTINEL</v>
      </c>
      <c r="O403" s="20" t="str">
        <f>"Superficie de glaciares en la "&amp;Agencia[[#This Row],[territorio]]&amp;" para el "&amp;Agencia[[#This Row],[temporalidad]]</f>
        <v>Superficie de glaciares en la Región de Tarapacá para el Periodo 2016-2021</v>
      </c>
      <c r="P403" s="20"/>
      <c r="Q403" s="11" t="str">
        <f t="shared" ref="Q403" si="461">+Q402</f>
        <v>Gráfico</v>
      </c>
      <c r="R403" s="87" t="str">
        <f>Agencia[[#This Row],[territorio]]&amp;" glaciares cambio climático monitoreo hectáreas superficie"</f>
        <v>Región de Tarapacá glaciares cambio climático monitoreo hectáreas superficie</v>
      </c>
      <c r="S403" s="22" t="s">
        <v>423</v>
      </c>
      <c r="T403" s="68" t="str">
        <f>"100-R-"&amp;Agencia[[#This Row],[Filtro URL]]</f>
        <v>100-R-1</v>
      </c>
      <c r="U403" s="50" t="str">
        <f t="shared" si="457"/>
        <v>#1774B9</v>
      </c>
      <c r="V403" s="118" t="str">
        <f>+Agencia[[#This Row],[idcoleccion]]&amp;"-"&amp;Agencia[[#This Row],[id]]</f>
        <v>990-0392</v>
      </c>
      <c r="W403" s="118">
        <f>+VLOOKUP(Agencia[[#This Row],[Filtro URL]],Estructura!$X$4:$Y$500,2,0)</f>
        <v>99200001</v>
      </c>
      <c r="X403" s="118" t="str">
        <f>+VLOOKUP(Agencia[[#This Row],[tema]],Estructura!$A$4:$C$500,3,0)</f>
        <v>T-1002</v>
      </c>
      <c r="Y403" s="118" t="str">
        <f>+VLOOKUP(Agencia[[#This Row],[contenido]],Estructura!$E$4:$G$500,3,0)</f>
        <v>C-1001</v>
      </c>
      <c r="Z403" s="118" t="str">
        <f>+VLOOKUP(Agencia[[#This Row],[Filtro Integrado]],Estructura!$I$4:$K$500,3,0)</f>
        <v>FI-998</v>
      </c>
      <c r="AA403" s="118" t="str">
        <f>+VLOOKUP(Agencia[[#This Row],[Muestra]],Estructura!$M$4:$O$500,3,0)</f>
        <v>M-1031</v>
      </c>
    </row>
    <row r="404" spans="1:27" ht="60" x14ac:dyDescent="0.3">
      <c r="A404" s="21" t="s">
        <v>959</v>
      </c>
      <c r="B404" s="24">
        <f t="shared" ref="B404:D404" si="462">+B403</f>
        <v>990</v>
      </c>
      <c r="C404" s="25" t="str">
        <f t="shared" si="462"/>
        <v>Agencia Información</v>
      </c>
      <c r="D404" s="25" t="str">
        <f t="shared" si="462"/>
        <v>Medio Ambiente</v>
      </c>
      <c r="E404" s="19">
        <v>2</v>
      </c>
      <c r="F404" s="10" t="s">
        <v>1073</v>
      </c>
      <c r="G404" s="26" t="s">
        <v>3766</v>
      </c>
      <c r="H404" s="35" t="s">
        <v>16</v>
      </c>
      <c r="I404" s="36" t="s">
        <v>369</v>
      </c>
      <c r="J404" s="9" t="str">
        <f t="shared" ref="J404:N404" si="463">+J403</f>
        <v>Por definir</v>
      </c>
      <c r="K404" s="9" t="str">
        <f t="shared" si="463"/>
        <v>Superficie de glaciares por región</v>
      </c>
      <c r="L404" s="9" t="str">
        <f t="shared" si="463"/>
        <v>Periodo 2016-2021</v>
      </c>
      <c r="M404" s="9" t="str">
        <f t="shared" si="463"/>
        <v>Hectáreas</v>
      </c>
      <c r="N404" s="9" t="str">
        <f t="shared" si="463"/>
        <v>Elaboración propia con datos Dirección General de Aguas (DGA) e imágenes satelitales SENTINEL</v>
      </c>
      <c r="O404" s="20" t="str">
        <f>"Superficie de glaciares en la "&amp;Agencia[[#This Row],[territorio]]&amp;" para el "&amp;Agencia[[#This Row],[temporalidad]]</f>
        <v>Superficie de glaciares en la Región de Antofagasta para el Periodo 2016-2021</v>
      </c>
      <c r="P404" s="20"/>
      <c r="Q404" s="11" t="str">
        <f t="shared" ref="Q404" si="464">+Q403</f>
        <v>Gráfico</v>
      </c>
      <c r="R404" s="87" t="str">
        <f>Agencia[[#This Row],[territorio]]&amp;" glaciares cambio climático monitoreo hectáreas superficie"</f>
        <v>Región de Antofagasta glaciares cambio climático monitoreo hectáreas superficie</v>
      </c>
      <c r="S404" s="22" t="s">
        <v>423</v>
      </c>
      <c r="T404" s="68" t="str">
        <f>"100-R-"&amp;Agencia[[#This Row],[Filtro URL]]</f>
        <v>100-R-2</v>
      </c>
      <c r="U404" s="50" t="str">
        <f t="shared" si="457"/>
        <v>#1774B9</v>
      </c>
      <c r="V404" s="118" t="str">
        <f>+Agencia[[#This Row],[idcoleccion]]&amp;"-"&amp;Agencia[[#This Row],[id]]</f>
        <v>990-0393</v>
      </c>
      <c r="W404" s="118">
        <f>+VLOOKUP(Agencia[[#This Row],[Filtro URL]],Estructura!$X$4:$Y$500,2,0)</f>
        <v>99200002</v>
      </c>
      <c r="X404" s="118" t="str">
        <f>+VLOOKUP(Agencia[[#This Row],[tema]],Estructura!$A$4:$C$500,3,0)</f>
        <v>T-1002</v>
      </c>
      <c r="Y404" s="118" t="str">
        <f>+VLOOKUP(Agencia[[#This Row],[contenido]],Estructura!$E$4:$G$500,3,0)</f>
        <v>C-1001</v>
      </c>
      <c r="Z404" s="118" t="str">
        <f>+VLOOKUP(Agencia[[#This Row],[Filtro Integrado]],Estructura!$I$4:$K$500,3,0)</f>
        <v>FI-998</v>
      </c>
      <c r="AA404" s="118" t="str">
        <f>+VLOOKUP(Agencia[[#This Row],[Muestra]],Estructura!$M$4:$O$500,3,0)</f>
        <v>M-1031</v>
      </c>
    </row>
    <row r="405" spans="1:27" ht="60" x14ac:dyDescent="0.3">
      <c r="A405" s="21" t="s">
        <v>960</v>
      </c>
      <c r="B405" s="24">
        <f t="shared" ref="B405:D405" si="465">+B404</f>
        <v>990</v>
      </c>
      <c r="C405" s="25" t="str">
        <f t="shared" si="465"/>
        <v>Agencia Información</v>
      </c>
      <c r="D405" s="25" t="str">
        <f t="shared" si="465"/>
        <v>Medio Ambiente</v>
      </c>
      <c r="E405" s="19">
        <v>3</v>
      </c>
      <c r="F405" s="10" t="s">
        <v>1073</v>
      </c>
      <c r="G405" s="26" t="s">
        <v>3766</v>
      </c>
      <c r="H405" s="35" t="s">
        <v>16</v>
      </c>
      <c r="I405" s="36" t="s">
        <v>370</v>
      </c>
      <c r="J405" s="9" t="str">
        <f t="shared" ref="J405:N405" si="466">+J404</f>
        <v>Por definir</v>
      </c>
      <c r="K405" s="9" t="str">
        <f t="shared" si="466"/>
        <v>Superficie de glaciares por región</v>
      </c>
      <c r="L405" s="9" t="str">
        <f t="shared" si="466"/>
        <v>Periodo 2016-2021</v>
      </c>
      <c r="M405" s="9" t="str">
        <f t="shared" si="466"/>
        <v>Hectáreas</v>
      </c>
      <c r="N405" s="9" t="str">
        <f t="shared" si="466"/>
        <v>Elaboración propia con datos Dirección General de Aguas (DGA) e imágenes satelitales SENTINEL</v>
      </c>
      <c r="O405" s="20" t="str">
        <f>"Superficie de glaciares en la "&amp;Agencia[[#This Row],[territorio]]&amp;" para el "&amp;Agencia[[#This Row],[temporalidad]]</f>
        <v>Superficie de glaciares en la Región de Atacama para el Periodo 2016-2021</v>
      </c>
      <c r="P405" s="20"/>
      <c r="Q405" s="11" t="str">
        <f t="shared" ref="Q405" si="467">+Q404</f>
        <v>Gráfico</v>
      </c>
      <c r="R405" s="87" t="str">
        <f>Agencia[[#This Row],[territorio]]&amp;" glaciares cambio climático monitoreo hectáreas superficie"</f>
        <v>Región de Atacama glaciares cambio climático monitoreo hectáreas superficie</v>
      </c>
      <c r="S405" s="22" t="s">
        <v>423</v>
      </c>
      <c r="T405" s="68" t="str">
        <f>"100-R-"&amp;Agencia[[#This Row],[Filtro URL]]</f>
        <v>100-R-3</v>
      </c>
      <c r="U405" s="50" t="str">
        <f t="shared" si="457"/>
        <v>#1774B9</v>
      </c>
      <c r="V405" s="118" t="str">
        <f>+Agencia[[#This Row],[idcoleccion]]&amp;"-"&amp;Agencia[[#This Row],[id]]</f>
        <v>990-0394</v>
      </c>
      <c r="W405" s="118">
        <f>+VLOOKUP(Agencia[[#This Row],[Filtro URL]],Estructura!$X$4:$Y$500,2,0)</f>
        <v>99200003</v>
      </c>
      <c r="X405" s="118" t="str">
        <f>+VLOOKUP(Agencia[[#This Row],[tema]],Estructura!$A$4:$C$500,3,0)</f>
        <v>T-1002</v>
      </c>
      <c r="Y405" s="118" t="str">
        <f>+VLOOKUP(Agencia[[#This Row],[contenido]],Estructura!$E$4:$G$500,3,0)</f>
        <v>C-1001</v>
      </c>
      <c r="Z405" s="118" t="str">
        <f>+VLOOKUP(Agencia[[#This Row],[Filtro Integrado]],Estructura!$I$4:$K$500,3,0)</f>
        <v>FI-998</v>
      </c>
      <c r="AA405" s="118" t="str">
        <f>+VLOOKUP(Agencia[[#This Row],[Muestra]],Estructura!$M$4:$O$500,3,0)</f>
        <v>M-1031</v>
      </c>
    </row>
    <row r="406" spans="1:27" ht="60" x14ac:dyDescent="0.3">
      <c r="A406" s="21" t="s">
        <v>961</v>
      </c>
      <c r="B406" s="24">
        <f t="shared" ref="B406:D406" si="468">+B405</f>
        <v>990</v>
      </c>
      <c r="C406" s="25" t="str">
        <f t="shared" si="468"/>
        <v>Agencia Información</v>
      </c>
      <c r="D406" s="25" t="str">
        <f t="shared" si="468"/>
        <v>Medio Ambiente</v>
      </c>
      <c r="E406" s="19">
        <v>4</v>
      </c>
      <c r="F406" s="10" t="s">
        <v>1073</v>
      </c>
      <c r="G406" s="26" t="s">
        <v>3766</v>
      </c>
      <c r="H406" s="35" t="s">
        <v>16</v>
      </c>
      <c r="I406" s="36" t="s">
        <v>371</v>
      </c>
      <c r="J406" s="9" t="str">
        <f t="shared" ref="J406:N406" si="469">+J405</f>
        <v>Por definir</v>
      </c>
      <c r="K406" s="9" t="str">
        <f t="shared" si="469"/>
        <v>Superficie de glaciares por región</v>
      </c>
      <c r="L406" s="9" t="str">
        <f t="shared" si="469"/>
        <v>Periodo 2016-2021</v>
      </c>
      <c r="M406" s="9" t="str">
        <f t="shared" si="469"/>
        <v>Hectáreas</v>
      </c>
      <c r="N406" s="9" t="str">
        <f t="shared" si="469"/>
        <v>Elaboración propia con datos Dirección General de Aguas (DGA) e imágenes satelitales SENTINEL</v>
      </c>
      <c r="O406" s="20" t="str">
        <f>"Superficie de glaciares en la "&amp;Agencia[[#This Row],[territorio]]&amp;" para el "&amp;Agencia[[#This Row],[temporalidad]]</f>
        <v>Superficie de glaciares en la Región de Coquimbo para el Periodo 2016-2021</v>
      </c>
      <c r="P406" s="20"/>
      <c r="Q406" s="11" t="str">
        <f t="shared" ref="Q406" si="470">+Q405</f>
        <v>Gráfico</v>
      </c>
      <c r="R406" s="87" t="str">
        <f>Agencia[[#This Row],[territorio]]&amp;" glaciares cambio climático monitoreo hectáreas superficie"</f>
        <v>Región de Coquimbo glaciares cambio climático monitoreo hectáreas superficie</v>
      </c>
      <c r="S406" s="22" t="s">
        <v>423</v>
      </c>
      <c r="T406" s="68" t="str">
        <f>"100-R-"&amp;Agencia[[#This Row],[Filtro URL]]</f>
        <v>100-R-4</v>
      </c>
      <c r="U406" s="50" t="str">
        <f t="shared" si="457"/>
        <v>#1774B9</v>
      </c>
      <c r="V406" s="118" t="str">
        <f>+Agencia[[#This Row],[idcoleccion]]&amp;"-"&amp;Agencia[[#This Row],[id]]</f>
        <v>990-0395</v>
      </c>
      <c r="W406" s="118">
        <f>+VLOOKUP(Agencia[[#This Row],[Filtro URL]],Estructura!$X$4:$Y$500,2,0)</f>
        <v>99200004</v>
      </c>
      <c r="X406" s="118" t="str">
        <f>+VLOOKUP(Agencia[[#This Row],[tema]],Estructura!$A$4:$C$500,3,0)</f>
        <v>T-1002</v>
      </c>
      <c r="Y406" s="118" t="str">
        <f>+VLOOKUP(Agencia[[#This Row],[contenido]],Estructura!$E$4:$G$500,3,0)</f>
        <v>C-1001</v>
      </c>
      <c r="Z406" s="118" t="str">
        <f>+VLOOKUP(Agencia[[#This Row],[Filtro Integrado]],Estructura!$I$4:$K$500,3,0)</f>
        <v>FI-998</v>
      </c>
      <c r="AA406" s="118" t="str">
        <f>+VLOOKUP(Agencia[[#This Row],[Muestra]],Estructura!$M$4:$O$500,3,0)</f>
        <v>M-1031</v>
      </c>
    </row>
    <row r="407" spans="1:27" ht="60" x14ac:dyDescent="0.3">
      <c r="A407" s="21" t="s">
        <v>962</v>
      </c>
      <c r="B407" s="24">
        <f t="shared" ref="B407:D407" si="471">+B406</f>
        <v>990</v>
      </c>
      <c r="C407" s="25" t="str">
        <f t="shared" si="471"/>
        <v>Agencia Información</v>
      </c>
      <c r="D407" s="25" t="str">
        <f t="shared" si="471"/>
        <v>Medio Ambiente</v>
      </c>
      <c r="E407" s="19">
        <v>5</v>
      </c>
      <c r="F407" s="10" t="s">
        <v>1073</v>
      </c>
      <c r="G407" s="26" t="s">
        <v>3766</v>
      </c>
      <c r="H407" s="35" t="s">
        <v>16</v>
      </c>
      <c r="I407" s="36" t="s">
        <v>372</v>
      </c>
      <c r="J407" s="9" t="str">
        <f t="shared" ref="J407:N407" si="472">+J406</f>
        <v>Por definir</v>
      </c>
      <c r="K407" s="9" t="str">
        <f t="shared" si="472"/>
        <v>Superficie de glaciares por región</v>
      </c>
      <c r="L407" s="9" t="str">
        <f t="shared" si="472"/>
        <v>Periodo 2016-2021</v>
      </c>
      <c r="M407" s="9" t="str">
        <f t="shared" si="472"/>
        <v>Hectáreas</v>
      </c>
      <c r="N407" s="9" t="str">
        <f t="shared" si="472"/>
        <v>Elaboración propia con datos Dirección General de Aguas (DGA) e imágenes satelitales SENTINEL</v>
      </c>
      <c r="O407" s="20" t="str">
        <f>"Superficie de glaciares en la "&amp;Agencia[[#This Row],[territorio]]&amp;" para el "&amp;Agencia[[#This Row],[temporalidad]]</f>
        <v>Superficie de glaciares en la Región de Valparaíso para el Periodo 2016-2021</v>
      </c>
      <c r="P407" s="20"/>
      <c r="Q407" s="11" t="str">
        <f t="shared" ref="Q407" si="473">+Q406</f>
        <v>Gráfico</v>
      </c>
      <c r="R407" s="87" t="str">
        <f>Agencia[[#This Row],[territorio]]&amp;" glaciares cambio climático monitoreo hectáreas superficie"</f>
        <v>Región de Valparaíso glaciares cambio climático monitoreo hectáreas superficie</v>
      </c>
      <c r="S407" s="22" t="s">
        <v>423</v>
      </c>
      <c r="T407" s="68" t="str">
        <f>"100-R-"&amp;Agencia[[#This Row],[Filtro URL]]</f>
        <v>100-R-5</v>
      </c>
      <c r="U407" s="50" t="str">
        <f t="shared" si="457"/>
        <v>#1774B9</v>
      </c>
      <c r="V407" s="118" t="str">
        <f>+Agencia[[#This Row],[idcoleccion]]&amp;"-"&amp;Agencia[[#This Row],[id]]</f>
        <v>990-0396</v>
      </c>
      <c r="W407" s="118">
        <f>+VLOOKUP(Agencia[[#This Row],[Filtro URL]],Estructura!$X$4:$Y$500,2,0)</f>
        <v>99200005</v>
      </c>
      <c r="X407" s="118" t="str">
        <f>+VLOOKUP(Agencia[[#This Row],[tema]],Estructura!$A$4:$C$500,3,0)</f>
        <v>T-1002</v>
      </c>
      <c r="Y407" s="118" t="str">
        <f>+VLOOKUP(Agencia[[#This Row],[contenido]],Estructura!$E$4:$G$500,3,0)</f>
        <v>C-1001</v>
      </c>
      <c r="Z407" s="118" t="str">
        <f>+VLOOKUP(Agencia[[#This Row],[Filtro Integrado]],Estructura!$I$4:$K$500,3,0)</f>
        <v>FI-998</v>
      </c>
      <c r="AA407" s="118" t="str">
        <f>+VLOOKUP(Agencia[[#This Row],[Muestra]],Estructura!$M$4:$O$500,3,0)</f>
        <v>M-1031</v>
      </c>
    </row>
    <row r="408" spans="1:27" ht="60" x14ac:dyDescent="0.3">
      <c r="A408" s="21" t="s">
        <v>963</v>
      </c>
      <c r="B408" s="24">
        <f t="shared" ref="B408:D408" si="474">+B407</f>
        <v>990</v>
      </c>
      <c r="C408" s="25" t="str">
        <f t="shared" si="474"/>
        <v>Agencia Información</v>
      </c>
      <c r="D408" s="25" t="str">
        <f t="shared" si="474"/>
        <v>Medio Ambiente</v>
      </c>
      <c r="E408" s="19">
        <v>6</v>
      </c>
      <c r="F408" s="10" t="s">
        <v>1073</v>
      </c>
      <c r="G408" s="26" t="s">
        <v>3766</v>
      </c>
      <c r="H408" s="35" t="s">
        <v>16</v>
      </c>
      <c r="I408" s="36" t="s">
        <v>373</v>
      </c>
      <c r="J408" s="9" t="str">
        <f t="shared" ref="J408:N408" si="475">+J407</f>
        <v>Por definir</v>
      </c>
      <c r="K408" s="9" t="str">
        <f t="shared" si="475"/>
        <v>Superficie de glaciares por región</v>
      </c>
      <c r="L408" s="9" t="str">
        <f t="shared" si="475"/>
        <v>Periodo 2016-2021</v>
      </c>
      <c r="M408" s="9" t="str">
        <f t="shared" si="475"/>
        <v>Hectáreas</v>
      </c>
      <c r="N408" s="9" t="str">
        <f t="shared" si="475"/>
        <v>Elaboración propia con datos Dirección General de Aguas (DGA) e imágenes satelitales SENTINEL</v>
      </c>
      <c r="O408" s="20" t="str">
        <f>"Superficie de glaciares en la "&amp;Agencia[[#This Row],[territorio]]&amp;" para el "&amp;Agencia[[#This Row],[temporalidad]]</f>
        <v>Superficie de glaciares en la Región de O'Higgins para el Periodo 2016-2021</v>
      </c>
      <c r="P408" s="20"/>
      <c r="Q408" s="11" t="str">
        <f t="shared" ref="Q408" si="476">+Q407</f>
        <v>Gráfico</v>
      </c>
      <c r="R408" s="87" t="str">
        <f>Agencia[[#This Row],[territorio]]&amp;" glaciares cambio climático monitoreo hectáreas superficie"</f>
        <v>Región de O'Higgins glaciares cambio climático monitoreo hectáreas superficie</v>
      </c>
      <c r="S408" s="22" t="s">
        <v>423</v>
      </c>
      <c r="T408" s="68" t="str">
        <f>"100-R-"&amp;Agencia[[#This Row],[Filtro URL]]</f>
        <v>100-R-6</v>
      </c>
      <c r="U408" s="50" t="str">
        <f t="shared" si="457"/>
        <v>#1774B9</v>
      </c>
      <c r="V408" s="118" t="str">
        <f>+Agencia[[#This Row],[idcoleccion]]&amp;"-"&amp;Agencia[[#This Row],[id]]</f>
        <v>990-0397</v>
      </c>
      <c r="W408" s="118">
        <f>+VLOOKUP(Agencia[[#This Row],[Filtro URL]],Estructura!$X$4:$Y$500,2,0)</f>
        <v>99200006</v>
      </c>
      <c r="X408" s="118" t="str">
        <f>+VLOOKUP(Agencia[[#This Row],[tema]],Estructura!$A$4:$C$500,3,0)</f>
        <v>T-1002</v>
      </c>
      <c r="Y408" s="118" t="str">
        <f>+VLOOKUP(Agencia[[#This Row],[contenido]],Estructura!$E$4:$G$500,3,0)</f>
        <v>C-1001</v>
      </c>
      <c r="Z408" s="118" t="str">
        <f>+VLOOKUP(Agencia[[#This Row],[Filtro Integrado]],Estructura!$I$4:$K$500,3,0)</f>
        <v>FI-998</v>
      </c>
      <c r="AA408" s="118" t="str">
        <f>+VLOOKUP(Agencia[[#This Row],[Muestra]],Estructura!$M$4:$O$500,3,0)</f>
        <v>M-1031</v>
      </c>
    </row>
    <row r="409" spans="1:27" ht="60" x14ac:dyDescent="0.3">
      <c r="A409" s="21" t="s">
        <v>964</v>
      </c>
      <c r="B409" s="24">
        <f t="shared" ref="B409:D409" si="477">+B408</f>
        <v>990</v>
      </c>
      <c r="C409" s="25" t="str">
        <f t="shared" si="477"/>
        <v>Agencia Información</v>
      </c>
      <c r="D409" s="25" t="str">
        <f t="shared" si="477"/>
        <v>Medio Ambiente</v>
      </c>
      <c r="E409" s="19">
        <v>7</v>
      </c>
      <c r="F409" s="10" t="s">
        <v>1073</v>
      </c>
      <c r="G409" s="26" t="s">
        <v>3766</v>
      </c>
      <c r="H409" s="35" t="s">
        <v>16</v>
      </c>
      <c r="I409" s="36" t="s">
        <v>374</v>
      </c>
      <c r="J409" s="9" t="str">
        <f t="shared" ref="J409:N409" si="478">+J408</f>
        <v>Por definir</v>
      </c>
      <c r="K409" s="9" t="str">
        <f t="shared" si="478"/>
        <v>Superficie de glaciares por región</v>
      </c>
      <c r="L409" s="9" t="str">
        <f t="shared" si="478"/>
        <v>Periodo 2016-2021</v>
      </c>
      <c r="M409" s="9" t="str">
        <f t="shared" si="478"/>
        <v>Hectáreas</v>
      </c>
      <c r="N409" s="9" t="str">
        <f t="shared" si="478"/>
        <v>Elaboración propia con datos Dirección General de Aguas (DGA) e imágenes satelitales SENTINEL</v>
      </c>
      <c r="O409" s="20" t="str">
        <f>"Superficie de glaciares en la "&amp;Agencia[[#This Row],[territorio]]&amp;" para el "&amp;Agencia[[#This Row],[temporalidad]]</f>
        <v>Superficie de glaciares en la Región de Maule para el Periodo 2016-2021</v>
      </c>
      <c r="P409" s="20"/>
      <c r="Q409" s="11" t="str">
        <f t="shared" ref="Q409" si="479">+Q408</f>
        <v>Gráfico</v>
      </c>
      <c r="R409" s="87" t="str">
        <f>Agencia[[#This Row],[territorio]]&amp;" glaciares cambio climático monitoreo hectáreas superficie"</f>
        <v>Región de Maule glaciares cambio climático monitoreo hectáreas superficie</v>
      </c>
      <c r="S409" s="22" t="s">
        <v>423</v>
      </c>
      <c r="T409" s="68" t="str">
        <f>"100-R-"&amp;Agencia[[#This Row],[Filtro URL]]</f>
        <v>100-R-7</v>
      </c>
      <c r="U409" s="50" t="str">
        <f t="shared" si="457"/>
        <v>#1774B9</v>
      </c>
      <c r="V409" s="118" t="str">
        <f>+Agencia[[#This Row],[idcoleccion]]&amp;"-"&amp;Agencia[[#This Row],[id]]</f>
        <v>990-0398</v>
      </c>
      <c r="W409" s="118">
        <f>+VLOOKUP(Agencia[[#This Row],[Filtro URL]],Estructura!$X$4:$Y$500,2,0)</f>
        <v>99200007</v>
      </c>
      <c r="X409" s="118" t="str">
        <f>+VLOOKUP(Agencia[[#This Row],[tema]],Estructura!$A$4:$C$500,3,0)</f>
        <v>T-1002</v>
      </c>
      <c r="Y409" s="118" t="str">
        <f>+VLOOKUP(Agencia[[#This Row],[contenido]],Estructura!$E$4:$G$500,3,0)</f>
        <v>C-1001</v>
      </c>
      <c r="Z409" s="118" t="str">
        <f>+VLOOKUP(Agencia[[#This Row],[Filtro Integrado]],Estructura!$I$4:$K$500,3,0)</f>
        <v>FI-998</v>
      </c>
      <c r="AA409" s="118" t="str">
        <f>+VLOOKUP(Agencia[[#This Row],[Muestra]],Estructura!$M$4:$O$500,3,0)</f>
        <v>M-1031</v>
      </c>
    </row>
    <row r="410" spans="1:27" ht="60" x14ac:dyDescent="0.3">
      <c r="A410" s="21" t="s">
        <v>965</v>
      </c>
      <c r="B410" s="24">
        <f t="shared" ref="B410:D410" si="480">+B409</f>
        <v>990</v>
      </c>
      <c r="C410" s="25" t="str">
        <f t="shared" si="480"/>
        <v>Agencia Información</v>
      </c>
      <c r="D410" s="25" t="str">
        <f t="shared" si="480"/>
        <v>Medio Ambiente</v>
      </c>
      <c r="E410" s="19">
        <v>8</v>
      </c>
      <c r="F410" s="10" t="s">
        <v>1073</v>
      </c>
      <c r="G410" s="26" t="s">
        <v>3766</v>
      </c>
      <c r="H410" s="35" t="s">
        <v>16</v>
      </c>
      <c r="I410" s="36" t="s">
        <v>375</v>
      </c>
      <c r="J410" s="9" t="str">
        <f t="shared" ref="J410:N410" si="481">+J409</f>
        <v>Por definir</v>
      </c>
      <c r="K410" s="9" t="str">
        <f t="shared" si="481"/>
        <v>Superficie de glaciares por región</v>
      </c>
      <c r="L410" s="9" t="str">
        <f t="shared" si="481"/>
        <v>Periodo 2016-2021</v>
      </c>
      <c r="M410" s="9" t="str">
        <f t="shared" si="481"/>
        <v>Hectáreas</v>
      </c>
      <c r="N410" s="9" t="str">
        <f t="shared" si="481"/>
        <v>Elaboración propia con datos Dirección General de Aguas (DGA) e imágenes satelitales SENTINEL</v>
      </c>
      <c r="O410" s="20" t="str">
        <f>"Superficie de glaciares en la "&amp;Agencia[[#This Row],[territorio]]&amp;" para el "&amp;Agencia[[#This Row],[temporalidad]]</f>
        <v>Superficie de glaciares en la Región del Biobío para el Periodo 2016-2021</v>
      </c>
      <c r="P410" s="20"/>
      <c r="Q410" s="11" t="str">
        <f t="shared" ref="Q410" si="482">+Q409</f>
        <v>Gráfico</v>
      </c>
      <c r="R410" s="87" t="str">
        <f>Agencia[[#This Row],[territorio]]&amp;" glaciares cambio climático monitoreo hectáreas superficie"</f>
        <v>Región del Biobío glaciares cambio climático monitoreo hectáreas superficie</v>
      </c>
      <c r="S410" s="22" t="s">
        <v>423</v>
      </c>
      <c r="T410" s="68" t="str">
        <f>"100-R-"&amp;Agencia[[#This Row],[Filtro URL]]</f>
        <v>100-R-8</v>
      </c>
      <c r="U410" s="50" t="str">
        <f t="shared" si="457"/>
        <v>#1774B9</v>
      </c>
      <c r="V410" s="118" t="str">
        <f>+Agencia[[#This Row],[idcoleccion]]&amp;"-"&amp;Agencia[[#This Row],[id]]</f>
        <v>990-0399</v>
      </c>
      <c r="W410" s="118">
        <f>+VLOOKUP(Agencia[[#This Row],[Filtro URL]],Estructura!$X$4:$Y$500,2,0)</f>
        <v>99200008</v>
      </c>
      <c r="X410" s="118" t="str">
        <f>+VLOOKUP(Agencia[[#This Row],[tema]],Estructura!$A$4:$C$500,3,0)</f>
        <v>T-1002</v>
      </c>
      <c r="Y410" s="118" t="str">
        <f>+VLOOKUP(Agencia[[#This Row],[contenido]],Estructura!$E$4:$G$500,3,0)</f>
        <v>C-1001</v>
      </c>
      <c r="Z410" s="118" t="str">
        <f>+VLOOKUP(Agencia[[#This Row],[Filtro Integrado]],Estructura!$I$4:$K$500,3,0)</f>
        <v>FI-998</v>
      </c>
      <c r="AA410" s="118" t="str">
        <f>+VLOOKUP(Agencia[[#This Row],[Muestra]],Estructura!$M$4:$O$500,3,0)</f>
        <v>M-1031</v>
      </c>
    </row>
    <row r="411" spans="1:27" ht="60" x14ac:dyDescent="0.3">
      <c r="A411" s="21" t="s">
        <v>966</v>
      </c>
      <c r="B411" s="24">
        <f t="shared" ref="B411:D411" si="483">+B410</f>
        <v>990</v>
      </c>
      <c r="C411" s="25" t="str">
        <f t="shared" si="483"/>
        <v>Agencia Información</v>
      </c>
      <c r="D411" s="25" t="str">
        <f t="shared" si="483"/>
        <v>Medio Ambiente</v>
      </c>
      <c r="E411" s="19">
        <v>9</v>
      </c>
      <c r="F411" s="10" t="s">
        <v>1073</v>
      </c>
      <c r="G411" s="26" t="s">
        <v>3766</v>
      </c>
      <c r="H411" s="35" t="s">
        <v>16</v>
      </c>
      <c r="I411" s="36" t="s">
        <v>376</v>
      </c>
      <c r="J411" s="9" t="str">
        <f t="shared" ref="J411:N411" si="484">+J410</f>
        <v>Por definir</v>
      </c>
      <c r="K411" s="9" t="str">
        <f t="shared" si="484"/>
        <v>Superficie de glaciares por región</v>
      </c>
      <c r="L411" s="9" t="str">
        <f t="shared" si="484"/>
        <v>Periodo 2016-2021</v>
      </c>
      <c r="M411" s="9" t="str">
        <f t="shared" si="484"/>
        <v>Hectáreas</v>
      </c>
      <c r="N411" s="9" t="str">
        <f t="shared" si="484"/>
        <v>Elaboración propia con datos Dirección General de Aguas (DGA) e imágenes satelitales SENTINEL</v>
      </c>
      <c r="O411" s="20" t="str">
        <f>"Superficie de glaciares en la "&amp;Agencia[[#This Row],[territorio]]&amp;" para el "&amp;Agencia[[#This Row],[temporalidad]]</f>
        <v>Superficie de glaciares en la Región de La Araucanía para el Periodo 2016-2021</v>
      </c>
      <c r="P411" s="20"/>
      <c r="Q411" s="11" t="str">
        <f t="shared" ref="Q411" si="485">+Q410</f>
        <v>Gráfico</v>
      </c>
      <c r="R411" s="87" t="str">
        <f>Agencia[[#This Row],[territorio]]&amp;" glaciares cambio climático monitoreo hectáreas superficie"</f>
        <v>Región de La Araucanía glaciares cambio climático monitoreo hectáreas superficie</v>
      </c>
      <c r="S411" s="22" t="s">
        <v>423</v>
      </c>
      <c r="T411" s="68" t="str">
        <f>"100-R-"&amp;Agencia[[#This Row],[Filtro URL]]</f>
        <v>100-R-9</v>
      </c>
      <c r="U411" s="50" t="str">
        <f t="shared" si="457"/>
        <v>#1774B9</v>
      </c>
      <c r="V411" s="118" t="str">
        <f>+Agencia[[#This Row],[idcoleccion]]&amp;"-"&amp;Agencia[[#This Row],[id]]</f>
        <v>990-0400</v>
      </c>
      <c r="W411" s="118">
        <f>+VLOOKUP(Agencia[[#This Row],[Filtro URL]],Estructura!$X$4:$Y$500,2,0)</f>
        <v>99200009</v>
      </c>
      <c r="X411" s="118" t="str">
        <f>+VLOOKUP(Agencia[[#This Row],[tema]],Estructura!$A$4:$C$500,3,0)</f>
        <v>T-1002</v>
      </c>
      <c r="Y411" s="118" t="str">
        <f>+VLOOKUP(Agencia[[#This Row],[contenido]],Estructura!$E$4:$G$500,3,0)</f>
        <v>C-1001</v>
      </c>
      <c r="Z411" s="118" t="str">
        <f>+VLOOKUP(Agencia[[#This Row],[Filtro Integrado]],Estructura!$I$4:$K$500,3,0)</f>
        <v>FI-998</v>
      </c>
      <c r="AA411" s="118" t="str">
        <f>+VLOOKUP(Agencia[[#This Row],[Muestra]],Estructura!$M$4:$O$500,3,0)</f>
        <v>M-1031</v>
      </c>
    </row>
    <row r="412" spans="1:27" ht="60" x14ac:dyDescent="0.3">
      <c r="A412" s="21" t="s">
        <v>967</v>
      </c>
      <c r="B412" s="24">
        <f t="shared" ref="B412:D412" si="486">+B411</f>
        <v>990</v>
      </c>
      <c r="C412" s="25" t="str">
        <f t="shared" si="486"/>
        <v>Agencia Información</v>
      </c>
      <c r="D412" s="25" t="str">
        <f t="shared" si="486"/>
        <v>Medio Ambiente</v>
      </c>
      <c r="E412" s="19">
        <v>10</v>
      </c>
      <c r="F412" s="10" t="s">
        <v>1073</v>
      </c>
      <c r="G412" s="26" t="s">
        <v>3766</v>
      </c>
      <c r="H412" s="35" t="s">
        <v>16</v>
      </c>
      <c r="I412" s="36" t="s">
        <v>377</v>
      </c>
      <c r="J412" s="9" t="str">
        <f t="shared" ref="J412:N412" si="487">+J411</f>
        <v>Por definir</v>
      </c>
      <c r="K412" s="9" t="str">
        <f t="shared" si="487"/>
        <v>Superficie de glaciares por región</v>
      </c>
      <c r="L412" s="9" t="str">
        <f t="shared" si="487"/>
        <v>Periodo 2016-2021</v>
      </c>
      <c r="M412" s="9" t="str">
        <f t="shared" si="487"/>
        <v>Hectáreas</v>
      </c>
      <c r="N412" s="9" t="str">
        <f t="shared" si="487"/>
        <v>Elaboración propia con datos Dirección General de Aguas (DGA) e imágenes satelitales SENTINEL</v>
      </c>
      <c r="O412" s="20" t="str">
        <f>"Superficie de glaciares en la "&amp;Agencia[[#This Row],[territorio]]&amp;" para el "&amp;Agencia[[#This Row],[temporalidad]]</f>
        <v>Superficie de glaciares en la Región de Los Lagos para el Periodo 2016-2021</v>
      </c>
      <c r="P412" s="20"/>
      <c r="Q412" s="11" t="str">
        <f t="shared" ref="Q412" si="488">+Q411</f>
        <v>Gráfico</v>
      </c>
      <c r="R412" s="87" t="str">
        <f>Agencia[[#This Row],[territorio]]&amp;" glaciares cambio climático monitoreo hectáreas superficie"</f>
        <v>Región de Los Lagos glaciares cambio climático monitoreo hectáreas superficie</v>
      </c>
      <c r="S412" s="22" t="s">
        <v>423</v>
      </c>
      <c r="T412" s="68" t="str">
        <f>"100-R-"&amp;Agencia[[#This Row],[Filtro URL]]</f>
        <v>100-R-10</v>
      </c>
      <c r="U412" s="50" t="str">
        <f t="shared" si="457"/>
        <v>#1774B9</v>
      </c>
      <c r="V412" s="118" t="str">
        <f>+Agencia[[#This Row],[idcoleccion]]&amp;"-"&amp;Agencia[[#This Row],[id]]</f>
        <v>990-0401</v>
      </c>
      <c r="W412" s="118">
        <f>+VLOOKUP(Agencia[[#This Row],[Filtro URL]],Estructura!$X$4:$Y$500,2,0)</f>
        <v>99200010</v>
      </c>
      <c r="X412" s="118" t="str">
        <f>+VLOOKUP(Agencia[[#This Row],[tema]],Estructura!$A$4:$C$500,3,0)</f>
        <v>T-1002</v>
      </c>
      <c r="Y412" s="118" t="str">
        <f>+VLOOKUP(Agencia[[#This Row],[contenido]],Estructura!$E$4:$G$500,3,0)</f>
        <v>C-1001</v>
      </c>
      <c r="Z412" s="118" t="str">
        <f>+VLOOKUP(Agencia[[#This Row],[Filtro Integrado]],Estructura!$I$4:$K$500,3,0)</f>
        <v>FI-998</v>
      </c>
      <c r="AA412" s="118" t="str">
        <f>+VLOOKUP(Agencia[[#This Row],[Muestra]],Estructura!$M$4:$O$500,3,0)</f>
        <v>M-1031</v>
      </c>
    </row>
    <row r="413" spans="1:27" ht="60" x14ac:dyDescent="0.3">
      <c r="A413" s="21" t="s">
        <v>968</v>
      </c>
      <c r="B413" s="24">
        <f t="shared" ref="B413:D413" si="489">+B412</f>
        <v>990</v>
      </c>
      <c r="C413" s="25" t="str">
        <f t="shared" si="489"/>
        <v>Agencia Información</v>
      </c>
      <c r="D413" s="25" t="str">
        <f t="shared" si="489"/>
        <v>Medio Ambiente</v>
      </c>
      <c r="E413" s="19">
        <v>11</v>
      </c>
      <c r="F413" s="10" t="s">
        <v>1073</v>
      </c>
      <c r="G413" s="26" t="s">
        <v>3766</v>
      </c>
      <c r="H413" s="35" t="s">
        <v>16</v>
      </c>
      <c r="I413" s="36" t="s">
        <v>378</v>
      </c>
      <c r="J413" s="9" t="str">
        <f t="shared" ref="J413:N413" si="490">+J412</f>
        <v>Por definir</v>
      </c>
      <c r="K413" s="9" t="str">
        <f t="shared" si="490"/>
        <v>Superficie de glaciares por región</v>
      </c>
      <c r="L413" s="9" t="str">
        <f t="shared" si="490"/>
        <v>Periodo 2016-2021</v>
      </c>
      <c r="M413" s="9" t="str">
        <f t="shared" si="490"/>
        <v>Hectáreas</v>
      </c>
      <c r="N413" s="9" t="str">
        <f t="shared" si="490"/>
        <v>Elaboración propia con datos Dirección General de Aguas (DGA) e imágenes satelitales SENTINEL</v>
      </c>
      <c r="O413" s="20" t="str">
        <f>"Superficie de glaciares en la "&amp;Agencia[[#This Row],[territorio]]&amp;" para el "&amp;Agencia[[#This Row],[temporalidad]]</f>
        <v>Superficie de glaciares en la Región de Aysén para el Periodo 2016-2021</v>
      </c>
      <c r="P413" s="20"/>
      <c r="Q413" s="11" t="str">
        <f t="shared" ref="Q413" si="491">+Q412</f>
        <v>Gráfico</v>
      </c>
      <c r="R413" s="87" t="str">
        <f>Agencia[[#This Row],[territorio]]&amp;" glaciares cambio climático monitoreo hectáreas superficie"</f>
        <v>Región de Aysén glaciares cambio climático monitoreo hectáreas superficie</v>
      </c>
      <c r="S413" s="22" t="s">
        <v>423</v>
      </c>
      <c r="T413" s="68" t="str">
        <f>"100-R-"&amp;Agencia[[#This Row],[Filtro URL]]</f>
        <v>100-R-11</v>
      </c>
      <c r="U413" s="50" t="str">
        <f t="shared" si="457"/>
        <v>#1774B9</v>
      </c>
      <c r="V413" s="118" t="str">
        <f>+Agencia[[#This Row],[idcoleccion]]&amp;"-"&amp;Agencia[[#This Row],[id]]</f>
        <v>990-0402</v>
      </c>
      <c r="W413" s="118">
        <f>+VLOOKUP(Agencia[[#This Row],[Filtro URL]],Estructura!$X$4:$Y$500,2,0)</f>
        <v>99200011</v>
      </c>
      <c r="X413" s="118" t="str">
        <f>+VLOOKUP(Agencia[[#This Row],[tema]],Estructura!$A$4:$C$500,3,0)</f>
        <v>T-1002</v>
      </c>
      <c r="Y413" s="118" t="str">
        <f>+VLOOKUP(Agencia[[#This Row],[contenido]],Estructura!$E$4:$G$500,3,0)</f>
        <v>C-1001</v>
      </c>
      <c r="Z413" s="118" t="str">
        <f>+VLOOKUP(Agencia[[#This Row],[Filtro Integrado]],Estructura!$I$4:$K$500,3,0)</f>
        <v>FI-998</v>
      </c>
      <c r="AA413" s="118" t="str">
        <f>+VLOOKUP(Agencia[[#This Row],[Muestra]],Estructura!$M$4:$O$500,3,0)</f>
        <v>M-1031</v>
      </c>
    </row>
    <row r="414" spans="1:27" ht="60" x14ac:dyDescent="0.3">
      <c r="A414" s="21" t="s">
        <v>969</v>
      </c>
      <c r="B414" s="24">
        <f t="shared" ref="B414:D414" si="492">+B413</f>
        <v>990</v>
      </c>
      <c r="C414" s="25" t="str">
        <f t="shared" si="492"/>
        <v>Agencia Información</v>
      </c>
      <c r="D414" s="25" t="str">
        <f t="shared" si="492"/>
        <v>Medio Ambiente</v>
      </c>
      <c r="E414" s="19">
        <v>12</v>
      </c>
      <c r="F414" s="10" t="s">
        <v>1073</v>
      </c>
      <c r="G414" s="26" t="s">
        <v>3766</v>
      </c>
      <c r="H414" s="35" t="s">
        <v>16</v>
      </c>
      <c r="I414" s="36" t="s">
        <v>379</v>
      </c>
      <c r="J414" s="9" t="str">
        <f t="shared" ref="J414:N414" si="493">+J413</f>
        <v>Por definir</v>
      </c>
      <c r="K414" s="9" t="str">
        <f t="shared" si="493"/>
        <v>Superficie de glaciares por región</v>
      </c>
      <c r="L414" s="9" t="str">
        <f t="shared" si="493"/>
        <v>Periodo 2016-2021</v>
      </c>
      <c r="M414" s="9" t="str">
        <f t="shared" si="493"/>
        <v>Hectáreas</v>
      </c>
      <c r="N414" s="9" t="str">
        <f t="shared" si="493"/>
        <v>Elaboración propia con datos Dirección General de Aguas (DGA) e imágenes satelitales SENTINEL</v>
      </c>
      <c r="O414" s="20" t="str">
        <f>"Superficie de glaciares en la "&amp;Agencia[[#This Row],[territorio]]&amp;" para el "&amp;Agencia[[#This Row],[temporalidad]]</f>
        <v>Superficie de glaciares en la Región de Magallanes para el Periodo 2016-2021</v>
      </c>
      <c r="P414" s="20"/>
      <c r="Q414" s="11" t="str">
        <f t="shared" ref="Q414" si="494">+Q413</f>
        <v>Gráfico</v>
      </c>
      <c r="R414" s="87" t="str">
        <f>Agencia[[#This Row],[territorio]]&amp;" glaciares cambio climático monitoreo hectáreas superficie"</f>
        <v>Región de Magallanes glaciares cambio climático monitoreo hectáreas superficie</v>
      </c>
      <c r="S414" s="22" t="s">
        <v>423</v>
      </c>
      <c r="T414" s="68" t="str">
        <f>"100-R-"&amp;Agencia[[#This Row],[Filtro URL]]</f>
        <v>100-R-12</v>
      </c>
      <c r="U414" s="50" t="str">
        <f t="shared" si="457"/>
        <v>#1774B9</v>
      </c>
      <c r="V414" s="118" t="str">
        <f>+Agencia[[#This Row],[idcoleccion]]&amp;"-"&amp;Agencia[[#This Row],[id]]</f>
        <v>990-0403</v>
      </c>
      <c r="W414" s="118">
        <f>+VLOOKUP(Agencia[[#This Row],[Filtro URL]],Estructura!$X$4:$Y$500,2,0)</f>
        <v>99200012</v>
      </c>
      <c r="X414" s="118" t="str">
        <f>+VLOOKUP(Agencia[[#This Row],[tema]],Estructura!$A$4:$C$500,3,0)</f>
        <v>T-1002</v>
      </c>
      <c r="Y414" s="118" t="str">
        <f>+VLOOKUP(Agencia[[#This Row],[contenido]],Estructura!$E$4:$G$500,3,0)</f>
        <v>C-1001</v>
      </c>
      <c r="Z414" s="118" t="str">
        <f>+VLOOKUP(Agencia[[#This Row],[Filtro Integrado]],Estructura!$I$4:$K$500,3,0)</f>
        <v>FI-998</v>
      </c>
      <c r="AA414" s="118" t="str">
        <f>+VLOOKUP(Agencia[[#This Row],[Muestra]],Estructura!$M$4:$O$500,3,0)</f>
        <v>M-1031</v>
      </c>
    </row>
    <row r="415" spans="1:27" ht="60" x14ac:dyDescent="0.3">
      <c r="A415" s="21" t="s">
        <v>970</v>
      </c>
      <c r="B415" s="24">
        <f t="shared" ref="B415:D415" si="495">+B414</f>
        <v>990</v>
      </c>
      <c r="C415" s="25" t="str">
        <f t="shared" si="495"/>
        <v>Agencia Información</v>
      </c>
      <c r="D415" s="25" t="str">
        <f t="shared" si="495"/>
        <v>Medio Ambiente</v>
      </c>
      <c r="E415" s="19">
        <v>13</v>
      </c>
      <c r="F415" s="10" t="s">
        <v>1073</v>
      </c>
      <c r="G415" s="26" t="s">
        <v>3766</v>
      </c>
      <c r="H415" s="35" t="s">
        <v>16</v>
      </c>
      <c r="I415" s="36" t="s">
        <v>380</v>
      </c>
      <c r="J415" s="9" t="str">
        <f t="shared" ref="J415:N415" si="496">+J414</f>
        <v>Por definir</v>
      </c>
      <c r="K415" s="9" t="str">
        <f t="shared" si="496"/>
        <v>Superficie de glaciares por región</v>
      </c>
      <c r="L415" s="9" t="str">
        <f t="shared" si="496"/>
        <v>Periodo 2016-2021</v>
      </c>
      <c r="M415" s="9" t="str">
        <f t="shared" si="496"/>
        <v>Hectáreas</v>
      </c>
      <c r="N415" s="9" t="str">
        <f t="shared" si="496"/>
        <v>Elaboración propia con datos Dirección General de Aguas (DGA) e imágenes satelitales SENTINEL</v>
      </c>
      <c r="O415" s="20" t="str">
        <f>"Superficie de glaciares en la "&amp;Agencia[[#This Row],[territorio]]&amp;" para el "&amp;Agencia[[#This Row],[temporalidad]]</f>
        <v>Superficie de glaciares en la Región Metropolitana para el Periodo 2016-2021</v>
      </c>
      <c r="P415" s="20"/>
      <c r="Q415" s="11" t="str">
        <f t="shared" ref="Q415" si="497">+Q414</f>
        <v>Gráfico</v>
      </c>
      <c r="R415" s="87" t="str">
        <f>Agencia[[#This Row],[territorio]]&amp;" glaciares cambio climático monitoreo hectáreas superficie"</f>
        <v>Región Metropolitana glaciares cambio climático monitoreo hectáreas superficie</v>
      </c>
      <c r="S415" s="22" t="s">
        <v>423</v>
      </c>
      <c r="T415" s="68" t="str">
        <f>"200-R-"&amp;Agencia[[#This Row],[Filtro URL]]</f>
        <v>200-R-13</v>
      </c>
      <c r="U415" s="50" t="str">
        <f t="shared" si="457"/>
        <v>#1774B9</v>
      </c>
      <c r="V415" s="118" t="str">
        <f>+Agencia[[#This Row],[idcoleccion]]&amp;"-"&amp;Agencia[[#This Row],[id]]</f>
        <v>990-0404</v>
      </c>
      <c r="W415" s="118">
        <f>+VLOOKUP(Agencia[[#This Row],[Filtro URL]],Estructura!$X$4:$Y$500,2,0)</f>
        <v>99200013</v>
      </c>
      <c r="X415" s="118" t="str">
        <f>+VLOOKUP(Agencia[[#This Row],[tema]],Estructura!$A$4:$C$500,3,0)</f>
        <v>T-1002</v>
      </c>
      <c r="Y415" s="118" t="str">
        <f>+VLOOKUP(Agencia[[#This Row],[contenido]],Estructura!$E$4:$G$500,3,0)</f>
        <v>C-1001</v>
      </c>
      <c r="Z415" s="118" t="str">
        <f>+VLOOKUP(Agencia[[#This Row],[Filtro Integrado]],Estructura!$I$4:$K$500,3,0)</f>
        <v>FI-998</v>
      </c>
      <c r="AA415" s="118" t="str">
        <f>+VLOOKUP(Agencia[[#This Row],[Muestra]],Estructura!$M$4:$O$500,3,0)</f>
        <v>M-1031</v>
      </c>
    </row>
    <row r="416" spans="1:27" ht="60" x14ac:dyDescent="0.3">
      <c r="A416" s="21" t="s">
        <v>971</v>
      </c>
      <c r="B416" s="24">
        <f t="shared" ref="B416:D416" si="498">+B415</f>
        <v>990</v>
      </c>
      <c r="C416" s="25" t="str">
        <f t="shared" si="498"/>
        <v>Agencia Información</v>
      </c>
      <c r="D416" s="25" t="str">
        <f t="shared" si="498"/>
        <v>Medio Ambiente</v>
      </c>
      <c r="E416" s="19">
        <v>14</v>
      </c>
      <c r="F416" s="10" t="s">
        <v>1073</v>
      </c>
      <c r="G416" s="26" t="s">
        <v>3766</v>
      </c>
      <c r="H416" s="35" t="s">
        <v>16</v>
      </c>
      <c r="I416" s="36" t="s">
        <v>381</v>
      </c>
      <c r="J416" s="9" t="str">
        <f t="shared" ref="J416:N416" si="499">+J415</f>
        <v>Por definir</v>
      </c>
      <c r="K416" s="9" t="str">
        <f t="shared" si="499"/>
        <v>Superficie de glaciares por región</v>
      </c>
      <c r="L416" s="9" t="str">
        <f t="shared" si="499"/>
        <v>Periodo 2016-2021</v>
      </c>
      <c r="M416" s="9" t="str">
        <f t="shared" si="499"/>
        <v>Hectáreas</v>
      </c>
      <c r="N416" s="9" t="str">
        <f t="shared" si="499"/>
        <v>Elaboración propia con datos Dirección General de Aguas (DGA) e imágenes satelitales SENTINEL</v>
      </c>
      <c r="O416" s="20" t="str">
        <f>"Superficie de glaciares en la "&amp;Agencia[[#This Row],[territorio]]&amp;" para el "&amp;Agencia[[#This Row],[temporalidad]]</f>
        <v>Superficie de glaciares en la Región de Los Ríos para el Periodo 2016-2021</v>
      </c>
      <c r="P416" s="20"/>
      <c r="Q416" s="11" t="str">
        <f t="shared" ref="Q416" si="500">+Q415</f>
        <v>Gráfico</v>
      </c>
      <c r="R416" s="87" t="str">
        <f>Agencia[[#This Row],[territorio]]&amp;" glaciares cambio climático monitoreo hectáreas superficie"</f>
        <v>Región de Los Ríos glaciares cambio climático monitoreo hectáreas superficie</v>
      </c>
      <c r="S416" s="22" t="s">
        <v>423</v>
      </c>
      <c r="T416" s="68" t="str">
        <f>"100-R-"&amp;Agencia[[#This Row],[Filtro URL]]</f>
        <v>100-R-14</v>
      </c>
      <c r="U416" s="50" t="str">
        <f t="shared" si="457"/>
        <v>#1774B9</v>
      </c>
      <c r="V416" s="118" t="str">
        <f>+Agencia[[#This Row],[idcoleccion]]&amp;"-"&amp;Agencia[[#This Row],[id]]</f>
        <v>990-0405</v>
      </c>
      <c r="W416" s="118">
        <f>+VLOOKUP(Agencia[[#This Row],[Filtro URL]],Estructura!$X$4:$Y$500,2,0)</f>
        <v>99200014</v>
      </c>
      <c r="X416" s="118" t="str">
        <f>+VLOOKUP(Agencia[[#This Row],[tema]],Estructura!$A$4:$C$500,3,0)</f>
        <v>T-1002</v>
      </c>
      <c r="Y416" s="118" t="str">
        <f>+VLOOKUP(Agencia[[#This Row],[contenido]],Estructura!$E$4:$G$500,3,0)</f>
        <v>C-1001</v>
      </c>
      <c r="Z416" s="118" t="str">
        <f>+VLOOKUP(Agencia[[#This Row],[Filtro Integrado]],Estructura!$I$4:$K$500,3,0)</f>
        <v>FI-998</v>
      </c>
      <c r="AA416" s="118" t="str">
        <f>+VLOOKUP(Agencia[[#This Row],[Muestra]],Estructura!$M$4:$O$500,3,0)</f>
        <v>M-1031</v>
      </c>
    </row>
    <row r="417" spans="1:27" ht="60" x14ac:dyDescent="0.3">
      <c r="A417" s="21" t="s">
        <v>972</v>
      </c>
      <c r="B417" s="24">
        <f t="shared" ref="B417:D417" si="501">+B416</f>
        <v>990</v>
      </c>
      <c r="C417" s="25" t="str">
        <f t="shared" si="501"/>
        <v>Agencia Información</v>
      </c>
      <c r="D417" s="25" t="str">
        <f t="shared" si="501"/>
        <v>Medio Ambiente</v>
      </c>
      <c r="E417" s="19">
        <v>15</v>
      </c>
      <c r="F417" s="10" t="s">
        <v>1073</v>
      </c>
      <c r="G417" s="26" t="s">
        <v>3766</v>
      </c>
      <c r="H417" s="35" t="s">
        <v>16</v>
      </c>
      <c r="I417" s="36" t="s">
        <v>382</v>
      </c>
      <c r="J417" s="9" t="str">
        <f t="shared" ref="J417:N417" si="502">+J416</f>
        <v>Por definir</v>
      </c>
      <c r="K417" s="9" t="str">
        <f t="shared" si="502"/>
        <v>Superficie de glaciares por región</v>
      </c>
      <c r="L417" s="9" t="str">
        <f t="shared" si="502"/>
        <v>Periodo 2016-2021</v>
      </c>
      <c r="M417" s="9" t="str">
        <f t="shared" si="502"/>
        <v>Hectáreas</v>
      </c>
      <c r="N417" s="9" t="str">
        <f t="shared" si="502"/>
        <v>Elaboración propia con datos Dirección General de Aguas (DGA) e imágenes satelitales SENTINEL</v>
      </c>
      <c r="O417" s="20" t="str">
        <f>"Superficie de glaciares en la "&amp;Agencia[[#This Row],[territorio]]&amp;" para el "&amp;Agencia[[#This Row],[temporalidad]]</f>
        <v>Superficie de glaciares en la Región de Arica y Parinacota para el Periodo 2016-2021</v>
      </c>
      <c r="P417" s="20"/>
      <c r="Q417" s="11" t="str">
        <f t="shared" ref="Q417" si="503">+Q416</f>
        <v>Gráfico</v>
      </c>
      <c r="R417" s="87" t="str">
        <f>Agencia[[#This Row],[territorio]]&amp;" glaciares cambio climático monitoreo hectáreas superficie"</f>
        <v>Región de Arica y Parinacota glaciares cambio climático monitoreo hectáreas superficie</v>
      </c>
      <c r="S417" s="22" t="s">
        <v>423</v>
      </c>
      <c r="T417" s="68" t="str">
        <f>"100-R-"&amp;Agencia[[#This Row],[Filtro URL]]</f>
        <v>100-R-15</v>
      </c>
      <c r="U417" s="50" t="str">
        <f t="shared" si="457"/>
        <v>#1774B9</v>
      </c>
      <c r="V417" s="118" t="str">
        <f>+Agencia[[#This Row],[idcoleccion]]&amp;"-"&amp;Agencia[[#This Row],[id]]</f>
        <v>990-0406</v>
      </c>
      <c r="W417" s="118">
        <f>+VLOOKUP(Agencia[[#This Row],[Filtro URL]],Estructura!$X$4:$Y$500,2,0)</f>
        <v>99200015</v>
      </c>
      <c r="X417" s="118" t="str">
        <f>+VLOOKUP(Agencia[[#This Row],[tema]],Estructura!$A$4:$C$500,3,0)</f>
        <v>T-1002</v>
      </c>
      <c r="Y417" s="118" t="str">
        <f>+VLOOKUP(Agencia[[#This Row],[contenido]],Estructura!$E$4:$G$500,3,0)</f>
        <v>C-1001</v>
      </c>
      <c r="Z417" s="118" t="str">
        <f>+VLOOKUP(Agencia[[#This Row],[Filtro Integrado]],Estructura!$I$4:$K$500,3,0)</f>
        <v>FI-998</v>
      </c>
      <c r="AA417" s="118" t="str">
        <f>+VLOOKUP(Agencia[[#This Row],[Muestra]],Estructura!$M$4:$O$500,3,0)</f>
        <v>M-1031</v>
      </c>
    </row>
    <row r="418" spans="1:27" ht="60" x14ac:dyDescent="0.3">
      <c r="A418" s="21" t="s">
        <v>973</v>
      </c>
      <c r="B418" s="24">
        <f t="shared" ref="B418:D418" si="504">+B417</f>
        <v>990</v>
      </c>
      <c r="C418" s="25" t="str">
        <f t="shared" si="504"/>
        <v>Agencia Información</v>
      </c>
      <c r="D418" s="25" t="str">
        <f t="shared" si="504"/>
        <v>Medio Ambiente</v>
      </c>
      <c r="E418" s="19">
        <v>16</v>
      </c>
      <c r="F418" s="10" t="s">
        <v>1073</v>
      </c>
      <c r="G418" s="26" t="s">
        <v>3766</v>
      </c>
      <c r="H418" s="35" t="s">
        <v>16</v>
      </c>
      <c r="I418" s="36" t="s">
        <v>383</v>
      </c>
      <c r="J418" s="9" t="str">
        <f t="shared" ref="J418:N418" si="505">+J417</f>
        <v>Por definir</v>
      </c>
      <c r="K418" s="9" t="str">
        <f t="shared" si="505"/>
        <v>Superficie de glaciares por región</v>
      </c>
      <c r="L418" s="9" t="str">
        <f t="shared" si="505"/>
        <v>Periodo 2016-2021</v>
      </c>
      <c r="M418" s="9" t="str">
        <f t="shared" si="505"/>
        <v>Hectáreas</v>
      </c>
      <c r="N418" s="9" t="str">
        <f t="shared" si="505"/>
        <v>Elaboración propia con datos Dirección General de Aguas (DGA) e imágenes satelitales SENTINEL</v>
      </c>
      <c r="O418" s="20" t="str">
        <f>"Superficie de glaciares en la "&amp;Agencia[[#This Row],[territorio]]&amp;" para el "&amp;Agencia[[#This Row],[temporalidad]]</f>
        <v>Superficie de glaciares en la Región de Ñuble para el Periodo 2016-2021</v>
      </c>
      <c r="P418" s="20"/>
      <c r="Q418" s="11" t="str">
        <f t="shared" ref="Q418" si="506">+Q417</f>
        <v>Gráfico</v>
      </c>
      <c r="R418" s="87" t="str">
        <f>Agencia[[#This Row],[territorio]]&amp;" glaciares cambio climático monitoreo hectáreas superficie"</f>
        <v>Región de Ñuble glaciares cambio climático monitoreo hectáreas superficie</v>
      </c>
      <c r="S418" s="22" t="s">
        <v>423</v>
      </c>
      <c r="T418" s="68" t="str">
        <f>"100-R-"&amp;Agencia[[#This Row],[Filtro URL]]</f>
        <v>100-R-16</v>
      </c>
      <c r="U418" s="50" t="str">
        <f t="shared" si="457"/>
        <v>#1774B9</v>
      </c>
      <c r="V418" s="118" t="str">
        <f>+Agencia[[#This Row],[idcoleccion]]&amp;"-"&amp;Agencia[[#This Row],[id]]</f>
        <v>990-0407</v>
      </c>
      <c r="W418" s="118">
        <f>+VLOOKUP(Agencia[[#This Row],[Filtro URL]],Estructura!$X$4:$Y$500,2,0)</f>
        <v>99200016</v>
      </c>
      <c r="X418" s="118" t="str">
        <f>+VLOOKUP(Agencia[[#This Row],[tema]],Estructura!$A$4:$C$500,3,0)</f>
        <v>T-1002</v>
      </c>
      <c r="Y418" s="118" t="str">
        <f>+VLOOKUP(Agencia[[#This Row],[contenido]],Estructura!$E$4:$G$500,3,0)</f>
        <v>C-1001</v>
      </c>
      <c r="Z418" s="118" t="str">
        <f>+VLOOKUP(Agencia[[#This Row],[Filtro Integrado]],Estructura!$I$4:$K$500,3,0)</f>
        <v>FI-998</v>
      </c>
      <c r="AA418" s="118" t="str">
        <f>+VLOOKUP(Agencia[[#This Row],[Muestra]],Estructura!$M$4:$O$500,3,0)</f>
        <v>M-1031</v>
      </c>
    </row>
    <row r="419" spans="1:27" ht="72" x14ac:dyDescent="0.3">
      <c r="A419" s="21" t="s">
        <v>974</v>
      </c>
      <c r="B419" s="24">
        <f t="shared" ref="B419:C419" si="507">+B418</f>
        <v>990</v>
      </c>
      <c r="C419" s="25" t="str">
        <f t="shared" si="507"/>
        <v>Agencia Información</v>
      </c>
      <c r="D419" s="25" t="s">
        <v>870</v>
      </c>
      <c r="E419" s="14">
        <v>0</v>
      </c>
      <c r="F419" s="26" t="s">
        <v>871</v>
      </c>
      <c r="G419" s="26" t="s">
        <v>3765</v>
      </c>
      <c r="H419" s="33" t="s">
        <v>20</v>
      </c>
      <c r="I419" s="34" t="s">
        <v>15</v>
      </c>
      <c r="J419" s="9" t="s">
        <v>16</v>
      </c>
      <c r="K419" s="9" t="s">
        <v>1078</v>
      </c>
      <c r="L419" s="9" t="s">
        <v>460</v>
      </c>
      <c r="M419" s="9" t="s">
        <v>426</v>
      </c>
      <c r="N419" s="9" t="s">
        <v>873</v>
      </c>
      <c r="O419" s="20" t="str">
        <f>"Representación geográfica de regiones con la proporción de comunas que poseen IPT's locales, para el "&amp;Agencia[[#This Row],[temporalidad]]</f>
        <v>Representación geográfica de regiones con la proporción de comunas que poseen IPT's locales, para el Año 2020</v>
      </c>
      <c r="P419" s="20" t="s">
        <v>1077</v>
      </c>
      <c r="Q419" s="11" t="s">
        <v>606</v>
      </c>
      <c r="R419" s="20" t="str">
        <f>Agencia[[#This Row],[territorio]]&amp;" plan regulador comunal instrumento planificación territorial local proporción comunas límite urbano plan seccional"</f>
        <v>Chile plan regulador comunal instrumento planificación territorial local proporción comunas límite urbano plan seccional</v>
      </c>
      <c r="S419" s="39" t="s">
        <v>1079</v>
      </c>
      <c r="T419" s="68">
        <v>0</v>
      </c>
      <c r="U419" s="50" t="str">
        <f t="shared" si="457"/>
        <v>#1774B9</v>
      </c>
      <c r="V419" s="118" t="str">
        <f>+Agencia[[#This Row],[idcoleccion]]&amp;"-"&amp;Agencia[[#This Row],[id]]</f>
        <v>990-0408</v>
      </c>
      <c r="W419" s="118">
        <f>+VLOOKUP(Agencia[[#This Row],[Filtro URL]],Estructura!$X$4:$Y$500,2,0)</f>
        <v>99100000</v>
      </c>
      <c r="X419" s="118" t="str">
        <f>+VLOOKUP(Agencia[[#This Row],[tema]],Estructura!$A$4:$C$500,3,0)</f>
        <v>T-1037</v>
      </c>
      <c r="Y419" s="118" t="str">
        <f>+VLOOKUP(Agencia[[#This Row],[contenido]],Estructura!$E$4:$G$500,3,0)</f>
        <v>C-999</v>
      </c>
      <c r="Z419" s="118" t="str">
        <f>+VLOOKUP(Agencia[[#This Row],[Filtro Integrado]],Estructura!$I$4:$K$500,3,0)</f>
        <v>FI-992</v>
      </c>
      <c r="AA419" s="118" t="str">
        <f>+VLOOKUP(Agencia[[#This Row],[Muestra]],Estructura!$M$4:$O$500,3,0)</f>
        <v>M-1032</v>
      </c>
    </row>
    <row r="420" spans="1:27" ht="48" x14ac:dyDescent="0.3">
      <c r="A420" s="21" t="s">
        <v>975</v>
      </c>
      <c r="B420" s="24">
        <f t="shared" ref="B420:C420" si="508">+B419</f>
        <v>990</v>
      </c>
      <c r="C420" s="25" t="str">
        <f t="shared" si="508"/>
        <v>Agencia Información</v>
      </c>
      <c r="D420" s="25" t="s">
        <v>578</v>
      </c>
      <c r="E420" s="14">
        <v>0</v>
      </c>
      <c r="F420" s="10" t="s">
        <v>1081</v>
      </c>
      <c r="G420" s="26" t="s">
        <v>7428</v>
      </c>
      <c r="H420" s="33" t="s">
        <v>20</v>
      </c>
      <c r="I420" s="34" t="s">
        <v>15</v>
      </c>
      <c r="J420" s="9" t="s">
        <v>16</v>
      </c>
      <c r="K420" s="9" t="s">
        <v>3782</v>
      </c>
      <c r="L420" s="9" t="s">
        <v>886</v>
      </c>
      <c r="M420" s="9" t="s">
        <v>581</v>
      </c>
      <c r="N420" s="9" t="s">
        <v>1082</v>
      </c>
      <c r="O420" s="20" t="str">
        <f>"Desembarque total por tipo (industrial o artesanal) a nivel regional en "&amp;Agencia[[#This Row],[territorio]]&amp;" para el "&amp;Agencia[[#This Row],[temporalidad]]</f>
        <v>Desembarque total por tipo (industrial o artesanal) a nivel regional en Chile para el Año 2019</v>
      </c>
      <c r="P420" s="20" t="s">
        <v>423</v>
      </c>
      <c r="Q420" s="11" t="s">
        <v>584</v>
      </c>
      <c r="R420" s="20" t="str">
        <f>Agencia[[#This Row],[territorio]]&amp;" pesca artesanal industrial desembarque toneladas"</f>
        <v>Chile pesca artesanal industrial desembarque toneladas</v>
      </c>
      <c r="S420" s="22" t="s">
        <v>423</v>
      </c>
      <c r="T420" s="68" t="s">
        <v>1033</v>
      </c>
      <c r="U420" s="50" t="str">
        <f t="shared" si="457"/>
        <v>#1774B9</v>
      </c>
      <c r="V420" s="118" t="str">
        <f>+Agencia[[#This Row],[idcoleccion]]&amp;"-"&amp;Agencia[[#This Row],[id]]</f>
        <v>990-0409</v>
      </c>
      <c r="W420" s="118">
        <f>+VLOOKUP(Agencia[[#This Row],[Filtro URL]],Estructura!$X$4:$Y$500,2,0)</f>
        <v>99100000</v>
      </c>
      <c r="X420" s="118" t="str">
        <f>+VLOOKUP(Agencia[[#This Row],[tema]],Estructura!$A$4:$C$500,3,0)</f>
        <v>T-1003</v>
      </c>
      <c r="Y420" s="118" t="str">
        <f>+VLOOKUP(Agencia[[#This Row],[contenido]],Estructura!$E$4:$G$500,3,0)</f>
        <v>C-1020</v>
      </c>
      <c r="Z420" s="118" t="str">
        <f>+VLOOKUP(Agencia[[#This Row],[Filtro Integrado]],Estructura!$I$4:$K$500,3,0)</f>
        <v>FI-992</v>
      </c>
      <c r="AA420" s="118" t="str">
        <f>+VLOOKUP(Agencia[[#This Row],[Muestra]],Estructura!$M$4:$O$500,3,0)</f>
        <v>M-1085</v>
      </c>
    </row>
    <row r="421" spans="1:27" ht="48" x14ac:dyDescent="0.3">
      <c r="A421" s="21" t="s">
        <v>976</v>
      </c>
      <c r="B421" s="24">
        <f t="shared" ref="B421:D421" si="509">+B420</f>
        <v>990</v>
      </c>
      <c r="C421" s="25" t="str">
        <f t="shared" si="509"/>
        <v>Agencia Información</v>
      </c>
      <c r="D421" s="25" t="str">
        <f t="shared" si="509"/>
        <v>Agropecuario y Forestal</v>
      </c>
      <c r="E421" s="19">
        <v>1</v>
      </c>
      <c r="F421" s="10" t="s">
        <v>1081</v>
      </c>
      <c r="G421" s="91" t="s">
        <v>7428</v>
      </c>
      <c r="H421" s="35" t="s">
        <v>16</v>
      </c>
      <c r="I421" s="36" t="s">
        <v>368</v>
      </c>
      <c r="J421" s="9" t="s">
        <v>404</v>
      </c>
      <c r="K421" s="9" t="str">
        <f t="shared" ref="K421:N421" si="510">+K420</f>
        <v>Toneladas desembarcadas por tipo de pesca por región</v>
      </c>
      <c r="L421" s="9" t="str">
        <f t="shared" si="510"/>
        <v>Año 2019</v>
      </c>
      <c r="M421" s="9" t="str">
        <f t="shared" si="510"/>
        <v>Toneladas</v>
      </c>
      <c r="N421" s="9" t="str">
        <f t="shared" si="510"/>
        <v>Servicio Nacional de Pesca y Acuicultura (SERNAPESCA)</v>
      </c>
      <c r="O421" s="20" t="str">
        <f>"Desembarque total por tipo (industrial o artesanal) en la "&amp;Agencia[[#This Row],[territorio]]&amp;" para el "&amp;Agencia[[#This Row],[temporalidad]]</f>
        <v>Desembarque total por tipo (industrial o artesanal) en la Región de Tarapacá para el Año 2019</v>
      </c>
      <c r="P421" s="20"/>
      <c r="Q421" s="11" t="str">
        <f t="shared" ref="Q421" si="511">+Q420</f>
        <v>Gráfico</v>
      </c>
      <c r="R421" s="87" t="str">
        <f>Agencia[[#This Row],[territorio]]&amp;" pesca artesanal industrial desembarque toneladas"</f>
        <v>Región de Tarapacá pesca artesanal industrial desembarque toneladas</v>
      </c>
      <c r="S421" s="22" t="s">
        <v>423</v>
      </c>
      <c r="T421" s="69" t="str">
        <f>"100-C-"&amp;Agencia[[#This Row],[Filtro URL]]</f>
        <v>100-C-1</v>
      </c>
      <c r="U421" s="50" t="str">
        <f t="shared" si="457"/>
        <v>#1774B9</v>
      </c>
      <c r="V421" s="118" t="str">
        <f>+Agencia[[#This Row],[idcoleccion]]&amp;"-"&amp;Agencia[[#This Row],[id]]</f>
        <v>990-0410</v>
      </c>
      <c r="W421" s="118">
        <f>+VLOOKUP(Agencia[[#This Row],[Filtro URL]],Estructura!$X$4:$Y$500,2,0)</f>
        <v>99200001</v>
      </c>
      <c r="X421" s="118" t="str">
        <f>+VLOOKUP(Agencia[[#This Row],[tema]],Estructura!$A$4:$C$500,3,0)</f>
        <v>T-1003</v>
      </c>
      <c r="Y421" s="118" t="str">
        <f>+VLOOKUP(Agencia[[#This Row],[contenido]],Estructura!$E$4:$G$500,3,0)</f>
        <v>C-1020</v>
      </c>
      <c r="Z421" s="118" t="str">
        <f>+VLOOKUP(Agencia[[#This Row],[Filtro Integrado]],Estructura!$I$4:$K$500,3,0)</f>
        <v>FI-993</v>
      </c>
      <c r="AA421" s="118" t="str">
        <f>+VLOOKUP(Agencia[[#This Row],[Muestra]],Estructura!$M$4:$O$500,3,0)</f>
        <v>M-1085</v>
      </c>
    </row>
    <row r="422" spans="1:27" ht="48" x14ac:dyDescent="0.3">
      <c r="A422" s="21" t="s">
        <v>977</v>
      </c>
      <c r="B422" s="24">
        <f t="shared" ref="B422:D422" si="512">+B421</f>
        <v>990</v>
      </c>
      <c r="C422" s="25" t="str">
        <f t="shared" si="512"/>
        <v>Agencia Información</v>
      </c>
      <c r="D422" s="25" t="str">
        <f t="shared" si="512"/>
        <v>Agropecuario y Forestal</v>
      </c>
      <c r="E422" s="19">
        <v>2</v>
      </c>
      <c r="F422" s="10" t="s">
        <v>1081</v>
      </c>
      <c r="G422" s="91" t="s">
        <v>7428</v>
      </c>
      <c r="H422" s="35" t="s">
        <v>16</v>
      </c>
      <c r="I422" s="36" t="s">
        <v>369</v>
      </c>
      <c r="J422" s="9" t="str">
        <f t="shared" ref="J422:N422" si="513">+J421</f>
        <v>Ninguno</v>
      </c>
      <c r="K422" s="9" t="str">
        <f t="shared" si="513"/>
        <v>Toneladas desembarcadas por tipo de pesca por región</v>
      </c>
      <c r="L422" s="9" t="str">
        <f t="shared" si="513"/>
        <v>Año 2019</v>
      </c>
      <c r="M422" s="9" t="str">
        <f t="shared" si="513"/>
        <v>Toneladas</v>
      </c>
      <c r="N422" s="9" t="str">
        <f t="shared" si="513"/>
        <v>Servicio Nacional de Pesca y Acuicultura (SERNAPESCA)</v>
      </c>
      <c r="O422" s="20" t="str">
        <f>"Sentencias Dictadas por delitos de Abuso Sexual en la "&amp;Agencia[[#This Row],[territorio]]&amp;" para el "&amp;Agencia[[#This Row],[temporalidad]]</f>
        <v>Sentencias Dictadas por delitos de Abuso Sexual en la Región de Antofagasta para el Año 2019</v>
      </c>
      <c r="P422" s="20"/>
      <c r="Q422" s="11" t="str">
        <f t="shared" ref="Q422" si="514">+Q421</f>
        <v>Gráfico</v>
      </c>
      <c r="R422" s="87" t="str">
        <f>Agencia[[#This Row],[territorio]]&amp;" pesca artesanal industrial desembarque toneladas"</f>
        <v>Región de Antofagasta pesca artesanal industrial desembarque toneladas</v>
      </c>
      <c r="S422" s="22" t="s">
        <v>423</v>
      </c>
      <c r="T422" s="69" t="str">
        <f>"100-C-"&amp;Agencia[[#This Row],[Filtro URL]]</f>
        <v>100-C-2</v>
      </c>
      <c r="U422" s="50" t="str">
        <f t="shared" si="457"/>
        <v>#1774B9</v>
      </c>
      <c r="V422" s="118" t="str">
        <f>+Agencia[[#This Row],[idcoleccion]]&amp;"-"&amp;Agencia[[#This Row],[id]]</f>
        <v>990-0411</v>
      </c>
      <c r="W422" s="118">
        <f>+VLOOKUP(Agencia[[#This Row],[Filtro URL]],Estructura!$X$4:$Y$500,2,0)</f>
        <v>99200002</v>
      </c>
      <c r="X422" s="118" t="str">
        <f>+VLOOKUP(Agencia[[#This Row],[tema]],Estructura!$A$4:$C$500,3,0)</f>
        <v>T-1003</v>
      </c>
      <c r="Y422" s="118" t="str">
        <f>+VLOOKUP(Agencia[[#This Row],[contenido]],Estructura!$E$4:$G$500,3,0)</f>
        <v>C-1020</v>
      </c>
      <c r="Z422" s="118" t="str">
        <f>+VLOOKUP(Agencia[[#This Row],[Filtro Integrado]],Estructura!$I$4:$K$500,3,0)</f>
        <v>FI-993</v>
      </c>
      <c r="AA422" s="118" t="str">
        <f>+VLOOKUP(Agencia[[#This Row],[Muestra]],Estructura!$M$4:$O$500,3,0)</f>
        <v>M-1085</v>
      </c>
    </row>
    <row r="423" spans="1:27" ht="48" x14ac:dyDescent="0.3">
      <c r="A423" s="21" t="s">
        <v>978</v>
      </c>
      <c r="B423" s="24">
        <f t="shared" ref="B423:D423" si="515">+B422</f>
        <v>990</v>
      </c>
      <c r="C423" s="25" t="str">
        <f t="shared" si="515"/>
        <v>Agencia Información</v>
      </c>
      <c r="D423" s="25" t="str">
        <f t="shared" si="515"/>
        <v>Agropecuario y Forestal</v>
      </c>
      <c r="E423" s="19">
        <v>3</v>
      </c>
      <c r="F423" s="10" t="s">
        <v>1081</v>
      </c>
      <c r="G423" s="91" t="s">
        <v>7428</v>
      </c>
      <c r="H423" s="35" t="s">
        <v>16</v>
      </c>
      <c r="I423" s="36" t="s">
        <v>370</v>
      </c>
      <c r="J423" s="9" t="str">
        <f t="shared" ref="J423:N423" si="516">+J422</f>
        <v>Ninguno</v>
      </c>
      <c r="K423" s="9" t="str">
        <f t="shared" si="516"/>
        <v>Toneladas desembarcadas por tipo de pesca por región</v>
      </c>
      <c r="L423" s="9" t="str">
        <f t="shared" si="516"/>
        <v>Año 2019</v>
      </c>
      <c r="M423" s="9" t="str">
        <f t="shared" si="516"/>
        <v>Toneladas</v>
      </c>
      <c r="N423" s="9" t="str">
        <f t="shared" si="516"/>
        <v>Servicio Nacional de Pesca y Acuicultura (SERNAPESCA)</v>
      </c>
      <c r="O423" s="20" t="str">
        <f>"Sentencias Dictadas por delitos de Abuso Sexual en la "&amp;Agencia[[#This Row],[territorio]]&amp;" para el "&amp;Agencia[[#This Row],[temporalidad]]</f>
        <v>Sentencias Dictadas por delitos de Abuso Sexual en la Región de Atacama para el Año 2019</v>
      </c>
      <c r="P423" s="20"/>
      <c r="Q423" s="11" t="str">
        <f t="shared" ref="Q423" si="517">+Q422</f>
        <v>Gráfico</v>
      </c>
      <c r="R423" s="87" t="str">
        <f>Agencia[[#This Row],[territorio]]&amp;" pesca artesanal industrial desembarque toneladas"</f>
        <v>Región de Atacama pesca artesanal industrial desembarque toneladas</v>
      </c>
      <c r="S423" s="22" t="s">
        <v>423</v>
      </c>
      <c r="T423" s="69" t="str">
        <f>"100-C-"&amp;Agencia[[#This Row],[Filtro URL]]</f>
        <v>100-C-3</v>
      </c>
      <c r="U423" s="50" t="str">
        <f t="shared" si="457"/>
        <v>#1774B9</v>
      </c>
      <c r="V423" s="118" t="str">
        <f>+Agencia[[#This Row],[idcoleccion]]&amp;"-"&amp;Agencia[[#This Row],[id]]</f>
        <v>990-0412</v>
      </c>
      <c r="W423" s="118">
        <f>+VLOOKUP(Agencia[[#This Row],[Filtro URL]],Estructura!$X$4:$Y$500,2,0)</f>
        <v>99200003</v>
      </c>
      <c r="X423" s="118" t="str">
        <f>+VLOOKUP(Agencia[[#This Row],[tema]],Estructura!$A$4:$C$500,3,0)</f>
        <v>T-1003</v>
      </c>
      <c r="Y423" s="118" t="str">
        <f>+VLOOKUP(Agencia[[#This Row],[contenido]],Estructura!$E$4:$G$500,3,0)</f>
        <v>C-1020</v>
      </c>
      <c r="Z423" s="118" t="str">
        <f>+VLOOKUP(Agencia[[#This Row],[Filtro Integrado]],Estructura!$I$4:$K$500,3,0)</f>
        <v>FI-993</v>
      </c>
      <c r="AA423" s="118" t="str">
        <f>+VLOOKUP(Agencia[[#This Row],[Muestra]],Estructura!$M$4:$O$500,3,0)</f>
        <v>M-1085</v>
      </c>
    </row>
    <row r="424" spans="1:27" ht="48" x14ac:dyDescent="0.3">
      <c r="A424" s="21" t="s">
        <v>979</v>
      </c>
      <c r="B424" s="24">
        <f t="shared" ref="B424:D424" si="518">+B423</f>
        <v>990</v>
      </c>
      <c r="C424" s="25" t="str">
        <f t="shared" si="518"/>
        <v>Agencia Información</v>
      </c>
      <c r="D424" s="25" t="str">
        <f t="shared" si="518"/>
        <v>Agropecuario y Forestal</v>
      </c>
      <c r="E424" s="19">
        <v>4</v>
      </c>
      <c r="F424" s="10" t="s">
        <v>1081</v>
      </c>
      <c r="G424" s="91" t="s">
        <v>7428</v>
      </c>
      <c r="H424" s="35" t="s">
        <v>16</v>
      </c>
      <c r="I424" s="36" t="s">
        <v>371</v>
      </c>
      <c r="J424" s="9" t="str">
        <f t="shared" ref="J424:N424" si="519">+J423</f>
        <v>Ninguno</v>
      </c>
      <c r="K424" s="9" t="str">
        <f t="shared" si="519"/>
        <v>Toneladas desembarcadas por tipo de pesca por región</v>
      </c>
      <c r="L424" s="9" t="str">
        <f t="shared" si="519"/>
        <v>Año 2019</v>
      </c>
      <c r="M424" s="9" t="str">
        <f t="shared" si="519"/>
        <v>Toneladas</v>
      </c>
      <c r="N424" s="9" t="str">
        <f t="shared" si="519"/>
        <v>Servicio Nacional de Pesca y Acuicultura (SERNAPESCA)</v>
      </c>
      <c r="O424" s="20" t="str">
        <f>"Sentencias Dictadas por delitos de Abuso Sexual en la "&amp;Agencia[[#This Row],[territorio]]&amp;" para el "&amp;Agencia[[#This Row],[temporalidad]]</f>
        <v>Sentencias Dictadas por delitos de Abuso Sexual en la Región de Coquimbo para el Año 2019</v>
      </c>
      <c r="P424" s="20"/>
      <c r="Q424" s="11" t="str">
        <f t="shared" ref="Q424" si="520">+Q423</f>
        <v>Gráfico</v>
      </c>
      <c r="R424" s="87" t="str">
        <f>Agencia[[#This Row],[territorio]]&amp;" pesca artesanal industrial desembarque toneladas"</f>
        <v>Región de Coquimbo pesca artesanal industrial desembarque toneladas</v>
      </c>
      <c r="S424" s="22" t="s">
        <v>423</v>
      </c>
      <c r="T424" s="69" t="str">
        <f>"100-C-"&amp;Agencia[[#This Row],[Filtro URL]]</f>
        <v>100-C-4</v>
      </c>
      <c r="U424" s="50" t="str">
        <f t="shared" si="457"/>
        <v>#1774B9</v>
      </c>
      <c r="V424" s="118" t="str">
        <f>+Agencia[[#This Row],[idcoleccion]]&amp;"-"&amp;Agencia[[#This Row],[id]]</f>
        <v>990-0413</v>
      </c>
      <c r="W424" s="118">
        <f>+VLOOKUP(Agencia[[#This Row],[Filtro URL]],Estructura!$X$4:$Y$500,2,0)</f>
        <v>99200004</v>
      </c>
      <c r="X424" s="118" t="str">
        <f>+VLOOKUP(Agencia[[#This Row],[tema]],Estructura!$A$4:$C$500,3,0)</f>
        <v>T-1003</v>
      </c>
      <c r="Y424" s="118" t="str">
        <f>+VLOOKUP(Agencia[[#This Row],[contenido]],Estructura!$E$4:$G$500,3,0)</f>
        <v>C-1020</v>
      </c>
      <c r="Z424" s="118" t="str">
        <f>+VLOOKUP(Agencia[[#This Row],[Filtro Integrado]],Estructura!$I$4:$K$500,3,0)</f>
        <v>FI-993</v>
      </c>
      <c r="AA424" s="118" t="str">
        <f>+VLOOKUP(Agencia[[#This Row],[Muestra]],Estructura!$M$4:$O$500,3,0)</f>
        <v>M-1085</v>
      </c>
    </row>
    <row r="425" spans="1:27" ht="48" x14ac:dyDescent="0.3">
      <c r="A425" s="21" t="s">
        <v>980</v>
      </c>
      <c r="B425" s="24">
        <f t="shared" ref="B425:D425" si="521">+B424</f>
        <v>990</v>
      </c>
      <c r="C425" s="25" t="str">
        <f t="shared" si="521"/>
        <v>Agencia Información</v>
      </c>
      <c r="D425" s="25" t="str">
        <f t="shared" si="521"/>
        <v>Agropecuario y Forestal</v>
      </c>
      <c r="E425" s="19">
        <v>5</v>
      </c>
      <c r="F425" s="10" t="s">
        <v>1081</v>
      </c>
      <c r="G425" s="91" t="s">
        <v>7428</v>
      </c>
      <c r="H425" s="35" t="s">
        <v>16</v>
      </c>
      <c r="I425" s="36" t="s">
        <v>372</v>
      </c>
      <c r="J425" s="9" t="str">
        <f t="shared" ref="J425:N425" si="522">+J424</f>
        <v>Ninguno</v>
      </c>
      <c r="K425" s="9" t="str">
        <f t="shared" si="522"/>
        <v>Toneladas desembarcadas por tipo de pesca por región</v>
      </c>
      <c r="L425" s="9" t="str">
        <f t="shared" si="522"/>
        <v>Año 2019</v>
      </c>
      <c r="M425" s="9" t="str">
        <f t="shared" si="522"/>
        <v>Toneladas</v>
      </c>
      <c r="N425" s="9" t="str">
        <f t="shared" si="522"/>
        <v>Servicio Nacional de Pesca y Acuicultura (SERNAPESCA)</v>
      </c>
      <c r="O425" s="20" t="str">
        <f>"Sentencias Dictadas por delitos de Abuso Sexual en la "&amp;Agencia[[#This Row],[territorio]]&amp;" para el "&amp;Agencia[[#This Row],[temporalidad]]</f>
        <v>Sentencias Dictadas por delitos de Abuso Sexual en la Región de Valparaíso para el Año 2019</v>
      </c>
      <c r="P425" s="20"/>
      <c r="Q425" s="11" t="str">
        <f t="shared" ref="Q425" si="523">+Q424</f>
        <v>Gráfico</v>
      </c>
      <c r="R425" s="87" t="str">
        <f>Agencia[[#This Row],[territorio]]&amp;" pesca artesanal industrial desembarque toneladas"</f>
        <v>Región de Valparaíso pesca artesanal industrial desembarque toneladas</v>
      </c>
      <c r="S425" s="22" t="s">
        <v>423</v>
      </c>
      <c r="T425" s="69" t="str">
        <f>"100-C-"&amp;Agencia[[#This Row],[Filtro URL]]</f>
        <v>100-C-5</v>
      </c>
      <c r="U425" s="50" t="str">
        <f t="shared" si="457"/>
        <v>#1774B9</v>
      </c>
      <c r="V425" s="118" t="str">
        <f>+Agencia[[#This Row],[idcoleccion]]&amp;"-"&amp;Agencia[[#This Row],[id]]</f>
        <v>990-0414</v>
      </c>
      <c r="W425" s="118">
        <f>+VLOOKUP(Agencia[[#This Row],[Filtro URL]],Estructura!$X$4:$Y$500,2,0)</f>
        <v>99200005</v>
      </c>
      <c r="X425" s="118" t="str">
        <f>+VLOOKUP(Agencia[[#This Row],[tema]],Estructura!$A$4:$C$500,3,0)</f>
        <v>T-1003</v>
      </c>
      <c r="Y425" s="118" t="str">
        <f>+VLOOKUP(Agencia[[#This Row],[contenido]],Estructura!$E$4:$G$500,3,0)</f>
        <v>C-1020</v>
      </c>
      <c r="Z425" s="118" t="str">
        <f>+VLOOKUP(Agencia[[#This Row],[Filtro Integrado]],Estructura!$I$4:$K$500,3,0)</f>
        <v>FI-993</v>
      </c>
      <c r="AA425" s="118" t="str">
        <f>+VLOOKUP(Agencia[[#This Row],[Muestra]],Estructura!$M$4:$O$500,3,0)</f>
        <v>M-1085</v>
      </c>
    </row>
    <row r="426" spans="1:27" ht="48" x14ac:dyDescent="0.3">
      <c r="A426" s="21" t="s">
        <v>981</v>
      </c>
      <c r="B426" s="24">
        <f t="shared" ref="B426:D426" si="524">+B425</f>
        <v>990</v>
      </c>
      <c r="C426" s="25" t="str">
        <f t="shared" si="524"/>
        <v>Agencia Información</v>
      </c>
      <c r="D426" s="25" t="str">
        <f t="shared" si="524"/>
        <v>Agropecuario y Forestal</v>
      </c>
      <c r="E426" s="19">
        <v>6</v>
      </c>
      <c r="F426" s="10" t="s">
        <v>1081</v>
      </c>
      <c r="G426" s="91" t="s">
        <v>7428</v>
      </c>
      <c r="H426" s="35" t="s">
        <v>16</v>
      </c>
      <c r="I426" s="36" t="s">
        <v>373</v>
      </c>
      <c r="J426" s="9" t="str">
        <f t="shared" ref="J426:N426" si="525">+J425</f>
        <v>Ninguno</v>
      </c>
      <c r="K426" s="9" t="str">
        <f t="shared" si="525"/>
        <v>Toneladas desembarcadas por tipo de pesca por región</v>
      </c>
      <c r="L426" s="9" t="str">
        <f t="shared" si="525"/>
        <v>Año 2019</v>
      </c>
      <c r="M426" s="9" t="str">
        <f t="shared" si="525"/>
        <v>Toneladas</v>
      </c>
      <c r="N426" s="9" t="str">
        <f t="shared" si="525"/>
        <v>Servicio Nacional de Pesca y Acuicultura (SERNAPESCA)</v>
      </c>
      <c r="O426" s="20" t="str">
        <f>"Sentencias Dictadas por delitos de Abuso Sexual en la "&amp;Agencia[[#This Row],[territorio]]&amp;" para el "&amp;Agencia[[#This Row],[temporalidad]]</f>
        <v>Sentencias Dictadas por delitos de Abuso Sexual en la Región de O'Higgins para el Año 2019</v>
      </c>
      <c r="P426" s="20"/>
      <c r="Q426" s="11" t="str">
        <f t="shared" ref="Q426" si="526">+Q425</f>
        <v>Gráfico</v>
      </c>
      <c r="R426" s="87" t="str">
        <f>Agencia[[#This Row],[territorio]]&amp;" pesca artesanal industrial desembarque toneladas"</f>
        <v>Región de O'Higgins pesca artesanal industrial desembarque toneladas</v>
      </c>
      <c r="S426" s="22" t="s">
        <v>423</v>
      </c>
      <c r="T426" s="69" t="str">
        <f>"100-C-"&amp;Agencia[[#This Row],[Filtro URL]]</f>
        <v>100-C-6</v>
      </c>
      <c r="U426" s="50" t="str">
        <f t="shared" si="457"/>
        <v>#1774B9</v>
      </c>
      <c r="V426" s="118" t="str">
        <f>+Agencia[[#This Row],[idcoleccion]]&amp;"-"&amp;Agencia[[#This Row],[id]]</f>
        <v>990-0415</v>
      </c>
      <c r="W426" s="118">
        <f>+VLOOKUP(Agencia[[#This Row],[Filtro URL]],Estructura!$X$4:$Y$500,2,0)</f>
        <v>99200006</v>
      </c>
      <c r="X426" s="118" t="str">
        <f>+VLOOKUP(Agencia[[#This Row],[tema]],Estructura!$A$4:$C$500,3,0)</f>
        <v>T-1003</v>
      </c>
      <c r="Y426" s="118" t="str">
        <f>+VLOOKUP(Agencia[[#This Row],[contenido]],Estructura!$E$4:$G$500,3,0)</f>
        <v>C-1020</v>
      </c>
      <c r="Z426" s="118" t="str">
        <f>+VLOOKUP(Agencia[[#This Row],[Filtro Integrado]],Estructura!$I$4:$K$500,3,0)</f>
        <v>FI-993</v>
      </c>
      <c r="AA426" s="118" t="str">
        <f>+VLOOKUP(Agencia[[#This Row],[Muestra]],Estructura!$M$4:$O$500,3,0)</f>
        <v>M-1085</v>
      </c>
    </row>
    <row r="427" spans="1:27" ht="48" x14ac:dyDescent="0.3">
      <c r="A427" s="21" t="s">
        <v>982</v>
      </c>
      <c r="B427" s="24">
        <f t="shared" ref="B427:D427" si="527">+B426</f>
        <v>990</v>
      </c>
      <c r="C427" s="25" t="str">
        <f t="shared" si="527"/>
        <v>Agencia Información</v>
      </c>
      <c r="D427" s="25" t="str">
        <f t="shared" si="527"/>
        <v>Agropecuario y Forestal</v>
      </c>
      <c r="E427" s="19">
        <v>7</v>
      </c>
      <c r="F427" s="10" t="s">
        <v>1081</v>
      </c>
      <c r="G427" s="91" t="s">
        <v>7428</v>
      </c>
      <c r="H427" s="35" t="s">
        <v>16</v>
      </c>
      <c r="I427" s="36" t="s">
        <v>374</v>
      </c>
      <c r="J427" s="9" t="str">
        <f t="shared" ref="J427:N427" si="528">+J426</f>
        <v>Ninguno</v>
      </c>
      <c r="K427" s="9" t="str">
        <f t="shared" si="528"/>
        <v>Toneladas desembarcadas por tipo de pesca por región</v>
      </c>
      <c r="L427" s="9" t="str">
        <f t="shared" si="528"/>
        <v>Año 2019</v>
      </c>
      <c r="M427" s="9" t="str">
        <f t="shared" si="528"/>
        <v>Toneladas</v>
      </c>
      <c r="N427" s="9" t="str">
        <f t="shared" si="528"/>
        <v>Servicio Nacional de Pesca y Acuicultura (SERNAPESCA)</v>
      </c>
      <c r="O427" s="20" t="str">
        <f>"Sentencias Dictadas por delitos de Abuso Sexual en la "&amp;Agencia[[#This Row],[territorio]]&amp;" para el "&amp;Agencia[[#This Row],[temporalidad]]</f>
        <v>Sentencias Dictadas por delitos de Abuso Sexual en la Región de Maule para el Año 2019</v>
      </c>
      <c r="P427" s="20"/>
      <c r="Q427" s="11" t="str">
        <f t="shared" ref="Q427" si="529">+Q426</f>
        <v>Gráfico</v>
      </c>
      <c r="R427" s="87" t="str">
        <f>Agencia[[#This Row],[territorio]]&amp;" pesca artesanal industrial desembarque toneladas"</f>
        <v>Región de Maule pesca artesanal industrial desembarque toneladas</v>
      </c>
      <c r="S427" s="22" t="s">
        <v>423</v>
      </c>
      <c r="T427" s="69" t="str">
        <f>"100-C-"&amp;Agencia[[#This Row],[Filtro URL]]</f>
        <v>100-C-7</v>
      </c>
      <c r="U427" s="50" t="str">
        <f t="shared" si="457"/>
        <v>#1774B9</v>
      </c>
      <c r="V427" s="118" t="str">
        <f>+Agencia[[#This Row],[idcoleccion]]&amp;"-"&amp;Agencia[[#This Row],[id]]</f>
        <v>990-0416</v>
      </c>
      <c r="W427" s="118">
        <f>+VLOOKUP(Agencia[[#This Row],[Filtro URL]],Estructura!$X$4:$Y$500,2,0)</f>
        <v>99200007</v>
      </c>
      <c r="X427" s="118" t="str">
        <f>+VLOOKUP(Agencia[[#This Row],[tema]],Estructura!$A$4:$C$500,3,0)</f>
        <v>T-1003</v>
      </c>
      <c r="Y427" s="118" t="str">
        <f>+VLOOKUP(Agencia[[#This Row],[contenido]],Estructura!$E$4:$G$500,3,0)</f>
        <v>C-1020</v>
      </c>
      <c r="Z427" s="118" t="str">
        <f>+VLOOKUP(Agencia[[#This Row],[Filtro Integrado]],Estructura!$I$4:$K$500,3,0)</f>
        <v>FI-993</v>
      </c>
      <c r="AA427" s="118" t="str">
        <f>+VLOOKUP(Agencia[[#This Row],[Muestra]],Estructura!$M$4:$O$500,3,0)</f>
        <v>M-1085</v>
      </c>
    </row>
    <row r="428" spans="1:27" ht="48" x14ac:dyDescent="0.3">
      <c r="A428" s="21" t="s">
        <v>983</v>
      </c>
      <c r="B428" s="24">
        <f t="shared" ref="B428:D428" si="530">+B427</f>
        <v>990</v>
      </c>
      <c r="C428" s="25" t="str">
        <f t="shared" si="530"/>
        <v>Agencia Información</v>
      </c>
      <c r="D428" s="25" t="str">
        <f t="shared" si="530"/>
        <v>Agropecuario y Forestal</v>
      </c>
      <c r="E428" s="19">
        <v>8</v>
      </c>
      <c r="F428" s="10" t="s">
        <v>1081</v>
      </c>
      <c r="G428" s="91" t="s">
        <v>7428</v>
      </c>
      <c r="H428" s="35" t="s">
        <v>16</v>
      </c>
      <c r="I428" s="36" t="s">
        <v>375</v>
      </c>
      <c r="J428" s="9" t="str">
        <f t="shared" ref="J428:N428" si="531">+J427</f>
        <v>Ninguno</v>
      </c>
      <c r="K428" s="9" t="str">
        <f t="shared" si="531"/>
        <v>Toneladas desembarcadas por tipo de pesca por región</v>
      </c>
      <c r="L428" s="9" t="str">
        <f t="shared" si="531"/>
        <v>Año 2019</v>
      </c>
      <c r="M428" s="9" t="str">
        <f t="shared" si="531"/>
        <v>Toneladas</v>
      </c>
      <c r="N428" s="9" t="str">
        <f t="shared" si="531"/>
        <v>Servicio Nacional de Pesca y Acuicultura (SERNAPESCA)</v>
      </c>
      <c r="O428" s="20" t="str">
        <f>"Sentencias Dictadas por delitos de Abuso Sexual en la "&amp;Agencia[[#This Row],[territorio]]&amp;" para el "&amp;Agencia[[#This Row],[temporalidad]]</f>
        <v>Sentencias Dictadas por delitos de Abuso Sexual en la Región del Biobío para el Año 2019</v>
      </c>
      <c r="P428" s="20"/>
      <c r="Q428" s="11" t="str">
        <f t="shared" ref="Q428" si="532">+Q427</f>
        <v>Gráfico</v>
      </c>
      <c r="R428" s="87" t="str">
        <f>Agencia[[#This Row],[territorio]]&amp;" pesca artesanal industrial desembarque toneladas"</f>
        <v>Región del Biobío pesca artesanal industrial desembarque toneladas</v>
      </c>
      <c r="S428" s="22" t="s">
        <v>423</v>
      </c>
      <c r="T428" s="69" t="str">
        <f>"100-C-"&amp;Agencia[[#This Row],[Filtro URL]]</f>
        <v>100-C-8</v>
      </c>
      <c r="U428" s="50" t="str">
        <f t="shared" si="457"/>
        <v>#1774B9</v>
      </c>
      <c r="V428" s="118" t="str">
        <f>+Agencia[[#This Row],[idcoleccion]]&amp;"-"&amp;Agencia[[#This Row],[id]]</f>
        <v>990-0417</v>
      </c>
      <c r="W428" s="118">
        <f>+VLOOKUP(Agencia[[#This Row],[Filtro URL]],Estructura!$X$4:$Y$500,2,0)</f>
        <v>99200008</v>
      </c>
      <c r="X428" s="118" t="str">
        <f>+VLOOKUP(Agencia[[#This Row],[tema]],Estructura!$A$4:$C$500,3,0)</f>
        <v>T-1003</v>
      </c>
      <c r="Y428" s="118" t="str">
        <f>+VLOOKUP(Agencia[[#This Row],[contenido]],Estructura!$E$4:$G$500,3,0)</f>
        <v>C-1020</v>
      </c>
      <c r="Z428" s="118" t="str">
        <f>+VLOOKUP(Agencia[[#This Row],[Filtro Integrado]],Estructura!$I$4:$K$500,3,0)</f>
        <v>FI-993</v>
      </c>
      <c r="AA428" s="118" t="str">
        <f>+VLOOKUP(Agencia[[#This Row],[Muestra]],Estructura!$M$4:$O$500,3,0)</f>
        <v>M-1085</v>
      </c>
    </row>
    <row r="429" spans="1:27" ht="48" x14ac:dyDescent="0.3">
      <c r="A429" s="21" t="s">
        <v>984</v>
      </c>
      <c r="B429" s="24">
        <f t="shared" ref="B429:D429" si="533">+B428</f>
        <v>990</v>
      </c>
      <c r="C429" s="25" t="str">
        <f t="shared" si="533"/>
        <v>Agencia Información</v>
      </c>
      <c r="D429" s="25" t="str">
        <f t="shared" si="533"/>
        <v>Agropecuario y Forestal</v>
      </c>
      <c r="E429" s="19">
        <v>9</v>
      </c>
      <c r="F429" s="10" t="s">
        <v>1081</v>
      </c>
      <c r="G429" s="91" t="s">
        <v>7428</v>
      </c>
      <c r="H429" s="35" t="s">
        <v>16</v>
      </c>
      <c r="I429" s="36" t="s">
        <v>376</v>
      </c>
      <c r="J429" s="9" t="str">
        <f t="shared" ref="J429:N429" si="534">+J428</f>
        <v>Ninguno</v>
      </c>
      <c r="K429" s="9" t="str">
        <f t="shared" si="534"/>
        <v>Toneladas desembarcadas por tipo de pesca por región</v>
      </c>
      <c r="L429" s="9" t="str">
        <f t="shared" si="534"/>
        <v>Año 2019</v>
      </c>
      <c r="M429" s="9" t="str">
        <f t="shared" si="534"/>
        <v>Toneladas</v>
      </c>
      <c r="N429" s="9" t="str">
        <f t="shared" si="534"/>
        <v>Servicio Nacional de Pesca y Acuicultura (SERNAPESCA)</v>
      </c>
      <c r="O429" s="20" t="str">
        <f>"Sentencias Dictadas por delitos de Abuso Sexual en la "&amp;Agencia[[#This Row],[territorio]]&amp;" para el "&amp;Agencia[[#This Row],[temporalidad]]</f>
        <v>Sentencias Dictadas por delitos de Abuso Sexual en la Región de La Araucanía para el Año 2019</v>
      </c>
      <c r="P429" s="20"/>
      <c r="Q429" s="11" t="str">
        <f t="shared" ref="Q429" si="535">+Q428</f>
        <v>Gráfico</v>
      </c>
      <c r="R429" s="87" t="str">
        <f>Agencia[[#This Row],[territorio]]&amp;" pesca artesanal industrial desembarque toneladas"</f>
        <v>Región de La Araucanía pesca artesanal industrial desembarque toneladas</v>
      </c>
      <c r="S429" s="22" t="s">
        <v>423</v>
      </c>
      <c r="T429" s="69" t="str">
        <f>"100-C-"&amp;Agencia[[#This Row],[Filtro URL]]</f>
        <v>100-C-9</v>
      </c>
      <c r="U429" s="50" t="str">
        <f t="shared" si="457"/>
        <v>#1774B9</v>
      </c>
      <c r="V429" s="118" t="str">
        <f>+Agencia[[#This Row],[idcoleccion]]&amp;"-"&amp;Agencia[[#This Row],[id]]</f>
        <v>990-0418</v>
      </c>
      <c r="W429" s="118">
        <f>+VLOOKUP(Agencia[[#This Row],[Filtro URL]],Estructura!$X$4:$Y$500,2,0)</f>
        <v>99200009</v>
      </c>
      <c r="X429" s="118" t="str">
        <f>+VLOOKUP(Agencia[[#This Row],[tema]],Estructura!$A$4:$C$500,3,0)</f>
        <v>T-1003</v>
      </c>
      <c r="Y429" s="118" t="str">
        <f>+VLOOKUP(Agencia[[#This Row],[contenido]],Estructura!$E$4:$G$500,3,0)</f>
        <v>C-1020</v>
      </c>
      <c r="Z429" s="118" t="str">
        <f>+VLOOKUP(Agencia[[#This Row],[Filtro Integrado]],Estructura!$I$4:$K$500,3,0)</f>
        <v>FI-993</v>
      </c>
      <c r="AA429" s="118" t="str">
        <f>+VLOOKUP(Agencia[[#This Row],[Muestra]],Estructura!$M$4:$O$500,3,0)</f>
        <v>M-1085</v>
      </c>
    </row>
    <row r="430" spans="1:27" ht="48" x14ac:dyDescent="0.3">
      <c r="A430" s="21" t="s">
        <v>985</v>
      </c>
      <c r="B430" s="24">
        <f t="shared" ref="B430:D430" si="536">+B429</f>
        <v>990</v>
      </c>
      <c r="C430" s="25" t="str">
        <f t="shared" si="536"/>
        <v>Agencia Información</v>
      </c>
      <c r="D430" s="25" t="str">
        <f t="shared" si="536"/>
        <v>Agropecuario y Forestal</v>
      </c>
      <c r="E430" s="19">
        <v>10</v>
      </c>
      <c r="F430" s="10" t="s">
        <v>1081</v>
      </c>
      <c r="G430" s="91" t="s">
        <v>7428</v>
      </c>
      <c r="H430" s="35" t="s">
        <v>16</v>
      </c>
      <c r="I430" s="36" t="s">
        <v>377</v>
      </c>
      <c r="J430" s="9" t="str">
        <f t="shared" ref="J430:N430" si="537">+J429</f>
        <v>Ninguno</v>
      </c>
      <c r="K430" s="9" t="str">
        <f t="shared" si="537"/>
        <v>Toneladas desembarcadas por tipo de pesca por región</v>
      </c>
      <c r="L430" s="9" t="str">
        <f t="shared" si="537"/>
        <v>Año 2019</v>
      </c>
      <c r="M430" s="9" t="str">
        <f t="shared" si="537"/>
        <v>Toneladas</v>
      </c>
      <c r="N430" s="9" t="str">
        <f t="shared" si="537"/>
        <v>Servicio Nacional de Pesca y Acuicultura (SERNAPESCA)</v>
      </c>
      <c r="O430" s="20" t="str">
        <f>"Sentencias Dictadas por delitos de Abuso Sexual en la "&amp;Agencia[[#This Row],[territorio]]&amp;" para el "&amp;Agencia[[#This Row],[temporalidad]]</f>
        <v>Sentencias Dictadas por delitos de Abuso Sexual en la Región de Los Lagos para el Año 2019</v>
      </c>
      <c r="P430" s="20"/>
      <c r="Q430" s="11" t="str">
        <f t="shared" ref="Q430" si="538">+Q429</f>
        <v>Gráfico</v>
      </c>
      <c r="R430" s="87" t="str">
        <f>Agencia[[#This Row],[territorio]]&amp;" pesca artesanal industrial desembarque toneladas"</f>
        <v>Región de Los Lagos pesca artesanal industrial desembarque toneladas</v>
      </c>
      <c r="S430" s="22" t="s">
        <v>423</v>
      </c>
      <c r="T430" s="69" t="str">
        <f>"100-C-"&amp;Agencia[[#This Row],[Filtro URL]]</f>
        <v>100-C-10</v>
      </c>
      <c r="U430" s="50" t="str">
        <f t="shared" si="457"/>
        <v>#1774B9</v>
      </c>
      <c r="V430" s="118" t="str">
        <f>+Agencia[[#This Row],[idcoleccion]]&amp;"-"&amp;Agencia[[#This Row],[id]]</f>
        <v>990-0419</v>
      </c>
      <c r="W430" s="118">
        <f>+VLOOKUP(Agencia[[#This Row],[Filtro URL]],Estructura!$X$4:$Y$500,2,0)</f>
        <v>99200010</v>
      </c>
      <c r="X430" s="118" t="str">
        <f>+VLOOKUP(Agencia[[#This Row],[tema]],Estructura!$A$4:$C$500,3,0)</f>
        <v>T-1003</v>
      </c>
      <c r="Y430" s="118" t="str">
        <f>+VLOOKUP(Agencia[[#This Row],[contenido]],Estructura!$E$4:$G$500,3,0)</f>
        <v>C-1020</v>
      </c>
      <c r="Z430" s="118" t="str">
        <f>+VLOOKUP(Agencia[[#This Row],[Filtro Integrado]],Estructura!$I$4:$K$500,3,0)</f>
        <v>FI-993</v>
      </c>
      <c r="AA430" s="118" t="str">
        <f>+VLOOKUP(Agencia[[#This Row],[Muestra]],Estructura!$M$4:$O$500,3,0)</f>
        <v>M-1085</v>
      </c>
    </row>
    <row r="431" spans="1:27" ht="48" x14ac:dyDescent="0.3">
      <c r="A431" s="21" t="s">
        <v>986</v>
      </c>
      <c r="B431" s="24">
        <f t="shared" ref="B431:D431" si="539">+B430</f>
        <v>990</v>
      </c>
      <c r="C431" s="25" t="str">
        <f t="shared" si="539"/>
        <v>Agencia Información</v>
      </c>
      <c r="D431" s="25" t="str">
        <f t="shared" si="539"/>
        <v>Agropecuario y Forestal</v>
      </c>
      <c r="E431" s="19">
        <v>11</v>
      </c>
      <c r="F431" s="10" t="s">
        <v>1081</v>
      </c>
      <c r="G431" s="91" t="s">
        <v>7428</v>
      </c>
      <c r="H431" s="35" t="s">
        <v>16</v>
      </c>
      <c r="I431" s="36" t="s">
        <v>378</v>
      </c>
      <c r="J431" s="9" t="str">
        <f t="shared" ref="J431:N431" si="540">+J430</f>
        <v>Ninguno</v>
      </c>
      <c r="K431" s="9" t="str">
        <f t="shared" si="540"/>
        <v>Toneladas desembarcadas por tipo de pesca por región</v>
      </c>
      <c r="L431" s="9" t="str">
        <f t="shared" si="540"/>
        <v>Año 2019</v>
      </c>
      <c r="M431" s="9" t="str">
        <f t="shared" si="540"/>
        <v>Toneladas</v>
      </c>
      <c r="N431" s="9" t="str">
        <f t="shared" si="540"/>
        <v>Servicio Nacional de Pesca y Acuicultura (SERNAPESCA)</v>
      </c>
      <c r="O431" s="20" t="str">
        <f>"Sentencias Dictadas por delitos de Abuso Sexual en la "&amp;Agencia[[#This Row],[territorio]]&amp;" para el "&amp;Agencia[[#This Row],[temporalidad]]</f>
        <v>Sentencias Dictadas por delitos de Abuso Sexual en la Región de Aysén para el Año 2019</v>
      </c>
      <c r="P431" s="20"/>
      <c r="Q431" s="11" t="str">
        <f t="shared" ref="Q431" si="541">+Q430</f>
        <v>Gráfico</v>
      </c>
      <c r="R431" s="87" t="str">
        <f>Agencia[[#This Row],[territorio]]&amp;" pesca artesanal industrial desembarque toneladas"</f>
        <v>Región de Aysén pesca artesanal industrial desembarque toneladas</v>
      </c>
      <c r="S431" s="22" t="s">
        <v>423</v>
      </c>
      <c r="T431" s="69" t="str">
        <f>"100-C-"&amp;Agencia[[#This Row],[Filtro URL]]</f>
        <v>100-C-11</v>
      </c>
      <c r="U431" s="50" t="str">
        <f t="shared" si="457"/>
        <v>#1774B9</v>
      </c>
      <c r="V431" s="118" t="str">
        <f>+Agencia[[#This Row],[idcoleccion]]&amp;"-"&amp;Agencia[[#This Row],[id]]</f>
        <v>990-0420</v>
      </c>
      <c r="W431" s="118">
        <f>+VLOOKUP(Agencia[[#This Row],[Filtro URL]],Estructura!$X$4:$Y$500,2,0)</f>
        <v>99200011</v>
      </c>
      <c r="X431" s="118" t="str">
        <f>+VLOOKUP(Agencia[[#This Row],[tema]],Estructura!$A$4:$C$500,3,0)</f>
        <v>T-1003</v>
      </c>
      <c r="Y431" s="118" t="str">
        <f>+VLOOKUP(Agencia[[#This Row],[contenido]],Estructura!$E$4:$G$500,3,0)</f>
        <v>C-1020</v>
      </c>
      <c r="Z431" s="118" t="str">
        <f>+VLOOKUP(Agencia[[#This Row],[Filtro Integrado]],Estructura!$I$4:$K$500,3,0)</f>
        <v>FI-993</v>
      </c>
      <c r="AA431" s="118" t="str">
        <f>+VLOOKUP(Agencia[[#This Row],[Muestra]],Estructura!$M$4:$O$500,3,0)</f>
        <v>M-1085</v>
      </c>
    </row>
    <row r="432" spans="1:27" ht="48" x14ac:dyDescent="0.3">
      <c r="A432" s="21" t="s">
        <v>987</v>
      </c>
      <c r="B432" s="24">
        <f t="shared" ref="B432:D432" si="542">+B431</f>
        <v>990</v>
      </c>
      <c r="C432" s="25" t="str">
        <f t="shared" si="542"/>
        <v>Agencia Información</v>
      </c>
      <c r="D432" s="25" t="str">
        <f t="shared" si="542"/>
        <v>Agropecuario y Forestal</v>
      </c>
      <c r="E432" s="19">
        <v>12</v>
      </c>
      <c r="F432" s="10" t="s">
        <v>1081</v>
      </c>
      <c r="G432" s="91" t="s">
        <v>7428</v>
      </c>
      <c r="H432" s="35" t="s">
        <v>16</v>
      </c>
      <c r="I432" s="36" t="s">
        <v>379</v>
      </c>
      <c r="J432" s="9" t="str">
        <f t="shared" ref="J432:N432" si="543">+J431</f>
        <v>Ninguno</v>
      </c>
      <c r="K432" s="9" t="str">
        <f t="shared" si="543"/>
        <v>Toneladas desembarcadas por tipo de pesca por región</v>
      </c>
      <c r="L432" s="9" t="str">
        <f t="shared" si="543"/>
        <v>Año 2019</v>
      </c>
      <c r="M432" s="9" t="str">
        <f t="shared" si="543"/>
        <v>Toneladas</v>
      </c>
      <c r="N432" s="9" t="str">
        <f t="shared" si="543"/>
        <v>Servicio Nacional de Pesca y Acuicultura (SERNAPESCA)</v>
      </c>
      <c r="O432" s="20" t="str">
        <f>"Sentencias Dictadas por delitos de Abuso Sexual en la "&amp;Agencia[[#This Row],[territorio]]&amp;" para el "&amp;Agencia[[#This Row],[temporalidad]]</f>
        <v>Sentencias Dictadas por delitos de Abuso Sexual en la Región de Magallanes para el Año 2019</v>
      </c>
      <c r="P432" s="20"/>
      <c r="Q432" s="11" t="str">
        <f t="shared" ref="Q432" si="544">+Q431</f>
        <v>Gráfico</v>
      </c>
      <c r="R432" s="87" t="str">
        <f>Agencia[[#This Row],[territorio]]&amp;" pesca artesanal industrial desembarque toneladas"</f>
        <v>Región de Magallanes pesca artesanal industrial desembarque toneladas</v>
      </c>
      <c r="S432" s="22" t="s">
        <v>423</v>
      </c>
      <c r="T432" s="69" t="str">
        <f>"100-C-"&amp;Agencia[[#This Row],[Filtro URL]]</f>
        <v>100-C-12</v>
      </c>
      <c r="U432" s="50" t="str">
        <f t="shared" si="457"/>
        <v>#1774B9</v>
      </c>
      <c r="V432" s="118" t="str">
        <f>+Agencia[[#This Row],[idcoleccion]]&amp;"-"&amp;Agencia[[#This Row],[id]]</f>
        <v>990-0421</v>
      </c>
      <c r="W432" s="118">
        <f>+VLOOKUP(Agencia[[#This Row],[Filtro URL]],Estructura!$X$4:$Y$500,2,0)</f>
        <v>99200012</v>
      </c>
      <c r="X432" s="118" t="str">
        <f>+VLOOKUP(Agencia[[#This Row],[tema]],Estructura!$A$4:$C$500,3,0)</f>
        <v>T-1003</v>
      </c>
      <c r="Y432" s="118" t="str">
        <f>+VLOOKUP(Agencia[[#This Row],[contenido]],Estructura!$E$4:$G$500,3,0)</f>
        <v>C-1020</v>
      </c>
      <c r="Z432" s="118" t="str">
        <f>+VLOOKUP(Agencia[[#This Row],[Filtro Integrado]],Estructura!$I$4:$K$500,3,0)</f>
        <v>FI-993</v>
      </c>
      <c r="AA432" s="118" t="str">
        <f>+VLOOKUP(Agencia[[#This Row],[Muestra]],Estructura!$M$4:$O$500,3,0)</f>
        <v>M-1085</v>
      </c>
    </row>
    <row r="433" spans="1:27" ht="48" x14ac:dyDescent="0.3">
      <c r="A433" s="21" t="s">
        <v>988</v>
      </c>
      <c r="B433" s="24">
        <f t="shared" ref="B433:D433" si="545">+B432</f>
        <v>990</v>
      </c>
      <c r="C433" s="25" t="str">
        <f t="shared" si="545"/>
        <v>Agencia Información</v>
      </c>
      <c r="D433" s="25" t="str">
        <f t="shared" si="545"/>
        <v>Agropecuario y Forestal</v>
      </c>
      <c r="E433" s="19">
        <v>13</v>
      </c>
      <c r="F433" s="10" t="s">
        <v>1081</v>
      </c>
      <c r="G433" s="91" t="s">
        <v>7428</v>
      </c>
      <c r="H433" s="35" t="s">
        <v>16</v>
      </c>
      <c r="I433" s="36" t="s">
        <v>380</v>
      </c>
      <c r="J433" s="9" t="str">
        <f t="shared" ref="J433:N433" si="546">+J432</f>
        <v>Ninguno</v>
      </c>
      <c r="K433" s="9" t="str">
        <f t="shared" si="546"/>
        <v>Toneladas desembarcadas por tipo de pesca por región</v>
      </c>
      <c r="L433" s="9" t="str">
        <f t="shared" si="546"/>
        <v>Año 2019</v>
      </c>
      <c r="M433" s="9" t="str">
        <f t="shared" si="546"/>
        <v>Toneladas</v>
      </c>
      <c r="N433" s="9" t="str">
        <f t="shared" si="546"/>
        <v>Servicio Nacional de Pesca y Acuicultura (SERNAPESCA)</v>
      </c>
      <c r="O433" s="20" t="str">
        <f>"Sentencias Dictadas por delitos de Abuso Sexual en la "&amp;Agencia[[#This Row],[territorio]]&amp;" para el "&amp;Agencia[[#This Row],[temporalidad]]</f>
        <v>Sentencias Dictadas por delitos de Abuso Sexual en la Región Metropolitana para el Año 2019</v>
      </c>
      <c r="P433" s="20"/>
      <c r="Q433" s="11" t="str">
        <f t="shared" ref="Q433" si="547">+Q432</f>
        <v>Gráfico</v>
      </c>
      <c r="R433" s="87" t="str">
        <f>Agencia[[#This Row],[territorio]]&amp;" pesca artesanal industrial desembarque toneladas"</f>
        <v>Región Metropolitana pesca artesanal industrial desembarque toneladas</v>
      </c>
      <c r="S433" s="22" t="s">
        <v>423</v>
      </c>
      <c r="T433" s="69" t="str">
        <f>"200-C-"&amp;Agencia[[#This Row],[Filtro URL]]</f>
        <v>200-C-13</v>
      </c>
      <c r="U433" s="50" t="str">
        <f t="shared" si="457"/>
        <v>#1774B9</v>
      </c>
      <c r="V433" s="118" t="str">
        <f>+Agencia[[#This Row],[idcoleccion]]&amp;"-"&amp;Agencia[[#This Row],[id]]</f>
        <v>990-0422</v>
      </c>
      <c r="W433" s="118">
        <f>+VLOOKUP(Agencia[[#This Row],[Filtro URL]],Estructura!$X$4:$Y$500,2,0)</f>
        <v>99200013</v>
      </c>
      <c r="X433" s="118" t="str">
        <f>+VLOOKUP(Agencia[[#This Row],[tema]],Estructura!$A$4:$C$500,3,0)</f>
        <v>T-1003</v>
      </c>
      <c r="Y433" s="118" t="str">
        <f>+VLOOKUP(Agencia[[#This Row],[contenido]],Estructura!$E$4:$G$500,3,0)</f>
        <v>C-1020</v>
      </c>
      <c r="Z433" s="118" t="str">
        <f>+VLOOKUP(Agencia[[#This Row],[Filtro Integrado]],Estructura!$I$4:$K$500,3,0)</f>
        <v>FI-993</v>
      </c>
      <c r="AA433" s="118" t="str">
        <f>+VLOOKUP(Agencia[[#This Row],[Muestra]],Estructura!$M$4:$O$500,3,0)</f>
        <v>M-1085</v>
      </c>
    </row>
    <row r="434" spans="1:27" ht="48" x14ac:dyDescent="0.3">
      <c r="A434" s="21" t="s">
        <v>989</v>
      </c>
      <c r="B434" s="24">
        <f t="shared" ref="B434:D434" si="548">+B433</f>
        <v>990</v>
      </c>
      <c r="C434" s="25" t="str">
        <f t="shared" si="548"/>
        <v>Agencia Información</v>
      </c>
      <c r="D434" s="25" t="str">
        <f t="shared" si="548"/>
        <v>Agropecuario y Forestal</v>
      </c>
      <c r="E434" s="19">
        <v>14</v>
      </c>
      <c r="F434" s="10" t="s">
        <v>1081</v>
      </c>
      <c r="G434" s="91" t="s">
        <v>7428</v>
      </c>
      <c r="H434" s="35" t="s">
        <v>16</v>
      </c>
      <c r="I434" s="36" t="s">
        <v>381</v>
      </c>
      <c r="J434" s="9" t="str">
        <f t="shared" ref="J434:N434" si="549">+J433</f>
        <v>Ninguno</v>
      </c>
      <c r="K434" s="9" t="str">
        <f t="shared" si="549"/>
        <v>Toneladas desembarcadas por tipo de pesca por región</v>
      </c>
      <c r="L434" s="9" t="str">
        <f t="shared" si="549"/>
        <v>Año 2019</v>
      </c>
      <c r="M434" s="9" t="str">
        <f t="shared" si="549"/>
        <v>Toneladas</v>
      </c>
      <c r="N434" s="9" t="str">
        <f t="shared" si="549"/>
        <v>Servicio Nacional de Pesca y Acuicultura (SERNAPESCA)</v>
      </c>
      <c r="O434" s="20" t="str">
        <f>"Sentencias Dictadas por delitos de Abuso Sexual en la "&amp;Agencia[[#This Row],[territorio]]&amp;" para el "&amp;Agencia[[#This Row],[temporalidad]]</f>
        <v>Sentencias Dictadas por delitos de Abuso Sexual en la Región de Los Ríos para el Año 2019</v>
      </c>
      <c r="P434" s="20"/>
      <c r="Q434" s="11" t="str">
        <f t="shared" ref="Q434" si="550">+Q433</f>
        <v>Gráfico</v>
      </c>
      <c r="R434" s="87" t="str">
        <f>Agencia[[#This Row],[territorio]]&amp;" pesca artesanal industrial desembarque toneladas"</f>
        <v>Región de Los Ríos pesca artesanal industrial desembarque toneladas</v>
      </c>
      <c r="S434" s="22" t="s">
        <v>423</v>
      </c>
      <c r="T434" s="69" t="str">
        <f>"100-C-"&amp;Agencia[[#This Row],[Filtro URL]]</f>
        <v>100-C-14</v>
      </c>
      <c r="U434" s="50" t="str">
        <f t="shared" si="457"/>
        <v>#1774B9</v>
      </c>
      <c r="V434" s="118" t="str">
        <f>+Agencia[[#This Row],[idcoleccion]]&amp;"-"&amp;Agencia[[#This Row],[id]]</f>
        <v>990-0423</v>
      </c>
      <c r="W434" s="118">
        <f>+VLOOKUP(Agencia[[#This Row],[Filtro URL]],Estructura!$X$4:$Y$500,2,0)</f>
        <v>99200014</v>
      </c>
      <c r="X434" s="118" t="str">
        <f>+VLOOKUP(Agencia[[#This Row],[tema]],Estructura!$A$4:$C$500,3,0)</f>
        <v>T-1003</v>
      </c>
      <c r="Y434" s="118" t="str">
        <f>+VLOOKUP(Agencia[[#This Row],[contenido]],Estructura!$E$4:$G$500,3,0)</f>
        <v>C-1020</v>
      </c>
      <c r="Z434" s="118" t="str">
        <f>+VLOOKUP(Agencia[[#This Row],[Filtro Integrado]],Estructura!$I$4:$K$500,3,0)</f>
        <v>FI-993</v>
      </c>
      <c r="AA434" s="118" t="str">
        <f>+VLOOKUP(Agencia[[#This Row],[Muestra]],Estructura!$M$4:$O$500,3,0)</f>
        <v>M-1085</v>
      </c>
    </row>
    <row r="435" spans="1:27" ht="48" x14ac:dyDescent="0.3">
      <c r="A435" s="21" t="s">
        <v>990</v>
      </c>
      <c r="B435" s="24">
        <f t="shared" ref="B435:D435" si="551">+B434</f>
        <v>990</v>
      </c>
      <c r="C435" s="25" t="str">
        <f t="shared" si="551"/>
        <v>Agencia Información</v>
      </c>
      <c r="D435" s="25" t="str">
        <f t="shared" si="551"/>
        <v>Agropecuario y Forestal</v>
      </c>
      <c r="E435" s="19">
        <v>15</v>
      </c>
      <c r="F435" s="10" t="s">
        <v>1081</v>
      </c>
      <c r="G435" s="91" t="s">
        <v>7428</v>
      </c>
      <c r="H435" s="35" t="s">
        <v>16</v>
      </c>
      <c r="I435" s="36" t="s">
        <v>382</v>
      </c>
      <c r="J435" s="9" t="str">
        <f t="shared" ref="J435:N435" si="552">+J434</f>
        <v>Ninguno</v>
      </c>
      <c r="K435" s="9" t="str">
        <f t="shared" si="552"/>
        <v>Toneladas desembarcadas por tipo de pesca por región</v>
      </c>
      <c r="L435" s="9" t="str">
        <f t="shared" si="552"/>
        <v>Año 2019</v>
      </c>
      <c r="M435" s="9" t="str">
        <f t="shared" si="552"/>
        <v>Toneladas</v>
      </c>
      <c r="N435" s="9" t="str">
        <f t="shared" si="552"/>
        <v>Servicio Nacional de Pesca y Acuicultura (SERNAPESCA)</v>
      </c>
      <c r="O435" s="20" t="str">
        <f>"Sentencias Dictadas por delitos de Abuso Sexual en la "&amp;Agencia[[#This Row],[territorio]]&amp;" para el "&amp;Agencia[[#This Row],[temporalidad]]</f>
        <v>Sentencias Dictadas por delitos de Abuso Sexual en la Región de Arica y Parinacota para el Año 2019</v>
      </c>
      <c r="P435" s="20"/>
      <c r="Q435" s="11" t="str">
        <f t="shared" ref="Q435" si="553">+Q434</f>
        <v>Gráfico</v>
      </c>
      <c r="R435" s="87" t="str">
        <f>Agencia[[#This Row],[territorio]]&amp;" pesca artesanal industrial desembarque toneladas"</f>
        <v>Región de Arica y Parinacota pesca artesanal industrial desembarque toneladas</v>
      </c>
      <c r="S435" s="22" t="s">
        <v>423</v>
      </c>
      <c r="T435" s="69" t="str">
        <f>"100-C-"&amp;Agencia[[#This Row],[Filtro URL]]</f>
        <v>100-C-15</v>
      </c>
      <c r="U435" s="50" t="str">
        <f t="shared" si="457"/>
        <v>#1774B9</v>
      </c>
      <c r="V435" s="118" t="str">
        <f>+Agencia[[#This Row],[idcoleccion]]&amp;"-"&amp;Agencia[[#This Row],[id]]</f>
        <v>990-0424</v>
      </c>
      <c r="W435" s="118">
        <f>+VLOOKUP(Agencia[[#This Row],[Filtro URL]],Estructura!$X$4:$Y$500,2,0)</f>
        <v>99200015</v>
      </c>
      <c r="X435" s="118" t="str">
        <f>+VLOOKUP(Agencia[[#This Row],[tema]],Estructura!$A$4:$C$500,3,0)</f>
        <v>T-1003</v>
      </c>
      <c r="Y435" s="118" t="str">
        <f>+VLOOKUP(Agencia[[#This Row],[contenido]],Estructura!$E$4:$G$500,3,0)</f>
        <v>C-1020</v>
      </c>
      <c r="Z435" s="118" t="str">
        <f>+VLOOKUP(Agencia[[#This Row],[Filtro Integrado]],Estructura!$I$4:$K$500,3,0)</f>
        <v>FI-993</v>
      </c>
      <c r="AA435" s="118" t="str">
        <f>+VLOOKUP(Agencia[[#This Row],[Muestra]],Estructura!$M$4:$O$500,3,0)</f>
        <v>M-1085</v>
      </c>
    </row>
    <row r="436" spans="1:27" ht="48" x14ac:dyDescent="0.3">
      <c r="A436" s="21" t="s">
        <v>991</v>
      </c>
      <c r="B436" s="24">
        <f t="shared" ref="B436:D436" si="554">+B435</f>
        <v>990</v>
      </c>
      <c r="C436" s="25" t="str">
        <f t="shared" si="554"/>
        <v>Agencia Información</v>
      </c>
      <c r="D436" s="25" t="str">
        <f t="shared" si="554"/>
        <v>Agropecuario y Forestal</v>
      </c>
      <c r="E436" s="19">
        <v>16</v>
      </c>
      <c r="F436" s="10" t="s">
        <v>1081</v>
      </c>
      <c r="G436" s="91" t="s">
        <v>7428</v>
      </c>
      <c r="H436" s="35" t="s">
        <v>16</v>
      </c>
      <c r="I436" s="36" t="s">
        <v>383</v>
      </c>
      <c r="J436" s="9" t="str">
        <f t="shared" ref="J436:N436" si="555">+J435</f>
        <v>Ninguno</v>
      </c>
      <c r="K436" s="9" t="str">
        <f t="shared" si="555"/>
        <v>Toneladas desembarcadas por tipo de pesca por región</v>
      </c>
      <c r="L436" s="9" t="str">
        <f t="shared" si="555"/>
        <v>Año 2019</v>
      </c>
      <c r="M436" s="9" t="str">
        <f t="shared" si="555"/>
        <v>Toneladas</v>
      </c>
      <c r="N436" s="9" t="str">
        <f t="shared" si="555"/>
        <v>Servicio Nacional de Pesca y Acuicultura (SERNAPESCA)</v>
      </c>
      <c r="O436" s="20" t="str">
        <f>"Sentencias Dictadas por delitos de Abuso Sexual en la "&amp;Agencia[[#This Row],[territorio]]&amp;" para el "&amp;Agencia[[#This Row],[temporalidad]]</f>
        <v>Sentencias Dictadas por delitos de Abuso Sexual en la Región de Ñuble para el Año 2019</v>
      </c>
      <c r="P436" s="20"/>
      <c r="Q436" s="11" t="str">
        <f t="shared" ref="Q436" si="556">+Q435</f>
        <v>Gráfico</v>
      </c>
      <c r="R436" s="87" t="str">
        <f>Agencia[[#This Row],[territorio]]&amp;" pesca artesanal industrial desembarque toneladas"</f>
        <v>Región de Ñuble pesca artesanal industrial desembarque toneladas</v>
      </c>
      <c r="S436" s="22" t="s">
        <v>423</v>
      </c>
      <c r="T436" s="69" t="str">
        <f>"100-C-"&amp;Agencia[[#This Row],[Filtro URL]]</f>
        <v>100-C-16</v>
      </c>
      <c r="U436" s="50" t="str">
        <f t="shared" si="457"/>
        <v>#1774B9</v>
      </c>
      <c r="V436" s="118" t="str">
        <f>+Agencia[[#This Row],[idcoleccion]]&amp;"-"&amp;Agencia[[#This Row],[id]]</f>
        <v>990-0425</v>
      </c>
      <c r="W436" s="118">
        <f>+VLOOKUP(Agencia[[#This Row],[Filtro URL]],Estructura!$X$4:$Y$500,2,0)</f>
        <v>99200016</v>
      </c>
      <c r="X436" s="118" t="str">
        <f>+VLOOKUP(Agencia[[#This Row],[tema]],Estructura!$A$4:$C$500,3,0)</f>
        <v>T-1003</v>
      </c>
      <c r="Y436" s="118" t="str">
        <f>+VLOOKUP(Agencia[[#This Row],[contenido]],Estructura!$E$4:$G$500,3,0)</f>
        <v>C-1020</v>
      </c>
      <c r="Z436" s="118" t="str">
        <f>+VLOOKUP(Agencia[[#This Row],[Filtro Integrado]],Estructura!$I$4:$K$500,3,0)</f>
        <v>FI-993</v>
      </c>
      <c r="AA436" s="118" t="str">
        <f>+VLOOKUP(Agencia[[#This Row],[Muestra]],Estructura!$M$4:$O$500,3,0)</f>
        <v>M-1085</v>
      </c>
    </row>
    <row r="437" spans="1:27" ht="36" x14ac:dyDescent="0.3">
      <c r="A437" s="21" t="s">
        <v>992</v>
      </c>
      <c r="B437" s="24">
        <f t="shared" ref="B437:C437" si="557">+B436</f>
        <v>990</v>
      </c>
      <c r="C437" s="25" t="str">
        <f t="shared" si="557"/>
        <v>Agencia Información</v>
      </c>
      <c r="D437" s="25" t="s">
        <v>822</v>
      </c>
      <c r="E437" s="14">
        <v>0</v>
      </c>
      <c r="F437" s="10" t="s">
        <v>1458</v>
      </c>
      <c r="G437" s="26" t="s">
        <v>3793</v>
      </c>
      <c r="H437" s="33" t="s">
        <v>20</v>
      </c>
      <c r="I437" s="34" t="s">
        <v>15</v>
      </c>
      <c r="J437" s="9" t="s">
        <v>16</v>
      </c>
      <c r="K437" s="9" t="s">
        <v>1457</v>
      </c>
      <c r="L437" s="40" t="s">
        <v>472</v>
      </c>
      <c r="M437" s="9" t="s">
        <v>1456</v>
      </c>
      <c r="N437" s="38" t="s">
        <v>1459</v>
      </c>
      <c r="O437" s="20" t="str">
        <f>"Población perteneciente a pueblos originarios por región en "&amp;Agencia[[#This Row],[territorio]]&amp;", "&amp;Agencia[[#This Row],[temporalidad]]</f>
        <v>Población perteneciente a pueblos originarios por región en Chile, POR DEFINIR</v>
      </c>
      <c r="P437" s="20"/>
      <c r="Q437" s="11" t="s">
        <v>584</v>
      </c>
      <c r="R437" s="20" t="str">
        <f>Agencia[[#This Row],[territorio]]&amp;" población pueblos originarios indígenas etnia sexo mujer hombre"</f>
        <v>Chile población pueblos originarios indígenas etnia sexo mujer hombre</v>
      </c>
      <c r="S437" s="39" t="s">
        <v>1522</v>
      </c>
      <c r="T437" s="69">
        <v>0</v>
      </c>
      <c r="U437" s="120" t="str">
        <f t="shared" si="457"/>
        <v>#1774B9</v>
      </c>
      <c r="V437" s="118" t="str">
        <f>+Agencia[[#This Row],[idcoleccion]]&amp;"-"&amp;Agencia[[#This Row],[id]]</f>
        <v>990-0426</v>
      </c>
      <c r="W437" s="118">
        <f>+VLOOKUP(Agencia[[#This Row],[Filtro URL]],Estructura!$X$4:$Y$500,2,0)</f>
        <v>99100000</v>
      </c>
      <c r="X437" s="118" t="str">
        <f>+VLOOKUP(Agencia[[#This Row],[tema]],Estructura!$A$4:$C$500,3,0)</f>
        <v>T-1004</v>
      </c>
      <c r="Y437" s="118" t="str">
        <f>+VLOOKUP(Agencia[[#This Row],[contenido]],Estructura!$E$4:$G$500,3,0)</f>
        <v>C-1012</v>
      </c>
      <c r="Z437" s="118" t="str">
        <f>+VLOOKUP(Agencia[[#This Row],[Filtro Integrado]],Estructura!$I$4:$K$500,3,0)</f>
        <v>FI-992</v>
      </c>
      <c r="AA437" s="118" t="str">
        <f>+VLOOKUP(Agencia[[#This Row],[Muestra]],Estructura!$M$4:$O$500,3,0)</f>
        <v>M-1033</v>
      </c>
    </row>
    <row r="438" spans="1:27" ht="72" x14ac:dyDescent="0.3">
      <c r="A438" s="21" t="s">
        <v>993</v>
      </c>
      <c r="B438" s="24">
        <f>+B437</f>
        <v>990</v>
      </c>
      <c r="C438" s="25" t="str">
        <f>+C437</f>
        <v>Agencia Información</v>
      </c>
      <c r="D438" s="25" t="s">
        <v>822</v>
      </c>
      <c r="E438" s="14">
        <v>0</v>
      </c>
      <c r="F438" s="18" t="s">
        <v>1460</v>
      </c>
      <c r="G438" s="18" t="s">
        <v>3767</v>
      </c>
      <c r="H438" s="33" t="s">
        <v>20</v>
      </c>
      <c r="I438" s="34" t="s">
        <v>15</v>
      </c>
      <c r="J438" s="9" t="s">
        <v>18</v>
      </c>
      <c r="K438" s="9" t="s">
        <v>1463</v>
      </c>
      <c r="L438" s="9" t="s">
        <v>1462</v>
      </c>
      <c r="M438" s="9" t="s">
        <v>1456</v>
      </c>
      <c r="N438" s="9" t="s">
        <v>5293</v>
      </c>
      <c r="O438" s="20" t="str">
        <f>"Cantidad de defunciones anuales por región en "&amp;Agencia[[#This Row],[territorio]]&amp;", "&amp;Agencia[[#This Row],[temporalidad]]</f>
        <v>Cantidad de defunciones anuales por región en Chile, Periodo 2010-2021</v>
      </c>
      <c r="P438" s="20" t="s">
        <v>1466</v>
      </c>
      <c r="Q438" s="11" t="s">
        <v>606</v>
      </c>
      <c r="R438" s="20" t="str">
        <f>Agencia[[#This Row],[territorio]]&amp;" defunciones población cantidad número demografía"</f>
        <v>Chile defunciones población cantidad número demografía</v>
      </c>
      <c r="S438" s="39" t="s">
        <v>1461</v>
      </c>
      <c r="T438" s="68" t="s">
        <v>1033</v>
      </c>
      <c r="U438" s="120" t="str">
        <f t="shared" si="457"/>
        <v>#1774B9</v>
      </c>
      <c r="V438" s="118" t="str">
        <f>+Agencia[[#This Row],[idcoleccion]]&amp;"-"&amp;Agencia[[#This Row],[id]]</f>
        <v>990-0427</v>
      </c>
      <c r="W438" s="118">
        <f>+VLOOKUP(Agencia[[#This Row],[Filtro URL]],Estructura!$X$4:$Y$500,2,0)</f>
        <v>99100000</v>
      </c>
      <c r="X438" s="118" t="str">
        <f>+VLOOKUP(Agencia[[#This Row],[tema]],Estructura!$A$4:$C$500,3,0)</f>
        <v>T-1005</v>
      </c>
      <c r="Y438" s="118" t="str">
        <f>+VLOOKUP(Agencia[[#This Row],[contenido]],Estructura!$E$4:$G$500,3,0)</f>
        <v>C-1002</v>
      </c>
      <c r="Z438" s="118" t="str">
        <f>+VLOOKUP(Agencia[[#This Row],[Filtro Integrado]],Estructura!$I$4:$K$500,3,0)</f>
        <v>FI-991</v>
      </c>
      <c r="AA438" s="118" t="str">
        <f>+VLOOKUP(Agencia[[#This Row],[Muestra]],Estructura!$M$4:$O$500,3,0)</f>
        <v>M-1034</v>
      </c>
    </row>
    <row r="439" spans="1:27" ht="72" x14ac:dyDescent="0.3">
      <c r="A439" s="21" t="s">
        <v>994</v>
      </c>
      <c r="B439" s="24">
        <f t="shared" ref="B439:D439" si="558">+B438</f>
        <v>990</v>
      </c>
      <c r="C439" s="25" t="str">
        <f t="shared" si="558"/>
        <v>Agencia Información</v>
      </c>
      <c r="D439" s="25" t="str">
        <f t="shared" si="558"/>
        <v>Social</v>
      </c>
      <c r="E439" s="19">
        <v>1</v>
      </c>
      <c r="F439" s="18" t="s">
        <v>1460</v>
      </c>
      <c r="G439" s="18" t="s">
        <v>3767</v>
      </c>
      <c r="H439" s="35" t="s">
        <v>16</v>
      </c>
      <c r="I439" s="36" t="s">
        <v>368</v>
      </c>
      <c r="J439" s="9" t="str">
        <f t="shared" ref="J439:N439" si="559">+J438</f>
        <v>Comuna</v>
      </c>
      <c r="K439" s="9" t="str">
        <f t="shared" si="559"/>
        <v>Defunciones anuales por comuna</v>
      </c>
      <c r="L439" s="9" t="str">
        <f t="shared" si="559"/>
        <v>Periodo 2010-2021</v>
      </c>
      <c r="M439" s="9" t="str">
        <f t="shared" si="559"/>
        <v>Número de personas</v>
      </c>
      <c r="N439" s="9" t="str">
        <f t="shared" si="559"/>
        <v>Ministerio de Ciencia, Tecnología, Conocimiento e Innovación</v>
      </c>
      <c r="O439" s="20" t="str">
        <f>"Cantidad de defunciones anuales en la "&amp;Agencia[[#This Row],[territorio]]&amp;", "&amp;Agencia[[#This Row],[temporalidad]]</f>
        <v>Cantidad de defunciones anuales en la Región de Tarapacá, Periodo 2010-2021</v>
      </c>
      <c r="P439" s="20"/>
      <c r="Q439" s="11" t="str">
        <f t="shared" ref="Q439:Q459" si="560">+Q438</f>
        <v>Dashboard</v>
      </c>
      <c r="R439" s="87" t="str">
        <f>Agencia[[#This Row],[territorio]]&amp;" defunciones población cantidad número demografía"</f>
        <v>Región de Tarapacá defunciones población cantidad número demografía</v>
      </c>
      <c r="S439" s="39" t="s">
        <v>1704</v>
      </c>
      <c r="T439" s="69" t="str">
        <f>"100-C-"&amp;Agencia[[#This Row],[Filtro URL]]</f>
        <v>100-C-1</v>
      </c>
      <c r="U439" s="120" t="str">
        <f t="shared" si="457"/>
        <v>#1774B9</v>
      </c>
      <c r="V439" s="118" t="str">
        <f>+Agencia[[#This Row],[idcoleccion]]&amp;"-"&amp;Agencia[[#This Row],[id]]</f>
        <v>990-0428</v>
      </c>
      <c r="W439" s="118">
        <f>+VLOOKUP(Agencia[[#This Row],[Filtro URL]],Estructura!$X$4:$Y$500,2,0)</f>
        <v>99200001</v>
      </c>
      <c r="X439" s="118" t="str">
        <f>+VLOOKUP(Agencia[[#This Row],[tema]],Estructura!$A$4:$C$500,3,0)</f>
        <v>T-1005</v>
      </c>
      <c r="Y439" s="118" t="str">
        <f>+VLOOKUP(Agencia[[#This Row],[contenido]],Estructura!$E$4:$G$500,3,0)</f>
        <v>C-1002</v>
      </c>
      <c r="Z439" s="118" t="str">
        <f>+VLOOKUP(Agencia[[#This Row],[Filtro Integrado]],Estructura!$I$4:$K$500,3,0)</f>
        <v>FI-991</v>
      </c>
      <c r="AA439" s="118" t="str">
        <f>+VLOOKUP(Agencia[[#This Row],[Muestra]],Estructura!$M$4:$O$500,3,0)</f>
        <v>M-1034</v>
      </c>
    </row>
    <row r="440" spans="1:27" ht="72" x14ac:dyDescent="0.3">
      <c r="A440" s="21" t="s">
        <v>995</v>
      </c>
      <c r="B440" s="24">
        <f t="shared" ref="B440:D440" si="561">+B439</f>
        <v>990</v>
      </c>
      <c r="C440" s="25" t="str">
        <f t="shared" si="561"/>
        <v>Agencia Información</v>
      </c>
      <c r="D440" s="25" t="str">
        <f t="shared" si="561"/>
        <v>Social</v>
      </c>
      <c r="E440" s="19">
        <v>2</v>
      </c>
      <c r="F440" s="18" t="s">
        <v>1460</v>
      </c>
      <c r="G440" s="18" t="s">
        <v>3767</v>
      </c>
      <c r="H440" s="35" t="s">
        <v>16</v>
      </c>
      <c r="I440" s="36" t="s">
        <v>369</v>
      </c>
      <c r="J440" s="9" t="str">
        <f t="shared" ref="J440:N440" si="562">+J439</f>
        <v>Comuna</v>
      </c>
      <c r="K440" s="9" t="str">
        <f t="shared" si="562"/>
        <v>Defunciones anuales por comuna</v>
      </c>
      <c r="L440" s="9" t="str">
        <f t="shared" si="562"/>
        <v>Periodo 2010-2021</v>
      </c>
      <c r="M440" s="9" t="str">
        <f t="shared" si="562"/>
        <v>Número de personas</v>
      </c>
      <c r="N440" s="9" t="str">
        <f t="shared" si="562"/>
        <v>Ministerio de Ciencia, Tecnología, Conocimiento e Innovación</v>
      </c>
      <c r="O440" s="20" t="str">
        <f>"Cantidad de defunciones anuales en la "&amp;Agencia[[#This Row],[territorio]]&amp;", "&amp;Agencia[[#This Row],[temporalidad]]</f>
        <v>Cantidad de defunciones anuales en la Región de Antofagasta, Periodo 2010-2021</v>
      </c>
      <c r="P440" s="20"/>
      <c r="Q440" s="11" t="str">
        <f t="shared" si="560"/>
        <v>Dashboard</v>
      </c>
      <c r="R440" s="87" t="str">
        <f>Agencia[[#This Row],[territorio]]&amp;" defunciones población cantidad número demografía"</f>
        <v>Región de Antofagasta defunciones población cantidad número demografía</v>
      </c>
      <c r="S440" s="39" t="s">
        <v>1705</v>
      </c>
      <c r="T440" s="69" t="str">
        <f>"100-C-"&amp;Agencia[[#This Row],[Filtro URL]]</f>
        <v>100-C-2</v>
      </c>
      <c r="U440" s="50" t="str">
        <f t="shared" ref="U440:U459" si="563">+U439</f>
        <v>#1774B9</v>
      </c>
      <c r="V440" s="118" t="str">
        <f>+Agencia[[#This Row],[idcoleccion]]&amp;"-"&amp;Agencia[[#This Row],[id]]</f>
        <v>990-0429</v>
      </c>
      <c r="W440" s="118">
        <f>+VLOOKUP(Agencia[[#This Row],[Filtro URL]],Estructura!$X$4:$Y$500,2,0)</f>
        <v>99200002</v>
      </c>
      <c r="X440" s="118" t="str">
        <f>+VLOOKUP(Agencia[[#This Row],[tema]],Estructura!$A$4:$C$500,3,0)</f>
        <v>T-1005</v>
      </c>
      <c r="Y440" s="118" t="str">
        <f>+VLOOKUP(Agencia[[#This Row],[contenido]],Estructura!$E$4:$G$500,3,0)</f>
        <v>C-1002</v>
      </c>
      <c r="Z440" s="118" t="str">
        <f>+VLOOKUP(Agencia[[#This Row],[Filtro Integrado]],Estructura!$I$4:$K$500,3,0)</f>
        <v>FI-991</v>
      </c>
      <c r="AA440" s="118" t="str">
        <f>+VLOOKUP(Agencia[[#This Row],[Muestra]],Estructura!$M$4:$O$500,3,0)</f>
        <v>M-1034</v>
      </c>
    </row>
    <row r="441" spans="1:27" ht="72" x14ac:dyDescent="0.3">
      <c r="A441" s="21" t="s">
        <v>996</v>
      </c>
      <c r="B441" s="24">
        <f t="shared" ref="B441:D441" si="564">+B440</f>
        <v>990</v>
      </c>
      <c r="C441" s="25" t="str">
        <f t="shared" si="564"/>
        <v>Agencia Información</v>
      </c>
      <c r="D441" s="25" t="str">
        <f t="shared" si="564"/>
        <v>Social</v>
      </c>
      <c r="E441" s="19">
        <v>3</v>
      </c>
      <c r="F441" s="18" t="s">
        <v>1460</v>
      </c>
      <c r="G441" s="18" t="s">
        <v>3767</v>
      </c>
      <c r="H441" s="35" t="s">
        <v>16</v>
      </c>
      <c r="I441" s="36" t="s">
        <v>370</v>
      </c>
      <c r="J441" s="9" t="str">
        <f t="shared" ref="J441:N441" si="565">+J440</f>
        <v>Comuna</v>
      </c>
      <c r="K441" s="9" t="str">
        <f t="shared" si="565"/>
        <v>Defunciones anuales por comuna</v>
      </c>
      <c r="L441" s="9" t="str">
        <f t="shared" si="565"/>
        <v>Periodo 2010-2021</v>
      </c>
      <c r="M441" s="9" t="str">
        <f t="shared" si="565"/>
        <v>Número de personas</v>
      </c>
      <c r="N441" s="9" t="str">
        <f t="shared" si="565"/>
        <v>Ministerio de Ciencia, Tecnología, Conocimiento e Innovación</v>
      </c>
      <c r="O441" s="20" t="str">
        <f>"Cantidad de defunciones anuales en la "&amp;Agencia[[#This Row],[territorio]]&amp;", "&amp;Agencia[[#This Row],[temporalidad]]</f>
        <v>Cantidad de defunciones anuales en la Región de Atacama, Periodo 2010-2021</v>
      </c>
      <c r="P441" s="20"/>
      <c r="Q441" s="11" t="str">
        <f t="shared" si="560"/>
        <v>Dashboard</v>
      </c>
      <c r="R441" s="87" t="str">
        <f>Agencia[[#This Row],[territorio]]&amp;" defunciones población cantidad número demografía"</f>
        <v>Región de Atacama defunciones población cantidad número demografía</v>
      </c>
      <c r="S441" s="39" t="s">
        <v>1706</v>
      </c>
      <c r="T441" s="69" t="str">
        <f>"100-C-"&amp;Agencia[[#This Row],[Filtro URL]]</f>
        <v>100-C-3</v>
      </c>
      <c r="U441" s="50" t="str">
        <f t="shared" si="563"/>
        <v>#1774B9</v>
      </c>
      <c r="V441" s="118" t="str">
        <f>+Agencia[[#This Row],[idcoleccion]]&amp;"-"&amp;Agencia[[#This Row],[id]]</f>
        <v>990-0430</v>
      </c>
      <c r="W441" s="118">
        <f>+VLOOKUP(Agencia[[#This Row],[Filtro URL]],Estructura!$X$4:$Y$500,2,0)</f>
        <v>99200003</v>
      </c>
      <c r="X441" s="118" t="str">
        <f>+VLOOKUP(Agencia[[#This Row],[tema]],Estructura!$A$4:$C$500,3,0)</f>
        <v>T-1005</v>
      </c>
      <c r="Y441" s="118" t="str">
        <f>+VLOOKUP(Agencia[[#This Row],[contenido]],Estructura!$E$4:$G$500,3,0)</f>
        <v>C-1002</v>
      </c>
      <c r="Z441" s="118" t="str">
        <f>+VLOOKUP(Agencia[[#This Row],[Filtro Integrado]],Estructura!$I$4:$K$500,3,0)</f>
        <v>FI-991</v>
      </c>
      <c r="AA441" s="118" t="str">
        <f>+VLOOKUP(Agencia[[#This Row],[Muestra]],Estructura!$M$4:$O$500,3,0)</f>
        <v>M-1034</v>
      </c>
    </row>
    <row r="442" spans="1:27" ht="40.799999999999997" x14ac:dyDescent="0.3">
      <c r="A442" s="21" t="s">
        <v>997</v>
      </c>
      <c r="B442" s="24">
        <f t="shared" ref="B442:D442" si="566">+B441</f>
        <v>990</v>
      </c>
      <c r="C442" s="25" t="str">
        <f t="shared" si="566"/>
        <v>Agencia Información</v>
      </c>
      <c r="D442" s="25" t="str">
        <f t="shared" si="566"/>
        <v>Social</v>
      </c>
      <c r="E442" s="19">
        <v>4</v>
      </c>
      <c r="F442" s="18" t="s">
        <v>1460</v>
      </c>
      <c r="G442" s="18" t="s">
        <v>3767</v>
      </c>
      <c r="H442" s="35" t="s">
        <v>16</v>
      </c>
      <c r="I442" s="36" t="s">
        <v>371</v>
      </c>
      <c r="J442" s="9" t="str">
        <f t="shared" ref="J442:N442" si="567">+J441</f>
        <v>Comuna</v>
      </c>
      <c r="K442" s="9" t="str">
        <f t="shared" si="567"/>
        <v>Defunciones anuales por comuna</v>
      </c>
      <c r="L442" s="9" t="str">
        <f t="shared" si="567"/>
        <v>Periodo 2010-2021</v>
      </c>
      <c r="M442" s="9" t="str">
        <f t="shared" si="567"/>
        <v>Número de personas</v>
      </c>
      <c r="N442" s="9" t="str">
        <f t="shared" si="567"/>
        <v>Ministerio de Ciencia, Tecnología, Conocimiento e Innovación</v>
      </c>
      <c r="O442" s="20" t="str">
        <f>"Cantidad de defunciones anuales en la "&amp;Agencia[[#This Row],[territorio]]&amp;", "&amp;Agencia[[#This Row],[temporalidad]]</f>
        <v>Cantidad de defunciones anuales en la Región de Coquimbo, Periodo 2010-2021</v>
      </c>
      <c r="P442" s="20"/>
      <c r="Q442" s="11" t="str">
        <f t="shared" si="560"/>
        <v>Dashboard</v>
      </c>
      <c r="R442" s="87" t="str">
        <f>Agencia[[#This Row],[territorio]]&amp;" defunciones población cantidad número demografía"</f>
        <v>Región de Coquimbo defunciones población cantidad número demografía</v>
      </c>
      <c r="S442" s="22" t="s">
        <v>1707</v>
      </c>
      <c r="T442" s="69" t="str">
        <f>"100-C-"&amp;Agencia[[#This Row],[Filtro URL]]</f>
        <v>100-C-4</v>
      </c>
      <c r="U442" s="50" t="str">
        <f t="shared" si="563"/>
        <v>#1774B9</v>
      </c>
      <c r="V442" s="118" t="str">
        <f>+Agencia[[#This Row],[idcoleccion]]&amp;"-"&amp;Agencia[[#This Row],[id]]</f>
        <v>990-0431</v>
      </c>
      <c r="W442" s="118">
        <f>+VLOOKUP(Agencia[[#This Row],[Filtro URL]],Estructura!$X$4:$Y$500,2,0)</f>
        <v>99200004</v>
      </c>
      <c r="X442" s="118" t="str">
        <f>+VLOOKUP(Agencia[[#This Row],[tema]],Estructura!$A$4:$C$500,3,0)</f>
        <v>T-1005</v>
      </c>
      <c r="Y442" s="118" t="str">
        <f>+VLOOKUP(Agencia[[#This Row],[contenido]],Estructura!$E$4:$G$500,3,0)</f>
        <v>C-1002</v>
      </c>
      <c r="Z442" s="118" t="str">
        <f>+VLOOKUP(Agencia[[#This Row],[Filtro Integrado]],Estructura!$I$4:$K$500,3,0)</f>
        <v>FI-991</v>
      </c>
      <c r="AA442" s="118" t="str">
        <f>+VLOOKUP(Agencia[[#This Row],[Muestra]],Estructura!$M$4:$O$500,3,0)</f>
        <v>M-1034</v>
      </c>
    </row>
    <row r="443" spans="1:27" ht="40.799999999999997" x14ac:dyDescent="0.3">
      <c r="A443" s="21" t="s">
        <v>998</v>
      </c>
      <c r="B443" s="24">
        <f t="shared" ref="B443:D443" si="568">+B442</f>
        <v>990</v>
      </c>
      <c r="C443" s="25" t="str">
        <f t="shared" si="568"/>
        <v>Agencia Información</v>
      </c>
      <c r="D443" s="25" t="str">
        <f t="shared" si="568"/>
        <v>Social</v>
      </c>
      <c r="E443" s="19">
        <v>5</v>
      </c>
      <c r="F443" s="18" t="s">
        <v>1460</v>
      </c>
      <c r="G443" s="18" t="s">
        <v>3767</v>
      </c>
      <c r="H443" s="35" t="s">
        <v>16</v>
      </c>
      <c r="I443" s="36" t="s">
        <v>372</v>
      </c>
      <c r="J443" s="9" t="str">
        <f t="shared" ref="J443:N443" si="569">+J442</f>
        <v>Comuna</v>
      </c>
      <c r="K443" s="9" t="str">
        <f t="shared" si="569"/>
        <v>Defunciones anuales por comuna</v>
      </c>
      <c r="L443" s="9" t="str">
        <f t="shared" si="569"/>
        <v>Periodo 2010-2021</v>
      </c>
      <c r="M443" s="9" t="str">
        <f t="shared" si="569"/>
        <v>Número de personas</v>
      </c>
      <c r="N443" s="9" t="str">
        <f t="shared" si="569"/>
        <v>Ministerio de Ciencia, Tecnología, Conocimiento e Innovación</v>
      </c>
      <c r="O443" s="20" t="str">
        <f>"Cantidad de defunciones anuales en la "&amp;Agencia[[#This Row],[territorio]]&amp;", "&amp;Agencia[[#This Row],[temporalidad]]</f>
        <v>Cantidad de defunciones anuales en la Región de Valparaíso, Periodo 2010-2021</v>
      </c>
      <c r="P443" s="20"/>
      <c r="Q443" s="11" t="str">
        <f t="shared" si="560"/>
        <v>Dashboard</v>
      </c>
      <c r="R443" s="87" t="str">
        <f>Agencia[[#This Row],[territorio]]&amp;" defunciones población cantidad número demografía"</f>
        <v>Región de Valparaíso defunciones población cantidad número demografía</v>
      </c>
      <c r="S443" s="22" t="s">
        <v>1708</v>
      </c>
      <c r="T443" s="69" t="str">
        <f>"100-C-"&amp;Agencia[[#This Row],[Filtro URL]]</f>
        <v>100-C-5</v>
      </c>
      <c r="U443" s="50" t="str">
        <f t="shared" si="563"/>
        <v>#1774B9</v>
      </c>
      <c r="V443" s="118" t="str">
        <f>+Agencia[[#This Row],[idcoleccion]]&amp;"-"&amp;Agencia[[#This Row],[id]]</f>
        <v>990-0432</v>
      </c>
      <c r="W443" s="118">
        <f>+VLOOKUP(Agencia[[#This Row],[Filtro URL]],Estructura!$X$4:$Y$500,2,0)</f>
        <v>99200005</v>
      </c>
      <c r="X443" s="118" t="str">
        <f>+VLOOKUP(Agencia[[#This Row],[tema]],Estructura!$A$4:$C$500,3,0)</f>
        <v>T-1005</v>
      </c>
      <c r="Y443" s="118" t="str">
        <f>+VLOOKUP(Agencia[[#This Row],[contenido]],Estructura!$E$4:$G$500,3,0)</f>
        <v>C-1002</v>
      </c>
      <c r="Z443" s="118" t="str">
        <f>+VLOOKUP(Agencia[[#This Row],[Filtro Integrado]],Estructura!$I$4:$K$500,3,0)</f>
        <v>FI-991</v>
      </c>
      <c r="AA443" s="118" t="str">
        <f>+VLOOKUP(Agencia[[#This Row],[Muestra]],Estructura!$M$4:$O$500,3,0)</f>
        <v>M-1034</v>
      </c>
    </row>
    <row r="444" spans="1:27" ht="40.799999999999997" x14ac:dyDescent="0.3">
      <c r="A444" s="21" t="s">
        <v>999</v>
      </c>
      <c r="B444" s="24">
        <f t="shared" ref="B444:D444" si="570">+B443</f>
        <v>990</v>
      </c>
      <c r="C444" s="25" t="str">
        <f t="shared" si="570"/>
        <v>Agencia Información</v>
      </c>
      <c r="D444" s="25" t="str">
        <f t="shared" si="570"/>
        <v>Social</v>
      </c>
      <c r="E444" s="19">
        <v>6</v>
      </c>
      <c r="F444" s="18" t="s">
        <v>1460</v>
      </c>
      <c r="G444" s="18" t="s">
        <v>3767</v>
      </c>
      <c r="H444" s="35" t="s">
        <v>16</v>
      </c>
      <c r="I444" s="36" t="s">
        <v>373</v>
      </c>
      <c r="J444" s="9" t="str">
        <f t="shared" ref="J444:N444" si="571">+J443</f>
        <v>Comuna</v>
      </c>
      <c r="K444" s="9" t="str">
        <f t="shared" si="571"/>
        <v>Defunciones anuales por comuna</v>
      </c>
      <c r="L444" s="9" t="str">
        <f t="shared" si="571"/>
        <v>Periodo 2010-2021</v>
      </c>
      <c r="M444" s="9" t="str">
        <f t="shared" si="571"/>
        <v>Número de personas</v>
      </c>
      <c r="N444" s="9" t="str">
        <f t="shared" si="571"/>
        <v>Ministerio de Ciencia, Tecnología, Conocimiento e Innovación</v>
      </c>
      <c r="O444" s="20" t="str">
        <f>"Cantidad de defunciones anuales en la "&amp;Agencia[[#This Row],[territorio]]&amp;", "&amp;Agencia[[#This Row],[temporalidad]]</f>
        <v>Cantidad de defunciones anuales en la Región de O'Higgins, Periodo 2010-2021</v>
      </c>
      <c r="P444" s="20"/>
      <c r="Q444" s="11" t="str">
        <f t="shared" si="560"/>
        <v>Dashboard</v>
      </c>
      <c r="R444" s="87" t="str">
        <f>Agencia[[#This Row],[territorio]]&amp;" defunciones población cantidad número demografía"</f>
        <v>Región de O'Higgins defunciones población cantidad número demografía</v>
      </c>
      <c r="S444" s="22" t="s">
        <v>1709</v>
      </c>
      <c r="T444" s="69" t="str">
        <f>"100-C-"&amp;Agencia[[#This Row],[Filtro URL]]</f>
        <v>100-C-6</v>
      </c>
      <c r="U444" s="50" t="str">
        <f t="shared" si="563"/>
        <v>#1774B9</v>
      </c>
      <c r="V444" s="118" t="str">
        <f>+Agencia[[#This Row],[idcoleccion]]&amp;"-"&amp;Agencia[[#This Row],[id]]</f>
        <v>990-0433</v>
      </c>
      <c r="W444" s="118">
        <f>+VLOOKUP(Agencia[[#This Row],[Filtro URL]],Estructura!$X$4:$Y$500,2,0)</f>
        <v>99200006</v>
      </c>
      <c r="X444" s="118" t="str">
        <f>+VLOOKUP(Agencia[[#This Row],[tema]],Estructura!$A$4:$C$500,3,0)</f>
        <v>T-1005</v>
      </c>
      <c r="Y444" s="118" t="str">
        <f>+VLOOKUP(Agencia[[#This Row],[contenido]],Estructura!$E$4:$G$500,3,0)</f>
        <v>C-1002</v>
      </c>
      <c r="Z444" s="118" t="str">
        <f>+VLOOKUP(Agencia[[#This Row],[Filtro Integrado]],Estructura!$I$4:$K$500,3,0)</f>
        <v>FI-991</v>
      </c>
      <c r="AA444" s="118" t="str">
        <f>+VLOOKUP(Agencia[[#This Row],[Muestra]],Estructura!$M$4:$O$500,3,0)</f>
        <v>M-1034</v>
      </c>
    </row>
    <row r="445" spans="1:27" ht="40.799999999999997" x14ac:dyDescent="0.3">
      <c r="A445" s="21" t="s">
        <v>1000</v>
      </c>
      <c r="B445" s="24">
        <f t="shared" ref="B445:D445" si="572">+B444</f>
        <v>990</v>
      </c>
      <c r="C445" s="25" t="str">
        <f t="shared" si="572"/>
        <v>Agencia Información</v>
      </c>
      <c r="D445" s="25" t="str">
        <f t="shared" si="572"/>
        <v>Social</v>
      </c>
      <c r="E445" s="19">
        <v>7</v>
      </c>
      <c r="F445" s="18" t="s">
        <v>1460</v>
      </c>
      <c r="G445" s="18" t="s">
        <v>3767</v>
      </c>
      <c r="H445" s="35" t="s">
        <v>16</v>
      </c>
      <c r="I445" s="36" t="s">
        <v>374</v>
      </c>
      <c r="J445" s="9" t="str">
        <f t="shared" ref="J445:N445" si="573">+J444</f>
        <v>Comuna</v>
      </c>
      <c r="K445" s="9" t="str">
        <f t="shared" si="573"/>
        <v>Defunciones anuales por comuna</v>
      </c>
      <c r="L445" s="9" t="str">
        <f t="shared" si="573"/>
        <v>Periodo 2010-2021</v>
      </c>
      <c r="M445" s="9" t="str">
        <f t="shared" si="573"/>
        <v>Número de personas</v>
      </c>
      <c r="N445" s="9" t="str">
        <f t="shared" si="573"/>
        <v>Ministerio de Ciencia, Tecnología, Conocimiento e Innovación</v>
      </c>
      <c r="O445" s="20" t="str">
        <f>"Cantidad de defunciones anuales en la "&amp;Agencia[[#This Row],[territorio]]&amp;", "&amp;Agencia[[#This Row],[temporalidad]]</f>
        <v>Cantidad de defunciones anuales en la Región de Maule, Periodo 2010-2021</v>
      </c>
      <c r="P445" s="20"/>
      <c r="Q445" s="11" t="str">
        <f t="shared" si="560"/>
        <v>Dashboard</v>
      </c>
      <c r="R445" s="87" t="str">
        <f>Agencia[[#This Row],[territorio]]&amp;" defunciones población cantidad número demografía"</f>
        <v>Región de Maule defunciones población cantidad número demografía</v>
      </c>
      <c r="S445" s="22" t="s">
        <v>1710</v>
      </c>
      <c r="T445" s="69" t="str">
        <f>"100-C-"&amp;Agencia[[#This Row],[Filtro URL]]</f>
        <v>100-C-7</v>
      </c>
      <c r="U445" s="50" t="str">
        <f t="shared" si="563"/>
        <v>#1774B9</v>
      </c>
      <c r="V445" s="118" t="str">
        <f>+Agencia[[#This Row],[idcoleccion]]&amp;"-"&amp;Agencia[[#This Row],[id]]</f>
        <v>990-0434</v>
      </c>
      <c r="W445" s="118">
        <f>+VLOOKUP(Agencia[[#This Row],[Filtro URL]],Estructura!$X$4:$Y$500,2,0)</f>
        <v>99200007</v>
      </c>
      <c r="X445" s="118" t="str">
        <f>+VLOOKUP(Agencia[[#This Row],[tema]],Estructura!$A$4:$C$500,3,0)</f>
        <v>T-1005</v>
      </c>
      <c r="Y445" s="118" t="str">
        <f>+VLOOKUP(Agencia[[#This Row],[contenido]],Estructura!$E$4:$G$500,3,0)</f>
        <v>C-1002</v>
      </c>
      <c r="Z445" s="118" t="str">
        <f>+VLOOKUP(Agencia[[#This Row],[Filtro Integrado]],Estructura!$I$4:$K$500,3,0)</f>
        <v>FI-991</v>
      </c>
      <c r="AA445" s="118" t="str">
        <f>+VLOOKUP(Agencia[[#This Row],[Muestra]],Estructura!$M$4:$O$500,3,0)</f>
        <v>M-1034</v>
      </c>
    </row>
    <row r="446" spans="1:27" ht="40.799999999999997" x14ac:dyDescent="0.3">
      <c r="A446" s="21" t="s">
        <v>1001</v>
      </c>
      <c r="B446" s="24">
        <f t="shared" ref="B446:D446" si="574">+B445</f>
        <v>990</v>
      </c>
      <c r="C446" s="25" t="str">
        <f t="shared" si="574"/>
        <v>Agencia Información</v>
      </c>
      <c r="D446" s="25" t="str">
        <f t="shared" si="574"/>
        <v>Social</v>
      </c>
      <c r="E446" s="19">
        <v>8</v>
      </c>
      <c r="F446" s="18" t="s">
        <v>1460</v>
      </c>
      <c r="G446" s="18" t="s">
        <v>3767</v>
      </c>
      <c r="H446" s="35" t="s">
        <v>16</v>
      </c>
      <c r="I446" s="36" t="s">
        <v>375</v>
      </c>
      <c r="J446" s="9" t="str">
        <f t="shared" ref="J446:N446" si="575">+J445</f>
        <v>Comuna</v>
      </c>
      <c r="K446" s="9" t="str">
        <f t="shared" si="575"/>
        <v>Defunciones anuales por comuna</v>
      </c>
      <c r="L446" s="9" t="str">
        <f t="shared" si="575"/>
        <v>Periodo 2010-2021</v>
      </c>
      <c r="M446" s="9" t="str">
        <f t="shared" si="575"/>
        <v>Número de personas</v>
      </c>
      <c r="N446" s="9" t="str">
        <f t="shared" si="575"/>
        <v>Ministerio de Ciencia, Tecnología, Conocimiento e Innovación</v>
      </c>
      <c r="O446" s="20" t="str">
        <f>"Cantidad de defunciones anuales en la "&amp;Agencia[[#This Row],[territorio]]&amp;", "&amp;Agencia[[#This Row],[temporalidad]]</f>
        <v>Cantidad de defunciones anuales en la Región del Biobío, Periodo 2010-2021</v>
      </c>
      <c r="P446" s="20"/>
      <c r="Q446" s="11" t="str">
        <f t="shared" si="560"/>
        <v>Dashboard</v>
      </c>
      <c r="R446" s="87" t="str">
        <f>Agencia[[#This Row],[territorio]]&amp;" defunciones población cantidad número demografía"</f>
        <v>Región del Biobío defunciones población cantidad número demografía</v>
      </c>
      <c r="S446" s="22" t="s">
        <v>1711</v>
      </c>
      <c r="T446" s="69" t="str">
        <f>"100-C-"&amp;Agencia[[#This Row],[Filtro URL]]</f>
        <v>100-C-8</v>
      </c>
      <c r="U446" s="50" t="str">
        <f t="shared" si="563"/>
        <v>#1774B9</v>
      </c>
      <c r="V446" s="118" t="str">
        <f>+Agencia[[#This Row],[idcoleccion]]&amp;"-"&amp;Agencia[[#This Row],[id]]</f>
        <v>990-0435</v>
      </c>
      <c r="W446" s="118">
        <f>+VLOOKUP(Agencia[[#This Row],[Filtro URL]],Estructura!$X$4:$Y$500,2,0)</f>
        <v>99200008</v>
      </c>
      <c r="X446" s="118" t="str">
        <f>+VLOOKUP(Agencia[[#This Row],[tema]],Estructura!$A$4:$C$500,3,0)</f>
        <v>T-1005</v>
      </c>
      <c r="Y446" s="118" t="str">
        <f>+VLOOKUP(Agencia[[#This Row],[contenido]],Estructura!$E$4:$G$500,3,0)</f>
        <v>C-1002</v>
      </c>
      <c r="Z446" s="118" t="str">
        <f>+VLOOKUP(Agencia[[#This Row],[Filtro Integrado]],Estructura!$I$4:$K$500,3,0)</f>
        <v>FI-991</v>
      </c>
      <c r="AA446" s="118" t="str">
        <f>+VLOOKUP(Agencia[[#This Row],[Muestra]],Estructura!$M$4:$O$500,3,0)</f>
        <v>M-1034</v>
      </c>
    </row>
    <row r="447" spans="1:27" ht="40.799999999999997" x14ac:dyDescent="0.3">
      <c r="A447" s="21" t="s">
        <v>1002</v>
      </c>
      <c r="B447" s="24">
        <f t="shared" ref="B447:D447" si="576">+B446</f>
        <v>990</v>
      </c>
      <c r="C447" s="25" t="str">
        <f t="shared" si="576"/>
        <v>Agencia Información</v>
      </c>
      <c r="D447" s="25" t="str">
        <f t="shared" si="576"/>
        <v>Social</v>
      </c>
      <c r="E447" s="19">
        <v>9</v>
      </c>
      <c r="F447" s="18" t="s">
        <v>1460</v>
      </c>
      <c r="G447" s="18" t="s">
        <v>3767</v>
      </c>
      <c r="H447" s="35" t="s">
        <v>16</v>
      </c>
      <c r="I447" s="36" t="s">
        <v>376</v>
      </c>
      <c r="J447" s="9" t="str">
        <f t="shared" ref="J447:N447" si="577">+J446</f>
        <v>Comuna</v>
      </c>
      <c r="K447" s="9" t="str">
        <f t="shared" si="577"/>
        <v>Defunciones anuales por comuna</v>
      </c>
      <c r="L447" s="9" t="str">
        <f t="shared" si="577"/>
        <v>Periodo 2010-2021</v>
      </c>
      <c r="M447" s="9" t="str">
        <f t="shared" si="577"/>
        <v>Número de personas</v>
      </c>
      <c r="N447" s="9" t="str">
        <f t="shared" si="577"/>
        <v>Ministerio de Ciencia, Tecnología, Conocimiento e Innovación</v>
      </c>
      <c r="O447" s="20" t="str">
        <f>"Cantidad de defunciones anuales en la "&amp;Agencia[[#This Row],[territorio]]&amp;", "&amp;Agencia[[#This Row],[temporalidad]]</f>
        <v>Cantidad de defunciones anuales en la Región de La Araucanía, Periodo 2010-2021</v>
      </c>
      <c r="P447" s="20"/>
      <c r="Q447" s="11" t="str">
        <f t="shared" si="560"/>
        <v>Dashboard</v>
      </c>
      <c r="R447" s="87" t="str">
        <f>Agencia[[#This Row],[territorio]]&amp;" defunciones población cantidad número demografía"</f>
        <v>Región de La Araucanía defunciones población cantidad número demografía</v>
      </c>
      <c r="S447" s="22" t="s">
        <v>1712</v>
      </c>
      <c r="T447" s="69" t="str">
        <f>"100-C-"&amp;Agencia[[#This Row],[Filtro URL]]</f>
        <v>100-C-9</v>
      </c>
      <c r="U447" s="50" t="str">
        <f t="shared" si="563"/>
        <v>#1774B9</v>
      </c>
      <c r="V447" s="118" t="str">
        <f>+Agencia[[#This Row],[idcoleccion]]&amp;"-"&amp;Agencia[[#This Row],[id]]</f>
        <v>990-0436</v>
      </c>
      <c r="W447" s="118">
        <f>+VLOOKUP(Agencia[[#This Row],[Filtro URL]],Estructura!$X$4:$Y$500,2,0)</f>
        <v>99200009</v>
      </c>
      <c r="X447" s="118" t="str">
        <f>+VLOOKUP(Agencia[[#This Row],[tema]],Estructura!$A$4:$C$500,3,0)</f>
        <v>T-1005</v>
      </c>
      <c r="Y447" s="118" t="str">
        <f>+VLOOKUP(Agencia[[#This Row],[contenido]],Estructura!$E$4:$G$500,3,0)</f>
        <v>C-1002</v>
      </c>
      <c r="Z447" s="118" t="str">
        <f>+VLOOKUP(Agencia[[#This Row],[Filtro Integrado]],Estructura!$I$4:$K$500,3,0)</f>
        <v>FI-991</v>
      </c>
      <c r="AA447" s="118" t="str">
        <f>+VLOOKUP(Agencia[[#This Row],[Muestra]],Estructura!$M$4:$O$500,3,0)</f>
        <v>M-1034</v>
      </c>
    </row>
    <row r="448" spans="1:27" ht="72" x14ac:dyDescent="0.3">
      <c r="A448" s="21" t="s">
        <v>1003</v>
      </c>
      <c r="B448" s="24">
        <f t="shared" ref="B448:D448" si="578">+B447</f>
        <v>990</v>
      </c>
      <c r="C448" s="25" t="str">
        <f t="shared" si="578"/>
        <v>Agencia Información</v>
      </c>
      <c r="D448" s="25" t="str">
        <f t="shared" si="578"/>
        <v>Social</v>
      </c>
      <c r="E448" s="19">
        <v>10</v>
      </c>
      <c r="F448" s="18" t="s">
        <v>1460</v>
      </c>
      <c r="G448" s="18" t="s">
        <v>3767</v>
      </c>
      <c r="H448" s="35" t="s">
        <v>16</v>
      </c>
      <c r="I448" s="36" t="s">
        <v>377</v>
      </c>
      <c r="J448" s="9" t="str">
        <f t="shared" ref="J448:N448" si="579">+J447</f>
        <v>Comuna</v>
      </c>
      <c r="K448" s="9" t="str">
        <f t="shared" si="579"/>
        <v>Defunciones anuales por comuna</v>
      </c>
      <c r="L448" s="9" t="str">
        <f t="shared" si="579"/>
        <v>Periodo 2010-2021</v>
      </c>
      <c r="M448" s="9" t="str">
        <f t="shared" si="579"/>
        <v>Número de personas</v>
      </c>
      <c r="N448" s="9" t="str">
        <f t="shared" si="579"/>
        <v>Ministerio de Ciencia, Tecnología, Conocimiento e Innovación</v>
      </c>
      <c r="O448" s="20" t="str">
        <f>"Cantidad de defunciones anuales en la "&amp;Agencia[[#This Row],[territorio]]&amp;", "&amp;Agencia[[#This Row],[temporalidad]]</f>
        <v>Cantidad de defunciones anuales en la Región de Los Lagos, Periodo 2010-2021</v>
      </c>
      <c r="P448" s="20"/>
      <c r="Q448" s="11" t="str">
        <f t="shared" si="560"/>
        <v>Dashboard</v>
      </c>
      <c r="R448" s="87" t="str">
        <f>Agencia[[#This Row],[territorio]]&amp;" defunciones población cantidad número demografía"</f>
        <v>Región de Los Lagos defunciones población cantidad número demografía</v>
      </c>
      <c r="S448" s="39" t="s">
        <v>1713</v>
      </c>
      <c r="T448" s="69" t="str">
        <f>"100-C-"&amp;Agencia[[#This Row],[Filtro URL]]</f>
        <v>100-C-10</v>
      </c>
      <c r="U448" s="50" t="str">
        <f t="shared" si="563"/>
        <v>#1774B9</v>
      </c>
      <c r="V448" s="118" t="str">
        <f>+Agencia[[#This Row],[idcoleccion]]&amp;"-"&amp;Agencia[[#This Row],[id]]</f>
        <v>990-0437</v>
      </c>
      <c r="W448" s="118">
        <f>+VLOOKUP(Agencia[[#This Row],[Filtro URL]],Estructura!$X$4:$Y$500,2,0)</f>
        <v>99200010</v>
      </c>
      <c r="X448" s="118" t="str">
        <f>+VLOOKUP(Agencia[[#This Row],[tema]],Estructura!$A$4:$C$500,3,0)</f>
        <v>T-1005</v>
      </c>
      <c r="Y448" s="118" t="str">
        <f>+VLOOKUP(Agencia[[#This Row],[contenido]],Estructura!$E$4:$G$500,3,0)</f>
        <v>C-1002</v>
      </c>
      <c r="Z448" s="118" t="str">
        <f>+VLOOKUP(Agencia[[#This Row],[Filtro Integrado]],Estructura!$I$4:$K$500,3,0)</f>
        <v>FI-991</v>
      </c>
      <c r="AA448" s="118" t="str">
        <f>+VLOOKUP(Agencia[[#This Row],[Muestra]],Estructura!$M$4:$O$500,3,0)</f>
        <v>M-1034</v>
      </c>
    </row>
    <row r="449" spans="1:27" ht="72" x14ac:dyDescent="0.3">
      <c r="A449" s="21" t="s">
        <v>1004</v>
      </c>
      <c r="B449" s="24">
        <f t="shared" ref="B449:D449" si="580">+B448</f>
        <v>990</v>
      </c>
      <c r="C449" s="25" t="str">
        <f t="shared" si="580"/>
        <v>Agencia Información</v>
      </c>
      <c r="D449" s="25" t="str">
        <f t="shared" si="580"/>
        <v>Social</v>
      </c>
      <c r="E449" s="19">
        <v>11</v>
      </c>
      <c r="F449" s="18" t="s">
        <v>1460</v>
      </c>
      <c r="G449" s="18" t="s">
        <v>3767</v>
      </c>
      <c r="H449" s="35" t="s">
        <v>16</v>
      </c>
      <c r="I449" s="36" t="s">
        <v>378</v>
      </c>
      <c r="J449" s="9" t="str">
        <f t="shared" ref="J449:N449" si="581">+J448</f>
        <v>Comuna</v>
      </c>
      <c r="K449" s="9" t="str">
        <f t="shared" si="581"/>
        <v>Defunciones anuales por comuna</v>
      </c>
      <c r="L449" s="9" t="str">
        <f t="shared" si="581"/>
        <v>Periodo 2010-2021</v>
      </c>
      <c r="M449" s="9" t="str">
        <f t="shared" si="581"/>
        <v>Número de personas</v>
      </c>
      <c r="N449" s="9" t="str">
        <f t="shared" si="581"/>
        <v>Ministerio de Ciencia, Tecnología, Conocimiento e Innovación</v>
      </c>
      <c r="O449" s="20" t="str">
        <f>"Cantidad de defunciones anuales en la "&amp;Agencia[[#This Row],[territorio]]&amp;", "&amp;Agencia[[#This Row],[temporalidad]]</f>
        <v>Cantidad de defunciones anuales en la Región de Aysén, Periodo 2010-2021</v>
      </c>
      <c r="P449" s="20"/>
      <c r="Q449" s="11" t="str">
        <f t="shared" si="560"/>
        <v>Dashboard</v>
      </c>
      <c r="R449" s="87" t="str">
        <f>Agencia[[#This Row],[territorio]]&amp;" defunciones población cantidad número demografía"</f>
        <v>Región de Aysén defunciones población cantidad número demografía</v>
      </c>
      <c r="S449" s="102" t="s">
        <v>1714</v>
      </c>
      <c r="T449" s="69" t="str">
        <f>"100-C-"&amp;Agencia[[#This Row],[Filtro URL]]</f>
        <v>100-C-11</v>
      </c>
      <c r="U449" s="50" t="str">
        <f t="shared" si="563"/>
        <v>#1774B9</v>
      </c>
      <c r="V449" s="118" t="str">
        <f>+Agencia[[#This Row],[idcoleccion]]&amp;"-"&amp;Agencia[[#This Row],[id]]</f>
        <v>990-0438</v>
      </c>
      <c r="W449" s="118">
        <f>+VLOOKUP(Agencia[[#This Row],[Filtro URL]],Estructura!$X$4:$Y$500,2,0)</f>
        <v>99200011</v>
      </c>
      <c r="X449" s="118" t="str">
        <f>+VLOOKUP(Agencia[[#This Row],[tema]],Estructura!$A$4:$C$500,3,0)</f>
        <v>T-1005</v>
      </c>
      <c r="Y449" s="118" t="str">
        <f>+VLOOKUP(Agencia[[#This Row],[contenido]],Estructura!$E$4:$G$500,3,0)</f>
        <v>C-1002</v>
      </c>
      <c r="Z449" s="118" t="str">
        <f>+VLOOKUP(Agencia[[#This Row],[Filtro Integrado]],Estructura!$I$4:$K$500,3,0)</f>
        <v>FI-991</v>
      </c>
      <c r="AA449" s="118" t="str">
        <f>+VLOOKUP(Agencia[[#This Row],[Muestra]],Estructura!$M$4:$O$500,3,0)</f>
        <v>M-1034</v>
      </c>
    </row>
    <row r="450" spans="1:27" ht="51" x14ac:dyDescent="0.3">
      <c r="A450" s="21" t="s">
        <v>1005</v>
      </c>
      <c r="B450" s="24">
        <f t="shared" ref="B450:D450" si="582">+B449</f>
        <v>990</v>
      </c>
      <c r="C450" s="25" t="str">
        <f t="shared" si="582"/>
        <v>Agencia Información</v>
      </c>
      <c r="D450" s="25" t="str">
        <f t="shared" si="582"/>
        <v>Social</v>
      </c>
      <c r="E450" s="19">
        <v>12</v>
      </c>
      <c r="F450" s="18" t="s">
        <v>1460</v>
      </c>
      <c r="G450" s="18" t="s">
        <v>3767</v>
      </c>
      <c r="H450" s="35" t="s">
        <v>16</v>
      </c>
      <c r="I450" s="36" t="s">
        <v>379</v>
      </c>
      <c r="J450" s="9" t="str">
        <f t="shared" ref="J450:N450" si="583">+J449</f>
        <v>Comuna</v>
      </c>
      <c r="K450" s="9" t="str">
        <f t="shared" si="583"/>
        <v>Defunciones anuales por comuna</v>
      </c>
      <c r="L450" s="9" t="str">
        <f t="shared" si="583"/>
        <v>Periodo 2010-2021</v>
      </c>
      <c r="M450" s="9" t="str">
        <f t="shared" si="583"/>
        <v>Número de personas</v>
      </c>
      <c r="N450" s="9" t="str">
        <f t="shared" si="583"/>
        <v>Ministerio de Ciencia, Tecnología, Conocimiento e Innovación</v>
      </c>
      <c r="O450" s="20" t="str">
        <f>"Cantidad de defunciones anuales en la "&amp;Agencia[[#This Row],[territorio]]&amp;", "&amp;Agencia[[#This Row],[temporalidad]]</f>
        <v>Cantidad de defunciones anuales en la Región de Magallanes, Periodo 2010-2021</v>
      </c>
      <c r="P450" s="20"/>
      <c r="Q450" s="11" t="str">
        <f t="shared" si="560"/>
        <v>Dashboard</v>
      </c>
      <c r="R450" s="87" t="str">
        <f>Agencia[[#This Row],[territorio]]&amp;" defunciones población cantidad número demografía"</f>
        <v>Región de Magallanes defunciones población cantidad número demografía</v>
      </c>
      <c r="S450" s="22" t="s">
        <v>1715</v>
      </c>
      <c r="T450" s="69" t="str">
        <f>"100-C-"&amp;Agencia[[#This Row],[Filtro URL]]</f>
        <v>100-C-12</v>
      </c>
      <c r="U450" s="50" t="str">
        <f t="shared" si="563"/>
        <v>#1774B9</v>
      </c>
      <c r="V450" s="118" t="str">
        <f>+Agencia[[#This Row],[idcoleccion]]&amp;"-"&amp;Agencia[[#This Row],[id]]</f>
        <v>990-0439</v>
      </c>
      <c r="W450" s="118">
        <f>+VLOOKUP(Agencia[[#This Row],[Filtro URL]],Estructura!$X$4:$Y$500,2,0)</f>
        <v>99200012</v>
      </c>
      <c r="X450" s="118" t="str">
        <f>+VLOOKUP(Agencia[[#This Row],[tema]],Estructura!$A$4:$C$500,3,0)</f>
        <v>T-1005</v>
      </c>
      <c r="Y450" s="118" t="str">
        <f>+VLOOKUP(Agencia[[#This Row],[contenido]],Estructura!$E$4:$G$500,3,0)</f>
        <v>C-1002</v>
      </c>
      <c r="Z450" s="118" t="str">
        <f>+VLOOKUP(Agencia[[#This Row],[Filtro Integrado]],Estructura!$I$4:$K$500,3,0)</f>
        <v>FI-991</v>
      </c>
      <c r="AA450" s="118" t="str">
        <f>+VLOOKUP(Agencia[[#This Row],[Muestra]],Estructura!$M$4:$O$500,3,0)</f>
        <v>M-1034</v>
      </c>
    </row>
    <row r="451" spans="1:27" ht="40.799999999999997" x14ac:dyDescent="0.3">
      <c r="A451" s="21" t="s">
        <v>1006</v>
      </c>
      <c r="B451" s="24">
        <f t="shared" ref="B451:D451" si="584">+B450</f>
        <v>990</v>
      </c>
      <c r="C451" s="25" t="str">
        <f t="shared" si="584"/>
        <v>Agencia Información</v>
      </c>
      <c r="D451" s="25" t="str">
        <f t="shared" si="584"/>
        <v>Social</v>
      </c>
      <c r="E451" s="19">
        <v>13</v>
      </c>
      <c r="F451" s="18" t="s">
        <v>1460</v>
      </c>
      <c r="G451" s="18" t="s">
        <v>3767</v>
      </c>
      <c r="H451" s="35" t="s">
        <v>16</v>
      </c>
      <c r="I451" s="36" t="s">
        <v>380</v>
      </c>
      <c r="J451" s="9" t="str">
        <f t="shared" ref="J451:N451" si="585">+J450</f>
        <v>Comuna</v>
      </c>
      <c r="K451" s="9" t="str">
        <f t="shared" si="585"/>
        <v>Defunciones anuales por comuna</v>
      </c>
      <c r="L451" s="9" t="str">
        <f t="shared" si="585"/>
        <v>Periodo 2010-2021</v>
      </c>
      <c r="M451" s="9" t="str">
        <f t="shared" si="585"/>
        <v>Número de personas</v>
      </c>
      <c r="N451" s="9" t="str">
        <f t="shared" si="585"/>
        <v>Ministerio de Ciencia, Tecnología, Conocimiento e Innovación</v>
      </c>
      <c r="O451" s="20" t="str">
        <f>"Cantidad de defunciones anuales en la "&amp;Agencia[[#This Row],[territorio]]&amp;", "&amp;Agencia[[#This Row],[temporalidad]]</f>
        <v>Cantidad de defunciones anuales en la Región Metropolitana, Periodo 2010-2021</v>
      </c>
      <c r="P451" s="20"/>
      <c r="Q451" s="11" t="str">
        <f t="shared" si="560"/>
        <v>Dashboard</v>
      </c>
      <c r="R451" s="87" t="str">
        <f>Agencia[[#This Row],[territorio]]&amp;" defunciones población cantidad número demografía"</f>
        <v>Región Metropolitana defunciones población cantidad número demografía</v>
      </c>
      <c r="S451" s="22" t="s">
        <v>1716</v>
      </c>
      <c r="T451" s="69" t="str">
        <f>"200-C-"&amp;Agencia[[#This Row],[Filtro URL]]</f>
        <v>200-C-13</v>
      </c>
      <c r="U451" s="50" t="str">
        <f t="shared" si="563"/>
        <v>#1774B9</v>
      </c>
      <c r="V451" s="118" t="str">
        <f>+Agencia[[#This Row],[idcoleccion]]&amp;"-"&amp;Agencia[[#This Row],[id]]</f>
        <v>990-0440</v>
      </c>
      <c r="W451" s="118">
        <f>+VLOOKUP(Agencia[[#This Row],[Filtro URL]],Estructura!$X$4:$Y$500,2,0)</f>
        <v>99200013</v>
      </c>
      <c r="X451" s="118" t="str">
        <f>+VLOOKUP(Agencia[[#This Row],[tema]],Estructura!$A$4:$C$500,3,0)</f>
        <v>T-1005</v>
      </c>
      <c r="Y451" s="118" t="str">
        <f>+VLOOKUP(Agencia[[#This Row],[contenido]],Estructura!$E$4:$G$500,3,0)</f>
        <v>C-1002</v>
      </c>
      <c r="Z451" s="118" t="str">
        <f>+VLOOKUP(Agencia[[#This Row],[Filtro Integrado]],Estructura!$I$4:$K$500,3,0)</f>
        <v>FI-991</v>
      </c>
      <c r="AA451" s="118" t="str">
        <f>+VLOOKUP(Agencia[[#This Row],[Muestra]],Estructura!$M$4:$O$500,3,0)</f>
        <v>M-1034</v>
      </c>
    </row>
    <row r="452" spans="1:27" ht="40.799999999999997" x14ac:dyDescent="0.3">
      <c r="A452" s="21" t="s">
        <v>1739</v>
      </c>
      <c r="B452" s="24">
        <f t="shared" ref="B452:D452" si="586">+B451</f>
        <v>990</v>
      </c>
      <c r="C452" s="25" t="str">
        <f t="shared" si="586"/>
        <v>Agencia Información</v>
      </c>
      <c r="D452" s="25" t="str">
        <f t="shared" si="586"/>
        <v>Social</v>
      </c>
      <c r="E452" s="19">
        <v>14</v>
      </c>
      <c r="F452" s="18" t="s">
        <v>1460</v>
      </c>
      <c r="G452" s="18" t="s">
        <v>3767</v>
      </c>
      <c r="H452" s="35" t="s">
        <v>16</v>
      </c>
      <c r="I452" s="36" t="s">
        <v>381</v>
      </c>
      <c r="J452" s="9" t="str">
        <f t="shared" ref="J452:N452" si="587">+J451</f>
        <v>Comuna</v>
      </c>
      <c r="K452" s="9" t="str">
        <f t="shared" si="587"/>
        <v>Defunciones anuales por comuna</v>
      </c>
      <c r="L452" s="9" t="str">
        <f t="shared" si="587"/>
        <v>Periodo 2010-2021</v>
      </c>
      <c r="M452" s="9" t="str">
        <f t="shared" si="587"/>
        <v>Número de personas</v>
      </c>
      <c r="N452" s="9" t="str">
        <f t="shared" si="587"/>
        <v>Ministerio de Ciencia, Tecnología, Conocimiento e Innovación</v>
      </c>
      <c r="O452" s="20" t="str">
        <f>"Cantidad de defunciones anuales en la "&amp;Agencia[[#This Row],[territorio]]&amp;", "&amp;Agencia[[#This Row],[temporalidad]]</f>
        <v>Cantidad de defunciones anuales en la Región de Los Ríos, Periodo 2010-2021</v>
      </c>
      <c r="P452" s="20"/>
      <c r="Q452" s="11" t="str">
        <f t="shared" si="560"/>
        <v>Dashboard</v>
      </c>
      <c r="R452" s="87" t="str">
        <f>Agencia[[#This Row],[territorio]]&amp;" defunciones población cantidad número demografía"</f>
        <v>Región de Los Ríos defunciones población cantidad número demografía</v>
      </c>
      <c r="S452" s="22" t="s">
        <v>1717</v>
      </c>
      <c r="T452" s="69" t="str">
        <f>"100-C-"&amp;Agencia[[#This Row],[Filtro URL]]</f>
        <v>100-C-14</v>
      </c>
      <c r="U452" s="50" t="str">
        <f t="shared" si="563"/>
        <v>#1774B9</v>
      </c>
      <c r="V452" s="118" t="str">
        <f>+Agencia[[#This Row],[idcoleccion]]&amp;"-"&amp;Agencia[[#This Row],[id]]</f>
        <v>990-0441</v>
      </c>
      <c r="W452" s="118">
        <f>+VLOOKUP(Agencia[[#This Row],[Filtro URL]],Estructura!$X$4:$Y$500,2,0)</f>
        <v>99200014</v>
      </c>
      <c r="X452" s="118" t="str">
        <f>+VLOOKUP(Agencia[[#This Row],[tema]],Estructura!$A$4:$C$500,3,0)</f>
        <v>T-1005</v>
      </c>
      <c r="Y452" s="118" t="str">
        <f>+VLOOKUP(Agencia[[#This Row],[contenido]],Estructura!$E$4:$G$500,3,0)</f>
        <v>C-1002</v>
      </c>
      <c r="Z452" s="118" t="str">
        <f>+VLOOKUP(Agencia[[#This Row],[Filtro Integrado]],Estructura!$I$4:$K$500,3,0)</f>
        <v>FI-991</v>
      </c>
      <c r="AA452" s="118" t="str">
        <f>+VLOOKUP(Agencia[[#This Row],[Muestra]],Estructura!$M$4:$O$500,3,0)</f>
        <v>M-1034</v>
      </c>
    </row>
    <row r="453" spans="1:27" ht="72" x14ac:dyDescent="0.3">
      <c r="A453" s="21" t="s">
        <v>1740</v>
      </c>
      <c r="B453" s="24">
        <f t="shared" ref="B453:D453" si="588">+B452</f>
        <v>990</v>
      </c>
      <c r="C453" s="25" t="str">
        <f t="shared" si="588"/>
        <v>Agencia Información</v>
      </c>
      <c r="D453" s="25" t="str">
        <f t="shared" si="588"/>
        <v>Social</v>
      </c>
      <c r="E453" s="19">
        <v>15</v>
      </c>
      <c r="F453" s="18" t="s">
        <v>1460</v>
      </c>
      <c r="G453" s="18" t="s">
        <v>3767</v>
      </c>
      <c r="H453" s="35" t="s">
        <v>16</v>
      </c>
      <c r="I453" s="36" t="s">
        <v>382</v>
      </c>
      <c r="J453" s="9" t="str">
        <f t="shared" ref="J453:N453" si="589">+J452</f>
        <v>Comuna</v>
      </c>
      <c r="K453" s="9" t="str">
        <f t="shared" si="589"/>
        <v>Defunciones anuales por comuna</v>
      </c>
      <c r="L453" s="9" t="str">
        <f t="shared" si="589"/>
        <v>Periodo 2010-2021</v>
      </c>
      <c r="M453" s="9" t="str">
        <f t="shared" si="589"/>
        <v>Número de personas</v>
      </c>
      <c r="N453" s="9" t="str">
        <f t="shared" si="589"/>
        <v>Ministerio de Ciencia, Tecnología, Conocimiento e Innovación</v>
      </c>
      <c r="O453" s="20" t="str">
        <f>"Cantidad de defunciones anuales en la "&amp;Agencia[[#This Row],[territorio]]&amp;", "&amp;Agencia[[#This Row],[temporalidad]]</f>
        <v>Cantidad de defunciones anuales en la Región de Arica y Parinacota, Periodo 2010-2021</v>
      </c>
      <c r="P453" s="20"/>
      <c r="Q453" s="11" t="str">
        <f t="shared" si="560"/>
        <v>Dashboard</v>
      </c>
      <c r="R453" s="87" t="str">
        <f>Agencia[[#This Row],[territorio]]&amp;" defunciones población cantidad número demografía"</f>
        <v>Región de Arica y Parinacota defunciones población cantidad número demografía</v>
      </c>
      <c r="S453" s="39" t="s">
        <v>1718</v>
      </c>
      <c r="T453" s="69" t="str">
        <f>"100-C-"&amp;Agencia[[#This Row],[Filtro URL]]</f>
        <v>100-C-15</v>
      </c>
      <c r="U453" s="50" t="str">
        <f t="shared" si="563"/>
        <v>#1774B9</v>
      </c>
      <c r="V453" s="118" t="str">
        <f>+Agencia[[#This Row],[idcoleccion]]&amp;"-"&amp;Agencia[[#This Row],[id]]</f>
        <v>990-0442</v>
      </c>
      <c r="W453" s="118">
        <f>+VLOOKUP(Agencia[[#This Row],[Filtro URL]],Estructura!$X$4:$Y$500,2,0)</f>
        <v>99200015</v>
      </c>
      <c r="X453" s="118" t="str">
        <f>+VLOOKUP(Agencia[[#This Row],[tema]],Estructura!$A$4:$C$500,3,0)</f>
        <v>T-1005</v>
      </c>
      <c r="Y453" s="118" t="str">
        <f>+VLOOKUP(Agencia[[#This Row],[contenido]],Estructura!$E$4:$G$500,3,0)</f>
        <v>C-1002</v>
      </c>
      <c r="Z453" s="118" t="str">
        <f>+VLOOKUP(Agencia[[#This Row],[Filtro Integrado]],Estructura!$I$4:$K$500,3,0)</f>
        <v>FI-991</v>
      </c>
      <c r="AA453" s="118" t="str">
        <f>+VLOOKUP(Agencia[[#This Row],[Muestra]],Estructura!$M$4:$O$500,3,0)</f>
        <v>M-1034</v>
      </c>
    </row>
    <row r="454" spans="1:27" ht="72" x14ac:dyDescent="0.3">
      <c r="A454" s="21" t="s">
        <v>1741</v>
      </c>
      <c r="B454" s="24">
        <f t="shared" ref="B454:D454" si="590">+B453</f>
        <v>990</v>
      </c>
      <c r="C454" s="25" t="str">
        <f t="shared" si="590"/>
        <v>Agencia Información</v>
      </c>
      <c r="D454" s="25" t="str">
        <f t="shared" si="590"/>
        <v>Social</v>
      </c>
      <c r="E454" s="19">
        <v>16</v>
      </c>
      <c r="F454" s="18" t="s">
        <v>1460</v>
      </c>
      <c r="G454" s="18" t="s">
        <v>3767</v>
      </c>
      <c r="H454" s="35" t="s">
        <v>16</v>
      </c>
      <c r="I454" s="36" t="s">
        <v>383</v>
      </c>
      <c r="J454" s="9" t="str">
        <f t="shared" ref="J454:N454" si="591">+J453</f>
        <v>Comuna</v>
      </c>
      <c r="K454" s="9" t="str">
        <f t="shared" si="591"/>
        <v>Defunciones anuales por comuna</v>
      </c>
      <c r="L454" s="9" t="str">
        <f t="shared" si="591"/>
        <v>Periodo 2010-2021</v>
      </c>
      <c r="M454" s="9" t="str">
        <f t="shared" si="591"/>
        <v>Número de personas</v>
      </c>
      <c r="N454" s="9" t="str">
        <f t="shared" si="591"/>
        <v>Ministerio de Ciencia, Tecnología, Conocimiento e Innovación</v>
      </c>
      <c r="O454" s="20" t="str">
        <f>"Cantidad de defunciones anuales en la "&amp;Agencia[[#This Row],[territorio]]&amp;", "&amp;Agencia[[#This Row],[temporalidad]]</f>
        <v>Cantidad de defunciones anuales en la Región de Ñuble, Periodo 2010-2021</v>
      </c>
      <c r="P454" s="20"/>
      <c r="Q454" s="11" t="str">
        <f t="shared" si="560"/>
        <v>Dashboard</v>
      </c>
      <c r="R454" s="87" t="str">
        <f>Agencia[[#This Row],[territorio]]&amp;" defunciones población cantidad número demografía"</f>
        <v>Región de Ñuble defunciones población cantidad número demografía</v>
      </c>
      <c r="S454" s="39" t="s">
        <v>1719</v>
      </c>
      <c r="T454" s="69" t="str">
        <f>"100-C-"&amp;Agencia[[#This Row],[Filtro URL]]</f>
        <v>100-C-16</v>
      </c>
      <c r="U454" s="50" t="str">
        <f t="shared" si="563"/>
        <v>#1774B9</v>
      </c>
      <c r="V454" s="118" t="str">
        <f>+Agencia[[#This Row],[idcoleccion]]&amp;"-"&amp;Agencia[[#This Row],[id]]</f>
        <v>990-0443</v>
      </c>
      <c r="W454" s="118">
        <f>+VLOOKUP(Agencia[[#This Row],[Filtro URL]],Estructura!$X$4:$Y$500,2,0)</f>
        <v>99200016</v>
      </c>
      <c r="X454" s="118" t="str">
        <f>+VLOOKUP(Agencia[[#This Row],[tema]],Estructura!$A$4:$C$500,3,0)</f>
        <v>T-1005</v>
      </c>
      <c r="Y454" s="118" t="str">
        <f>+VLOOKUP(Agencia[[#This Row],[contenido]],Estructura!$E$4:$G$500,3,0)</f>
        <v>C-1002</v>
      </c>
      <c r="Z454" s="118" t="str">
        <f>+VLOOKUP(Agencia[[#This Row],[Filtro Integrado]],Estructura!$I$4:$K$500,3,0)</f>
        <v>FI-991</v>
      </c>
      <c r="AA454" s="118" t="str">
        <f>+VLOOKUP(Agencia[[#This Row],[Muestra]],Estructura!$M$4:$O$500,3,0)</f>
        <v>M-1034</v>
      </c>
    </row>
    <row r="455" spans="1:27" ht="51" x14ac:dyDescent="0.3">
      <c r="A455" s="21" t="s">
        <v>1742</v>
      </c>
      <c r="B455" s="24">
        <f t="shared" ref="B455:C455" si="592">+B454</f>
        <v>990</v>
      </c>
      <c r="C455" s="25" t="str">
        <f t="shared" si="592"/>
        <v>Agencia Información</v>
      </c>
      <c r="D455" s="25" t="s">
        <v>822</v>
      </c>
      <c r="E455" s="14">
        <v>0</v>
      </c>
      <c r="F455" s="18" t="s">
        <v>1464</v>
      </c>
      <c r="G455" s="18" t="s">
        <v>3767</v>
      </c>
      <c r="H455" s="33" t="s">
        <v>20</v>
      </c>
      <c r="I455" s="34" t="s">
        <v>15</v>
      </c>
      <c r="J455" s="9" t="s">
        <v>18</v>
      </c>
      <c r="K455" s="9" t="s">
        <v>1465</v>
      </c>
      <c r="L455" s="9" t="s">
        <v>1462</v>
      </c>
      <c r="M455" s="9" t="s">
        <v>1456</v>
      </c>
      <c r="N455" s="9" t="s">
        <v>5293</v>
      </c>
      <c r="O455" s="20" t="str">
        <f>"Cantidad de nacimientos anuales por región en "&amp;Agencia[[#This Row],[territorio]]&amp;", "&amp;Agencia[[#This Row],[temporalidad]]</f>
        <v>Cantidad de nacimientos anuales por región en Chile, Periodo 2010-2021</v>
      </c>
      <c r="P455" s="20"/>
      <c r="Q455" s="11" t="s">
        <v>606</v>
      </c>
      <c r="R455" s="20" t="str">
        <f>Agencia[[#This Row],[territorio]]&amp;" nacimientos población cantidad número demografía"</f>
        <v>Chile nacimientos población cantidad número demografía</v>
      </c>
      <c r="S455" s="22" t="s">
        <v>8317</v>
      </c>
      <c r="T455" s="68" t="s">
        <v>1033</v>
      </c>
      <c r="U455" s="50" t="str">
        <f t="shared" si="563"/>
        <v>#1774B9</v>
      </c>
      <c r="V455" s="118" t="str">
        <f>+Agencia[[#This Row],[idcoleccion]]&amp;"-"&amp;Agencia[[#This Row],[id]]</f>
        <v>990-0444</v>
      </c>
      <c r="W455" s="118">
        <f>+VLOOKUP(Agencia[[#This Row],[Filtro URL]],Estructura!$X$4:$Y$500,2,0)</f>
        <v>99100000</v>
      </c>
      <c r="X455" s="118" t="str">
        <f>+VLOOKUP(Agencia[[#This Row],[tema]],Estructura!$A$4:$C$500,3,0)</f>
        <v>T-1006</v>
      </c>
      <c r="Y455" s="118" t="str">
        <f>+VLOOKUP(Agencia[[#This Row],[contenido]],Estructura!$E$4:$G$500,3,0)</f>
        <v>C-1002</v>
      </c>
      <c r="Z455" s="118" t="str">
        <f>+VLOOKUP(Agencia[[#This Row],[Filtro Integrado]],Estructura!$I$4:$K$500,3,0)</f>
        <v>FI-991</v>
      </c>
      <c r="AA455" s="118" t="str">
        <f>+VLOOKUP(Agencia[[#This Row],[Muestra]],Estructura!$M$4:$O$500,3,0)</f>
        <v>M-1035</v>
      </c>
    </row>
    <row r="456" spans="1:27" ht="40.799999999999997" x14ac:dyDescent="0.3">
      <c r="A456" s="21" t="s">
        <v>1743</v>
      </c>
      <c r="B456" s="24">
        <f t="shared" ref="B456:D456" si="593">+B455</f>
        <v>990</v>
      </c>
      <c r="C456" s="25" t="str">
        <f t="shared" si="593"/>
        <v>Agencia Información</v>
      </c>
      <c r="D456" s="25" t="str">
        <f t="shared" si="593"/>
        <v>Social</v>
      </c>
      <c r="E456" s="19">
        <v>1</v>
      </c>
      <c r="F456" s="18" t="s">
        <v>1464</v>
      </c>
      <c r="G456" s="18" t="s">
        <v>3767</v>
      </c>
      <c r="H456" s="35" t="s">
        <v>16</v>
      </c>
      <c r="I456" s="36" t="s">
        <v>368</v>
      </c>
      <c r="J456" s="9" t="str">
        <f t="shared" ref="J456:N456" si="594">+J455</f>
        <v>Comuna</v>
      </c>
      <c r="K456" s="9" t="str">
        <f t="shared" si="594"/>
        <v>Nacimientos anuales por comuna</v>
      </c>
      <c r="L456" s="9" t="str">
        <f t="shared" si="594"/>
        <v>Periodo 2010-2021</v>
      </c>
      <c r="M456" s="9" t="str">
        <f t="shared" si="594"/>
        <v>Número de personas</v>
      </c>
      <c r="N456" s="9" t="str">
        <f t="shared" si="594"/>
        <v>Ministerio de Ciencia, Tecnología, Conocimiento e Innovación</v>
      </c>
      <c r="O456" s="20" t="str">
        <f>"Cantidad de nacimientos anuales en la "&amp;Agencia[[#This Row],[territorio]]&amp;", "&amp;Agencia[[#This Row],[temporalidad]]</f>
        <v>Cantidad de nacimientos anuales en la Región de Tarapacá, Periodo 2010-2021</v>
      </c>
      <c r="P456" s="20"/>
      <c r="Q456" s="11" t="str">
        <f t="shared" si="560"/>
        <v>Dashboard</v>
      </c>
      <c r="R456" s="87" t="str">
        <f>Agencia[[#This Row],[territorio]]&amp;" nacimientos población cantidad número demografía"</f>
        <v>Región de Tarapacá nacimientos población cantidad número demografía</v>
      </c>
      <c r="S456" s="22" t="s">
        <v>8318</v>
      </c>
      <c r="T456" s="69" t="str">
        <f>"100-C-"&amp;Agencia[[#This Row],[Filtro URL]]</f>
        <v>100-C-1</v>
      </c>
      <c r="U456" s="50" t="str">
        <f t="shared" si="563"/>
        <v>#1774B9</v>
      </c>
      <c r="V456" s="118" t="str">
        <f>+Agencia[[#This Row],[idcoleccion]]&amp;"-"&amp;Agencia[[#This Row],[id]]</f>
        <v>990-0445</v>
      </c>
      <c r="W456" s="118">
        <f>+VLOOKUP(Agencia[[#This Row],[Filtro URL]],Estructura!$X$4:$Y$500,2,0)</f>
        <v>99200001</v>
      </c>
      <c r="X456" s="118" t="str">
        <f>+VLOOKUP(Agencia[[#This Row],[tema]],Estructura!$A$4:$C$500,3,0)</f>
        <v>T-1006</v>
      </c>
      <c r="Y456" s="118" t="str">
        <f>+VLOOKUP(Agencia[[#This Row],[contenido]],Estructura!$E$4:$G$500,3,0)</f>
        <v>C-1002</v>
      </c>
      <c r="Z456" s="118" t="str">
        <f>+VLOOKUP(Agencia[[#This Row],[Filtro Integrado]],Estructura!$I$4:$K$500,3,0)</f>
        <v>FI-991</v>
      </c>
      <c r="AA456" s="118" t="str">
        <f>+VLOOKUP(Agencia[[#This Row],[Muestra]],Estructura!$M$4:$O$500,3,0)</f>
        <v>M-1035</v>
      </c>
    </row>
    <row r="457" spans="1:27" ht="72" x14ac:dyDescent="0.3">
      <c r="A457" s="21" t="s">
        <v>1744</v>
      </c>
      <c r="B457" s="24">
        <f t="shared" ref="B457:D457" si="595">+B456</f>
        <v>990</v>
      </c>
      <c r="C457" s="25" t="str">
        <f t="shared" si="595"/>
        <v>Agencia Información</v>
      </c>
      <c r="D457" s="25" t="str">
        <f t="shared" si="595"/>
        <v>Social</v>
      </c>
      <c r="E457" s="19">
        <v>2</v>
      </c>
      <c r="F457" s="18" t="s">
        <v>1464</v>
      </c>
      <c r="G457" s="18" t="s">
        <v>3767</v>
      </c>
      <c r="H457" s="35" t="s">
        <v>16</v>
      </c>
      <c r="I457" s="36" t="s">
        <v>369</v>
      </c>
      <c r="J457" s="9" t="str">
        <f t="shared" ref="J457:N457" si="596">+J456</f>
        <v>Comuna</v>
      </c>
      <c r="K457" s="9" t="str">
        <f t="shared" si="596"/>
        <v>Nacimientos anuales por comuna</v>
      </c>
      <c r="L457" s="9" t="str">
        <f t="shared" si="596"/>
        <v>Periodo 2010-2021</v>
      </c>
      <c r="M457" s="9" t="str">
        <f t="shared" si="596"/>
        <v>Número de personas</v>
      </c>
      <c r="N457" s="9" t="str">
        <f t="shared" si="596"/>
        <v>Ministerio de Ciencia, Tecnología, Conocimiento e Innovación</v>
      </c>
      <c r="O457" s="20" t="str">
        <f>"Cantidad de nacimientos anuales en la "&amp;Agencia[[#This Row],[territorio]]&amp;", "&amp;Agencia[[#This Row],[temporalidad]]</f>
        <v>Cantidad de nacimientos anuales en la Región de Antofagasta, Periodo 2010-2021</v>
      </c>
      <c r="P457" s="20"/>
      <c r="Q457" s="11" t="str">
        <f t="shared" si="560"/>
        <v>Dashboard</v>
      </c>
      <c r="R457" s="87" t="str">
        <f>Agencia[[#This Row],[territorio]]&amp;" nacimientos población cantidad número demografía"</f>
        <v>Región de Antofagasta nacimientos población cantidad número demografía</v>
      </c>
      <c r="S457" s="102" t="s">
        <v>8319</v>
      </c>
      <c r="T457" s="69" t="str">
        <f>"100-C-"&amp;Agencia[[#This Row],[Filtro URL]]</f>
        <v>100-C-2</v>
      </c>
      <c r="U457" s="50" t="str">
        <f t="shared" si="563"/>
        <v>#1774B9</v>
      </c>
      <c r="V457" s="118" t="str">
        <f>+Agencia[[#This Row],[idcoleccion]]&amp;"-"&amp;Agencia[[#This Row],[id]]</f>
        <v>990-0446</v>
      </c>
      <c r="W457" s="118">
        <f>+VLOOKUP(Agencia[[#This Row],[Filtro URL]],Estructura!$X$4:$Y$500,2,0)</f>
        <v>99200002</v>
      </c>
      <c r="X457" s="118" t="str">
        <f>+VLOOKUP(Agencia[[#This Row],[tema]],Estructura!$A$4:$C$500,3,0)</f>
        <v>T-1006</v>
      </c>
      <c r="Y457" s="118" t="str">
        <f>+VLOOKUP(Agencia[[#This Row],[contenido]],Estructura!$E$4:$G$500,3,0)</f>
        <v>C-1002</v>
      </c>
      <c r="Z457" s="118" t="str">
        <f>+VLOOKUP(Agencia[[#This Row],[Filtro Integrado]],Estructura!$I$4:$K$500,3,0)</f>
        <v>FI-991</v>
      </c>
      <c r="AA457" s="118" t="str">
        <f>+VLOOKUP(Agencia[[#This Row],[Muestra]],Estructura!$M$4:$O$500,3,0)</f>
        <v>M-1035</v>
      </c>
    </row>
    <row r="458" spans="1:27" ht="40.799999999999997" x14ac:dyDescent="0.3">
      <c r="A458" s="21" t="s">
        <v>1745</v>
      </c>
      <c r="B458" s="24">
        <f t="shared" ref="B458:D458" si="597">+B457</f>
        <v>990</v>
      </c>
      <c r="C458" s="25" t="str">
        <f t="shared" si="597"/>
        <v>Agencia Información</v>
      </c>
      <c r="D458" s="25" t="str">
        <f t="shared" si="597"/>
        <v>Social</v>
      </c>
      <c r="E458" s="19">
        <v>3</v>
      </c>
      <c r="F458" s="18" t="s">
        <v>1464</v>
      </c>
      <c r="G458" s="18" t="s">
        <v>3767</v>
      </c>
      <c r="H458" s="35" t="s">
        <v>16</v>
      </c>
      <c r="I458" s="36" t="s">
        <v>370</v>
      </c>
      <c r="J458" s="9" t="str">
        <f t="shared" ref="J458:N458" si="598">+J457</f>
        <v>Comuna</v>
      </c>
      <c r="K458" s="9" t="str">
        <f t="shared" si="598"/>
        <v>Nacimientos anuales por comuna</v>
      </c>
      <c r="L458" s="9" t="str">
        <f t="shared" si="598"/>
        <v>Periodo 2010-2021</v>
      </c>
      <c r="M458" s="9" t="str">
        <f t="shared" si="598"/>
        <v>Número de personas</v>
      </c>
      <c r="N458" s="9" t="str">
        <f t="shared" si="598"/>
        <v>Ministerio de Ciencia, Tecnología, Conocimiento e Innovación</v>
      </c>
      <c r="O458" s="20" t="str">
        <f>"Cantidad de nacimientos anuales en la "&amp;Agencia[[#This Row],[territorio]]&amp;", "&amp;Agencia[[#This Row],[temporalidad]]</f>
        <v>Cantidad de nacimientos anuales en la Región de Atacama, Periodo 2010-2021</v>
      </c>
      <c r="P458" s="20"/>
      <c r="Q458" s="11" t="str">
        <f t="shared" si="560"/>
        <v>Dashboard</v>
      </c>
      <c r="R458" s="87" t="str">
        <f>Agencia[[#This Row],[territorio]]&amp;" nacimientos población cantidad número demografía"</f>
        <v>Región de Atacama nacimientos población cantidad número demografía</v>
      </c>
      <c r="S458" s="22" t="s">
        <v>8320</v>
      </c>
      <c r="T458" s="69" t="str">
        <f>"100-C-"&amp;Agencia[[#This Row],[Filtro URL]]</f>
        <v>100-C-3</v>
      </c>
      <c r="U458" s="50" t="str">
        <f t="shared" si="563"/>
        <v>#1774B9</v>
      </c>
      <c r="V458" s="118" t="str">
        <f>+Agencia[[#This Row],[idcoleccion]]&amp;"-"&amp;Agencia[[#This Row],[id]]</f>
        <v>990-0447</v>
      </c>
      <c r="W458" s="118">
        <f>+VLOOKUP(Agencia[[#This Row],[Filtro URL]],Estructura!$X$4:$Y$500,2,0)</f>
        <v>99200003</v>
      </c>
      <c r="X458" s="118" t="str">
        <f>+VLOOKUP(Agencia[[#This Row],[tema]],Estructura!$A$4:$C$500,3,0)</f>
        <v>T-1006</v>
      </c>
      <c r="Y458" s="118" t="str">
        <f>+VLOOKUP(Agencia[[#This Row],[contenido]],Estructura!$E$4:$G$500,3,0)</f>
        <v>C-1002</v>
      </c>
      <c r="Z458" s="118" t="str">
        <f>+VLOOKUP(Agencia[[#This Row],[Filtro Integrado]],Estructura!$I$4:$K$500,3,0)</f>
        <v>FI-991</v>
      </c>
      <c r="AA458" s="118" t="str">
        <f>+VLOOKUP(Agencia[[#This Row],[Muestra]],Estructura!$M$4:$O$500,3,0)</f>
        <v>M-1035</v>
      </c>
    </row>
    <row r="459" spans="1:27" ht="40.799999999999997" x14ac:dyDescent="0.3">
      <c r="A459" s="21" t="s">
        <v>1746</v>
      </c>
      <c r="B459" s="24">
        <f t="shared" ref="B459:D459" si="599">+B458</f>
        <v>990</v>
      </c>
      <c r="C459" s="25" t="str">
        <f t="shared" si="599"/>
        <v>Agencia Información</v>
      </c>
      <c r="D459" s="25" t="str">
        <f t="shared" si="599"/>
        <v>Social</v>
      </c>
      <c r="E459" s="19">
        <v>4</v>
      </c>
      <c r="F459" s="18" t="s">
        <v>1464</v>
      </c>
      <c r="G459" s="18" t="s">
        <v>3767</v>
      </c>
      <c r="H459" s="35" t="s">
        <v>16</v>
      </c>
      <c r="I459" s="36" t="s">
        <v>371</v>
      </c>
      <c r="J459" s="9" t="str">
        <f t="shared" ref="J459:N459" si="600">+J458</f>
        <v>Comuna</v>
      </c>
      <c r="K459" s="9" t="str">
        <f t="shared" si="600"/>
        <v>Nacimientos anuales por comuna</v>
      </c>
      <c r="L459" s="9" t="str">
        <f t="shared" si="600"/>
        <v>Periodo 2010-2021</v>
      </c>
      <c r="M459" s="9" t="str">
        <f t="shared" si="600"/>
        <v>Número de personas</v>
      </c>
      <c r="N459" s="9" t="str">
        <f t="shared" si="600"/>
        <v>Ministerio de Ciencia, Tecnología, Conocimiento e Innovación</v>
      </c>
      <c r="O459" s="20" t="str">
        <f>"Cantidad de nacimientos anuales en la "&amp;Agencia[[#This Row],[territorio]]&amp;", "&amp;Agencia[[#This Row],[temporalidad]]</f>
        <v>Cantidad de nacimientos anuales en la Región de Coquimbo, Periodo 2010-2021</v>
      </c>
      <c r="P459" s="27"/>
      <c r="Q459" s="28" t="str">
        <f t="shared" si="560"/>
        <v>Dashboard</v>
      </c>
      <c r="R459" s="87" t="str">
        <f>Agencia[[#This Row],[territorio]]&amp;" nacimientos población cantidad número demografía"</f>
        <v>Región de Coquimbo nacimientos población cantidad número demografía</v>
      </c>
      <c r="S459" s="22" t="s">
        <v>8321</v>
      </c>
      <c r="T459" s="69" t="str">
        <f>"100-C-"&amp;Agencia[[#This Row],[Filtro URL]]</f>
        <v>100-C-4</v>
      </c>
      <c r="U459" s="120" t="str">
        <f t="shared" si="563"/>
        <v>#1774B9</v>
      </c>
      <c r="V459" s="118" t="str">
        <f>+Agencia[[#This Row],[idcoleccion]]&amp;"-"&amp;Agencia[[#This Row],[id]]</f>
        <v>990-0448</v>
      </c>
      <c r="W459" s="118">
        <f>+VLOOKUP(Agencia[[#This Row],[Filtro URL]],Estructura!$X$4:$Y$500,2,0)</f>
        <v>99200004</v>
      </c>
      <c r="X459" s="118" t="str">
        <f>+VLOOKUP(Agencia[[#This Row],[tema]],Estructura!$A$4:$C$500,3,0)</f>
        <v>T-1006</v>
      </c>
      <c r="Y459" s="118" t="str">
        <f>+VLOOKUP(Agencia[[#This Row],[contenido]],Estructura!$E$4:$G$500,3,0)</f>
        <v>C-1002</v>
      </c>
      <c r="Z459" s="118" t="str">
        <f>+VLOOKUP(Agencia[[#This Row],[Filtro Integrado]],Estructura!$I$4:$K$500,3,0)</f>
        <v>FI-991</v>
      </c>
      <c r="AA459" s="118" t="str">
        <f>+VLOOKUP(Agencia[[#This Row],[Muestra]],Estructura!$M$4:$O$500,3,0)</f>
        <v>M-1035</v>
      </c>
    </row>
    <row r="460" spans="1:27" ht="40.799999999999997" x14ac:dyDescent="0.3">
      <c r="A460" s="21" t="s">
        <v>1747</v>
      </c>
      <c r="B460" s="24">
        <f t="shared" ref="B460:D460" si="601">+B459</f>
        <v>990</v>
      </c>
      <c r="C460" s="25" t="str">
        <f t="shared" si="601"/>
        <v>Agencia Información</v>
      </c>
      <c r="D460" s="25" t="str">
        <f t="shared" si="601"/>
        <v>Social</v>
      </c>
      <c r="E460" s="19">
        <v>5</v>
      </c>
      <c r="F460" s="18" t="s">
        <v>1464</v>
      </c>
      <c r="G460" s="18" t="s">
        <v>3767</v>
      </c>
      <c r="H460" s="35" t="s">
        <v>16</v>
      </c>
      <c r="I460" s="36" t="s">
        <v>372</v>
      </c>
      <c r="J460" s="9" t="str">
        <f t="shared" ref="J460:N460" si="602">+J459</f>
        <v>Comuna</v>
      </c>
      <c r="K460" s="9" t="str">
        <f t="shared" si="602"/>
        <v>Nacimientos anuales por comuna</v>
      </c>
      <c r="L460" s="9" t="str">
        <f t="shared" si="602"/>
        <v>Periodo 2010-2021</v>
      </c>
      <c r="M460" s="9" t="str">
        <f t="shared" si="602"/>
        <v>Número de personas</v>
      </c>
      <c r="N460" s="9" t="str">
        <f t="shared" si="602"/>
        <v>Ministerio de Ciencia, Tecnología, Conocimiento e Innovación</v>
      </c>
      <c r="O460" s="20" t="str">
        <f>"Cantidad de nacimientos anuales en la "&amp;Agencia[[#This Row],[territorio]]&amp;", "&amp;Agencia[[#This Row],[temporalidad]]</f>
        <v>Cantidad de nacimientos anuales en la Región de Valparaíso, Periodo 2010-2021</v>
      </c>
      <c r="P460" s="20"/>
      <c r="Q460" s="11" t="str">
        <f t="shared" ref="Q460:Q523" si="603">+Q459</f>
        <v>Dashboard</v>
      </c>
      <c r="R460" s="87" t="str">
        <f>Agencia[[#This Row],[territorio]]&amp;" nacimientos población cantidad número demografía"</f>
        <v>Región de Valparaíso nacimientos población cantidad número demografía</v>
      </c>
      <c r="S460" s="22" t="s">
        <v>8322</v>
      </c>
      <c r="T460" s="69" t="str">
        <f>"100-C-"&amp;Agencia[[#This Row],[Filtro URL]]</f>
        <v>100-C-5</v>
      </c>
      <c r="U460" s="50" t="str">
        <f t="shared" ref="U460:U523" si="604">+U459</f>
        <v>#1774B9</v>
      </c>
      <c r="V460" s="118" t="str">
        <f>+Agencia[[#This Row],[idcoleccion]]&amp;"-"&amp;Agencia[[#This Row],[id]]</f>
        <v>990-0449</v>
      </c>
      <c r="W460" s="118">
        <f>+VLOOKUP(Agencia[[#This Row],[Filtro URL]],Estructura!$X$4:$Y$500,2,0)</f>
        <v>99200005</v>
      </c>
      <c r="X460" s="118" t="str">
        <f>+VLOOKUP(Agencia[[#This Row],[tema]],Estructura!$A$4:$C$500,3,0)</f>
        <v>T-1006</v>
      </c>
      <c r="Y460" s="118" t="str">
        <f>+VLOOKUP(Agencia[[#This Row],[contenido]],Estructura!$E$4:$G$500,3,0)</f>
        <v>C-1002</v>
      </c>
      <c r="Z460" s="118" t="str">
        <f>+VLOOKUP(Agencia[[#This Row],[Filtro Integrado]],Estructura!$I$4:$K$500,3,0)</f>
        <v>FI-991</v>
      </c>
      <c r="AA460" s="118" t="str">
        <f>+VLOOKUP(Agencia[[#This Row],[Muestra]],Estructura!$M$4:$O$500,3,0)</f>
        <v>M-1035</v>
      </c>
    </row>
    <row r="461" spans="1:27" ht="40.799999999999997" x14ac:dyDescent="0.3">
      <c r="A461" s="21" t="s">
        <v>1748</v>
      </c>
      <c r="B461" s="24">
        <f t="shared" ref="B461:D461" si="605">+B460</f>
        <v>990</v>
      </c>
      <c r="C461" s="25" t="str">
        <f t="shared" si="605"/>
        <v>Agencia Información</v>
      </c>
      <c r="D461" s="25" t="str">
        <f t="shared" si="605"/>
        <v>Social</v>
      </c>
      <c r="E461" s="19">
        <v>6</v>
      </c>
      <c r="F461" s="18" t="s">
        <v>1464</v>
      </c>
      <c r="G461" s="18" t="s">
        <v>3767</v>
      </c>
      <c r="H461" s="35" t="s">
        <v>16</v>
      </c>
      <c r="I461" s="36" t="s">
        <v>373</v>
      </c>
      <c r="J461" s="9" t="str">
        <f t="shared" ref="J461:N461" si="606">+J460</f>
        <v>Comuna</v>
      </c>
      <c r="K461" s="9" t="str">
        <f t="shared" si="606"/>
        <v>Nacimientos anuales por comuna</v>
      </c>
      <c r="L461" s="9" t="str">
        <f t="shared" si="606"/>
        <v>Periodo 2010-2021</v>
      </c>
      <c r="M461" s="9" t="str">
        <f t="shared" si="606"/>
        <v>Número de personas</v>
      </c>
      <c r="N461" s="9" t="str">
        <f t="shared" si="606"/>
        <v>Ministerio de Ciencia, Tecnología, Conocimiento e Innovación</v>
      </c>
      <c r="O461" s="20" t="str">
        <f>"Cantidad de nacimientos anuales en la "&amp;Agencia[[#This Row],[territorio]]&amp;", "&amp;Agencia[[#This Row],[temporalidad]]</f>
        <v>Cantidad de nacimientos anuales en la Región de O'Higgins, Periodo 2010-2021</v>
      </c>
      <c r="P461" s="20"/>
      <c r="Q461" s="11" t="str">
        <f t="shared" si="603"/>
        <v>Dashboard</v>
      </c>
      <c r="R461" s="87" t="str">
        <f>Agencia[[#This Row],[territorio]]&amp;" nacimientos población cantidad número demografía"</f>
        <v>Región de O'Higgins nacimientos población cantidad número demografía</v>
      </c>
      <c r="S461" s="22" t="s">
        <v>8323</v>
      </c>
      <c r="T461" s="69" t="str">
        <f>"100-C-"&amp;Agencia[[#This Row],[Filtro URL]]</f>
        <v>100-C-6</v>
      </c>
      <c r="U461" s="50" t="str">
        <f t="shared" si="604"/>
        <v>#1774B9</v>
      </c>
      <c r="V461" s="118" t="str">
        <f>+Agencia[[#This Row],[idcoleccion]]&amp;"-"&amp;Agencia[[#This Row],[id]]</f>
        <v>990-0450</v>
      </c>
      <c r="W461" s="118">
        <f>+VLOOKUP(Agencia[[#This Row],[Filtro URL]],Estructura!$X$4:$Y$500,2,0)</f>
        <v>99200006</v>
      </c>
      <c r="X461" s="118" t="str">
        <f>+VLOOKUP(Agencia[[#This Row],[tema]],Estructura!$A$4:$C$500,3,0)</f>
        <v>T-1006</v>
      </c>
      <c r="Y461" s="118" t="str">
        <f>+VLOOKUP(Agencia[[#This Row],[contenido]],Estructura!$E$4:$G$500,3,0)</f>
        <v>C-1002</v>
      </c>
      <c r="Z461" s="118" t="str">
        <f>+VLOOKUP(Agencia[[#This Row],[Filtro Integrado]],Estructura!$I$4:$K$500,3,0)</f>
        <v>FI-991</v>
      </c>
      <c r="AA461" s="118" t="str">
        <f>+VLOOKUP(Agencia[[#This Row],[Muestra]],Estructura!$M$4:$O$500,3,0)</f>
        <v>M-1035</v>
      </c>
    </row>
    <row r="462" spans="1:27" ht="40.799999999999997" x14ac:dyDescent="0.3">
      <c r="A462" s="21" t="s">
        <v>1749</v>
      </c>
      <c r="B462" s="24">
        <f t="shared" ref="B462:D462" si="607">+B461</f>
        <v>990</v>
      </c>
      <c r="C462" s="25" t="str">
        <f t="shared" si="607"/>
        <v>Agencia Información</v>
      </c>
      <c r="D462" s="25" t="str">
        <f t="shared" si="607"/>
        <v>Social</v>
      </c>
      <c r="E462" s="19">
        <v>7</v>
      </c>
      <c r="F462" s="18" t="s">
        <v>1464</v>
      </c>
      <c r="G462" s="18" t="s">
        <v>3767</v>
      </c>
      <c r="H462" s="35" t="s">
        <v>16</v>
      </c>
      <c r="I462" s="36" t="s">
        <v>374</v>
      </c>
      <c r="J462" s="9" t="str">
        <f t="shared" ref="J462:N462" si="608">+J461</f>
        <v>Comuna</v>
      </c>
      <c r="K462" s="9" t="str">
        <f t="shared" si="608"/>
        <v>Nacimientos anuales por comuna</v>
      </c>
      <c r="L462" s="9" t="str">
        <f t="shared" si="608"/>
        <v>Periodo 2010-2021</v>
      </c>
      <c r="M462" s="9" t="str">
        <f t="shared" si="608"/>
        <v>Número de personas</v>
      </c>
      <c r="N462" s="9" t="str">
        <f t="shared" si="608"/>
        <v>Ministerio de Ciencia, Tecnología, Conocimiento e Innovación</v>
      </c>
      <c r="O462" s="20" t="str">
        <f>"Cantidad de nacimientos anuales en la "&amp;Agencia[[#This Row],[territorio]]&amp;", "&amp;Agencia[[#This Row],[temporalidad]]</f>
        <v>Cantidad de nacimientos anuales en la Región de Maule, Periodo 2010-2021</v>
      </c>
      <c r="P462" s="20"/>
      <c r="Q462" s="11" t="str">
        <f t="shared" si="603"/>
        <v>Dashboard</v>
      </c>
      <c r="R462" s="87" t="str">
        <f>Agencia[[#This Row],[territorio]]&amp;" nacimientos población cantidad número demografía"</f>
        <v>Región de Maule nacimientos población cantidad número demografía</v>
      </c>
      <c r="S462" s="22" t="s">
        <v>8324</v>
      </c>
      <c r="T462" s="69" t="str">
        <f>"100-C-"&amp;Agencia[[#This Row],[Filtro URL]]</f>
        <v>100-C-7</v>
      </c>
      <c r="U462" s="50" t="str">
        <f t="shared" si="604"/>
        <v>#1774B9</v>
      </c>
      <c r="V462" s="118" t="str">
        <f>+Agencia[[#This Row],[idcoleccion]]&amp;"-"&amp;Agencia[[#This Row],[id]]</f>
        <v>990-0451</v>
      </c>
      <c r="W462" s="118">
        <f>+VLOOKUP(Agencia[[#This Row],[Filtro URL]],Estructura!$X$4:$Y$500,2,0)</f>
        <v>99200007</v>
      </c>
      <c r="X462" s="118" t="str">
        <f>+VLOOKUP(Agencia[[#This Row],[tema]],Estructura!$A$4:$C$500,3,0)</f>
        <v>T-1006</v>
      </c>
      <c r="Y462" s="118" t="str">
        <f>+VLOOKUP(Agencia[[#This Row],[contenido]],Estructura!$E$4:$G$500,3,0)</f>
        <v>C-1002</v>
      </c>
      <c r="Z462" s="118" t="str">
        <f>+VLOOKUP(Agencia[[#This Row],[Filtro Integrado]],Estructura!$I$4:$K$500,3,0)</f>
        <v>FI-991</v>
      </c>
      <c r="AA462" s="118" t="str">
        <f>+VLOOKUP(Agencia[[#This Row],[Muestra]],Estructura!$M$4:$O$500,3,0)</f>
        <v>M-1035</v>
      </c>
    </row>
    <row r="463" spans="1:27" ht="40.799999999999997" x14ac:dyDescent="0.3">
      <c r="A463" s="21" t="s">
        <v>1750</v>
      </c>
      <c r="B463" s="24">
        <f t="shared" ref="B463:D463" si="609">+B462</f>
        <v>990</v>
      </c>
      <c r="C463" s="25" t="str">
        <f t="shared" si="609"/>
        <v>Agencia Información</v>
      </c>
      <c r="D463" s="25" t="str">
        <f t="shared" si="609"/>
        <v>Social</v>
      </c>
      <c r="E463" s="19">
        <v>8</v>
      </c>
      <c r="F463" s="18" t="s">
        <v>1464</v>
      </c>
      <c r="G463" s="18" t="s">
        <v>3767</v>
      </c>
      <c r="H463" s="35" t="s">
        <v>16</v>
      </c>
      <c r="I463" s="36" t="s">
        <v>375</v>
      </c>
      <c r="J463" s="9" t="str">
        <f t="shared" ref="J463:N463" si="610">+J462</f>
        <v>Comuna</v>
      </c>
      <c r="K463" s="9" t="str">
        <f t="shared" si="610"/>
        <v>Nacimientos anuales por comuna</v>
      </c>
      <c r="L463" s="9" t="str">
        <f t="shared" si="610"/>
        <v>Periodo 2010-2021</v>
      </c>
      <c r="M463" s="9" t="str">
        <f t="shared" si="610"/>
        <v>Número de personas</v>
      </c>
      <c r="N463" s="9" t="str">
        <f t="shared" si="610"/>
        <v>Ministerio de Ciencia, Tecnología, Conocimiento e Innovación</v>
      </c>
      <c r="O463" s="20" t="str">
        <f>"Cantidad de nacimientos anuales en la "&amp;Agencia[[#This Row],[territorio]]&amp;", "&amp;Agencia[[#This Row],[temporalidad]]</f>
        <v>Cantidad de nacimientos anuales en la Región del Biobío, Periodo 2010-2021</v>
      </c>
      <c r="P463" s="20"/>
      <c r="Q463" s="11" t="str">
        <f t="shared" si="603"/>
        <v>Dashboard</v>
      </c>
      <c r="R463" s="87" t="str">
        <f>Agencia[[#This Row],[territorio]]&amp;" nacimientos población cantidad número demografía"</f>
        <v>Región del Biobío nacimientos población cantidad número demografía</v>
      </c>
      <c r="S463" s="22" t="s">
        <v>8325</v>
      </c>
      <c r="T463" s="69" t="str">
        <f>"100-C-"&amp;Agencia[[#This Row],[Filtro URL]]</f>
        <v>100-C-8</v>
      </c>
      <c r="U463" s="50" t="str">
        <f t="shared" si="604"/>
        <v>#1774B9</v>
      </c>
      <c r="V463" s="118" t="str">
        <f>+Agencia[[#This Row],[idcoleccion]]&amp;"-"&amp;Agencia[[#This Row],[id]]</f>
        <v>990-0452</v>
      </c>
      <c r="W463" s="118">
        <f>+VLOOKUP(Agencia[[#This Row],[Filtro URL]],Estructura!$X$4:$Y$500,2,0)</f>
        <v>99200008</v>
      </c>
      <c r="X463" s="118" t="str">
        <f>+VLOOKUP(Agencia[[#This Row],[tema]],Estructura!$A$4:$C$500,3,0)</f>
        <v>T-1006</v>
      </c>
      <c r="Y463" s="118" t="str">
        <f>+VLOOKUP(Agencia[[#This Row],[contenido]],Estructura!$E$4:$G$500,3,0)</f>
        <v>C-1002</v>
      </c>
      <c r="Z463" s="118" t="str">
        <f>+VLOOKUP(Agencia[[#This Row],[Filtro Integrado]],Estructura!$I$4:$K$500,3,0)</f>
        <v>FI-991</v>
      </c>
      <c r="AA463" s="118" t="str">
        <f>+VLOOKUP(Agencia[[#This Row],[Muestra]],Estructura!$M$4:$O$500,3,0)</f>
        <v>M-1035</v>
      </c>
    </row>
    <row r="464" spans="1:27" ht="40.799999999999997" x14ac:dyDescent="0.3">
      <c r="A464" s="21" t="s">
        <v>1751</v>
      </c>
      <c r="B464" s="24">
        <f t="shared" ref="B464:D464" si="611">+B463</f>
        <v>990</v>
      </c>
      <c r="C464" s="25" t="str">
        <f t="shared" si="611"/>
        <v>Agencia Información</v>
      </c>
      <c r="D464" s="25" t="str">
        <f t="shared" si="611"/>
        <v>Social</v>
      </c>
      <c r="E464" s="19">
        <v>9</v>
      </c>
      <c r="F464" s="18" t="s">
        <v>1464</v>
      </c>
      <c r="G464" s="18" t="s">
        <v>3767</v>
      </c>
      <c r="H464" s="35" t="s">
        <v>16</v>
      </c>
      <c r="I464" s="36" t="s">
        <v>376</v>
      </c>
      <c r="J464" s="9" t="str">
        <f t="shared" ref="J464:N464" si="612">+J463</f>
        <v>Comuna</v>
      </c>
      <c r="K464" s="9" t="str">
        <f t="shared" si="612"/>
        <v>Nacimientos anuales por comuna</v>
      </c>
      <c r="L464" s="9" t="str">
        <f t="shared" si="612"/>
        <v>Periodo 2010-2021</v>
      </c>
      <c r="M464" s="9" t="str">
        <f t="shared" si="612"/>
        <v>Número de personas</v>
      </c>
      <c r="N464" s="9" t="str">
        <f t="shared" si="612"/>
        <v>Ministerio de Ciencia, Tecnología, Conocimiento e Innovación</v>
      </c>
      <c r="O464" s="20" t="str">
        <f>"Cantidad de nacimientos anuales en la "&amp;Agencia[[#This Row],[territorio]]&amp;", "&amp;Agencia[[#This Row],[temporalidad]]</f>
        <v>Cantidad de nacimientos anuales en la Región de La Araucanía, Periodo 2010-2021</v>
      </c>
      <c r="P464" s="20"/>
      <c r="Q464" s="11" t="str">
        <f t="shared" si="603"/>
        <v>Dashboard</v>
      </c>
      <c r="R464" s="87" t="str">
        <f>Agencia[[#This Row],[territorio]]&amp;" nacimientos población cantidad número demografía"</f>
        <v>Región de La Araucanía nacimientos población cantidad número demografía</v>
      </c>
      <c r="S464" s="22" t="s">
        <v>8326</v>
      </c>
      <c r="T464" s="69" t="str">
        <f>"100-C-"&amp;Agencia[[#This Row],[Filtro URL]]</f>
        <v>100-C-9</v>
      </c>
      <c r="U464" s="50" t="str">
        <f t="shared" si="604"/>
        <v>#1774B9</v>
      </c>
      <c r="V464" s="118" t="str">
        <f>+Agencia[[#This Row],[idcoleccion]]&amp;"-"&amp;Agencia[[#This Row],[id]]</f>
        <v>990-0453</v>
      </c>
      <c r="W464" s="118">
        <f>+VLOOKUP(Agencia[[#This Row],[Filtro URL]],Estructura!$X$4:$Y$500,2,0)</f>
        <v>99200009</v>
      </c>
      <c r="X464" s="118" t="str">
        <f>+VLOOKUP(Agencia[[#This Row],[tema]],Estructura!$A$4:$C$500,3,0)</f>
        <v>T-1006</v>
      </c>
      <c r="Y464" s="118" t="str">
        <f>+VLOOKUP(Agencia[[#This Row],[contenido]],Estructura!$E$4:$G$500,3,0)</f>
        <v>C-1002</v>
      </c>
      <c r="Z464" s="118" t="str">
        <f>+VLOOKUP(Agencia[[#This Row],[Filtro Integrado]],Estructura!$I$4:$K$500,3,0)</f>
        <v>FI-991</v>
      </c>
      <c r="AA464" s="118" t="str">
        <f>+VLOOKUP(Agencia[[#This Row],[Muestra]],Estructura!$M$4:$O$500,3,0)</f>
        <v>M-1035</v>
      </c>
    </row>
    <row r="465" spans="1:27" ht="40.799999999999997" x14ac:dyDescent="0.3">
      <c r="A465" s="21" t="s">
        <v>1752</v>
      </c>
      <c r="B465" s="24">
        <f t="shared" ref="B465:D465" si="613">+B464</f>
        <v>990</v>
      </c>
      <c r="C465" s="25" t="str">
        <f t="shared" si="613"/>
        <v>Agencia Información</v>
      </c>
      <c r="D465" s="25" t="str">
        <f t="shared" si="613"/>
        <v>Social</v>
      </c>
      <c r="E465" s="19">
        <v>10</v>
      </c>
      <c r="F465" s="18" t="s">
        <v>1464</v>
      </c>
      <c r="G465" s="18" t="s">
        <v>3767</v>
      </c>
      <c r="H465" s="35" t="s">
        <v>16</v>
      </c>
      <c r="I465" s="36" t="s">
        <v>377</v>
      </c>
      <c r="J465" s="9" t="str">
        <f t="shared" ref="J465:N465" si="614">+J464</f>
        <v>Comuna</v>
      </c>
      <c r="K465" s="9" t="str">
        <f t="shared" si="614"/>
        <v>Nacimientos anuales por comuna</v>
      </c>
      <c r="L465" s="9" t="str">
        <f t="shared" si="614"/>
        <v>Periodo 2010-2021</v>
      </c>
      <c r="M465" s="9" t="str">
        <f t="shared" si="614"/>
        <v>Número de personas</v>
      </c>
      <c r="N465" s="9" t="str">
        <f t="shared" si="614"/>
        <v>Ministerio de Ciencia, Tecnología, Conocimiento e Innovación</v>
      </c>
      <c r="O465" s="20" t="str">
        <f>"Cantidad de nacimientos anuales en la "&amp;Agencia[[#This Row],[territorio]]&amp;", "&amp;Agencia[[#This Row],[temporalidad]]</f>
        <v>Cantidad de nacimientos anuales en la Región de Los Lagos, Periodo 2010-2021</v>
      </c>
      <c r="P465" s="20"/>
      <c r="Q465" s="11" t="str">
        <f t="shared" si="603"/>
        <v>Dashboard</v>
      </c>
      <c r="R465" s="87" t="str">
        <f>Agencia[[#This Row],[territorio]]&amp;" nacimientos población cantidad número demografía"</f>
        <v>Región de Los Lagos nacimientos población cantidad número demografía</v>
      </c>
      <c r="S465" s="22" t="s">
        <v>8327</v>
      </c>
      <c r="T465" s="69" t="str">
        <f>"100-C-"&amp;Agencia[[#This Row],[Filtro URL]]</f>
        <v>100-C-10</v>
      </c>
      <c r="U465" s="50" t="str">
        <f t="shared" si="604"/>
        <v>#1774B9</v>
      </c>
      <c r="V465" s="118" t="str">
        <f>+Agencia[[#This Row],[idcoleccion]]&amp;"-"&amp;Agencia[[#This Row],[id]]</f>
        <v>990-0454</v>
      </c>
      <c r="W465" s="118">
        <f>+VLOOKUP(Agencia[[#This Row],[Filtro URL]],Estructura!$X$4:$Y$500,2,0)</f>
        <v>99200010</v>
      </c>
      <c r="X465" s="118" t="str">
        <f>+VLOOKUP(Agencia[[#This Row],[tema]],Estructura!$A$4:$C$500,3,0)</f>
        <v>T-1006</v>
      </c>
      <c r="Y465" s="118" t="str">
        <f>+VLOOKUP(Agencia[[#This Row],[contenido]],Estructura!$E$4:$G$500,3,0)</f>
        <v>C-1002</v>
      </c>
      <c r="Z465" s="118" t="str">
        <f>+VLOOKUP(Agencia[[#This Row],[Filtro Integrado]],Estructura!$I$4:$K$500,3,0)</f>
        <v>FI-991</v>
      </c>
      <c r="AA465" s="118" t="str">
        <f>+VLOOKUP(Agencia[[#This Row],[Muestra]],Estructura!$M$4:$O$500,3,0)</f>
        <v>M-1035</v>
      </c>
    </row>
    <row r="466" spans="1:27" ht="40.799999999999997" x14ac:dyDescent="0.3">
      <c r="A466" s="21" t="s">
        <v>1753</v>
      </c>
      <c r="B466" s="24">
        <f t="shared" ref="B466:D466" si="615">+B465</f>
        <v>990</v>
      </c>
      <c r="C466" s="25" t="str">
        <f t="shared" si="615"/>
        <v>Agencia Información</v>
      </c>
      <c r="D466" s="25" t="str">
        <f t="shared" si="615"/>
        <v>Social</v>
      </c>
      <c r="E466" s="19">
        <v>11</v>
      </c>
      <c r="F466" s="18" t="s">
        <v>1464</v>
      </c>
      <c r="G466" s="18" t="s">
        <v>3767</v>
      </c>
      <c r="H466" s="35" t="s">
        <v>16</v>
      </c>
      <c r="I466" s="36" t="s">
        <v>378</v>
      </c>
      <c r="J466" s="9" t="str">
        <f t="shared" ref="J466:N466" si="616">+J465</f>
        <v>Comuna</v>
      </c>
      <c r="K466" s="9" t="str">
        <f t="shared" si="616"/>
        <v>Nacimientos anuales por comuna</v>
      </c>
      <c r="L466" s="9" t="str">
        <f t="shared" si="616"/>
        <v>Periodo 2010-2021</v>
      </c>
      <c r="M466" s="9" t="str">
        <f t="shared" si="616"/>
        <v>Número de personas</v>
      </c>
      <c r="N466" s="9" t="str">
        <f t="shared" si="616"/>
        <v>Ministerio de Ciencia, Tecnología, Conocimiento e Innovación</v>
      </c>
      <c r="O466" s="20" t="str">
        <f>"Cantidad de nacimientos anuales en la "&amp;Agencia[[#This Row],[territorio]]&amp;", "&amp;Agencia[[#This Row],[temporalidad]]</f>
        <v>Cantidad de nacimientos anuales en la Región de Aysén, Periodo 2010-2021</v>
      </c>
      <c r="P466" s="20"/>
      <c r="Q466" s="11" t="str">
        <f t="shared" si="603"/>
        <v>Dashboard</v>
      </c>
      <c r="R466" s="87" t="str">
        <f>Agencia[[#This Row],[territorio]]&amp;" nacimientos población cantidad número demografía"</f>
        <v>Región de Aysén nacimientos población cantidad número demografía</v>
      </c>
      <c r="S466" s="22" t="s">
        <v>8328</v>
      </c>
      <c r="T466" s="69" t="str">
        <f>"100-C-"&amp;Agencia[[#This Row],[Filtro URL]]</f>
        <v>100-C-11</v>
      </c>
      <c r="U466" s="50" t="str">
        <f t="shared" si="604"/>
        <v>#1774B9</v>
      </c>
      <c r="V466" s="118" t="str">
        <f>+Agencia[[#This Row],[idcoleccion]]&amp;"-"&amp;Agencia[[#This Row],[id]]</f>
        <v>990-0455</v>
      </c>
      <c r="W466" s="118">
        <f>+VLOOKUP(Agencia[[#This Row],[Filtro URL]],Estructura!$X$4:$Y$500,2,0)</f>
        <v>99200011</v>
      </c>
      <c r="X466" s="118" t="str">
        <f>+VLOOKUP(Agencia[[#This Row],[tema]],Estructura!$A$4:$C$500,3,0)</f>
        <v>T-1006</v>
      </c>
      <c r="Y466" s="118" t="str">
        <f>+VLOOKUP(Agencia[[#This Row],[contenido]],Estructura!$E$4:$G$500,3,0)</f>
        <v>C-1002</v>
      </c>
      <c r="Z466" s="118" t="str">
        <f>+VLOOKUP(Agencia[[#This Row],[Filtro Integrado]],Estructura!$I$4:$K$500,3,0)</f>
        <v>FI-991</v>
      </c>
      <c r="AA466" s="118" t="str">
        <f>+VLOOKUP(Agencia[[#This Row],[Muestra]],Estructura!$M$4:$O$500,3,0)</f>
        <v>M-1035</v>
      </c>
    </row>
    <row r="467" spans="1:27" ht="40.799999999999997" x14ac:dyDescent="0.3">
      <c r="A467" s="21" t="s">
        <v>1754</v>
      </c>
      <c r="B467" s="24">
        <f t="shared" ref="B467:D467" si="617">+B466</f>
        <v>990</v>
      </c>
      <c r="C467" s="25" t="str">
        <f t="shared" si="617"/>
        <v>Agencia Información</v>
      </c>
      <c r="D467" s="25" t="str">
        <f t="shared" si="617"/>
        <v>Social</v>
      </c>
      <c r="E467" s="19">
        <v>12</v>
      </c>
      <c r="F467" s="18" t="s">
        <v>1464</v>
      </c>
      <c r="G467" s="18" t="s">
        <v>3767</v>
      </c>
      <c r="H467" s="35" t="s">
        <v>16</v>
      </c>
      <c r="I467" s="36" t="s">
        <v>379</v>
      </c>
      <c r="J467" s="9" t="str">
        <f t="shared" ref="J467:N467" si="618">+J466</f>
        <v>Comuna</v>
      </c>
      <c r="K467" s="9" t="str">
        <f t="shared" si="618"/>
        <v>Nacimientos anuales por comuna</v>
      </c>
      <c r="L467" s="9" t="str">
        <f t="shared" si="618"/>
        <v>Periodo 2010-2021</v>
      </c>
      <c r="M467" s="9" t="str">
        <f t="shared" si="618"/>
        <v>Número de personas</v>
      </c>
      <c r="N467" s="9" t="str">
        <f t="shared" si="618"/>
        <v>Ministerio de Ciencia, Tecnología, Conocimiento e Innovación</v>
      </c>
      <c r="O467" s="20" t="str">
        <f>"Cantidad de nacimientos anuales en la "&amp;Agencia[[#This Row],[territorio]]&amp;", "&amp;Agencia[[#This Row],[temporalidad]]</f>
        <v>Cantidad de nacimientos anuales en la Región de Magallanes, Periodo 2010-2021</v>
      </c>
      <c r="P467" s="20"/>
      <c r="Q467" s="11" t="str">
        <f t="shared" si="603"/>
        <v>Dashboard</v>
      </c>
      <c r="R467" s="87" t="str">
        <f>Agencia[[#This Row],[territorio]]&amp;" nacimientos población cantidad número demografía"</f>
        <v>Región de Magallanes nacimientos población cantidad número demografía</v>
      </c>
      <c r="S467" s="22" t="s">
        <v>8329</v>
      </c>
      <c r="T467" s="69" t="str">
        <f>"100-C-"&amp;Agencia[[#This Row],[Filtro URL]]</f>
        <v>100-C-12</v>
      </c>
      <c r="U467" s="50" t="str">
        <f t="shared" si="604"/>
        <v>#1774B9</v>
      </c>
      <c r="V467" s="118" t="str">
        <f>+Agencia[[#This Row],[idcoleccion]]&amp;"-"&amp;Agencia[[#This Row],[id]]</f>
        <v>990-0456</v>
      </c>
      <c r="W467" s="118">
        <f>+VLOOKUP(Agencia[[#This Row],[Filtro URL]],Estructura!$X$4:$Y$500,2,0)</f>
        <v>99200012</v>
      </c>
      <c r="X467" s="118" t="str">
        <f>+VLOOKUP(Agencia[[#This Row],[tema]],Estructura!$A$4:$C$500,3,0)</f>
        <v>T-1006</v>
      </c>
      <c r="Y467" s="118" t="str">
        <f>+VLOOKUP(Agencia[[#This Row],[contenido]],Estructura!$E$4:$G$500,3,0)</f>
        <v>C-1002</v>
      </c>
      <c r="Z467" s="118" t="str">
        <f>+VLOOKUP(Agencia[[#This Row],[Filtro Integrado]],Estructura!$I$4:$K$500,3,0)</f>
        <v>FI-991</v>
      </c>
      <c r="AA467" s="118" t="str">
        <f>+VLOOKUP(Agencia[[#This Row],[Muestra]],Estructura!$M$4:$O$500,3,0)</f>
        <v>M-1035</v>
      </c>
    </row>
    <row r="468" spans="1:27" ht="40.799999999999997" x14ac:dyDescent="0.3">
      <c r="A468" s="21" t="s">
        <v>1035</v>
      </c>
      <c r="B468" s="24">
        <f t="shared" ref="B468:D468" si="619">+B467</f>
        <v>990</v>
      </c>
      <c r="C468" s="25" t="str">
        <f t="shared" si="619"/>
        <v>Agencia Información</v>
      </c>
      <c r="D468" s="25" t="str">
        <f t="shared" si="619"/>
        <v>Social</v>
      </c>
      <c r="E468" s="19">
        <v>13</v>
      </c>
      <c r="F468" s="18" t="s">
        <v>1464</v>
      </c>
      <c r="G468" s="18" t="s">
        <v>3767</v>
      </c>
      <c r="H468" s="35" t="s">
        <v>16</v>
      </c>
      <c r="I468" s="36" t="s">
        <v>380</v>
      </c>
      <c r="J468" s="9" t="str">
        <f t="shared" ref="J468:N468" si="620">+J467</f>
        <v>Comuna</v>
      </c>
      <c r="K468" s="9" t="str">
        <f t="shared" si="620"/>
        <v>Nacimientos anuales por comuna</v>
      </c>
      <c r="L468" s="9" t="str">
        <f t="shared" si="620"/>
        <v>Periodo 2010-2021</v>
      </c>
      <c r="M468" s="9" t="str">
        <f t="shared" si="620"/>
        <v>Número de personas</v>
      </c>
      <c r="N468" s="9" t="str">
        <f t="shared" si="620"/>
        <v>Ministerio de Ciencia, Tecnología, Conocimiento e Innovación</v>
      </c>
      <c r="O468" s="20" t="str">
        <f>"Cantidad de nacimientos anuales en la "&amp;Agencia[[#This Row],[territorio]]&amp;", "&amp;Agencia[[#This Row],[temporalidad]]</f>
        <v>Cantidad de nacimientos anuales en la Región Metropolitana, Periodo 2010-2021</v>
      </c>
      <c r="P468" s="20"/>
      <c r="Q468" s="11" t="str">
        <f t="shared" si="603"/>
        <v>Dashboard</v>
      </c>
      <c r="R468" s="87" t="str">
        <f>Agencia[[#This Row],[territorio]]&amp;" nacimientos población cantidad número demografía"</f>
        <v>Región Metropolitana nacimientos población cantidad número demografía</v>
      </c>
      <c r="S468" s="22" t="s">
        <v>8330</v>
      </c>
      <c r="T468" s="69" t="str">
        <f>"200-C-"&amp;Agencia[[#This Row],[Filtro URL]]</f>
        <v>200-C-13</v>
      </c>
      <c r="U468" s="50" t="str">
        <f t="shared" si="604"/>
        <v>#1774B9</v>
      </c>
      <c r="V468" s="118" t="str">
        <f>+Agencia[[#This Row],[idcoleccion]]&amp;"-"&amp;Agencia[[#This Row],[id]]</f>
        <v>990-0457</v>
      </c>
      <c r="W468" s="118">
        <f>+VLOOKUP(Agencia[[#This Row],[Filtro URL]],Estructura!$X$4:$Y$500,2,0)</f>
        <v>99200013</v>
      </c>
      <c r="X468" s="118" t="str">
        <f>+VLOOKUP(Agencia[[#This Row],[tema]],Estructura!$A$4:$C$500,3,0)</f>
        <v>T-1006</v>
      </c>
      <c r="Y468" s="118" t="str">
        <f>+VLOOKUP(Agencia[[#This Row],[contenido]],Estructura!$E$4:$G$500,3,0)</f>
        <v>C-1002</v>
      </c>
      <c r="Z468" s="118" t="str">
        <f>+VLOOKUP(Agencia[[#This Row],[Filtro Integrado]],Estructura!$I$4:$K$500,3,0)</f>
        <v>FI-991</v>
      </c>
      <c r="AA468" s="118" t="str">
        <f>+VLOOKUP(Agencia[[#This Row],[Muestra]],Estructura!$M$4:$O$500,3,0)</f>
        <v>M-1035</v>
      </c>
    </row>
    <row r="469" spans="1:27" ht="40.799999999999997" x14ac:dyDescent="0.3">
      <c r="A469" s="21" t="s">
        <v>1036</v>
      </c>
      <c r="B469" s="24">
        <f t="shared" ref="B469:D469" si="621">+B468</f>
        <v>990</v>
      </c>
      <c r="C469" s="25" t="str">
        <f t="shared" si="621"/>
        <v>Agencia Información</v>
      </c>
      <c r="D469" s="25" t="str">
        <f t="shared" si="621"/>
        <v>Social</v>
      </c>
      <c r="E469" s="19">
        <v>14</v>
      </c>
      <c r="F469" s="18" t="s">
        <v>1464</v>
      </c>
      <c r="G469" s="18" t="s">
        <v>3767</v>
      </c>
      <c r="H469" s="35" t="s">
        <v>16</v>
      </c>
      <c r="I469" s="36" t="s">
        <v>381</v>
      </c>
      <c r="J469" s="9" t="str">
        <f t="shared" ref="J469:N469" si="622">+J468</f>
        <v>Comuna</v>
      </c>
      <c r="K469" s="9" t="str">
        <f t="shared" si="622"/>
        <v>Nacimientos anuales por comuna</v>
      </c>
      <c r="L469" s="9" t="str">
        <f t="shared" si="622"/>
        <v>Periodo 2010-2021</v>
      </c>
      <c r="M469" s="9" t="str">
        <f t="shared" si="622"/>
        <v>Número de personas</v>
      </c>
      <c r="N469" s="9" t="str">
        <f t="shared" si="622"/>
        <v>Ministerio de Ciencia, Tecnología, Conocimiento e Innovación</v>
      </c>
      <c r="O469" s="20" t="str">
        <f>"Cantidad de nacimientos anuales en la "&amp;Agencia[[#This Row],[territorio]]&amp;", "&amp;Agencia[[#This Row],[temporalidad]]</f>
        <v>Cantidad de nacimientos anuales en la Región de Los Ríos, Periodo 2010-2021</v>
      </c>
      <c r="P469" s="20"/>
      <c r="Q469" s="11" t="str">
        <f t="shared" si="603"/>
        <v>Dashboard</v>
      </c>
      <c r="R469" s="87" t="str">
        <f>Agencia[[#This Row],[territorio]]&amp;" nacimientos población cantidad número demografía"</f>
        <v>Región de Los Ríos nacimientos población cantidad número demografía</v>
      </c>
      <c r="S469" s="22" t="s">
        <v>8331</v>
      </c>
      <c r="T469" s="69" t="str">
        <f>"100-C-"&amp;Agencia[[#This Row],[Filtro URL]]</f>
        <v>100-C-14</v>
      </c>
      <c r="U469" s="50" t="str">
        <f t="shared" si="604"/>
        <v>#1774B9</v>
      </c>
      <c r="V469" s="118" t="str">
        <f>+Agencia[[#This Row],[idcoleccion]]&amp;"-"&amp;Agencia[[#This Row],[id]]</f>
        <v>990-0458</v>
      </c>
      <c r="W469" s="118">
        <f>+VLOOKUP(Agencia[[#This Row],[Filtro URL]],Estructura!$X$4:$Y$500,2,0)</f>
        <v>99200014</v>
      </c>
      <c r="X469" s="118" t="str">
        <f>+VLOOKUP(Agencia[[#This Row],[tema]],Estructura!$A$4:$C$500,3,0)</f>
        <v>T-1006</v>
      </c>
      <c r="Y469" s="118" t="str">
        <f>+VLOOKUP(Agencia[[#This Row],[contenido]],Estructura!$E$4:$G$500,3,0)</f>
        <v>C-1002</v>
      </c>
      <c r="Z469" s="118" t="str">
        <f>+VLOOKUP(Agencia[[#This Row],[Filtro Integrado]],Estructura!$I$4:$K$500,3,0)</f>
        <v>FI-991</v>
      </c>
      <c r="AA469" s="118" t="str">
        <f>+VLOOKUP(Agencia[[#This Row],[Muestra]],Estructura!$M$4:$O$500,3,0)</f>
        <v>M-1035</v>
      </c>
    </row>
    <row r="470" spans="1:27" ht="72" x14ac:dyDescent="0.3">
      <c r="A470" s="21" t="s">
        <v>1037</v>
      </c>
      <c r="B470" s="24">
        <f t="shared" ref="B470:D470" si="623">+B469</f>
        <v>990</v>
      </c>
      <c r="C470" s="25" t="str">
        <f t="shared" si="623"/>
        <v>Agencia Información</v>
      </c>
      <c r="D470" s="25" t="str">
        <f t="shared" si="623"/>
        <v>Social</v>
      </c>
      <c r="E470" s="19">
        <v>15</v>
      </c>
      <c r="F470" s="18" t="s">
        <v>1464</v>
      </c>
      <c r="G470" s="18" t="s">
        <v>3767</v>
      </c>
      <c r="H470" s="35" t="s">
        <v>16</v>
      </c>
      <c r="I470" s="36" t="s">
        <v>382</v>
      </c>
      <c r="J470" s="9" t="str">
        <f t="shared" ref="J470:N470" si="624">+J469</f>
        <v>Comuna</v>
      </c>
      <c r="K470" s="9" t="str">
        <f t="shared" si="624"/>
        <v>Nacimientos anuales por comuna</v>
      </c>
      <c r="L470" s="9" t="str">
        <f t="shared" si="624"/>
        <v>Periodo 2010-2021</v>
      </c>
      <c r="M470" s="9" t="str">
        <f t="shared" si="624"/>
        <v>Número de personas</v>
      </c>
      <c r="N470" s="9" t="str">
        <f t="shared" si="624"/>
        <v>Ministerio de Ciencia, Tecnología, Conocimiento e Innovación</v>
      </c>
      <c r="O470" s="20" t="str">
        <f>"Cantidad de nacimientos anuales en la "&amp;Agencia[[#This Row],[territorio]]&amp;", "&amp;Agencia[[#This Row],[temporalidad]]</f>
        <v>Cantidad de nacimientos anuales en la Región de Arica y Parinacota, Periodo 2010-2021</v>
      </c>
      <c r="P470" s="20"/>
      <c r="Q470" s="11" t="str">
        <f t="shared" si="603"/>
        <v>Dashboard</v>
      </c>
      <c r="R470" s="87" t="str">
        <f>Agencia[[#This Row],[territorio]]&amp;" nacimientos población cantidad número demografía"</f>
        <v>Región de Arica y Parinacota nacimientos población cantidad número demografía</v>
      </c>
      <c r="S470" s="102" t="s">
        <v>8332</v>
      </c>
      <c r="T470" s="69" t="str">
        <f>"100-C-"&amp;Agencia[[#This Row],[Filtro URL]]</f>
        <v>100-C-15</v>
      </c>
      <c r="U470" s="50" t="str">
        <f t="shared" si="604"/>
        <v>#1774B9</v>
      </c>
      <c r="V470" s="118" t="str">
        <f>+Agencia[[#This Row],[idcoleccion]]&amp;"-"&amp;Agencia[[#This Row],[id]]</f>
        <v>990-0459</v>
      </c>
      <c r="W470" s="118">
        <f>+VLOOKUP(Agencia[[#This Row],[Filtro URL]],Estructura!$X$4:$Y$500,2,0)</f>
        <v>99200015</v>
      </c>
      <c r="X470" s="118" t="str">
        <f>+VLOOKUP(Agencia[[#This Row],[tema]],Estructura!$A$4:$C$500,3,0)</f>
        <v>T-1006</v>
      </c>
      <c r="Y470" s="118" t="str">
        <f>+VLOOKUP(Agencia[[#This Row],[contenido]],Estructura!$E$4:$G$500,3,0)</f>
        <v>C-1002</v>
      </c>
      <c r="Z470" s="118" t="str">
        <f>+VLOOKUP(Agencia[[#This Row],[Filtro Integrado]],Estructura!$I$4:$K$500,3,0)</f>
        <v>FI-991</v>
      </c>
      <c r="AA470" s="118" t="str">
        <f>+VLOOKUP(Agencia[[#This Row],[Muestra]],Estructura!$M$4:$O$500,3,0)</f>
        <v>M-1035</v>
      </c>
    </row>
    <row r="471" spans="1:27" ht="72" x14ac:dyDescent="0.3">
      <c r="A471" s="21" t="s">
        <v>1038</v>
      </c>
      <c r="B471" s="24">
        <f t="shared" ref="B471:D471" si="625">+B470</f>
        <v>990</v>
      </c>
      <c r="C471" s="25" t="str">
        <f t="shared" si="625"/>
        <v>Agencia Información</v>
      </c>
      <c r="D471" s="25" t="str">
        <f t="shared" si="625"/>
        <v>Social</v>
      </c>
      <c r="E471" s="19">
        <v>16</v>
      </c>
      <c r="F471" s="18" t="s">
        <v>1464</v>
      </c>
      <c r="G471" s="18" t="s">
        <v>3767</v>
      </c>
      <c r="H471" s="35" t="s">
        <v>16</v>
      </c>
      <c r="I471" s="36" t="s">
        <v>383</v>
      </c>
      <c r="J471" s="9" t="str">
        <f t="shared" ref="J471:N471" si="626">+J470</f>
        <v>Comuna</v>
      </c>
      <c r="K471" s="9" t="str">
        <f t="shared" si="626"/>
        <v>Nacimientos anuales por comuna</v>
      </c>
      <c r="L471" s="9" t="str">
        <f t="shared" si="626"/>
        <v>Periodo 2010-2021</v>
      </c>
      <c r="M471" s="9" t="str">
        <f t="shared" si="626"/>
        <v>Número de personas</v>
      </c>
      <c r="N471" s="9" t="str">
        <f t="shared" si="626"/>
        <v>Ministerio de Ciencia, Tecnología, Conocimiento e Innovación</v>
      </c>
      <c r="O471" s="20" t="str">
        <f>"Cantidad de nacimientos anuales en la "&amp;Agencia[[#This Row],[territorio]]&amp;", "&amp;Agencia[[#This Row],[temporalidad]]</f>
        <v>Cantidad de nacimientos anuales en la Región de Ñuble, Periodo 2010-2021</v>
      </c>
      <c r="P471" s="20"/>
      <c r="Q471" s="11" t="str">
        <f t="shared" si="603"/>
        <v>Dashboard</v>
      </c>
      <c r="R471" s="87" t="str">
        <f>Agencia[[#This Row],[territorio]]&amp;" nacimientos población cantidad número demografía"</f>
        <v>Región de Ñuble nacimientos población cantidad número demografía</v>
      </c>
      <c r="S471" s="102" t="s">
        <v>8333</v>
      </c>
      <c r="T471" s="69" t="str">
        <f>"100-C-"&amp;Agencia[[#This Row],[Filtro URL]]</f>
        <v>100-C-16</v>
      </c>
      <c r="U471" s="50" t="str">
        <f t="shared" si="604"/>
        <v>#1774B9</v>
      </c>
      <c r="V471" s="118" t="str">
        <f>+Agencia[[#This Row],[idcoleccion]]&amp;"-"&amp;Agencia[[#This Row],[id]]</f>
        <v>990-0460</v>
      </c>
      <c r="W471" s="118">
        <f>+VLOOKUP(Agencia[[#This Row],[Filtro URL]],Estructura!$X$4:$Y$500,2,0)</f>
        <v>99200016</v>
      </c>
      <c r="X471" s="118" t="str">
        <f>+VLOOKUP(Agencia[[#This Row],[tema]],Estructura!$A$4:$C$500,3,0)</f>
        <v>T-1006</v>
      </c>
      <c r="Y471" s="118" t="str">
        <f>+VLOOKUP(Agencia[[#This Row],[contenido]],Estructura!$E$4:$G$500,3,0)</f>
        <v>C-1002</v>
      </c>
      <c r="Z471" s="118" t="str">
        <f>+VLOOKUP(Agencia[[#This Row],[Filtro Integrado]],Estructura!$I$4:$K$500,3,0)</f>
        <v>FI-991</v>
      </c>
      <c r="AA471" s="118" t="str">
        <f>+VLOOKUP(Agencia[[#This Row],[Muestra]],Estructura!$M$4:$O$500,3,0)</f>
        <v>M-1035</v>
      </c>
    </row>
    <row r="472" spans="1:27" ht="51" x14ac:dyDescent="0.3">
      <c r="A472" s="21" t="s">
        <v>1039</v>
      </c>
      <c r="B472" s="24">
        <f t="shared" ref="B472:C472" si="627">+B471</f>
        <v>990</v>
      </c>
      <c r="C472" s="25" t="str">
        <f t="shared" si="627"/>
        <v>Agencia Información</v>
      </c>
      <c r="D472" s="25" t="s">
        <v>1467</v>
      </c>
      <c r="E472" s="14">
        <v>0</v>
      </c>
      <c r="F472" s="18" t="s">
        <v>1468</v>
      </c>
      <c r="G472" s="18" t="s">
        <v>4685</v>
      </c>
      <c r="H472" s="33" t="s">
        <v>20</v>
      </c>
      <c r="I472" s="34" t="s">
        <v>15</v>
      </c>
      <c r="J472" s="9" t="s">
        <v>16</v>
      </c>
      <c r="K472" s="9" t="s">
        <v>1472</v>
      </c>
      <c r="L472" s="9" t="s">
        <v>1470</v>
      </c>
      <c r="M472" s="9" t="s">
        <v>1469</v>
      </c>
      <c r="N472" s="9" t="s">
        <v>1459</v>
      </c>
      <c r="O472" s="20" t="str">
        <f>"Cantidad de permisos de circulación según tipo de vehículo en "&amp;Agencia[[#This Row],[territorio]]&amp;", "&amp;Agencia[[#This Row],[temporalidad]]</f>
        <v>Cantidad de permisos de circulación según tipo de vehículo en Chile, Periodo 2008-2019</v>
      </c>
      <c r="P472" s="32" t="s">
        <v>1471</v>
      </c>
      <c r="Q472" s="50" t="s">
        <v>596</v>
      </c>
      <c r="R472" s="20" t="str">
        <f>Agencia[[#This Row],[territorio]]&amp;" permiso circulación cantidad número regional tipo vehículo"</f>
        <v>Chile permiso circulación cantidad número regional tipo vehículo</v>
      </c>
      <c r="S472" s="122" t="s">
        <v>423</v>
      </c>
      <c r="T472" s="68" t="s">
        <v>855</v>
      </c>
      <c r="U472" s="50" t="str">
        <f t="shared" si="604"/>
        <v>#1774B9</v>
      </c>
      <c r="V472" s="118" t="str">
        <f>+Agencia[[#This Row],[idcoleccion]]&amp;"-"&amp;Agencia[[#This Row],[id]]</f>
        <v>990-0461</v>
      </c>
      <c r="W472" s="118">
        <f>+VLOOKUP(Agencia[[#This Row],[Filtro URL]],Estructura!$X$4:$Y$500,2,0)</f>
        <v>99100000</v>
      </c>
      <c r="X472" s="118" t="str">
        <f>+VLOOKUP(Agencia[[#This Row],[tema]],Estructura!$A$4:$C$500,3,0)</f>
        <v>T-1007</v>
      </c>
      <c r="Y472" s="118" t="str">
        <f>+VLOOKUP(Agencia[[#This Row],[contenido]],Estructura!$E$4:$G$500,3,0)</f>
        <v>C-1016</v>
      </c>
      <c r="Z472" s="118" t="str">
        <f>+VLOOKUP(Agencia[[#This Row],[Filtro Integrado]],Estructura!$I$4:$K$500,3,0)</f>
        <v>FI-992</v>
      </c>
      <c r="AA472" s="118" t="str">
        <f>+VLOOKUP(Agencia[[#This Row],[Muestra]],Estructura!$M$4:$O$500,3,0)</f>
        <v>M-1036</v>
      </c>
    </row>
    <row r="473" spans="1:27" ht="57.6" x14ac:dyDescent="0.3">
      <c r="A473" s="21" t="s">
        <v>1040</v>
      </c>
      <c r="B473" s="24">
        <f t="shared" ref="B473:D473" si="628">+B472</f>
        <v>990</v>
      </c>
      <c r="C473" s="25" t="str">
        <f t="shared" si="628"/>
        <v>Agencia Información</v>
      </c>
      <c r="D473" s="25" t="str">
        <f t="shared" si="628"/>
        <v>Transporte y tránsito</v>
      </c>
      <c r="E473" s="19">
        <v>1</v>
      </c>
      <c r="F473" s="18" t="s">
        <v>1468</v>
      </c>
      <c r="G473" s="18" t="s">
        <v>4685</v>
      </c>
      <c r="H473" s="35" t="s">
        <v>16</v>
      </c>
      <c r="I473" s="36" t="s">
        <v>368</v>
      </c>
      <c r="J473" s="9" t="s">
        <v>404</v>
      </c>
      <c r="K473" s="9" t="str">
        <f t="shared" ref="J473:N474" si="629">+K472</f>
        <v>Permisos de circulación anuales por región</v>
      </c>
      <c r="L473" s="9" t="str">
        <f t="shared" ref="L473:N473" si="630">+L472</f>
        <v>Periodo 2008-2019</v>
      </c>
      <c r="M473" s="9" t="str">
        <f t="shared" si="630"/>
        <v>Número de permisos de circulación</v>
      </c>
      <c r="N473" s="9" t="str">
        <f t="shared" si="630"/>
        <v>Instituto Nacional de Estadísticas (INE)</v>
      </c>
      <c r="O473" s="20" t="str">
        <f>"Cantidad de permisos de circulación según tipo de vehículo en la "&amp;Agencia[[#This Row],[territorio]]&amp;", "&amp;Agencia[[#This Row],[temporalidad]]</f>
        <v>Cantidad de permisos de circulación según tipo de vehículo en la Región de Tarapacá, Periodo 2008-2019</v>
      </c>
      <c r="P473" s="20"/>
      <c r="Q473" s="50" t="str">
        <f t="shared" si="603"/>
        <v>Nube de palabras</v>
      </c>
      <c r="R473" s="87" t="str">
        <f>Agencia[[#This Row],[territorio]]&amp;" permiso circulación cantidad número regional tipo vehículo"</f>
        <v>Región de Tarapacá permiso circulación cantidad número regional tipo vehículo</v>
      </c>
      <c r="S473" s="102" t="str">
        <f>HYPERLINK("https://analytics.zoho.com/open-view/2395394000008386951?ZOHO_CRITERIA=%228.1%20Permiso_circulaci%C3%B3n%22.%22Codreg%22%3D"&amp;Agencia[[#This Row],[Filtro URL]])</f>
        <v>https://analytics.zoho.com/open-view/2395394000008386951?ZOHO_CRITERIA=%228.1%20Permiso_circulaci%C3%B3n%22.%22Codreg%22%3D1</v>
      </c>
      <c r="T473" s="68" t="str">
        <f>"100-R-"&amp;Agencia[[#This Row],[Filtro URL]]</f>
        <v>100-R-1</v>
      </c>
      <c r="U473" s="50" t="str">
        <f t="shared" si="604"/>
        <v>#1774B9</v>
      </c>
      <c r="V473" s="118" t="str">
        <f>+Agencia[[#This Row],[idcoleccion]]&amp;"-"&amp;Agencia[[#This Row],[id]]</f>
        <v>990-0462</v>
      </c>
      <c r="W473" s="118">
        <f>+VLOOKUP(Agencia[[#This Row],[Filtro URL]],Estructura!$X$4:$Y$500,2,0)</f>
        <v>99200001</v>
      </c>
      <c r="X473" s="118" t="str">
        <f>+VLOOKUP(Agencia[[#This Row],[tema]],Estructura!$A$4:$C$500,3,0)</f>
        <v>T-1007</v>
      </c>
      <c r="Y473" s="118" t="str">
        <f>+VLOOKUP(Agencia[[#This Row],[contenido]],Estructura!$E$4:$G$500,3,0)</f>
        <v>C-1016</v>
      </c>
      <c r="Z473" s="118" t="str">
        <f>+VLOOKUP(Agencia[[#This Row],[Filtro Integrado]],Estructura!$I$4:$K$500,3,0)</f>
        <v>FI-993</v>
      </c>
      <c r="AA473" s="118" t="str">
        <f>+VLOOKUP(Agencia[[#This Row],[Muestra]],Estructura!$M$4:$O$500,3,0)</f>
        <v>M-1036</v>
      </c>
    </row>
    <row r="474" spans="1:27" ht="57.6" x14ac:dyDescent="0.3">
      <c r="A474" s="21" t="s">
        <v>1041</v>
      </c>
      <c r="B474" s="24">
        <f t="shared" ref="B474:D474" si="631">+B473</f>
        <v>990</v>
      </c>
      <c r="C474" s="25" t="str">
        <f t="shared" si="631"/>
        <v>Agencia Información</v>
      </c>
      <c r="D474" s="25" t="str">
        <f t="shared" si="631"/>
        <v>Transporte y tránsito</v>
      </c>
      <c r="E474" s="19">
        <v>2</v>
      </c>
      <c r="F474" s="18" t="s">
        <v>1468</v>
      </c>
      <c r="G474" s="18" t="s">
        <v>4685</v>
      </c>
      <c r="H474" s="35" t="s">
        <v>16</v>
      </c>
      <c r="I474" s="36" t="s">
        <v>369</v>
      </c>
      <c r="J474" s="9" t="str">
        <f t="shared" si="629"/>
        <v>Ninguno</v>
      </c>
      <c r="K474" s="9" t="str">
        <f t="shared" si="629"/>
        <v>Permisos de circulación anuales por región</v>
      </c>
      <c r="L474" s="9" t="str">
        <f t="shared" si="629"/>
        <v>Periodo 2008-2019</v>
      </c>
      <c r="M474" s="9" t="str">
        <f t="shared" si="629"/>
        <v>Número de permisos de circulación</v>
      </c>
      <c r="N474" s="9" t="str">
        <f t="shared" si="629"/>
        <v>Instituto Nacional de Estadísticas (INE)</v>
      </c>
      <c r="O474" s="20" t="str">
        <f>"Cantidad de permisos de circulación según tipo de vehículo en la "&amp;Agencia[[#This Row],[territorio]]&amp;", "&amp;Agencia[[#This Row],[temporalidad]]</f>
        <v>Cantidad de permisos de circulación según tipo de vehículo en la Región de Antofagasta, Periodo 2008-2019</v>
      </c>
      <c r="P474" s="20"/>
      <c r="Q474" s="50" t="str">
        <f t="shared" si="603"/>
        <v>Nube de palabras</v>
      </c>
      <c r="R474" s="87" t="str">
        <f>Agencia[[#This Row],[territorio]]&amp;" permiso circulación cantidad número regional tipo vehículo"</f>
        <v>Región de Antofagasta permiso circulación cantidad número regional tipo vehículo</v>
      </c>
      <c r="S474" s="102" t="str">
        <f>HYPERLINK("https://analytics.zoho.com/open-view/2395394000008386951?ZOHO_CRITERIA=%228.1%20Permiso_circulaci%C3%B3n%22.%22Codreg%22%3D"&amp;Agencia[[#This Row],[Filtro URL]])</f>
        <v>https://analytics.zoho.com/open-view/2395394000008386951?ZOHO_CRITERIA=%228.1%20Permiso_circulaci%C3%B3n%22.%22Codreg%22%3D2</v>
      </c>
      <c r="T474" s="68" t="str">
        <f>"100-R-"&amp;Agencia[[#This Row],[Filtro URL]]</f>
        <v>100-R-2</v>
      </c>
      <c r="U474" s="50" t="str">
        <f t="shared" si="604"/>
        <v>#1774B9</v>
      </c>
      <c r="V474" s="118" t="str">
        <f>+Agencia[[#This Row],[idcoleccion]]&amp;"-"&amp;Agencia[[#This Row],[id]]</f>
        <v>990-0463</v>
      </c>
      <c r="W474" s="118">
        <f>+VLOOKUP(Agencia[[#This Row],[Filtro URL]],Estructura!$X$4:$Y$500,2,0)</f>
        <v>99200002</v>
      </c>
      <c r="X474" s="118" t="str">
        <f>+VLOOKUP(Agencia[[#This Row],[tema]],Estructura!$A$4:$C$500,3,0)</f>
        <v>T-1007</v>
      </c>
      <c r="Y474" s="118" t="str">
        <f>+VLOOKUP(Agencia[[#This Row],[contenido]],Estructura!$E$4:$G$500,3,0)</f>
        <v>C-1016</v>
      </c>
      <c r="Z474" s="118" t="str">
        <f>+VLOOKUP(Agencia[[#This Row],[Filtro Integrado]],Estructura!$I$4:$K$500,3,0)</f>
        <v>FI-993</v>
      </c>
      <c r="AA474" s="118" t="str">
        <f>+VLOOKUP(Agencia[[#This Row],[Muestra]],Estructura!$M$4:$O$500,3,0)</f>
        <v>M-1036</v>
      </c>
    </row>
    <row r="475" spans="1:27" ht="57.6" x14ac:dyDescent="0.3">
      <c r="A475" s="21" t="s">
        <v>1042</v>
      </c>
      <c r="B475" s="24">
        <f t="shared" ref="B475:D475" si="632">+B474</f>
        <v>990</v>
      </c>
      <c r="C475" s="25" t="str">
        <f t="shared" si="632"/>
        <v>Agencia Información</v>
      </c>
      <c r="D475" s="25" t="str">
        <f t="shared" si="632"/>
        <v>Transporte y tránsito</v>
      </c>
      <c r="E475" s="19">
        <v>3</v>
      </c>
      <c r="F475" s="18" t="s">
        <v>1468</v>
      </c>
      <c r="G475" s="18" t="s">
        <v>4685</v>
      </c>
      <c r="H475" s="35" t="s">
        <v>16</v>
      </c>
      <c r="I475" s="36" t="s">
        <v>370</v>
      </c>
      <c r="J475" s="9" t="str">
        <f t="shared" ref="J475:N475" si="633">+J474</f>
        <v>Ninguno</v>
      </c>
      <c r="K475" s="9" t="str">
        <f t="shared" si="633"/>
        <v>Permisos de circulación anuales por región</v>
      </c>
      <c r="L475" s="9" t="str">
        <f t="shared" si="633"/>
        <v>Periodo 2008-2019</v>
      </c>
      <c r="M475" s="9" t="str">
        <f t="shared" si="633"/>
        <v>Número de permisos de circulación</v>
      </c>
      <c r="N475" s="9" t="str">
        <f t="shared" si="633"/>
        <v>Instituto Nacional de Estadísticas (INE)</v>
      </c>
      <c r="O475" s="20" t="str">
        <f>"Cantidad de permisos de circulación según tipo de vehículo en la "&amp;Agencia[[#This Row],[territorio]]&amp;", "&amp;Agencia[[#This Row],[temporalidad]]</f>
        <v>Cantidad de permisos de circulación según tipo de vehículo en la Región de Atacama, Periodo 2008-2019</v>
      </c>
      <c r="P475" s="20"/>
      <c r="Q475" s="50" t="str">
        <f t="shared" si="603"/>
        <v>Nube de palabras</v>
      </c>
      <c r="R475" s="87" t="str">
        <f>Agencia[[#This Row],[territorio]]&amp;" permiso circulación cantidad número regional tipo vehículo"</f>
        <v>Región de Atacama permiso circulación cantidad número regional tipo vehículo</v>
      </c>
      <c r="S475" s="102" t="str">
        <f>HYPERLINK("https://analytics.zoho.com/open-view/2395394000008386951?ZOHO_CRITERIA=%228.1%20Permiso_circulaci%C3%B3n%22.%22Codreg%22%3D"&amp;Agencia[[#This Row],[Filtro URL]])</f>
        <v>https://analytics.zoho.com/open-view/2395394000008386951?ZOHO_CRITERIA=%228.1%20Permiso_circulaci%C3%B3n%22.%22Codreg%22%3D3</v>
      </c>
      <c r="T475" s="68" t="str">
        <f>"100-R-"&amp;Agencia[[#This Row],[Filtro URL]]</f>
        <v>100-R-3</v>
      </c>
      <c r="U475" s="50" t="str">
        <f t="shared" si="604"/>
        <v>#1774B9</v>
      </c>
      <c r="V475" s="118" t="str">
        <f>+Agencia[[#This Row],[idcoleccion]]&amp;"-"&amp;Agencia[[#This Row],[id]]</f>
        <v>990-0464</v>
      </c>
      <c r="W475" s="118">
        <f>+VLOOKUP(Agencia[[#This Row],[Filtro URL]],Estructura!$X$4:$Y$500,2,0)</f>
        <v>99200003</v>
      </c>
      <c r="X475" s="118" t="str">
        <f>+VLOOKUP(Agencia[[#This Row],[tema]],Estructura!$A$4:$C$500,3,0)</f>
        <v>T-1007</v>
      </c>
      <c r="Y475" s="118" t="str">
        <f>+VLOOKUP(Agencia[[#This Row],[contenido]],Estructura!$E$4:$G$500,3,0)</f>
        <v>C-1016</v>
      </c>
      <c r="Z475" s="118" t="str">
        <f>+VLOOKUP(Agencia[[#This Row],[Filtro Integrado]],Estructura!$I$4:$K$500,3,0)</f>
        <v>FI-993</v>
      </c>
      <c r="AA475" s="118" t="str">
        <f>+VLOOKUP(Agencia[[#This Row],[Muestra]],Estructura!$M$4:$O$500,3,0)</f>
        <v>M-1036</v>
      </c>
    </row>
    <row r="476" spans="1:27" ht="57.6" x14ac:dyDescent="0.3">
      <c r="A476" s="21" t="s">
        <v>1043</v>
      </c>
      <c r="B476" s="24">
        <f t="shared" ref="B476:D476" si="634">+B475</f>
        <v>990</v>
      </c>
      <c r="C476" s="25" t="str">
        <f t="shared" si="634"/>
        <v>Agencia Información</v>
      </c>
      <c r="D476" s="25" t="str">
        <f t="shared" si="634"/>
        <v>Transporte y tránsito</v>
      </c>
      <c r="E476" s="19">
        <v>4</v>
      </c>
      <c r="F476" s="18" t="s">
        <v>1468</v>
      </c>
      <c r="G476" s="18" t="s">
        <v>4685</v>
      </c>
      <c r="H476" s="35" t="s">
        <v>16</v>
      </c>
      <c r="I476" s="36" t="s">
        <v>371</v>
      </c>
      <c r="J476" s="9" t="str">
        <f t="shared" ref="J476:N476" si="635">+J475</f>
        <v>Ninguno</v>
      </c>
      <c r="K476" s="9" t="str">
        <f t="shared" si="635"/>
        <v>Permisos de circulación anuales por región</v>
      </c>
      <c r="L476" s="9" t="str">
        <f t="shared" si="635"/>
        <v>Periodo 2008-2019</v>
      </c>
      <c r="M476" s="9" t="str">
        <f t="shared" si="635"/>
        <v>Número de permisos de circulación</v>
      </c>
      <c r="N476" s="9" t="str">
        <f t="shared" si="635"/>
        <v>Instituto Nacional de Estadísticas (INE)</v>
      </c>
      <c r="O476" s="20" t="str">
        <f>"Cantidad de permisos de circulación según tipo de vehículo en la "&amp;Agencia[[#This Row],[territorio]]&amp;", "&amp;Agencia[[#This Row],[temporalidad]]</f>
        <v>Cantidad de permisos de circulación según tipo de vehículo en la Región de Coquimbo, Periodo 2008-2019</v>
      </c>
      <c r="P476" s="20"/>
      <c r="Q476" s="50" t="str">
        <f t="shared" si="603"/>
        <v>Nube de palabras</v>
      </c>
      <c r="R476" s="87" t="str">
        <f>Agencia[[#This Row],[territorio]]&amp;" permiso circulación cantidad número regional tipo vehículo"</f>
        <v>Región de Coquimbo permiso circulación cantidad número regional tipo vehículo</v>
      </c>
      <c r="S476" s="102" t="str">
        <f>HYPERLINK("https://analytics.zoho.com/open-view/2395394000008386951?ZOHO_CRITERIA=%228.1%20Permiso_circulaci%C3%B3n%22.%22Codreg%22%3D"&amp;Agencia[[#This Row],[Filtro URL]])</f>
        <v>https://analytics.zoho.com/open-view/2395394000008386951?ZOHO_CRITERIA=%228.1%20Permiso_circulaci%C3%B3n%22.%22Codreg%22%3D4</v>
      </c>
      <c r="T476" s="68" t="str">
        <f>"100-R-"&amp;Agencia[[#This Row],[Filtro URL]]</f>
        <v>100-R-4</v>
      </c>
      <c r="U476" s="50" t="str">
        <f t="shared" si="604"/>
        <v>#1774B9</v>
      </c>
      <c r="V476" s="118" t="str">
        <f>+Agencia[[#This Row],[idcoleccion]]&amp;"-"&amp;Agencia[[#This Row],[id]]</f>
        <v>990-0465</v>
      </c>
      <c r="W476" s="118">
        <f>+VLOOKUP(Agencia[[#This Row],[Filtro URL]],Estructura!$X$4:$Y$500,2,0)</f>
        <v>99200004</v>
      </c>
      <c r="X476" s="118" t="str">
        <f>+VLOOKUP(Agencia[[#This Row],[tema]],Estructura!$A$4:$C$500,3,0)</f>
        <v>T-1007</v>
      </c>
      <c r="Y476" s="118" t="str">
        <f>+VLOOKUP(Agencia[[#This Row],[contenido]],Estructura!$E$4:$G$500,3,0)</f>
        <v>C-1016</v>
      </c>
      <c r="Z476" s="118" t="str">
        <f>+VLOOKUP(Agencia[[#This Row],[Filtro Integrado]],Estructura!$I$4:$K$500,3,0)</f>
        <v>FI-993</v>
      </c>
      <c r="AA476" s="118" t="str">
        <f>+VLOOKUP(Agencia[[#This Row],[Muestra]],Estructura!$M$4:$O$500,3,0)</f>
        <v>M-1036</v>
      </c>
    </row>
    <row r="477" spans="1:27" ht="57.6" x14ac:dyDescent="0.3">
      <c r="A477" s="21" t="s">
        <v>1044</v>
      </c>
      <c r="B477" s="24">
        <f t="shared" ref="B477:D477" si="636">+B476</f>
        <v>990</v>
      </c>
      <c r="C477" s="25" t="str">
        <f t="shared" si="636"/>
        <v>Agencia Información</v>
      </c>
      <c r="D477" s="25" t="str">
        <f t="shared" si="636"/>
        <v>Transporte y tránsito</v>
      </c>
      <c r="E477" s="19">
        <v>5</v>
      </c>
      <c r="F477" s="18" t="s">
        <v>1468</v>
      </c>
      <c r="G477" s="18" t="s">
        <v>4685</v>
      </c>
      <c r="H477" s="35" t="s">
        <v>16</v>
      </c>
      <c r="I477" s="36" t="s">
        <v>372</v>
      </c>
      <c r="J477" s="9" t="str">
        <f t="shared" ref="J477:N477" si="637">+J476</f>
        <v>Ninguno</v>
      </c>
      <c r="K477" s="9" t="str">
        <f t="shared" si="637"/>
        <v>Permisos de circulación anuales por región</v>
      </c>
      <c r="L477" s="9" t="str">
        <f t="shared" si="637"/>
        <v>Periodo 2008-2019</v>
      </c>
      <c r="M477" s="9" t="str">
        <f t="shared" si="637"/>
        <v>Número de permisos de circulación</v>
      </c>
      <c r="N477" s="9" t="str">
        <f t="shared" si="637"/>
        <v>Instituto Nacional de Estadísticas (INE)</v>
      </c>
      <c r="O477" s="20" t="str">
        <f>"Cantidad de permisos de circulación según tipo de vehículo en la "&amp;Agencia[[#This Row],[territorio]]&amp;", "&amp;Agencia[[#This Row],[temporalidad]]</f>
        <v>Cantidad de permisos de circulación según tipo de vehículo en la Región de Valparaíso, Periodo 2008-2019</v>
      </c>
      <c r="P477" s="20"/>
      <c r="Q477" s="50" t="str">
        <f t="shared" si="603"/>
        <v>Nube de palabras</v>
      </c>
      <c r="R477" s="87" t="str">
        <f>Agencia[[#This Row],[territorio]]&amp;" permiso circulación cantidad número regional tipo vehículo"</f>
        <v>Región de Valparaíso permiso circulación cantidad número regional tipo vehículo</v>
      </c>
      <c r="S477" s="102" t="str">
        <f>HYPERLINK("https://analytics.zoho.com/open-view/2395394000008386951?ZOHO_CRITERIA=%228.1%20Permiso_circulaci%C3%B3n%22.%22Codreg%22%3D"&amp;Agencia[[#This Row],[Filtro URL]])</f>
        <v>https://analytics.zoho.com/open-view/2395394000008386951?ZOHO_CRITERIA=%228.1%20Permiso_circulaci%C3%B3n%22.%22Codreg%22%3D5</v>
      </c>
      <c r="T477" s="68" t="str">
        <f>"100-R-"&amp;Agencia[[#This Row],[Filtro URL]]</f>
        <v>100-R-5</v>
      </c>
      <c r="U477" s="50" t="str">
        <f t="shared" si="604"/>
        <v>#1774B9</v>
      </c>
      <c r="V477" s="118" t="str">
        <f>+Agencia[[#This Row],[idcoleccion]]&amp;"-"&amp;Agencia[[#This Row],[id]]</f>
        <v>990-0466</v>
      </c>
      <c r="W477" s="118">
        <f>+VLOOKUP(Agencia[[#This Row],[Filtro URL]],Estructura!$X$4:$Y$500,2,0)</f>
        <v>99200005</v>
      </c>
      <c r="X477" s="118" t="str">
        <f>+VLOOKUP(Agencia[[#This Row],[tema]],Estructura!$A$4:$C$500,3,0)</f>
        <v>T-1007</v>
      </c>
      <c r="Y477" s="118" t="str">
        <f>+VLOOKUP(Agencia[[#This Row],[contenido]],Estructura!$E$4:$G$500,3,0)</f>
        <v>C-1016</v>
      </c>
      <c r="Z477" s="118" t="str">
        <f>+VLOOKUP(Agencia[[#This Row],[Filtro Integrado]],Estructura!$I$4:$K$500,3,0)</f>
        <v>FI-993</v>
      </c>
      <c r="AA477" s="118" t="str">
        <f>+VLOOKUP(Agencia[[#This Row],[Muestra]],Estructura!$M$4:$O$500,3,0)</f>
        <v>M-1036</v>
      </c>
    </row>
    <row r="478" spans="1:27" ht="57.6" x14ac:dyDescent="0.3">
      <c r="A478" s="21" t="s">
        <v>1045</v>
      </c>
      <c r="B478" s="24">
        <f t="shared" ref="B478:D478" si="638">+B477</f>
        <v>990</v>
      </c>
      <c r="C478" s="25" t="str">
        <f t="shared" si="638"/>
        <v>Agencia Información</v>
      </c>
      <c r="D478" s="25" t="str">
        <f t="shared" si="638"/>
        <v>Transporte y tránsito</v>
      </c>
      <c r="E478" s="19">
        <v>6</v>
      </c>
      <c r="F478" s="18" t="s">
        <v>1468</v>
      </c>
      <c r="G478" s="18" t="s">
        <v>4685</v>
      </c>
      <c r="H478" s="35" t="s">
        <v>16</v>
      </c>
      <c r="I478" s="36" t="s">
        <v>373</v>
      </c>
      <c r="J478" s="9" t="str">
        <f t="shared" ref="J478:N478" si="639">+J477</f>
        <v>Ninguno</v>
      </c>
      <c r="K478" s="9" t="str">
        <f t="shared" si="639"/>
        <v>Permisos de circulación anuales por región</v>
      </c>
      <c r="L478" s="9" t="str">
        <f t="shared" si="639"/>
        <v>Periodo 2008-2019</v>
      </c>
      <c r="M478" s="9" t="str">
        <f t="shared" si="639"/>
        <v>Número de permisos de circulación</v>
      </c>
      <c r="N478" s="9" t="str">
        <f t="shared" si="639"/>
        <v>Instituto Nacional de Estadísticas (INE)</v>
      </c>
      <c r="O478" s="20" t="str">
        <f>"Cantidad de permisos de circulación según tipo de vehículo en la "&amp;Agencia[[#This Row],[territorio]]&amp;", "&amp;Agencia[[#This Row],[temporalidad]]</f>
        <v>Cantidad de permisos de circulación según tipo de vehículo en la Región de O'Higgins, Periodo 2008-2019</v>
      </c>
      <c r="P478" s="20"/>
      <c r="Q478" s="50" t="str">
        <f t="shared" si="603"/>
        <v>Nube de palabras</v>
      </c>
      <c r="R478" s="87" t="str">
        <f>Agencia[[#This Row],[territorio]]&amp;" permiso circulación cantidad número regional tipo vehículo"</f>
        <v>Región de O'Higgins permiso circulación cantidad número regional tipo vehículo</v>
      </c>
      <c r="S478" s="102" t="str">
        <f>HYPERLINK("https://analytics.zoho.com/open-view/2395394000008386951?ZOHO_CRITERIA=%228.1%20Permiso_circulaci%C3%B3n%22.%22Codreg%22%3D"&amp;Agencia[[#This Row],[Filtro URL]])</f>
        <v>https://analytics.zoho.com/open-view/2395394000008386951?ZOHO_CRITERIA=%228.1%20Permiso_circulaci%C3%B3n%22.%22Codreg%22%3D6</v>
      </c>
      <c r="T478" s="68" t="str">
        <f>"100-R-"&amp;Agencia[[#This Row],[Filtro URL]]</f>
        <v>100-R-6</v>
      </c>
      <c r="U478" s="50" t="str">
        <f t="shared" si="604"/>
        <v>#1774B9</v>
      </c>
      <c r="V478" s="118" t="str">
        <f>+Agencia[[#This Row],[idcoleccion]]&amp;"-"&amp;Agencia[[#This Row],[id]]</f>
        <v>990-0467</v>
      </c>
      <c r="W478" s="118">
        <f>+VLOOKUP(Agencia[[#This Row],[Filtro URL]],Estructura!$X$4:$Y$500,2,0)</f>
        <v>99200006</v>
      </c>
      <c r="X478" s="118" t="str">
        <f>+VLOOKUP(Agencia[[#This Row],[tema]],Estructura!$A$4:$C$500,3,0)</f>
        <v>T-1007</v>
      </c>
      <c r="Y478" s="118" t="str">
        <f>+VLOOKUP(Agencia[[#This Row],[contenido]],Estructura!$E$4:$G$500,3,0)</f>
        <v>C-1016</v>
      </c>
      <c r="Z478" s="118" t="str">
        <f>+VLOOKUP(Agencia[[#This Row],[Filtro Integrado]],Estructura!$I$4:$K$500,3,0)</f>
        <v>FI-993</v>
      </c>
      <c r="AA478" s="118" t="str">
        <f>+VLOOKUP(Agencia[[#This Row],[Muestra]],Estructura!$M$4:$O$500,3,0)</f>
        <v>M-1036</v>
      </c>
    </row>
    <row r="479" spans="1:27" ht="57.6" x14ac:dyDescent="0.3">
      <c r="A479" s="21" t="s">
        <v>1046</v>
      </c>
      <c r="B479" s="24">
        <f t="shared" ref="B479:D479" si="640">+B478</f>
        <v>990</v>
      </c>
      <c r="C479" s="25" t="str">
        <f t="shared" si="640"/>
        <v>Agencia Información</v>
      </c>
      <c r="D479" s="25" t="str">
        <f t="shared" si="640"/>
        <v>Transporte y tránsito</v>
      </c>
      <c r="E479" s="19">
        <v>7</v>
      </c>
      <c r="F479" s="18" t="s">
        <v>1468</v>
      </c>
      <c r="G479" s="18" t="s">
        <v>4685</v>
      </c>
      <c r="H479" s="35" t="s">
        <v>16</v>
      </c>
      <c r="I479" s="36" t="s">
        <v>374</v>
      </c>
      <c r="J479" s="9" t="str">
        <f t="shared" ref="J479:N479" si="641">+J478</f>
        <v>Ninguno</v>
      </c>
      <c r="K479" s="9" t="str">
        <f t="shared" si="641"/>
        <v>Permisos de circulación anuales por región</v>
      </c>
      <c r="L479" s="9" t="str">
        <f t="shared" si="641"/>
        <v>Periodo 2008-2019</v>
      </c>
      <c r="M479" s="9" t="str">
        <f t="shared" si="641"/>
        <v>Número de permisos de circulación</v>
      </c>
      <c r="N479" s="9" t="str">
        <f t="shared" si="641"/>
        <v>Instituto Nacional de Estadísticas (INE)</v>
      </c>
      <c r="O479" s="20" t="str">
        <f>"Cantidad de permisos de circulación según tipo de vehículo en la "&amp;Agencia[[#This Row],[territorio]]&amp;", "&amp;Agencia[[#This Row],[temporalidad]]</f>
        <v>Cantidad de permisos de circulación según tipo de vehículo en la Región de Maule, Periodo 2008-2019</v>
      </c>
      <c r="P479" s="20"/>
      <c r="Q479" s="50" t="str">
        <f t="shared" si="603"/>
        <v>Nube de palabras</v>
      </c>
      <c r="R479" s="87" t="str">
        <f>Agencia[[#This Row],[territorio]]&amp;" permiso circulación cantidad número regional tipo vehículo"</f>
        <v>Región de Maule permiso circulación cantidad número regional tipo vehículo</v>
      </c>
      <c r="S479" s="102" t="str">
        <f>HYPERLINK("https://analytics.zoho.com/open-view/2395394000008386951?ZOHO_CRITERIA=%228.1%20Permiso_circulaci%C3%B3n%22.%22Codreg%22%3D"&amp;Agencia[[#This Row],[Filtro URL]])</f>
        <v>https://analytics.zoho.com/open-view/2395394000008386951?ZOHO_CRITERIA=%228.1%20Permiso_circulaci%C3%B3n%22.%22Codreg%22%3D7</v>
      </c>
      <c r="T479" s="68" t="str">
        <f>"100-R-"&amp;Agencia[[#This Row],[Filtro URL]]</f>
        <v>100-R-7</v>
      </c>
      <c r="U479" s="50" t="str">
        <f t="shared" si="604"/>
        <v>#1774B9</v>
      </c>
      <c r="V479" s="118" t="str">
        <f>+Agencia[[#This Row],[idcoleccion]]&amp;"-"&amp;Agencia[[#This Row],[id]]</f>
        <v>990-0468</v>
      </c>
      <c r="W479" s="118">
        <f>+VLOOKUP(Agencia[[#This Row],[Filtro URL]],Estructura!$X$4:$Y$500,2,0)</f>
        <v>99200007</v>
      </c>
      <c r="X479" s="118" t="str">
        <f>+VLOOKUP(Agencia[[#This Row],[tema]],Estructura!$A$4:$C$500,3,0)</f>
        <v>T-1007</v>
      </c>
      <c r="Y479" s="118" t="str">
        <f>+VLOOKUP(Agencia[[#This Row],[contenido]],Estructura!$E$4:$G$500,3,0)</f>
        <v>C-1016</v>
      </c>
      <c r="Z479" s="118" t="str">
        <f>+VLOOKUP(Agencia[[#This Row],[Filtro Integrado]],Estructura!$I$4:$K$500,3,0)</f>
        <v>FI-993</v>
      </c>
      <c r="AA479" s="118" t="str">
        <f>+VLOOKUP(Agencia[[#This Row],[Muestra]],Estructura!$M$4:$O$500,3,0)</f>
        <v>M-1036</v>
      </c>
    </row>
    <row r="480" spans="1:27" ht="57.6" x14ac:dyDescent="0.3">
      <c r="A480" s="21" t="s">
        <v>1047</v>
      </c>
      <c r="B480" s="24">
        <f t="shared" ref="B480:D480" si="642">+B479</f>
        <v>990</v>
      </c>
      <c r="C480" s="25" t="str">
        <f t="shared" si="642"/>
        <v>Agencia Información</v>
      </c>
      <c r="D480" s="25" t="str">
        <f t="shared" si="642"/>
        <v>Transporte y tránsito</v>
      </c>
      <c r="E480" s="19">
        <v>8</v>
      </c>
      <c r="F480" s="18" t="s">
        <v>1468</v>
      </c>
      <c r="G480" s="18" t="s">
        <v>4685</v>
      </c>
      <c r="H480" s="35" t="s">
        <v>16</v>
      </c>
      <c r="I480" s="36" t="s">
        <v>375</v>
      </c>
      <c r="J480" s="9" t="str">
        <f t="shared" ref="J480:N480" si="643">+J479</f>
        <v>Ninguno</v>
      </c>
      <c r="K480" s="9" t="str">
        <f t="shared" si="643"/>
        <v>Permisos de circulación anuales por región</v>
      </c>
      <c r="L480" s="9" t="str">
        <f t="shared" si="643"/>
        <v>Periodo 2008-2019</v>
      </c>
      <c r="M480" s="9" t="str">
        <f t="shared" si="643"/>
        <v>Número de permisos de circulación</v>
      </c>
      <c r="N480" s="9" t="str">
        <f t="shared" si="643"/>
        <v>Instituto Nacional de Estadísticas (INE)</v>
      </c>
      <c r="O480" s="20" t="str">
        <f>"Cantidad de permisos de circulación según tipo de vehículo en la "&amp;Agencia[[#This Row],[territorio]]&amp;", "&amp;Agencia[[#This Row],[temporalidad]]</f>
        <v>Cantidad de permisos de circulación según tipo de vehículo en la Región del Biobío, Periodo 2008-2019</v>
      </c>
      <c r="P480" s="20"/>
      <c r="Q480" s="50" t="str">
        <f t="shared" si="603"/>
        <v>Nube de palabras</v>
      </c>
      <c r="R480" s="87" t="str">
        <f>Agencia[[#This Row],[territorio]]&amp;" permiso circulación cantidad número regional tipo vehículo"</f>
        <v>Región del Biobío permiso circulación cantidad número regional tipo vehículo</v>
      </c>
      <c r="S480" s="102" t="str">
        <f>HYPERLINK("https://analytics.zoho.com/open-view/2395394000008386951?ZOHO_CRITERIA=%228.1%20Permiso_circulaci%C3%B3n%22.%22Codreg%22%3D"&amp;Agencia[[#This Row],[Filtro URL]])</f>
        <v>https://analytics.zoho.com/open-view/2395394000008386951?ZOHO_CRITERIA=%228.1%20Permiso_circulaci%C3%B3n%22.%22Codreg%22%3D8</v>
      </c>
      <c r="T480" s="68" t="str">
        <f>"100-R-"&amp;Agencia[[#This Row],[Filtro URL]]</f>
        <v>100-R-8</v>
      </c>
      <c r="U480" s="50" t="str">
        <f t="shared" si="604"/>
        <v>#1774B9</v>
      </c>
      <c r="V480" s="118" t="str">
        <f>+Agencia[[#This Row],[idcoleccion]]&amp;"-"&amp;Agencia[[#This Row],[id]]</f>
        <v>990-0469</v>
      </c>
      <c r="W480" s="118">
        <f>+VLOOKUP(Agencia[[#This Row],[Filtro URL]],Estructura!$X$4:$Y$500,2,0)</f>
        <v>99200008</v>
      </c>
      <c r="X480" s="118" t="str">
        <f>+VLOOKUP(Agencia[[#This Row],[tema]],Estructura!$A$4:$C$500,3,0)</f>
        <v>T-1007</v>
      </c>
      <c r="Y480" s="118" t="str">
        <f>+VLOOKUP(Agencia[[#This Row],[contenido]],Estructura!$E$4:$G$500,3,0)</f>
        <v>C-1016</v>
      </c>
      <c r="Z480" s="118" t="str">
        <f>+VLOOKUP(Agencia[[#This Row],[Filtro Integrado]],Estructura!$I$4:$K$500,3,0)</f>
        <v>FI-993</v>
      </c>
      <c r="AA480" s="118" t="str">
        <f>+VLOOKUP(Agencia[[#This Row],[Muestra]],Estructura!$M$4:$O$500,3,0)</f>
        <v>M-1036</v>
      </c>
    </row>
    <row r="481" spans="1:27" ht="57.6" x14ac:dyDescent="0.3">
      <c r="A481" s="21" t="s">
        <v>1048</v>
      </c>
      <c r="B481" s="24">
        <f t="shared" ref="B481:D481" si="644">+B480</f>
        <v>990</v>
      </c>
      <c r="C481" s="25" t="str">
        <f t="shared" si="644"/>
        <v>Agencia Información</v>
      </c>
      <c r="D481" s="25" t="str">
        <f t="shared" si="644"/>
        <v>Transporte y tránsito</v>
      </c>
      <c r="E481" s="19">
        <v>9</v>
      </c>
      <c r="F481" s="18" t="s">
        <v>1468</v>
      </c>
      <c r="G481" s="18" t="s">
        <v>4685</v>
      </c>
      <c r="H481" s="35" t="s">
        <v>16</v>
      </c>
      <c r="I481" s="36" t="s">
        <v>376</v>
      </c>
      <c r="J481" s="9" t="str">
        <f t="shared" ref="J481:N481" si="645">+J480</f>
        <v>Ninguno</v>
      </c>
      <c r="K481" s="9" t="str">
        <f t="shared" si="645"/>
        <v>Permisos de circulación anuales por región</v>
      </c>
      <c r="L481" s="9" t="str">
        <f t="shared" si="645"/>
        <v>Periodo 2008-2019</v>
      </c>
      <c r="M481" s="9" t="str">
        <f t="shared" si="645"/>
        <v>Número de permisos de circulación</v>
      </c>
      <c r="N481" s="9" t="str">
        <f t="shared" si="645"/>
        <v>Instituto Nacional de Estadísticas (INE)</v>
      </c>
      <c r="O481" s="20" t="str">
        <f>"Cantidad de permisos de circulación según tipo de vehículo en la "&amp;Agencia[[#This Row],[territorio]]&amp;", "&amp;Agencia[[#This Row],[temporalidad]]</f>
        <v>Cantidad de permisos de circulación según tipo de vehículo en la Región de La Araucanía, Periodo 2008-2019</v>
      </c>
      <c r="P481" s="20"/>
      <c r="Q481" s="50" t="str">
        <f t="shared" si="603"/>
        <v>Nube de palabras</v>
      </c>
      <c r="R481" s="87" t="str">
        <f>Agencia[[#This Row],[territorio]]&amp;" permiso circulación cantidad número regional tipo vehículo"</f>
        <v>Región de La Araucanía permiso circulación cantidad número regional tipo vehículo</v>
      </c>
      <c r="S481" s="102" t="str">
        <f>HYPERLINK("https://analytics.zoho.com/open-view/2395394000008386951?ZOHO_CRITERIA=%228.1%20Permiso_circulaci%C3%B3n%22.%22Codreg%22%3D"&amp;Agencia[[#This Row],[Filtro URL]])</f>
        <v>https://analytics.zoho.com/open-view/2395394000008386951?ZOHO_CRITERIA=%228.1%20Permiso_circulaci%C3%B3n%22.%22Codreg%22%3D9</v>
      </c>
      <c r="T481" s="68" t="str">
        <f>"100-R-"&amp;Agencia[[#This Row],[Filtro URL]]</f>
        <v>100-R-9</v>
      </c>
      <c r="U481" s="50" t="str">
        <f t="shared" si="604"/>
        <v>#1774B9</v>
      </c>
      <c r="V481" s="118" t="str">
        <f>+Agencia[[#This Row],[idcoleccion]]&amp;"-"&amp;Agencia[[#This Row],[id]]</f>
        <v>990-0470</v>
      </c>
      <c r="W481" s="118">
        <f>+VLOOKUP(Agencia[[#This Row],[Filtro URL]],Estructura!$X$4:$Y$500,2,0)</f>
        <v>99200009</v>
      </c>
      <c r="X481" s="118" t="str">
        <f>+VLOOKUP(Agencia[[#This Row],[tema]],Estructura!$A$4:$C$500,3,0)</f>
        <v>T-1007</v>
      </c>
      <c r="Y481" s="118" t="str">
        <f>+VLOOKUP(Agencia[[#This Row],[contenido]],Estructura!$E$4:$G$500,3,0)</f>
        <v>C-1016</v>
      </c>
      <c r="Z481" s="118" t="str">
        <f>+VLOOKUP(Agencia[[#This Row],[Filtro Integrado]],Estructura!$I$4:$K$500,3,0)</f>
        <v>FI-993</v>
      </c>
      <c r="AA481" s="118" t="str">
        <f>+VLOOKUP(Agencia[[#This Row],[Muestra]],Estructura!$M$4:$O$500,3,0)</f>
        <v>M-1036</v>
      </c>
    </row>
    <row r="482" spans="1:27" ht="57.6" x14ac:dyDescent="0.3">
      <c r="A482" s="21" t="s">
        <v>1049</v>
      </c>
      <c r="B482" s="24">
        <f t="shared" ref="B482:D482" si="646">+B481</f>
        <v>990</v>
      </c>
      <c r="C482" s="25" t="str">
        <f t="shared" si="646"/>
        <v>Agencia Información</v>
      </c>
      <c r="D482" s="25" t="str">
        <f t="shared" si="646"/>
        <v>Transporte y tránsito</v>
      </c>
      <c r="E482" s="19">
        <v>10</v>
      </c>
      <c r="F482" s="18" t="s">
        <v>1468</v>
      </c>
      <c r="G482" s="18" t="s">
        <v>4685</v>
      </c>
      <c r="H482" s="35" t="s">
        <v>16</v>
      </c>
      <c r="I482" s="36" t="s">
        <v>377</v>
      </c>
      <c r="J482" s="9" t="str">
        <f t="shared" ref="J482:N482" si="647">+J481</f>
        <v>Ninguno</v>
      </c>
      <c r="K482" s="9" t="str">
        <f t="shared" si="647"/>
        <v>Permisos de circulación anuales por región</v>
      </c>
      <c r="L482" s="9" t="str">
        <f t="shared" si="647"/>
        <v>Periodo 2008-2019</v>
      </c>
      <c r="M482" s="9" t="str">
        <f t="shared" si="647"/>
        <v>Número de permisos de circulación</v>
      </c>
      <c r="N482" s="9" t="str">
        <f t="shared" si="647"/>
        <v>Instituto Nacional de Estadísticas (INE)</v>
      </c>
      <c r="O482" s="20" t="str">
        <f>"Cantidad de permisos de circulación según tipo de vehículo en la "&amp;Agencia[[#This Row],[territorio]]&amp;", "&amp;Agencia[[#This Row],[temporalidad]]</f>
        <v>Cantidad de permisos de circulación según tipo de vehículo en la Región de Los Lagos, Periodo 2008-2019</v>
      </c>
      <c r="P482" s="20"/>
      <c r="Q482" s="50" t="str">
        <f t="shared" si="603"/>
        <v>Nube de palabras</v>
      </c>
      <c r="R482" s="87" t="str">
        <f>Agencia[[#This Row],[territorio]]&amp;" permiso circulación cantidad número regional tipo vehículo"</f>
        <v>Región de Los Lagos permiso circulación cantidad número regional tipo vehículo</v>
      </c>
      <c r="S482" s="102" t="str">
        <f>HYPERLINK("https://analytics.zoho.com/open-view/2395394000008386951?ZOHO_CRITERIA=%228.1%20Permiso_circulaci%C3%B3n%22.%22Codreg%22%3D"&amp;Agencia[[#This Row],[Filtro URL]])</f>
        <v>https://analytics.zoho.com/open-view/2395394000008386951?ZOHO_CRITERIA=%228.1%20Permiso_circulaci%C3%B3n%22.%22Codreg%22%3D10</v>
      </c>
      <c r="T482" s="68" t="str">
        <f>"100-R-"&amp;Agencia[[#This Row],[Filtro URL]]</f>
        <v>100-R-10</v>
      </c>
      <c r="U482" s="50" t="str">
        <f t="shared" si="604"/>
        <v>#1774B9</v>
      </c>
      <c r="V482" s="118" t="str">
        <f>+Agencia[[#This Row],[idcoleccion]]&amp;"-"&amp;Agencia[[#This Row],[id]]</f>
        <v>990-0471</v>
      </c>
      <c r="W482" s="118">
        <f>+VLOOKUP(Agencia[[#This Row],[Filtro URL]],Estructura!$X$4:$Y$500,2,0)</f>
        <v>99200010</v>
      </c>
      <c r="X482" s="118" t="str">
        <f>+VLOOKUP(Agencia[[#This Row],[tema]],Estructura!$A$4:$C$500,3,0)</f>
        <v>T-1007</v>
      </c>
      <c r="Y482" s="118" t="str">
        <f>+VLOOKUP(Agencia[[#This Row],[contenido]],Estructura!$E$4:$G$500,3,0)</f>
        <v>C-1016</v>
      </c>
      <c r="Z482" s="118" t="str">
        <f>+VLOOKUP(Agencia[[#This Row],[Filtro Integrado]],Estructura!$I$4:$K$500,3,0)</f>
        <v>FI-993</v>
      </c>
      <c r="AA482" s="118" t="str">
        <f>+VLOOKUP(Agencia[[#This Row],[Muestra]],Estructura!$M$4:$O$500,3,0)</f>
        <v>M-1036</v>
      </c>
    </row>
    <row r="483" spans="1:27" ht="57.6" x14ac:dyDescent="0.3">
      <c r="A483" s="21" t="s">
        <v>1050</v>
      </c>
      <c r="B483" s="24">
        <f t="shared" ref="B483:D483" si="648">+B482</f>
        <v>990</v>
      </c>
      <c r="C483" s="25" t="str">
        <f t="shared" si="648"/>
        <v>Agencia Información</v>
      </c>
      <c r="D483" s="25" t="str">
        <f t="shared" si="648"/>
        <v>Transporte y tránsito</v>
      </c>
      <c r="E483" s="19">
        <v>11</v>
      </c>
      <c r="F483" s="18" t="s">
        <v>1468</v>
      </c>
      <c r="G483" s="18" t="s">
        <v>4685</v>
      </c>
      <c r="H483" s="35" t="s">
        <v>16</v>
      </c>
      <c r="I483" s="36" t="s">
        <v>378</v>
      </c>
      <c r="J483" s="9" t="str">
        <f t="shared" ref="J483:N483" si="649">+J482</f>
        <v>Ninguno</v>
      </c>
      <c r="K483" s="9" t="str">
        <f t="shared" si="649"/>
        <v>Permisos de circulación anuales por región</v>
      </c>
      <c r="L483" s="9" t="str">
        <f t="shared" si="649"/>
        <v>Periodo 2008-2019</v>
      </c>
      <c r="M483" s="9" t="str">
        <f t="shared" si="649"/>
        <v>Número de permisos de circulación</v>
      </c>
      <c r="N483" s="9" t="str">
        <f t="shared" si="649"/>
        <v>Instituto Nacional de Estadísticas (INE)</v>
      </c>
      <c r="O483" s="20" t="str">
        <f>"Cantidad de permisos de circulación según tipo de vehículo en la "&amp;Agencia[[#This Row],[territorio]]&amp;", "&amp;Agencia[[#This Row],[temporalidad]]</f>
        <v>Cantidad de permisos de circulación según tipo de vehículo en la Región de Aysén, Periodo 2008-2019</v>
      </c>
      <c r="P483" s="20"/>
      <c r="Q483" s="50" t="str">
        <f t="shared" si="603"/>
        <v>Nube de palabras</v>
      </c>
      <c r="R483" s="87" t="str">
        <f>Agencia[[#This Row],[territorio]]&amp;" permiso circulación cantidad número regional tipo vehículo"</f>
        <v>Región de Aysén permiso circulación cantidad número regional tipo vehículo</v>
      </c>
      <c r="S483" s="102" t="str">
        <f>HYPERLINK("https://analytics.zoho.com/open-view/2395394000008386951?ZOHO_CRITERIA=%228.1%20Permiso_circulaci%C3%B3n%22.%22Codreg%22%3D"&amp;Agencia[[#This Row],[Filtro URL]])</f>
        <v>https://analytics.zoho.com/open-view/2395394000008386951?ZOHO_CRITERIA=%228.1%20Permiso_circulaci%C3%B3n%22.%22Codreg%22%3D11</v>
      </c>
      <c r="T483" s="68" t="str">
        <f>"100-R-"&amp;Agencia[[#This Row],[Filtro URL]]</f>
        <v>100-R-11</v>
      </c>
      <c r="U483" s="50" t="str">
        <f t="shared" si="604"/>
        <v>#1774B9</v>
      </c>
      <c r="V483" s="118" t="str">
        <f>+Agencia[[#This Row],[idcoleccion]]&amp;"-"&amp;Agencia[[#This Row],[id]]</f>
        <v>990-0472</v>
      </c>
      <c r="W483" s="118">
        <f>+VLOOKUP(Agencia[[#This Row],[Filtro URL]],Estructura!$X$4:$Y$500,2,0)</f>
        <v>99200011</v>
      </c>
      <c r="X483" s="118" t="str">
        <f>+VLOOKUP(Agencia[[#This Row],[tema]],Estructura!$A$4:$C$500,3,0)</f>
        <v>T-1007</v>
      </c>
      <c r="Y483" s="118" t="str">
        <f>+VLOOKUP(Agencia[[#This Row],[contenido]],Estructura!$E$4:$G$500,3,0)</f>
        <v>C-1016</v>
      </c>
      <c r="Z483" s="118" t="str">
        <f>+VLOOKUP(Agencia[[#This Row],[Filtro Integrado]],Estructura!$I$4:$K$500,3,0)</f>
        <v>FI-993</v>
      </c>
      <c r="AA483" s="118" t="str">
        <f>+VLOOKUP(Agencia[[#This Row],[Muestra]],Estructura!$M$4:$O$500,3,0)</f>
        <v>M-1036</v>
      </c>
    </row>
    <row r="484" spans="1:27" ht="57.6" x14ac:dyDescent="0.3">
      <c r="A484" s="21" t="s">
        <v>1051</v>
      </c>
      <c r="B484" s="24">
        <f t="shared" ref="B484:D484" si="650">+B483</f>
        <v>990</v>
      </c>
      <c r="C484" s="25" t="str">
        <f t="shared" si="650"/>
        <v>Agencia Información</v>
      </c>
      <c r="D484" s="25" t="str">
        <f t="shared" si="650"/>
        <v>Transporte y tránsito</v>
      </c>
      <c r="E484" s="19">
        <v>12</v>
      </c>
      <c r="F484" s="18" t="s">
        <v>1468</v>
      </c>
      <c r="G484" s="18" t="s">
        <v>4685</v>
      </c>
      <c r="H484" s="35" t="s">
        <v>16</v>
      </c>
      <c r="I484" s="36" t="s">
        <v>379</v>
      </c>
      <c r="J484" s="9" t="str">
        <f t="shared" ref="J484:N484" si="651">+J483</f>
        <v>Ninguno</v>
      </c>
      <c r="K484" s="9" t="str">
        <f t="shared" si="651"/>
        <v>Permisos de circulación anuales por región</v>
      </c>
      <c r="L484" s="9" t="str">
        <f t="shared" si="651"/>
        <v>Periodo 2008-2019</v>
      </c>
      <c r="M484" s="9" t="str">
        <f t="shared" si="651"/>
        <v>Número de permisos de circulación</v>
      </c>
      <c r="N484" s="9" t="str">
        <f t="shared" si="651"/>
        <v>Instituto Nacional de Estadísticas (INE)</v>
      </c>
      <c r="O484" s="20" t="str">
        <f>"Cantidad de permisos de circulación según tipo de vehículo en la "&amp;Agencia[[#This Row],[territorio]]&amp;", "&amp;Agencia[[#This Row],[temporalidad]]</f>
        <v>Cantidad de permisos de circulación según tipo de vehículo en la Región de Magallanes, Periodo 2008-2019</v>
      </c>
      <c r="P484" s="20"/>
      <c r="Q484" s="50" t="str">
        <f t="shared" si="603"/>
        <v>Nube de palabras</v>
      </c>
      <c r="R484" s="87" t="str">
        <f>Agencia[[#This Row],[territorio]]&amp;" permiso circulación cantidad número regional tipo vehículo"</f>
        <v>Región de Magallanes permiso circulación cantidad número regional tipo vehículo</v>
      </c>
      <c r="S484" s="102" t="str">
        <f>HYPERLINK("https://analytics.zoho.com/open-view/2395394000008386951?ZOHO_CRITERIA=%228.1%20Permiso_circulaci%C3%B3n%22.%22Codreg%22%3D"&amp;Agencia[[#This Row],[Filtro URL]])</f>
        <v>https://analytics.zoho.com/open-view/2395394000008386951?ZOHO_CRITERIA=%228.1%20Permiso_circulaci%C3%B3n%22.%22Codreg%22%3D12</v>
      </c>
      <c r="T484" s="68" t="str">
        <f>"100-R-"&amp;Agencia[[#This Row],[Filtro URL]]</f>
        <v>100-R-12</v>
      </c>
      <c r="U484" s="50" t="str">
        <f t="shared" si="604"/>
        <v>#1774B9</v>
      </c>
      <c r="V484" s="118" t="str">
        <f>+Agencia[[#This Row],[idcoleccion]]&amp;"-"&amp;Agencia[[#This Row],[id]]</f>
        <v>990-0473</v>
      </c>
      <c r="W484" s="118">
        <f>+VLOOKUP(Agencia[[#This Row],[Filtro URL]],Estructura!$X$4:$Y$500,2,0)</f>
        <v>99200012</v>
      </c>
      <c r="X484" s="118" t="str">
        <f>+VLOOKUP(Agencia[[#This Row],[tema]],Estructura!$A$4:$C$500,3,0)</f>
        <v>T-1007</v>
      </c>
      <c r="Y484" s="118" t="str">
        <f>+VLOOKUP(Agencia[[#This Row],[contenido]],Estructura!$E$4:$G$500,3,0)</f>
        <v>C-1016</v>
      </c>
      <c r="Z484" s="118" t="str">
        <f>+VLOOKUP(Agencia[[#This Row],[Filtro Integrado]],Estructura!$I$4:$K$500,3,0)</f>
        <v>FI-993</v>
      </c>
      <c r="AA484" s="118" t="str">
        <f>+VLOOKUP(Agencia[[#This Row],[Muestra]],Estructura!$M$4:$O$500,3,0)</f>
        <v>M-1036</v>
      </c>
    </row>
    <row r="485" spans="1:27" ht="57.6" x14ac:dyDescent="0.3">
      <c r="A485" s="21" t="s">
        <v>1052</v>
      </c>
      <c r="B485" s="24">
        <f t="shared" ref="B485:D485" si="652">+B484</f>
        <v>990</v>
      </c>
      <c r="C485" s="25" t="str">
        <f t="shared" si="652"/>
        <v>Agencia Información</v>
      </c>
      <c r="D485" s="25" t="str">
        <f t="shared" si="652"/>
        <v>Transporte y tránsito</v>
      </c>
      <c r="E485" s="19">
        <v>13</v>
      </c>
      <c r="F485" s="18" t="s">
        <v>1468</v>
      </c>
      <c r="G485" s="18" t="s">
        <v>4685</v>
      </c>
      <c r="H485" s="35" t="s">
        <v>16</v>
      </c>
      <c r="I485" s="36" t="s">
        <v>380</v>
      </c>
      <c r="J485" s="9" t="str">
        <f t="shared" ref="J485:N485" si="653">+J484</f>
        <v>Ninguno</v>
      </c>
      <c r="K485" s="9" t="str">
        <f t="shared" si="653"/>
        <v>Permisos de circulación anuales por región</v>
      </c>
      <c r="L485" s="9" t="str">
        <f t="shared" si="653"/>
        <v>Periodo 2008-2019</v>
      </c>
      <c r="M485" s="9" t="str">
        <f t="shared" si="653"/>
        <v>Número de permisos de circulación</v>
      </c>
      <c r="N485" s="9" t="str">
        <f t="shared" si="653"/>
        <v>Instituto Nacional de Estadísticas (INE)</v>
      </c>
      <c r="O485" s="20" t="str">
        <f>"Cantidad de permisos de circulación según tipo de vehículo en la "&amp;Agencia[[#This Row],[territorio]]&amp;", "&amp;Agencia[[#This Row],[temporalidad]]</f>
        <v>Cantidad de permisos de circulación según tipo de vehículo en la Región Metropolitana, Periodo 2008-2019</v>
      </c>
      <c r="P485" s="20"/>
      <c r="Q485" s="50" t="str">
        <f t="shared" si="603"/>
        <v>Nube de palabras</v>
      </c>
      <c r="R485" s="87" t="str">
        <f>Agencia[[#This Row],[territorio]]&amp;" permiso circulación cantidad número regional tipo vehículo"</f>
        <v>Región Metropolitana permiso circulación cantidad número regional tipo vehículo</v>
      </c>
      <c r="S485" s="102" t="str">
        <f>HYPERLINK("https://analytics.zoho.com/open-view/2395394000008386951?ZOHO_CRITERIA=%228.1%20Permiso_circulaci%C3%B3n%22.%22Codreg%22%3D"&amp;Agencia[[#This Row],[Filtro URL]])</f>
        <v>https://analytics.zoho.com/open-view/2395394000008386951?ZOHO_CRITERIA=%228.1%20Permiso_circulaci%C3%B3n%22.%22Codreg%22%3D13</v>
      </c>
      <c r="T485" s="68" t="str">
        <f>"200-R-"&amp;Agencia[[#This Row],[Filtro URL]]</f>
        <v>200-R-13</v>
      </c>
      <c r="U485" s="50" t="str">
        <f t="shared" si="604"/>
        <v>#1774B9</v>
      </c>
      <c r="V485" s="118" t="str">
        <f>+Agencia[[#This Row],[idcoleccion]]&amp;"-"&amp;Agencia[[#This Row],[id]]</f>
        <v>990-0474</v>
      </c>
      <c r="W485" s="118">
        <f>+VLOOKUP(Agencia[[#This Row],[Filtro URL]],Estructura!$X$4:$Y$500,2,0)</f>
        <v>99200013</v>
      </c>
      <c r="X485" s="118" t="str">
        <f>+VLOOKUP(Agencia[[#This Row],[tema]],Estructura!$A$4:$C$500,3,0)</f>
        <v>T-1007</v>
      </c>
      <c r="Y485" s="118" t="str">
        <f>+VLOOKUP(Agencia[[#This Row],[contenido]],Estructura!$E$4:$G$500,3,0)</f>
        <v>C-1016</v>
      </c>
      <c r="Z485" s="118" t="str">
        <f>+VLOOKUP(Agencia[[#This Row],[Filtro Integrado]],Estructura!$I$4:$K$500,3,0)</f>
        <v>FI-993</v>
      </c>
      <c r="AA485" s="118" t="str">
        <f>+VLOOKUP(Agencia[[#This Row],[Muestra]],Estructura!$M$4:$O$500,3,0)</f>
        <v>M-1036</v>
      </c>
    </row>
    <row r="486" spans="1:27" ht="57.6" x14ac:dyDescent="0.3">
      <c r="A486" s="21" t="s">
        <v>1053</v>
      </c>
      <c r="B486" s="24">
        <f t="shared" ref="B486:D486" si="654">+B485</f>
        <v>990</v>
      </c>
      <c r="C486" s="25" t="str">
        <f t="shared" si="654"/>
        <v>Agencia Información</v>
      </c>
      <c r="D486" s="25" t="str">
        <f t="shared" si="654"/>
        <v>Transporte y tránsito</v>
      </c>
      <c r="E486" s="19">
        <v>14</v>
      </c>
      <c r="F486" s="18" t="s">
        <v>1468</v>
      </c>
      <c r="G486" s="18" t="s">
        <v>4685</v>
      </c>
      <c r="H486" s="35" t="s">
        <v>16</v>
      </c>
      <c r="I486" s="36" t="s">
        <v>381</v>
      </c>
      <c r="J486" s="9" t="str">
        <f t="shared" ref="J486:N486" si="655">+J485</f>
        <v>Ninguno</v>
      </c>
      <c r="K486" s="9" t="str">
        <f t="shared" si="655"/>
        <v>Permisos de circulación anuales por región</v>
      </c>
      <c r="L486" s="9" t="str">
        <f t="shared" si="655"/>
        <v>Periodo 2008-2019</v>
      </c>
      <c r="M486" s="9" t="str">
        <f t="shared" si="655"/>
        <v>Número de permisos de circulación</v>
      </c>
      <c r="N486" s="9" t="str">
        <f t="shared" si="655"/>
        <v>Instituto Nacional de Estadísticas (INE)</v>
      </c>
      <c r="O486" s="20" t="str">
        <f>"Cantidad de permisos de circulación según tipo de vehículo en la "&amp;Agencia[[#This Row],[territorio]]&amp;", "&amp;Agencia[[#This Row],[temporalidad]]</f>
        <v>Cantidad de permisos de circulación según tipo de vehículo en la Región de Los Ríos, Periodo 2008-2019</v>
      </c>
      <c r="P486" s="20"/>
      <c r="Q486" s="50" t="str">
        <f t="shared" si="603"/>
        <v>Nube de palabras</v>
      </c>
      <c r="R486" s="87" t="str">
        <f>Agencia[[#This Row],[territorio]]&amp;" permiso circulación cantidad número regional tipo vehículo"</f>
        <v>Región de Los Ríos permiso circulación cantidad número regional tipo vehículo</v>
      </c>
      <c r="S486" s="102" t="str">
        <f>HYPERLINK("https://analytics.zoho.com/open-view/2395394000008386951?ZOHO_CRITERIA=%228.1%20Permiso_circulaci%C3%B3n%22.%22Codreg%22%3D"&amp;Agencia[[#This Row],[Filtro URL]])</f>
        <v>https://analytics.zoho.com/open-view/2395394000008386951?ZOHO_CRITERIA=%228.1%20Permiso_circulaci%C3%B3n%22.%22Codreg%22%3D14</v>
      </c>
      <c r="T486" s="68" t="str">
        <f>"100-R-"&amp;Agencia[[#This Row],[Filtro URL]]</f>
        <v>100-R-14</v>
      </c>
      <c r="U486" s="50" t="str">
        <f t="shared" si="604"/>
        <v>#1774B9</v>
      </c>
      <c r="V486" s="118" t="str">
        <f>+Agencia[[#This Row],[idcoleccion]]&amp;"-"&amp;Agencia[[#This Row],[id]]</f>
        <v>990-0475</v>
      </c>
      <c r="W486" s="118">
        <f>+VLOOKUP(Agencia[[#This Row],[Filtro URL]],Estructura!$X$4:$Y$500,2,0)</f>
        <v>99200014</v>
      </c>
      <c r="X486" s="118" t="str">
        <f>+VLOOKUP(Agencia[[#This Row],[tema]],Estructura!$A$4:$C$500,3,0)</f>
        <v>T-1007</v>
      </c>
      <c r="Y486" s="118" t="str">
        <f>+VLOOKUP(Agencia[[#This Row],[contenido]],Estructura!$E$4:$G$500,3,0)</f>
        <v>C-1016</v>
      </c>
      <c r="Z486" s="118" t="str">
        <f>+VLOOKUP(Agencia[[#This Row],[Filtro Integrado]],Estructura!$I$4:$K$500,3,0)</f>
        <v>FI-993</v>
      </c>
      <c r="AA486" s="118" t="str">
        <f>+VLOOKUP(Agencia[[#This Row],[Muestra]],Estructura!$M$4:$O$500,3,0)</f>
        <v>M-1036</v>
      </c>
    </row>
    <row r="487" spans="1:27" ht="57.6" x14ac:dyDescent="0.3">
      <c r="A487" s="21" t="s">
        <v>1054</v>
      </c>
      <c r="B487" s="24">
        <f t="shared" ref="B487:D487" si="656">+B486</f>
        <v>990</v>
      </c>
      <c r="C487" s="25" t="str">
        <f t="shared" si="656"/>
        <v>Agencia Información</v>
      </c>
      <c r="D487" s="25" t="str">
        <f t="shared" si="656"/>
        <v>Transporte y tránsito</v>
      </c>
      <c r="E487" s="19">
        <v>15</v>
      </c>
      <c r="F487" s="18" t="s">
        <v>1468</v>
      </c>
      <c r="G487" s="18" t="s">
        <v>4685</v>
      </c>
      <c r="H487" s="35" t="s">
        <v>16</v>
      </c>
      <c r="I487" s="36" t="s">
        <v>382</v>
      </c>
      <c r="J487" s="9" t="str">
        <f t="shared" ref="J487:N487" si="657">+J486</f>
        <v>Ninguno</v>
      </c>
      <c r="K487" s="9" t="str">
        <f t="shared" si="657"/>
        <v>Permisos de circulación anuales por región</v>
      </c>
      <c r="L487" s="9" t="str">
        <f t="shared" si="657"/>
        <v>Periodo 2008-2019</v>
      </c>
      <c r="M487" s="9" t="str">
        <f t="shared" si="657"/>
        <v>Número de permisos de circulación</v>
      </c>
      <c r="N487" s="9" t="str">
        <f t="shared" si="657"/>
        <v>Instituto Nacional de Estadísticas (INE)</v>
      </c>
      <c r="O487" s="20" t="str">
        <f>"Cantidad de permisos de circulación según tipo de vehículo en la "&amp;Agencia[[#This Row],[territorio]]&amp;", "&amp;Agencia[[#This Row],[temporalidad]]</f>
        <v>Cantidad de permisos de circulación según tipo de vehículo en la Región de Arica y Parinacota, Periodo 2008-2019</v>
      </c>
      <c r="P487" s="20"/>
      <c r="Q487" s="50" t="str">
        <f t="shared" si="603"/>
        <v>Nube de palabras</v>
      </c>
      <c r="R487" s="87" t="str">
        <f>Agencia[[#This Row],[territorio]]&amp;" permiso circulación cantidad número regional tipo vehículo"</f>
        <v>Región de Arica y Parinacota permiso circulación cantidad número regional tipo vehículo</v>
      </c>
      <c r="S487" s="102" t="str">
        <f>HYPERLINK("https://analytics.zoho.com/open-view/2395394000008386951?ZOHO_CRITERIA=%228.1%20Permiso_circulaci%C3%B3n%22.%22Codreg%22%3D"&amp;Agencia[[#This Row],[Filtro URL]])</f>
        <v>https://analytics.zoho.com/open-view/2395394000008386951?ZOHO_CRITERIA=%228.1%20Permiso_circulaci%C3%B3n%22.%22Codreg%22%3D15</v>
      </c>
      <c r="T487" s="68" t="str">
        <f>"100-R-"&amp;Agencia[[#This Row],[Filtro URL]]</f>
        <v>100-R-15</v>
      </c>
      <c r="U487" s="50" t="str">
        <f t="shared" si="604"/>
        <v>#1774B9</v>
      </c>
      <c r="V487" s="118" t="str">
        <f>+Agencia[[#This Row],[idcoleccion]]&amp;"-"&amp;Agencia[[#This Row],[id]]</f>
        <v>990-0476</v>
      </c>
      <c r="W487" s="118">
        <f>+VLOOKUP(Agencia[[#This Row],[Filtro URL]],Estructura!$X$4:$Y$500,2,0)</f>
        <v>99200015</v>
      </c>
      <c r="X487" s="118" t="str">
        <f>+VLOOKUP(Agencia[[#This Row],[tema]],Estructura!$A$4:$C$500,3,0)</f>
        <v>T-1007</v>
      </c>
      <c r="Y487" s="118" t="str">
        <f>+VLOOKUP(Agencia[[#This Row],[contenido]],Estructura!$E$4:$G$500,3,0)</f>
        <v>C-1016</v>
      </c>
      <c r="Z487" s="118" t="str">
        <f>+VLOOKUP(Agencia[[#This Row],[Filtro Integrado]],Estructura!$I$4:$K$500,3,0)</f>
        <v>FI-993</v>
      </c>
      <c r="AA487" s="118" t="str">
        <f>+VLOOKUP(Agencia[[#This Row],[Muestra]],Estructura!$M$4:$O$500,3,0)</f>
        <v>M-1036</v>
      </c>
    </row>
    <row r="488" spans="1:27" ht="57.6" x14ac:dyDescent="0.3">
      <c r="A488" s="21" t="s">
        <v>1055</v>
      </c>
      <c r="B488" s="24">
        <f t="shared" ref="B488:D488" si="658">+B487</f>
        <v>990</v>
      </c>
      <c r="C488" s="25" t="str">
        <f t="shared" si="658"/>
        <v>Agencia Información</v>
      </c>
      <c r="D488" s="25" t="str">
        <f t="shared" si="658"/>
        <v>Transporte y tránsito</v>
      </c>
      <c r="E488" s="19">
        <v>16</v>
      </c>
      <c r="F488" s="18" t="s">
        <v>1468</v>
      </c>
      <c r="G488" s="18" t="s">
        <v>4685</v>
      </c>
      <c r="H488" s="35" t="s">
        <v>16</v>
      </c>
      <c r="I488" s="36" t="s">
        <v>383</v>
      </c>
      <c r="J488" s="9" t="str">
        <f t="shared" ref="J488:N488" si="659">+J487</f>
        <v>Ninguno</v>
      </c>
      <c r="K488" s="9" t="str">
        <f>+K487</f>
        <v>Permisos de circulación anuales por región</v>
      </c>
      <c r="L488" s="9" t="str">
        <f t="shared" si="659"/>
        <v>Periodo 2008-2019</v>
      </c>
      <c r="M488" s="9" t="str">
        <f t="shared" si="659"/>
        <v>Número de permisos de circulación</v>
      </c>
      <c r="N488" s="9" t="str">
        <f t="shared" si="659"/>
        <v>Instituto Nacional de Estadísticas (INE)</v>
      </c>
      <c r="O488" s="20" t="str">
        <f>"Cantidad de permisos de circulación según tipo de vehículo en la "&amp;Agencia[[#This Row],[territorio]]&amp;", "&amp;Agencia[[#This Row],[temporalidad]]</f>
        <v>Cantidad de permisos de circulación según tipo de vehículo en la Región de Ñuble, Periodo 2008-2019</v>
      </c>
      <c r="P488" s="20"/>
      <c r="Q488" s="50" t="str">
        <f t="shared" si="603"/>
        <v>Nube de palabras</v>
      </c>
      <c r="R488" s="87" t="str">
        <f>Agencia[[#This Row],[territorio]]&amp;" permiso circulación cantidad número regional tipo vehículo"</f>
        <v>Región de Ñuble permiso circulación cantidad número regional tipo vehículo</v>
      </c>
      <c r="S488" s="102" t="str">
        <f>HYPERLINK("https://analytics.zoho.com/open-view/2395394000008386951?ZOHO_CRITERIA=%228.1%20Permiso_circulaci%C3%B3n%22.%22Codreg%22%3D"&amp;Agencia[[#This Row],[Filtro URL]])</f>
        <v>https://analytics.zoho.com/open-view/2395394000008386951?ZOHO_CRITERIA=%228.1%20Permiso_circulaci%C3%B3n%22.%22Codreg%22%3D16</v>
      </c>
      <c r="T488" s="68" t="str">
        <f>"100-R-"&amp;Agencia[[#This Row],[Filtro URL]]</f>
        <v>100-R-16</v>
      </c>
      <c r="U488" s="50" t="str">
        <f t="shared" si="604"/>
        <v>#1774B9</v>
      </c>
      <c r="V488" s="118" t="str">
        <f>+Agencia[[#This Row],[idcoleccion]]&amp;"-"&amp;Agencia[[#This Row],[id]]</f>
        <v>990-0477</v>
      </c>
      <c r="W488" s="118">
        <f>+VLOOKUP(Agencia[[#This Row],[Filtro URL]],Estructura!$X$4:$Y$500,2,0)</f>
        <v>99200016</v>
      </c>
      <c r="X488" s="118" t="str">
        <f>+VLOOKUP(Agencia[[#This Row],[tema]],Estructura!$A$4:$C$500,3,0)</f>
        <v>T-1007</v>
      </c>
      <c r="Y488" s="118" t="str">
        <f>+VLOOKUP(Agencia[[#This Row],[contenido]],Estructura!$E$4:$G$500,3,0)</f>
        <v>C-1016</v>
      </c>
      <c r="Z488" s="118" t="str">
        <f>+VLOOKUP(Agencia[[#This Row],[Filtro Integrado]],Estructura!$I$4:$K$500,3,0)</f>
        <v>FI-993</v>
      </c>
      <c r="AA488" s="118" t="str">
        <f>+VLOOKUP(Agencia[[#This Row],[Muestra]],Estructura!$M$4:$O$500,3,0)</f>
        <v>M-1036</v>
      </c>
    </row>
    <row r="489" spans="1:27" ht="71.400000000000006" x14ac:dyDescent="0.3">
      <c r="A489" s="21" t="s">
        <v>1056</v>
      </c>
      <c r="B489" s="24">
        <f t="shared" ref="B489:C489" si="660">+B488</f>
        <v>990</v>
      </c>
      <c r="C489" s="25" t="str">
        <f t="shared" si="660"/>
        <v>Agencia Información</v>
      </c>
      <c r="D489" s="25" t="s">
        <v>1030</v>
      </c>
      <c r="E489" s="14">
        <v>0</v>
      </c>
      <c r="F489" s="18" t="s">
        <v>1480</v>
      </c>
      <c r="G489" s="18" t="s">
        <v>3768</v>
      </c>
      <c r="H489" s="33" t="s">
        <v>20</v>
      </c>
      <c r="I489" s="34" t="s">
        <v>15</v>
      </c>
      <c r="J489" s="9" t="str">
        <f t="shared" ref="J489" si="661">+J488</f>
        <v>Ninguno</v>
      </c>
      <c r="K489" s="9" t="s">
        <v>1476</v>
      </c>
      <c r="L489" s="9" t="s">
        <v>1474</v>
      </c>
      <c r="M489" s="9" t="s">
        <v>581</v>
      </c>
      <c r="N489" s="9" t="s">
        <v>1473</v>
      </c>
      <c r="O489" s="20" t="str">
        <f>"Emisiones (t) de CO2 por Tipo de Combustible en "&amp;Agencia[[#This Row],[territorio]]&amp;", "&amp;Agencia[[#This Row],[temporalidad]]</f>
        <v>Emisiones (t) de CO2 por Tipo de Combustible en Chile, Periodo 1990-2019</v>
      </c>
      <c r="P489" s="20" t="s">
        <v>1485</v>
      </c>
      <c r="Q489" s="11" t="s">
        <v>821</v>
      </c>
      <c r="R489" s="20" t="str">
        <f>Agencia[[#This Row],[territorio]]&amp;" GEI emisiones CO2 combustibles petróleo carbón gas"</f>
        <v>Chile GEI emisiones CO2 combustibles petróleo carbón gas</v>
      </c>
      <c r="S489" s="39" t="s">
        <v>1475</v>
      </c>
      <c r="T489" s="68">
        <v>0</v>
      </c>
      <c r="U489" s="50" t="str">
        <f t="shared" si="604"/>
        <v>#1774B9</v>
      </c>
      <c r="V489" s="118" t="str">
        <f>+Agencia[[#This Row],[idcoleccion]]&amp;"-"&amp;Agencia[[#This Row],[id]]</f>
        <v>990-0478</v>
      </c>
      <c r="W489" s="118">
        <f>+VLOOKUP(Agencia[[#This Row],[Filtro URL]],Estructura!$X$4:$Y$500,2,0)</f>
        <v>99100000</v>
      </c>
      <c r="X489" s="118" t="str">
        <f>+VLOOKUP(Agencia[[#This Row],[tema]],Estructura!$A$4:$C$500,3,0)</f>
        <v>T-1008</v>
      </c>
      <c r="Y489" s="118" t="str">
        <f>+VLOOKUP(Agencia[[#This Row],[contenido]],Estructura!$E$4:$G$500,3,0)</f>
        <v>C-1004</v>
      </c>
      <c r="Z489" s="118" t="str">
        <f>+VLOOKUP(Agencia[[#This Row],[Filtro Integrado]],Estructura!$I$4:$K$500,3,0)</f>
        <v>FI-993</v>
      </c>
      <c r="AA489" s="118" t="str">
        <f>+VLOOKUP(Agencia[[#This Row],[Muestra]],Estructura!$M$4:$O$500,3,0)</f>
        <v>M-1037</v>
      </c>
    </row>
    <row r="490" spans="1:27" ht="40.799999999999997" x14ac:dyDescent="0.3">
      <c r="A490" s="21" t="s">
        <v>1057</v>
      </c>
      <c r="B490" s="24">
        <f t="shared" ref="B490:C490" si="662">+B489</f>
        <v>990</v>
      </c>
      <c r="C490" s="25" t="str">
        <f t="shared" si="662"/>
        <v>Agencia Información</v>
      </c>
      <c r="D490" s="25" t="s">
        <v>1030</v>
      </c>
      <c r="E490" s="14">
        <v>0</v>
      </c>
      <c r="F490" s="18" t="s">
        <v>1480</v>
      </c>
      <c r="G490" s="18" t="s">
        <v>3768</v>
      </c>
      <c r="H490" s="33" t="s">
        <v>20</v>
      </c>
      <c r="I490" s="34" t="s">
        <v>15</v>
      </c>
      <c r="J490" s="9" t="s">
        <v>404</v>
      </c>
      <c r="K490" s="9" t="s">
        <v>1479</v>
      </c>
      <c r="L490" s="9" t="s">
        <v>1474</v>
      </c>
      <c r="M490" s="9" t="s">
        <v>426</v>
      </c>
      <c r="N490" s="9" t="s">
        <v>1473</v>
      </c>
      <c r="O490" s="20" t="str">
        <f>"Variación Porcentual (%) Anual de Emisiones de CO2 por Quema de Combustible en "&amp;Agencia[[#This Row],[territorio]]&amp;", "&amp;Agencia[[#This Row],[temporalidad]]</f>
        <v>Variación Porcentual (%) Anual de Emisiones de CO2 por Quema de Combustible en Chile, Periodo 1990-2019</v>
      </c>
      <c r="P490" s="20" t="s">
        <v>1478</v>
      </c>
      <c r="Q490" s="11" t="s">
        <v>821</v>
      </c>
      <c r="R490" s="20" t="str">
        <f>Agencia[[#This Row],[territorio]]&amp;" GEI emisiones CO2 variación anual combustibles petróleo gas carbón"</f>
        <v>Chile GEI emisiones CO2 variación anual combustibles petróleo gas carbón</v>
      </c>
      <c r="S490" s="39" t="s">
        <v>1477</v>
      </c>
      <c r="T490" s="68">
        <v>0</v>
      </c>
      <c r="U490" s="50" t="str">
        <f t="shared" si="604"/>
        <v>#1774B9</v>
      </c>
      <c r="V490" s="118" t="str">
        <f>+Agencia[[#This Row],[idcoleccion]]&amp;"-"&amp;Agencia[[#This Row],[id]]</f>
        <v>990-0479</v>
      </c>
      <c r="W490" s="118">
        <f>+VLOOKUP(Agencia[[#This Row],[Filtro URL]],Estructura!$X$4:$Y$500,2,0)</f>
        <v>99100000</v>
      </c>
      <c r="X490" s="118" t="str">
        <f>+VLOOKUP(Agencia[[#This Row],[tema]],Estructura!$A$4:$C$500,3,0)</f>
        <v>T-1008</v>
      </c>
      <c r="Y490" s="118" t="str">
        <f>+VLOOKUP(Agencia[[#This Row],[contenido]],Estructura!$E$4:$G$500,3,0)</f>
        <v>C-1004</v>
      </c>
      <c r="Z490" s="118" t="str">
        <f>+VLOOKUP(Agencia[[#This Row],[Filtro Integrado]],Estructura!$I$4:$K$500,3,0)</f>
        <v>FI-993</v>
      </c>
      <c r="AA490" s="118" t="str">
        <f>+VLOOKUP(Agencia[[#This Row],[Muestra]],Estructura!$M$4:$O$500,3,0)</f>
        <v>M-1038</v>
      </c>
    </row>
    <row r="491" spans="1:27" ht="40.799999999999997" x14ac:dyDescent="0.3">
      <c r="A491" s="21" t="s">
        <v>1083</v>
      </c>
      <c r="B491" s="24">
        <f t="shared" ref="B491:D492" si="663">+B490</f>
        <v>990</v>
      </c>
      <c r="C491" s="25" t="str">
        <f t="shared" si="663"/>
        <v>Agencia Información</v>
      </c>
      <c r="D491" s="25" t="str">
        <f t="shared" si="663"/>
        <v>Medio Ambiente</v>
      </c>
      <c r="E491" s="14">
        <v>0</v>
      </c>
      <c r="F491" s="18" t="s">
        <v>1480</v>
      </c>
      <c r="G491" s="18" t="s">
        <v>3768</v>
      </c>
      <c r="H491" s="33" t="s">
        <v>20</v>
      </c>
      <c r="I491" s="34" t="s">
        <v>15</v>
      </c>
      <c r="J491" s="9" t="s">
        <v>404</v>
      </c>
      <c r="K491" s="9" t="s">
        <v>1483</v>
      </c>
      <c r="L491" s="9" t="s">
        <v>1474</v>
      </c>
      <c r="M491" s="9" t="s">
        <v>581</v>
      </c>
      <c r="N491" s="9" t="s">
        <v>1482</v>
      </c>
      <c r="O491" s="20" t="str">
        <f>+"Emisiones per cápita (t) de CO2 por Quema de Combustible en "&amp;I491&amp;", para el "&amp;Agencia[[#This Row],[temporalidad]]&amp;" y previsión 2020-2025"</f>
        <v>Emisiones per cápita (t) de CO2 por Quema de Combustible en Chile, para el Periodo 1990-2019 y previsión 2020-2025</v>
      </c>
      <c r="P491" s="20" t="s">
        <v>1481</v>
      </c>
      <c r="Q491" s="11" t="s">
        <v>821</v>
      </c>
      <c r="R491" s="20" t="str">
        <f>Agencia[[#This Row],[territorio]]&amp;" GEI emisiones CO2 per cápita combustibles petróleo gas carbón"</f>
        <v>Chile GEI emisiones CO2 per cápita combustibles petróleo gas carbón</v>
      </c>
      <c r="S491" s="39" t="s">
        <v>1484</v>
      </c>
      <c r="T491" s="68">
        <v>0</v>
      </c>
      <c r="U491" s="50" t="str">
        <f t="shared" si="604"/>
        <v>#1774B9</v>
      </c>
      <c r="V491" s="118" t="str">
        <f>+Agencia[[#This Row],[idcoleccion]]&amp;"-"&amp;Agencia[[#This Row],[id]]</f>
        <v>990-0480</v>
      </c>
      <c r="W491" s="118">
        <f>+VLOOKUP(Agencia[[#This Row],[Filtro URL]],Estructura!$X$4:$Y$500,2,0)</f>
        <v>99100000</v>
      </c>
      <c r="X491" s="118" t="str">
        <f>+VLOOKUP(Agencia[[#This Row],[tema]],Estructura!$A$4:$C$500,3,0)</f>
        <v>T-1008</v>
      </c>
      <c r="Y491" s="118" t="str">
        <f>+VLOOKUP(Agencia[[#This Row],[contenido]],Estructura!$E$4:$G$500,3,0)</f>
        <v>C-1004</v>
      </c>
      <c r="Z491" s="118" t="str">
        <f>+VLOOKUP(Agencia[[#This Row],[Filtro Integrado]],Estructura!$I$4:$K$500,3,0)</f>
        <v>FI-993</v>
      </c>
      <c r="AA491" s="118" t="str">
        <f>+VLOOKUP(Agencia[[#This Row],[Muestra]],Estructura!$M$4:$O$500,3,0)</f>
        <v>M-1039</v>
      </c>
    </row>
    <row r="492" spans="1:27" ht="81.599999999999994" x14ac:dyDescent="0.3">
      <c r="A492" s="21" t="s">
        <v>1084</v>
      </c>
      <c r="B492" s="24">
        <f t="shared" ref="B492:C492" si="664">+B491</f>
        <v>990</v>
      </c>
      <c r="C492" s="25" t="str">
        <f t="shared" si="664"/>
        <v>Agencia Información</v>
      </c>
      <c r="D492" s="25" t="str">
        <f t="shared" si="663"/>
        <v>Medio Ambiente</v>
      </c>
      <c r="E492" s="14">
        <v>0</v>
      </c>
      <c r="F492" s="18" t="s">
        <v>1480</v>
      </c>
      <c r="G492" s="18" t="s">
        <v>3768</v>
      </c>
      <c r="H492" s="33" t="s">
        <v>20</v>
      </c>
      <c r="I492" s="34" t="s">
        <v>15</v>
      </c>
      <c r="J492" s="9" t="s">
        <v>404</v>
      </c>
      <c r="K492" s="9" t="s">
        <v>1488</v>
      </c>
      <c r="L492" s="9" t="s">
        <v>1474</v>
      </c>
      <c r="M492" s="9" t="s">
        <v>426</v>
      </c>
      <c r="N492" s="9" t="s">
        <v>1473</v>
      </c>
      <c r="O492" s="20" t="str">
        <f>+"Proporción de CO2 Emitido por Quema de Combustible con respecto al Año Anterior en "&amp;I492&amp;", "&amp;Agencia[[#This Row],[temporalidad]]</f>
        <v>Proporción de CO2 Emitido por Quema de Combustible con respecto al Año Anterior en Chile, Periodo 1990-2019</v>
      </c>
      <c r="P492" s="32" t="s">
        <v>1486</v>
      </c>
      <c r="Q492" s="11" t="s">
        <v>821</v>
      </c>
      <c r="R492" s="20" t="str">
        <f>Agencia[[#This Row],[territorio]]&amp;" GEI emisiones CO2 petróleo gas carbón tendencia proporción"</f>
        <v>Chile GEI emisiones CO2 petróleo gas carbón tendencia proporción</v>
      </c>
      <c r="S492" s="39" t="s">
        <v>1487</v>
      </c>
      <c r="T492" s="68">
        <v>0</v>
      </c>
      <c r="U492" s="50" t="str">
        <f t="shared" si="604"/>
        <v>#1774B9</v>
      </c>
      <c r="V492" s="118" t="str">
        <f>+Agencia[[#This Row],[idcoleccion]]&amp;"-"&amp;Agencia[[#This Row],[id]]</f>
        <v>990-0481</v>
      </c>
      <c r="W492" s="118">
        <f>+VLOOKUP(Agencia[[#This Row],[Filtro URL]],Estructura!$X$4:$Y$500,2,0)</f>
        <v>99100000</v>
      </c>
      <c r="X492" s="118" t="str">
        <f>+VLOOKUP(Agencia[[#This Row],[tema]],Estructura!$A$4:$C$500,3,0)</f>
        <v>T-1008</v>
      </c>
      <c r="Y492" s="118" t="str">
        <f>+VLOOKUP(Agencia[[#This Row],[contenido]],Estructura!$E$4:$G$500,3,0)</f>
        <v>C-1004</v>
      </c>
      <c r="Z492" s="118" t="str">
        <f>+VLOOKUP(Agencia[[#This Row],[Filtro Integrado]],Estructura!$I$4:$K$500,3,0)</f>
        <v>FI-993</v>
      </c>
      <c r="AA492" s="118" t="str">
        <f>+VLOOKUP(Agencia[[#This Row],[Muestra]],Estructura!$M$4:$O$500,3,0)</f>
        <v>M-1040</v>
      </c>
    </row>
    <row r="493" spans="1:27" ht="112.2" x14ac:dyDescent="0.3">
      <c r="A493" s="21" t="s">
        <v>1085</v>
      </c>
      <c r="B493" s="24">
        <f t="shared" ref="B493:C493" si="665">+B492</f>
        <v>990</v>
      </c>
      <c r="C493" s="25" t="str">
        <f t="shared" si="665"/>
        <v>Agencia Información</v>
      </c>
      <c r="D493" s="25" t="s">
        <v>881</v>
      </c>
      <c r="E493" s="14">
        <v>0</v>
      </c>
      <c r="F493" s="18" t="s">
        <v>1492</v>
      </c>
      <c r="G493" s="18" t="s">
        <v>1601</v>
      </c>
      <c r="H493" s="33" t="s">
        <v>20</v>
      </c>
      <c r="I493" s="34" t="s">
        <v>15</v>
      </c>
      <c r="J493" s="9" t="s">
        <v>1493</v>
      </c>
      <c r="K493" s="9" t="s">
        <v>1494</v>
      </c>
      <c r="L493" s="9" t="s">
        <v>1489</v>
      </c>
      <c r="M493" s="9" t="s">
        <v>1490</v>
      </c>
      <c r="N493" s="9" t="s">
        <v>885</v>
      </c>
      <c r="O493" s="20" t="str">
        <f>+"Diferencia porcentual con respecto al año anterior de trabajadores dependientes informados por género, "&amp;Agencia[[#This Row],[temporalidad]]</f>
        <v>Diferencia porcentual con respecto al año anterior de trabajadores dependientes informados por género, Periodo 2005-2019</v>
      </c>
      <c r="P493" s="45" t="s">
        <v>1499</v>
      </c>
      <c r="Q493" s="11" t="s">
        <v>821</v>
      </c>
      <c r="R493" s="20" t="str">
        <f>Agencia[[#This Row],[territorio]]&amp;" trabajadores dependientes informados anual sii hombres mujeres sexo género nacional"</f>
        <v>Chile trabajadores dependientes informados anual sii hombres mujeres sexo género nacional</v>
      </c>
      <c r="S493" s="39" t="s">
        <v>1491</v>
      </c>
      <c r="T493" s="68">
        <v>0</v>
      </c>
      <c r="U493" s="50" t="str">
        <f t="shared" si="604"/>
        <v>#1774B9</v>
      </c>
      <c r="V493" s="118" t="str">
        <f>+Agencia[[#This Row],[idcoleccion]]&amp;"-"&amp;Agencia[[#This Row],[id]]</f>
        <v>990-0482</v>
      </c>
      <c r="W493" s="118">
        <f>+VLOOKUP(Agencia[[#This Row],[Filtro URL]],Estructura!$X$4:$Y$500,2,0)</f>
        <v>99100000</v>
      </c>
      <c r="X493" s="118" t="str">
        <f>+VLOOKUP(Agencia[[#This Row],[tema]],Estructura!$A$4:$C$500,3,0)</f>
        <v>T-1009</v>
      </c>
      <c r="Y493" s="118" t="str">
        <f>+VLOOKUP(Agencia[[#This Row],[contenido]],Estructura!$E$4:$G$500,3,0)</f>
        <v>C-993</v>
      </c>
      <c r="Z493" s="118" t="str">
        <f>+VLOOKUP(Agencia[[#This Row],[Filtro Integrado]],Estructura!$I$4:$K$500,3,0)</f>
        <v>FI-999</v>
      </c>
      <c r="AA493" s="118" t="str">
        <f>+VLOOKUP(Agencia[[#This Row],[Muestra]],Estructura!$M$4:$O$500,3,0)</f>
        <v>M-1041</v>
      </c>
    </row>
    <row r="494" spans="1:27" ht="48" x14ac:dyDescent="0.3">
      <c r="A494" s="21" t="s">
        <v>1086</v>
      </c>
      <c r="B494" s="24">
        <f t="shared" ref="B494:C494" si="666">+B493</f>
        <v>990</v>
      </c>
      <c r="C494" s="25" t="str">
        <f t="shared" si="666"/>
        <v>Agencia Información</v>
      </c>
      <c r="D494" s="25" t="s">
        <v>881</v>
      </c>
      <c r="E494" s="14">
        <v>0</v>
      </c>
      <c r="F494" s="18" t="s">
        <v>1495</v>
      </c>
      <c r="G494" s="18" t="s">
        <v>1601</v>
      </c>
      <c r="H494" s="33" t="s">
        <v>20</v>
      </c>
      <c r="I494" s="34" t="s">
        <v>15</v>
      </c>
      <c r="J494" s="9" t="s">
        <v>16</v>
      </c>
      <c r="K494" s="9" t="s">
        <v>1497</v>
      </c>
      <c r="L494" s="9" t="s">
        <v>1489</v>
      </c>
      <c r="M494" s="9" t="s">
        <v>1490</v>
      </c>
      <c r="N494" s="9" t="s">
        <v>885</v>
      </c>
      <c r="O494" s="20" t="str">
        <f>+"Número de trabajadores informados por tipo de contrato para cada año en "&amp;Agencia[[#This Row],[territorio]]&amp;", "&amp;Agencia[[#This Row],[temporalidad]]</f>
        <v>Número de trabajadores informados por tipo de contrato para cada año en Chile, Periodo 2005-2019</v>
      </c>
      <c r="P494" s="20"/>
      <c r="Q494" s="11" t="s">
        <v>821</v>
      </c>
      <c r="R494" s="20" t="str">
        <f>Agencia[[#This Row],[territorio]]&amp;" regional trabajadores dependientes informados honorarios anual sii"</f>
        <v>Chile regional trabajadores dependientes informados honorarios anual sii</v>
      </c>
      <c r="S494" s="39" t="s">
        <v>1523</v>
      </c>
      <c r="T494" s="68" t="s">
        <v>855</v>
      </c>
      <c r="U494" s="50" t="str">
        <f t="shared" si="604"/>
        <v>#1774B9</v>
      </c>
      <c r="V494" s="118" t="str">
        <f>+Agencia[[#This Row],[idcoleccion]]&amp;"-"&amp;Agencia[[#This Row],[id]]</f>
        <v>990-0483</v>
      </c>
      <c r="W494" s="118">
        <f>+VLOOKUP(Agencia[[#This Row],[Filtro URL]],Estructura!$X$4:$Y$500,2,0)</f>
        <v>99100000</v>
      </c>
      <c r="X494" s="118" t="str">
        <f>+VLOOKUP(Agencia[[#This Row],[tema]],Estructura!$A$4:$C$500,3,0)</f>
        <v>T-1010</v>
      </c>
      <c r="Y494" s="118" t="str">
        <f>+VLOOKUP(Agencia[[#This Row],[contenido]],Estructura!$E$4:$G$500,3,0)</f>
        <v>C-993</v>
      </c>
      <c r="Z494" s="118" t="str">
        <f>+VLOOKUP(Agencia[[#This Row],[Filtro Integrado]],Estructura!$I$4:$K$500,3,0)</f>
        <v>FI-992</v>
      </c>
      <c r="AA494" s="118" t="str">
        <f>+VLOOKUP(Agencia[[#This Row],[Muestra]],Estructura!$M$4:$O$500,3,0)</f>
        <v>M-1042</v>
      </c>
    </row>
    <row r="495" spans="1:27" ht="57.6" x14ac:dyDescent="0.3">
      <c r="A495" s="21" t="s">
        <v>1087</v>
      </c>
      <c r="B495" s="24">
        <f t="shared" ref="B495:D495" si="667">+B494</f>
        <v>990</v>
      </c>
      <c r="C495" s="25" t="str">
        <f t="shared" si="667"/>
        <v>Agencia Información</v>
      </c>
      <c r="D495" s="25" t="str">
        <f t="shared" si="667"/>
        <v>Economía</v>
      </c>
      <c r="E495" s="19">
        <v>1</v>
      </c>
      <c r="F495" s="18" t="s">
        <v>1495</v>
      </c>
      <c r="G495" s="18" t="s">
        <v>1601</v>
      </c>
      <c r="H495" s="35" t="s">
        <v>16</v>
      </c>
      <c r="I495" s="36" t="s">
        <v>368</v>
      </c>
      <c r="J495" s="9" t="s">
        <v>404</v>
      </c>
      <c r="K495" s="9" t="str">
        <f t="shared" ref="K495:N495" si="668">+K494</f>
        <v>Cantidad de Trabajadores informados por región</v>
      </c>
      <c r="L495" s="9" t="str">
        <f t="shared" si="668"/>
        <v>Periodo 2005-2019</v>
      </c>
      <c r="M495" s="9" t="str">
        <f t="shared" si="668"/>
        <v>Personas</v>
      </c>
      <c r="N495" s="9" t="str">
        <f t="shared" si="668"/>
        <v>Servicio de Impuestos Internos (SII)</v>
      </c>
      <c r="O495" s="20" t="str">
        <f>+"Número de trabajadores informados por tipo de contrato para cada año en la "&amp;Agencia[[#This Row],[territorio]]&amp;", "&amp;Agencia[[#This Row],[temporalidad]]</f>
        <v>Número de trabajadores informados por tipo de contrato para cada año en la Región de Tarapacá, Periodo 2005-2019</v>
      </c>
      <c r="P495" s="20"/>
      <c r="Q495" s="11" t="str">
        <f t="shared" si="603"/>
        <v>Gráfico de Evolución</v>
      </c>
      <c r="R495" s="87" t="str">
        <f>Agencia[[#This Row],[territorio]]&amp;" regional trabajadores dependientes informados honorarios anual sii"</f>
        <v>Región de Tarapacá regional trabajadores dependientes informados honorarios anual sii</v>
      </c>
      <c r="S495" s="39" t="str">
        <f>HYPERLINK("https://analytics.zoho.com/open-view/2395394000008038797?ZOHO_CRITERIA=%225.1%20Empresas_Tama%C3%B1o%22.%22Cod_Regi%C3%B3n%22%3D"&amp;Agencia[[#This Row],[Filtro URL]])</f>
        <v>https://analytics.zoho.com/open-view/2395394000008038797?ZOHO_CRITERIA=%225.1%20Empresas_Tama%C3%B1o%22.%22Cod_Regi%C3%B3n%22%3D1</v>
      </c>
      <c r="T495" s="68" t="str">
        <f>"100-R-"&amp;Agencia[[#This Row],[Filtro URL]]</f>
        <v>100-R-1</v>
      </c>
      <c r="U495" s="50" t="str">
        <f t="shared" si="604"/>
        <v>#1774B9</v>
      </c>
      <c r="V495" s="118" t="str">
        <f>+Agencia[[#This Row],[idcoleccion]]&amp;"-"&amp;Agencia[[#This Row],[id]]</f>
        <v>990-0484</v>
      </c>
      <c r="W495" s="118">
        <f>+VLOOKUP(Agencia[[#This Row],[Filtro URL]],Estructura!$X$4:$Y$500,2,0)</f>
        <v>99200001</v>
      </c>
      <c r="X495" s="118" t="str">
        <f>+VLOOKUP(Agencia[[#This Row],[tema]],Estructura!$A$4:$C$500,3,0)</f>
        <v>T-1010</v>
      </c>
      <c r="Y495" s="118" t="str">
        <f>+VLOOKUP(Agencia[[#This Row],[contenido]],Estructura!$E$4:$G$500,3,0)</f>
        <v>C-993</v>
      </c>
      <c r="Z495" s="118" t="str">
        <f>+VLOOKUP(Agencia[[#This Row],[Filtro Integrado]],Estructura!$I$4:$K$500,3,0)</f>
        <v>FI-993</v>
      </c>
      <c r="AA495" s="118" t="str">
        <f>+VLOOKUP(Agencia[[#This Row],[Muestra]],Estructura!$M$4:$O$500,3,0)</f>
        <v>M-1042</v>
      </c>
    </row>
    <row r="496" spans="1:27" ht="57.6" x14ac:dyDescent="0.3">
      <c r="A496" s="21" t="s">
        <v>1088</v>
      </c>
      <c r="B496" s="24">
        <f t="shared" ref="B496:D496" si="669">+B495</f>
        <v>990</v>
      </c>
      <c r="C496" s="25" t="str">
        <f t="shared" si="669"/>
        <v>Agencia Información</v>
      </c>
      <c r="D496" s="25" t="str">
        <f t="shared" si="669"/>
        <v>Economía</v>
      </c>
      <c r="E496" s="19">
        <v>2</v>
      </c>
      <c r="F496" s="18" t="s">
        <v>1495</v>
      </c>
      <c r="G496" s="18" t="s">
        <v>1601</v>
      </c>
      <c r="H496" s="35" t="s">
        <v>16</v>
      </c>
      <c r="I496" s="36" t="s">
        <v>369</v>
      </c>
      <c r="J496" s="9" t="str">
        <f t="shared" ref="J496:N496" si="670">+J495</f>
        <v>Ninguno</v>
      </c>
      <c r="K496" s="9" t="str">
        <f t="shared" si="670"/>
        <v>Cantidad de Trabajadores informados por región</v>
      </c>
      <c r="L496" s="9" t="str">
        <f t="shared" si="670"/>
        <v>Periodo 2005-2019</v>
      </c>
      <c r="M496" s="9" t="str">
        <f t="shared" si="670"/>
        <v>Personas</v>
      </c>
      <c r="N496" s="9" t="str">
        <f t="shared" si="670"/>
        <v>Servicio de Impuestos Internos (SII)</v>
      </c>
      <c r="O496" s="20" t="str">
        <f>+"Número de trabajadores informados por tipo de contrato para cada año en la "&amp;Agencia[[#This Row],[territorio]]&amp;", "&amp;Agencia[[#This Row],[temporalidad]]</f>
        <v>Número de trabajadores informados por tipo de contrato para cada año en la Región de Antofagasta, Periodo 2005-2019</v>
      </c>
      <c r="P496" s="20"/>
      <c r="Q496" s="11" t="str">
        <f t="shared" si="603"/>
        <v>Gráfico de Evolución</v>
      </c>
      <c r="R496" s="87" t="str">
        <f>Agencia[[#This Row],[territorio]]&amp;" regional trabajadores dependientes informados honorarios anual sii"</f>
        <v>Región de Antofagasta regional trabajadores dependientes informados honorarios anual sii</v>
      </c>
      <c r="S496" s="39" t="str">
        <f>HYPERLINK("https://analytics.zoho.com/open-view/2395394000008038797?ZOHO_CRITERIA=%225.1%20Empresas_Tama%C3%B1o%22.%22Cod_Regi%C3%B3n%22%3D"&amp;Agencia[[#This Row],[Filtro URL]])</f>
        <v>https://analytics.zoho.com/open-view/2395394000008038797?ZOHO_CRITERIA=%225.1%20Empresas_Tama%C3%B1o%22.%22Cod_Regi%C3%B3n%22%3D2</v>
      </c>
      <c r="T496" s="68" t="str">
        <f>"100-R-"&amp;Agencia[[#This Row],[Filtro URL]]</f>
        <v>100-R-2</v>
      </c>
      <c r="U496" s="50" t="str">
        <f t="shared" si="604"/>
        <v>#1774B9</v>
      </c>
      <c r="V496" s="118" t="str">
        <f>+Agencia[[#This Row],[idcoleccion]]&amp;"-"&amp;Agencia[[#This Row],[id]]</f>
        <v>990-0485</v>
      </c>
      <c r="W496" s="118">
        <f>+VLOOKUP(Agencia[[#This Row],[Filtro URL]],Estructura!$X$4:$Y$500,2,0)</f>
        <v>99200002</v>
      </c>
      <c r="X496" s="118" t="str">
        <f>+VLOOKUP(Agencia[[#This Row],[tema]],Estructura!$A$4:$C$500,3,0)</f>
        <v>T-1010</v>
      </c>
      <c r="Y496" s="118" t="str">
        <f>+VLOOKUP(Agencia[[#This Row],[contenido]],Estructura!$E$4:$G$500,3,0)</f>
        <v>C-993</v>
      </c>
      <c r="Z496" s="118" t="str">
        <f>+VLOOKUP(Agencia[[#This Row],[Filtro Integrado]],Estructura!$I$4:$K$500,3,0)</f>
        <v>FI-993</v>
      </c>
      <c r="AA496" s="118" t="str">
        <f>+VLOOKUP(Agencia[[#This Row],[Muestra]],Estructura!$M$4:$O$500,3,0)</f>
        <v>M-1042</v>
      </c>
    </row>
    <row r="497" spans="1:27" ht="57.6" x14ac:dyDescent="0.3">
      <c r="A497" s="21" t="s">
        <v>1089</v>
      </c>
      <c r="B497" s="24">
        <f t="shared" ref="B497:D497" si="671">+B496</f>
        <v>990</v>
      </c>
      <c r="C497" s="25" t="str">
        <f t="shared" si="671"/>
        <v>Agencia Información</v>
      </c>
      <c r="D497" s="25" t="str">
        <f t="shared" si="671"/>
        <v>Economía</v>
      </c>
      <c r="E497" s="19">
        <v>3</v>
      </c>
      <c r="F497" s="18" t="s">
        <v>1495</v>
      </c>
      <c r="G497" s="18" t="s">
        <v>1601</v>
      </c>
      <c r="H497" s="35" t="s">
        <v>16</v>
      </c>
      <c r="I497" s="36" t="s">
        <v>370</v>
      </c>
      <c r="J497" s="9" t="str">
        <f t="shared" ref="J497:N497" si="672">+J496</f>
        <v>Ninguno</v>
      </c>
      <c r="K497" s="9" t="str">
        <f t="shared" si="672"/>
        <v>Cantidad de Trabajadores informados por región</v>
      </c>
      <c r="L497" s="9" t="str">
        <f t="shared" si="672"/>
        <v>Periodo 2005-2019</v>
      </c>
      <c r="M497" s="9" t="str">
        <f t="shared" si="672"/>
        <v>Personas</v>
      </c>
      <c r="N497" s="9" t="str">
        <f t="shared" si="672"/>
        <v>Servicio de Impuestos Internos (SII)</v>
      </c>
      <c r="O497" s="20" t="str">
        <f>+"Número de trabajadores informados por tipo de contrato para cada año en la "&amp;Agencia[[#This Row],[territorio]]&amp;", "&amp;Agencia[[#This Row],[temporalidad]]</f>
        <v>Número de trabajadores informados por tipo de contrato para cada año en la Región de Atacama, Periodo 2005-2019</v>
      </c>
      <c r="P497" s="20"/>
      <c r="Q497" s="11" t="str">
        <f t="shared" si="603"/>
        <v>Gráfico de Evolución</v>
      </c>
      <c r="R497" s="87" t="str">
        <f>Agencia[[#This Row],[territorio]]&amp;" regional trabajadores dependientes informados honorarios anual sii"</f>
        <v>Región de Atacama regional trabajadores dependientes informados honorarios anual sii</v>
      </c>
      <c r="S497" s="39" t="str">
        <f>HYPERLINK("https://analytics.zoho.com/open-view/2395394000008038797?ZOHO_CRITERIA=%225.1%20Empresas_Tama%C3%B1o%22.%22Cod_Regi%C3%B3n%22%3D"&amp;Agencia[[#This Row],[Filtro URL]])</f>
        <v>https://analytics.zoho.com/open-view/2395394000008038797?ZOHO_CRITERIA=%225.1%20Empresas_Tama%C3%B1o%22.%22Cod_Regi%C3%B3n%22%3D3</v>
      </c>
      <c r="T497" s="68" t="str">
        <f>"100-R-"&amp;Agencia[[#This Row],[Filtro URL]]</f>
        <v>100-R-3</v>
      </c>
      <c r="U497" s="50" t="str">
        <f t="shared" si="604"/>
        <v>#1774B9</v>
      </c>
      <c r="V497" s="118" t="str">
        <f>+Agencia[[#This Row],[idcoleccion]]&amp;"-"&amp;Agencia[[#This Row],[id]]</f>
        <v>990-0486</v>
      </c>
      <c r="W497" s="118">
        <f>+VLOOKUP(Agencia[[#This Row],[Filtro URL]],Estructura!$X$4:$Y$500,2,0)</f>
        <v>99200003</v>
      </c>
      <c r="X497" s="118" t="str">
        <f>+VLOOKUP(Agencia[[#This Row],[tema]],Estructura!$A$4:$C$500,3,0)</f>
        <v>T-1010</v>
      </c>
      <c r="Y497" s="118" t="str">
        <f>+VLOOKUP(Agencia[[#This Row],[contenido]],Estructura!$E$4:$G$500,3,0)</f>
        <v>C-993</v>
      </c>
      <c r="Z497" s="118" t="str">
        <f>+VLOOKUP(Agencia[[#This Row],[Filtro Integrado]],Estructura!$I$4:$K$500,3,0)</f>
        <v>FI-993</v>
      </c>
      <c r="AA497" s="118" t="str">
        <f>+VLOOKUP(Agencia[[#This Row],[Muestra]],Estructura!$M$4:$O$500,3,0)</f>
        <v>M-1042</v>
      </c>
    </row>
    <row r="498" spans="1:27" ht="57.6" x14ac:dyDescent="0.3">
      <c r="A498" s="21" t="s">
        <v>1090</v>
      </c>
      <c r="B498" s="24">
        <f t="shared" ref="B498:D498" si="673">+B497</f>
        <v>990</v>
      </c>
      <c r="C498" s="25" t="str">
        <f t="shared" si="673"/>
        <v>Agencia Información</v>
      </c>
      <c r="D498" s="25" t="str">
        <f t="shared" si="673"/>
        <v>Economía</v>
      </c>
      <c r="E498" s="19">
        <v>4</v>
      </c>
      <c r="F498" s="18" t="s">
        <v>1495</v>
      </c>
      <c r="G498" s="18" t="s">
        <v>1601</v>
      </c>
      <c r="H498" s="35" t="s">
        <v>16</v>
      </c>
      <c r="I498" s="36" t="s">
        <v>371</v>
      </c>
      <c r="J498" s="9" t="str">
        <f t="shared" ref="J498:N498" si="674">+J497</f>
        <v>Ninguno</v>
      </c>
      <c r="K498" s="9" t="str">
        <f t="shared" si="674"/>
        <v>Cantidad de Trabajadores informados por región</v>
      </c>
      <c r="L498" s="9" t="str">
        <f t="shared" si="674"/>
        <v>Periodo 2005-2019</v>
      </c>
      <c r="M498" s="9" t="str">
        <f t="shared" si="674"/>
        <v>Personas</v>
      </c>
      <c r="N498" s="9" t="str">
        <f t="shared" si="674"/>
        <v>Servicio de Impuestos Internos (SII)</v>
      </c>
      <c r="O498" s="20" t="str">
        <f>+"Número de trabajadores informados por tipo de contrato para cada año en la "&amp;Agencia[[#This Row],[territorio]]&amp;", "&amp;Agencia[[#This Row],[temporalidad]]</f>
        <v>Número de trabajadores informados por tipo de contrato para cada año en la Región de Coquimbo, Periodo 2005-2019</v>
      </c>
      <c r="P498" s="20"/>
      <c r="Q498" s="11" t="str">
        <f t="shared" si="603"/>
        <v>Gráfico de Evolución</v>
      </c>
      <c r="R498" s="87" t="str">
        <f>Agencia[[#This Row],[territorio]]&amp;" regional trabajadores dependientes informados honorarios anual sii"</f>
        <v>Región de Coquimbo regional trabajadores dependientes informados honorarios anual sii</v>
      </c>
      <c r="S498" s="39" t="str">
        <f>HYPERLINK("https://analytics.zoho.com/open-view/2395394000008038797?ZOHO_CRITERIA=%225.1%20Empresas_Tama%C3%B1o%22.%22Cod_Regi%C3%B3n%22%3D"&amp;Agencia[[#This Row],[Filtro URL]])</f>
        <v>https://analytics.zoho.com/open-view/2395394000008038797?ZOHO_CRITERIA=%225.1%20Empresas_Tama%C3%B1o%22.%22Cod_Regi%C3%B3n%22%3D4</v>
      </c>
      <c r="T498" s="68" t="str">
        <f>"100-R-"&amp;Agencia[[#This Row],[Filtro URL]]</f>
        <v>100-R-4</v>
      </c>
      <c r="U498" s="50" t="str">
        <f t="shared" si="604"/>
        <v>#1774B9</v>
      </c>
      <c r="V498" s="118" t="str">
        <f>+Agencia[[#This Row],[idcoleccion]]&amp;"-"&amp;Agencia[[#This Row],[id]]</f>
        <v>990-0487</v>
      </c>
      <c r="W498" s="118">
        <f>+VLOOKUP(Agencia[[#This Row],[Filtro URL]],Estructura!$X$4:$Y$500,2,0)</f>
        <v>99200004</v>
      </c>
      <c r="X498" s="118" t="str">
        <f>+VLOOKUP(Agencia[[#This Row],[tema]],Estructura!$A$4:$C$500,3,0)</f>
        <v>T-1010</v>
      </c>
      <c r="Y498" s="118" t="str">
        <f>+VLOOKUP(Agencia[[#This Row],[contenido]],Estructura!$E$4:$G$500,3,0)</f>
        <v>C-993</v>
      </c>
      <c r="Z498" s="118" t="str">
        <f>+VLOOKUP(Agencia[[#This Row],[Filtro Integrado]],Estructura!$I$4:$K$500,3,0)</f>
        <v>FI-993</v>
      </c>
      <c r="AA498" s="118" t="str">
        <f>+VLOOKUP(Agencia[[#This Row],[Muestra]],Estructura!$M$4:$O$500,3,0)</f>
        <v>M-1042</v>
      </c>
    </row>
    <row r="499" spans="1:27" ht="57.6" x14ac:dyDescent="0.3">
      <c r="A499" s="21" t="s">
        <v>1091</v>
      </c>
      <c r="B499" s="24">
        <f t="shared" ref="B499:D499" si="675">+B498</f>
        <v>990</v>
      </c>
      <c r="C499" s="25" t="str">
        <f t="shared" si="675"/>
        <v>Agencia Información</v>
      </c>
      <c r="D499" s="25" t="str">
        <f t="shared" si="675"/>
        <v>Economía</v>
      </c>
      <c r="E499" s="19">
        <v>5</v>
      </c>
      <c r="F499" s="18" t="s">
        <v>1495</v>
      </c>
      <c r="G499" s="18" t="s">
        <v>1601</v>
      </c>
      <c r="H499" s="35" t="s">
        <v>16</v>
      </c>
      <c r="I499" s="36" t="s">
        <v>372</v>
      </c>
      <c r="J499" s="9" t="str">
        <f t="shared" ref="J499:N499" si="676">+J498</f>
        <v>Ninguno</v>
      </c>
      <c r="K499" s="9" t="str">
        <f t="shared" si="676"/>
        <v>Cantidad de Trabajadores informados por región</v>
      </c>
      <c r="L499" s="9" t="str">
        <f t="shared" si="676"/>
        <v>Periodo 2005-2019</v>
      </c>
      <c r="M499" s="9" t="str">
        <f t="shared" si="676"/>
        <v>Personas</v>
      </c>
      <c r="N499" s="9" t="str">
        <f t="shared" si="676"/>
        <v>Servicio de Impuestos Internos (SII)</v>
      </c>
      <c r="O499" s="20" t="str">
        <f>+"Número de trabajadores informados por tipo de contrato para cada año en la "&amp;Agencia[[#This Row],[territorio]]&amp;", "&amp;Agencia[[#This Row],[temporalidad]]</f>
        <v>Número de trabajadores informados por tipo de contrato para cada año en la Región de Valparaíso, Periodo 2005-2019</v>
      </c>
      <c r="P499" s="20"/>
      <c r="Q499" s="11" t="str">
        <f t="shared" si="603"/>
        <v>Gráfico de Evolución</v>
      </c>
      <c r="R499" s="87" t="str">
        <f>Agencia[[#This Row],[territorio]]&amp;" regional trabajadores dependientes informados honorarios anual sii"</f>
        <v>Región de Valparaíso regional trabajadores dependientes informados honorarios anual sii</v>
      </c>
      <c r="S499" s="39" t="str">
        <f>HYPERLINK("https://analytics.zoho.com/open-view/2395394000008038797?ZOHO_CRITERIA=%225.1%20Empresas_Tama%C3%B1o%22.%22Cod_Regi%C3%B3n%22%3D"&amp;Agencia[[#This Row],[Filtro URL]])</f>
        <v>https://analytics.zoho.com/open-view/2395394000008038797?ZOHO_CRITERIA=%225.1%20Empresas_Tama%C3%B1o%22.%22Cod_Regi%C3%B3n%22%3D5</v>
      </c>
      <c r="T499" s="68" t="str">
        <f>"100-R-"&amp;Agencia[[#This Row],[Filtro URL]]</f>
        <v>100-R-5</v>
      </c>
      <c r="U499" s="50" t="str">
        <f t="shared" si="604"/>
        <v>#1774B9</v>
      </c>
      <c r="V499" s="118" t="str">
        <f>+Agencia[[#This Row],[idcoleccion]]&amp;"-"&amp;Agencia[[#This Row],[id]]</f>
        <v>990-0488</v>
      </c>
      <c r="W499" s="118">
        <f>+VLOOKUP(Agencia[[#This Row],[Filtro URL]],Estructura!$X$4:$Y$500,2,0)</f>
        <v>99200005</v>
      </c>
      <c r="X499" s="118" t="str">
        <f>+VLOOKUP(Agencia[[#This Row],[tema]],Estructura!$A$4:$C$500,3,0)</f>
        <v>T-1010</v>
      </c>
      <c r="Y499" s="118" t="str">
        <f>+VLOOKUP(Agencia[[#This Row],[contenido]],Estructura!$E$4:$G$500,3,0)</f>
        <v>C-993</v>
      </c>
      <c r="Z499" s="118" t="str">
        <f>+VLOOKUP(Agencia[[#This Row],[Filtro Integrado]],Estructura!$I$4:$K$500,3,0)</f>
        <v>FI-993</v>
      </c>
      <c r="AA499" s="118" t="str">
        <f>+VLOOKUP(Agencia[[#This Row],[Muestra]],Estructura!$M$4:$O$500,3,0)</f>
        <v>M-1042</v>
      </c>
    </row>
    <row r="500" spans="1:27" ht="57.6" x14ac:dyDescent="0.3">
      <c r="A500" s="21" t="s">
        <v>1092</v>
      </c>
      <c r="B500" s="24">
        <f t="shared" ref="B500:D500" si="677">+B499</f>
        <v>990</v>
      </c>
      <c r="C500" s="25" t="str">
        <f t="shared" si="677"/>
        <v>Agencia Información</v>
      </c>
      <c r="D500" s="25" t="str">
        <f t="shared" si="677"/>
        <v>Economía</v>
      </c>
      <c r="E500" s="19">
        <v>6</v>
      </c>
      <c r="F500" s="18" t="s">
        <v>1495</v>
      </c>
      <c r="G500" s="18" t="s">
        <v>1601</v>
      </c>
      <c r="H500" s="35" t="s">
        <v>16</v>
      </c>
      <c r="I500" s="36" t="s">
        <v>373</v>
      </c>
      <c r="J500" s="9" t="str">
        <f t="shared" ref="J500:N500" si="678">+J499</f>
        <v>Ninguno</v>
      </c>
      <c r="K500" s="9" t="str">
        <f t="shared" si="678"/>
        <v>Cantidad de Trabajadores informados por región</v>
      </c>
      <c r="L500" s="9" t="str">
        <f t="shared" si="678"/>
        <v>Periodo 2005-2019</v>
      </c>
      <c r="M500" s="9" t="str">
        <f t="shared" si="678"/>
        <v>Personas</v>
      </c>
      <c r="N500" s="9" t="str">
        <f t="shared" si="678"/>
        <v>Servicio de Impuestos Internos (SII)</v>
      </c>
      <c r="O500" s="20" t="str">
        <f>+"Número de trabajadores informados por tipo de contrato para cada año en la "&amp;Agencia[[#This Row],[territorio]]&amp;", "&amp;Agencia[[#This Row],[temporalidad]]</f>
        <v>Número de trabajadores informados por tipo de contrato para cada año en la Región de O'Higgins, Periodo 2005-2019</v>
      </c>
      <c r="P500" s="20"/>
      <c r="Q500" s="11" t="str">
        <f t="shared" si="603"/>
        <v>Gráfico de Evolución</v>
      </c>
      <c r="R500" s="87" t="str">
        <f>Agencia[[#This Row],[territorio]]&amp;" regional trabajadores dependientes informados honorarios anual sii"</f>
        <v>Región de O'Higgins regional trabajadores dependientes informados honorarios anual sii</v>
      </c>
      <c r="S500" s="39" t="str">
        <f>HYPERLINK("https://analytics.zoho.com/open-view/2395394000008038797?ZOHO_CRITERIA=%225.1%20Empresas_Tama%C3%B1o%22.%22Cod_Regi%C3%B3n%22%3D"&amp;Agencia[[#This Row],[Filtro URL]])</f>
        <v>https://analytics.zoho.com/open-view/2395394000008038797?ZOHO_CRITERIA=%225.1%20Empresas_Tama%C3%B1o%22.%22Cod_Regi%C3%B3n%22%3D6</v>
      </c>
      <c r="T500" s="68" t="str">
        <f>"100-R-"&amp;Agencia[[#This Row],[Filtro URL]]</f>
        <v>100-R-6</v>
      </c>
      <c r="U500" s="50" t="str">
        <f t="shared" si="604"/>
        <v>#1774B9</v>
      </c>
      <c r="V500" s="118" t="str">
        <f>+Agencia[[#This Row],[idcoleccion]]&amp;"-"&amp;Agencia[[#This Row],[id]]</f>
        <v>990-0489</v>
      </c>
      <c r="W500" s="118">
        <f>+VLOOKUP(Agencia[[#This Row],[Filtro URL]],Estructura!$X$4:$Y$500,2,0)</f>
        <v>99200006</v>
      </c>
      <c r="X500" s="118" t="str">
        <f>+VLOOKUP(Agencia[[#This Row],[tema]],Estructura!$A$4:$C$500,3,0)</f>
        <v>T-1010</v>
      </c>
      <c r="Y500" s="118" t="str">
        <f>+VLOOKUP(Agencia[[#This Row],[contenido]],Estructura!$E$4:$G$500,3,0)</f>
        <v>C-993</v>
      </c>
      <c r="Z500" s="118" t="str">
        <f>+VLOOKUP(Agencia[[#This Row],[Filtro Integrado]],Estructura!$I$4:$K$500,3,0)</f>
        <v>FI-993</v>
      </c>
      <c r="AA500" s="118" t="str">
        <f>+VLOOKUP(Agencia[[#This Row],[Muestra]],Estructura!$M$4:$O$500,3,0)</f>
        <v>M-1042</v>
      </c>
    </row>
    <row r="501" spans="1:27" ht="57.6" x14ac:dyDescent="0.3">
      <c r="A501" s="21" t="s">
        <v>1093</v>
      </c>
      <c r="B501" s="24">
        <f t="shared" ref="B501:D501" si="679">+B500</f>
        <v>990</v>
      </c>
      <c r="C501" s="25" t="str">
        <f t="shared" si="679"/>
        <v>Agencia Información</v>
      </c>
      <c r="D501" s="25" t="str">
        <f t="shared" si="679"/>
        <v>Economía</v>
      </c>
      <c r="E501" s="19">
        <v>7</v>
      </c>
      <c r="F501" s="18" t="s">
        <v>1495</v>
      </c>
      <c r="G501" s="18" t="s">
        <v>1601</v>
      </c>
      <c r="H501" s="35" t="s">
        <v>16</v>
      </c>
      <c r="I501" s="36" t="s">
        <v>374</v>
      </c>
      <c r="J501" s="9" t="str">
        <f t="shared" ref="J501:N501" si="680">+J500</f>
        <v>Ninguno</v>
      </c>
      <c r="K501" s="9" t="str">
        <f t="shared" si="680"/>
        <v>Cantidad de Trabajadores informados por región</v>
      </c>
      <c r="L501" s="9" t="str">
        <f t="shared" si="680"/>
        <v>Periodo 2005-2019</v>
      </c>
      <c r="M501" s="9" t="str">
        <f t="shared" si="680"/>
        <v>Personas</v>
      </c>
      <c r="N501" s="9" t="str">
        <f t="shared" si="680"/>
        <v>Servicio de Impuestos Internos (SII)</v>
      </c>
      <c r="O501" s="20" t="str">
        <f>+"Número de trabajadores informados por tipo de contrato para cada año en la "&amp;Agencia[[#This Row],[territorio]]&amp;", "&amp;Agencia[[#This Row],[temporalidad]]</f>
        <v>Número de trabajadores informados por tipo de contrato para cada año en la Región de Maule, Periodo 2005-2019</v>
      </c>
      <c r="P501" s="20"/>
      <c r="Q501" s="11" t="str">
        <f t="shared" si="603"/>
        <v>Gráfico de Evolución</v>
      </c>
      <c r="R501" s="87" t="str">
        <f>Agencia[[#This Row],[territorio]]&amp;" regional trabajadores dependientes informados honorarios anual sii"</f>
        <v>Región de Maule regional trabajadores dependientes informados honorarios anual sii</v>
      </c>
      <c r="S501" s="39" t="str">
        <f>HYPERLINK("https://analytics.zoho.com/open-view/2395394000008038797?ZOHO_CRITERIA=%225.1%20Empresas_Tama%C3%B1o%22.%22Cod_Regi%C3%B3n%22%3D"&amp;Agencia[[#This Row],[Filtro URL]])</f>
        <v>https://analytics.zoho.com/open-view/2395394000008038797?ZOHO_CRITERIA=%225.1%20Empresas_Tama%C3%B1o%22.%22Cod_Regi%C3%B3n%22%3D7</v>
      </c>
      <c r="T501" s="68" t="str">
        <f>"100-R-"&amp;Agencia[[#This Row],[Filtro URL]]</f>
        <v>100-R-7</v>
      </c>
      <c r="U501" s="50" t="str">
        <f t="shared" si="604"/>
        <v>#1774B9</v>
      </c>
      <c r="V501" s="118" t="str">
        <f>+Agencia[[#This Row],[idcoleccion]]&amp;"-"&amp;Agencia[[#This Row],[id]]</f>
        <v>990-0490</v>
      </c>
      <c r="W501" s="118">
        <f>+VLOOKUP(Agencia[[#This Row],[Filtro URL]],Estructura!$X$4:$Y$500,2,0)</f>
        <v>99200007</v>
      </c>
      <c r="X501" s="118" t="str">
        <f>+VLOOKUP(Agencia[[#This Row],[tema]],Estructura!$A$4:$C$500,3,0)</f>
        <v>T-1010</v>
      </c>
      <c r="Y501" s="118" t="str">
        <f>+VLOOKUP(Agencia[[#This Row],[contenido]],Estructura!$E$4:$G$500,3,0)</f>
        <v>C-993</v>
      </c>
      <c r="Z501" s="118" t="str">
        <f>+VLOOKUP(Agencia[[#This Row],[Filtro Integrado]],Estructura!$I$4:$K$500,3,0)</f>
        <v>FI-993</v>
      </c>
      <c r="AA501" s="118" t="str">
        <f>+VLOOKUP(Agencia[[#This Row],[Muestra]],Estructura!$M$4:$O$500,3,0)</f>
        <v>M-1042</v>
      </c>
    </row>
    <row r="502" spans="1:27" ht="61.2" x14ac:dyDescent="0.3">
      <c r="A502" s="21" t="s">
        <v>1094</v>
      </c>
      <c r="B502" s="24">
        <f t="shared" ref="B502:D502" si="681">+B501</f>
        <v>990</v>
      </c>
      <c r="C502" s="25" t="str">
        <f t="shared" si="681"/>
        <v>Agencia Información</v>
      </c>
      <c r="D502" s="25" t="str">
        <f t="shared" si="681"/>
        <v>Economía</v>
      </c>
      <c r="E502" s="19">
        <v>8</v>
      </c>
      <c r="F502" s="18" t="s">
        <v>1495</v>
      </c>
      <c r="G502" s="18" t="s">
        <v>1601</v>
      </c>
      <c r="H502" s="35" t="s">
        <v>16</v>
      </c>
      <c r="I502" s="36" t="s">
        <v>375</v>
      </c>
      <c r="J502" s="9" t="str">
        <f t="shared" ref="J502:N502" si="682">+J501</f>
        <v>Ninguno</v>
      </c>
      <c r="K502" s="9" t="str">
        <f t="shared" si="682"/>
        <v>Cantidad de Trabajadores informados por región</v>
      </c>
      <c r="L502" s="9" t="str">
        <f t="shared" si="682"/>
        <v>Periodo 2005-2019</v>
      </c>
      <c r="M502" s="9" t="str">
        <f t="shared" si="682"/>
        <v>Personas</v>
      </c>
      <c r="N502" s="9" t="str">
        <f t="shared" si="682"/>
        <v>Servicio de Impuestos Internos (SII)</v>
      </c>
      <c r="O502" s="20" t="str">
        <f>+"Número de trabajadores informados por tipo de contrato para cada año en la "&amp;Agencia[[#This Row],[territorio]]&amp;", "&amp;Agencia[[#This Row],[temporalidad]]</f>
        <v>Número de trabajadores informados por tipo de contrato para cada año en la Región del Biobío, Periodo 2005-2019</v>
      </c>
      <c r="P502" s="20" t="s">
        <v>1496</v>
      </c>
      <c r="Q502" s="11" t="str">
        <f t="shared" si="603"/>
        <v>Gráfico de Evolución</v>
      </c>
      <c r="R502" s="87" t="str">
        <f>Agencia[[#This Row],[territorio]]&amp;" regional trabajadores dependientes informados honorarios anual sii"</f>
        <v>Región del Biobío regional trabajadores dependientes informados honorarios anual sii</v>
      </c>
      <c r="S502" s="39" t="str">
        <f>HYPERLINK("https://analytics.zoho.com/open-view/2395394000008038797?ZOHO_CRITERIA=%225.1%20Empresas_Tama%C3%B1o%22.%22Cod_Regi%C3%B3n%22%3D"&amp;Agencia[[#This Row],[Filtro URL]])</f>
        <v>https://analytics.zoho.com/open-view/2395394000008038797?ZOHO_CRITERIA=%225.1%20Empresas_Tama%C3%B1o%22.%22Cod_Regi%C3%B3n%22%3D8</v>
      </c>
      <c r="T502" s="68" t="str">
        <f>"100-R-"&amp;Agencia[[#This Row],[Filtro URL]]</f>
        <v>100-R-8</v>
      </c>
      <c r="U502" s="50" t="str">
        <f t="shared" si="604"/>
        <v>#1774B9</v>
      </c>
      <c r="V502" s="118" t="str">
        <f>+Agencia[[#This Row],[idcoleccion]]&amp;"-"&amp;Agencia[[#This Row],[id]]</f>
        <v>990-0491</v>
      </c>
      <c r="W502" s="118">
        <f>+VLOOKUP(Agencia[[#This Row],[Filtro URL]],Estructura!$X$4:$Y$500,2,0)</f>
        <v>99200008</v>
      </c>
      <c r="X502" s="118" t="str">
        <f>+VLOOKUP(Agencia[[#This Row],[tema]],Estructura!$A$4:$C$500,3,0)</f>
        <v>T-1010</v>
      </c>
      <c r="Y502" s="118" t="str">
        <f>+VLOOKUP(Agencia[[#This Row],[contenido]],Estructura!$E$4:$G$500,3,0)</f>
        <v>C-993</v>
      </c>
      <c r="Z502" s="118" t="str">
        <f>+VLOOKUP(Agencia[[#This Row],[Filtro Integrado]],Estructura!$I$4:$K$500,3,0)</f>
        <v>FI-993</v>
      </c>
      <c r="AA502" s="118" t="str">
        <f>+VLOOKUP(Agencia[[#This Row],[Muestra]],Estructura!$M$4:$O$500,3,0)</f>
        <v>M-1042</v>
      </c>
    </row>
    <row r="503" spans="1:27" ht="57.6" x14ac:dyDescent="0.3">
      <c r="A503" s="21" t="s">
        <v>1095</v>
      </c>
      <c r="B503" s="24">
        <f t="shared" ref="B503:D503" si="683">+B502</f>
        <v>990</v>
      </c>
      <c r="C503" s="25" t="str">
        <f t="shared" si="683"/>
        <v>Agencia Información</v>
      </c>
      <c r="D503" s="25" t="str">
        <f t="shared" si="683"/>
        <v>Economía</v>
      </c>
      <c r="E503" s="19">
        <v>9</v>
      </c>
      <c r="F503" s="18" t="s">
        <v>1495</v>
      </c>
      <c r="G503" s="18" t="s">
        <v>1601</v>
      </c>
      <c r="H503" s="35" t="s">
        <v>16</v>
      </c>
      <c r="I503" s="36" t="s">
        <v>376</v>
      </c>
      <c r="J503" s="9" t="str">
        <f t="shared" ref="J503:N503" si="684">+J502</f>
        <v>Ninguno</v>
      </c>
      <c r="K503" s="9" t="str">
        <f t="shared" si="684"/>
        <v>Cantidad de Trabajadores informados por región</v>
      </c>
      <c r="L503" s="9" t="str">
        <f t="shared" si="684"/>
        <v>Periodo 2005-2019</v>
      </c>
      <c r="M503" s="9" t="str">
        <f t="shared" si="684"/>
        <v>Personas</v>
      </c>
      <c r="N503" s="9" t="str">
        <f t="shared" si="684"/>
        <v>Servicio de Impuestos Internos (SII)</v>
      </c>
      <c r="O503" s="20" t="str">
        <f>+"Número de trabajadores informados por tipo de contrato para cada año en la "&amp;Agencia[[#This Row],[territorio]]&amp;", "&amp;Agencia[[#This Row],[temporalidad]]</f>
        <v>Número de trabajadores informados por tipo de contrato para cada año en la Región de La Araucanía, Periodo 2005-2019</v>
      </c>
      <c r="P503" s="20"/>
      <c r="Q503" s="11" t="str">
        <f t="shared" si="603"/>
        <v>Gráfico de Evolución</v>
      </c>
      <c r="R503" s="87" t="str">
        <f>Agencia[[#This Row],[territorio]]&amp;" regional trabajadores dependientes informados honorarios anual sii"</f>
        <v>Región de La Araucanía regional trabajadores dependientes informados honorarios anual sii</v>
      </c>
      <c r="S503" s="39" t="str">
        <f>HYPERLINK("https://analytics.zoho.com/open-view/2395394000008038797?ZOHO_CRITERIA=%225.1%20Empresas_Tama%C3%B1o%22.%22Cod_Regi%C3%B3n%22%3D"&amp;Agencia[[#This Row],[Filtro URL]])</f>
        <v>https://analytics.zoho.com/open-view/2395394000008038797?ZOHO_CRITERIA=%225.1%20Empresas_Tama%C3%B1o%22.%22Cod_Regi%C3%B3n%22%3D9</v>
      </c>
      <c r="T503" s="68" t="str">
        <f>"100-R-"&amp;Agencia[[#This Row],[Filtro URL]]</f>
        <v>100-R-9</v>
      </c>
      <c r="U503" s="50" t="str">
        <f t="shared" si="604"/>
        <v>#1774B9</v>
      </c>
      <c r="V503" s="118" t="str">
        <f>+Agencia[[#This Row],[idcoleccion]]&amp;"-"&amp;Agencia[[#This Row],[id]]</f>
        <v>990-0492</v>
      </c>
      <c r="W503" s="118">
        <f>+VLOOKUP(Agencia[[#This Row],[Filtro URL]],Estructura!$X$4:$Y$500,2,0)</f>
        <v>99200009</v>
      </c>
      <c r="X503" s="118" t="str">
        <f>+VLOOKUP(Agencia[[#This Row],[tema]],Estructura!$A$4:$C$500,3,0)</f>
        <v>T-1010</v>
      </c>
      <c r="Y503" s="118" t="str">
        <f>+VLOOKUP(Agencia[[#This Row],[contenido]],Estructura!$E$4:$G$500,3,0)</f>
        <v>C-993</v>
      </c>
      <c r="Z503" s="118" t="str">
        <f>+VLOOKUP(Agencia[[#This Row],[Filtro Integrado]],Estructura!$I$4:$K$500,3,0)</f>
        <v>FI-993</v>
      </c>
      <c r="AA503" s="118" t="str">
        <f>+VLOOKUP(Agencia[[#This Row],[Muestra]],Estructura!$M$4:$O$500,3,0)</f>
        <v>M-1042</v>
      </c>
    </row>
    <row r="504" spans="1:27" ht="57.6" x14ac:dyDescent="0.3">
      <c r="A504" s="21" t="s">
        <v>1096</v>
      </c>
      <c r="B504" s="24">
        <f t="shared" ref="B504:D504" si="685">+B503</f>
        <v>990</v>
      </c>
      <c r="C504" s="25" t="str">
        <f t="shared" si="685"/>
        <v>Agencia Información</v>
      </c>
      <c r="D504" s="25" t="str">
        <f t="shared" si="685"/>
        <v>Economía</v>
      </c>
      <c r="E504" s="19">
        <v>10</v>
      </c>
      <c r="F504" s="18" t="s">
        <v>1495</v>
      </c>
      <c r="G504" s="18" t="s">
        <v>1601</v>
      </c>
      <c r="H504" s="35" t="s">
        <v>16</v>
      </c>
      <c r="I504" s="36" t="s">
        <v>377</v>
      </c>
      <c r="J504" s="9" t="str">
        <f t="shared" ref="J504:N504" si="686">+J503</f>
        <v>Ninguno</v>
      </c>
      <c r="K504" s="9" t="str">
        <f t="shared" si="686"/>
        <v>Cantidad de Trabajadores informados por región</v>
      </c>
      <c r="L504" s="9" t="str">
        <f t="shared" si="686"/>
        <v>Periodo 2005-2019</v>
      </c>
      <c r="M504" s="9" t="str">
        <f t="shared" si="686"/>
        <v>Personas</v>
      </c>
      <c r="N504" s="9" t="str">
        <f t="shared" si="686"/>
        <v>Servicio de Impuestos Internos (SII)</v>
      </c>
      <c r="O504" s="20" t="str">
        <f>+"Número de trabajadores informados por tipo de contrato para cada año en la "&amp;Agencia[[#This Row],[territorio]]&amp;", "&amp;Agencia[[#This Row],[temporalidad]]</f>
        <v>Número de trabajadores informados por tipo de contrato para cada año en la Región de Los Lagos, Periodo 2005-2019</v>
      </c>
      <c r="P504" s="20"/>
      <c r="Q504" s="11" t="str">
        <f t="shared" si="603"/>
        <v>Gráfico de Evolución</v>
      </c>
      <c r="R504" s="87" t="str">
        <f>Agencia[[#This Row],[territorio]]&amp;" regional trabajadores dependientes informados honorarios anual sii"</f>
        <v>Región de Los Lagos regional trabajadores dependientes informados honorarios anual sii</v>
      </c>
      <c r="S504" s="39" t="str">
        <f>HYPERLINK("https://analytics.zoho.com/open-view/2395394000008038797?ZOHO_CRITERIA=%225.1%20Empresas_Tama%C3%B1o%22.%22Cod_Regi%C3%B3n%22%3D"&amp;Agencia[[#This Row],[Filtro URL]])</f>
        <v>https://analytics.zoho.com/open-view/2395394000008038797?ZOHO_CRITERIA=%225.1%20Empresas_Tama%C3%B1o%22.%22Cod_Regi%C3%B3n%22%3D10</v>
      </c>
      <c r="T504" s="68" t="str">
        <f>"100-R-"&amp;Agencia[[#This Row],[Filtro URL]]</f>
        <v>100-R-10</v>
      </c>
      <c r="U504" s="50" t="str">
        <f t="shared" si="604"/>
        <v>#1774B9</v>
      </c>
      <c r="V504" s="118" t="str">
        <f>+Agencia[[#This Row],[idcoleccion]]&amp;"-"&amp;Agencia[[#This Row],[id]]</f>
        <v>990-0493</v>
      </c>
      <c r="W504" s="118">
        <f>+VLOOKUP(Agencia[[#This Row],[Filtro URL]],Estructura!$X$4:$Y$500,2,0)</f>
        <v>99200010</v>
      </c>
      <c r="X504" s="118" t="str">
        <f>+VLOOKUP(Agencia[[#This Row],[tema]],Estructura!$A$4:$C$500,3,0)</f>
        <v>T-1010</v>
      </c>
      <c r="Y504" s="118" t="str">
        <f>+VLOOKUP(Agencia[[#This Row],[contenido]],Estructura!$E$4:$G$500,3,0)</f>
        <v>C-993</v>
      </c>
      <c r="Z504" s="118" t="str">
        <f>+VLOOKUP(Agencia[[#This Row],[Filtro Integrado]],Estructura!$I$4:$K$500,3,0)</f>
        <v>FI-993</v>
      </c>
      <c r="AA504" s="118" t="str">
        <f>+VLOOKUP(Agencia[[#This Row],[Muestra]],Estructura!$M$4:$O$500,3,0)</f>
        <v>M-1042</v>
      </c>
    </row>
    <row r="505" spans="1:27" ht="57.6" x14ac:dyDescent="0.3">
      <c r="A505" s="21" t="s">
        <v>1097</v>
      </c>
      <c r="B505" s="24">
        <f t="shared" ref="B505:D505" si="687">+B504</f>
        <v>990</v>
      </c>
      <c r="C505" s="25" t="str">
        <f t="shared" si="687"/>
        <v>Agencia Información</v>
      </c>
      <c r="D505" s="25" t="str">
        <f t="shared" si="687"/>
        <v>Economía</v>
      </c>
      <c r="E505" s="19">
        <v>11</v>
      </c>
      <c r="F505" s="18" t="s">
        <v>1495</v>
      </c>
      <c r="G505" s="18" t="s">
        <v>1601</v>
      </c>
      <c r="H505" s="35" t="s">
        <v>16</v>
      </c>
      <c r="I505" s="36" t="s">
        <v>378</v>
      </c>
      <c r="J505" s="9" t="str">
        <f t="shared" ref="J505:N505" si="688">+J504</f>
        <v>Ninguno</v>
      </c>
      <c r="K505" s="9" t="str">
        <f t="shared" si="688"/>
        <v>Cantidad de Trabajadores informados por región</v>
      </c>
      <c r="L505" s="9" t="str">
        <f t="shared" si="688"/>
        <v>Periodo 2005-2019</v>
      </c>
      <c r="M505" s="9" t="str">
        <f t="shared" si="688"/>
        <v>Personas</v>
      </c>
      <c r="N505" s="9" t="str">
        <f t="shared" si="688"/>
        <v>Servicio de Impuestos Internos (SII)</v>
      </c>
      <c r="O505" s="20" t="str">
        <f>+"Número de trabajadores informados por tipo de contrato para cada año en la "&amp;Agencia[[#This Row],[territorio]]&amp;", "&amp;Agencia[[#This Row],[temporalidad]]</f>
        <v>Número de trabajadores informados por tipo de contrato para cada año en la Región de Aysén, Periodo 2005-2019</v>
      </c>
      <c r="P505" s="20"/>
      <c r="Q505" s="11" t="str">
        <f t="shared" si="603"/>
        <v>Gráfico de Evolución</v>
      </c>
      <c r="R505" s="87" t="str">
        <f>Agencia[[#This Row],[territorio]]&amp;" regional trabajadores dependientes informados honorarios anual sii"</f>
        <v>Región de Aysén regional trabajadores dependientes informados honorarios anual sii</v>
      </c>
      <c r="S505" s="39" t="str">
        <f>HYPERLINK("https://analytics.zoho.com/open-view/2395394000008038797?ZOHO_CRITERIA=%225.1%20Empresas_Tama%C3%B1o%22.%22Cod_Regi%C3%B3n%22%3D"&amp;Agencia[[#This Row],[Filtro URL]])</f>
        <v>https://analytics.zoho.com/open-view/2395394000008038797?ZOHO_CRITERIA=%225.1%20Empresas_Tama%C3%B1o%22.%22Cod_Regi%C3%B3n%22%3D11</v>
      </c>
      <c r="T505" s="68" t="str">
        <f>"100-R-"&amp;Agencia[[#This Row],[Filtro URL]]</f>
        <v>100-R-11</v>
      </c>
      <c r="U505" s="50" t="str">
        <f t="shared" si="604"/>
        <v>#1774B9</v>
      </c>
      <c r="V505" s="118" t="str">
        <f>+Agencia[[#This Row],[idcoleccion]]&amp;"-"&amp;Agencia[[#This Row],[id]]</f>
        <v>990-0494</v>
      </c>
      <c r="W505" s="118">
        <f>+VLOOKUP(Agencia[[#This Row],[Filtro URL]],Estructura!$X$4:$Y$500,2,0)</f>
        <v>99200011</v>
      </c>
      <c r="X505" s="118" t="str">
        <f>+VLOOKUP(Agencia[[#This Row],[tema]],Estructura!$A$4:$C$500,3,0)</f>
        <v>T-1010</v>
      </c>
      <c r="Y505" s="118" t="str">
        <f>+VLOOKUP(Agencia[[#This Row],[contenido]],Estructura!$E$4:$G$500,3,0)</f>
        <v>C-993</v>
      </c>
      <c r="Z505" s="118" t="str">
        <f>+VLOOKUP(Agencia[[#This Row],[Filtro Integrado]],Estructura!$I$4:$K$500,3,0)</f>
        <v>FI-993</v>
      </c>
      <c r="AA505" s="118" t="str">
        <f>+VLOOKUP(Agencia[[#This Row],[Muestra]],Estructura!$M$4:$O$500,3,0)</f>
        <v>M-1042</v>
      </c>
    </row>
    <row r="506" spans="1:27" ht="57.6" x14ac:dyDescent="0.3">
      <c r="A506" s="21" t="s">
        <v>1098</v>
      </c>
      <c r="B506" s="24">
        <f t="shared" ref="B506:D506" si="689">+B505</f>
        <v>990</v>
      </c>
      <c r="C506" s="25" t="str">
        <f t="shared" si="689"/>
        <v>Agencia Información</v>
      </c>
      <c r="D506" s="25" t="str">
        <f t="shared" si="689"/>
        <v>Economía</v>
      </c>
      <c r="E506" s="19">
        <v>12</v>
      </c>
      <c r="F506" s="18" t="s">
        <v>1495</v>
      </c>
      <c r="G506" s="18" t="s">
        <v>1601</v>
      </c>
      <c r="H506" s="35" t="s">
        <v>16</v>
      </c>
      <c r="I506" s="36" t="s">
        <v>379</v>
      </c>
      <c r="J506" s="9" t="str">
        <f t="shared" ref="J506:N506" si="690">+J505</f>
        <v>Ninguno</v>
      </c>
      <c r="K506" s="9" t="str">
        <f t="shared" si="690"/>
        <v>Cantidad de Trabajadores informados por región</v>
      </c>
      <c r="L506" s="9" t="str">
        <f t="shared" si="690"/>
        <v>Periodo 2005-2019</v>
      </c>
      <c r="M506" s="9" t="str">
        <f t="shared" si="690"/>
        <v>Personas</v>
      </c>
      <c r="N506" s="9" t="str">
        <f t="shared" si="690"/>
        <v>Servicio de Impuestos Internos (SII)</v>
      </c>
      <c r="O506" s="20" t="str">
        <f>+"Número de trabajadores informados por tipo de contrato para cada año en la "&amp;Agencia[[#This Row],[territorio]]&amp;", "&amp;Agencia[[#This Row],[temporalidad]]</f>
        <v>Número de trabajadores informados por tipo de contrato para cada año en la Región de Magallanes, Periodo 2005-2019</v>
      </c>
      <c r="P506" s="20"/>
      <c r="Q506" s="11" t="str">
        <f t="shared" si="603"/>
        <v>Gráfico de Evolución</v>
      </c>
      <c r="R506" s="87" t="str">
        <f>Agencia[[#This Row],[territorio]]&amp;" regional trabajadores dependientes informados honorarios anual sii"</f>
        <v>Región de Magallanes regional trabajadores dependientes informados honorarios anual sii</v>
      </c>
      <c r="S506" s="39" t="str">
        <f>HYPERLINK("https://analytics.zoho.com/open-view/2395394000008038797?ZOHO_CRITERIA=%225.1%20Empresas_Tama%C3%B1o%22.%22Cod_Regi%C3%B3n%22%3D"&amp;Agencia[[#This Row],[Filtro URL]])</f>
        <v>https://analytics.zoho.com/open-view/2395394000008038797?ZOHO_CRITERIA=%225.1%20Empresas_Tama%C3%B1o%22.%22Cod_Regi%C3%B3n%22%3D12</v>
      </c>
      <c r="T506" s="68" t="str">
        <f>"100-R-"&amp;Agencia[[#This Row],[Filtro URL]]</f>
        <v>100-R-12</v>
      </c>
      <c r="U506" s="50" t="str">
        <f t="shared" si="604"/>
        <v>#1774B9</v>
      </c>
      <c r="V506" s="118" t="str">
        <f>+Agencia[[#This Row],[idcoleccion]]&amp;"-"&amp;Agencia[[#This Row],[id]]</f>
        <v>990-0495</v>
      </c>
      <c r="W506" s="118">
        <f>+VLOOKUP(Agencia[[#This Row],[Filtro URL]],Estructura!$X$4:$Y$500,2,0)</f>
        <v>99200012</v>
      </c>
      <c r="X506" s="118" t="str">
        <f>+VLOOKUP(Agencia[[#This Row],[tema]],Estructura!$A$4:$C$500,3,0)</f>
        <v>T-1010</v>
      </c>
      <c r="Y506" s="118" t="str">
        <f>+VLOOKUP(Agencia[[#This Row],[contenido]],Estructura!$E$4:$G$500,3,0)</f>
        <v>C-993</v>
      </c>
      <c r="Z506" s="118" t="str">
        <f>+VLOOKUP(Agencia[[#This Row],[Filtro Integrado]],Estructura!$I$4:$K$500,3,0)</f>
        <v>FI-993</v>
      </c>
      <c r="AA506" s="118" t="str">
        <f>+VLOOKUP(Agencia[[#This Row],[Muestra]],Estructura!$M$4:$O$500,3,0)</f>
        <v>M-1042</v>
      </c>
    </row>
    <row r="507" spans="1:27" ht="57.6" x14ac:dyDescent="0.3">
      <c r="A507" s="21" t="s">
        <v>1099</v>
      </c>
      <c r="B507" s="24">
        <f t="shared" ref="B507:D507" si="691">+B506</f>
        <v>990</v>
      </c>
      <c r="C507" s="25" t="str">
        <f t="shared" si="691"/>
        <v>Agencia Información</v>
      </c>
      <c r="D507" s="25" t="str">
        <f t="shared" si="691"/>
        <v>Economía</v>
      </c>
      <c r="E507" s="19">
        <v>13</v>
      </c>
      <c r="F507" s="18" t="s">
        <v>1495</v>
      </c>
      <c r="G507" s="18" t="s">
        <v>1601</v>
      </c>
      <c r="H507" s="35" t="s">
        <v>16</v>
      </c>
      <c r="I507" s="36" t="s">
        <v>380</v>
      </c>
      <c r="J507" s="9" t="str">
        <f t="shared" ref="J507:N507" si="692">+J506</f>
        <v>Ninguno</v>
      </c>
      <c r="K507" s="9" t="str">
        <f t="shared" si="692"/>
        <v>Cantidad de Trabajadores informados por región</v>
      </c>
      <c r="L507" s="9" t="str">
        <f t="shared" si="692"/>
        <v>Periodo 2005-2019</v>
      </c>
      <c r="M507" s="9" t="str">
        <f t="shared" si="692"/>
        <v>Personas</v>
      </c>
      <c r="N507" s="9" t="str">
        <f t="shared" si="692"/>
        <v>Servicio de Impuestos Internos (SII)</v>
      </c>
      <c r="O507" s="20" t="str">
        <f>+"Número de trabajadores informados por tipo de contrato para cada año en la "&amp;Agencia[[#This Row],[territorio]]&amp;", "&amp;Agencia[[#This Row],[temporalidad]]</f>
        <v>Número de trabajadores informados por tipo de contrato para cada año en la Región Metropolitana, Periodo 2005-2019</v>
      </c>
      <c r="P507" s="20"/>
      <c r="Q507" s="11" t="str">
        <f t="shared" si="603"/>
        <v>Gráfico de Evolución</v>
      </c>
      <c r="R507" s="87" t="str">
        <f>Agencia[[#This Row],[territorio]]&amp;" regional trabajadores dependientes informados honorarios anual sii"</f>
        <v>Región Metropolitana regional trabajadores dependientes informados honorarios anual sii</v>
      </c>
      <c r="S507" s="39" t="str">
        <f>HYPERLINK("https://analytics.zoho.com/open-view/2395394000008038797?ZOHO_CRITERIA=%225.1%20Empresas_Tama%C3%B1o%22.%22Cod_Regi%C3%B3n%22%3D"&amp;Agencia[[#This Row],[Filtro URL]])</f>
        <v>https://analytics.zoho.com/open-view/2395394000008038797?ZOHO_CRITERIA=%225.1%20Empresas_Tama%C3%B1o%22.%22Cod_Regi%C3%B3n%22%3D13</v>
      </c>
      <c r="T507" s="68" t="str">
        <f>"200-R-"&amp;Agencia[[#This Row],[Filtro URL]]</f>
        <v>200-R-13</v>
      </c>
      <c r="U507" s="50" t="str">
        <f t="shared" si="604"/>
        <v>#1774B9</v>
      </c>
      <c r="V507" s="118" t="str">
        <f>+Agencia[[#This Row],[idcoleccion]]&amp;"-"&amp;Agencia[[#This Row],[id]]</f>
        <v>990-0496</v>
      </c>
      <c r="W507" s="118">
        <f>+VLOOKUP(Agencia[[#This Row],[Filtro URL]],Estructura!$X$4:$Y$500,2,0)</f>
        <v>99200013</v>
      </c>
      <c r="X507" s="118" t="str">
        <f>+VLOOKUP(Agencia[[#This Row],[tema]],Estructura!$A$4:$C$500,3,0)</f>
        <v>T-1010</v>
      </c>
      <c r="Y507" s="118" t="str">
        <f>+VLOOKUP(Agencia[[#This Row],[contenido]],Estructura!$E$4:$G$500,3,0)</f>
        <v>C-993</v>
      </c>
      <c r="Z507" s="118" t="str">
        <f>+VLOOKUP(Agencia[[#This Row],[Filtro Integrado]],Estructura!$I$4:$K$500,3,0)</f>
        <v>FI-993</v>
      </c>
      <c r="AA507" s="118" t="str">
        <f>+VLOOKUP(Agencia[[#This Row],[Muestra]],Estructura!$M$4:$O$500,3,0)</f>
        <v>M-1042</v>
      </c>
    </row>
    <row r="508" spans="1:27" ht="57.6" x14ac:dyDescent="0.3">
      <c r="A508" s="21" t="s">
        <v>1100</v>
      </c>
      <c r="B508" s="24">
        <f t="shared" ref="B508:D508" si="693">+B507</f>
        <v>990</v>
      </c>
      <c r="C508" s="25" t="str">
        <f t="shared" si="693"/>
        <v>Agencia Información</v>
      </c>
      <c r="D508" s="25" t="str">
        <f t="shared" si="693"/>
        <v>Economía</v>
      </c>
      <c r="E508" s="19">
        <v>14</v>
      </c>
      <c r="F508" s="18" t="s">
        <v>1495</v>
      </c>
      <c r="G508" s="18" t="s">
        <v>1601</v>
      </c>
      <c r="H508" s="35" t="s">
        <v>16</v>
      </c>
      <c r="I508" s="36" t="s">
        <v>381</v>
      </c>
      <c r="J508" s="9" t="str">
        <f t="shared" ref="J508:N508" si="694">+J507</f>
        <v>Ninguno</v>
      </c>
      <c r="K508" s="9" t="str">
        <f t="shared" si="694"/>
        <v>Cantidad de Trabajadores informados por región</v>
      </c>
      <c r="L508" s="9" t="str">
        <f t="shared" si="694"/>
        <v>Periodo 2005-2019</v>
      </c>
      <c r="M508" s="9" t="str">
        <f t="shared" si="694"/>
        <v>Personas</v>
      </c>
      <c r="N508" s="9" t="str">
        <f t="shared" si="694"/>
        <v>Servicio de Impuestos Internos (SII)</v>
      </c>
      <c r="O508" s="20" t="str">
        <f>+"Número de trabajadores informados por tipo de contrato para cada año en la "&amp;Agencia[[#This Row],[territorio]]&amp;", "&amp;Agencia[[#This Row],[temporalidad]]</f>
        <v>Número de trabajadores informados por tipo de contrato para cada año en la Región de Los Ríos, Periodo 2005-2019</v>
      </c>
      <c r="P508" s="20"/>
      <c r="Q508" s="11" t="str">
        <f t="shared" si="603"/>
        <v>Gráfico de Evolución</v>
      </c>
      <c r="R508" s="87" t="str">
        <f>Agencia[[#This Row],[territorio]]&amp;" regional trabajadores dependientes informados honorarios anual sii"</f>
        <v>Región de Los Ríos regional trabajadores dependientes informados honorarios anual sii</v>
      </c>
      <c r="S508" s="39" t="str">
        <f>HYPERLINK("https://analytics.zoho.com/open-view/2395394000008038797?ZOHO_CRITERIA=%225.1%20Empresas_Tama%C3%B1o%22.%22Cod_Regi%C3%B3n%22%3D"&amp;Agencia[[#This Row],[Filtro URL]])</f>
        <v>https://analytics.zoho.com/open-view/2395394000008038797?ZOHO_CRITERIA=%225.1%20Empresas_Tama%C3%B1o%22.%22Cod_Regi%C3%B3n%22%3D14</v>
      </c>
      <c r="T508" s="68" t="str">
        <f>"100-R-"&amp;Agencia[[#This Row],[Filtro URL]]</f>
        <v>100-R-14</v>
      </c>
      <c r="U508" s="50" t="str">
        <f t="shared" si="604"/>
        <v>#1774B9</v>
      </c>
      <c r="V508" s="118" t="str">
        <f>+Agencia[[#This Row],[idcoleccion]]&amp;"-"&amp;Agencia[[#This Row],[id]]</f>
        <v>990-0497</v>
      </c>
      <c r="W508" s="118">
        <f>+VLOOKUP(Agencia[[#This Row],[Filtro URL]],Estructura!$X$4:$Y$500,2,0)</f>
        <v>99200014</v>
      </c>
      <c r="X508" s="118" t="str">
        <f>+VLOOKUP(Agencia[[#This Row],[tema]],Estructura!$A$4:$C$500,3,0)</f>
        <v>T-1010</v>
      </c>
      <c r="Y508" s="118" t="str">
        <f>+VLOOKUP(Agencia[[#This Row],[contenido]],Estructura!$E$4:$G$500,3,0)</f>
        <v>C-993</v>
      </c>
      <c r="Z508" s="118" t="str">
        <f>+VLOOKUP(Agencia[[#This Row],[Filtro Integrado]],Estructura!$I$4:$K$500,3,0)</f>
        <v>FI-993</v>
      </c>
      <c r="AA508" s="118" t="str">
        <f>+VLOOKUP(Agencia[[#This Row],[Muestra]],Estructura!$M$4:$O$500,3,0)</f>
        <v>M-1042</v>
      </c>
    </row>
    <row r="509" spans="1:27" ht="57.6" x14ac:dyDescent="0.3">
      <c r="A509" s="21" t="s">
        <v>1101</v>
      </c>
      <c r="B509" s="24">
        <f t="shared" ref="B509:D509" si="695">+B508</f>
        <v>990</v>
      </c>
      <c r="C509" s="25" t="str">
        <f t="shared" si="695"/>
        <v>Agencia Información</v>
      </c>
      <c r="D509" s="25" t="str">
        <f t="shared" si="695"/>
        <v>Economía</v>
      </c>
      <c r="E509" s="19">
        <v>15</v>
      </c>
      <c r="F509" s="18" t="s">
        <v>1495</v>
      </c>
      <c r="G509" s="18" t="s">
        <v>1601</v>
      </c>
      <c r="H509" s="35" t="s">
        <v>16</v>
      </c>
      <c r="I509" s="36" t="s">
        <v>382</v>
      </c>
      <c r="J509" s="9" t="str">
        <f t="shared" ref="J509:N509" si="696">+J508</f>
        <v>Ninguno</v>
      </c>
      <c r="K509" s="9" t="str">
        <f t="shared" si="696"/>
        <v>Cantidad de Trabajadores informados por región</v>
      </c>
      <c r="L509" s="9" t="str">
        <f t="shared" si="696"/>
        <v>Periodo 2005-2019</v>
      </c>
      <c r="M509" s="9" t="str">
        <f t="shared" si="696"/>
        <v>Personas</v>
      </c>
      <c r="N509" s="9" t="str">
        <f t="shared" si="696"/>
        <v>Servicio de Impuestos Internos (SII)</v>
      </c>
      <c r="O509" s="20" t="str">
        <f>+"Número de trabajadores informados por tipo de contrato para cada año en la "&amp;Agencia[[#This Row],[territorio]]&amp;", "&amp;Agencia[[#This Row],[temporalidad]]</f>
        <v>Número de trabajadores informados por tipo de contrato para cada año en la Región de Arica y Parinacota, Periodo 2005-2019</v>
      </c>
      <c r="P509" s="20"/>
      <c r="Q509" s="11" t="str">
        <f t="shared" si="603"/>
        <v>Gráfico de Evolución</v>
      </c>
      <c r="R509" s="87" t="str">
        <f>Agencia[[#This Row],[territorio]]&amp;" regional trabajadores dependientes informados honorarios anual sii"</f>
        <v>Región de Arica y Parinacota regional trabajadores dependientes informados honorarios anual sii</v>
      </c>
      <c r="S509" s="39" t="str">
        <f>HYPERLINK("https://analytics.zoho.com/open-view/2395394000008038797?ZOHO_CRITERIA=%225.1%20Empresas_Tama%C3%B1o%22.%22Cod_Regi%C3%B3n%22%3D"&amp;Agencia[[#This Row],[Filtro URL]])</f>
        <v>https://analytics.zoho.com/open-view/2395394000008038797?ZOHO_CRITERIA=%225.1%20Empresas_Tama%C3%B1o%22.%22Cod_Regi%C3%B3n%22%3D15</v>
      </c>
      <c r="T509" s="68" t="str">
        <f>"100-R-"&amp;Agencia[[#This Row],[Filtro URL]]</f>
        <v>100-R-15</v>
      </c>
      <c r="U509" s="50" t="str">
        <f t="shared" si="604"/>
        <v>#1774B9</v>
      </c>
      <c r="V509" s="118" t="str">
        <f>+Agencia[[#This Row],[idcoleccion]]&amp;"-"&amp;Agencia[[#This Row],[id]]</f>
        <v>990-0498</v>
      </c>
      <c r="W509" s="118">
        <f>+VLOOKUP(Agencia[[#This Row],[Filtro URL]],Estructura!$X$4:$Y$500,2,0)</f>
        <v>99200015</v>
      </c>
      <c r="X509" s="118" t="str">
        <f>+VLOOKUP(Agencia[[#This Row],[tema]],Estructura!$A$4:$C$500,3,0)</f>
        <v>T-1010</v>
      </c>
      <c r="Y509" s="118" t="str">
        <f>+VLOOKUP(Agencia[[#This Row],[contenido]],Estructura!$E$4:$G$500,3,0)</f>
        <v>C-993</v>
      </c>
      <c r="Z509" s="118" t="str">
        <f>+VLOOKUP(Agencia[[#This Row],[Filtro Integrado]],Estructura!$I$4:$K$500,3,0)</f>
        <v>FI-993</v>
      </c>
      <c r="AA509" s="118" t="str">
        <f>+VLOOKUP(Agencia[[#This Row],[Muestra]],Estructura!$M$4:$O$500,3,0)</f>
        <v>M-1042</v>
      </c>
    </row>
    <row r="510" spans="1:27" ht="57.6" x14ac:dyDescent="0.3">
      <c r="A510" s="21" t="s">
        <v>1102</v>
      </c>
      <c r="B510" s="24">
        <f t="shared" ref="B510:D510" si="697">+B509</f>
        <v>990</v>
      </c>
      <c r="C510" s="25" t="str">
        <f t="shared" si="697"/>
        <v>Agencia Información</v>
      </c>
      <c r="D510" s="25" t="str">
        <f t="shared" si="697"/>
        <v>Economía</v>
      </c>
      <c r="E510" s="19">
        <v>16</v>
      </c>
      <c r="F510" s="18" t="s">
        <v>1495</v>
      </c>
      <c r="G510" s="18" t="s">
        <v>1601</v>
      </c>
      <c r="H510" s="35" t="s">
        <v>16</v>
      </c>
      <c r="I510" s="36" t="s">
        <v>383</v>
      </c>
      <c r="J510" s="9" t="str">
        <f t="shared" ref="J510:N510" si="698">+J509</f>
        <v>Ninguno</v>
      </c>
      <c r="K510" s="9" t="str">
        <f t="shared" si="698"/>
        <v>Cantidad de Trabajadores informados por región</v>
      </c>
      <c r="L510" s="9" t="str">
        <f t="shared" si="698"/>
        <v>Periodo 2005-2019</v>
      </c>
      <c r="M510" s="9" t="str">
        <f t="shared" si="698"/>
        <v>Personas</v>
      </c>
      <c r="N510" s="9" t="str">
        <f t="shared" si="698"/>
        <v>Servicio de Impuestos Internos (SII)</v>
      </c>
      <c r="O510" s="20" t="str">
        <f>+"Número de trabajadores informados por tipo de contrato para cada año en la "&amp;Agencia[[#This Row],[territorio]]&amp;", "&amp;Agencia[[#This Row],[temporalidad]]</f>
        <v>Número de trabajadores informados por tipo de contrato para cada año en la Región de Ñuble, Periodo 2005-2019</v>
      </c>
      <c r="P510" s="20"/>
      <c r="Q510" s="11" t="str">
        <f t="shared" si="603"/>
        <v>Gráfico de Evolución</v>
      </c>
      <c r="R510" s="87" t="str">
        <f>Agencia[[#This Row],[territorio]]&amp;" regional trabajadores dependientes informados honorarios anual sii"</f>
        <v>Región de Ñuble regional trabajadores dependientes informados honorarios anual sii</v>
      </c>
      <c r="S510" s="39" t="str">
        <f>HYPERLINK("https://analytics.zoho.com/open-view/2395394000008038797?ZOHO_CRITERIA=%225.1%20Empresas_Tama%C3%B1o%22.%22Cod_Regi%C3%B3n%22%3D"&amp;Agencia[[#This Row],[Filtro URL]])</f>
        <v>https://analytics.zoho.com/open-view/2395394000008038797?ZOHO_CRITERIA=%225.1%20Empresas_Tama%C3%B1o%22.%22Cod_Regi%C3%B3n%22%3D16</v>
      </c>
      <c r="T510" s="68" t="str">
        <f>"100-R-"&amp;Agencia[[#This Row],[Filtro URL]]</f>
        <v>100-R-16</v>
      </c>
      <c r="U510" s="50" t="str">
        <f t="shared" si="604"/>
        <v>#1774B9</v>
      </c>
      <c r="V510" s="118" t="str">
        <f>+Agencia[[#This Row],[idcoleccion]]&amp;"-"&amp;Agencia[[#This Row],[id]]</f>
        <v>990-0499</v>
      </c>
      <c r="W510" s="118">
        <f>+VLOOKUP(Agencia[[#This Row],[Filtro URL]],Estructura!$X$4:$Y$500,2,0)</f>
        <v>99200016</v>
      </c>
      <c r="X510" s="118" t="str">
        <f>+VLOOKUP(Agencia[[#This Row],[tema]],Estructura!$A$4:$C$500,3,0)</f>
        <v>T-1010</v>
      </c>
      <c r="Y510" s="118" t="str">
        <f>+VLOOKUP(Agencia[[#This Row],[contenido]],Estructura!$E$4:$G$500,3,0)</f>
        <v>C-993</v>
      </c>
      <c r="Z510" s="118" t="str">
        <f>+VLOOKUP(Agencia[[#This Row],[Filtro Integrado]],Estructura!$I$4:$K$500,3,0)</f>
        <v>FI-993</v>
      </c>
      <c r="AA510" s="118" t="str">
        <f>+VLOOKUP(Agencia[[#This Row],[Muestra]],Estructura!$M$4:$O$500,3,0)</f>
        <v>M-1042</v>
      </c>
    </row>
    <row r="511" spans="1:27" ht="61.2" x14ac:dyDescent="0.3">
      <c r="A511" s="21" t="s">
        <v>1103</v>
      </c>
      <c r="B511" s="24">
        <f t="shared" ref="B511:C511" si="699">+B510</f>
        <v>990</v>
      </c>
      <c r="C511" s="25" t="str">
        <f t="shared" si="699"/>
        <v>Agencia Información</v>
      </c>
      <c r="D511" s="25" t="s">
        <v>14</v>
      </c>
      <c r="E511" s="14">
        <v>0</v>
      </c>
      <c r="F511" s="18" t="s">
        <v>1524</v>
      </c>
      <c r="G511" s="18" t="s">
        <v>7427</v>
      </c>
      <c r="H511" s="33" t="s">
        <v>20</v>
      </c>
      <c r="I511" s="34" t="s">
        <v>15</v>
      </c>
      <c r="J511" s="9" t="s">
        <v>1032</v>
      </c>
      <c r="K511" s="9" t="s">
        <v>1530</v>
      </c>
      <c r="L511" s="9" t="s">
        <v>1527</v>
      </c>
      <c r="M511" s="9" t="s">
        <v>1529</v>
      </c>
      <c r="N511" s="9" t="s">
        <v>1526</v>
      </c>
      <c r="O511" s="20" t="str">
        <f>+"Evolución de Puntaje SIMCE de Lectura por Dependencia de Establecimientos para 4° Básico en "&amp;I511&amp;" para el "&amp;Agencia[[#This Row],[temporalidad]]</f>
        <v>Evolución de Puntaje SIMCE de Lectura por Dependencia de Establecimientos para 4° Básico en Chile para el Periodo 2015 - 2018</v>
      </c>
      <c r="P511" s="20" t="s">
        <v>1525</v>
      </c>
      <c r="Q511" s="11" t="s">
        <v>821</v>
      </c>
      <c r="R511" s="20" t="str">
        <f>Agencia[[#This Row],[territorio]]&amp;" SIMCE básica cuarto educación puntaje lectura municipal subvencionado corporación lenguaje particular"</f>
        <v>Chile SIMCE básica cuarto educación puntaje lectura municipal subvencionado corporación lenguaje particular</v>
      </c>
      <c r="S511" s="22" t="s">
        <v>1528</v>
      </c>
      <c r="T511" s="68" t="s">
        <v>1033</v>
      </c>
      <c r="U511" s="50" t="str">
        <f t="shared" si="604"/>
        <v>#1774B9</v>
      </c>
      <c r="V511" s="118" t="str">
        <f>+Agencia[[#This Row],[idcoleccion]]&amp;"-"&amp;Agencia[[#This Row],[id]]</f>
        <v>990-0500</v>
      </c>
      <c r="W511" s="118">
        <f>+VLOOKUP(Agencia[[#This Row],[Filtro URL]],Estructura!$X$4:$Y$500,2,0)</f>
        <v>99100000</v>
      </c>
      <c r="X511" s="118" t="str">
        <f>+VLOOKUP(Agencia[[#This Row],[tema]],Estructura!$A$4:$C$500,3,0)</f>
        <v>T-1043</v>
      </c>
      <c r="Y511" s="118" t="str">
        <f>+VLOOKUP(Agencia[[#This Row],[contenido]],Estructura!$E$4:$G$500,3,0)</f>
        <v>C-1018</v>
      </c>
      <c r="Z511" s="118" t="str">
        <f>+VLOOKUP(Agencia[[#This Row],[Filtro Integrado]],Estructura!$I$4:$K$500,3,0)</f>
        <v>FI-994</v>
      </c>
      <c r="AA511" s="118" t="str">
        <f>+VLOOKUP(Agencia[[#This Row],[Muestra]],Estructura!$M$4:$O$500,3,0)</f>
        <v>M-1043</v>
      </c>
    </row>
    <row r="512" spans="1:27" ht="36" x14ac:dyDescent="0.3">
      <c r="A512" s="21" t="s">
        <v>1104</v>
      </c>
      <c r="B512" s="24">
        <f t="shared" ref="B512:D512" si="700">+B511</f>
        <v>990</v>
      </c>
      <c r="C512" s="25" t="str">
        <f t="shared" si="700"/>
        <v>Agencia Información</v>
      </c>
      <c r="D512" s="25" t="str">
        <f t="shared" si="700"/>
        <v>Educación</v>
      </c>
      <c r="E512" s="19">
        <v>1</v>
      </c>
      <c r="F512" s="18" t="s">
        <v>1524</v>
      </c>
      <c r="G512" s="18" t="s">
        <v>7427</v>
      </c>
      <c r="H512" s="35" t="s">
        <v>16</v>
      </c>
      <c r="I512" s="36" t="s">
        <v>368</v>
      </c>
      <c r="J512" s="9" t="s">
        <v>18</v>
      </c>
      <c r="K512" s="9" t="str">
        <f t="shared" ref="K512:N512" si="701">+K511</f>
        <v>Puntaje promedio por tipo de establecimiento</v>
      </c>
      <c r="L512" s="9" t="str">
        <f t="shared" si="701"/>
        <v>Periodo 2015 - 2018</v>
      </c>
      <c r="M512" s="9" t="str">
        <f t="shared" si="701"/>
        <v>Puntaje</v>
      </c>
      <c r="N512" s="9" t="str">
        <f t="shared" si="701"/>
        <v>Agencia de Calidad de la Educación</v>
      </c>
      <c r="O512" s="20" t="str">
        <f>+"Evolución de Puntaje SIMCE de Lectura por Dependencia de Establecimientos para 4° Básico en la "&amp;I512&amp;" para el "&amp;Agencia[[#This Row],[temporalidad]]</f>
        <v>Evolución de Puntaje SIMCE de Lectura por Dependencia de Establecimientos para 4° Básico en la Región de Tarapacá para el Periodo 2015 - 2018</v>
      </c>
      <c r="P512" s="20"/>
      <c r="Q512" s="11" t="str">
        <f t="shared" si="603"/>
        <v>Gráfico de Evolución</v>
      </c>
      <c r="R512" s="20" t="str">
        <f>Agencia[[#This Row],[territorio]]&amp;" SIMCE básica cuarto educación puntaje lectura municipal subvencionado corporación lenguaje particular"</f>
        <v>Región de Tarapacá SIMCE básica cuarto educación puntaje lectura municipal subvencionado corporación lenguaje particular</v>
      </c>
      <c r="S512" s="22" t="s">
        <v>423</v>
      </c>
      <c r="T512" s="68" t="str">
        <f>"100-C-"&amp;Agencia[[#This Row],[Filtro URL]]</f>
        <v>100-C-1</v>
      </c>
      <c r="U512" s="50" t="str">
        <f t="shared" si="604"/>
        <v>#1774B9</v>
      </c>
      <c r="V512" s="118" t="str">
        <f>+Agencia[[#This Row],[idcoleccion]]&amp;"-"&amp;Agencia[[#This Row],[id]]</f>
        <v>990-0501</v>
      </c>
      <c r="W512" s="118">
        <f>+VLOOKUP(Agencia[[#This Row],[Filtro URL]],Estructura!$X$4:$Y$500,2,0)</f>
        <v>99200001</v>
      </c>
      <c r="X512" s="118" t="str">
        <f>+VLOOKUP(Agencia[[#This Row],[tema]],Estructura!$A$4:$C$500,3,0)</f>
        <v>T-1043</v>
      </c>
      <c r="Y512" s="118" t="str">
        <f>+VLOOKUP(Agencia[[#This Row],[contenido]],Estructura!$E$4:$G$500,3,0)</f>
        <v>C-1018</v>
      </c>
      <c r="Z512" s="118" t="str">
        <f>+VLOOKUP(Agencia[[#This Row],[Filtro Integrado]],Estructura!$I$4:$K$500,3,0)</f>
        <v>FI-991</v>
      </c>
      <c r="AA512" s="118" t="str">
        <f>+VLOOKUP(Agencia[[#This Row],[Muestra]],Estructura!$M$4:$O$500,3,0)</f>
        <v>M-1043</v>
      </c>
    </row>
    <row r="513" spans="1:27" ht="36" x14ac:dyDescent="0.3">
      <c r="A513" s="21" t="s">
        <v>1105</v>
      </c>
      <c r="B513" s="24">
        <f t="shared" ref="B513:D513" si="702">+B512</f>
        <v>990</v>
      </c>
      <c r="C513" s="25" t="str">
        <f t="shared" si="702"/>
        <v>Agencia Información</v>
      </c>
      <c r="D513" s="25" t="str">
        <f t="shared" si="702"/>
        <v>Educación</v>
      </c>
      <c r="E513" s="19">
        <v>2</v>
      </c>
      <c r="F513" s="18" t="s">
        <v>1524</v>
      </c>
      <c r="G513" s="18" t="s">
        <v>7427</v>
      </c>
      <c r="H513" s="35" t="s">
        <v>16</v>
      </c>
      <c r="I513" s="36" t="s">
        <v>369</v>
      </c>
      <c r="J513" s="9" t="str">
        <f t="shared" ref="J513:N513" si="703">+J512</f>
        <v>Comuna</v>
      </c>
      <c r="K513" s="9" t="str">
        <f t="shared" si="703"/>
        <v>Puntaje promedio por tipo de establecimiento</v>
      </c>
      <c r="L513" s="9" t="str">
        <f t="shared" si="703"/>
        <v>Periodo 2015 - 2018</v>
      </c>
      <c r="M513" s="9" t="str">
        <f t="shared" si="703"/>
        <v>Puntaje</v>
      </c>
      <c r="N513" s="9" t="str">
        <f t="shared" si="703"/>
        <v>Agencia de Calidad de la Educación</v>
      </c>
      <c r="O513" s="20" t="str">
        <f>+"Evolución de Puntaje SIMCE de Lectura por Dependencia de Establecimientos para 4° Básico en la "&amp;I513&amp;" para el "&amp;Agencia[[#This Row],[temporalidad]]</f>
        <v>Evolución de Puntaje SIMCE de Lectura por Dependencia de Establecimientos para 4° Básico en la Región de Antofagasta para el Periodo 2015 - 2018</v>
      </c>
      <c r="P513" s="20"/>
      <c r="Q513" s="11" t="str">
        <f t="shared" si="603"/>
        <v>Gráfico de Evolución</v>
      </c>
      <c r="R513" s="20" t="str">
        <f>Agencia[[#This Row],[territorio]]&amp;" SIMCE básica cuarto educación puntaje lectura municipal subvencionado corporación lenguaje particular"</f>
        <v>Región de Antofagasta SIMCE básica cuarto educación puntaje lectura municipal subvencionado corporación lenguaje particular</v>
      </c>
      <c r="S513" s="22" t="s">
        <v>423</v>
      </c>
      <c r="T513" s="68" t="str">
        <f>"100-C-"&amp;Agencia[[#This Row],[Filtro URL]]</f>
        <v>100-C-2</v>
      </c>
      <c r="U513" s="50" t="str">
        <f t="shared" si="604"/>
        <v>#1774B9</v>
      </c>
      <c r="V513" s="118" t="str">
        <f>+Agencia[[#This Row],[idcoleccion]]&amp;"-"&amp;Agencia[[#This Row],[id]]</f>
        <v>990-0502</v>
      </c>
      <c r="W513" s="118">
        <f>+VLOOKUP(Agencia[[#This Row],[Filtro URL]],Estructura!$X$4:$Y$500,2,0)</f>
        <v>99200002</v>
      </c>
      <c r="X513" s="118" t="str">
        <f>+VLOOKUP(Agencia[[#This Row],[tema]],Estructura!$A$4:$C$500,3,0)</f>
        <v>T-1043</v>
      </c>
      <c r="Y513" s="118" t="str">
        <f>+VLOOKUP(Agencia[[#This Row],[contenido]],Estructura!$E$4:$G$500,3,0)</f>
        <v>C-1018</v>
      </c>
      <c r="Z513" s="118" t="str">
        <f>+VLOOKUP(Agencia[[#This Row],[Filtro Integrado]],Estructura!$I$4:$K$500,3,0)</f>
        <v>FI-991</v>
      </c>
      <c r="AA513" s="118" t="str">
        <f>+VLOOKUP(Agencia[[#This Row],[Muestra]],Estructura!$M$4:$O$500,3,0)</f>
        <v>M-1043</v>
      </c>
    </row>
    <row r="514" spans="1:27" ht="36" x14ac:dyDescent="0.3">
      <c r="A514" s="21" t="s">
        <v>1106</v>
      </c>
      <c r="B514" s="24">
        <f t="shared" ref="B514:D514" si="704">+B513</f>
        <v>990</v>
      </c>
      <c r="C514" s="25" t="str">
        <f t="shared" si="704"/>
        <v>Agencia Información</v>
      </c>
      <c r="D514" s="25" t="str">
        <f t="shared" si="704"/>
        <v>Educación</v>
      </c>
      <c r="E514" s="19">
        <v>3</v>
      </c>
      <c r="F514" s="18" t="s">
        <v>1524</v>
      </c>
      <c r="G514" s="18" t="s">
        <v>7427</v>
      </c>
      <c r="H514" s="35" t="s">
        <v>16</v>
      </c>
      <c r="I514" s="36" t="s">
        <v>370</v>
      </c>
      <c r="J514" s="9" t="str">
        <f t="shared" ref="J514:N514" si="705">+J513</f>
        <v>Comuna</v>
      </c>
      <c r="K514" s="9" t="str">
        <f t="shared" si="705"/>
        <v>Puntaje promedio por tipo de establecimiento</v>
      </c>
      <c r="L514" s="9" t="str">
        <f t="shared" si="705"/>
        <v>Periodo 2015 - 2018</v>
      </c>
      <c r="M514" s="9" t="str">
        <f t="shared" si="705"/>
        <v>Puntaje</v>
      </c>
      <c r="N514" s="9" t="str">
        <f t="shared" si="705"/>
        <v>Agencia de Calidad de la Educación</v>
      </c>
      <c r="O514" s="20" t="str">
        <f>+"Evolución de Puntaje SIMCE de Lectura por Dependencia de Establecimientos para 4° Básico en la "&amp;I514&amp;" para el "&amp;Agencia[[#This Row],[temporalidad]]</f>
        <v>Evolución de Puntaje SIMCE de Lectura por Dependencia de Establecimientos para 4° Básico en la Región de Atacama para el Periodo 2015 - 2018</v>
      </c>
      <c r="P514" s="20"/>
      <c r="Q514" s="11" t="str">
        <f t="shared" si="603"/>
        <v>Gráfico de Evolución</v>
      </c>
      <c r="R514" s="20" t="str">
        <f>Agencia[[#This Row],[territorio]]&amp;" SIMCE básica cuarto educación puntaje lectura municipal subvencionado corporación lenguaje particular"</f>
        <v>Región de Atacama SIMCE básica cuarto educación puntaje lectura municipal subvencionado corporación lenguaje particular</v>
      </c>
      <c r="S514" s="22" t="s">
        <v>423</v>
      </c>
      <c r="T514" s="68" t="str">
        <f>"100-C-"&amp;Agencia[[#This Row],[Filtro URL]]</f>
        <v>100-C-3</v>
      </c>
      <c r="U514" s="50" t="str">
        <f t="shared" si="604"/>
        <v>#1774B9</v>
      </c>
      <c r="V514" s="118" t="str">
        <f>+Agencia[[#This Row],[idcoleccion]]&amp;"-"&amp;Agencia[[#This Row],[id]]</f>
        <v>990-0503</v>
      </c>
      <c r="W514" s="118">
        <f>+VLOOKUP(Agencia[[#This Row],[Filtro URL]],Estructura!$X$4:$Y$500,2,0)</f>
        <v>99200003</v>
      </c>
      <c r="X514" s="118" t="str">
        <f>+VLOOKUP(Agencia[[#This Row],[tema]],Estructura!$A$4:$C$500,3,0)</f>
        <v>T-1043</v>
      </c>
      <c r="Y514" s="118" t="str">
        <f>+VLOOKUP(Agencia[[#This Row],[contenido]],Estructura!$E$4:$G$500,3,0)</f>
        <v>C-1018</v>
      </c>
      <c r="Z514" s="118" t="str">
        <f>+VLOOKUP(Agencia[[#This Row],[Filtro Integrado]],Estructura!$I$4:$K$500,3,0)</f>
        <v>FI-991</v>
      </c>
      <c r="AA514" s="118" t="str">
        <f>+VLOOKUP(Agencia[[#This Row],[Muestra]],Estructura!$M$4:$O$500,3,0)</f>
        <v>M-1043</v>
      </c>
    </row>
    <row r="515" spans="1:27" ht="36" x14ac:dyDescent="0.3">
      <c r="A515" s="21" t="s">
        <v>1107</v>
      </c>
      <c r="B515" s="24">
        <f t="shared" ref="B515:D515" si="706">+B514</f>
        <v>990</v>
      </c>
      <c r="C515" s="25" t="str">
        <f t="shared" si="706"/>
        <v>Agencia Información</v>
      </c>
      <c r="D515" s="25" t="str">
        <f t="shared" si="706"/>
        <v>Educación</v>
      </c>
      <c r="E515" s="19">
        <v>4</v>
      </c>
      <c r="F515" s="18" t="s">
        <v>1524</v>
      </c>
      <c r="G515" s="18" t="s">
        <v>7427</v>
      </c>
      <c r="H515" s="35" t="s">
        <v>16</v>
      </c>
      <c r="I515" s="36" t="s">
        <v>371</v>
      </c>
      <c r="J515" s="9" t="str">
        <f t="shared" ref="J515:N515" si="707">+J514</f>
        <v>Comuna</v>
      </c>
      <c r="K515" s="9" t="str">
        <f t="shared" si="707"/>
        <v>Puntaje promedio por tipo de establecimiento</v>
      </c>
      <c r="L515" s="9" t="str">
        <f t="shared" si="707"/>
        <v>Periodo 2015 - 2018</v>
      </c>
      <c r="M515" s="9" t="str">
        <f t="shared" si="707"/>
        <v>Puntaje</v>
      </c>
      <c r="N515" s="9" t="str">
        <f t="shared" si="707"/>
        <v>Agencia de Calidad de la Educación</v>
      </c>
      <c r="O515" s="20" t="str">
        <f>+"Evolución de Puntaje SIMCE de Lectura por Dependencia de Establecimientos para 4° Básico en la "&amp;I515&amp;" para el "&amp;Agencia[[#This Row],[temporalidad]]</f>
        <v>Evolución de Puntaje SIMCE de Lectura por Dependencia de Establecimientos para 4° Básico en la Región de Coquimbo para el Periodo 2015 - 2018</v>
      </c>
      <c r="P515" s="20"/>
      <c r="Q515" s="11" t="str">
        <f t="shared" si="603"/>
        <v>Gráfico de Evolución</v>
      </c>
      <c r="R515" s="20" t="str">
        <f>Agencia[[#This Row],[territorio]]&amp;" SIMCE básica cuarto educación puntaje lectura municipal subvencionado corporación lenguaje particular"</f>
        <v>Región de Coquimbo SIMCE básica cuarto educación puntaje lectura municipal subvencionado corporación lenguaje particular</v>
      </c>
      <c r="S515" s="22" t="s">
        <v>423</v>
      </c>
      <c r="T515" s="68" t="str">
        <f>"100-C-"&amp;Agencia[[#This Row],[Filtro URL]]</f>
        <v>100-C-4</v>
      </c>
      <c r="U515" s="50" t="str">
        <f t="shared" si="604"/>
        <v>#1774B9</v>
      </c>
      <c r="V515" s="118" t="str">
        <f>+Agencia[[#This Row],[idcoleccion]]&amp;"-"&amp;Agencia[[#This Row],[id]]</f>
        <v>990-0504</v>
      </c>
      <c r="W515" s="118">
        <f>+VLOOKUP(Agencia[[#This Row],[Filtro URL]],Estructura!$X$4:$Y$500,2,0)</f>
        <v>99200004</v>
      </c>
      <c r="X515" s="118" t="str">
        <f>+VLOOKUP(Agencia[[#This Row],[tema]],Estructura!$A$4:$C$500,3,0)</f>
        <v>T-1043</v>
      </c>
      <c r="Y515" s="118" t="str">
        <f>+VLOOKUP(Agencia[[#This Row],[contenido]],Estructura!$E$4:$G$500,3,0)</f>
        <v>C-1018</v>
      </c>
      <c r="Z515" s="118" t="str">
        <f>+VLOOKUP(Agencia[[#This Row],[Filtro Integrado]],Estructura!$I$4:$K$500,3,0)</f>
        <v>FI-991</v>
      </c>
      <c r="AA515" s="118" t="str">
        <f>+VLOOKUP(Agencia[[#This Row],[Muestra]],Estructura!$M$4:$O$500,3,0)</f>
        <v>M-1043</v>
      </c>
    </row>
    <row r="516" spans="1:27" ht="36" x14ac:dyDescent="0.3">
      <c r="A516" s="21" t="s">
        <v>1108</v>
      </c>
      <c r="B516" s="24">
        <f t="shared" ref="B516:D516" si="708">+B515</f>
        <v>990</v>
      </c>
      <c r="C516" s="25" t="str">
        <f t="shared" si="708"/>
        <v>Agencia Información</v>
      </c>
      <c r="D516" s="25" t="str">
        <f t="shared" si="708"/>
        <v>Educación</v>
      </c>
      <c r="E516" s="19">
        <v>5</v>
      </c>
      <c r="F516" s="18" t="s">
        <v>1524</v>
      </c>
      <c r="G516" s="18" t="s">
        <v>7427</v>
      </c>
      <c r="H516" s="35" t="s">
        <v>16</v>
      </c>
      <c r="I516" s="36" t="s">
        <v>372</v>
      </c>
      <c r="J516" s="9" t="str">
        <f t="shared" ref="J516:N516" si="709">+J515</f>
        <v>Comuna</v>
      </c>
      <c r="K516" s="9" t="str">
        <f t="shared" si="709"/>
        <v>Puntaje promedio por tipo de establecimiento</v>
      </c>
      <c r="L516" s="9" t="str">
        <f t="shared" si="709"/>
        <v>Periodo 2015 - 2018</v>
      </c>
      <c r="M516" s="9" t="str">
        <f t="shared" si="709"/>
        <v>Puntaje</v>
      </c>
      <c r="N516" s="9" t="str">
        <f t="shared" si="709"/>
        <v>Agencia de Calidad de la Educación</v>
      </c>
      <c r="O516" s="20" t="str">
        <f>+"Evolución de Puntaje SIMCE de Lectura por Dependencia de Establecimientos para 4° Básico en la "&amp;I516&amp;" para el "&amp;Agencia[[#This Row],[temporalidad]]</f>
        <v>Evolución de Puntaje SIMCE de Lectura por Dependencia de Establecimientos para 4° Básico en la Región de Valparaíso para el Periodo 2015 - 2018</v>
      </c>
      <c r="P516" s="20"/>
      <c r="Q516" s="11" t="str">
        <f t="shared" si="603"/>
        <v>Gráfico de Evolución</v>
      </c>
      <c r="R516" s="20" t="str">
        <f>Agencia[[#This Row],[territorio]]&amp;" SIMCE básica cuarto educación puntaje lectura municipal subvencionado corporación lenguaje particular"</f>
        <v>Región de Valparaíso SIMCE básica cuarto educación puntaje lectura municipal subvencionado corporación lenguaje particular</v>
      </c>
      <c r="S516" s="22" t="s">
        <v>423</v>
      </c>
      <c r="T516" s="68" t="str">
        <f>"100-C-"&amp;Agencia[[#This Row],[Filtro URL]]</f>
        <v>100-C-5</v>
      </c>
      <c r="U516" s="50" t="str">
        <f t="shared" si="604"/>
        <v>#1774B9</v>
      </c>
      <c r="V516" s="118" t="str">
        <f>+Agencia[[#This Row],[idcoleccion]]&amp;"-"&amp;Agencia[[#This Row],[id]]</f>
        <v>990-0505</v>
      </c>
      <c r="W516" s="118">
        <f>+VLOOKUP(Agencia[[#This Row],[Filtro URL]],Estructura!$X$4:$Y$500,2,0)</f>
        <v>99200005</v>
      </c>
      <c r="X516" s="118" t="str">
        <f>+VLOOKUP(Agencia[[#This Row],[tema]],Estructura!$A$4:$C$500,3,0)</f>
        <v>T-1043</v>
      </c>
      <c r="Y516" s="118" t="str">
        <f>+VLOOKUP(Agencia[[#This Row],[contenido]],Estructura!$E$4:$G$500,3,0)</f>
        <v>C-1018</v>
      </c>
      <c r="Z516" s="118" t="str">
        <f>+VLOOKUP(Agencia[[#This Row],[Filtro Integrado]],Estructura!$I$4:$K$500,3,0)</f>
        <v>FI-991</v>
      </c>
      <c r="AA516" s="118" t="str">
        <f>+VLOOKUP(Agencia[[#This Row],[Muestra]],Estructura!$M$4:$O$500,3,0)</f>
        <v>M-1043</v>
      </c>
    </row>
    <row r="517" spans="1:27" ht="36" x14ac:dyDescent="0.3">
      <c r="A517" s="21" t="s">
        <v>1109</v>
      </c>
      <c r="B517" s="24">
        <f t="shared" ref="B517:D517" si="710">+B516</f>
        <v>990</v>
      </c>
      <c r="C517" s="25" t="str">
        <f t="shared" si="710"/>
        <v>Agencia Información</v>
      </c>
      <c r="D517" s="25" t="str">
        <f t="shared" si="710"/>
        <v>Educación</v>
      </c>
      <c r="E517" s="19">
        <v>6</v>
      </c>
      <c r="F517" s="18" t="s">
        <v>1524</v>
      </c>
      <c r="G517" s="18" t="s">
        <v>7427</v>
      </c>
      <c r="H517" s="35" t="s">
        <v>16</v>
      </c>
      <c r="I517" s="36" t="s">
        <v>373</v>
      </c>
      <c r="J517" s="9" t="str">
        <f t="shared" ref="J517:N517" si="711">+J516</f>
        <v>Comuna</v>
      </c>
      <c r="K517" s="9" t="str">
        <f t="shared" si="711"/>
        <v>Puntaje promedio por tipo de establecimiento</v>
      </c>
      <c r="L517" s="9" t="str">
        <f t="shared" si="711"/>
        <v>Periodo 2015 - 2018</v>
      </c>
      <c r="M517" s="9" t="str">
        <f t="shared" si="711"/>
        <v>Puntaje</v>
      </c>
      <c r="N517" s="9" t="str">
        <f t="shared" si="711"/>
        <v>Agencia de Calidad de la Educación</v>
      </c>
      <c r="O517" s="20" t="str">
        <f>+"Evolución de Puntaje SIMCE de Lectura por Dependencia de Establecimientos para 4° Básico en la "&amp;I517&amp;" para el "&amp;Agencia[[#This Row],[temporalidad]]</f>
        <v>Evolución de Puntaje SIMCE de Lectura por Dependencia de Establecimientos para 4° Básico en la Región de O'Higgins para el Periodo 2015 - 2018</v>
      </c>
      <c r="P517" s="20"/>
      <c r="Q517" s="11" t="str">
        <f t="shared" si="603"/>
        <v>Gráfico de Evolución</v>
      </c>
      <c r="R517" s="20" t="str">
        <f>Agencia[[#This Row],[territorio]]&amp;" SIMCE básica cuarto educación puntaje lectura municipal subvencionado corporación lenguaje particular"</f>
        <v>Región de O'Higgins SIMCE básica cuarto educación puntaje lectura municipal subvencionado corporación lenguaje particular</v>
      </c>
      <c r="S517" s="22" t="s">
        <v>423</v>
      </c>
      <c r="T517" s="68" t="str">
        <f>"100-C-"&amp;Agencia[[#This Row],[Filtro URL]]</f>
        <v>100-C-6</v>
      </c>
      <c r="U517" s="50" t="str">
        <f t="shared" si="604"/>
        <v>#1774B9</v>
      </c>
      <c r="V517" s="118" t="str">
        <f>+Agencia[[#This Row],[idcoleccion]]&amp;"-"&amp;Agencia[[#This Row],[id]]</f>
        <v>990-0506</v>
      </c>
      <c r="W517" s="118">
        <f>+VLOOKUP(Agencia[[#This Row],[Filtro URL]],Estructura!$X$4:$Y$500,2,0)</f>
        <v>99200006</v>
      </c>
      <c r="X517" s="118" t="str">
        <f>+VLOOKUP(Agencia[[#This Row],[tema]],Estructura!$A$4:$C$500,3,0)</f>
        <v>T-1043</v>
      </c>
      <c r="Y517" s="118" t="str">
        <f>+VLOOKUP(Agencia[[#This Row],[contenido]],Estructura!$E$4:$G$500,3,0)</f>
        <v>C-1018</v>
      </c>
      <c r="Z517" s="118" t="str">
        <f>+VLOOKUP(Agencia[[#This Row],[Filtro Integrado]],Estructura!$I$4:$K$500,3,0)</f>
        <v>FI-991</v>
      </c>
      <c r="AA517" s="118" t="str">
        <f>+VLOOKUP(Agencia[[#This Row],[Muestra]],Estructura!$M$4:$O$500,3,0)</f>
        <v>M-1043</v>
      </c>
    </row>
    <row r="518" spans="1:27" ht="36" x14ac:dyDescent="0.3">
      <c r="A518" s="21" t="s">
        <v>1110</v>
      </c>
      <c r="B518" s="24">
        <f t="shared" ref="B518:D518" si="712">+B517</f>
        <v>990</v>
      </c>
      <c r="C518" s="25" t="str">
        <f t="shared" si="712"/>
        <v>Agencia Información</v>
      </c>
      <c r="D518" s="25" t="str">
        <f t="shared" si="712"/>
        <v>Educación</v>
      </c>
      <c r="E518" s="19">
        <v>7</v>
      </c>
      <c r="F518" s="18" t="s">
        <v>1524</v>
      </c>
      <c r="G518" s="18" t="s">
        <v>7427</v>
      </c>
      <c r="H518" s="35" t="s">
        <v>16</v>
      </c>
      <c r="I518" s="36" t="s">
        <v>374</v>
      </c>
      <c r="J518" s="9" t="str">
        <f t="shared" ref="J518:N518" si="713">+J517</f>
        <v>Comuna</v>
      </c>
      <c r="K518" s="9" t="str">
        <f t="shared" si="713"/>
        <v>Puntaje promedio por tipo de establecimiento</v>
      </c>
      <c r="L518" s="9" t="str">
        <f t="shared" si="713"/>
        <v>Periodo 2015 - 2018</v>
      </c>
      <c r="M518" s="9" t="str">
        <f t="shared" si="713"/>
        <v>Puntaje</v>
      </c>
      <c r="N518" s="9" t="str">
        <f t="shared" si="713"/>
        <v>Agencia de Calidad de la Educación</v>
      </c>
      <c r="O518" s="20" t="str">
        <f>+"Evolución de Puntaje SIMCE de Lectura por Dependencia de Establecimientos para 4° Básico en la "&amp;I518&amp;" para el "&amp;Agencia[[#This Row],[temporalidad]]</f>
        <v>Evolución de Puntaje SIMCE de Lectura por Dependencia de Establecimientos para 4° Básico en la Región de Maule para el Periodo 2015 - 2018</v>
      </c>
      <c r="P518" s="20"/>
      <c r="Q518" s="11" t="str">
        <f t="shared" si="603"/>
        <v>Gráfico de Evolución</v>
      </c>
      <c r="R518" s="20" t="str">
        <f>Agencia[[#This Row],[territorio]]&amp;" SIMCE básica cuarto educación puntaje lectura municipal subvencionado corporación lenguaje particular"</f>
        <v>Región de Maule SIMCE básica cuarto educación puntaje lectura municipal subvencionado corporación lenguaje particular</v>
      </c>
      <c r="S518" s="22" t="s">
        <v>423</v>
      </c>
      <c r="T518" s="68" t="str">
        <f>"100-C-"&amp;Agencia[[#This Row],[Filtro URL]]</f>
        <v>100-C-7</v>
      </c>
      <c r="U518" s="50" t="str">
        <f t="shared" si="604"/>
        <v>#1774B9</v>
      </c>
      <c r="V518" s="118" t="str">
        <f>+Agencia[[#This Row],[idcoleccion]]&amp;"-"&amp;Agencia[[#This Row],[id]]</f>
        <v>990-0507</v>
      </c>
      <c r="W518" s="118">
        <f>+VLOOKUP(Agencia[[#This Row],[Filtro URL]],Estructura!$X$4:$Y$500,2,0)</f>
        <v>99200007</v>
      </c>
      <c r="X518" s="118" t="str">
        <f>+VLOOKUP(Agencia[[#This Row],[tema]],Estructura!$A$4:$C$500,3,0)</f>
        <v>T-1043</v>
      </c>
      <c r="Y518" s="118" t="str">
        <f>+VLOOKUP(Agencia[[#This Row],[contenido]],Estructura!$E$4:$G$500,3,0)</f>
        <v>C-1018</v>
      </c>
      <c r="Z518" s="118" t="str">
        <f>+VLOOKUP(Agencia[[#This Row],[Filtro Integrado]],Estructura!$I$4:$K$500,3,0)</f>
        <v>FI-991</v>
      </c>
      <c r="AA518" s="118" t="str">
        <f>+VLOOKUP(Agencia[[#This Row],[Muestra]],Estructura!$M$4:$O$500,3,0)</f>
        <v>M-1043</v>
      </c>
    </row>
    <row r="519" spans="1:27" ht="36" x14ac:dyDescent="0.3">
      <c r="A519" s="21" t="s">
        <v>1111</v>
      </c>
      <c r="B519" s="24">
        <f t="shared" ref="B519:D519" si="714">+B518</f>
        <v>990</v>
      </c>
      <c r="C519" s="25" t="str">
        <f t="shared" si="714"/>
        <v>Agencia Información</v>
      </c>
      <c r="D519" s="25" t="str">
        <f t="shared" si="714"/>
        <v>Educación</v>
      </c>
      <c r="E519" s="19">
        <v>8</v>
      </c>
      <c r="F519" s="18" t="s">
        <v>1524</v>
      </c>
      <c r="G519" s="18" t="s">
        <v>7427</v>
      </c>
      <c r="H519" s="35" t="s">
        <v>16</v>
      </c>
      <c r="I519" s="36" t="s">
        <v>375</v>
      </c>
      <c r="J519" s="9" t="str">
        <f t="shared" ref="J519:N519" si="715">+J518</f>
        <v>Comuna</v>
      </c>
      <c r="K519" s="9" t="str">
        <f t="shared" si="715"/>
        <v>Puntaje promedio por tipo de establecimiento</v>
      </c>
      <c r="L519" s="9" t="str">
        <f t="shared" si="715"/>
        <v>Periodo 2015 - 2018</v>
      </c>
      <c r="M519" s="9" t="str">
        <f t="shared" si="715"/>
        <v>Puntaje</v>
      </c>
      <c r="N519" s="9" t="str">
        <f t="shared" si="715"/>
        <v>Agencia de Calidad de la Educación</v>
      </c>
      <c r="O519" s="20" t="str">
        <f>+"Evolución de Puntaje SIMCE de Lectura por Dependencia de Establecimientos para 4° Básico en la "&amp;I519&amp;" para el "&amp;Agencia[[#This Row],[temporalidad]]</f>
        <v>Evolución de Puntaje SIMCE de Lectura por Dependencia de Establecimientos para 4° Básico en la Región del Biobío para el Periodo 2015 - 2018</v>
      </c>
      <c r="P519" s="20"/>
      <c r="Q519" s="11" t="str">
        <f t="shared" si="603"/>
        <v>Gráfico de Evolución</v>
      </c>
      <c r="R519" s="20" t="str">
        <f>Agencia[[#This Row],[territorio]]&amp;" SIMCE básica cuarto educación puntaje lectura municipal subvencionado corporación lenguaje particular"</f>
        <v>Región del Biobío SIMCE básica cuarto educación puntaje lectura municipal subvencionado corporación lenguaje particular</v>
      </c>
      <c r="S519" s="22" t="s">
        <v>423</v>
      </c>
      <c r="T519" s="68" t="str">
        <f>"100-C-"&amp;Agencia[[#This Row],[Filtro URL]]</f>
        <v>100-C-8</v>
      </c>
      <c r="U519" s="50" t="str">
        <f t="shared" si="604"/>
        <v>#1774B9</v>
      </c>
      <c r="V519" s="118" t="str">
        <f>+Agencia[[#This Row],[idcoleccion]]&amp;"-"&amp;Agencia[[#This Row],[id]]</f>
        <v>990-0508</v>
      </c>
      <c r="W519" s="118">
        <f>+VLOOKUP(Agencia[[#This Row],[Filtro URL]],Estructura!$X$4:$Y$500,2,0)</f>
        <v>99200008</v>
      </c>
      <c r="X519" s="118" t="str">
        <f>+VLOOKUP(Agencia[[#This Row],[tema]],Estructura!$A$4:$C$500,3,0)</f>
        <v>T-1043</v>
      </c>
      <c r="Y519" s="118" t="str">
        <f>+VLOOKUP(Agencia[[#This Row],[contenido]],Estructura!$E$4:$G$500,3,0)</f>
        <v>C-1018</v>
      </c>
      <c r="Z519" s="118" t="str">
        <f>+VLOOKUP(Agencia[[#This Row],[Filtro Integrado]],Estructura!$I$4:$K$500,3,0)</f>
        <v>FI-991</v>
      </c>
      <c r="AA519" s="118" t="str">
        <f>+VLOOKUP(Agencia[[#This Row],[Muestra]],Estructura!$M$4:$O$500,3,0)</f>
        <v>M-1043</v>
      </c>
    </row>
    <row r="520" spans="1:27" ht="36" x14ac:dyDescent="0.3">
      <c r="A520" s="21" t="s">
        <v>1112</v>
      </c>
      <c r="B520" s="24">
        <f t="shared" ref="B520:D520" si="716">+B519</f>
        <v>990</v>
      </c>
      <c r="C520" s="25" t="str">
        <f t="shared" si="716"/>
        <v>Agencia Información</v>
      </c>
      <c r="D520" s="25" t="str">
        <f t="shared" si="716"/>
        <v>Educación</v>
      </c>
      <c r="E520" s="19">
        <v>9</v>
      </c>
      <c r="F520" s="18" t="s">
        <v>1524</v>
      </c>
      <c r="G520" s="18" t="s">
        <v>7427</v>
      </c>
      <c r="H520" s="35" t="s">
        <v>16</v>
      </c>
      <c r="I520" s="36" t="s">
        <v>376</v>
      </c>
      <c r="J520" s="9" t="str">
        <f t="shared" ref="J520:N520" si="717">+J519</f>
        <v>Comuna</v>
      </c>
      <c r="K520" s="9" t="str">
        <f t="shared" si="717"/>
        <v>Puntaje promedio por tipo de establecimiento</v>
      </c>
      <c r="L520" s="9" t="str">
        <f t="shared" si="717"/>
        <v>Periodo 2015 - 2018</v>
      </c>
      <c r="M520" s="9" t="str">
        <f t="shared" si="717"/>
        <v>Puntaje</v>
      </c>
      <c r="N520" s="9" t="str">
        <f t="shared" si="717"/>
        <v>Agencia de Calidad de la Educación</v>
      </c>
      <c r="O520" s="20" t="str">
        <f>+"Evolución de Puntaje SIMCE de Lectura por Dependencia de Establecimientos para 4° Básico en la "&amp;I520&amp;" para el "&amp;Agencia[[#This Row],[temporalidad]]</f>
        <v>Evolución de Puntaje SIMCE de Lectura por Dependencia de Establecimientos para 4° Básico en la Región de La Araucanía para el Periodo 2015 - 2018</v>
      </c>
      <c r="P520" s="20"/>
      <c r="Q520" s="11" t="str">
        <f t="shared" si="603"/>
        <v>Gráfico de Evolución</v>
      </c>
      <c r="R520" s="20" t="str">
        <f>Agencia[[#This Row],[territorio]]&amp;" SIMCE básica cuarto educación puntaje lectura municipal subvencionado corporación lenguaje particular"</f>
        <v>Región de La Araucanía SIMCE básica cuarto educación puntaje lectura municipal subvencionado corporación lenguaje particular</v>
      </c>
      <c r="S520" s="22" t="s">
        <v>423</v>
      </c>
      <c r="T520" s="68" t="str">
        <f>"100-C-"&amp;Agencia[[#This Row],[Filtro URL]]</f>
        <v>100-C-9</v>
      </c>
      <c r="U520" s="50" t="str">
        <f t="shared" si="604"/>
        <v>#1774B9</v>
      </c>
      <c r="V520" s="118" t="str">
        <f>+Agencia[[#This Row],[idcoleccion]]&amp;"-"&amp;Agencia[[#This Row],[id]]</f>
        <v>990-0509</v>
      </c>
      <c r="W520" s="118">
        <f>+VLOOKUP(Agencia[[#This Row],[Filtro URL]],Estructura!$X$4:$Y$500,2,0)</f>
        <v>99200009</v>
      </c>
      <c r="X520" s="118" t="str">
        <f>+VLOOKUP(Agencia[[#This Row],[tema]],Estructura!$A$4:$C$500,3,0)</f>
        <v>T-1043</v>
      </c>
      <c r="Y520" s="118" t="str">
        <f>+VLOOKUP(Agencia[[#This Row],[contenido]],Estructura!$E$4:$G$500,3,0)</f>
        <v>C-1018</v>
      </c>
      <c r="Z520" s="118" t="str">
        <f>+VLOOKUP(Agencia[[#This Row],[Filtro Integrado]],Estructura!$I$4:$K$500,3,0)</f>
        <v>FI-991</v>
      </c>
      <c r="AA520" s="118" t="str">
        <f>+VLOOKUP(Agencia[[#This Row],[Muestra]],Estructura!$M$4:$O$500,3,0)</f>
        <v>M-1043</v>
      </c>
    </row>
    <row r="521" spans="1:27" ht="36" x14ac:dyDescent="0.3">
      <c r="A521" s="21" t="s">
        <v>1113</v>
      </c>
      <c r="B521" s="24">
        <f t="shared" ref="B521:D521" si="718">+B520</f>
        <v>990</v>
      </c>
      <c r="C521" s="25" t="str">
        <f t="shared" si="718"/>
        <v>Agencia Información</v>
      </c>
      <c r="D521" s="25" t="str">
        <f t="shared" si="718"/>
        <v>Educación</v>
      </c>
      <c r="E521" s="19">
        <v>10</v>
      </c>
      <c r="F521" s="18" t="s">
        <v>1524</v>
      </c>
      <c r="G521" s="18" t="s">
        <v>7427</v>
      </c>
      <c r="H521" s="35" t="s">
        <v>16</v>
      </c>
      <c r="I521" s="36" t="s">
        <v>377</v>
      </c>
      <c r="J521" s="9" t="str">
        <f t="shared" ref="J521:N521" si="719">+J520</f>
        <v>Comuna</v>
      </c>
      <c r="K521" s="9" t="str">
        <f t="shared" si="719"/>
        <v>Puntaje promedio por tipo de establecimiento</v>
      </c>
      <c r="L521" s="9" t="str">
        <f t="shared" si="719"/>
        <v>Periodo 2015 - 2018</v>
      </c>
      <c r="M521" s="9" t="str">
        <f t="shared" si="719"/>
        <v>Puntaje</v>
      </c>
      <c r="N521" s="9" t="str">
        <f t="shared" si="719"/>
        <v>Agencia de Calidad de la Educación</v>
      </c>
      <c r="O521" s="20" t="str">
        <f>+"Evolución de Puntaje SIMCE de Lectura por Dependencia de Establecimientos para 4° Básico en la "&amp;I521&amp;" para el "&amp;Agencia[[#This Row],[temporalidad]]</f>
        <v>Evolución de Puntaje SIMCE de Lectura por Dependencia de Establecimientos para 4° Básico en la Región de Los Lagos para el Periodo 2015 - 2018</v>
      </c>
      <c r="P521" s="20"/>
      <c r="Q521" s="11" t="str">
        <f t="shared" si="603"/>
        <v>Gráfico de Evolución</v>
      </c>
      <c r="R521" s="20" t="str">
        <f>Agencia[[#This Row],[territorio]]&amp;" SIMCE básica cuarto educación puntaje lectura municipal subvencionado corporación lenguaje particular"</f>
        <v>Región de Los Lagos SIMCE básica cuarto educación puntaje lectura municipal subvencionado corporación lenguaje particular</v>
      </c>
      <c r="S521" s="22" t="s">
        <v>423</v>
      </c>
      <c r="T521" s="68" t="str">
        <f>"100-C-"&amp;Agencia[[#This Row],[Filtro URL]]</f>
        <v>100-C-10</v>
      </c>
      <c r="U521" s="50" t="str">
        <f t="shared" si="604"/>
        <v>#1774B9</v>
      </c>
      <c r="V521" s="118" t="str">
        <f>+Agencia[[#This Row],[idcoleccion]]&amp;"-"&amp;Agencia[[#This Row],[id]]</f>
        <v>990-0510</v>
      </c>
      <c r="W521" s="118">
        <f>+VLOOKUP(Agencia[[#This Row],[Filtro URL]],Estructura!$X$4:$Y$500,2,0)</f>
        <v>99200010</v>
      </c>
      <c r="X521" s="118" t="str">
        <f>+VLOOKUP(Agencia[[#This Row],[tema]],Estructura!$A$4:$C$500,3,0)</f>
        <v>T-1043</v>
      </c>
      <c r="Y521" s="118" t="str">
        <f>+VLOOKUP(Agencia[[#This Row],[contenido]],Estructura!$E$4:$G$500,3,0)</f>
        <v>C-1018</v>
      </c>
      <c r="Z521" s="118" t="str">
        <f>+VLOOKUP(Agencia[[#This Row],[Filtro Integrado]],Estructura!$I$4:$K$500,3,0)</f>
        <v>FI-991</v>
      </c>
      <c r="AA521" s="118" t="str">
        <f>+VLOOKUP(Agencia[[#This Row],[Muestra]],Estructura!$M$4:$O$500,3,0)</f>
        <v>M-1043</v>
      </c>
    </row>
    <row r="522" spans="1:27" ht="36" x14ac:dyDescent="0.3">
      <c r="A522" s="21" t="s">
        <v>1114</v>
      </c>
      <c r="B522" s="24">
        <f t="shared" ref="B522:D522" si="720">+B521</f>
        <v>990</v>
      </c>
      <c r="C522" s="25" t="str">
        <f t="shared" si="720"/>
        <v>Agencia Información</v>
      </c>
      <c r="D522" s="25" t="str">
        <f t="shared" si="720"/>
        <v>Educación</v>
      </c>
      <c r="E522" s="19">
        <v>11</v>
      </c>
      <c r="F522" s="18" t="s">
        <v>1524</v>
      </c>
      <c r="G522" s="18" t="s">
        <v>7427</v>
      </c>
      <c r="H522" s="35" t="s">
        <v>16</v>
      </c>
      <c r="I522" s="36" t="s">
        <v>378</v>
      </c>
      <c r="J522" s="9" t="str">
        <f t="shared" ref="J522:N522" si="721">+J521</f>
        <v>Comuna</v>
      </c>
      <c r="K522" s="9" t="str">
        <f t="shared" si="721"/>
        <v>Puntaje promedio por tipo de establecimiento</v>
      </c>
      <c r="L522" s="9" t="str">
        <f t="shared" si="721"/>
        <v>Periodo 2015 - 2018</v>
      </c>
      <c r="M522" s="9" t="str">
        <f t="shared" si="721"/>
        <v>Puntaje</v>
      </c>
      <c r="N522" s="9" t="str">
        <f t="shared" si="721"/>
        <v>Agencia de Calidad de la Educación</v>
      </c>
      <c r="O522" s="20" t="str">
        <f>+"Evolución de Puntaje SIMCE de Lectura por Dependencia de Establecimientos para 4° Básico en la "&amp;I522&amp;" para el "&amp;Agencia[[#This Row],[temporalidad]]</f>
        <v>Evolución de Puntaje SIMCE de Lectura por Dependencia de Establecimientos para 4° Básico en la Región de Aysén para el Periodo 2015 - 2018</v>
      </c>
      <c r="P522" s="20"/>
      <c r="Q522" s="11" t="str">
        <f t="shared" si="603"/>
        <v>Gráfico de Evolución</v>
      </c>
      <c r="R522" s="20" t="str">
        <f>Agencia[[#This Row],[territorio]]&amp;" SIMCE básica cuarto educación puntaje lectura municipal subvencionado corporación lenguaje particular"</f>
        <v>Región de Aysén SIMCE básica cuarto educación puntaje lectura municipal subvencionado corporación lenguaje particular</v>
      </c>
      <c r="S522" s="22" t="s">
        <v>423</v>
      </c>
      <c r="T522" s="68" t="str">
        <f>"100-C-"&amp;Agencia[[#This Row],[Filtro URL]]</f>
        <v>100-C-11</v>
      </c>
      <c r="U522" s="50" t="str">
        <f t="shared" si="604"/>
        <v>#1774B9</v>
      </c>
      <c r="V522" s="118" t="str">
        <f>+Agencia[[#This Row],[idcoleccion]]&amp;"-"&amp;Agencia[[#This Row],[id]]</f>
        <v>990-0511</v>
      </c>
      <c r="W522" s="118">
        <f>+VLOOKUP(Agencia[[#This Row],[Filtro URL]],Estructura!$X$4:$Y$500,2,0)</f>
        <v>99200011</v>
      </c>
      <c r="X522" s="118" t="str">
        <f>+VLOOKUP(Agencia[[#This Row],[tema]],Estructura!$A$4:$C$500,3,0)</f>
        <v>T-1043</v>
      </c>
      <c r="Y522" s="118" t="str">
        <f>+VLOOKUP(Agencia[[#This Row],[contenido]],Estructura!$E$4:$G$500,3,0)</f>
        <v>C-1018</v>
      </c>
      <c r="Z522" s="118" t="str">
        <f>+VLOOKUP(Agencia[[#This Row],[Filtro Integrado]],Estructura!$I$4:$K$500,3,0)</f>
        <v>FI-991</v>
      </c>
      <c r="AA522" s="118" t="str">
        <f>+VLOOKUP(Agencia[[#This Row],[Muestra]],Estructura!$M$4:$O$500,3,0)</f>
        <v>M-1043</v>
      </c>
    </row>
    <row r="523" spans="1:27" ht="36" x14ac:dyDescent="0.3">
      <c r="A523" s="21" t="s">
        <v>1115</v>
      </c>
      <c r="B523" s="24">
        <f t="shared" ref="B523:D523" si="722">+B522</f>
        <v>990</v>
      </c>
      <c r="C523" s="25" t="str">
        <f t="shared" si="722"/>
        <v>Agencia Información</v>
      </c>
      <c r="D523" s="25" t="str">
        <f t="shared" si="722"/>
        <v>Educación</v>
      </c>
      <c r="E523" s="19">
        <v>12</v>
      </c>
      <c r="F523" s="18" t="s">
        <v>1524</v>
      </c>
      <c r="G523" s="18" t="s">
        <v>7427</v>
      </c>
      <c r="H523" s="35" t="s">
        <v>16</v>
      </c>
      <c r="I523" s="36" t="s">
        <v>379</v>
      </c>
      <c r="J523" s="9" t="str">
        <f t="shared" ref="J523:N523" si="723">+J522</f>
        <v>Comuna</v>
      </c>
      <c r="K523" s="9" t="str">
        <f t="shared" si="723"/>
        <v>Puntaje promedio por tipo de establecimiento</v>
      </c>
      <c r="L523" s="9" t="str">
        <f t="shared" si="723"/>
        <v>Periodo 2015 - 2018</v>
      </c>
      <c r="M523" s="9" t="str">
        <f t="shared" si="723"/>
        <v>Puntaje</v>
      </c>
      <c r="N523" s="9" t="str">
        <f t="shared" si="723"/>
        <v>Agencia de Calidad de la Educación</v>
      </c>
      <c r="O523" s="20" t="str">
        <f>+"Evolución de Puntaje SIMCE de Lectura por Dependencia de Establecimientos para 4° Básico en la "&amp;I523&amp;" para el "&amp;Agencia[[#This Row],[temporalidad]]</f>
        <v>Evolución de Puntaje SIMCE de Lectura por Dependencia de Establecimientos para 4° Básico en la Región de Magallanes para el Periodo 2015 - 2018</v>
      </c>
      <c r="P523" s="20"/>
      <c r="Q523" s="11" t="str">
        <f t="shared" si="603"/>
        <v>Gráfico de Evolución</v>
      </c>
      <c r="R523" s="20" t="str">
        <f>Agencia[[#This Row],[territorio]]&amp;" SIMCE básica cuarto educación puntaje lectura municipal subvencionado corporación lenguaje particular"</f>
        <v>Región de Magallanes SIMCE básica cuarto educación puntaje lectura municipal subvencionado corporación lenguaje particular</v>
      </c>
      <c r="S523" s="22" t="s">
        <v>423</v>
      </c>
      <c r="T523" s="68" t="str">
        <f>"100-C-"&amp;Agencia[[#This Row],[Filtro URL]]</f>
        <v>100-C-12</v>
      </c>
      <c r="U523" s="50" t="str">
        <f t="shared" si="604"/>
        <v>#1774B9</v>
      </c>
      <c r="V523" s="118" t="str">
        <f>+Agencia[[#This Row],[idcoleccion]]&amp;"-"&amp;Agencia[[#This Row],[id]]</f>
        <v>990-0512</v>
      </c>
      <c r="W523" s="118">
        <f>+VLOOKUP(Agencia[[#This Row],[Filtro URL]],Estructura!$X$4:$Y$500,2,0)</f>
        <v>99200012</v>
      </c>
      <c r="X523" s="118" t="str">
        <f>+VLOOKUP(Agencia[[#This Row],[tema]],Estructura!$A$4:$C$500,3,0)</f>
        <v>T-1043</v>
      </c>
      <c r="Y523" s="118" t="str">
        <f>+VLOOKUP(Agencia[[#This Row],[contenido]],Estructura!$E$4:$G$500,3,0)</f>
        <v>C-1018</v>
      </c>
      <c r="Z523" s="118" t="str">
        <f>+VLOOKUP(Agencia[[#This Row],[Filtro Integrado]],Estructura!$I$4:$K$500,3,0)</f>
        <v>FI-991</v>
      </c>
      <c r="AA523" s="118" t="str">
        <f>+VLOOKUP(Agencia[[#This Row],[Muestra]],Estructura!$M$4:$O$500,3,0)</f>
        <v>M-1043</v>
      </c>
    </row>
    <row r="524" spans="1:27" ht="36" x14ac:dyDescent="0.3">
      <c r="A524" s="21" t="s">
        <v>1116</v>
      </c>
      <c r="B524" s="24">
        <f t="shared" ref="B524:D524" si="724">+B523</f>
        <v>990</v>
      </c>
      <c r="C524" s="25" t="str">
        <f t="shared" si="724"/>
        <v>Agencia Información</v>
      </c>
      <c r="D524" s="25" t="str">
        <f t="shared" si="724"/>
        <v>Educación</v>
      </c>
      <c r="E524" s="19">
        <v>13</v>
      </c>
      <c r="F524" s="18" t="s">
        <v>1524</v>
      </c>
      <c r="G524" s="18" t="s">
        <v>7427</v>
      </c>
      <c r="H524" s="35" t="s">
        <v>16</v>
      </c>
      <c r="I524" s="36" t="s">
        <v>380</v>
      </c>
      <c r="J524" s="9" t="str">
        <f t="shared" ref="J524:N524" si="725">+J523</f>
        <v>Comuna</v>
      </c>
      <c r="K524" s="9" t="str">
        <f t="shared" si="725"/>
        <v>Puntaje promedio por tipo de establecimiento</v>
      </c>
      <c r="L524" s="9" t="str">
        <f t="shared" si="725"/>
        <v>Periodo 2015 - 2018</v>
      </c>
      <c r="M524" s="9" t="str">
        <f t="shared" si="725"/>
        <v>Puntaje</v>
      </c>
      <c r="N524" s="9" t="str">
        <f t="shared" si="725"/>
        <v>Agencia de Calidad de la Educación</v>
      </c>
      <c r="O524" s="20" t="str">
        <f>+"Evolución de Puntaje SIMCE de Lectura por Dependencia de Establecimientos para 4° Básico en la "&amp;I524&amp;" para el "&amp;Agencia[[#This Row],[temporalidad]]</f>
        <v>Evolución de Puntaje SIMCE de Lectura por Dependencia de Establecimientos para 4° Básico en la Región Metropolitana para el Periodo 2015 - 2018</v>
      </c>
      <c r="P524" s="20"/>
      <c r="Q524" s="11" t="str">
        <f t="shared" ref="Q524:Q587" si="726">+Q523</f>
        <v>Gráfico de Evolución</v>
      </c>
      <c r="R524" s="20" t="str">
        <f>Agencia[[#This Row],[territorio]]&amp;" SIMCE básica cuarto educación puntaje lectura municipal subvencionado corporación lenguaje particular"</f>
        <v>Región Metropolitana SIMCE básica cuarto educación puntaje lectura municipal subvencionado corporación lenguaje particular</v>
      </c>
      <c r="S524" s="22" t="s">
        <v>423</v>
      </c>
      <c r="T524" s="69" t="str">
        <f>"200-C-"&amp;Agencia[[#This Row],[Filtro URL]]</f>
        <v>200-C-13</v>
      </c>
      <c r="U524" s="50" t="str">
        <f t="shared" ref="U524:U587" si="727">+U523</f>
        <v>#1774B9</v>
      </c>
      <c r="V524" s="118" t="str">
        <f>+Agencia[[#This Row],[idcoleccion]]&amp;"-"&amp;Agencia[[#This Row],[id]]</f>
        <v>990-0513</v>
      </c>
      <c r="W524" s="118">
        <f>+VLOOKUP(Agencia[[#This Row],[Filtro URL]],Estructura!$X$4:$Y$500,2,0)</f>
        <v>99200013</v>
      </c>
      <c r="X524" s="118" t="str">
        <f>+VLOOKUP(Agencia[[#This Row],[tema]],Estructura!$A$4:$C$500,3,0)</f>
        <v>T-1043</v>
      </c>
      <c r="Y524" s="118" t="str">
        <f>+VLOOKUP(Agencia[[#This Row],[contenido]],Estructura!$E$4:$G$500,3,0)</f>
        <v>C-1018</v>
      </c>
      <c r="Z524" s="118" t="str">
        <f>+VLOOKUP(Agencia[[#This Row],[Filtro Integrado]],Estructura!$I$4:$K$500,3,0)</f>
        <v>FI-991</v>
      </c>
      <c r="AA524" s="118" t="str">
        <f>+VLOOKUP(Agencia[[#This Row],[Muestra]],Estructura!$M$4:$O$500,3,0)</f>
        <v>M-1043</v>
      </c>
    </row>
    <row r="525" spans="1:27" ht="36" x14ac:dyDescent="0.3">
      <c r="A525" s="21" t="s">
        <v>1117</v>
      </c>
      <c r="B525" s="24">
        <f t="shared" ref="B525:D525" si="728">+B524</f>
        <v>990</v>
      </c>
      <c r="C525" s="25" t="str">
        <f t="shared" si="728"/>
        <v>Agencia Información</v>
      </c>
      <c r="D525" s="25" t="str">
        <f t="shared" si="728"/>
        <v>Educación</v>
      </c>
      <c r="E525" s="19">
        <v>14</v>
      </c>
      <c r="F525" s="18" t="s">
        <v>1524</v>
      </c>
      <c r="G525" s="18" t="s">
        <v>7427</v>
      </c>
      <c r="H525" s="35" t="s">
        <v>16</v>
      </c>
      <c r="I525" s="36" t="s">
        <v>381</v>
      </c>
      <c r="J525" s="9" t="str">
        <f t="shared" ref="J525:N525" si="729">+J524</f>
        <v>Comuna</v>
      </c>
      <c r="K525" s="9" t="str">
        <f t="shared" si="729"/>
        <v>Puntaje promedio por tipo de establecimiento</v>
      </c>
      <c r="L525" s="9" t="str">
        <f t="shared" si="729"/>
        <v>Periodo 2015 - 2018</v>
      </c>
      <c r="M525" s="9" t="str">
        <f t="shared" si="729"/>
        <v>Puntaje</v>
      </c>
      <c r="N525" s="9" t="str">
        <f t="shared" si="729"/>
        <v>Agencia de Calidad de la Educación</v>
      </c>
      <c r="O525" s="20" t="str">
        <f>+"Evolución de Puntaje SIMCE de Lectura por Dependencia de Establecimientos para 4° Básico en la "&amp;I525&amp;" para el "&amp;Agencia[[#This Row],[temporalidad]]</f>
        <v>Evolución de Puntaje SIMCE de Lectura por Dependencia de Establecimientos para 4° Básico en la Región de Los Ríos para el Periodo 2015 - 2018</v>
      </c>
      <c r="P525" s="20"/>
      <c r="Q525" s="11" t="str">
        <f t="shared" si="726"/>
        <v>Gráfico de Evolución</v>
      </c>
      <c r="R525" s="20" t="str">
        <f>Agencia[[#This Row],[territorio]]&amp;" SIMCE básica cuarto educación puntaje lectura municipal subvencionado corporación lenguaje particular"</f>
        <v>Región de Los Ríos SIMCE básica cuarto educación puntaje lectura municipal subvencionado corporación lenguaje particular</v>
      </c>
      <c r="S525" s="22" t="s">
        <v>423</v>
      </c>
      <c r="T525" s="68" t="str">
        <f>"100-C-"&amp;Agencia[[#This Row],[Filtro URL]]</f>
        <v>100-C-14</v>
      </c>
      <c r="U525" s="50" t="str">
        <f t="shared" si="727"/>
        <v>#1774B9</v>
      </c>
      <c r="V525" s="118" t="str">
        <f>+Agencia[[#This Row],[idcoleccion]]&amp;"-"&amp;Agencia[[#This Row],[id]]</f>
        <v>990-0514</v>
      </c>
      <c r="W525" s="118">
        <f>+VLOOKUP(Agencia[[#This Row],[Filtro URL]],Estructura!$X$4:$Y$500,2,0)</f>
        <v>99200014</v>
      </c>
      <c r="X525" s="118" t="str">
        <f>+VLOOKUP(Agencia[[#This Row],[tema]],Estructura!$A$4:$C$500,3,0)</f>
        <v>T-1043</v>
      </c>
      <c r="Y525" s="118" t="str">
        <f>+VLOOKUP(Agencia[[#This Row],[contenido]],Estructura!$E$4:$G$500,3,0)</f>
        <v>C-1018</v>
      </c>
      <c r="Z525" s="118" t="str">
        <f>+VLOOKUP(Agencia[[#This Row],[Filtro Integrado]],Estructura!$I$4:$K$500,3,0)</f>
        <v>FI-991</v>
      </c>
      <c r="AA525" s="118" t="str">
        <f>+VLOOKUP(Agencia[[#This Row],[Muestra]],Estructura!$M$4:$O$500,3,0)</f>
        <v>M-1043</v>
      </c>
    </row>
    <row r="526" spans="1:27" ht="36" x14ac:dyDescent="0.3">
      <c r="A526" s="21" t="s">
        <v>1118</v>
      </c>
      <c r="B526" s="24">
        <f t="shared" ref="B526:D526" si="730">+B525</f>
        <v>990</v>
      </c>
      <c r="C526" s="25" t="str">
        <f t="shared" si="730"/>
        <v>Agencia Información</v>
      </c>
      <c r="D526" s="25" t="str">
        <f t="shared" si="730"/>
        <v>Educación</v>
      </c>
      <c r="E526" s="19">
        <v>15</v>
      </c>
      <c r="F526" s="18" t="s">
        <v>1524</v>
      </c>
      <c r="G526" s="18" t="s">
        <v>7427</v>
      </c>
      <c r="H526" s="35" t="s">
        <v>16</v>
      </c>
      <c r="I526" s="36" t="s">
        <v>382</v>
      </c>
      <c r="J526" s="9" t="str">
        <f t="shared" ref="J526:N526" si="731">+J525</f>
        <v>Comuna</v>
      </c>
      <c r="K526" s="9" t="str">
        <f t="shared" si="731"/>
        <v>Puntaje promedio por tipo de establecimiento</v>
      </c>
      <c r="L526" s="9" t="str">
        <f t="shared" si="731"/>
        <v>Periodo 2015 - 2018</v>
      </c>
      <c r="M526" s="9" t="str">
        <f t="shared" si="731"/>
        <v>Puntaje</v>
      </c>
      <c r="N526" s="9" t="str">
        <f t="shared" si="731"/>
        <v>Agencia de Calidad de la Educación</v>
      </c>
      <c r="O526" s="20" t="str">
        <f>+"Evolución de Puntaje SIMCE de Lectura por Dependencia de Establecimientos para 4° Básico en la "&amp;I526&amp;" para el "&amp;Agencia[[#This Row],[temporalidad]]</f>
        <v>Evolución de Puntaje SIMCE de Lectura por Dependencia de Establecimientos para 4° Básico en la Región de Arica y Parinacota para el Periodo 2015 - 2018</v>
      </c>
      <c r="P526" s="20"/>
      <c r="Q526" s="11" t="str">
        <f t="shared" si="726"/>
        <v>Gráfico de Evolución</v>
      </c>
      <c r="R526" s="20" t="str">
        <f>Agencia[[#This Row],[territorio]]&amp;" SIMCE básica cuarto educación puntaje lectura municipal subvencionado corporación lenguaje particular"</f>
        <v>Región de Arica y Parinacota SIMCE básica cuarto educación puntaje lectura municipal subvencionado corporación lenguaje particular</v>
      </c>
      <c r="S526" s="22" t="s">
        <v>423</v>
      </c>
      <c r="T526" s="68" t="str">
        <f>"100-C-"&amp;Agencia[[#This Row],[Filtro URL]]</f>
        <v>100-C-15</v>
      </c>
      <c r="U526" s="50" t="str">
        <f t="shared" si="727"/>
        <v>#1774B9</v>
      </c>
      <c r="V526" s="118" t="str">
        <f>+Agencia[[#This Row],[idcoleccion]]&amp;"-"&amp;Agencia[[#This Row],[id]]</f>
        <v>990-0515</v>
      </c>
      <c r="W526" s="118">
        <f>+VLOOKUP(Agencia[[#This Row],[Filtro URL]],Estructura!$X$4:$Y$500,2,0)</f>
        <v>99200015</v>
      </c>
      <c r="X526" s="118" t="str">
        <f>+VLOOKUP(Agencia[[#This Row],[tema]],Estructura!$A$4:$C$500,3,0)</f>
        <v>T-1043</v>
      </c>
      <c r="Y526" s="118" t="str">
        <f>+VLOOKUP(Agencia[[#This Row],[contenido]],Estructura!$E$4:$G$500,3,0)</f>
        <v>C-1018</v>
      </c>
      <c r="Z526" s="118" t="str">
        <f>+VLOOKUP(Agencia[[#This Row],[Filtro Integrado]],Estructura!$I$4:$K$500,3,0)</f>
        <v>FI-991</v>
      </c>
      <c r="AA526" s="118" t="str">
        <f>+VLOOKUP(Agencia[[#This Row],[Muestra]],Estructura!$M$4:$O$500,3,0)</f>
        <v>M-1043</v>
      </c>
    </row>
    <row r="527" spans="1:27" ht="36" x14ac:dyDescent="0.3">
      <c r="A527" s="21" t="s">
        <v>1119</v>
      </c>
      <c r="B527" s="24">
        <f t="shared" ref="B527:D527" si="732">+B526</f>
        <v>990</v>
      </c>
      <c r="C527" s="25" t="str">
        <f t="shared" si="732"/>
        <v>Agencia Información</v>
      </c>
      <c r="D527" s="25" t="str">
        <f t="shared" si="732"/>
        <v>Educación</v>
      </c>
      <c r="E527" s="19">
        <v>16</v>
      </c>
      <c r="F527" s="18" t="s">
        <v>1524</v>
      </c>
      <c r="G527" s="18" t="s">
        <v>7427</v>
      </c>
      <c r="H527" s="35" t="s">
        <v>16</v>
      </c>
      <c r="I527" s="36" t="s">
        <v>383</v>
      </c>
      <c r="J527" s="9" t="str">
        <f t="shared" ref="J527:N527" si="733">+J526</f>
        <v>Comuna</v>
      </c>
      <c r="K527" s="9" t="str">
        <f t="shared" si="733"/>
        <v>Puntaje promedio por tipo de establecimiento</v>
      </c>
      <c r="L527" s="9" t="str">
        <f t="shared" si="733"/>
        <v>Periodo 2015 - 2018</v>
      </c>
      <c r="M527" s="9" t="str">
        <f t="shared" si="733"/>
        <v>Puntaje</v>
      </c>
      <c r="N527" s="9" t="str">
        <f t="shared" si="733"/>
        <v>Agencia de Calidad de la Educación</v>
      </c>
      <c r="O527" s="20" t="str">
        <f>+"Evolución de Puntaje SIMCE de Lectura por Dependencia de Establecimientos para 4° Básico en la "&amp;I527&amp;" para el "&amp;Agencia[[#This Row],[temporalidad]]</f>
        <v>Evolución de Puntaje SIMCE de Lectura por Dependencia de Establecimientos para 4° Básico en la Región de Ñuble para el Periodo 2015 - 2018</v>
      </c>
      <c r="P527" s="20"/>
      <c r="Q527" s="11" t="str">
        <f t="shared" si="726"/>
        <v>Gráfico de Evolución</v>
      </c>
      <c r="R527" s="20" t="str">
        <f>Agencia[[#This Row],[territorio]]&amp;" SIMCE básica cuarto educación puntaje lectura municipal subvencionado corporación lenguaje particular"</f>
        <v>Región de Ñuble SIMCE básica cuarto educación puntaje lectura municipal subvencionado corporación lenguaje particular</v>
      </c>
      <c r="S527" s="22" t="s">
        <v>423</v>
      </c>
      <c r="T527" s="68" t="str">
        <f>"100-C-"&amp;Agencia[[#This Row],[Filtro URL]]</f>
        <v>100-C-16</v>
      </c>
      <c r="U527" s="50" t="str">
        <f t="shared" si="727"/>
        <v>#1774B9</v>
      </c>
      <c r="V527" s="118" t="str">
        <f>+Agencia[[#This Row],[idcoleccion]]&amp;"-"&amp;Agencia[[#This Row],[id]]</f>
        <v>990-0516</v>
      </c>
      <c r="W527" s="118">
        <f>+VLOOKUP(Agencia[[#This Row],[Filtro URL]],Estructura!$X$4:$Y$500,2,0)</f>
        <v>99200016</v>
      </c>
      <c r="X527" s="118" t="str">
        <f>+VLOOKUP(Agencia[[#This Row],[tema]],Estructura!$A$4:$C$500,3,0)</f>
        <v>T-1043</v>
      </c>
      <c r="Y527" s="118" t="str">
        <f>+VLOOKUP(Agencia[[#This Row],[contenido]],Estructura!$E$4:$G$500,3,0)</f>
        <v>C-1018</v>
      </c>
      <c r="Z527" s="118" t="str">
        <f>+VLOOKUP(Agencia[[#This Row],[Filtro Integrado]],Estructura!$I$4:$K$500,3,0)</f>
        <v>FI-991</v>
      </c>
      <c r="AA527" s="118" t="str">
        <f>+VLOOKUP(Agencia[[#This Row],[Muestra]],Estructura!$M$4:$O$500,3,0)</f>
        <v>M-1043</v>
      </c>
    </row>
    <row r="528" spans="1:27" ht="61.2" x14ac:dyDescent="0.3">
      <c r="A528" s="21" t="s">
        <v>1120</v>
      </c>
      <c r="B528" s="24">
        <f t="shared" ref="B528:C528" si="734">+B527</f>
        <v>990</v>
      </c>
      <c r="C528" s="25" t="str">
        <f t="shared" si="734"/>
        <v>Agencia Información</v>
      </c>
      <c r="D528" s="25" t="s">
        <v>14</v>
      </c>
      <c r="E528" s="14">
        <v>0</v>
      </c>
      <c r="F528" s="18" t="s">
        <v>1524</v>
      </c>
      <c r="G528" s="18" t="s">
        <v>7427</v>
      </c>
      <c r="H528" s="33" t="s">
        <v>20</v>
      </c>
      <c r="I528" s="34" t="s">
        <v>15</v>
      </c>
      <c r="J528" s="9" t="s">
        <v>1032</v>
      </c>
      <c r="K528" s="9" t="s">
        <v>1532</v>
      </c>
      <c r="L528" s="9" t="s">
        <v>1527</v>
      </c>
      <c r="M528" s="9" t="s">
        <v>1529</v>
      </c>
      <c r="N528" s="9" t="s">
        <v>1526</v>
      </c>
      <c r="O528" s="20" t="str">
        <f>+"Evolución de Puntaje SIMCE de Lectura según área urbana o rural para 6° Básico en "&amp;I528&amp;" para el "&amp;Agencia[[#This Row],[temporalidad]]</f>
        <v>Evolución de Puntaje SIMCE de Lectura según área urbana o rural para 6° Básico en Chile para el Periodo 2015 - 2018</v>
      </c>
      <c r="P528" s="20" t="s">
        <v>1531</v>
      </c>
      <c r="Q528" s="11" t="s">
        <v>821</v>
      </c>
      <c r="R528" s="20" t="str">
        <f>Agencia[[#This Row],[territorio]]&amp;" SIMCE básica sexto educación puntaje lectura rural urbano lenguaje"</f>
        <v>Chile SIMCE básica sexto educación puntaje lectura rural urbano lenguaje</v>
      </c>
      <c r="S528" s="22" t="s">
        <v>8334</v>
      </c>
      <c r="T528" s="68" t="s">
        <v>1033</v>
      </c>
      <c r="U528" s="50" t="str">
        <f t="shared" si="727"/>
        <v>#1774B9</v>
      </c>
      <c r="V528" s="118" t="str">
        <f>+Agencia[[#This Row],[idcoleccion]]&amp;"-"&amp;Agencia[[#This Row],[id]]</f>
        <v>990-0517</v>
      </c>
      <c r="W528" s="118">
        <f>+VLOOKUP(Agencia[[#This Row],[Filtro URL]],Estructura!$X$4:$Y$500,2,0)</f>
        <v>99100000</v>
      </c>
      <c r="X528" s="118" t="str">
        <f>+VLOOKUP(Agencia[[#This Row],[tema]],Estructura!$A$4:$C$500,3,0)</f>
        <v>T-1043</v>
      </c>
      <c r="Y528" s="118" t="str">
        <f>+VLOOKUP(Agencia[[#This Row],[contenido]],Estructura!$E$4:$G$500,3,0)</f>
        <v>C-1018</v>
      </c>
      <c r="Z528" s="118" t="str">
        <f>+VLOOKUP(Agencia[[#This Row],[Filtro Integrado]],Estructura!$I$4:$K$500,3,0)</f>
        <v>FI-994</v>
      </c>
      <c r="AA528" s="118" t="str">
        <f>+VLOOKUP(Agencia[[#This Row],[Muestra]],Estructura!$M$4:$O$500,3,0)</f>
        <v>M-1044</v>
      </c>
    </row>
    <row r="529" spans="1:27" ht="30.6" x14ac:dyDescent="0.3">
      <c r="A529" s="21" t="s">
        <v>1121</v>
      </c>
      <c r="B529" s="24">
        <f t="shared" ref="B529:D529" si="735">+B528</f>
        <v>990</v>
      </c>
      <c r="C529" s="25" t="str">
        <f t="shared" si="735"/>
        <v>Agencia Información</v>
      </c>
      <c r="D529" s="25" t="str">
        <f t="shared" si="735"/>
        <v>Educación</v>
      </c>
      <c r="E529" s="19">
        <v>1</v>
      </c>
      <c r="F529" s="18" t="s">
        <v>1524</v>
      </c>
      <c r="G529" s="18" t="s">
        <v>7427</v>
      </c>
      <c r="H529" s="35" t="s">
        <v>16</v>
      </c>
      <c r="I529" s="36" t="s">
        <v>368</v>
      </c>
      <c r="J529" s="9" t="s">
        <v>18</v>
      </c>
      <c r="K529" s="9" t="str">
        <f t="shared" ref="K529:N529" si="736">+K528</f>
        <v>Puntaje promedio por comuna</v>
      </c>
      <c r="L529" s="9" t="str">
        <f t="shared" si="736"/>
        <v>Periodo 2015 - 2018</v>
      </c>
      <c r="M529" s="9" t="str">
        <f t="shared" si="736"/>
        <v>Puntaje</v>
      </c>
      <c r="N529" s="9" t="str">
        <f t="shared" si="736"/>
        <v>Agencia de Calidad de la Educación</v>
      </c>
      <c r="O529" s="20" t="str">
        <f>+"Evolución de Puntaje SIMCE de Lectura según área urbana o rural para 6° Básico en la "&amp;I529&amp;" para el "&amp;Agencia[[#This Row],[temporalidad]]</f>
        <v>Evolución de Puntaje SIMCE de Lectura según área urbana o rural para 6° Básico en la Región de Tarapacá para el Periodo 2015 - 2018</v>
      </c>
      <c r="P529" s="20"/>
      <c r="Q529" s="11" t="str">
        <f t="shared" si="726"/>
        <v>Gráfico de Evolución</v>
      </c>
      <c r="R529" s="20" t="str">
        <f>Agencia[[#This Row],[territorio]]&amp;" SIMCE básica sexto educación puntaje lectura rural urbano lenguaje"</f>
        <v>Región de Tarapacá SIMCE básica sexto educación puntaje lectura rural urbano lenguaje</v>
      </c>
      <c r="S529" s="22" t="s">
        <v>423</v>
      </c>
      <c r="T529" s="68" t="str">
        <f>"100-C-"&amp;Agencia[[#This Row],[Filtro URL]]</f>
        <v>100-C-1</v>
      </c>
      <c r="U529" s="50" t="str">
        <f t="shared" si="727"/>
        <v>#1774B9</v>
      </c>
      <c r="V529" s="118" t="str">
        <f>+Agencia[[#This Row],[idcoleccion]]&amp;"-"&amp;Agencia[[#This Row],[id]]</f>
        <v>990-0518</v>
      </c>
      <c r="W529" s="118">
        <f>+VLOOKUP(Agencia[[#This Row],[Filtro URL]],Estructura!$X$4:$Y$500,2,0)</f>
        <v>99200001</v>
      </c>
      <c r="X529" s="118" t="str">
        <f>+VLOOKUP(Agencia[[#This Row],[tema]],Estructura!$A$4:$C$500,3,0)</f>
        <v>T-1043</v>
      </c>
      <c r="Y529" s="118" t="str">
        <f>+VLOOKUP(Agencia[[#This Row],[contenido]],Estructura!$E$4:$G$500,3,0)</f>
        <v>C-1018</v>
      </c>
      <c r="Z529" s="118" t="str">
        <f>+VLOOKUP(Agencia[[#This Row],[Filtro Integrado]],Estructura!$I$4:$K$500,3,0)</f>
        <v>FI-991</v>
      </c>
      <c r="AA529" s="118" t="str">
        <f>+VLOOKUP(Agencia[[#This Row],[Muestra]],Estructura!$M$4:$O$500,3,0)</f>
        <v>M-1044</v>
      </c>
    </row>
    <row r="530" spans="1:27" ht="30.6" x14ac:dyDescent="0.3">
      <c r="A530" s="21" t="s">
        <v>1122</v>
      </c>
      <c r="B530" s="24">
        <f t="shared" ref="B530:D530" si="737">+B529</f>
        <v>990</v>
      </c>
      <c r="C530" s="25" t="str">
        <f t="shared" si="737"/>
        <v>Agencia Información</v>
      </c>
      <c r="D530" s="25" t="str">
        <f t="shared" si="737"/>
        <v>Educación</v>
      </c>
      <c r="E530" s="19">
        <v>2</v>
      </c>
      <c r="F530" s="18" t="s">
        <v>1524</v>
      </c>
      <c r="G530" s="18" t="s">
        <v>7427</v>
      </c>
      <c r="H530" s="35" t="s">
        <v>16</v>
      </c>
      <c r="I530" s="36" t="s">
        <v>369</v>
      </c>
      <c r="J530" s="9" t="str">
        <f t="shared" ref="J530:N530" si="738">+J529</f>
        <v>Comuna</v>
      </c>
      <c r="K530" s="9" t="str">
        <f t="shared" si="738"/>
        <v>Puntaje promedio por comuna</v>
      </c>
      <c r="L530" s="9" t="str">
        <f t="shared" si="738"/>
        <v>Periodo 2015 - 2018</v>
      </c>
      <c r="M530" s="9" t="str">
        <f t="shared" si="738"/>
        <v>Puntaje</v>
      </c>
      <c r="N530" s="9" t="str">
        <f t="shared" si="738"/>
        <v>Agencia de Calidad de la Educación</v>
      </c>
      <c r="O530" s="20" t="str">
        <f>+"Evolución de Puntaje SIMCE de Lectura según área urbana o rural para 6° Básico en la "&amp;I530&amp;" para el "&amp;Agencia[[#This Row],[temporalidad]]</f>
        <v>Evolución de Puntaje SIMCE de Lectura según área urbana o rural para 6° Básico en la Región de Antofagasta para el Periodo 2015 - 2018</v>
      </c>
      <c r="P530" s="20"/>
      <c r="Q530" s="11" t="str">
        <f t="shared" si="726"/>
        <v>Gráfico de Evolución</v>
      </c>
      <c r="R530" s="20" t="str">
        <f>Agencia[[#This Row],[territorio]]&amp;" SIMCE básica sexto educación puntaje lectura rural urbano lenguaje"</f>
        <v>Región de Antofagasta SIMCE básica sexto educación puntaje lectura rural urbano lenguaje</v>
      </c>
      <c r="S530" s="22" t="s">
        <v>423</v>
      </c>
      <c r="T530" s="68" t="str">
        <f>"100-C-"&amp;Agencia[[#This Row],[Filtro URL]]</f>
        <v>100-C-2</v>
      </c>
      <c r="U530" s="50" t="str">
        <f t="shared" si="727"/>
        <v>#1774B9</v>
      </c>
      <c r="V530" s="118" t="str">
        <f>+Agencia[[#This Row],[idcoleccion]]&amp;"-"&amp;Agencia[[#This Row],[id]]</f>
        <v>990-0519</v>
      </c>
      <c r="W530" s="118">
        <f>+VLOOKUP(Agencia[[#This Row],[Filtro URL]],Estructura!$X$4:$Y$500,2,0)</f>
        <v>99200002</v>
      </c>
      <c r="X530" s="118" t="str">
        <f>+VLOOKUP(Agencia[[#This Row],[tema]],Estructura!$A$4:$C$500,3,0)</f>
        <v>T-1043</v>
      </c>
      <c r="Y530" s="118" t="str">
        <f>+VLOOKUP(Agencia[[#This Row],[contenido]],Estructura!$E$4:$G$500,3,0)</f>
        <v>C-1018</v>
      </c>
      <c r="Z530" s="118" t="str">
        <f>+VLOOKUP(Agencia[[#This Row],[Filtro Integrado]],Estructura!$I$4:$K$500,3,0)</f>
        <v>FI-991</v>
      </c>
      <c r="AA530" s="118" t="str">
        <f>+VLOOKUP(Agencia[[#This Row],[Muestra]],Estructura!$M$4:$O$500,3,0)</f>
        <v>M-1044</v>
      </c>
    </row>
    <row r="531" spans="1:27" ht="30.6" x14ac:dyDescent="0.3">
      <c r="A531" s="21" t="s">
        <v>1123</v>
      </c>
      <c r="B531" s="24">
        <f t="shared" ref="B531:D531" si="739">+B530</f>
        <v>990</v>
      </c>
      <c r="C531" s="25" t="str">
        <f t="shared" si="739"/>
        <v>Agencia Información</v>
      </c>
      <c r="D531" s="25" t="str">
        <f t="shared" si="739"/>
        <v>Educación</v>
      </c>
      <c r="E531" s="19">
        <v>3</v>
      </c>
      <c r="F531" s="18" t="s">
        <v>1524</v>
      </c>
      <c r="G531" s="18" t="s">
        <v>7427</v>
      </c>
      <c r="H531" s="35" t="s">
        <v>16</v>
      </c>
      <c r="I531" s="36" t="s">
        <v>370</v>
      </c>
      <c r="J531" s="9" t="str">
        <f t="shared" ref="J531:N531" si="740">+J530</f>
        <v>Comuna</v>
      </c>
      <c r="K531" s="9" t="str">
        <f t="shared" si="740"/>
        <v>Puntaje promedio por comuna</v>
      </c>
      <c r="L531" s="9" t="str">
        <f t="shared" si="740"/>
        <v>Periodo 2015 - 2018</v>
      </c>
      <c r="M531" s="9" t="str">
        <f t="shared" si="740"/>
        <v>Puntaje</v>
      </c>
      <c r="N531" s="9" t="str">
        <f t="shared" si="740"/>
        <v>Agencia de Calidad de la Educación</v>
      </c>
      <c r="O531" s="20" t="str">
        <f>+"Evolución de Puntaje SIMCE de Lectura según área urbana o rural para 6° Básico en la "&amp;I531&amp;" para el "&amp;Agencia[[#This Row],[temporalidad]]</f>
        <v>Evolución de Puntaje SIMCE de Lectura según área urbana o rural para 6° Básico en la Región de Atacama para el Periodo 2015 - 2018</v>
      </c>
      <c r="P531" s="20"/>
      <c r="Q531" s="11" t="str">
        <f t="shared" si="726"/>
        <v>Gráfico de Evolución</v>
      </c>
      <c r="R531" s="20" t="str">
        <f>Agencia[[#This Row],[territorio]]&amp;" SIMCE básica sexto educación puntaje lectura rural urbano lenguaje"</f>
        <v>Región de Atacama SIMCE básica sexto educación puntaje lectura rural urbano lenguaje</v>
      </c>
      <c r="S531" s="22" t="s">
        <v>423</v>
      </c>
      <c r="T531" s="68" t="str">
        <f>"100-C-"&amp;Agencia[[#This Row],[Filtro URL]]</f>
        <v>100-C-3</v>
      </c>
      <c r="U531" s="50" t="str">
        <f t="shared" si="727"/>
        <v>#1774B9</v>
      </c>
      <c r="V531" s="118" t="str">
        <f>+Agencia[[#This Row],[idcoleccion]]&amp;"-"&amp;Agencia[[#This Row],[id]]</f>
        <v>990-0520</v>
      </c>
      <c r="W531" s="118">
        <f>+VLOOKUP(Agencia[[#This Row],[Filtro URL]],Estructura!$X$4:$Y$500,2,0)</f>
        <v>99200003</v>
      </c>
      <c r="X531" s="118" t="str">
        <f>+VLOOKUP(Agencia[[#This Row],[tema]],Estructura!$A$4:$C$500,3,0)</f>
        <v>T-1043</v>
      </c>
      <c r="Y531" s="118" t="str">
        <f>+VLOOKUP(Agencia[[#This Row],[contenido]],Estructura!$E$4:$G$500,3,0)</f>
        <v>C-1018</v>
      </c>
      <c r="Z531" s="118" t="str">
        <f>+VLOOKUP(Agencia[[#This Row],[Filtro Integrado]],Estructura!$I$4:$K$500,3,0)</f>
        <v>FI-991</v>
      </c>
      <c r="AA531" s="118" t="str">
        <f>+VLOOKUP(Agencia[[#This Row],[Muestra]],Estructura!$M$4:$O$500,3,0)</f>
        <v>M-1044</v>
      </c>
    </row>
    <row r="532" spans="1:27" ht="30.6" x14ac:dyDescent="0.3">
      <c r="A532" s="21" t="s">
        <v>1124</v>
      </c>
      <c r="B532" s="24">
        <f t="shared" ref="B532:D532" si="741">+B531</f>
        <v>990</v>
      </c>
      <c r="C532" s="25" t="str">
        <f t="shared" si="741"/>
        <v>Agencia Información</v>
      </c>
      <c r="D532" s="25" t="str">
        <f t="shared" si="741"/>
        <v>Educación</v>
      </c>
      <c r="E532" s="19">
        <v>4</v>
      </c>
      <c r="F532" s="18" t="s">
        <v>1524</v>
      </c>
      <c r="G532" s="18" t="s">
        <v>7427</v>
      </c>
      <c r="H532" s="35" t="s">
        <v>16</v>
      </c>
      <c r="I532" s="36" t="s">
        <v>371</v>
      </c>
      <c r="J532" s="9" t="str">
        <f t="shared" ref="J532:N532" si="742">+J531</f>
        <v>Comuna</v>
      </c>
      <c r="K532" s="9" t="str">
        <f t="shared" si="742"/>
        <v>Puntaje promedio por comuna</v>
      </c>
      <c r="L532" s="9" t="str">
        <f t="shared" si="742"/>
        <v>Periodo 2015 - 2018</v>
      </c>
      <c r="M532" s="9" t="str">
        <f t="shared" si="742"/>
        <v>Puntaje</v>
      </c>
      <c r="N532" s="9" t="str">
        <f t="shared" si="742"/>
        <v>Agencia de Calidad de la Educación</v>
      </c>
      <c r="O532" s="20" t="str">
        <f>+"Evolución de Puntaje SIMCE de Lectura según área urbana o rural para 6° Básico en la "&amp;I532&amp;" para el "&amp;Agencia[[#This Row],[temporalidad]]</f>
        <v>Evolución de Puntaje SIMCE de Lectura según área urbana o rural para 6° Básico en la Región de Coquimbo para el Periodo 2015 - 2018</v>
      </c>
      <c r="P532" s="20"/>
      <c r="Q532" s="11" t="str">
        <f t="shared" si="726"/>
        <v>Gráfico de Evolución</v>
      </c>
      <c r="R532" s="20" t="str">
        <f>Agencia[[#This Row],[territorio]]&amp;" SIMCE básica sexto educación puntaje lectura rural urbano lenguaje"</f>
        <v>Región de Coquimbo SIMCE básica sexto educación puntaje lectura rural urbano lenguaje</v>
      </c>
      <c r="S532" s="22" t="s">
        <v>423</v>
      </c>
      <c r="T532" s="68" t="str">
        <f>"100-C-"&amp;Agencia[[#This Row],[Filtro URL]]</f>
        <v>100-C-4</v>
      </c>
      <c r="U532" s="50" t="str">
        <f t="shared" si="727"/>
        <v>#1774B9</v>
      </c>
      <c r="V532" s="118" t="str">
        <f>+Agencia[[#This Row],[idcoleccion]]&amp;"-"&amp;Agencia[[#This Row],[id]]</f>
        <v>990-0521</v>
      </c>
      <c r="W532" s="118">
        <f>+VLOOKUP(Agencia[[#This Row],[Filtro URL]],Estructura!$X$4:$Y$500,2,0)</f>
        <v>99200004</v>
      </c>
      <c r="X532" s="118" t="str">
        <f>+VLOOKUP(Agencia[[#This Row],[tema]],Estructura!$A$4:$C$500,3,0)</f>
        <v>T-1043</v>
      </c>
      <c r="Y532" s="118" t="str">
        <f>+VLOOKUP(Agencia[[#This Row],[contenido]],Estructura!$E$4:$G$500,3,0)</f>
        <v>C-1018</v>
      </c>
      <c r="Z532" s="118" t="str">
        <f>+VLOOKUP(Agencia[[#This Row],[Filtro Integrado]],Estructura!$I$4:$K$500,3,0)</f>
        <v>FI-991</v>
      </c>
      <c r="AA532" s="118" t="str">
        <f>+VLOOKUP(Agencia[[#This Row],[Muestra]],Estructura!$M$4:$O$500,3,0)</f>
        <v>M-1044</v>
      </c>
    </row>
    <row r="533" spans="1:27" ht="30.6" x14ac:dyDescent="0.3">
      <c r="A533" s="21" t="s">
        <v>1125</v>
      </c>
      <c r="B533" s="24">
        <f t="shared" ref="B533:D533" si="743">+B532</f>
        <v>990</v>
      </c>
      <c r="C533" s="25" t="str">
        <f t="shared" si="743"/>
        <v>Agencia Información</v>
      </c>
      <c r="D533" s="25" t="str">
        <f t="shared" si="743"/>
        <v>Educación</v>
      </c>
      <c r="E533" s="19">
        <v>5</v>
      </c>
      <c r="F533" s="18" t="s">
        <v>1524</v>
      </c>
      <c r="G533" s="18" t="s">
        <v>7427</v>
      </c>
      <c r="H533" s="35" t="s">
        <v>16</v>
      </c>
      <c r="I533" s="36" t="s">
        <v>372</v>
      </c>
      <c r="J533" s="9" t="str">
        <f t="shared" ref="J533:N533" si="744">+J532</f>
        <v>Comuna</v>
      </c>
      <c r="K533" s="9" t="str">
        <f t="shared" si="744"/>
        <v>Puntaje promedio por comuna</v>
      </c>
      <c r="L533" s="9" t="str">
        <f t="shared" si="744"/>
        <v>Periodo 2015 - 2018</v>
      </c>
      <c r="M533" s="9" t="str">
        <f t="shared" si="744"/>
        <v>Puntaje</v>
      </c>
      <c r="N533" s="9" t="str">
        <f t="shared" si="744"/>
        <v>Agencia de Calidad de la Educación</v>
      </c>
      <c r="O533" s="20" t="str">
        <f>+"Evolución de Puntaje SIMCE de Lectura según área urbana o rural para 6° Básico en la "&amp;I533&amp;" para el "&amp;Agencia[[#This Row],[temporalidad]]</f>
        <v>Evolución de Puntaje SIMCE de Lectura según área urbana o rural para 6° Básico en la Región de Valparaíso para el Periodo 2015 - 2018</v>
      </c>
      <c r="P533" s="20"/>
      <c r="Q533" s="11" t="str">
        <f t="shared" si="726"/>
        <v>Gráfico de Evolución</v>
      </c>
      <c r="R533" s="20" t="str">
        <f>Agencia[[#This Row],[territorio]]&amp;" SIMCE básica sexto educación puntaje lectura rural urbano lenguaje"</f>
        <v>Región de Valparaíso SIMCE básica sexto educación puntaje lectura rural urbano lenguaje</v>
      </c>
      <c r="S533" s="22" t="s">
        <v>423</v>
      </c>
      <c r="T533" s="68" t="str">
        <f>"100-C-"&amp;Agencia[[#This Row],[Filtro URL]]</f>
        <v>100-C-5</v>
      </c>
      <c r="U533" s="50" t="str">
        <f t="shared" si="727"/>
        <v>#1774B9</v>
      </c>
      <c r="V533" s="118" t="str">
        <f>+Agencia[[#This Row],[idcoleccion]]&amp;"-"&amp;Agencia[[#This Row],[id]]</f>
        <v>990-0522</v>
      </c>
      <c r="W533" s="118">
        <f>+VLOOKUP(Agencia[[#This Row],[Filtro URL]],Estructura!$X$4:$Y$500,2,0)</f>
        <v>99200005</v>
      </c>
      <c r="X533" s="118" t="str">
        <f>+VLOOKUP(Agencia[[#This Row],[tema]],Estructura!$A$4:$C$500,3,0)</f>
        <v>T-1043</v>
      </c>
      <c r="Y533" s="118" t="str">
        <f>+VLOOKUP(Agencia[[#This Row],[contenido]],Estructura!$E$4:$G$500,3,0)</f>
        <v>C-1018</v>
      </c>
      <c r="Z533" s="118" t="str">
        <f>+VLOOKUP(Agencia[[#This Row],[Filtro Integrado]],Estructura!$I$4:$K$500,3,0)</f>
        <v>FI-991</v>
      </c>
      <c r="AA533" s="118" t="str">
        <f>+VLOOKUP(Agencia[[#This Row],[Muestra]],Estructura!$M$4:$O$500,3,0)</f>
        <v>M-1044</v>
      </c>
    </row>
    <row r="534" spans="1:27" ht="30.6" x14ac:dyDescent="0.3">
      <c r="A534" s="21" t="s">
        <v>1126</v>
      </c>
      <c r="B534" s="24">
        <f t="shared" ref="B534:D534" si="745">+B533</f>
        <v>990</v>
      </c>
      <c r="C534" s="25" t="str">
        <f t="shared" si="745"/>
        <v>Agencia Información</v>
      </c>
      <c r="D534" s="25" t="str">
        <f t="shared" si="745"/>
        <v>Educación</v>
      </c>
      <c r="E534" s="19">
        <v>6</v>
      </c>
      <c r="F534" s="18" t="s">
        <v>1524</v>
      </c>
      <c r="G534" s="18" t="s">
        <v>7427</v>
      </c>
      <c r="H534" s="35" t="s">
        <v>16</v>
      </c>
      <c r="I534" s="36" t="s">
        <v>373</v>
      </c>
      <c r="J534" s="9" t="str">
        <f t="shared" ref="J534:N534" si="746">+J533</f>
        <v>Comuna</v>
      </c>
      <c r="K534" s="9" t="str">
        <f t="shared" si="746"/>
        <v>Puntaje promedio por comuna</v>
      </c>
      <c r="L534" s="9" t="str">
        <f t="shared" si="746"/>
        <v>Periodo 2015 - 2018</v>
      </c>
      <c r="M534" s="9" t="str">
        <f t="shared" si="746"/>
        <v>Puntaje</v>
      </c>
      <c r="N534" s="9" t="str">
        <f t="shared" si="746"/>
        <v>Agencia de Calidad de la Educación</v>
      </c>
      <c r="O534" s="20" t="str">
        <f>+"Evolución de Puntaje SIMCE de Lectura según área urbana o rural para 6° Básico en la "&amp;I534&amp;" para el "&amp;Agencia[[#This Row],[temporalidad]]</f>
        <v>Evolución de Puntaje SIMCE de Lectura según área urbana o rural para 6° Básico en la Región de O'Higgins para el Periodo 2015 - 2018</v>
      </c>
      <c r="P534" s="20"/>
      <c r="Q534" s="11" t="str">
        <f t="shared" si="726"/>
        <v>Gráfico de Evolución</v>
      </c>
      <c r="R534" s="20" t="str">
        <f>Agencia[[#This Row],[territorio]]&amp;" SIMCE básica sexto educación puntaje lectura rural urbano lenguaje"</f>
        <v>Región de O'Higgins SIMCE básica sexto educación puntaje lectura rural urbano lenguaje</v>
      </c>
      <c r="S534" s="22" t="s">
        <v>423</v>
      </c>
      <c r="T534" s="68" t="str">
        <f>"100-C-"&amp;Agencia[[#This Row],[Filtro URL]]</f>
        <v>100-C-6</v>
      </c>
      <c r="U534" s="50" t="str">
        <f t="shared" si="727"/>
        <v>#1774B9</v>
      </c>
      <c r="V534" s="118" t="str">
        <f>+Agencia[[#This Row],[idcoleccion]]&amp;"-"&amp;Agencia[[#This Row],[id]]</f>
        <v>990-0523</v>
      </c>
      <c r="W534" s="118">
        <f>+VLOOKUP(Agencia[[#This Row],[Filtro URL]],Estructura!$X$4:$Y$500,2,0)</f>
        <v>99200006</v>
      </c>
      <c r="X534" s="118" t="str">
        <f>+VLOOKUP(Agencia[[#This Row],[tema]],Estructura!$A$4:$C$500,3,0)</f>
        <v>T-1043</v>
      </c>
      <c r="Y534" s="118" t="str">
        <f>+VLOOKUP(Agencia[[#This Row],[contenido]],Estructura!$E$4:$G$500,3,0)</f>
        <v>C-1018</v>
      </c>
      <c r="Z534" s="118" t="str">
        <f>+VLOOKUP(Agencia[[#This Row],[Filtro Integrado]],Estructura!$I$4:$K$500,3,0)</f>
        <v>FI-991</v>
      </c>
      <c r="AA534" s="118" t="str">
        <f>+VLOOKUP(Agencia[[#This Row],[Muestra]],Estructura!$M$4:$O$500,3,0)</f>
        <v>M-1044</v>
      </c>
    </row>
    <row r="535" spans="1:27" ht="30.6" x14ac:dyDescent="0.3">
      <c r="A535" s="21" t="s">
        <v>1127</v>
      </c>
      <c r="B535" s="24">
        <f t="shared" ref="B535:D535" si="747">+B534</f>
        <v>990</v>
      </c>
      <c r="C535" s="25" t="str">
        <f t="shared" si="747"/>
        <v>Agencia Información</v>
      </c>
      <c r="D535" s="25" t="str">
        <f t="shared" si="747"/>
        <v>Educación</v>
      </c>
      <c r="E535" s="19">
        <v>7</v>
      </c>
      <c r="F535" s="18" t="s">
        <v>1524</v>
      </c>
      <c r="G535" s="18" t="s">
        <v>7427</v>
      </c>
      <c r="H535" s="35" t="s">
        <v>16</v>
      </c>
      <c r="I535" s="36" t="s">
        <v>374</v>
      </c>
      <c r="J535" s="9" t="str">
        <f t="shared" ref="J535:N535" si="748">+J534</f>
        <v>Comuna</v>
      </c>
      <c r="K535" s="9" t="str">
        <f t="shared" si="748"/>
        <v>Puntaje promedio por comuna</v>
      </c>
      <c r="L535" s="9" t="str">
        <f t="shared" si="748"/>
        <v>Periodo 2015 - 2018</v>
      </c>
      <c r="M535" s="9" t="str">
        <f t="shared" si="748"/>
        <v>Puntaje</v>
      </c>
      <c r="N535" s="9" t="str">
        <f t="shared" si="748"/>
        <v>Agencia de Calidad de la Educación</v>
      </c>
      <c r="O535" s="20" t="str">
        <f>+"Evolución de Puntaje SIMCE de Lectura según área urbana o rural para 6° Básico en la "&amp;I535&amp;" para el "&amp;Agencia[[#This Row],[temporalidad]]</f>
        <v>Evolución de Puntaje SIMCE de Lectura según área urbana o rural para 6° Básico en la Región de Maule para el Periodo 2015 - 2018</v>
      </c>
      <c r="P535" s="20"/>
      <c r="Q535" s="11" t="str">
        <f t="shared" si="726"/>
        <v>Gráfico de Evolución</v>
      </c>
      <c r="R535" s="20" t="str">
        <f>Agencia[[#This Row],[territorio]]&amp;" SIMCE básica sexto educación puntaje lectura rural urbano lenguaje"</f>
        <v>Región de Maule SIMCE básica sexto educación puntaje lectura rural urbano lenguaje</v>
      </c>
      <c r="S535" s="22" t="s">
        <v>423</v>
      </c>
      <c r="T535" s="68" t="str">
        <f>"100-C-"&amp;Agencia[[#This Row],[Filtro URL]]</f>
        <v>100-C-7</v>
      </c>
      <c r="U535" s="50" t="str">
        <f t="shared" si="727"/>
        <v>#1774B9</v>
      </c>
      <c r="V535" s="118" t="str">
        <f>+Agencia[[#This Row],[idcoleccion]]&amp;"-"&amp;Agencia[[#This Row],[id]]</f>
        <v>990-0524</v>
      </c>
      <c r="W535" s="118">
        <f>+VLOOKUP(Agencia[[#This Row],[Filtro URL]],Estructura!$X$4:$Y$500,2,0)</f>
        <v>99200007</v>
      </c>
      <c r="X535" s="118" t="str">
        <f>+VLOOKUP(Agencia[[#This Row],[tema]],Estructura!$A$4:$C$500,3,0)</f>
        <v>T-1043</v>
      </c>
      <c r="Y535" s="118" t="str">
        <f>+VLOOKUP(Agencia[[#This Row],[contenido]],Estructura!$E$4:$G$500,3,0)</f>
        <v>C-1018</v>
      </c>
      <c r="Z535" s="118" t="str">
        <f>+VLOOKUP(Agencia[[#This Row],[Filtro Integrado]],Estructura!$I$4:$K$500,3,0)</f>
        <v>FI-991</v>
      </c>
      <c r="AA535" s="118" t="str">
        <f>+VLOOKUP(Agencia[[#This Row],[Muestra]],Estructura!$M$4:$O$500,3,0)</f>
        <v>M-1044</v>
      </c>
    </row>
    <row r="536" spans="1:27" ht="30.6" x14ac:dyDescent="0.3">
      <c r="A536" s="21" t="s">
        <v>1128</v>
      </c>
      <c r="B536" s="24">
        <f t="shared" ref="B536:D536" si="749">+B535</f>
        <v>990</v>
      </c>
      <c r="C536" s="25" t="str">
        <f t="shared" si="749"/>
        <v>Agencia Información</v>
      </c>
      <c r="D536" s="25" t="str">
        <f t="shared" si="749"/>
        <v>Educación</v>
      </c>
      <c r="E536" s="19">
        <v>8</v>
      </c>
      <c r="F536" s="18" t="s">
        <v>1524</v>
      </c>
      <c r="G536" s="18" t="s">
        <v>7427</v>
      </c>
      <c r="H536" s="35" t="s">
        <v>16</v>
      </c>
      <c r="I536" s="36" t="s">
        <v>375</v>
      </c>
      <c r="J536" s="9" t="str">
        <f t="shared" ref="J536:N536" si="750">+J535</f>
        <v>Comuna</v>
      </c>
      <c r="K536" s="9" t="str">
        <f t="shared" si="750"/>
        <v>Puntaje promedio por comuna</v>
      </c>
      <c r="L536" s="9" t="str">
        <f t="shared" si="750"/>
        <v>Periodo 2015 - 2018</v>
      </c>
      <c r="M536" s="9" t="str">
        <f t="shared" si="750"/>
        <v>Puntaje</v>
      </c>
      <c r="N536" s="9" t="str">
        <f t="shared" si="750"/>
        <v>Agencia de Calidad de la Educación</v>
      </c>
      <c r="O536" s="20" t="str">
        <f>+"Evolución de Puntaje SIMCE de Lectura según área urbana o rural para 6° Básico en la "&amp;I536&amp;" para el "&amp;Agencia[[#This Row],[temporalidad]]</f>
        <v>Evolución de Puntaje SIMCE de Lectura según área urbana o rural para 6° Básico en la Región del Biobío para el Periodo 2015 - 2018</v>
      </c>
      <c r="P536" s="20"/>
      <c r="Q536" s="11" t="str">
        <f t="shared" si="726"/>
        <v>Gráfico de Evolución</v>
      </c>
      <c r="R536" s="20" t="str">
        <f>Agencia[[#This Row],[territorio]]&amp;" SIMCE básica sexto educación puntaje lectura rural urbano lenguaje"</f>
        <v>Región del Biobío SIMCE básica sexto educación puntaje lectura rural urbano lenguaje</v>
      </c>
      <c r="S536" s="22" t="s">
        <v>423</v>
      </c>
      <c r="T536" s="68" t="str">
        <f>"100-C-"&amp;Agencia[[#This Row],[Filtro URL]]</f>
        <v>100-C-8</v>
      </c>
      <c r="U536" s="50" t="str">
        <f t="shared" si="727"/>
        <v>#1774B9</v>
      </c>
      <c r="V536" s="118" t="str">
        <f>+Agencia[[#This Row],[idcoleccion]]&amp;"-"&amp;Agencia[[#This Row],[id]]</f>
        <v>990-0525</v>
      </c>
      <c r="W536" s="118">
        <f>+VLOOKUP(Agencia[[#This Row],[Filtro URL]],Estructura!$X$4:$Y$500,2,0)</f>
        <v>99200008</v>
      </c>
      <c r="X536" s="118" t="str">
        <f>+VLOOKUP(Agencia[[#This Row],[tema]],Estructura!$A$4:$C$500,3,0)</f>
        <v>T-1043</v>
      </c>
      <c r="Y536" s="118" t="str">
        <f>+VLOOKUP(Agencia[[#This Row],[contenido]],Estructura!$E$4:$G$500,3,0)</f>
        <v>C-1018</v>
      </c>
      <c r="Z536" s="118" t="str">
        <f>+VLOOKUP(Agencia[[#This Row],[Filtro Integrado]],Estructura!$I$4:$K$500,3,0)</f>
        <v>FI-991</v>
      </c>
      <c r="AA536" s="118" t="str">
        <f>+VLOOKUP(Agencia[[#This Row],[Muestra]],Estructura!$M$4:$O$500,3,0)</f>
        <v>M-1044</v>
      </c>
    </row>
    <row r="537" spans="1:27" ht="30.6" x14ac:dyDescent="0.3">
      <c r="A537" s="21" t="s">
        <v>1129</v>
      </c>
      <c r="B537" s="24">
        <f t="shared" ref="B537:D537" si="751">+B536</f>
        <v>990</v>
      </c>
      <c r="C537" s="25" t="str">
        <f t="shared" si="751"/>
        <v>Agencia Información</v>
      </c>
      <c r="D537" s="25" t="str">
        <f t="shared" si="751"/>
        <v>Educación</v>
      </c>
      <c r="E537" s="19">
        <v>9</v>
      </c>
      <c r="F537" s="18" t="s">
        <v>1524</v>
      </c>
      <c r="G537" s="18" t="s">
        <v>7427</v>
      </c>
      <c r="H537" s="35" t="s">
        <v>16</v>
      </c>
      <c r="I537" s="36" t="s">
        <v>376</v>
      </c>
      <c r="J537" s="9" t="str">
        <f t="shared" ref="J537:N537" si="752">+J536</f>
        <v>Comuna</v>
      </c>
      <c r="K537" s="9" t="str">
        <f t="shared" si="752"/>
        <v>Puntaje promedio por comuna</v>
      </c>
      <c r="L537" s="9" t="str">
        <f t="shared" si="752"/>
        <v>Periodo 2015 - 2018</v>
      </c>
      <c r="M537" s="9" t="str">
        <f t="shared" si="752"/>
        <v>Puntaje</v>
      </c>
      <c r="N537" s="9" t="str">
        <f t="shared" si="752"/>
        <v>Agencia de Calidad de la Educación</v>
      </c>
      <c r="O537" s="20" t="str">
        <f>+"Evolución de Puntaje SIMCE de Lectura según área urbana o rural para 6° Básico en la "&amp;I537&amp;" para el "&amp;Agencia[[#This Row],[temporalidad]]</f>
        <v>Evolución de Puntaje SIMCE de Lectura según área urbana o rural para 6° Básico en la Región de La Araucanía para el Periodo 2015 - 2018</v>
      </c>
      <c r="P537" s="20"/>
      <c r="Q537" s="11" t="str">
        <f t="shared" si="726"/>
        <v>Gráfico de Evolución</v>
      </c>
      <c r="R537" s="20" t="str">
        <f>Agencia[[#This Row],[territorio]]&amp;" SIMCE básica sexto educación puntaje lectura rural urbano lenguaje"</f>
        <v>Región de La Araucanía SIMCE básica sexto educación puntaje lectura rural urbano lenguaje</v>
      </c>
      <c r="S537" s="22" t="s">
        <v>423</v>
      </c>
      <c r="T537" s="68" t="str">
        <f>"100-C-"&amp;Agencia[[#This Row],[Filtro URL]]</f>
        <v>100-C-9</v>
      </c>
      <c r="U537" s="50" t="str">
        <f t="shared" si="727"/>
        <v>#1774B9</v>
      </c>
      <c r="V537" s="118" t="str">
        <f>+Agencia[[#This Row],[idcoleccion]]&amp;"-"&amp;Agencia[[#This Row],[id]]</f>
        <v>990-0526</v>
      </c>
      <c r="W537" s="118">
        <f>+VLOOKUP(Agencia[[#This Row],[Filtro URL]],Estructura!$X$4:$Y$500,2,0)</f>
        <v>99200009</v>
      </c>
      <c r="X537" s="118" t="str">
        <f>+VLOOKUP(Agencia[[#This Row],[tema]],Estructura!$A$4:$C$500,3,0)</f>
        <v>T-1043</v>
      </c>
      <c r="Y537" s="118" t="str">
        <f>+VLOOKUP(Agencia[[#This Row],[contenido]],Estructura!$E$4:$G$500,3,0)</f>
        <v>C-1018</v>
      </c>
      <c r="Z537" s="118" t="str">
        <f>+VLOOKUP(Agencia[[#This Row],[Filtro Integrado]],Estructura!$I$4:$K$500,3,0)</f>
        <v>FI-991</v>
      </c>
      <c r="AA537" s="118" t="str">
        <f>+VLOOKUP(Agencia[[#This Row],[Muestra]],Estructura!$M$4:$O$500,3,0)</f>
        <v>M-1044</v>
      </c>
    </row>
    <row r="538" spans="1:27" ht="30.6" x14ac:dyDescent="0.3">
      <c r="A538" s="21" t="s">
        <v>1130</v>
      </c>
      <c r="B538" s="24">
        <f t="shared" ref="B538:D538" si="753">+B537</f>
        <v>990</v>
      </c>
      <c r="C538" s="25" t="str">
        <f t="shared" si="753"/>
        <v>Agencia Información</v>
      </c>
      <c r="D538" s="25" t="str">
        <f t="shared" si="753"/>
        <v>Educación</v>
      </c>
      <c r="E538" s="19">
        <v>10</v>
      </c>
      <c r="F538" s="18" t="s">
        <v>1524</v>
      </c>
      <c r="G538" s="18" t="s">
        <v>7427</v>
      </c>
      <c r="H538" s="35" t="s">
        <v>16</v>
      </c>
      <c r="I538" s="36" t="s">
        <v>377</v>
      </c>
      <c r="J538" s="9" t="str">
        <f t="shared" ref="J538:N538" si="754">+J537</f>
        <v>Comuna</v>
      </c>
      <c r="K538" s="9" t="str">
        <f t="shared" si="754"/>
        <v>Puntaje promedio por comuna</v>
      </c>
      <c r="L538" s="9" t="str">
        <f t="shared" si="754"/>
        <v>Periodo 2015 - 2018</v>
      </c>
      <c r="M538" s="9" t="str">
        <f t="shared" si="754"/>
        <v>Puntaje</v>
      </c>
      <c r="N538" s="9" t="str">
        <f t="shared" si="754"/>
        <v>Agencia de Calidad de la Educación</v>
      </c>
      <c r="O538" s="20" t="str">
        <f>+"Evolución de Puntaje SIMCE de Lectura según área urbana o rural para 6° Básico en la "&amp;I538&amp;" para el "&amp;Agencia[[#This Row],[temporalidad]]</f>
        <v>Evolución de Puntaje SIMCE de Lectura según área urbana o rural para 6° Básico en la Región de Los Lagos para el Periodo 2015 - 2018</v>
      </c>
      <c r="P538" s="20"/>
      <c r="Q538" s="11" t="str">
        <f t="shared" si="726"/>
        <v>Gráfico de Evolución</v>
      </c>
      <c r="R538" s="20" t="str">
        <f>Agencia[[#This Row],[territorio]]&amp;" SIMCE básica sexto educación puntaje lectura rural urbano lenguaje"</f>
        <v>Región de Los Lagos SIMCE básica sexto educación puntaje lectura rural urbano lenguaje</v>
      </c>
      <c r="S538" s="22" t="s">
        <v>423</v>
      </c>
      <c r="T538" s="68" t="str">
        <f>"100-C-"&amp;Agencia[[#This Row],[Filtro URL]]</f>
        <v>100-C-10</v>
      </c>
      <c r="U538" s="50" t="str">
        <f t="shared" si="727"/>
        <v>#1774B9</v>
      </c>
      <c r="V538" s="118" t="str">
        <f>+Agencia[[#This Row],[idcoleccion]]&amp;"-"&amp;Agencia[[#This Row],[id]]</f>
        <v>990-0527</v>
      </c>
      <c r="W538" s="118">
        <f>+VLOOKUP(Agencia[[#This Row],[Filtro URL]],Estructura!$X$4:$Y$500,2,0)</f>
        <v>99200010</v>
      </c>
      <c r="X538" s="118" t="str">
        <f>+VLOOKUP(Agencia[[#This Row],[tema]],Estructura!$A$4:$C$500,3,0)</f>
        <v>T-1043</v>
      </c>
      <c r="Y538" s="118" t="str">
        <f>+VLOOKUP(Agencia[[#This Row],[contenido]],Estructura!$E$4:$G$500,3,0)</f>
        <v>C-1018</v>
      </c>
      <c r="Z538" s="118" t="str">
        <f>+VLOOKUP(Agencia[[#This Row],[Filtro Integrado]],Estructura!$I$4:$K$500,3,0)</f>
        <v>FI-991</v>
      </c>
      <c r="AA538" s="118" t="str">
        <f>+VLOOKUP(Agencia[[#This Row],[Muestra]],Estructura!$M$4:$O$500,3,0)</f>
        <v>M-1044</v>
      </c>
    </row>
    <row r="539" spans="1:27" ht="30.6" x14ac:dyDescent="0.3">
      <c r="A539" s="21" t="s">
        <v>1131</v>
      </c>
      <c r="B539" s="24">
        <f t="shared" ref="B539:D539" si="755">+B538</f>
        <v>990</v>
      </c>
      <c r="C539" s="25" t="str">
        <f t="shared" si="755"/>
        <v>Agencia Información</v>
      </c>
      <c r="D539" s="25" t="str">
        <f t="shared" si="755"/>
        <v>Educación</v>
      </c>
      <c r="E539" s="19">
        <v>11</v>
      </c>
      <c r="F539" s="18" t="s">
        <v>1524</v>
      </c>
      <c r="G539" s="18" t="s">
        <v>7427</v>
      </c>
      <c r="H539" s="35" t="s">
        <v>16</v>
      </c>
      <c r="I539" s="36" t="s">
        <v>378</v>
      </c>
      <c r="J539" s="9" t="str">
        <f t="shared" ref="J539:N539" si="756">+J538</f>
        <v>Comuna</v>
      </c>
      <c r="K539" s="9" t="str">
        <f t="shared" si="756"/>
        <v>Puntaje promedio por comuna</v>
      </c>
      <c r="L539" s="9" t="str">
        <f t="shared" si="756"/>
        <v>Periodo 2015 - 2018</v>
      </c>
      <c r="M539" s="9" t="str">
        <f t="shared" si="756"/>
        <v>Puntaje</v>
      </c>
      <c r="N539" s="9" t="str">
        <f t="shared" si="756"/>
        <v>Agencia de Calidad de la Educación</v>
      </c>
      <c r="O539" s="20" t="str">
        <f>+"Evolución de Puntaje SIMCE de Lectura según área urbana o rural para 6° Básico en la "&amp;I539&amp;" para el "&amp;Agencia[[#This Row],[temporalidad]]</f>
        <v>Evolución de Puntaje SIMCE de Lectura según área urbana o rural para 6° Básico en la Región de Aysén para el Periodo 2015 - 2018</v>
      </c>
      <c r="P539" s="20"/>
      <c r="Q539" s="11" t="str">
        <f t="shared" si="726"/>
        <v>Gráfico de Evolución</v>
      </c>
      <c r="R539" s="20" t="str">
        <f>Agencia[[#This Row],[territorio]]&amp;" SIMCE básica sexto educación puntaje lectura rural urbano lenguaje"</f>
        <v>Región de Aysén SIMCE básica sexto educación puntaje lectura rural urbano lenguaje</v>
      </c>
      <c r="S539" s="22" t="s">
        <v>423</v>
      </c>
      <c r="T539" s="68" t="str">
        <f>"100-C-"&amp;Agencia[[#This Row],[Filtro URL]]</f>
        <v>100-C-11</v>
      </c>
      <c r="U539" s="50" t="str">
        <f t="shared" si="727"/>
        <v>#1774B9</v>
      </c>
      <c r="V539" s="118" t="str">
        <f>+Agencia[[#This Row],[idcoleccion]]&amp;"-"&amp;Agencia[[#This Row],[id]]</f>
        <v>990-0528</v>
      </c>
      <c r="W539" s="118">
        <f>+VLOOKUP(Agencia[[#This Row],[Filtro URL]],Estructura!$X$4:$Y$500,2,0)</f>
        <v>99200011</v>
      </c>
      <c r="X539" s="118" t="str">
        <f>+VLOOKUP(Agencia[[#This Row],[tema]],Estructura!$A$4:$C$500,3,0)</f>
        <v>T-1043</v>
      </c>
      <c r="Y539" s="118" t="str">
        <f>+VLOOKUP(Agencia[[#This Row],[contenido]],Estructura!$E$4:$G$500,3,0)</f>
        <v>C-1018</v>
      </c>
      <c r="Z539" s="118" t="str">
        <f>+VLOOKUP(Agencia[[#This Row],[Filtro Integrado]],Estructura!$I$4:$K$500,3,0)</f>
        <v>FI-991</v>
      </c>
      <c r="AA539" s="118" t="str">
        <f>+VLOOKUP(Agencia[[#This Row],[Muestra]],Estructura!$M$4:$O$500,3,0)</f>
        <v>M-1044</v>
      </c>
    </row>
    <row r="540" spans="1:27" ht="30.6" x14ac:dyDescent="0.3">
      <c r="A540" s="21" t="s">
        <v>1132</v>
      </c>
      <c r="B540" s="24">
        <f t="shared" ref="B540:D540" si="757">+B539</f>
        <v>990</v>
      </c>
      <c r="C540" s="25" t="str">
        <f t="shared" si="757"/>
        <v>Agencia Información</v>
      </c>
      <c r="D540" s="25" t="str">
        <f t="shared" si="757"/>
        <v>Educación</v>
      </c>
      <c r="E540" s="19">
        <v>12</v>
      </c>
      <c r="F540" s="18" t="s">
        <v>1524</v>
      </c>
      <c r="G540" s="18" t="s">
        <v>7427</v>
      </c>
      <c r="H540" s="35" t="s">
        <v>16</v>
      </c>
      <c r="I540" s="36" t="s">
        <v>379</v>
      </c>
      <c r="J540" s="9" t="str">
        <f t="shared" ref="J540:N540" si="758">+J539</f>
        <v>Comuna</v>
      </c>
      <c r="K540" s="9" t="str">
        <f t="shared" si="758"/>
        <v>Puntaje promedio por comuna</v>
      </c>
      <c r="L540" s="9" t="str">
        <f t="shared" si="758"/>
        <v>Periodo 2015 - 2018</v>
      </c>
      <c r="M540" s="9" t="str">
        <f t="shared" si="758"/>
        <v>Puntaje</v>
      </c>
      <c r="N540" s="9" t="str">
        <f t="shared" si="758"/>
        <v>Agencia de Calidad de la Educación</v>
      </c>
      <c r="O540" s="20" t="str">
        <f>+"Evolución de Puntaje SIMCE de Lectura según área urbana o rural para 6° Básico en la "&amp;I540&amp;" para el "&amp;Agencia[[#This Row],[temporalidad]]</f>
        <v>Evolución de Puntaje SIMCE de Lectura según área urbana o rural para 6° Básico en la Región de Magallanes para el Periodo 2015 - 2018</v>
      </c>
      <c r="P540" s="20"/>
      <c r="Q540" s="11" t="str">
        <f t="shared" si="726"/>
        <v>Gráfico de Evolución</v>
      </c>
      <c r="R540" s="20" t="str">
        <f>Agencia[[#This Row],[territorio]]&amp;" SIMCE básica sexto educación puntaje lectura rural urbano lenguaje"</f>
        <v>Región de Magallanes SIMCE básica sexto educación puntaje lectura rural urbano lenguaje</v>
      </c>
      <c r="S540" s="22" t="s">
        <v>423</v>
      </c>
      <c r="T540" s="68" t="str">
        <f>"100-C-"&amp;Agencia[[#This Row],[Filtro URL]]</f>
        <v>100-C-12</v>
      </c>
      <c r="U540" s="50" t="str">
        <f t="shared" si="727"/>
        <v>#1774B9</v>
      </c>
      <c r="V540" s="118" t="str">
        <f>+Agencia[[#This Row],[idcoleccion]]&amp;"-"&amp;Agencia[[#This Row],[id]]</f>
        <v>990-0529</v>
      </c>
      <c r="W540" s="118">
        <f>+VLOOKUP(Agencia[[#This Row],[Filtro URL]],Estructura!$X$4:$Y$500,2,0)</f>
        <v>99200012</v>
      </c>
      <c r="X540" s="118" t="str">
        <f>+VLOOKUP(Agencia[[#This Row],[tema]],Estructura!$A$4:$C$500,3,0)</f>
        <v>T-1043</v>
      </c>
      <c r="Y540" s="118" t="str">
        <f>+VLOOKUP(Agencia[[#This Row],[contenido]],Estructura!$E$4:$G$500,3,0)</f>
        <v>C-1018</v>
      </c>
      <c r="Z540" s="118" t="str">
        <f>+VLOOKUP(Agencia[[#This Row],[Filtro Integrado]],Estructura!$I$4:$K$500,3,0)</f>
        <v>FI-991</v>
      </c>
      <c r="AA540" s="118" t="str">
        <f>+VLOOKUP(Agencia[[#This Row],[Muestra]],Estructura!$M$4:$O$500,3,0)</f>
        <v>M-1044</v>
      </c>
    </row>
    <row r="541" spans="1:27" ht="30.6" x14ac:dyDescent="0.3">
      <c r="A541" s="21" t="s">
        <v>1133</v>
      </c>
      <c r="B541" s="24">
        <f t="shared" ref="B541:D541" si="759">+B540</f>
        <v>990</v>
      </c>
      <c r="C541" s="25" t="str">
        <f t="shared" si="759"/>
        <v>Agencia Información</v>
      </c>
      <c r="D541" s="25" t="str">
        <f t="shared" si="759"/>
        <v>Educación</v>
      </c>
      <c r="E541" s="19">
        <v>13</v>
      </c>
      <c r="F541" s="18" t="s">
        <v>1524</v>
      </c>
      <c r="G541" s="18" t="s">
        <v>7427</v>
      </c>
      <c r="H541" s="35" t="s">
        <v>16</v>
      </c>
      <c r="I541" s="36" t="s">
        <v>380</v>
      </c>
      <c r="J541" s="9" t="str">
        <f t="shared" ref="J541:N541" si="760">+J540</f>
        <v>Comuna</v>
      </c>
      <c r="K541" s="9" t="str">
        <f t="shared" si="760"/>
        <v>Puntaje promedio por comuna</v>
      </c>
      <c r="L541" s="9" t="str">
        <f t="shared" si="760"/>
        <v>Periodo 2015 - 2018</v>
      </c>
      <c r="M541" s="9" t="str">
        <f t="shared" si="760"/>
        <v>Puntaje</v>
      </c>
      <c r="N541" s="9" t="str">
        <f t="shared" si="760"/>
        <v>Agencia de Calidad de la Educación</v>
      </c>
      <c r="O541" s="20" t="str">
        <f>+"Evolución de Puntaje SIMCE de Lectura según área urbana o rural para 6° Básico en la "&amp;I541&amp;" para el "&amp;Agencia[[#This Row],[temporalidad]]</f>
        <v>Evolución de Puntaje SIMCE de Lectura según área urbana o rural para 6° Básico en la Región Metropolitana para el Periodo 2015 - 2018</v>
      </c>
      <c r="P541" s="20"/>
      <c r="Q541" s="11" t="str">
        <f t="shared" si="726"/>
        <v>Gráfico de Evolución</v>
      </c>
      <c r="R541" s="20" t="str">
        <f>Agencia[[#This Row],[territorio]]&amp;" SIMCE básica sexto educación puntaje lectura rural urbano lenguaje"</f>
        <v>Región Metropolitana SIMCE básica sexto educación puntaje lectura rural urbano lenguaje</v>
      </c>
      <c r="S541" s="22" t="s">
        <v>423</v>
      </c>
      <c r="T541" s="69" t="str">
        <f>"200-C-"&amp;Agencia[[#This Row],[Filtro URL]]</f>
        <v>200-C-13</v>
      </c>
      <c r="U541" s="50" t="str">
        <f t="shared" si="727"/>
        <v>#1774B9</v>
      </c>
      <c r="V541" s="118" t="str">
        <f>+Agencia[[#This Row],[idcoleccion]]&amp;"-"&amp;Agencia[[#This Row],[id]]</f>
        <v>990-0530</v>
      </c>
      <c r="W541" s="118">
        <f>+VLOOKUP(Agencia[[#This Row],[Filtro URL]],Estructura!$X$4:$Y$500,2,0)</f>
        <v>99200013</v>
      </c>
      <c r="X541" s="118" t="str">
        <f>+VLOOKUP(Agencia[[#This Row],[tema]],Estructura!$A$4:$C$500,3,0)</f>
        <v>T-1043</v>
      </c>
      <c r="Y541" s="118" t="str">
        <f>+VLOOKUP(Agencia[[#This Row],[contenido]],Estructura!$E$4:$G$500,3,0)</f>
        <v>C-1018</v>
      </c>
      <c r="Z541" s="118" t="str">
        <f>+VLOOKUP(Agencia[[#This Row],[Filtro Integrado]],Estructura!$I$4:$K$500,3,0)</f>
        <v>FI-991</v>
      </c>
      <c r="AA541" s="118" t="str">
        <f>+VLOOKUP(Agencia[[#This Row],[Muestra]],Estructura!$M$4:$O$500,3,0)</f>
        <v>M-1044</v>
      </c>
    </row>
    <row r="542" spans="1:27" ht="30.6" x14ac:dyDescent="0.3">
      <c r="A542" s="21" t="s">
        <v>1134</v>
      </c>
      <c r="B542" s="24">
        <f t="shared" ref="B542:D542" si="761">+B541</f>
        <v>990</v>
      </c>
      <c r="C542" s="25" t="str">
        <f t="shared" si="761"/>
        <v>Agencia Información</v>
      </c>
      <c r="D542" s="25" t="str">
        <f t="shared" si="761"/>
        <v>Educación</v>
      </c>
      <c r="E542" s="19">
        <v>14</v>
      </c>
      <c r="F542" s="18" t="s">
        <v>1524</v>
      </c>
      <c r="G542" s="18" t="s">
        <v>7427</v>
      </c>
      <c r="H542" s="35" t="s">
        <v>16</v>
      </c>
      <c r="I542" s="36" t="s">
        <v>381</v>
      </c>
      <c r="J542" s="9" t="str">
        <f t="shared" ref="J542:N542" si="762">+J541</f>
        <v>Comuna</v>
      </c>
      <c r="K542" s="9" t="str">
        <f t="shared" si="762"/>
        <v>Puntaje promedio por comuna</v>
      </c>
      <c r="L542" s="9" t="str">
        <f t="shared" si="762"/>
        <v>Periodo 2015 - 2018</v>
      </c>
      <c r="M542" s="9" t="str">
        <f t="shared" si="762"/>
        <v>Puntaje</v>
      </c>
      <c r="N542" s="9" t="str">
        <f t="shared" si="762"/>
        <v>Agencia de Calidad de la Educación</v>
      </c>
      <c r="O542" s="20" t="str">
        <f>+"Evolución de Puntaje SIMCE de Lectura según área urbana o rural para 6° Básico en la "&amp;I542&amp;" para el "&amp;Agencia[[#This Row],[temporalidad]]</f>
        <v>Evolución de Puntaje SIMCE de Lectura según área urbana o rural para 6° Básico en la Región de Los Ríos para el Periodo 2015 - 2018</v>
      </c>
      <c r="P542" s="20"/>
      <c r="Q542" s="11" t="str">
        <f t="shared" si="726"/>
        <v>Gráfico de Evolución</v>
      </c>
      <c r="R542" s="20" t="str">
        <f>Agencia[[#This Row],[territorio]]&amp;" SIMCE básica sexto educación puntaje lectura rural urbano lenguaje"</f>
        <v>Región de Los Ríos SIMCE básica sexto educación puntaje lectura rural urbano lenguaje</v>
      </c>
      <c r="S542" s="22" t="s">
        <v>423</v>
      </c>
      <c r="T542" s="68" t="str">
        <f>"100-C-"&amp;Agencia[[#This Row],[Filtro URL]]</f>
        <v>100-C-14</v>
      </c>
      <c r="U542" s="50" t="str">
        <f t="shared" si="727"/>
        <v>#1774B9</v>
      </c>
      <c r="V542" s="118" t="str">
        <f>+Agencia[[#This Row],[idcoleccion]]&amp;"-"&amp;Agencia[[#This Row],[id]]</f>
        <v>990-0531</v>
      </c>
      <c r="W542" s="118">
        <f>+VLOOKUP(Agencia[[#This Row],[Filtro URL]],Estructura!$X$4:$Y$500,2,0)</f>
        <v>99200014</v>
      </c>
      <c r="X542" s="118" t="str">
        <f>+VLOOKUP(Agencia[[#This Row],[tema]],Estructura!$A$4:$C$500,3,0)</f>
        <v>T-1043</v>
      </c>
      <c r="Y542" s="118" t="str">
        <f>+VLOOKUP(Agencia[[#This Row],[contenido]],Estructura!$E$4:$G$500,3,0)</f>
        <v>C-1018</v>
      </c>
      <c r="Z542" s="118" t="str">
        <f>+VLOOKUP(Agencia[[#This Row],[Filtro Integrado]],Estructura!$I$4:$K$500,3,0)</f>
        <v>FI-991</v>
      </c>
      <c r="AA542" s="118" t="str">
        <f>+VLOOKUP(Agencia[[#This Row],[Muestra]],Estructura!$M$4:$O$500,3,0)</f>
        <v>M-1044</v>
      </c>
    </row>
    <row r="543" spans="1:27" ht="30.6" x14ac:dyDescent="0.3">
      <c r="A543" s="21" t="s">
        <v>1135</v>
      </c>
      <c r="B543" s="24">
        <f t="shared" ref="B543:D543" si="763">+B542</f>
        <v>990</v>
      </c>
      <c r="C543" s="25" t="str">
        <f t="shared" si="763"/>
        <v>Agencia Información</v>
      </c>
      <c r="D543" s="25" t="str">
        <f t="shared" si="763"/>
        <v>Educación</v>
      </c>
      <c r="E543" s="19">
        <v>15</v>
      </c>
      <c r="F543" s="18" t="s">
        <v>1524</v>
      </c>
      <c r="G543" s="18" t="s">
        <v>7427</v>
      </c>
      <c r="H543" s="35" t="s">
        <v>16</v>
      </c>
      <c r="I543" s="36" t="s">
        <v>382</v>
      </c>
      <c r="J543" s="9" t="str">
        <f t="shared" ref="J543:N543" si="764">+J542</f>
        <v>Comuna</v>
      </c>
      <c r="K543" s="9" t="str">
        <f t="shared" si="764"/>
        <v>Puntaje promedio por comuna</v>
      </c>
      <c r="L543" s="9" t="str">
        <f t="shared" si="764"/>
        <v>Periodo 2015 - 2018</v>
      </c>
      <c r="M543" s="9" t="str">
        <f t="shared" si="764"/>
        <v>Puntaje</v>
      </c>
      <c r="N543" s="9" t="str">
        <f t="shared" si="764"/>
        <v>Agencia de Calidad de la Educación</v>
      </c>
      <c r="O543" s="20" t="str">
        <f>+"Evolución de Puntaje SIMCE de Lectura según área urbana o rural para 6° Básico en la "&amp;I543&amp;" para el "&amp;Agencia[[#This Row],[temporalidad]]</f>
        <v>Evolución de Puntaje SIMCE de Lectura según área urbana o rural para 6° Básico en la Región de Arica y Parinacota para el Periodo 2015 - 2018</v>
      </c>
      <c r="P543" s="20"/>
      <c r="Q543" s="11" t="str">
        <f t="shared" si="726"/>
        <v>Gráfico de Evolución</v>
      </c>
      <c r="R543" s="20" t="str">
        <f>Agencia[[#This Row],[territorio]]&amp;" SIMCE básica sexto educación puntaje lectura rural urbano lenguaje"</f>
        <v>Región de Arica y Parinacota SIMCE básica sexto educación puntaje lectura rural urbano lenguaje</v>
      </c>
      <c r="S543" s="22" t="s">
        <v>423</v>
      </c>
      <c r="T543" s="68" t="str">
        <f>"100-C-"&amp;Agencia[[#This Row],[Filtro URL]]</f>
        <v>100-C-15</v>
      </c>
      <c r="U543" s="50" t="str">
        <f t="shared" si="727"/>
        <v>#1774B9</v>
      </c>
      <c r="V543" s="118" t="str">
        <f>+Agencia[[#This Row],[idcoleccion]]&amp;"-"&amp;Agencia[[#This Row],[id]]</f>
        <v>990-0532</v>
      </c>
      <c r="W543" s="118">
        <f>+VLOOKUP(Agencia[[#This Row],[Filtro URL]],Estructura!$X$4:$Y$500,2,0)</f>
        <v>99200015</v>
      </c>
      <c r="X543" s="118" t="str">
        <f>+VLOOKUP(Agencia[[#This Row],[tema]],Estructura!$A$4:$C$500,3,0)</f>
        <v>T-1043</v>
      </c>
      <c r="Y543" s="118" t="str">
        <f>+VLOOKUP(Agencia[[#This Row],[contenido]],Estructura!$E$4:$G$500,3,0)</f>
        <v>C-1018</v>
      </c>
      <c r="Z543" s="118" t="str">
        <f>+VLOOKUP(Agencia[[#This Row],[Filtro Integrado]],Estructura!$I$4:$K$500,3,0)</f>
        <v>FI-991</v>
      </c>
      <c r="AA543" s="118" t="str">
        <f>+VLOOKUP(Agencia[[#This Row],[Muestra]],Estructura!$M$4:$O$500,3,0)</f>
        <v>M-1044</v>
      </c>
    </row>
    <row r="544" spans="1:27" ht="30.6" x14ac:dyDescent="0.3">
      <c r="A544" s="21" t="s">
        <v>1136</v>
      </c>
      <c r="B544" s="24">
        <f t="shared" ref="B544:D544" si="765">+B543</f>
        <v>990</v>
      </c>
      <c r="C544" s="25" t="str">
        <f t="shared" si="765"/>
        <v>Agencia Información</v>
      </c>
      <c r="D544" s="25" t="str">
        <f t="shared" si="765"/>
        <v>Educación</v>
      </c>
      <c r="E544" s="19">
        <v>16</v>
      </c>
      <c r="F544" s="18" t="s">
        <v>1524</v>
      </c>
      <c r="G544" s="18" t="s">
        <v>7427</v>
      </c>
      <c r="H544" s="35" t="s">
        <v>16</v>
      </c>
      <c r="I544" s="36" t="s">
        <v>383</v>
      </c>
      <c r="J544" s="9" t="str">
        <f t="shared" ref="J544:N544" si="766">+J543</f>
        <v>Comuna</v>
      </c>
      <c r="K544" s="9" t="str">
        <f t="shared" si="766"/>
        <v>Puntaje promedio por comuna</v>
      </c>
      <c r="L544" s="9" t="str">
        <f t="shared" si="766"/>
        <v>Periodo 2015 - 2018</v>
      </c>
      <c r="M544" s="9" t="str">
        <f t="shared" si="766"/>
        <v>Puntaje</v>
      </c>
      <c r="N544" s="9" t="str">
        <f t="shared" si="766"/>
        <v>Agencia de Calidad de la Educación</v>
      </c>
      <c r="O544" s="20" t="str">
        <f>+"Evolución de Puntaje SIMCE de Lectura según área urbana o rural para 6° Básico en la "&amp;I544&amp;" para el "&amp;Agencia[[#This Row],[temporalidad]]</f>
        <v>Evolución de Puntaje SIMCE de Lectura según área urbana o rural para 6° Básico en la Región de Ñuble para el Periodo 2015 - 2018</v>
      </c>
      <c r="P544" s="20"/>
      <c r="Q544" s="11" t="str">
        <f t="shared" si="726"/>
        <v>Gráfico de Evolución</v>
      </c>
      <c r="R544" s="20" t="str">
        <f>Agencia[[#This Row],[territorio]]&amp;" SIMCE básica sexto educación puntaje lectura rural urbano lenguaje"</f>
        <v>Región de Ñuble SIMCE básica sexto educación puntaje lectura rural urbano lenguaje</v>
      </c>
      <c r="S544" s="22" t="s">
        <v>423</v>
      </c>
      <c r="T544" s="68" t="str">
        <f>"100-C-"&amp;Agencia[[#This Row],[Filtro URL]]</f>
        <v>100-C-16</v>
      </c>
      <c r="U544" s="50" t="str">
        <f t="shared" si="727"/>
        <v>#1774B9</v>
      </c>
      <c r="V544" s="118" t="str">
        <f>+Agencia[[#This Row],[idcoleccion]]&amp;"-"&amp;Agencia[[#This Row],[id]]</f>
        <v>990-0533</v>
      </c>
      <c r="W544" s="118">
        <f>+VLOOKUP(Agencia[[#This Row],[Filtro URL]],Estructura!$X$4:$Y$500,2,0)</f>
        <v>99200016</v>
      </c>
      <c r="X544" s="118" t="str">
        <f>+VLOOKUP(Agencia[[#This Row],[tema]],Estructura!$A$4:$C$500,3,0)</f>
        <v>T-1043</v>
      </c>
      <c r="Y544" s="118" t="str">
        <f>+VLOOKUP(Agencia[[#This Row],[contenido]],Estructura!$E$4:$G$500,3,0)</f>
        <v>C-1018</v>
      </c>
      <c r="Z544" s="118" t="str">
        <f>+VLOOKUP(Agencia[[#This Row],[Filtro Integrado]],Estructura!$I$4:$K$500,3,0)</f>
        <v>FI-991</v>
      </c>
      <c r="AA544" s="118" t="str">
        <f>+VLOOKUP(Agencia[[#This Row],[Muestra]],Estructura!$M$4:$O$500,3,0)</f>
        <v>M-1044</v>
      </c>
    </row>
    <row r="545" spans="1:27" ht="71.400000000000006" x14ac:dyDescent="0.3">
      <c r="A545" s="21" t="s">
        <v>1137</v>
      </c>
      <c r="B545" s="24">
        <f t="shared" ref="B545:C545" si="767">+B544</f>
        <v>990</v>
      </c>
      <c r="C545" s="25" t="str">
        <f t="shared" si="767"/>
        <v>Agencia Información</v>
      </c>
      <c r="D545" s="25" t="s">
        <v>14</v>
      </c>
      <c r="E545" s="14">
        <v>0</v>
      </c>
      <c r="F545" s="18" t="s">
        <v>1524</v>
      </c>
      <c r="G545" s="18" t="s">
        <v>7427</v>
      </c>
      <c r="H545" s="33" t="s">
        <v>20</v>
      </c>
      <c r="I545" s="34" t="s">
        <v>15</v>
      </c>
      <c r="J545" s="9" t="s">
        <v>16</v>
      </c>
      <c r="K545" s="9" t="s">
        <v>1533</v>
      </c>
      <c r="L545" s="9" t="s">
        <v>460</v>
      </c>
      <c r="M545" s="9" t="s">
        <v>1529</v>
      </c>
      <c r="N545" s="9" t="s">
        <v>1526</v>
      </c>
      <c r="O545" s="20" t="str">
        <f>+"Mapa Puntaje Promedio y Máximo en prueba SIMCE de Lectura de 8vo Básico por Comuna en "&amp;I545&amp;" para el "&amp;Agencia[[#This Row],[temporalidad]]</f>
        <v>Mapa Puntaje Promedio y Máximo en prueba SIMCE de Lectura de 8vo Básico por Comuna en Chile para el Año 2020</v>
      </c>
      <c r="P545" s="20" t="s">
        <v>1534</v>
      </c>
      <c r="Q545" s="11" t="s">
        <v>831</v>
      </c>
      <c r="R545" s="20" t="str">
        <f>Agencia[[#This Row],[territorio]]&amp;" SIMCE básica octavo educación puntaje lectura promedio máximo lenguaje"</f>
        <v>Chile SIMCE básica octavo educación puntaje lectura promedio máximo lenguaje</v>
      </c>
      <c r="S545" s="39" t="s">
        <v>1535</v>
      </c>
      <c r="T545" s="68" t="s">
        <v>1033</v>
      </c>
      <c r="U545" s="50" t="str">
        <f t="shared" si="727"/>
        <v>#1774B9</v>
      </c>
      <c r="V545" s="118" t="str">
        <f>+Agencia[[#This Row],[idcoleccion]]&amp;"-"&amp;Agencia[[#This Row],[id]]</f>
        <v>990-0534</v>
      </c>
      <c r="W545" s="118">
        <f>+VLOOKUP(Agencia[[#This Row],[Filtro URL]],Estructura!$X$4:$Y$500,2,0)</f>
        <v>99100000</v>
      </c>
      <c r="X545" s="118" t="str">
        <f>+VLOOKUP(Agencia[[#This Row],[tema]],Estructura!$A$4:$C$500,3,0)</f>
        <v>T-1043</v>
      </c>
      <c r="Y545" s="118" t="str">
        <f>+VLOOKUP(Agencia[[#This Row],[contenido]],Estructura!$E$4:$G$500,3,0)</f>
        <v>C-1018</v>
      </c>
      <c r="Z545" s="118" t="str">
        <f>+VLOOKUP(Agencia[[#This Row],[Filtro Integrado]],Estructura!$I$4:$K$500,3,0)</f>
        <v>FI-992</v>
      </c>
      <c r="AA545" s="118" t="str">
        <f>+VLOOKUP(Agencia[[#This Row],[Muestra]],Estructura!$M$4:$O$500,3,0)</f>
        <v>M-1045</v>
      </c>
    </row>
    <row r="546" spans="1:27" ht="36" x14ac:dyDescent="0.3">
      <c r="A546" s="21" t="s">
        <v>1138</v>
      </c>
      <c r="B546" s="24">
        <f t="shared" ref="B546:D546" si="768">+B545</f>
        <v>990</v>
      </c>
      <c r="C546" s="25" t="str">
        <f t="shared" si="768"/>
        <v>Agencia Información</v>
      </c>
      <c r="D546" s="25" t="str">
        <f t="shared" si="768"/>
        <v>Educación</v>
      </c>
      <c r="E546" s="19">
        <v>1</v>
      </c>
      <c r="F546" s="18" t="s">
        <v>1524</v>
      </c>
      <c r="G546" s="18" t="s">
        <v>7427</v>
      </c>
      <c r="H546" s="35" t="s">
        <v>16</v>
      </c>
      <c r="I546" s="36" t="s">
        <v>368</v>
      </c>
      <c r="J546" s="9" t="s">
        <v>404</v>
      </c>
      <c r="K546" s="9" t="str">
        <f t="shared" ref="K546:N546" si="769">+K545</f>
        <v>Puntaje promedio y máximo por comuna</v>
      </c>
      <c r="L546" s="9" t="str">
        <f t="shared" si="769"/>
        <v>Año 2020</v>
      </c>
      <c r="M546" s="9" t="str">
        <f t="shared" si="769"/>
        <v>Puntaje</v>
      </c>
      <c r="N546" s="9" t="str">
        <f t="shared" si="769"/>
        <v>Agencia de Calidad de la Educación</v>
      </c>
      <c r="O546" s="20" t="str">
        <f>+"Mapa Puntaje Promedio y Máximo en prueba SIMCE de Lectura de 8vo Básico por Comuna en la "&amp;I546&amp;" para el "&amp;Agencia[[#This Row],[temporalidad]]</f>
        <v>Mapa Puntaje Promedio y Máximo en prueba SIMCE de Lectura de 8vo Básico por Comuna en la Región de Tarapacá para el Año 2020</v>
      </c>
      <c r="P546" s="20"/>
      <c r="Q546" s="11" t="str">
        <f t="shared" si="726"/>
        <v>Mapa de calor</v>
      </c>
      <c r="R546" s="20" t="str">
        <f>Agencia[[#This Row],[territorio]]&amp;" SIMCE básica octavo educación puntaje lectura promedio máximo lenguaje"</f>
        <v>Región de Tarapacá SIMCE básica octavo educación puntaje lectura promedio máximo lenguaje</v>
      </c>
      <c r="S546" s="22" t="s">
        <v>423</v>
      </c>
      <c r="T546" s="68" t="str">
        <f>"100-C-"&amp;Agencia[[#This Row],[Filtro URL]]</f>
        <v>100-C-1</v>
      </c>
      <c r="U546" s="50" t="str">
        <f t="shared" si="727"/>
        <v>#1774B9</v>
      </c>
      <c r="V546" s="118" t="str">
        <f>+Agencia[[#This Row],[idcoleccion]]&amp;"-"&amp;Agencia[[#This Row],[id]]</f>
        <v>990-0535</v>
      </c>
      <c r="W546" s="118">
        <f>+VLOOKUP(Agencia[[#This Row],[Filtro URL]],Estructura!$X$4:$Y$500,2,0)</f>
        <v>99200001</v>
      </c>
      <c r="X546" s="118" t="str">
        <f>+VLOOKUP(Agencia[[#This Row],[tema]],Estructura!$A$4:$C$500,3,0)</f>
        <v>T-1043</v>
      </c>
      <c r="Y546" s="118" t="str">
        <f>+VLOOKUP(Agencia[[#This Row],[contenido]],Estructura!$E$4:$G$500,3,0)</f>
        <v>C-1018</v>
      </c>
      <c r="Z546" s="118" t="str">
        <f>+VLOOKUP(Agencia[[#This Row],[Filtro Integrado]],Estructura!$I$4:$K$500,3,0)</f>
        <v>FI-993</v>
      </c>
      <c r="AA546" s="118" t="str">
        <f>+VLOOKUP(Agencia[[#This Row],[Muestra]],Estructura!$M$4:$O$500,3,0)</f>
        <v>M-1045</v>
      </c>
    </row>
    <row r="547" spans="1:27" ht="36" x14ac:dyDescent="0.3">
      <c r="A547" s="21" t="s">
        <v>1139</v>
      </c>
      <c r="B547" s="24">
        <f t="shared" ref="B547:D547" si="770">+B546</f>
        <v>990</v>
      </c>
      <c r="C547" s="25" t="str">
        <f t="shared" si="770"/>
        <v>Agencia Información</v>
      </c>
      <c r="D547" s="25" t="str">
        <f t="shared" si="770"/>
        <v>Educación</v>
      </c>
      <c r="E547" s="19">
        <v>2</v>
      </c>
      <c r="F547" s="18" t="s">
        <v>1524</v>
      </c>
      <c r="G547" s="18" t="s">
        <v>7427</v>
      </c>
      <c r="H547" s="35" t="s">
        <v>16</v>
      </c>
      <c r="I547" s="36" t="s">
        <v>369</v>
      </c>
      <c r="J547" s="9" t="str">
        <f t="shared" ref="J547:N547" si="771">+J546</f>
        <v>Ninguno</v>
      </c>
      <c r="K547" s="9" t="str">
        <f t="shared" si="771"/>
        <v>Puntaje promedio y máximo por comuna</v>
      </c>
      <c r="L547" s="9" t="str">
        <f t="shared" si="771"/>
        <v>Año 2020</v>
      </c>
      <c r="M547" s="9" t="str">
        <f t="shared" si="771"/>
        <v>Puntaje</v>
      </c>
      <c r="N547" s="9" t="str">
        <f t="shared" si="771"/>
        <v>Agencia de Calidad de la Educación</v>
      </c>
      <c r="O547" s="20" t="str">
        <f>+"Mapa Puntaje Promedio y Máximo en prueba SIMCE de Lectura de 8vo Básico por Comuna en la "&amp;I547&amp;" para el "&amp;Agencia[[#This Row],[temporalidad]]</f>
        <v>Mapa Puntaje Promedio y Máximo en prueba SIMCE de Lectura de 8vo Básico por Comuna en la Región de Antofagasta para el Año 2020</v>
      </c>
      <c r="P547" s="20"/>
      <c r="Q547" s="11" t="str">
        <f t="shared" si="726"/>
        <v>Mapa de calor</v>
      </c>
      <c r="R547" s="20" t="str">
        <f>Agencia[[#This Row],[territorio]]&amp;" SIMCE básica octavo educación puntaje lectura promedio máximo lenguaje"</f>
        <v>Región de Antofagasta SIMCE básica octavo educación puntaje lectura promedio máximo lenguaje</v>
      </c>
      <c r="S547" s="22" t="s">
        <v>423</v>
      </c>
      <c r="T547" s="68" t="str">
        <f>"100-C-"&amp;Agencia[[#This Row],[Filtro URL]]</f>
        <v>100-C-2</v>
      </c>
      <c r="U547" s="50" t="str">
        <f t="shared" si="727"/>
        <v>#1774B9</v>
      </c>
      <c r="V547" s="118" t="str">
        <f>+Agencia[[#This Row],[idcoleccion]]&amp;"-"&amp;Agencia[[#This Row],[id]]</f>
        <v>990-0536</v>
      </c>
      <c r="W547" s="118">
        <f>+VLOOKUP(Agencia[[#This Row],[Filtro URL]],Estructura!$X$4:$Y$500,2,0)</f>
        <v>99200002</v>
      </c>
      <c r="X547" s="118" t="str">
        <f>+VLOOKUP(Agencia[[#This Row],[tema]],Estructura!$A$4:$C$500,3,0)</f>
        <v>T-1043</v>
      </c>
      <c r="Y547" s="118" t="str">
        <f>+VLOOKUP(Agencia[[#This Row],[contenido]],Estructura!$E$4:$G$500,3,0)</f>
        <v>C-1018</v>
      </c>
      <c r="Z547" s="118" t="str">
        <f>+VLOOKUP(Agencia[[#This Row],[Filtro Integrado]],Estructura!$I$4:$K$500,3,0)</f>
        <v>FI-993</v>
      </c>
      <c r="AA547" s="118" t="str">
        <f>+VLOOKUP(Agencia[[#This Row],[Muestra]],Estructura!$M$4:$O$500,3,0)</f>
        <v>M-1045</v>
      </c>
    </row>
    <row r="548" spans="1:27" ht="36" x14ac:dyDescent="0.3">
      <c r="A548" s="21" t="s">
        <v>1140</v>
      </c>
      <c r="B548" s="24">
        <f t="shared" ref="B548:D548" si="772">+B547</f>
        <v>990</v>
      </c>
      <c r="C548" s="25" t="str">
        <f t="shared" si="772"/>
        <v>Agencia Información</v>
      </c>
      <c r="D548" s="25" t="str">
        <f t="shared" si="772"/>
        <v>Educación</v>
      </c>
      <c r="E548" s="19">
        <v>3</v>
      </c>
      <c r="F548" s="18" t="s">
        <v>1524</v>
      </c>
      <c r="G548" s="18" t="s">
        <v>7427</v>
      </c>
      <c r="H548" s="35" t="s">
        <v>16</v>
      </c>
      <c r="I548" s="36" t="s">
        <v>370</v>
      </c>
      <c r="J548" s="9" t="str">
        <f t="shared" ref="J548:N548" si="773">+J547</f>
        <v>Ninguno</v>
      </c>
      <c r="K548" s="9" t="str">
        <f t="shared" si="773"/>
        <v>Puntaje promedio y máximo por comuna</v>
      </c>
      <c r="L548" s="9" t="str">
        <f t="shared" si="773"/>
        <v>Año 2020</v>
      </c>
      <c r="M548" s="9" t="str">
        <f t="shared" si="773"/>
        <v>Puntaje</v>
      </c>
      <c r="N548" s="9" t="str">
        <f t="shared" si="773"/>
        <v>Agencia de Calidad de la Educación</v>
      </c>
      <c r="O548" s="20" t="str">
        <f>+"Mapa Puntaje Promedio y Máximo en prueba SIMCE de Lectura de 8vo Básico por Comuna en la "&amp;I548&amp;" para el "&amp;Agencia[[#This Row],[temporalidad]]</f>
        <v>Mapa Puntaje Promedio y Máximo en prueba SIMCE de Lectura de 8vo Básico por Comuna en la Región de Atacama para el Año 2020</v>
      </c>
      <c r="P548" s="20"/>
      <c r="Q548" s="11" t="str">
        <f t="shared" si="726"/>
        <v>Mapa de calor</v>
      </c>
      <c r="R548" s="20" t="str">
        <f>Agencia[[#This Row],[territorio]]&amp;" SIMCE básica octavo educación puntaje lectura promedio máximo lenguaje"</f>
        <v>Región de Atacama SIMCE básica octavo educación puntaje lectura promedio máximo lenguaje</v>
      </c>
      <c r="S548" s="22" t="s">
        <v>423</v>
      </c>
      <c r="T548" s="68" t="str">
        <f>"100-C-"&amp;Agencia[[#This Row],[Filtro URL]]</f>
        <v>100-C-3</v>
      </c>
      <c r="U548" s="50" t="str">
        <f t="shared" si="727"/>
        <v>#1774B9</v>
      </c>
      <c r="V548" s="118" t="str">
        <f>+Agencia[[#This Row],[idcoleccion]]&amp;"-"&amp;Agencia[[#This Row],[id]]</f>
        <v>990-0537</v>
      </c>
      <c r="W548" s="118">
        <f>+VLOOKUP(Agencia[[#This Row],[Filtro URL]],Estructura!$X$4:$Y$500,2,0)</f>
        <v>99200003</v>
      </c>
      <c r="X548" s="118" t="str">
        <f>+VLOOKUP(Agencia[[#This Row],[tema]],Estructura!$A$4:$C$500,3,0)</f>
        <v>T-1043</v>
      </c>
      <c r="Y548" s="118" t="str">
        <f>+VLOOKUP(Agencia[[#This Row],[contenido]],Estructura!$E$4:$G$500,3,0)</f>
        <v>C-1018</v>
      </c>
      <c r="Z548" s="118" t="str">
        <f>+VLOOKUP(Agencia[[#This Row],[Filtro Integrado]],Estructura!$I$4:$K$500,3,0)</f>
        <v>FI-993</v>
      </c>
      <c r="AA548" s="118" t="str">
        <f>+VLOOKUP(Agencia[[#This Row],[Muestra]],Estructura!$M$4:$O$500,3,0)</f>
        <v>M-1045</v>
      </c>
    </row>
    <row r="549" spans="1:27" ht="36" x14ac:dyDescent="0.3">
      <c r="A549" s="21" t="s">
        <v>1141</v>
      </c>
      <c r="B549" s="24">
        <f t="shared" ref="B549:D549" si="774">+B548</f>
        <v>990</v>
      </c>
      <c r="C549" s="25" t="str">
        <f t="shared" si="774"/>
        <v>Agencia Información</v>
      </c>
      <c r="D549" s="25" t="str">
        <f t="shared" si="774"/>
        <v>Educación</v>
      </c>
      <c r="E549" s="19">
        <v>4</v>
      </c>
      <c r="F549" s="18" t="s">
        <v>1524</v>
      </c>
      <c r="G549" s="18" t="s">
        <v>7427</v>
      </c>
      <c r="H549" s="35" t="s">
        <v>16</v>
      </c>
      <c r="I549" s="36" t="s">
        <v>371</v>
      </c>
      <c r="J549" s="9" t="str">
        <f t="shared" ref="J549:N549" si="775">+J548</f>
        <v>Ninguno</v>
      </c>
      <c r="K549" s="9" t="str">
        <f t="shared" si="775"/>
        <v>Puntaje promedio y máximo por comuna</v>
      </c>
      <c r="L549" s="9" t="str">
        <f t="shared" si="775"/>
        <v>Año 2020</v>
      </c>
      <c r="M549" s="9" t="str">
        <f t="shared" si="775"/>
        <v>Puntaje</v>
      </c>
      <c r="N549" s="9" t="str">
        <f t="shared" si="775"/>
        <v>Agencia de Calidad de la Educación</v>
      </c>
      <c r="O549" s="20" t="str">
        <f>+"Mapa Puntaje Promedio y Máximo en prueba SIMCE de Lectura de 8vo Básico por Comuna en la "&amp;I549&amp;" para el "&amp;Agencia[[#This Row],[temporalidad]]</f>
        <v>Mapa Puntaje Promedio y Máximo en prueba SIMCE de Lectura de 8vo Básico por Comuna en la Región de Coquimbo para el Año 2020</v>
      </c>
      <c r="P549" s="20"/>
      <c r="Q549" s="11" t="str">
        <f t="shared" si="726"/>
        <v>Mapa de calor</v>
      </c>
      <c r="R549" s="20" t="str">
        <f>Agencia[[#This Row],[territorio]]&amp;" SIMCE básica octavo educación puntaje lectura promedio máximo lenguaje"</f>
        <v>Región de Coquimbo SIMCE básica octavo educación puntaje lectura promedio máximo lenguaje</v>
      </c>
      <c r="S549" s="22" t="s">
        <v>423</v>
      </c>
      <c r="T549" s="68" t="str">
        <f>"100-C-"&amp;Agencia[[#This Row],[Filtro URL]]</f>
        <v>100-C-4</v>
      </c>
      <c r="U549" s="50" t="str">
        <f t="shared" si="727"/>
        <v>#1774B9</v>
      </c>
      <c r="V549" s="118" t="str">
        <f>+Agencia[[#This Row],[idcoleccion]]&amp;"-"&amp;Agencia[[#This Row],[id]]</f>
        <v>990-0538</v>
      </c>
      <c r="W549" s="118">
        <f>+VLOOKUP(Agencia[[#This Row],[Filtro URL]],Estructura!$X$4:$Y$500,2,0)</f>
        <v>99200004</v>
      </c>
      <c r="X549" s="118" t="str">
        <f>+VLOOKUP(Agencia[[#This Row],[tema]],Estructura!$A$4:$C$500,3,0)</f>
        <v>T-1043</v>
      </c>
      <c r="Y549" s="118" t="str">
        <f>+VLOOKUP(Agencia[[#This Row],[contenido]],Estructura!$E$4:$G$500,3,0)</f>
        <v>C-1018</v>
      </c>
      <c r="Z549" s="118" t="str">
        <f>+VLOOKUP(Agencia[[#This Row],[Filtro Integrado]],Estructura!$I$4:$K$500,3,0)</f>
        <v>FI-993</v>
      </c>
      <c r="AA549" s="118" t="str">
        <f>+VLOOKUP(Agencia[[#This Row],[Muestra]],Estructura!$M$4:$O$500,3,0)</f>
        <v>M-1045</v>
      </c>
    </row>
    <row r="550" spans="1:27" ht="36" x14ac:dyDescent="0.3">
      <c r="A550" s="21" t="s">
        <v>1142</v>
      </c>
      <c r="B550" s="24">
        <f t="shared" ref="B550:D550" si="776">+B549</f>
        <v>990</v>
      </c>
      <c r="C550" s="25" t="str">
        <f t="shared" si="776"/>
        <v>Agencia Información</v>
      </c>
      <c r="D550" s="25" t="str">
        <f t="shared" si="776"/>
        <v>Educación</v>
      </c>
      <c r="E550" s="19">
        <v>5</v>
      </c>
      <c r="F550" s="18" t="s">
        <v>1524</v>
      </c>
      <c r="G550" s="18" t="s">
        <v>7427</v>
      </c>
      <c r="H550" s="35" t="s">
        <v>16</v>
      </c>
      <c r="I550" s="36" t="s">
        <v>372</v>
      </c>
      <c r="J550" s="9" t="str">
        <f t="shared" ref="J550:N550" si="777">+J549</f>
        <v>Ninguno</v>
      </c>
      <c r="K550" s="9" t="str">
        <f t="shared" si="777"/>
        <v>Puntaje promedio y máximo por comuna</v>
      </c>
      <c r="L550" s="9" t="str">
        <f t="shared" si="777"/>
        <v>Año 2020</v>
      </c>
      <c r="M550" s="9" t="str">
        <f t="shared" si="777"/>
        <v>Puntaje</v>
      </c>
      <c r="N550" s="9" t="str">
        <f t="shared" si="777"/>
        <v>Agencia de Calidad de la Educación</v>
      </c>
      <c r="O550" s="20" t="str">
        <f>+"Mapa Puntaje Promedio y Máximo en prueba SIMCE de Lectura de 8vo Básico por Comuna en la "&amp;I550&amp;" para el "&amp;Agencia[[#This Row],[temporalidad]]</f>
        <v>Mapa Puntaje Promedio y Máximo en prueba SIMCE de Lectura de 8vo Básico por Comuna en la Región de Valparaíso para el Año 2020</v>
      </c>
      <c r="P550" s="20"/>
      <c r="Q550" s="11" t="str">
        <f t="shared" si="726"/>
        <v>Mapa de calor</v>
      </c>
      <c r="R550" s="20" t="str">
        <f>Agencia[[#This Row],[territorio]]&amp;" SIMCE básica octavo educación puntaje lectura promedio máximo lenguaje"</f>
        <v>Región de Valparaíso SIMCE básica octavo educación puntaje lectura promedio máximo lenguaje</v>
      </c>
      <c r="S550" s="22" t="s">
        <v>423</v>
      </c>
      <c r="T550" s="68" t="str">
        <f>"100-C-"&amp;Agencia[[#This Row],[Filtro URL]]</f>
        <v>100-C-5</v>
      </c>
      <c r="U550" s="50" t="str">
        <f t="shared" si="727"/>
        <v>#1774B9</v>
      </c>
      <c r="V550" s="118" t="str">
        <f>+Agencia[[#This Row],[idcoleccion]]&amp;"-"&amp;Agencia[[#This Row],[id]]</f>
        <v>990-0539</v>
      </c>
      <c r="W550" s="118">
        <f>+VLOOKUP(Agencia[[#This Row],[Filtro URL]],Estructura!$X$4:$Y$500,2,0)</f>
        <v>99200005</v>
      </c>
      <c r="X550" s="118" t="str">
        <f>+VLOOKUP(Agencia[[#This Row],[tema]],Estructura!$A$4:$C$500,3,0)</f>
        <v>T-1043</v>
      </c>
      <c r="Y550" s="118" t="str">
        <f>+VLOOKUP(Agencia[[#This Row],[contenido]],Estructura!$E$4:$G$500,3,0)</f>
        <v>C-1018</v>
      </c>
      <c r="Z550" s="118" t="str">
        <f>+VLOOKUP(Agencia[[#This Row],[Filtro Integrado]],Estructura!$I$4:$K$500,3,0)</f>
        <v>FI-993</v>
      </c>
      <c r="AA550" s="118" t="str">
        <f>+VLOOKUP(Agencia[[#This Row],[Muestra]],Estructura!$M$4:$O$500,3,0)</f>
        <v>M-1045</v>
      </c>
    </row>
    <row r="551" spans="1:27" ht="36" x14ac:dyDescent="0.3">
      <c r="A551" s="21" t="s">
        <v>1143</v>
      </c>
      <c r="B551" s="24">
        <f t="shared" ref="B551:D551" si="778">+B550</f>
        <v>990</v>
      </c>
      <c r="C551" s="25" t="str">
        <f t="shared" si="778"/>
        <v>Agencia Información</v>
      </c>
      <c r="D551" s="25" t="str">
        <f t="shared" si="778"/>
        <v>Educación</v>
      </c>
      <c r="E551" s="19">
        <v>6</v>
      </c>
      <c r="F551" s="18" t="s">
        <v>1524</v>
      </c>
      <c r="G551" s="18" t="s">
        <v>7427</v>
      </c>
      <c r="H551" s="35" t="s">
        <v>16</v>
      </c>
      <c r="I551" s="36" t="s">
        <v>373</v>
      </c>
      <c r="J551" s="9" t="str">
        <f t="shared" ref="J551:N551" si="779">+J550</f>
        <v>Ninguno</v>
      </c>
      <c r="K551" s="9" t="str">
        <f t="shared" si="779"/>
        <v>Puntaje promedio y máximo por comuna</v>
      </c>
      <c r="L551" s="9" t="str">
        <f t="shared" si="779"/>
        <v>Año 2020</v>
      </c>
      <c r="M551" s="9" t="str">
        <f t="shared" si="779"/>
        <v>Puntaje</v>
      </c>
      <c r="N551" s="9" t="str">
        <f t="shared" si="779"/>
        <v>Agencia de Calidad de la Educación</v>
      </c>
      <c r="O551" s="20" t="str">
        <f>+"Mapa Puntaje Promedio y Máximo en prueba SIMCE de Lectura de 8vo Básico por Comuna en la "&amp;I551&amp;" para el "&amp;Agencia[[#This Row],[temporalidad]]</f>
        <v>Mapa Puntaje Promedio y Máximo en prueba SIMCE de Lectura de 8vo Básico por Comuna en la Región de O'Higgins para el Año 2020</v>
      </c>
      <c r="P551" s="20"/>
      <c r="Q551" s="11" t="str">
        <f t="shared" si="726"/>
        <v>Mapa de calor</v>
      </c>
      <c r="R551" s="20" t="str">
        <f>Agencia[[#This Row],[territorio]]&amp;" SIMCE básica octavo educación puntaje lectura promedio máximo lenguaje"</f>
        <v>Región de O'Higgins SIMCE básica octavo educación puntaje lectura promedio máximo lenguaje</v>
      </c>
      <c r="S551" s="22" t="s">
        <v>423</v>
      </c>
      <c r="T551" s="68" t="str">
        <f>"100-C-"&amp;Agencia[[#This Row],[Filtro URL]]</f>
        <v>100-C-6</v>
      </c>
      <c r="U551" s="50" t="str">
        <f t="shared" si="727"/>
        <v>#1774B9</v>
      </c>
      <c r="V551" s="118" t="str">
        <f>+Agencia[[#This Row],[idcoleccion]]&amp;"-"&amp;Agencia[[#This Row],[id]]</f>
        <v>990-0540</v>
      </c>
      <c r="W551" s="118">
        <f>+VLOOKUP(Agencia[[#This Row],[Filtro URL]],Estructura!$X$4:$Y$500,2,0)</f>
        <v>99200006</v>
      </c>
      <c r="X551" s="118" t="str">
        <f>+VLOOKUP(Agencia[[#This Row],[tema]],Estructura!$A$4:$C$500,3,0)</f>
        <v>T-1043</v>
      </c>
      <c r="Y551" s="118" t="str">
        <f>+VLOOKUP(Agencia[[#This Row],[contenido]],Estructura!$E$4:$G$500,3,0)</f>
        <v>C-1018</v>
      </c>
      <c r="Z551" s="118" t="str">
        <f>+VLOOKUP(Agencia[[#This Row],[Filtro Integrado]],Estructura!$I$4:$K$500,3,0)</f>
        <v>FI-993</v>
      </c>
      <c r="AA551" s="118" t="str">
        <f>+VLOOKUP(Agencia[[#This Row],[Muestra]],Estructura!$M$4:$O$500,3,0)</f>
        <v>M-1045</v>
      </c>
    </row>
    <row r="552" spans="1:27" ht="36" x14ac:dyDescent="0.3">
      <c r="A552" s="21" t="s">
        <v>1144</v>
      </c>
      <c r="B552" s="24">
        <f t="shared" ref="B552:D552" si="780">+B551</f>
        <v>990</v>
      </c>
      <c r="C552" s="25" t="str">
        <f t="shared" si="780"/>
        <v>Agencia Información</v>
      </c>
      <c r="D552" s="25" t="str">
        <f t="shared" si="780"/>
        <v>Educación</v>
      </c>
      <c r="E552" s="19">
        <v>7</v>
      </c>
      <c r="F552" s="18" t="s">
        <v>1524</v>
      </c>
      <c r="G552" s="18" t="s">
        <v>7427</v>
      </c>
      <c r="H552" s="35" t="s">
        <v>16</v>
      </c>
      <c r="I552" s="36" t="s">
        <v>374</v>
      </c>
      <c r="J552" s="9" t="str">
        <f t="shared" ref="J552:N552" si="781">+J551</f>
        <v>Ninguno</v>
      </c>
      <c r="K552" s="9" t="str">
        <f t="shared" si="781"/>
        <v>Puntaje promedio y máximo por comuna</v>
      </c>
      <c r="L552" s="9" t="str">
        <f t="shared" si="781"/>
        <v>Año 2020</v>
      </c>
      <c r="M552" s="9" t="str">
        <f t="shared" si="781"/>
        <v>Puntaje</v>
      </c>
      <c r="N552" s="9" t="str">
        <f t="shared" si="781"/>
        <v>Agencia de Calidad de la Educación</v>
      </c>
      <c r="O552" s="20" t="str">
        <f>+"Mapa Puntaje Promedio y Máximo en prueba SIMCE de Lectura de 8vo Básico por Comuna en la "&amp;I552&amp;" para el "&amp;Agencia[[#This Row],[temporalidad]]</f>
        <v>Mapa Puntaje Promedio y Máximo en prueba SIMCE de Lectura de 8vo Básico por Comuna en la Región de Maule para el Año 2020</v>
      </c>
      <c r="P552" s="20"/>
      <c r="Q552" s="11" t="str">
        <f t="shared" si="726"/>
        <v>Mapa de calor</v>
      </c>
      <c r="R552" s="20" t="str">
        <f>Agencia[[#This Row],[territorio]]&amp;" SIMCE básica octavo educación puntaje lectura promedio máximo lenguaje"</f>
        <v>Región de Maule SIMCE básica octavo educación puntaje lectura promedio máximo lenguaje</v>
      </c>
      <c r="S552" s="22" t="s">
        <v>423</v>
      </c>
      <c r="T552" s="68" t="str">
        <f>"100-C-"&amp;Agencia[[#This Row],[Filtro URL]]</f>
        <v>100-C-7</v>
      </c>
      <c r="U552" s="50" t="str">
        <f t="shared" si="727"/>
        <v>#1774B9</v>
      </c>
      <c r="V552" s="118" t="str">
        <f>+Agencia[[#This Row],[idcoleccion]]&amp;"-"&amp;Agencia[[#This Row],[id]]</f>
        <v>990-0541</v>
      </c>
      <c r="W552" s="118">
        <f>+VLOOKUP(Agencia[[#This Row],[Filtro URL]],Estructura!$X$4:$Y$500,2,0)</f>
        <v>99200007</v>
      </c>
      <c r="X552" s="118" t="str">
        <f>+VLOOKUP(Agencia[[#This Row],[tema]],Estructura!$A$4:$C$500,3,0)</f>
        <v>T-1043</v>
      </c>
      <c r="Y552" s="118" t="str">
        <f>+VLOOKUP(Agencia[[#This Row],[contenido]],Estructura!$E$4:$G$500,3,0)</f>
        <v>C-1018</v>
      </c>
      <c r="Z552" s="118" t="str">
        <f>+VLOOKUP(Agencia[[#This Row],[Filtro Integrado]],Estructura!$I$4:$K$500,3,0)</f>
        <v>FI-993</v>
      </c>
      <c r="AA552" s="118" t="str">
        <f>+VLOOKUP(Agencia[[#This Row],[Muestra]],Estructura!$M$4:$O$500,3,0)</f>
        <v>M-1045</v>
      </c>
    </row>
    <row r="553" spans="1:27" ht="36" x14ac:dyDescent="0.3">
      <c r="A553" s="21" t="s">
        <v>1145</v>
      </c>
      <c r="B553" s="24">
        <f t="shared" ref="B553:D553" si="782">+B552</f>
        <v>990</v>
      </c>
      <c r="C553" s="25" t="str">
        <f t="shared" si="782"/>
        <v>Agencia Información</v>
      </c>
      <c r="D553" s="25" t="str">
        <f t="shared" si="782"/>
        <v>Educación</v>
      </c>
      <c r="E553" s="19">
        <v>8</v>
      </c>
      <c r="F553" s="18" t="s">
        <v>1524</v>
      </c>
      <c r="G553" s="18" t="s">
        <v>7427</v>
      </c>
      <c r="H553" s="35" t="s">
        <v>16</v>
      </c>
      <c r="I553" s="36" t="s">
        <v>375</v>
      </c>
      <c r="J553" s="9" t="str">
        <f t="shared" ref="J553:N553" si="783">+J552</f>
        <v>Ninguno</v>
      </c>
      <c r="K553" s="9" t="str">
        <f t="shared" si="783"/>
        <v>Puntaje promedio y máximo por comuna</v>
      </c>
      <c r="L553" s="9" t="str">
        <f t="shared" si="783"/>
        <v>Año 2020</v>
      </c>
      <c r="M553" s="9" t="str">
        <f t="shared" si="783"/>
        <v>Puntaje</v>
      </c>
      <c r="N553" s="9" t="str">
        <f t="shared" si="783"/>
        <v>Agencia de Calidad de la Educación</v>
      </c>
      <c r="O553" s="20" t="str">
        <f>+"Mapa Puntaje Promedio y Máximo en prueba SIMCE de Lectura de 8vo Básico por Comuna en la "&amp;I553&amp;" para el "&amp;Agencia[[#This Row],[temporalidad]]</f>
        <v>Mapa Puntaje Promedio y Máximo en prueba SIMCE de Lectura de 8vo Básico por Comuna en la Región del Biobío para el Año 2020</v>
      </c>
      <c r="P553" s="20"/>
      <c r="Q553" s="11" t="str">
        <f t="shared" si="726"/>
        <v>Mapa de calor</v>
      </c>
      <c r="R553" s="20" t="str">
        <f>Agencia[[#This Row],[territorio]]&amp;" SIMCE básica octavo educación puntaje lectura promedio máximo lenguaje"</f>
        <v>Región del Biobío SIMCE básica octavo educación puntaje lectura promedio máximo lenguaje</v>
      </c>
      <c r="S553" s="22" t="s">
        <v>423</v>
      </c>
      <c r="T553" s="68" t="str">
        <f>"100-C-"&amp;Agencia[[#This Row],[Filtro URL]]</f>
        <v>100-C-8</v>
      </c>
      <c r="U553" s="50" t="str">
        <f t="shared" si="727"/>
        <v>#1774B9</v>
      </c>
      <c r="V553" s="118" t="str">
        <f>+Agencia[[#This Row],[idcoleccion]]&amp;"-"&amp;Agencia[[#This Row],[id]]</f>
        <v>990-0542</v>
      </c>
      <c r="W553" s="118">
        <f>+VLOOKUP(Agencia[[#This Row],[Filtro URL]],Estructura!$X$4:$Y$500,2,0)</f>
        <v>99200008</v>
      </c>
      <c r="X553" s="118" t="str">
        <f>+VLOOKUP(Agencia[[#This Row],[tema]],Estructura!$A$4:$C$500,3,0)</f>
        <v>T-1043</v>
      </c>
      <c r="Y553" s="118" t="str">
        <f>+VLOOKUP(Agencia[[#This Row],[contenido]],Estructura!$E$4:$G$500,3,0)</f>
        <v>C-1018</v>
      </c>
      <c r="Z553" s="118" t="str">
        <f>+VLOOKUP(Agencia[[#This Row],[Filtro Integrado]],Estructura!$I$4:$K$500,3,0)</f>
        <v>FI-993</v>
      </c>
      <c r="AA553" s="118" t="str">
        <f>+VLOOKUP(Agencia[[#This Row],[Muestra]],Estructura!$M$4:$O$500,3,0)</f>
        <v>M-1045</v>
      </c>
    </row>
    <row r="554" spans="1:27" ht="36" x14ac:dyDescent="0.3">
      <c r="A554" s="21" t="s">
        <v>1146</v>
      </c>
      <c r="B554" s="24">
        <f t="shared" ref="B554:D554" si="784">+B553</f>
        <v>990</v>
      </c>
      <c r="C554" s="25" t="str">
        <f t="shared" si="784"/>
        <v>Agencia Información</v>
      </c>
      <c r="D554" s="25" t="str">
        <f t="shared" si="784"/>
        <v>Educación</v>
      </c>
      <c r="E554" s="19">
        <v>9</v>
      </c>
      <c r="F554" s="18" t="s">
        <v>1524</v>
      </c>
      <c r="G554" s="18" t="s">
        <v>7427</v>
      </c>
      <c r="H554" s="35" t="s">
        <v>16</v>
      </c>
      <c r="I554" s="36" t="s">
        <v>376</v>
      </c>
      <c r="J554" s="9" t="str">
        <f t="shared" ref="J554:N554" si="785">+J553</f>
        <v>Ninguno</v>
      </c>
      <c r="K554" s="9" t="str">
        <f t="shared" si="785"/>
        <v>Puntaje promedio y máximo por comuna</v>
      </c>
      <c r="L554" s="9" t="str">
        <f t="shared" si="785"/>
        <v>Año 2020</v>
      </c>
      <c r="M554" s="9" t="str">
        <f t="shared" si="785"/>
        <v>Puntaje</v>
      </c>
      <c r="N554" s="9" t="str">
        <f t="shared" si="785"/>
        <v>Agencia de Calidad de la Educación</v>
      </c>
      <c r="O554" s="20" t="str">
        <f>+"Mapa Puntaje Promedio y Máximo en prueba SIMCE de Lectura de 8vo Básico por Comuna en la "&amp;I554&amp;" para el "&amp;Agencia[[#This Row],[temporalidad]]</f>
        <v>Mapa Puntaje Promedio y Máximo en prueba SIMCE de Lectura de 8vo Básico por Comuna en la Región de La Araucanía para el Año 2020</v>
      </c>
      <c r="P554" s="20"/>
      <c r="Q554" s="11" t="str">
        <f t="shared" si="726"/>
        <v>Mapa de calor</v>
      </c>
      <c r="R554" s="20" t="str">
        <f>Agencia[[#This Row],[territorio]]&amp;" SIMCE básica octavo educación puntaje lectura promedio máximo lenguaje"</f>
        <v>Región de La Araucanía SIMCE básica octavo educación puntaje lectura promedio máximo lenguaje</v>
      </c>
      <c r="S554" s="22" t="s">
        <v>423</v>
      </c>
      <c r="T554" s="68" t="str">
        <f>"100-C-"&amp;Agencia[[#This Row],[Filtro URL]]</f>
        <v>100-C-9</v>
      </c>
      <c r="U554" s="50" t="str">
        <f t="shared" si="727"/>
        <v>#1774B9</v>
      </c>
      <c r="V554" s="118" t="str">
        <f>+Agencia[[#This Row],[idcoleccion]]&amp;"-"&amp;Agencia[[#This Row],[id]]</f>
        <v>990-0543</v>
      </c>
      <c r="W554" s="118">
        <f>+VLOOKUP(Agencia[[#This Row],[Filtro URL]],Estructura!$X$4:$Y$500,2,0)</f>
        <v>99200009</v>
      </c>
      <c r="X554" s="118" t="str">
        <f>+VLOOKUP(Agencia[[#This Row],[tema]],Estructura!$A$4:$C$500,3,0)</f>
        <v>T-1043</v>
      </c>
      <c r="Y554" s="118" t="str">
        <f>+VLOOKUP(Agencia[[#This Row],[contenido]],Estructura!$E$4:$G$500,3,0)</f>
        <v>C-1018</v>
      </c>
      <c r="Z554" s="118" t="str">
        <f>+VLOOKUP(Agencia[[#This Row],[Filtro Integrado]],Estructura!$I$4:$K$500,3,0)</f>
        <v>FI-993</v>
      </c>
      <c r="AA554" s="118" t="str">
        <f>+VLOOKUP(Agencia[[#This Row],[Muestra]],Estructura!$M$4:$O$500,3,0)</f>
        <v>M-1045</v>
      </c>
    </row>
    <row r="555" spans="1:27" ht="36" x14ac:dyDescent="0.3">
      <c r="A555" s="21" t="s">
        <v>1147</v>
      </c>
      <c r="B555" s="24">
        <f t="shared" ref="B555:D555" si="786">+B554</f>
        <v>990</v>
      </c>
      <c r="C555" s="25" t="str">
        <f t="shared" si="786"/>
        <v>Agencia Información</v>
      </c>
      <c r="D555" s="25" t="str">
        <f t="shared" si="786"/>
        <v>Educación</v>
      </c>
      <c r="E555" s="19">
        <v>10</v>
      </c>
      <c r="F555" s="18" t="s">
        <v>1524</v>
      </c>
      <c r="G555" s="18" t="s">
        <v>7427</v>
      </c>
      <c r="H555" s="35" t="s">
        <v>16</v>
      </c>
      <c r="I555" s="36" t="s">
        <v>377</v>
      </c>
      <c r="J555" s="9" t="str">
        <f t="shared" ref="J555:N555" si="787">+J554</f>
        <v>Ninguno</v>
      </c>
      <c r="K555" s="9" t="str">
        <f t="shared" si="787"/>
        <v>Puntaje promedio y máximo por comuna</v>
      </c>
      <c r="L555" s="9" t="str">
        <f t="shared" si="787"/>
        <v>Año 2020</v>
      </c>
      <c r="M555" s="9" t="str">
        <f t="shared" si="787"/>
        <v>Puntaje</v>
      </c>
      <c r="N555" s="9" t="str">
        <f t="shared" si="787"/>
        <v>Agencia de Calidad de la Educación</v>
      </c>
      <c r="O555" s="20" t="str">
        <f>+"Mapa Puntaje Promedio y Máximo en prueba SIMCE de Lectura de 8vo Básico por Comuna en la "&amp;I555&amp;" para el "&amp;Agencia[[#This Row],[temporalidad]]</f>
        <v>Mapa Puntaje Promedio y Máximo en prueba SIMCE de Lectura de 8vo Básico por Comuna en la Región de Los Lagos para el Año 2020</v>
      </c>
      <c r="P555" s="20"/>
      <c r="Q555" s="11" t="str">
        <f t="shared" si="726"/>
        <v>Mapa de calor</v>
      </c>
      <c r="R555" s="20" t="str">
        <f>Agencia[[#This Row],[territorio]]&amp;" SIMCE básica octavo educación puntaje lectura promedio máximo lenguaje"</f>
        <v>Región de Los Lagos SIMCE básica octavo educación puntaje lectura promedio máximo lenguaje</v>
      </c>
      <c r="S555" s="22" t="s">
        <v>423</v>
      </c>
      <c r="T555" s="68" t="str">
        <f>"100-C-"&amp;Agencia[[#This Row],[Filtro URL]]</f>
        <v>100-C-10</v>
      </c>
      <c r="U555" s="50" t="str">
        <f t="shared" si="727"/>
        <v>#1774B9</v>
      </c>
      <c r="V555" s="118" t="str">
        <f>+Agencia[[#This Row],[idcoleccion]]&amp;"-"&amp;Agencia[[#This Row],[id]]</f>
        <v>990-0544</v>
      </c>
      <c r="W555" s="118">
        <f>+VLOOKUP(Agencia[[#This Row],[Filtro URL]],Estructura!$X$4:$Y$500,2,0)</f>
        <v>99200010</v>
      </c>
      <c r="X555" s="118" t="str">
        <f>+VLOOKUP(Agencia[[#This Row],[tema]],Estructura!$A$4:$C$500,3,0)</f>
        <v>T-1043</v>
      </c>
      <c r="Y555" s="118" t="str">
        <f>+VLOOKUP(Agencia[[#This Row],[contenido]],Estructura!$E$4:$G$500,3,0)</f>
        <v>C-1018</v>
      </c>
      <c r="Z555" s="118" t="str">
        <f>+VLOOKUP(Agencia[[#This Row],[Filtro Integrado]],Estructura!$I$4:$K$500,3,0)</f>
        <v>FI-993</v>
      </c>
      <c r="AA555" s="118" t="str">
        <f>+VLOOKUP(Agencia[[#This Row],[Muestra]],Estructura!$M$4:$O$500,3,0)</f>
        <v>M-1045</v>
      </c>
    </row>
    <row r="556" spans="1:27" ht="36" x14ac:dyDescent="0.3">
      <c r="A556" s="21" t="s">
        <v>1148</v>
      </c>
      <c r="B556" s="24">
        <f t="shared" ref="B556:D556" si="788">+B555</f>
        <v>990</v>
      </c>
      <c r="C556" s="25" t="str">
        <f t="shared" si="788"/>
        <v>Agencia Información</v>
      </c>
      <c r="D556" s="25" t="str">
        <f t="shared" si="788"/>
        <v>Educación</v>
      </c>
      <c r="E556" s="19">
        <v>11</v>
      </c>
      <c r="F556" s="18" t="s">
        <v>1524</v>
      </c>
      <c r="G556" s="18" t="s">
        <v>7427</v>
      </c>
      <c r="H556" s="35" t="s">
        <v>16</v>
      </c>
      <c r="I556" s="36" t="s">
        <v>378</v>
      </c>
      <c r="J556" s="9" t="str">
        <f t="shared" ref="J556:N556" si="789">+J555</f>
        <v>Ninguno</v>
      </c>
      <c r="K556" s="9" t="str">
        <f t="shared" si="789"/>
        <v>Puntaje promedio y máximo por comuna</v>
      </c>
      <c r="L556" s="9" t="str">
        <f t="shared" si="789"/>
        <v>Año 2020</v>
      </c>
      <c r="M556" s="9" t="str">
        <f t="shared" si="789"/>
        <v>Puntaje</v>
      </c>
      <c r="N556" s="9" t="str">
        <f t="shared" si="789"/>
        <v>Agencia de Calidad de la Educación</v>
      </c>
      <c r="O556" s="20" t="str">
        <f>+"Mapa Puntaje Promedio y Máximo en prueba SIMCE de Lectura de 8vo Básico por Comuna en la "&amp;I556&amp;" para el "&amp;Agencia[[#This Row],[temporalidad]]</f>
        <v>Mapa Puntaje Promedio y Máximo en prueba SIMCE de Lectura de 8vo Básico por Comuna en la Región de Aysén para el Año 2020</v>
      </c>
      <c r="P556" s="20"/>
      <c r="Q556" s="11" t="str">
        <f t="shared" si="726"/>
        <v>Mapa de calor</v>
      </c>
      <c r="R556" s="20" t="str">
        <f>Agencia[[#This Row],[territorio]]&amp;" SIMCE básica octavo educación puntaje lectura promedio máximo lenguaje"</f>
        <v>Región de Aysén SIMCE básica octavo educación puntaje lectura promedio máximo lenguaje</v>
      </c>
      <c r="S556" s="22" t="s">
        <v>423</v>
      </c>
      <c r="T556" s="68" t="str">
        <f>"100-C-"&amp;Agencia[[#This Row],[Filtro URL]]</f>
        <v>100-C-11</v>
      </c>
      <c r="U556" s="50" t="str">
        <f t="shared" si="727"/>
        <v>#1774B9</v>
      </c>
      <c r="V556" s="118" t="str">
        <f>+Agencia[[#This Row],[idcoleccion]]&amp;"-"&amp;Agencia[[#This Row],[id]]</f>
        <v>990-0545</v>
      </c>
      <c r="W556" s="118">
        <f>+VLOOKUP(Agencia[[#This Row],[Filtro URL]],Estructura!$X$4:$Y$500,2,0)</f>
        <v>99200011</v>
      </c>
      <c r="X556" s="118" t="str">
        <f>+VLOOKUP(Agencia[[#This Row],[tema]],Estructura!$A$4:$C$500,3,0)</f>
        <v>T-1043</v>
      </c>
      <c r="Y556" s="118" t="str">
        <f>+VLOOKUP(Agencia[[#This Row],[contenido]],Estructura!$E$4:$G$500,3,0)</f>
        <v>C-1018</v>
      </c>
      <c r="Z556" s="118" t="str">
        <f>+VLOOKUP(Agencia[[#This Row],[Filtro Integrado]],Estructura!$I$4:$K$500,3,0)</f>
        <v>FI-993</v>
      </c>
      <c r="AA556" s="118" t="str">
        <f>+VLOOKUP(Agencia[[#This Row],[Muestra]],Estructura!$M$4:$O$500,3,0)</f>
        <v>M-1045</v>
      </c>
    </row>
    <row r="557" spans="1:27" ht="36" x14ac:dyDescent="0.3">
      <c r="A557" s="21" t="s">
        <v>1149</v>
      </c>
      <c r="B557" s="24">
        <f t="shared" ref="B557:D557" si="790">+B556</f>
        <v>990</v>
      </c>
      <c r="C557" s="25" t="str">
        <f t="shared" si="790"/>
        <v>Agencia Información</v>
      </c>
      <c r="D557" s="25" t="str">
        <f t="shared" si="790"/>
        <v>Educación</v>
      </c>
      <c r="E557" s="19">
        <v>12</v>
      </c>
      <c r="F557" s="18" t="s">
        <v>1524</v>
      </c>
      <c r="G557" s="18" t="s">
        <v>7427</v>
      </c>
      <c r="H557" s="35" t="s">
        <v>16</v>
      </c>
      <c r="I557" s="36" t="s">
        <v>379</v>
      </c>
      <c r="J557" s="9" t="str">
        <f t="shared" ref="J557:N557" si="791">+J556</f>
        <v>Ninguno</v>
      </c>
      <c r="K557" s="9" t="str">
        <f t="shared" si="791"/>
        <v>Puntaje promedio y máximo por comuna</v>
      </c>
      <c r="L557" s="9" t="str">
        <f t="shared" si="791"/>
        <v>Año 2020</v>
      </c>
      <c r="M557" s="9" t="str">
        <f t="shared" si="791"/>
        <v>Puntaje</v>
      </c>
      <c r="N557" s="9" t="str">
        <f t="shared" si="791"/>
        <v>Agencia de Calidad de la Educación</v>
      </c>
      <c r="O557" s="20" t="str">
        <f>+"Mapa Puntaje Promedio y Máximo en prueba SIMCE de Lectura de 8vo Básico por Comuna en la "&amp;I557&amp;" para el "&amp;Agencia[[#This Row],[temporalidad]]</f>
        <v>Mapa Puntaje Promedio y Máximo en prueba SIMCE de Lectura de 8vo Básico por Comuna en la Región de Magallanes para el Año 2020</v>
      </c>
      <c r="P557" s="20"/>
      <c r="Q557" s="11" t="str">
        <f t="shared" si="726"/>
        <v>Mapa de calor</v>
      </c>
      <c r="R557" s="20" t="str">
        <f>Agencia[[#This Row],[territorio]]&amp;" SIMCE básica octavo educación puntaje lectura promedio máximo lenguaje"</f>
        <v>Región de Magallanes SIMCE básica octavo educación puntaje lectura promedio máximo lenguaje</v>
      </c>
      <c r="S557" s="22" t="s">
        <v>423</v>
      </c>
      <c r="T557" s="68" t="str">
        <f>"100-C-"&amp;Agencia[[#This Row],[Filtro URL]]</f>
        <v>100-C-12</v>
      </c>
      <c r="U557" s="50" t="str">
        <f t="shared" si="727"/>
        <v>#1774B9</v>
      </c>
      <c r="V557" s="118" t="str">
        <f>+Agencia[[#This Row],[idcoleccion]]&amp;"-"&amp;Agencia[[#This Row],[id]]</f>
        <v>990-0546</v>
      </c>
      <c r="W557" s="118">
        <f>+VLOOKUP(Agencia[[#This Row],[Filtro URL]],Estructura!$X$4:$Y$500,2,0)</f>
        <v>99200012</v>
      </c>
      <c r="X557" s="118" t="str">
        <f>+VLOOKUP(Agencia[[#This Row],[tema]],Estructura!$A$4:$C$500,3,0)</f>
        <v>T-1043</v>
      </c>
      <c r="Y557" s="118" t="str">
        <f>+VLOOKUP(Agencia[[#This Row],[contenido]],Estructura!$E$4:$G$500,3,0)</f>
        <v>C-1018</v>
      </c>
      <c r="Z557" s="118" t="str">
        <f>+VLOOKUP(Agencia[[#This Row],[Filtro Integrado]],Estructura!$I$4:$K$500,3,0)</f>
        <v>FI-993</v>
      </c>
      <c r="AA557" s="118" t="str">
        <f>+VLOOKUP(Agencia[[#This Row],[Muestra]],Estructura!$M$4:$O$500,3,0)</f>
        <v>M-1045</v>
      </c>
    </row>
    <row r="558" spans="1:27" ht="36" x14ac:dyDescent="0.3">
      <c r="A558" s="21" t="s">
        <v>1150</v>
      </c>
      <c r="B558" s="24">
        <f t="shared" ref="B558:D558" si="792">+B557</f>
        <v>990</v>
      </c>
      <c r="C558" s="25" t="str">
        <f t="shared" si="792"/>
        <v>Agencia Información</v>
      </c>
      <c r="D558" s="25" t="str">
        <f t="shared" si="792"/>
        <v>Educación</v>
      </c>
      <c r="E558" s="19">
        <v>13</v>
      </c>
      <c r="F558" s="18" t="s">
        <v>1524</v>
      </c>
      <c r="G558" s="18" t="s">
        <v>7427</v>
      </c>
      <c r="H558" s="35" t="s">
        <v>16</v>
      </c>
      <c r="I558" s="36" t="s">
        <v>380</v>
      </c>
      <c r="J558" s="9" t="str">
        <f t="shared" ref="J558:N558" si="793">+J557</f>
        <v>Ninguno</v>
      </c>
      <c r="K558" s="9" t="str">
        <f t="shared" si="793"/>
        <v>Puntaje promedio y máximo por comuna</v>
      </c>
      <c r="L558" s="9" t="str">
        <f t="shared" si="793"/>
        <v>Año 2020</v>
      </c>
      <c r="M558" s="9" t="str">
        <f t="shared" si="793"/>
        <v>Puntaje</v>
      </c>
      <c r="N558" s="9" t="str">
        <f t="shared" si="793"/>
        <v>Agencia de Calidad de la Educación</v>
      </c>
      <c r="O558" s="20" t="str">
        <f>+"Mapa Puntaje Promedio y Máximo en prueba SIMCE de Lectura de 8vo Básico por Comuna en la "&amp;I558&amp;" para el "&amp;Agencia[[#This Row],[temporalidad]]</f>
        <v>Mapa Puntaje Promedio y Máximo en prueba SIMCE de Lectura de 8vo Básico por Comuna en la Región Metropolitana para el Año 2020</v>
      </c>
      <c r="P558" s="20"/>
      <c r="Q558" s="11" t="str">
        <f t="shared" si="726"/>
        <v>Mapa de calor</v>
      </c>
      <c r="R558" s="20" t="str">
        <f>Agencia[[#This Row],[territorio]]&amp;" SIMCE básica octavo educación puntaje lectura promedio máximo lenguaje"</f>
        <v>Región Metropolitana SIMCE básica octavo educación puntaje lectura promedio máximo lenguaje</v>
      </c>
      <c r="S558" s="22" t="s">
        <v>423</v>
      </c>
      <c r="T558" s="69" t="str">
        <f>"200-C-"&amp;Agencia[[#This Row],[Filtro URL]]</f>
        <v>200-C-13</v>
      </c>
      <c r="U558" s="50" t="str">
        <f t="shared" si="727"/>
        <v>#1774B9</v>
      </c>
      <c r="V558" s="118" t="str">
        <f>+Agencia[[#This Row],[idcoleccion]]&amp;"-"&amp;Agencia[[#This Row],[id]]</f>
        <v>990-0547</v>
      </c>
      <c r="W558" s="118">
        <f>+VLOOKUP(Agencia[[#This Row],[Filtro URL]],Estructura!$X$4:$Y$500,2,0)</f>
        <v>99200013</v>
      </c>
      <c r="X558" s="118" t="str">
        <f>+VLOOKUP(Agencia[[#This Row],[tema]],Estructura!$A$4:$C$500,3,0)</f>
        <v>T-1043</v>
      </c>
      <c r="Y558" s="118" t="str">
        <f>+VLOOKUP(Agencia[[#This Row],[contenido]],Estructura!$E$4:$G$500,3,0)</f>
        <v>C-1018</v>
      </c>
      <c r="Z558" s="118" t="str">
        <f>+VLOOKUP(Agencia[[#This Row],[Filtro Integrado]],Estructura!$I$4:$K$500,3,0)</f>
        <v>FI-993</v>
      </c>
      <c r="AA558" s="118" t="str">
        <f>+VLOOKUP(Agencia[[#This Row],[Muestra]],Estructura!$M$4:$O$500,3,0)</f>
        <v>M-1045</v>
      </c>
    </row>
    <row r="559" spans="1:27" ht="36" x14ac:dyDescent="0.3">
      <c r="A559" s="21" t="s">
        <v>1151</v>
      </c>
      <c r="B559" s="24">
        <f t="shared" ref="B559:D559" si="794">+B558</f>
        <v>990</v>
      </c>
      <c r="C559" s="25" t="str">
        <f t="shared" si="794"/>
        <v>Agencia Información</v>
      </c>
      <c r="D559" s="25" t="str">
        <f t="shared" si="794"/>
        <v>Educación</v>
      </c>
      <c r="E559" s="19">
        <v>14</v>
      </c>
      <c r="F559" s="18" t="s">
        <v>1524</v>
      </c>
      <c r="G559" s="18" t="s">
        <v>7427</v>
      </c>
      <c r="H559" s="35" t="s">
        <v>16</v>
      </c>
      <c r="I559" s="36" t="s">
        <v>381</v>
      </c>
      <c r="J559" s="9" t="str">
        <f t="shared" ref="J559:N559" si="795">+J558</f>
        <v>Ninguno</v>
      </c>
      <c r="K559" s="9" t="str">
        <f t="shared" si="795"/>
        <v>Puntaje promedio y máximo por comuna</v>
      </c>
      <c r="L559" s="9" t="str">
        <f t="shared" si="795"/>
        <v>Año 2020</v>
      </c>
      <c r="M559" s="9" t="str">
        <f t="shared" si="795"/>
        <v>Puntaje</v>
      </c>
      <c r="N559" s="9" t="str">
        <f t="shared" si="795"/>
        <v>Agencia de Calidad de la Educación</v>
      </c>
      <c r="O559" s="20" t="str">
        <f>+"Mapa Puntaje Promedio y Máximo en prueba SIMCE de Lectura de 8vo Básico por Comuna en la "&amp;I559&amp;" para el "&amp;Agencia[[#This Row],[temporalidad]]</f>
        <v>Mapa Puntaje Promedio y Máximo en prueba SIMCE de Lectura de 8vo Básico por Comuna en la Región de Los Ríos para el Año 2020</v>
      </c>
      <c r="P559" s="20"/>
      <c r="Q559" s="11" t="str">
        <f t="shared" si="726"/>
        <v>Mapa de calor</v>
      </c>
      <c r="R559" s="20" t="str">
        <f>Agencia[[#This Row],[territorio]]&amp;" SIMCE básica octavo educación puntaje lectura promedio máximo lenguaje"</f>
        <v>Región de Los Ríos SIMCE básica octavo educación puntaje lectura promedio máximo lenguaje</v>
      </c>
      <c r="S559" s="22" t="s">
        <v>423</v>
      </c>
      <c r="T559" s="68" t="str">
        <f>"100-C-"&amp;Agencia[[#This Row],[Filtro URL]]</f>
        <v>100-C-14</v>
      </c>
      <c r="U559" s="50" t="str">
        <f t="shared" si="727"/>
        <v>#1774B9</v>
      </c>
      <c r="V559" s="118" t="str">
        <f>+Agencia[[#This Row],[idcoleccion]]&amp;"-"&amp;Agencia[[#This Row],[id]]</f>
        <v>990-0548</v>
      </c>
      <c r="W559" s="118">
        <f>+VLOOKUP(Agencia[[#This Row],[Filtro URL]],Estructura!$X$4:$Y$500,2,0)</f>
        <v>99200014</v>
      </c>
      <c r="X559" s="118" t="str">
        <f>+VLOOKUP(Agencia[[#This Row],[tema]],Estructura!$A$4:$C$500,3,0)</f>
        <v>T-1043</v>
      </c>
      <c r="Y559" s="118" t="str">
        <f>+VLOOKUP(Agencia[[#This Row],[contenido]],Estructura!$E$4:$G$500,3,0)</f>
        <v>C-1018</v>
      </c>
      <c r="Z559" s="118" t="str">
        <f>+VLOOKUP(Agencia[[#This Row],[Filtro Integrado]],Estructura!$I$4:$K$500,3,0)</f>
        <v>FI-993</v>
      </c>
      <c r="AA559" s="118" t="str">
        <f>+VLOOKUP(Agencia[[#This Row],[Muestra]],Estructura!$M$4:$O$500,3,0)</f>
        <v>M-1045</v>
      </c>
    </row>
    <row r="560" spans="1:27" ht="36" x14ac:dyDescent="0.3">
      <c r="A560" s="21" t="s">
        <v>1152</v>
      </c>
      <c r="B560" s="24">
        <f t="shared" ref="B560:D560" si="796">+B559</f>
        <v>990</v>
      </c>
      <c r="C560" s="25" t="str">
        <f t="shared" si="796"/>
        <v>Agencia Información</v>
      </c>
      <c r="D560" s="25" t="str">
        <f t="shared" si="796"/>
        <v>Educación</v>
      </c>
      <c r="E560" s="19">
        <v>15</v>
      </c>
      <c r="F560" s="18" t="s">
        <v>1524</v>
      </c>
      <c r="G560" s="18" t="s">
        <v>7427</v>
      </c>
      <c r="H560" s="35" t="s">
        <v>16</v>
      </c>
      <c r="I560" s="36" t="s">
        <v>382</v>
      </c>
      <c r="J560" s="9" t="str">
        <f t="shared" ref="J560:N560" si="797">+J559</f>
        <v>Ninguno</v>
      </c>
      <c r="K560" s="9" t="str">
        <f t="shared" si="797"/>
        <v>Puntaje promedio y máximo por comuna</v>
      </c>
      <c r="L560" s="9" t="str">
        <f t="shared" si="797"/>
        <v>Año 2020</v>
      </c>
      <c r="M560" s="9" t="str">
        <f t="shared" si="797"/>
        <v>Puntaje</v>
      </c>
      <c r="N560" s="9" t="str">
        <f t="shared" si="797"/>
        <v>Agencia de Calidad de la Educación</v>
      </c>
      <c r="O560" s="20" t="str">
        <f>+"Mapa Puntaje Promedio y Máximo en prueba SIMCE de Lectura de 8vo Básico por Comuna en la "&amp;I560&amp;" para el "&amp;Agencia[[#This Row],[temporalidad]]</f>
        <v>Mapa Puntaje Promedio y Máximo en prueba SIMCE de Lectura de 8vo Básico por Comuna en la Región de Arica y Parinacota para el Año 2020</v>
      </c>
      <c r="P560" s="20"/>
      <c r="Q560" s="11" t="str">
        <f t="shared" si="726"/>
        <v>Mapa de calor</v>
      </c>
      <c r="R560" s="20" t="str">
        <f>Agencia[[#This Row],[territorio]]&amp;" SIMCE básica octavo educación puntaje lectura promedio máximo lenguaje"</f>
        <v>Región de Arica y Parinacota SIMCE básica octavo educación puntaje lectura promedio máximo lenguaje</v>
      </c>
      <c r="S560" s="22" t="s">
        <v>423</v>
      </c>
      <c r="T560" s="68" t="str">
        <f>"100-C-"&amp;Agencia[[#This Row],[Filtro URL]]</f>
        <v>100-C-15</v>
      </c>
      <c r="U560" s="50" t="str">
        <f t="shared" si="727"/>
        <v>#1774B9</v>
      </c>
      <c r="V560" s="118" t="str">
        <f>+Agencia[[#This Row],[idcoleccion]]&amp;"-"&amp;Agencia[[#This Row],[id]]</f>
        <v>990-0549</v>
      </c>
      <c r="W560" s="118">
        <f>+VLOOKUP(Agencia[[#This Row],[Filtro URL]],Estructura!$X$4:$Y$500,2,0)</f>
        <v>99200015</v>
      </c>
      <c r="X560" s="118" t="str">
        <f>+VLOOKUP(Agencia[[#This Row],[tema]],Estructura!$A$4:$C$500,3,0)</f>
        <v>T-1043</v>
      </c>
      <c r="Y560" s="118" t="str">
        <f>+VLOOKUP(Agencia[[#This Row],[contenido]],Estructura!$E$4:$G$500,3,0)</f>
        <v>C-1018</v>
      </c>
      <c r="Z560" s="118" t="str">
        <f>+VLOOKUP(Agencia[[#This Row],[Filtro Integrado]],Estructura!$I$4:$K$500,3,0)</f>
        <v>FI-993</v>
      </c>
      <c r="AA560" s="118" t="str">
        <f>+VLOOKUP(Agencia[[#This Row],[Muestra]],Estructura!$M$4:$O$500,3,0)</f>
        <v>M-1045</v>
      </c>
    </row>
    <row r="561" spans="1:27" ht="36" x14ac:dyDescent="0.3">
      <c r="A561" s="21" t="s">
        <v>1153</v>
      </c>
      <c r="B561" s="24">
        <f t="shared" ref="B561:D561" si="798">+B560</f>
        <v>990</v>
      </c>
      <c r="C561" s="25" t="str">
        <f t="shared" si="798"/>
        <v>Agencia Información</v>
      </c>
      <c r="D561" s="25" t="str">
        <f t="shared" si="798"/>
        <v>Educación</v>
      </c>
      <c r="E561" s="19">
        <v>16</v>
      </c>
      <c r="F561" s="18" t="s">
        <v>1524</v>
      </c>
      <c r="G561" s="18" t="s">
        <v>7427</v>
      </c>
      <c r="H561" s="35" t="s">
        <v>16</v>
      </c>
      <c r="I561" s="36" t="s">
        <v>383</v>
      </c>
      <c r="J561" s="9" t="str">
        <f t="shared" ref="J561:N561" si="799">+J560</f>
        <v>Ninguno</v>
      </c>
      <c r="K561" s="9" t="str">
        <f t="shared" si="799"/>
        <v>Puntaje promedio y máximo por comuna</v>
      </c>
      <c r="L561" s="9" t="str">
        <f t="shared" si="799"/>
        <v>Año 2020</v>
      </c>
      <c r="M561" s="9" t="str">
        <f t="shared" si="799"/>
        <v>Puntaje</v>
      </c>
      <c r="N561" s="9" t="str">
        <f t="shared" si="799"/>
        <v>Agencia de Calidad de la Educación</v>
      </c>
      <c r="O561" s="20" t="str">
        <f>+"Mapa Puntaje Promedio y Máximo en prueba SIMCE de Lectura de 8vo Básico por Comuna en la "&amp;I561&amp;" para el "&amp;Agencia[[#This Row],[temporalidad]]</f>
        <v>Mapa Puntaje Promedio y Máximo en prueba SIMCE de Lectura de 8vo Básico por Comuna en la Región de Ñuble para el Año 2020</v>
      </c>
      <c r="P561" s="20"/>
      <c r="Q561" s="11" t="str">
        <f t="shared" si="726"/>
        <v>Mapa de calor</v>
      </c>
      <c r="R561" s="20" t="str">
        <f>Agencia[[#This Row],[territorio]]&amp;" SIMCE básica octavo educación puntaje lectura promedio máximo lenguaje"</f>
        <v>Región de Ñuble SIMCE básica octavo educación puntaje lectura promedio máximo lenguaje</v>
      </c>
      <c r="S561" s="22" t="s">
        <v>423</v>
      </c>
      <c r="T561" s="68" t="str">
        <f>"100-C-"&amp;Agencia[[#This Row],[Filtro URL]]</f>
        <v>100-C-16</v>
      </c>
      <c r="U561" s="50" t="str">
        <f t="shared" si="727"/>
        <v>#1774B9</v>
      </c>
      <c r="V561" s="118" t="str">
        <f>+Agencia[[#This Row],[idcoleccion]]&amp;"-"&amp;Agencia[[#This Row],[id]]</f>
        <v>990-0550</v>
      </c>
      <c r="W561" s="118">
        <f>+VLOOKUP(Agencia[[#This Row],[Filtro URL]],Estructura!$X$4:$Y$500,2,0)</f>
        <v>99200016</v>
      </c>
      <c r="X561" s="118" t="str">
        <f>+VLOOKUP(Agencia[[#This Row],[tema]],Estructura!$A$4:$C$500,3,0)</f>
        <v>T-1043</v>
      </c>
      <c r="Y561" s="118" t="str">
        <f>+VLOOKUP(Agencia[[#This Row],[contenido]],Estructura!$E$4:$G$500,3,0)</f>
        <v>C-1018</v>
      </c>
      <c r="Z561" s="118" t="str">
        <f>+VLOOKUP(Agencia[[#This Row],[Filtro Integrado]],Estructura!$I$4:$K$500,3,0)</f>
        <v>FI-993</v>
      </c>
      <c r="AA561" s="118" t="str">
        <f>+VLOOKUP(Agencia[[#This Row],[Muestra]],Estructura!$M$4:$O$500,3,0)</f>
        <v>M-1045</v>
      </c>
    </row>
    <row r="562" spans="1:27" ht="81.599999999999994" x14ac:dyDescent="0.3">
      <c r="A562" s="21" t="s">
        <v>1154</v>
      </c>
      <c r="B562" s="24">
        <f t="shared" ref="B562:C562" si="800">+B561</f>
        <v>990</v>
      </c>
      <c r="C562" s="25" t="str">
        <f t="shared" si="800"/>
        <v>Agencia Información</v>
      </c>
      <c r="D562" s="25" t="s">
        <v>14</v>
      </c>
      <c r="E562" s="14">
        <v>0</v>
      </c>
      <c r="F562" s="18" t="s">
        <v>6252</v>
      </c>
      <c r="G562" s="18" t="s">
        <v>7427</v>
      </c>
      <c r="H562" s="33" t="s">
        <v>20</v>
      </c>
      <c r="I562" s="34" t="s">
        <v>15</v>
      </c>
      <c r="J562" s="9" t="s">
        <v>16</v>
      </c>
      <c r="K562" s="9" t="s">
        <v>1539</v>
      </c>
      <c r="L562" s="9" t="s">
        <v>1537</v>
      </c>
      <c r="M562" s="9" t="s">
        <v>1529</v>
      </c>
      <c r="N562" s="9" t="s">
        <v>1526</v>
      </c>
      <c r="O562" s="20" t="str">
        <f>+"Evolución del Indicador de Participación y formación ciudadana por Dependencia de Establecimientos en "&amp;I562&amp;" para el "&amp;Agencia[[#This Row],[temporalidad]]</f>
        <v>Evolución del Indicador de Participación y formación ciudadana por Dependencia de Establecimientos en Chile para el Periodo 2014 - 2019</v>
      </c>
      <c r="P562" s="20" t="s">
        <v>1536</v>
      </c>
      <c r="Q562" s="11" t="s">
        <v>821</v>
      </c>
      <c r="R562" s="20" t="str">
        <f>Agencia[[#This Row],[territorio]]&amp;" calidad educación puntaje municipal subvencionado corporación particular indicador participación formación ciudadana"</f>
        <v>Chile calidad educación puntaje municipal subvencionado corporación particular indicador participación formación ciudadana</v>
      </c>
      <c r="S562" s="39" t="s">
        <v>1540</v>
      </c>
      <c r="T562" s="68" t="s">
        <v>855</v>
      </c>
      <c r="U562" s="50" t="str">
        <f t="shared" si="727"/>
        <v>#1774B9</v>
      </c>
      <c r="V562" s="118" t="str">
        <f>+Agencia[[#This Row],[idcoleccion]]&amp;"-"&amp;Agencia[[#This Row],[id]]</f>
        <v>990-0551</v>
      </c>
      <c r="W562" s="118">
        <f>+VLOOKUP(Agencia[[#This Row],[Filtro URL]],Estructura!$X$4:$Y$500,2,0)</f>
        <v>99100000</v>
      </c>
      <c r="X562" s="118" t="str">
        <f>+VLOOKUP(Agencia[[#This Row],[tema]],Estructura!$A$4:$C$500,3,0)</f>
        <v>T-1062</v>
      </c>
      <c r="Y562" s="118" t="str">
        <f>+VLOOKUP(Agencia[[#This Row],[contenido]],Estructura!$E$4:$G$500,3,0)</f>
        <v>C-1018</v>
      </c>
      <c r="Z562" s="118" t="str">
        <f>+VLOOKUP(Agencia[[#This Row],[Filtro Integrado]],Estructura!$I$4:$K$500,3,0)</f>
        <v>FI-992</v>
      </c>
      <c r="AA562" s="118" t="str">
        <f>+VLOOKUP(Agencia[[#This Row],[Muestra]],Estructura!$M$4:$O$500,3,0)</f>
        <v>M-1046</v>
      </c>
    </row>
    <row r="563" spans="1:27" ht="48" x14ac:dyDescent="0.3">
      <c r="A563" s="21" t="s">
        <v>1155</v>
      </c>
      <c r="B563" s="24">
        <f t="shared" ref="B563:D563" si="801">+B562</f>
        <v>990</v>
      </c>
      <c r="C563" s="25" t="str">
        <f t="shared" si="801"/>
        <v>Agencia Información</v>
      </c>
      <c r="D563" s="25" t="str">
        <f t="shared" si="801"/>
        <v>Educación</v>
      </c>
      <c r="E563" s="19">
        <v>1</v>
      </c>
      <c r="F563" s="18" t="s">
        <v>6252</v>
      </c>
      <c r="G563" s="18" t="s">
        <v>7427</v>
      </c>
      <c r="H563" s="35" t="s">
        <v>16</v>
      </c>
      <c r="I563" s="36" t="s">
        <v>368</v>
      </c>
      <c r="J563" s="9" t="s">
        <v>404</v>
      </c>
      <c r="K563" s="9" t="str">
        <f t="shared" ref="K563:N563" si="802">+K562</f>
        <v>Puntaje por dependencia de establecimientos por región</v>
      </c>
      <c r="L563" s="9" t="str">
        <f t="shared" si="802"/>
        <v>Periodo 2014 - 2019</v>
      </c>
      <c r="M563" s="9" t="str">
        <f t="shared" si="802"/>
        <v>Puntaje</v>
      </c>
      <c r="N563" s="9" t="str">
        <f t="shared" si="802"/>
        <v>Agencia de Calidad de la Educación</v>
      </c>
      <c r="O563" s="20" t="str">
        <f>+"Evolución del Indicador de Participación y formación ciudadana por Dependencia de Establecimientos en la "&amp;I563&amp;" para el "&amp;Agencia[[#This Row],[temporalidad]]</f>
        <v>Evolución del Indicador de Participación y formación ciudadana por Dependencia de Establecimientos en la Región de Tarapacá para el Periodo 2014 - 2019</v>
      </c>
      <c r="P563" s="20"/>
      <c r="Q563" s="11" t="str">
        <f t="shared" si="726"/>
        <v>Gráfico de Evolución</v>
      </c>
      <c r="R563" s="87" t="str">
        <f>Agencia[[#This Row],[territorio]]&amp;" calidad educación puntaje municipal subvencionado corporación particular indicador participación formación ciudadana"</f>
        <v>Región de Tarapacá calidad educación puntaje municipal subvencionado corporación particular indicador participación formación ciudadana</v>
      </c>
      <c r="S563" s="22" t="s">
        <v>423</v>
      </c>
      <c r="T563" s="68" t="str">
        <f>"100-R-"&amp;Agencia[[#This Row],[Filtro URL]]</f>
        <v>100-R-1</v>
      </c>
      <c r="U563" s="50" t="str">
        <f t="shared" si="727"/>
        <v>#1774B9</v>
      </c>
      <c r="V563" s="118" t="str">
        <f>+Agencia[[#This Row],[idcoleccion]]&amp;"-"&amp;Agencia[[#This Row],[id]]</f>
        <v>990-0552</v>
      </c>
      <c r="W563" s="118">
        <f>+VLOOKUP(Agencia[[#This Row],[Filtro URL]],Estructura!$X$4:$Y$500,2,0)</f>
        <v>99200001</v>
      </c>
      <c r="X563" s="118" t="str">
        <f>+VLOOKUP(Agencia[[#This Row],[tema]],Estructura!$A$4:$C$500,3,0)</f>
        <v>T-1062</v>
      </c>
      <c r="Y563" s="118" t="str">
        <f>+VLOOKUP(Agencia[[#This Row],[contenido]],Estructura!$E$4:$G$500,3,0)</f>
        <v>C-1018</v>
      </c>
      <c r="Z563" s="118" t="str">
        <f>+VLOOKUP(Agencia[[#This Row],[Filtro Integrado]],Estructura!$I$4:$K$500,3,0)</f>
        <v>FI-993</v>
      </c>
      <c r="AA563" s="118" t="str">
        <f>+VLOOKUP(Agencia[[#This Row],[Muestra]],Estructura!$M$4:$O$500,3,0)</f>
        <v>M-1046</v>
      </c>
    </row>
    <row r="564" spans="1:27" ht="48" x14ac:dyDescent="0.3">
      <c r="A564" s="21" t="s">
        <v>1156</v>
      </c>
      <c r="B564" s="24">
        <f t="shared" ref="B564:D564" si="803">+B563</f>
        <v>990</v>
      </c>
      <c r="C564" s="25" t="str">
        <f t="shared" si="803"/>
        <v>Agencia Información</v>
      </c>
      <c r="D564" s="25" t="str">
        <f t="shared" si="803"/>
        <v>Educación</v>
      </c>
      <c r="E564" s="19">
        <v>2</v>
      </c>
      <c r="F564" s="18" t="s">
        <v>6252</v>
      </c>
      <c r="G564" s="18" t="s">
        <v>7427</v>
      </c>
      <c r="H564" s="35" t="s">
        <v>16</v>
      </c>
      <c r="I564" s="36" t="s">
        <v>369</v>
      </c>
      <c r="J564" s="9" t="str">
        <f t="shared" ref="J564:N564" si="804">+J563</f>
        <v>Ninguno</v>
      </c>
      <c r="K564" s="9" t="str">
        <f t="shared" si="804"/>
        <v>Puntaje por dependencia de establecimientos por región</v>
      </c>
      <c r="L564" s="9" t="str">
        <f t="shared" si="804"/>
        <v>Periodo 2014 - 2019</v>
      </c>
      <c r="M564" s="9" t="str">
        <f t="shared" si="804"/>
        <v>Puntaje</v>
      </c>
      <c r="N564" s="9" t="str">
        <f t="shared" si="804"/>
        <v>Agencia de Calidad de la Educación</v>
      </c>
      <c r="O564" s="20" t="str">
        <f>+"Evolución del Indicador de Participación y formación ciudadana por Dependencia de Establecimientos en la "&amp;I564&amp;" para el "&amp;Agencia[[#This Row],[temporalidad]]</f>
        <v>Evolución del Indicador de Participación y formación ciudadana por Dependencia de Establecimientos en la Región de Antofagasta para el Periodo 2014 - 2019</v>
      </c>
      <c r="P564" s="20"/>
      <c r="Q564" s="11" t="str">
        <f t="shared" si="726"/>
        <v>Gráfico de Evolución</v>
      </c>
      <c r="R564" s="87" t="str">
        <f>Agencia[[#This Row],[territorio]]&amp;" calidad educación puntaje municipal subvencionado corporación particular indicador participación formación ciudadana"</f>
        <v>Región de Antofagasta calidad educación puntaje municipal subvencionado corporación particular indicador participación formación ciudadana</v>
      </c>
      <c r="S564" s="22" t="s">
        <v>423</v>
      </c>
      <c r="T564" s="68" t="str">
        <f>"100-R-"&amp;Agencia[[#This Row],[Filtro URL]]</f>
        <v>100-R-2</v>
      </c>
      <c r="U564" s="50" t="str">
        <f t="shared" si="727"/>
        <v>#1774B9</v>
      </c>
      <c r="V564" s="118" t="str">
        <f>+Agencia[[#This Row],[idcoleccion]]&amp;"-"&amp;Agencia[[#This Row],[id]]</f>
        <v>990-0553</v>
      </c>
      <c r="W564" s="118">
        <f>+VLOOKUP(Agencia[[#This Row],[Filtro URL]],Estructura!$X$4:$Y$500,2,0)</f>
        <v>99200002</v>
      </c>
      <c r="X564" s="118" t="str">
        <f>+VLOOKUP(Agencia[[#This Row],[tema]],Estructura!$A$4:$C$500,3,0)</f>
        <v>T-1062</v>
      </c>
      <c r="Y564" s="118" t="str">
        <f>+VLOOKUP(Agencia[[#This Row],[contenido]],Estructura!$E$4:$G$500,3,0)</f>
        <v>C-1018</v>
      </c>
      <c r="Z564" s="118" t="str">
        <f>+VLOOKUP(Agencia[[#This Row],[Filtro Integrado]],Estructura!$I$4:$K$500,3,0)</f>
        <v>FI-993</v>
      </c>
      <c r="AA564" s="118" t="str">
        <f>+VLOOKUP(Agencia[[#This Row],[Muestra]],Estructura!$M$4:$O$500,3,0)</f>
        <v>M-1046</v>
      </c>
    </row>
    <row r="565" spans="1:27" ht="48" x14ac:dyDescent="0.3">
      <c r="A565" s="21" t="s">
        <v>1157</v>
      </c>
      <c r="B565" s="24">
        <f t="shared" ref="B565:D565" si="805">+B564</f>
        <v>990</v>
      </c>
      <c r="C565" s="25" t="str">
        <f t="shared" si="805"/>
        <v>Agencia Información</v>
      </c>
      <c r="D565" s="25" t="str">
        <f t="shared" si="805"/>
        <v>Educación</v>
      </c>
      <c r="E565" s="19">
        <v>3</v>
      </c>
      <c r="F565" s="18" t="s">
        <v>6252</v>
      </c>
      <c r="G565" s="18" t="s">
        <v>7427</v>
      </c>
      <c r="H565" s="35" t="s">
        <v>16</v>
      </c>
      <c r="I565" s="36" t="s">
        <v>370</v>
      </c>
      <c r="J565" s="9" t="str">
        <f t="shared" ref="J565:N565" si="806">+J564</f>
        <v>Ninguno</v>
      </c>
      <c r="K565" s="9" t="str">
        <f t="shared" si="806"/>
        <v>Puntaje por dependencia de establecimientos por región</v>
      </c>
      <c r="L565" s="9" t="str">
        <f t="shared" si="806"/>
        <v>Periodo 2014 - 2019</v>
      </c>
      <c r="M565" s="9" t="str">
        <f t="shared" si="806"/>
        <v>Puntaje</v>
      </c>
      <c r="N565" s="9" t="str">
        <f t="shared" si="806"/>
        <v>Agencia de Calidad de la Educación</v>
      </c>
      <c r="O565" s="20" t="str">
        <f>+"Evolución del Indicador de Participación y formación ciudadana por Dependencia de Establecimientos en la "&amp;I565&amp;" para el "&amp;Agencia[[#This Row],[temporalidad]]</f>
        <v>Evolución del Indicador de Participación y formación ciudadana por Dependencia de Establecimientos en la Región de Atacama para el Periodo 2014 - 2019</v>
      </c>
      <c r="P565" s="20"/>
      <c r="Q565" s="11" t="str">
        <f t="shared" si="726"/>
        <v>Gráfico de Evolución</v>
      </c>
      <c r="R565" s="87" t="str">
        <f>Agencia[[#This Row],[territorio]]&amp;" calidad educación puntaje municipal subvencionado corporación particular indicador participación formación ciudadana"</f>
        <v>Región de Atacama calidad educación puntaje municipal subvencionado corporación particular indicador participación formación ciudadana</v>
      </c>
      <c r="S565" s="22" t="s">
        <v>423</v>
      </c>
      <c r="T565" s="68" t="str">
        <f>"100-R-"&amp;Agencia[[#This Row],[Filtro URL]]</f>
        <v>100-R-3</v>
      </c>
      <c r="U565" s="50" t="str">
        <f t="shared" si="727"/>
        <v>#1774B9</v>
      </c>
      <c r="V565" s="118" t="str">
        <f>+Agencia[[#This Row],[idcoleccion]]&amp;"-"&amp;Agencia[[#This Row],[id]]</f>
        <v>990-0554</v>
      </c>
      <c r="W565" s="118">
        <f>+VLOOKUP(Agencia[[#This Row],[Filtro URL]],Estructura!$X$4:$Y$500,2,0)</f>
        <v>99200003</v>
      </c>
      <c r="X565" s="118" t="str">
        <f>+VLOOKUP(Agencia[[#This Row],[tema]],Estructura!$A$4:$C$500,3,0)</f>
        <v>T-1062</v>
      </c>
      <c r="Y565" s="118" t="str">
        <f>+VLOOKUP(Agencia[[#This Row],[contenido]],Estructura!$E$4:$G$500,3,0)</f>
        <v>C-1018</v>
      </c>
      <c r="Z565" s="118" t="str">
        <f>+VLOOKUP(Agencia[[#This Row],[Filtro Integrado]],Estructura!$I$4:$K$500,3,0)</f>
        <v>FI-993</v>
      </c>
      <c r="AA565" s="118" t="str">
        <f>+VLOOKUP(Agencia[[#This Row],[Muestra]],Estructura!$M$4:$O$500,3,0)</f>
        <v>M-1046</v>
      </c>
    </row>
    <row r="566" spans="1:27" ht="48" x14ac:dyDescent="0.3">
      <c r="A566" s="21" t="s">
        <v>1158</v>
      </c>
      <c r="B566" s="24">
        <f t="shared" ref="B566:D566" si="807">+B565</f>
        <v>990</v>
      </c>
      <c r="C566" s="25" t="str">
        <f t="shared" si="807"/>
        <v>Agencia Información</v>
      </c>
      <c r="D566" s="25" t="str">
        <f t="shared" si="807"/>
        <v>Educación</v>
      </c>
      <c r="E566" s="19">
        <v>4</v>
      </c>
      <c r="F566" s="18" t="s">
        <v>6252</v>
      </c>
      <c r="G566" s="18" t="s">
        <v>7427</v>
      </c>
      <c r="H566" s="35" t="s">
        <v>16</v>
      </c>
      <c r="I566" s="36" t="s">
        <v>371</v>
      </c>
      <c r="J566" s="9" t="str">
        <f t="shared" ref="J566:N566" si="808">+J565</f>
        <v>Ninguno</v>
      </c>
      <c r="K566" s="9" t="str">
        <f t="shared" si="808"/>
        <v>Puntaje por dependencia de establecimientos por región</v>
      </c>
      <c r="L566" s="9" t="str">
        <f t="shared" si="808"/>
        <v>Periodo 2014 - 2019</v>
      </c>
      <c r="M566" s="9" t="str">
        <f t="shared" si="808"/>
        <v>Puntaje</v>
      </c>
      <c r="N566" s="9" t="str">
        <f t="shared" si="808"/>
        <v>Agencia de Calidad de la Educación</v>
      </c>
      <c r="O566" s="20" t="str">
        <f>+"Evolución del Indicador de Participación y formación ciudadana por Dependencia de Establecimientos en la "&amp;I566&amp;" para el "&amp;Agencia[[#This Row],[temporalidad]]</f>
        <v>Evolución del Indicador de Participación y formación ciudadana por Dependencia de Establecimientos en la Región de Coquimbo para el Periodo 2014 - 2019</v>
      </c>
      <c r="P566" s="20"/>
      <c r="Q566" s="11" t="str">
        <f t="shared" si="726"/>
        <v>Gráfico de Evolución</v>
      </c>
      <c r="R566" s="87" t="str">
        <f>Agencia[[#This Row],[territorio]]&amp;" calidad educación puntaje municipal subvencionado corporación particular indicador participación formación ciudadana"</f>
        <v>Región de Coquimbo calidad educación puntaje municipal subvencionado corporación particular indicador participación formación ciudadana</v>
      </c>
      <c r="S566" s="22" t="s">
        <v>423</v>
      </c>
      <c r="T566" s="68" t="str">
        <f>"100-R-"&amp;Agencia[[#This Row],[Filtro URL]]</f>
        <v>100-R-4</v>
      </c>
      <c r="U566" s="50" t="str">
        <f t="shared" si="727"/>
        <v>#1774B9</v>
      </c>
      <c r="V566" s="118" t="str">
        <f>+Agencia[[#This Row],[idcoleccion]]&amp;"-"&amp;Agencia[[#This Row],[id]]</f>
        <v>990-0555</v>
      </c>
      <c r="W566" s="118">
        <f>+VLOOKUP(Agencia[[#This Row],[Filtro URL]],Estructura!$X$4:$Y$500,2,0)</f>
        <v>99200004</v>
      </c>
      <c r="X566" s="118" t="str">
        <f>+VLOOKUP(Agencia[[#This Row],[tema]],Estructura!$A$4:$C$500,3,0)</f>
        <v>T-1062</v>
      </c>
      <c r="Y566" s="118" t="str">
        <f>+VLOOKUP(Agencia[[#This Row],[contenido]],Estructura!$E$4:$G$500,3,0)</f>
        <v>C-1018</v>
      </c>
      <c r="Z566" s="118" t="str">
        <f>+VLOOKUP(Agencia[[#This Row],[Filtro Integrado]],Estructura!$I$4:$K$500,3,0)</f>
        <v>FI-993</v>
      </c>
      <c r="AA566" s="118" t="str">
        <f>+VLOOKUP(Agencia[[#This Row],[Muestra]],Estructura!$M$4:$O$500,3,0)</f>
        <v>M-1046</v>
      </c>
    </row>
    <row r="567" spans="1:27" ht="48" x14ac:dyDescent="0.3">
      <c r="A567" s="21" t="s">
        <v>1159</v>
      </c>
      <c r="B567" s="24">
        <f t="shared" ref="B567:D567" si="809">+B566</f>
        <v>990</v>
      </c>
      <c r="C567" s="25" t="str">
        <f t="shared" si="809"/>
        <v>Agencia Información</v>
      </c>
      <c r="D567" s="25" t="str">
        <f t="shared" si="809"/>
        <v>Educación</v>
      </c>
      <c r="E567" s="19">
        <v>5</v>
      </c>
      <c r="F567" s="18" t="s">
        <v>6252</v>
      </c>
      <c r="G567" s="18" t="s">
        <v>7427</v>
      </c>
      <c r="H567" s="35" t="s">
        <v>16</v>
      </c>
      <c r="I567" s="36" t="s">
        <v>372</v>
      </c>
      <c r="J567" s="9" t="str">
        <f t="shared" ref="J567:N567" si="810">+J566</f>
        <v>Ninguno</v>
      </c>
      <c r="K567" s="9" t="str">
        <f t="shared" si="810"/>
        <v>Puntaje por dependencia de establecimientos por región</v>
      </c>
      <c r="L567" s="9" t="str">
        <f t="shared" si="810"/>
        <v>Periodo 2014 - 2019</v>
      </c>
      <c r="M567" s="9" t="str">
        <f t="shared" si="810"/>
        <v>Puntaje</v>
      </c>
      <c r="N567" s="9" t="str">
        <f t="shared" si="810"/>
        <v>Agencia de Calidad de la Educación</v>
      </c>
      <c r="O567" s="20" t="str">
        <f>+"Evolución del Indicador de Participación y formación ciudadana por Dependencia de Establecimientos en la "&amp;I567&amp;" para el "&amp;Agencia[[#This Row],[temporalidad]]</f>
        <v>Evolución del Indicador de Participación y formación ciudadana por Dependencia de Establecimientos en la Región de Valparaíso para el Periodo 2014 - 2019</v>
      </c>
      <c r="P567" s="20"/>
      <c r="Q567" s="11" t="str">
        <f t="shared" si="726"/>
        <v>Gráfico de Evolución</v>
      </c>
      <c r="R567" s="87" t="str">
        <f>Agencia[[#This Row],[territorio]]&amp;" calidad educación puntaje municipal subvencionado corporación particular indicador participación formación ciudadana"</f>
        <v>Región de Valparaíso calidad educación puntaje municipal subvencionado corporación particular indicador participación formación ciudadana</v>
      </c>
      <c r="S567" s="22" t="s">
        <v>423</v>
      </c>
      <c r="T567" s="68" t="str">
        <f>"100-R-"&amp;Agencia[[#This Row],[Filtro URL]]</f>
        <v>100-R-5</v>
      </c>
      <c r="U567" s="50" t="str">
        <f t="shared" si="727"/>
        <v>#1774B9</v>
      </c>
      <c r="V567" s="118" t="str">
        <f>+Agencia[[#This Row],[idcoleccion]]&amp;"-"&amp;Agencia[[#This Row],[id]]</f>
        <v>990-0556</v>
      </c>
      <c r="W567" s="118">
        <f>+VLOOKUP(Agencia[[#This Row],[Filtro URL]],Estructura!$X$4:$Y$500,2,0)</f>
        <v>99200005</v>
      </c>
      <c r="X567" s="118" t="str">
        <f>+VLOOKUP(Agencia[[#This Row],[tema]],Estructura!$A$4:$C$500,3,0)</f>
        <v>T-1062</v>
      </c>
      <c r="Y567" s="118" t="str">
        <f>+VLOOKUP(Agencia[[#This Row],[contenido]],Estructura!$E$4:$G$500,3,0)</f>
        <v>C-1018</v>
      </c>
      <c r="Z567" s="118" t="str">
        <f>+VLOOKUP(Agencia[[#This Row],[Filtro Integrado]],Estructura!$I$4:$K$500,3,0)</f>
        <v>FI-993</v>
      </c>
      <c r="AA567" s="118" t="str">
        <f>+VLOOKUP(Agencia[[#This Row],[Muestra]],Estructura!$M$4:$O$500,3,0)</f>
        <v>M-1046</v>
      </c>
    </row>
    <row r="568" spans="1:27" ht="48" x14ac:dyDescent="0.3">
      <c r="A568" s="21" t="s">
        <v>1160</v>
      </c>
      <c r="B568" s="24">
        <f t="shared" ref="B568:D568" si="811">+B567</f>
        <v>990</v>
      </c>
      <c r="C568" s="25" t="str">
        <f t="shared" si="811"/>
        <v>Agencia Información</v>
      </c>
      <c r="D568" s="25" t="str">
        <f t="shared" si="811"/>
        <v>Educación</v>
      </c>
      <c r="E568" s="19">
        <v>6</v>
      </c>
      <c r="F568" s="18" t="s">
        <v>6252</v>
      </c>
      <c r="G568" s="18" t="s">
        <v>7427</v>
      </c>
      <c r="H568" s="35" t="s">
        <v>16</v>
      </c>
      <c r="I568" s="36" t="s">
        <v>373</v>
      </c>
      <c r="J568" s="9" t="str">
        <f t="shared" ref="J568:N568" si="812">+J567</f>
        <v>Ninguno</v>
      </c>
      <c r="K568" s="9" t="str">
        <f t="shared" si="812"/>
        <v>Puntaje por dependencia de establecimientos por región</v>
      </c>
      <c r="L568" s="9" t="str">
        <f t="shared" si="812"/>
        <v>Periodo 2014 - 2019</v>
      </c>
      <c r="M568" s="9" t="str">
        <f t="shared" si="812"/>
        <v>Puntaje</v>
      </c>
      <c r="N568" s="9" t="str">
        <f t="shared" si="812"/>
        <v>Agencia de Calidad de la Educación</v>
      </c>
      <c r="O568" s="20" t="str">
        <f>+"Evolución del Indicador de Participación y formación ciudadana por Dependencia de Establecimientos en la "&amp;I568&amp;" para el "&amp;Agencia[[#This Row],[temporalidad]]</f>
        <v>Evolución del Indicador de Participación y formación ciudadana por Dependencia de Establecimientos en la Región de O'Higgins para el Periodo 2014 - 2019</v>
      </c>
      <c r="P568" s="20"/>
      <c r="Q568" s="11" t="str">
        <f t="shared" si="726"/>
        <v>Gráfico de Evolución</v>
      </c>
      <c r="R568" s="87" t="str">
        <f>Agencia[[#This Row],[territorio]]&amp;" calidad educación puntaje municipal subvencionado corporación particular indicador participación formación ciudadana"</f>
        <v>Región de O'Higgins calidad educación puntaje municipal subvencionado corporación particular indicador participación formación ciudadana</v>
      </c>
      <c r="S568" s="22" t="s">
        <v>423</v>
      </c>
      <c r="T568" s="68" t="str">
        <f>"100-R-"&amp;Agencia[[#This Row],[Filtro URL]]</f>
        <v>100-R-6</v>
      </c>
      <c r="U568" s="50" t="str">
        <f t="shared" si="727"/>
        <v>#1774B9</v>
      </c>
      <c r="V568" s="118" t="str">
        <f>+Agencia[[#This Row],[idcoleccion]]&amp;"-"&amp;Agencia[[#This Row],[id]]</f>
        <v>990-0557</v>
      </c>
      <c r="W568" s="118">
        <f>+VLOOKUP(Agencia[[#This Row],[Filtro URL]],Estructura!$X$4:$Y$500,2,0)</f>
        <v>99200006</v>
      </c>
      <c r="X568" s="118" t="str">
        <f>+VLOOKUP(Agencia[[#This Row],[tema]],Estructura!$A$4:$C$500,3,0)</f>
        <v>T-1062</v>
      </c>
      <c r="Y568" s="118" t="str">
        <f>+VLOOKUP(Agencia[[#This Row],[contenido]],Estructura!$E$4:$G$500,3,0)</f>
        <v>C-1018</v>
      </c>
      <c r="Z568" s="118" t="str">
        <f>+VLOOKUP(Agencia[[#This Row],[Filtro Integrado]],Estructura!$I$4:$K$500,3,0)</f>
        <v>FI-993</v>
      </c>
      <c r="AA568" s="118" t="str">
        <f>+VLOOKUP(Agencia[[#This Row],[Muestra]],Estructura!$M$4:$O$500,3,0)</f>
        <v>M-1046</v>
      </c>
    </row>
    <row r="569" spans="1:27" ht="48" x14ac:dyDescent="0.3">
      <c r="A569" s="21" t="s">
        <v>1161</v>
      </c>
      <c r="B569" s="24">
        <f t="shared" ref="B569:D569" si="813">+B568</f>
        <v>990</v>
      </c>
      <c r="C569" s="25" t="str">
        <f t="shared" si="813"/>
        <v>Agencia Información</v>
      </c>
      <c r="D569" s="25" t="str">
        <f t="shared" si="813"/>
        <v>Educación</v>
      </c>
      <c r="E569" s="19">
        <v>7</v>
      </c>
      <c r="F569" s="18" t="s">
        <v>6252</v>
      </c>
      <c r="G569" s="18" t="s">
        <v>7427</v>
      </c>
      <c r="H569" s="35" t="s">
        <v>16</v>
      </c>
      <c r="I569" s="36" t="s">
        <v>374</v>
      </c>
      <c r="J569" s="9" t="str">
        <f t="shared" ref="J569:N569" si="814">+J568</f>
        <v>Ninguno</v>
      </c>
      <c r="K569" s="9" t="str">
        <f t="shared" si="814"/>
        <v>Puntaje por dependencia de establecimientos por región</v>
      </c>
      <c r="L569" s="9" t="str">
        <f t="shared" si="814"/>
        <v>Periodo 2014 - 2019</v>
      </c>
      <c r="M569" s="9" t="str">
        <f t="shared" si="814"/>
        <v>Puntaje</v>
      </c>
      <c r="N569" s="9" t="str">
        <f t="shared" si="814"/>
        <v>Agencia de Calidad de la Educación</v>
      </c>
      <c r="O569" s="20" t="str">
        <f>+"Evolución del Indicador de Participación y formación ciudadana por Dependencia de Establecimientos en la "&amp;I569&amp;" para el "&amp;Agencia[[#This Row],[temporalidad]]</f>
        <v>Evolución del Indicador de Participación y formación ciudadana por Dependencia de Establecimientos en la Región de Maule para el Periodo 2014 - 2019</v>
      </c>
      <c r="P569" s="20"/>
      <c r="Q569" s="11" t="str">
        <f t="shared" si="726"/>
        <v>Gráfico de Evolución</v>
      </c>
      <c r="R569" s="87" t="str">
        <f>Agencia[[#This Row],[territorio]]&amp;" calidad educación puntaje municipal subvencionado corporación particular indicador participación formación ciudadana"</f>
        <v>Región de Maule calidad educación puntaje municipal subvencionado corporación particular indicador participación formación ciudadana</v>
      </c>
      <c r="S569" s="22" t="s">
        <v>423</v>
      </c>
      <c r="T569" s="68" t="str">
        <f>"100-R-"&amp;Agencia[[#This Row],[Filtro URL]]</f>
        <v>100-R-7</v>
      </c>
      <c r="U569" s="50" t="str">
        <f t="shared" si="727"/>
        <v>#1774B9</v>
      </c>
      <c r="V569" s="118" t="str">
        <f>+Agencia[[#This Row],[idcoleccion]]&amp;"-"&amp;Agencia[[#This Row],[id]]</f>
        <v>990-0558</v>
      </c>
      <c r="W569" s="118">
        <f>+VLOOKUP(Agencia[[#This Row],[Filtro URL]],Estructura!$X$4:$Y$500,2,0)</f>
        <v>99200007</v>
      </c>
      <c r="X569" s="118" t="str">
        <f>+VLOOKUP(Agencia[[#This Row],[tema]],Estructura!$A$4:$C$500,3,0)</f>
        <v>T-1062</v>
      </c>
      <c r="Y569" s="118" t="str">
        <f>+VLOOKUP(Agencia[[#This Row],[contenido]],Estructura!$E$4:$G$500,3,0)</f>
        <v>C-1018</v>
      </c>
      <c r="Z569" s="118" t="str">
        <f>+VLOOKUP(Agencia[[#This Row],[Filtro Integrado]],Estructura!$I$4:$K$500,3,0)</f>
        <v>FI-993</v>
      </c>
      <c r="AA569" s="118" t="str">
        <f>+VLOOKUP(Agencia[[#This Row],[Muestra]],Estructura!$M$4:$O$500,3,0)</f>
        <v>M-1046</v>
      </c>
    </row>
    <row r="570" spans="1:27" ht="48" x14ac:dyDescent="0.3">
      <c r="A570" s="21" t="s">
        <v>1162</v>
      </c>
      <c r="B570" s="24">
        <f t="shared" ref="B570:D570" si="815">+B569</f>
        <v>990</v>
      </c>
      <c r="C570" s="25" t="str">
        <f t="shared" si="815"/>
        <v>Agencia Información</v>
      </c>
      <c r="D570" s="25" t="str">
        <f t="shared" si="815"/>
        <v>Educación</v>
      </c>
      <c r="E570" s="19">
        <v>8</v>
      </c>
      <c r="F570" s="18" t="s">
        <v>6252</v>
      </c>
      <c r="G570" s="18" t="s">
        <v>7427</v>
      </c>
      <c r="H570" s="35" t="s">
        <v>16</v>
      </c>
      <c r="I570" s="36" t="s">
        <v>375</v>
      </c>
      <c r="J570" s="9" t="str">
        <f t="shared" ref="J570:N570" si="816">+J569</f>
        <v>Ninguno</v>
      </c>
      <c r="K570" s="9" t="str">
        <f t="shared" si="816"/>
        <v>Puntaje por dependencia de establecimientos por región</v>
      </c>
      <c r="L570" s="9" t="str">
        <f t="shared" si="816"/>
        <v>Periodo 2014 - 2019</v>
      </c>
      <c r="M570" s="9" t="str">
        <f t="shared" si="816"/>
        <v>Puntaje</v>
      </c>
      <c r="N570" s="9" t="str">
        <f t="shared" si="816"/>
        <v>Agencia de Calidad de la Educación</v>
      </c>
      <c r="O570" s="20" t="str">
        <f>+"Evolución del Indicador de Participación y formación ciudadana por Dependencia de Establecimientos en la "&amp;I570&amp;" para el "&amp;Agencia[[#This Row],[temporalidad]]</f>
        <v>Evolución del Indicador de Participación y formación ciudadana por Dependencia de Establecimientos en la Región del Biobío para el Periodo 2014 - 2019</v>
      </c>
      <c r="P570" s="20"/>
      <c r="Q570" s="11" t="str">
        <f t="shared" si="726"/>
        <v>Gráfico de Evolución</v>
      </c>
      <c r="R570" s="87" t="str">
        <f>Agencia[[#This Row],[territorio]]&amp;" calidad educación puntaje municipal subvencionado corporación particular indicador participación formación ciudadana"</f>
        <v>Región del Biobío calidad educación puntaje municipal subvencionado corporación particular indicador participación formación ciudadana</v>
      </c>
      <c r="S570" s="22" t="s">
        <v>423</v>
      </c>
      <c r="T570" s="68" t="str">
        <f>"100-R-"&amp;Agencia[[#This Row],[Filtro URL]]</f>
        <v>100-R-8</v>
      </c>
      <c r="U570" s="50" t="str">
        <f t="shared" si="727"/>
        <v>#1774B9</v>
      </c>
      <c r="V570" s="118" t="str">
        <f>+Agencia[[#This Row],[idcoleccion]]&amp;"-"&amp;Agencia[[#This Row],[id]]</f>
        <v>990-0559</v>
      </c>
      <c r="W570" s="118">
        <f>+VLOOKUP(Agencia[[#This Row],[Filtro URL]],Estructura!$X$4:$Y$500,2,0)</f>
        <v>99200008</v>
      </c>
      <c r="X570" s="118" t="str">
        <f>+VLOOKUP(Agencia[[#This Row],[tema]],Estructura!$A$4:$C$500,3,0)</f>
        <v>T-1062</v>
      </c>
      <c r="Y570" s="118" t="str">
        <f>+VLOOKUP(Agencia[[#This Row],[contenido]],Estructura!$E$4:$G$500,3,0)</f>
        <v>C-1018</v>
      </c>
      <c r="Z570" s="118" t="str">
        <f>+VLOOKUP(Agencia[[#This Row],[Filtro Integrado]],Estructura!$I$4:$K$500,3,0)</f>
        <v>FI-993</v>
      </c>
      <c r="AA570" s="118" t="str">
        <f>+VLOOKUP(Agencia[[#This Row],[Muestra]],Estructura!$M$4:$O$500,3,0)</f>
        <v>M-1046</v>
      </c>
    </row>
    <row r="571" spans="1:27" ht="48" x14ac:dyDescent="0.3">
      <c r="A571" s="21" t="s">
        <v>1163</v>
      </c>
      <c r="B571" s="24">
        <f t="shared" ref="B571:D571" si="817">+B570</f>
        <v>990</v>
      </c>
      <c r="C571" s="25" t="str">
        <f t="shared" si="817"/>
        <v>Agencia Información</v>
      </c>
      <c r="D571" s="25" t="str">
        <f t="shared" si="817"/>
        <v>Educación</v>
      </c>
      <c r="E571" s="19">
        <v>9</v>
      </c>
      <c r="F571" s="18" t="s">
        <v>6252</v>
      </c>
      <c r="G571" s="18" t="s">
        <v>7427</v>
      </c>
      <c r="H571" s="35" t="s">
        <v>16</v>
      </c>
      <c r="I571" s="36" t="s">
        <v>376</v>
      </c>
      <c r="J571" s="9" t="str">
        <f t="shared" ref="J571:N571" si="818">+J570</f>
        <v>Ninguno</v>
      </c>
      <c r="K571" s="9" t="str">
        <f t="shared" si="818"/>
        <v>Puntaje por dependencia de establecimientos por región</v>
      </c>
      <c r="L571" s="9" t="str">
        <f t="shared" si="818"/>
        <v>Periodo 2014 - 2019</v>
      </c>
      <c r="M571" s="9" t="str">
        <f t="shared" si="818"/>
        <v>Puntaje</v>
      </c>
      <c r="N571" s="9" t="str">
        <f t="shared" si="818"/>
        <v>Agencia de Calidad de la Educación</v>
      </c>
      <c r="O571" s="20" t="str">
        <f>+"Evolución del Indicador de Participación y formación ciudadana por Dependencia de Establecimientos en la "&amp;I571&amp;" para el "&amp;Agencia[[#This Row],[temporalidad]]</f>
        <v>Evolución del Indicador de Participación y formación ciudadana por Dependencia de Establecimientos en la Región de La Araucanía para el Periodo 2014 - 2019</v>
      </c>
      <c r="P571" s="20"/>
      <c r="Q571" s="11" t="str">
        <f t="shared" si="726"/>
        <v>Gráfico de Evolución</v>
      </c>
      <c r="R571" s="87" t="str">
        <f>Agencia[[#This Row],[territorio]]&amp;" calidad educación puntaje municipal subvencionado corporación particular indicador participación formación ciudadana"</f>
        <v>Región de La Araucanía calidad educación puntaje municipal subvencionado corporación particular indicador participación formación ciudadana</v>
      </c>
      <c r="S571" s="22" t="s">
        <v>423</v>
      </c>
      <c r="T571" s="68" t="str">
        <f>"100-R-"&amp;Agencia[[#This Row],[Filtro URL]]</f>
        <v>100-R-9</v>
      </c>
      <c r="U571" s="50" t="str">
        <f t="shared" si="727"/>
        <v>#1774B9</v>
      </c>
      <c r="V571" s="118" t="str">
        <f>+Agencia[[#This Row],[idcoleccion]]&amp;"-"&amp;Agencia[[#This Row],[id]]</f>
        <v>990-0560</v>
      </c>
      <c r="W571" s="118">
        <f>+VLOOKUP(Agencia[[#This Row],[Filtro URL]],Estructura!$X$4:$Y$500,2,0)</f>
        <v>99200009</v>
      </c>
      <c r="X571" s="118" t="str">
        <f>+VLOOKUP(Agencia[[#This Row],[tema]],Estructura!$A$4:$C$500,3,0)</f>
        <v>T-1062</v>
      </c>
      <c r="Y571" s="118" t="str">
        <f>+VLOOKUP(Agencia[[#This Row],[contenido]],Estructura!$E$4:$G$500,3,0)</f>
        <v>C-1018</v>
      </c>
      <c r="Z571" s="118" t="str">
        <f>+VLOOKUP(Agencia[[#This Row],[Filtro Integrado]],Estructura!$I$4:$K$500,3,0)</f>
        <v>FI-993</v>
      </c>
      <c r="AA571" s="118" t="str">
        <f>+VLOOKUP(Agencia[[#This Row],[Muestra]],Estructura!$M$4:$O$500,3,0)</f>
        <v>M-1046</v>
      </c>
    </row>
    <row r="572" spans="1:27" ht="48" x14ac:dyDescent="0.3">
      <c r="A572" s="21" t="s">
        <v>1164</v>
      </c>
      <c r="B572" s="24">
        <f t="shared" ref="B572:D572" si="819">+B571</f>
        <v>990</v>
      </c>
      <c r="C572" s="25" t="str">
        <f t="shared" si="819"/>
        <v>Agencia Información</v>
      </c>
      <c r="D572" s="25" t="str">
        <f t="shared" si="819"/>
        <v>Educación</v>
      </c>
      <c r="E572" s="19">
        <v>10</v>
      </c>
      <c r="F572" s="18" t="s">
        <v>6252</v>
      </c>
      <c r="G572" s="18" t="s">
        <v>7427</v>
      </c>
      <c r="H572" s="35" t="s">
        <v>16</v>
      </c>
      <c r="I572" s="36" t="s">
        <v>377</v>
      </c>
      <c r="J572" s="9" t="str">
        <f t="shared" ref="J572:N572" si="820">+J571</f>
        <v>Ninguno</v>
      </c>
      <c r="K572" s="9" t="str">
        <f t="shared" si="820"/>
        <v>Puntaje por dependencia de establecimientos por región</v>
      </c>
      <c r="L572" s="9" t="str">
        <f t="shared" si="820"/>
        <v>Periodo 2014 - 2019</v>
      </c>
      <c r="M572" s="9" t="str">
        <f t="shared" si="820"/>
        <v>Puntaje</v>
      </c>
      <c r="N572" s="9" t="str">
        <f t="shared" si="820"/>
        <v>Agencia de Calidad de la Educación</v>
      </c>
      <c r="O572" s="20" t="str">
        <f>+"Evolución del Indicador de Participación y formación ciudadana por Dependencia de Establecimientos en la "&amp;I572&amp;" para el "&amp;Agencia[[#This Row],[temporalidad]]</f>
        <v>Evolución del Indicador de Participación y formación ciudadana por Dependencia de Establecimientos en la Región de Los Lagos para el Periodo 2014 - 2019</v>
      </c>
      <c r="P572" s="20"/>
      <c r="Q572" s="11" t="str">
        <f t="shared" si="726"/>
        <v>Gráfico de Evolución</v>
      </c>
      <c r="R572" s="87" t="str">
        <f>Agencia[[#This Row],[territorio]]&amp;" calidad educación puntaje municipal subvencionado corporación particular indicador participación formación ciudadana"</f>
        <v>Región de Los Lagos calidad educación puntaje municipal subvencionado corporación particular indicador participación formación ciudadana</v>
      </c>
      <c r="S572" s="22" t="s">
        <v>423</v>
      </c>
      <c r="T572" s="68" t="str">
        <f>"100-R-"&amp;Agencia[[#This Row],[Filtro URL]]</f>
        <v>100-R-10</v>
      </c>
      <c r="U572" s="50" t="str">
        <f t="shared" si="727"/>
        <v>#1774B9</v>
      </c>
      <c r="V572" s="118" t="str">
        <f>+Agencia[[#This Row],[idcoleccion]]&amp;"-"&amp;Agencia[[#This Row],[id]]</f>
        <v>990-0561</v>
      </c>
      <c r="W572" s="118">
        <f>+VLOOKUP(Agencia[[#This Row],[Filtro URL]],Estructura!$X$4:$Y$500,2,0)</f>
        <v>99200010</v>
      </c>
      <c r="X572" s="118" t="str">
        <f>+VLOOKUP(Agencia[[#This Row],[tema]],Estructura!$A$4:$C$500,3,0)</f>
        <v>T-1062</v>
      </c>
      <c r="Y572" s="118" t="str">
        <f>+VLOOKUP(Agencia[[#This Row],[contenido]],Estructura!$E$4:$G$500,3,0)</f>
        <v>C-1018</v>
      </c>
      <c r="Z572" s="118" t="str">
        <f>+VLOOKUP(Agencia[[#This Row],[Filtro Integrado]],Estructura!$I$4:$K$500,3,0)</f>
        <v>FI-993</v>
      </c>
      <c r="AA572" s="118" t="str">
        <f>+VLOOKUP(Agencia[[#This Row],[Muestra]],Estructura!$M$4:$O$500,3,0)</f>
        <v>M-1046</v>
      </c>
    </row>
    <row r="573" spans="1:27" ht="48" x14ac:dyDescent="0.3">
      <c r="A573" s="21" t="s">
        <v>1165</v>
      </c>
      <c r="B573" s="24">
        <f t="shared" ref="B573:D573" si="821">+B572</f>
        <v>990</v>
      </c>
      <c r="C573" s="25" t="str">
        <f t="shared" si="821"/>
        <v>Agencia Información</v>
      </c>
      <c r="D573" s="25" t="str">
        <f t="shared" si="821"/>
        <v>Educación</v>
      </c>
      <c r="E573" s="19">
        <v>11</v>
      </c>
      <c r="F573" s="18" t="s">
        <v>6252</v>
      </c>
      <c r="G573" s="18" t="s">
        <v>7427</v>
      </c>
      <c r="H573" s="35" t="s">
        <v>16</v>
      </c>
      <c r="I573" s="36" t="s">
        <v>378</v>
      </c>
      <c r="J573" s="9" t="str">
        <f t="shared" ref="J573:N573" si="822">+J572</f>
        <v>Ninguno</v>
      </c>
      <c r="K573" s="9" t="str">
        <f t="shared" si="822"/>
        <v>Puntaje por dependencia de establecimientos por región</v>
      </c>
      <c r="L573" s="9" t="str">
        <f t="shared" si="822"/>
        <v>Periodo 2014 - 2019</v>
      </c>
      <c r="M573" s="9" t="str">
        <f t="shared" si="822"/>
        <v>Puntaje</v>
      </c>
      <c r="N573" s="9" t="str">
        <f t="shared" si="822"/>
        <v>Agencia de Calidad de la Educación</v>
      </c>
      <c r="O573" s="20" t="str">
        <f>+"Evolución del Indicador de Participación y formación ciudadana por Dependencia de Establecimientos en la "&amp;I573&amp;" para el "&amp;Agencia[[#This Row],[temporalidad]]</f>
        <v>Evolución del Indicador de Participación y formación ciudadana por Dependencia de Establecimientos en la Región de Aysén para el Periodo 2014 - 2019</v>
      </c>
      <c r="P573" s="20"/>
      <c r="Q573" s="11" t="str">
        <f t="shared" si="726"/>
        <v>Gráfico de Evolución</v>
      </c>
      <c r="R573" s="87" t="str">
        <f>Agencia[[#This Row],[territorio]]&amp;" calidad educación puntaje municipal subvencionado corporación particular indicador participación formación ciudadana"</f>
        <v>Región de Aysén calidad educación puntaje municipal subvencionado corporación particular indicador participación formación ciudadana</v>
      </c>
      <c r="S573" s="22" t="s">
        <v>423</v>
      </c>
      <c r="T573" s="68" t="str">
        <f>"100-R-"&amp;Agencia[[#This Row],[Filtro URL]]</f>
        <v>100-R-11</v>
      </c>
      <c r="U573" s="50" t="str">
        <f t="shared" si="727"/>
        <v>#1774B9</v>
      </c>
      <c r="V573" s="118" t="str">
        <f>+Agencia[[#This Row],[idcoleccion]]&amp;"-"&amp;Agencia[[#This Row],[id]]</f>
        <v>990-0562</v>
      </c>
      <c r="W573" s="118">
        <f>+VLOOKUP(Agencia[[#This Row],[Filtro URL]],Estructura!$X$4:$Y$500,2,0)</f>
        <v>99200011</v>
      </c>
      <c r="X573" s="118" t="str">
        <f>+VLOOKUP(Agencia[[#This Row],[tema]],Estructura!$A$4:$C$500,3,0)</f>
        <v>T-1062</v>
      </c>
      <c r="Y573" s="118" t="str">
        <f>+VLOOKUP(Agencia[[#This Row],[contenido]],Estructura!$E$4:$G$500,3,0)</f>
        <v>C-1018</v>
      </c>
      <c r="Z573" s="118" t="str">
        <f>+VLOOKUP(Agencia[[#This Row],[Filtro Integrado]],Estructura!$I$4:$K$500,3,0)</f>
        <v>FI-993</v>
      </c>
      <c r="AA573" s="118" t="str">
        <f>+VLOOKUP(Agencia[[#This Row],[Muestra]],Estructura!$M$4:$O$500,3,0)</f>
        <v>M-1046</v>
      </c>
    </row>
    <row r="574" spans="1:27" ht="48" x14ac:dyDescent="0.3">
      <c r="A574" s="21" t="s">
        <v>1166</v>
      </c>
      <c r="B574" s="24">
        <f t="shared" ref="B574:D574" si="823">+B573</f>
        <v>990</v>
      </c>
      <c r="C574" s="25" t="str">
        <f t="shared" si="823"/>
        <v>Agencia Información</v>
      </c>
      <c r="D574" s="25" t="str">
        <f t="shared" si="823"/>
        <v>Educación</v>
      </c>
      <c r="E574" s="19">
        <v>12</v>
      </c>
      <c r="F574" s="18" t="s">
        <v>6252</v>
      </c>
      <c r="G574" s="18" t="s">
        <v>7427</v>
      </c>
      <c r="H574" s="35" t="s">
        <v>16</v>
      </c>
      <c r="I574" s="36" t="s">
        <v>379</v>
      </c>
      <c r="J574" s="9" t="str">
        <f t="shared" ref="J574:N574" si="824">+J573</f>
        <v>Ninguno</v>
      </c>
      <c r="K574" s="9" t="str">
        <f t="shared" si="824"/>
        <v>Puntaje por dependencia de establecimientos por región</v>
      </c>
      <c r="L574" s="9" t="str">
        <f t="shared" si="824"/>
        <v>Periodo 2014 - 2019</v>
      </c>
      <c r="M574" s="9" t="str">
        <f t="shared" si="824"/>
        <v>Puntaje</v>
      </c>
      <c r="N574" s="9" t="str">
        <f t="shared" si="824"/>
        <v>Agencia de Calidad de la Educación</v>
      </c>
      <c r="O574" s="20" t="str">
        <f>+"Evolución del Indicador de Participación y formación ciudadana por Dependencia de Establecimientos en la "&amp;I574&amp;" para el "&amp;Agencia[[#This Row],[temporalidad]]</f>
        <v>Evolución del Indicador de Participación y formación ciudadana por Dependencia de Establecimientos en la Región de Magallanes para el Periodo 2014 - 2019</v>
      </c>
      <c r="P574" s="20"/>
      <c r="Q574" s="11" t="str">
        <f t="shared" si="726"/>
        <v>Gráfico de Evolución</v>
      </c>
      <c r="R574" s="87" t="str">
        <f>Agencia[[#This Row],[territorio]]&amp;" calidad educación puntaje municipal subvencionado corporación particular indicador participación formación ciudadana"</f>
        <v>Región de Magallanes calidad educación puntaje municipal subvencionado corporación particular indicador participación formación ciudadana</v>
      </c>
      <c r="S574" s="22" t="s">
        <v>423</v>
      </c>
      <c r="T574" s="68" t="str">
        <f>"100-R-"&amp;Agencia[[#This Row],[Filtro URL]]</f>
        <v>100-R-12</v>
      </c>
      <c r="U574" s="50" t="str">
        <f t="shared" si="727"/>
        <v>#1774B9</v>
      </c>
      <c r="V574" s="118" t="str">
        <f>+Agencia[[#This Row],[idcoleccion]]&amp;"-"&amp;Agencia[[#This Row],[id]]</f>
        <v>990-0563</v>
      </c>
      <c r="W574" s="118">
        <f>+VLOOKUP(Agencia[[#This Row],[Filtro URL]],Estructura!$X$4:$Y$500,2,0)</f>
        <v>99200012</v>
      </c>
      <c r="X574" s="118" t="str">
        <f>+VLOOKUP(Agencia[[#This Row],[tema]],Estructura!$A$4:$C$500,3,0)</f>
        <v>T-1062</v>
      </c>
      <c r="Y574" s="118" t="str">
        <f>+VLOOKUP(Agencia[[#This Row],[contenido]],Estructura!$E$4:$G$500,3,0)</f>
        <v>C-1018</v>
      </c>
      <c r="Z574" s="118" t="str">
        <f>+VLOOKUP(Agencia[[#This Row],[Filtro Integrado]],Estructura!$I$4:$K$500,3,0)</f>
        <v>FI-993</v>
      </c>
      <c r="AA574" s="118" t="str">
        <f>+VLOOKUP(Agencia[[#This Row],[Muestra]],Estructura!$M$4:$O$500,3,0)</f>
        <v>M-1046</v>
      </c>
    </row>
    <row r="575" spans="1:27" ht="48" x14ac:dyDescent="0.3">
      <c r="A575" s="21" t="s">
        <v>1167</v>
      </c>
      <c r="B575" s="24">
        <f t="shared" ref="B575:D575" si="825">+B574</f>
        <v>990</v>
      </c>
      <c r="C575" s="25" t="str">
        <f t="shared" si="825"/>
        <v>Agencia Información</v>
      </c>
      <c r="D575" s="25" t="str">
        <f t="shared" si="825"/>
        <v>Educación</v>
      </c>
      <c r="E575" s="19">
        <v>13</v>
      </c>
      <c r="F575" s="18" t="s">
        <v>6252</v>
      </c>
      <c r="G575" s="18" t="s">
        <v>7427</v>
      </c>
      <c r="H575" s="35" t="s">
        <v>16</v>
      </c>
      <c r="I575" s="36" t="s">
        <v>380</v>
      </c>
      <c r="J575" s="9" t="str">
        <f t="shared" ref="J575:N575" si="826">+J574</f>
        <v>Ninguno</v>
      </c>
      <c r="K575" s="9" t="str">
        <f t="shared" si="826"/>
        <v>Puntaje por dependencia de establecimientos por región</v>
      </c>
      <c r="L575" s="9" t="str">
        <f t="shared" si="826"/>
        <v>Periodo 2014 - 2019</v>
      </c>
      <c r="M575" s="9" t="str">
        <f t="shared" si="826"/>
        <v>Puntaje</v>
      </c>
      <c r="N575" s="9" t="str">
        <f t="shared" si="826"/>
        <v>Agencia de Calidad de la Educación</v>
      </c>
      <c r="O575" s="20" t="str">
        <f>+"Evolución del Indicador de Participación y formación ciudadana por Dependencia de Establecimientos en la "&amp;I575&amp;" para el "&amp;Agencia[[#This Row],[temporalidad]]</f>
        <v>Evolución del Indicador de Participación y formación ciudadana por Dependencia de Establecimientos en la Región Metropolitana para el Periodo 2014 - 2019</v>
      </c>
      <c r="P575" s="20"/>
      <c r="Q575" s="11" t="str">
        <f t="shared" si="726"/>
        <v>Gráfico de Evolución</v>
      </c>
      <c r="R575" s="87" t="str">
        <f>Agencia[[#This Row],[territorio]]&amp;" calidad educación puntaje municipal subvencionado corporación particular indicador participación formación ciudadana"</f>
        <v>Región Metropolitana calidad educación puntaje municipal subvencionado corporación particular indicador participación formación ciudadana</v>
      </c>
      <c r="S575" s="22" t="s">
        <v>423</v>
      </c>
      <c r="T575" s="68" t="str">
        <f>"200-R-"&amp;Agencia[[#This Row],[Filtro URL]]</f>
        <v>200-R-13</v>
      </c>
      <c r="U575" s="50" t="str">
        <f t="shared" si="727"/>
        <v>#1774B9</v>
      </c>
      <c r="V575" s="118" t="str">
        <f>+Agencia[[#This Row],[idcoleccion]]&amp;"-"&amp;Agencia[[#This Row],[id]]</f>
        <v>990-0564</v>
      </c>
      <c r="W575" s="118">
        <f>+VLOOKUP(Agencia[[#This Row],[Filtro URL]],Estructura!$X$4:$Y$500,2,0)</f>
        <v>99200013</v>
      </c>
      <c r="X575" s="118" t="str">
        <f>+VLOOKUP(Agencia[[#This Row],[tema]],Estructura!$A$4:$C$500,3,0)</f>
        <v>T-1062</v>
      </c>
      <c r="Y575" s="118" t="str">
        <f>+VLOOKUP(Agencia[[#This Row],[contenido]],Estructura!$E$4:$G$500,3,0)</f>
        <v>C-1018</v>
      </c>
      <c r="Z575" s="118" t="str">
        <f>+VLOOKUP(Agencia[[#This Row],[Filtro Integrado]],Estructura!$I$4:$K$500,3,0)</f>
        <v>FI-993</v>
      </c>
      <c r="AA575" s="118" t="str">
        <f>+VLOOKUP(Agencia[[#This Row],[Muestra]],Estructura!$M$4:$O$500,3,0)</f>
        <v>M-1046</v>
      </c>
    </row>
    <row r="576" spans="1:27" ht="48" x14ac:dyDescent="0.3">
      <c r="A576" s="21" t="s">
        <v>1168</v>
      </c>
      <c r="B576" s="24">
        <f t="shared" ref="B576:D576" si="827">+B575</f>
        <v>990</v>
      </c>
      <c r="C576" s="25" t="str">
        <f t="shared" si="827"/>
        <v>Agencia Información</v>
      </c>
      <c r="D576" s="25" t="str">
        <f t="shared" si="827"/>
        <v>Educación</v>
      </c>
      <c r="E576" s="19">
        <v>14</v>
      </c>
      <c r="F576" s="18" t="s">
        <v>6252</v>
      </c>
      <c r="G576" s="18" t="s">
        <v>7427</v>
      </c>
      <c r="H576" s="35" t="s">
        <v>16</v>
      </c>
      <c r="I576" s="36" t="s">
        <v>381</v>
      </c>
      <c r="J576" s="9" t="str">
        <f t="shared" ref="J576:N576" si="828">+J575</f>
        <v>Ninguno</v>
      </c>
      <c r="K576" s="9" t="str">
        <f t="shared" si="828"/>
        <v>Puntaje por dependencia de establecimientos por región</v>
      </c>
      <c r="L576" s="9" t="str">
        <f t="shared" si="828"/>
        <v>Periodo 2014 - 2019</v>
      </c>
      <c r="M576" s="9" t="str">
        <f t="shared" si="828"/>
        <v>Puntaje</v>
      </c>
      <c r="N576" s="9" t="str">
        <f t="shared" si="828"/>
        <v>Agencia de Calidad de la Educación</v>
      </c>
      <c r="O576" s="20" t="str">
        <f>+"Evolución del Indicador de Participación y formación ciudadana por Dependencia de Establecimientos en la "&amp;I576&amp;" para el "&amp;Agencia[[#This Row],[temporalidad]]</f>
        <v>Evolución del Indicador de Participación y formación ciudadana por Dependencia de Establecimientos en la Región de Los Ríos para el Periodo 2014 - 2019</v>
      </c>
      <c r="P576" s="20"/>
      <c r="Q576" s="11" t="str">
        <f t="shared" si="726"/>
        <v>Gráfico de Evolución</v>
      </c>
      <c r="R576" s="87" t="str">
        <f>Agencia[[#This Row],[territorio]]&amp;" calidad educación puntaje municipal subvencionado corporación particular indicador participación formación ciudadana"</f>
        <v>Región de Los Ríos calidad educación puntaje municipal subvencionado corporación particular indicador participación formación ciudadana</v>
      </c>
      <c r="S576" s="22" t="s">
        <v>423</v>
      </c>
      <c r="T576" s="68" t="str">
        <f>"100-R-"&amp;Agencia[[#This Row],[Filtro URL]]</f>
        <v>100-R-14</v>
      </c>
      <c r="U576" s="50" t="str">
        <f t="shared" si="727"/>
        <v>#1774B9</v>
      </c>
      <c r="V576" s="118" t="str">
        <f>+Agencia[[#This Row],[idcoleccion]]&amp;"-"&amp;Agencia[[#This Row],[id]]</f>
        <v>990-0565</v>
      </c>
      <c r="W576" s="118">
        <f>+VLOOKUP(Agencia[[#This Row],[Filtro URL]],Estructura!$X$4:$Y$500,2,0)</f>
        <v>99200014</v>
      </c>
      <c r="X576" s="118" t="str">
        <f>+VLOOKUP(Agencia[[#This Row],[tema]],Estructura!$A$4:$C$500,3,0)</f>
        <v>T-1062</v>
      </c>
      <c r="Y576" s="118" t="str">
        <f>+VLOOKUP(Agencia[[#This Row],[contenido]],Estructura!$E$4:$G$500,3,0)</f>
        <v>C-1018</v>
      </c>
      <c r="Z576" s="118" t="str">
        <f>+VLOOKUP(Agencia[[#This Row],[Filtro Integrado]],Estructura!$I$4:$K$500,3,0)</f>
        <v>FI-993</v>
      </c>
      <c r="AA576" s="118" t="str">
        <f>+VLOOKUP(Agencia[[#This Row],[Muestra]],Estructura!$M$4:$O$500,3,0)</f>
        <v>M-1046</v>
      </c>
    </row>
    <row r="577" spans="1:27" ht="48" x14ac:dyDescent="0.3">
      <c r="A577" s="21" t="s">
        <v>1169</v>
      </c>
      <c r="B577" s="24">
        <f t="shared" ref="B577:D577" si="829">+B576</f>
        <v>990</v>
      </c>
      <c r="C577" s="25" t="str">
        <f t="shared" si="829"/>
        <v>Agencia Información</v>
      </c>
      <c r="D577" s="25" t="str">
        <f t="shared" si="829"/>
        <v>Educación</v>
      </c>
      <c r="E577" s="19">
        <v>15</v>
      </c>
      <c r="F577" s="18" t="s">
        <v>6252</v>
      </c>
      <c r="G577" s="18" t="s">
        <v>7427</v>
      </c>
      <c r="H577" s="35" t="s">
        <v>16</v>
      </c>
      <c r="I577" s="36" t="s">
        <v>382</v>
      </c>
      <c r="J577" s="9" t="str">
        <f t="shared" ref="J577:N577" si="830">+J576</f>
        <v>Ninguno</v>
      </c>
      <c r="K577" s="9" t="str">
        <f t="shared" si="830"/>
        <v>Puntaje por dependencia de establecimientos por región</v>
      </c>
      <c r="L577" s="9" t="str">
        <f t="shared" si="830"/>
        <v>Periodo 2014 - 2019</v>
      </c>
      <c r="M577" s="9" t="str">
        <f t="shared" si="830"/>
        <v>Puntaje</v>
      </c>
      <c r="N577" s="9" t="str">
        <f t="shared" si="830"/>
        <v>Agencia de Calidad de la Educación</v>
      </c>
      <c r="O577" s="20" t="str">
        <f>+"Evolución del Indicador de Participación y formación ciudadana por Dependencia de Establecimientos en la "&amp;I577&amp;" para el "&amp;Agencia[[#This Row],[temporalidad]]</f>
        <v>Evolución del Indicador de Participación y formación ciudadana por Dependencia de Establecimientos en la Región de Arica y Parinacota para el Periodo 2014 - 2019</v>
      </c>
      <c r="P577" s="20"/>
      <c r="Q577" s="11" t="str">
        <f t="shared" si="726"/>
        <v>Gráfico de Evolución</v>
      </c>
      <c r="R577" s="87" t="str">
        <f>Agencia[[#This Row],[territorio]]&amp;" calidad educación puntaje municipal subvencionado corporación particular indicador participación formación ciudadana"</f>
        <v>Región de Arica y Parinacota calidad educación puntaje municipal subvencionado corporación particular indicador participación formación ciudadana</v>
      </c>
      <c r="S577" s="22" t="s">
        <v>423</v>
      </c>
      <c r="T577" s="68" t="str">
        <f>"100-R-"&amp;Agencia[[#This Row],[Filtro URL]]</f>
        <v>100-R-15</v>
      </c>
      <c r="U577" s="50" t="str">
        <f t="shared" si="727"/>
        <v>#1774B9</v>
      </c>
      <c r="V577" s="118" t="str">
        <f>+Agencia[[#This Row],[idcoleccion]]&amp;"-"&amp;Agencia[[#This Row],[id]]</f>
        <v>990-0566</v>
      </c>
      <c r="W577" s="118">
        <f>+VLOOKUP(Agencia[[#This Row],[Filtro URL]],Estructura!$X$4:$Y$500,2,0)</f>
        <v>99200015</v>
      </c>
      <c r="X577" s="118" t="str">
        <f>+VLOOKUP(Agencia[[#This Row],[tema]],Estructura!$A$4:$C$500,3,0)</f>
        <v>T-1062</v>
      </c>
      <c r="Y577" s="118" t="str">
        <f>+VLOOKUP(Agencia[[#This Row],[contenido]],Estructura!$E$4:$G$500,3,0)</f>
        <v>C-1018</v>
      </c>
      <c r="Z577" s="118" t="str">
        <f>+VLOOKUP(Agencia[[#This Row],[Filtro Integrado]],Estructura!$I$4:$K$500,3,0)</f>
        <v>FI-993</v>
      </c>
      <c r="AA577" s="118" t="str">
        <f>+VLOOKUP(Agencia[[#This Row],[Muestra]],Estructura!$M$4:$O$500,3,0)</f>
        <v>M-1046</v>
      </c>
    </row>
    <row r="578" spans="1:27" ht="48" x14ac:dyDescent="0.3">
      <c r="A578" s="21" t="s">
        <v>1170</v>
      </c>
      <c r="B578" s="24">
        <f t="shared" ref="B578:D578" si="831">+B577</f>
        <v>990</v>
      </c>
      <c r="C578" s="25" t="str">
        <f t="shared" si="831"/>
        <v>Agencia Información</v>
      </c>
      <c r="D578" s="25" t="str">
        <f t="shared" si="831"/>
        <v>Educación</v>
      </c>
      <c r="E578" s="19">
        <v>16</v>
      </c>
      <c r="F578" s="18" t="s">
        <v>6252</v>
      </c>
      <c r="G578" s="18" t="s">
        <v>7427</v>
      </c>
      <c r="H578" s="35" t="s">
        <v>16</v>
      </c>
      <c r="I578" s="36" t="s">
        <v>383</v>
      </c>
      <c r="J578" s="9" t="str">
        <f t="shared" ref="J578:N578" si="832">+J577</f>
        <v>Ninguno</v>
      </c>
      <c r="K578" s="9" t="str">
        <f t="shared" si="832"/>
        <v>Puntaje por dependencia de establecimientos por región</v>
      </c>
      <c r="L578" s="9" t="str">
        <f t="shared" si="832"/>
        <v>Periodo 2014 - 2019</v>
      </c>
      <c r="M578" s="9" t="str">
        <f t="shared" si="832"/>
        <v>Puntaje</v>
      </c>
      <c r="N578" s="9" t="str">
        <f t="shared" si="832"/>
        <v>Agencia de Calidad de la Educación</v>
      </c>
      <c r="O578" s="20" t="str">
        <f>+"Evolución del Indicador de Participación y formación ciudadana por Dependencia de Establecimientos en la "&amp;I578&amp;" para el "&amp;Agencia[[#This Row],[temporalidad]]</f>
        <v>Evolución del Indicador de Participación y formación ciudadana por Dependencia de Establecimientos en la Región de Ñuble para el Periodo 2014 - 2019</v>
      </c>
      <c r="P578" s="20"/>
      <c r="Q578" s="11" t="str">
        <f t="shared" si="726"/>
        <v>Gráfico de Evolución</v>
      </c>
      <c r="R578" s="87" t="str">
        <f>Agencia[[#This Row],[territorio]]&amp;" calidad educación puntaje municipal subvencionado corporación particular indicador participación formación ciudadana"</f>
        <v>Región de Ñuble calidad educación puntaje municipal subvencionado corporación particular indicador participación formación ciudadana</v>
      </c>
      <c r="S578" s="22" t="s">
        <v>423</v>
      </c>
      <c r="T578" s="68" t="str">
        <f>"100-R-"&amp;Agencia[[#This Row],[Filtro URL]]</f>
        <v>100-R-16</v>
      </c>
      <c r="U578" s="50" t="str">
        <f t="shared" si="727"/>
        <v>#1774B9</v>
      </c>
      <c r="V578" s="118" t="str">
        <f>+Agencia[[#This Row],[idcoleccion]]&amp;"-"&amp;Agencia[[#This Row],[id]]</f>
        <v>990-0567</v>
      </c>
      <c r="W578" s="118">
        <f>+VLOOKUP(Agencia[[#This Row],[Filtro URL]],Estructura!$X$4:$Y$500,2,0)</f>
        <v>99200016</v>
      </c>
      <c r="X578" s="118" t="str">
        <f>+VLOOKUP(Agencia[[#This Row],[tema]],Estructura!$A$4:$C$500,3,0)</f>
        <v>T-1062</v>
      </c>
      <c r="Y578" s="118" t="str">
        <f>+VLOOKUP(Agencia[[#This Row],[contenido]],Estructura!$E$4:$G$500,3,0)</f>
        <v>C-1018</v>
      </c>
      <c r="Z578" s="118" t="str">
        <f>+VLOOKUP(Agencia[[#This Row],[Filtro Integrado]],Estructura!$I$4:$K$500,3,0)</f>
        <v>FI-993</v>
      </c>
      <c r="AA578" s="118" t="str">
        <f>+VLOOKUP(Agencia[[#This Row],[Muestra]],Estructura!$M$4:$O$500,3,0)</f>
        <v>M-1046</v>
      </c>
    </row>
    <row r="579" spans="1:27" ht="40.799999999999997" x14ac:dyDescent="0.3">
      <c r="A579" s="21" t="s">
        <v>1171</v>
      </c>
      <c r="B579" s="24">
        <f t="shared" ref="B579:C579" si="833">+B578</f>
        <v>990</v>
      </c>
      <c r="C579" s="25" t="str">
        <f t="shared" si="833"/>
        <v>Agencia Información</v>
      </c>
      <c r="D579" s="25" t="s">
        <v>462</v>
      </c>
      <c r="E579" s="14">
        <v>0</v>
      </c>
      <c r="F579" s="18" t="s">
        <v>1541</v>
      </c>
      <c r="G579" s="18" t="s">
        <v>3762</v>
      </c>
      <c r="H579" s="33" t="s">
        <v>20</v>
      </c>
      <c r="I579" s="34" t="s">
        <v>15</v>
      </c>
      <c r="J579" s="9" t="s">
        <v>16</v>
      </c>
      <c r="K579" s="9" t="s">
        <v>1542</v>
      </c>
      <c r="L579" s="9" t="s">
        <v>1462</v>
      </c>
      <c r="M579" s="9" t="s">
        <v>1543</v>
      </c>
      <c r="N579" s="40" t="s">
        <v>472</v>
      </c>
      <c r="O579" s="20" t="str">
        <f>+"Edad de Víctimas de Femicidios en "&amp;I579&amp;" para el "&amp;Agencia[[#This Row],[temporalidad]]</f>
        <v>Edad de Víctimas de Femicidios en Chile para el Periodo 2010-2021</v>
      </c>
      <c r="P579" s="20" t="s">
        <v>1544</v>
      </c>
      <c r="Q579" s="11" t="s">
        <v>584</v>
      </c>
      <c r="R579" s="20" t="str">
        <f>Agencia[[#This Row],[territorio]]&amp;" femicidio edad víctima mujer"</f>
        <v>Chile femicidio edad víctima mujer</v>
      </c>
      <c r="S579" s="39" t="s">
        <v>1545</v>
      </c>
      <c r="T579" s="68" t="s">
        <v>855</v>
      </c>
      <c r="U579" s="50" t="str">
        <f t="shared" si="727"/>
        <v>#1774B9</v>
      </c>
      <c r="V579" s="118" t="str">
        <f>+Agencia[[#This Row],[idcoleccion]]&amp;"-"&amp;Agencia[[#This Row],[id]]</f>
        <v>990-0568</v>
      </c>
      <c r="W579" s="118">
        <f>+VLOOKUP(Agencia[[#This Row],[Filtro URL]],Estructura!$X$4:$Y$500,2,0)</f>
        <v>99100000</v>
      </c>
      <c r="X579" s="118" t="str">
        <f>+VLOOKUP(Agencia[[#This Row],[tema]],Estructura!$A$4:$C$500,3,0)</f>
        <v>T-1044</v>
      </c>
      <c r="Y579" s="118" t="str">
        <f>+VLOOKUP(Agencia[[#This Row],[contenido]],Estructura!$E$4:$G$500,3,0)</f>
        <v>C-996</v>
      </c>
      <c r="Z579" s="118" t="str">
        <f>+VLOOKUP(Agencia[[#This Row],[Filtro Integrado]],Estructura!$I$4:$K$500,3,0)</f>
        <v>FI-992</v>
      </c>
      <c r="AA579" s="118" t="str">
        <f>+VLOOKUP(Agencia[[#This Row],[Muestra]],Estructura!$M$4:$O$500,3,0)</f>
        <v>M-1047</v>
      </c>
    </row>
    <row r="580" spans="1:27" ht="24" x14ac:dyDescent="0.3">
      <c r="A580" s="21" t="s">
        <v>1172</v>
      </c>
      <c r="B580" s="24">
        <f t="shared" ref="B580:D580" si="834">+B579</f>
        <v>990</v>
      </c>
      <c r="C580" s="25" t="str">
        <f t="shared" si="834"/>
        <v>Agencia Información</v>
      </c>
      <c r="D580" s="25" t="str">
        <f t="shared" si="834"/>
        <v>Mujeres</v>
      </c>
      <c r="E580" s="19">
        <v>1</v>
      </c>
      <c r="F580" s="18" t="s">
        <v>1541</v>
      </c>
      <c r="G580" s="18" t="s">
        <v>3762</v>
      </c>
      <c r="H580" s="35" t="s">
        <v>16</v>
      </c>
      <c r="I580" s="36" t="s">
        <v>368</v>
      </c>
      <c r="J580" s="9" t="str">
        <f t="shared" ref="J580:N580" si="835">+J579</f>
        <v>Región</v>
      </c>
      <c r="K580" s="9" t="str">
        <f t="shared" si="835"/>
        <v>Cantidad de víctimas por edad</v>
      </c>
      <c r="L580" s="9" t="str">
        <f t="shared" si="835"/>
        <v>Periodo 2010-2021</v>
      </c>
      <c r="M580" s="9" t="str">
        <f t="shared" si="835"/>
        <v>Número de víctimas</v>
      </c>
      <c r="N580" s="40" t="str">
        <f t="shared" si="835"/>
        <v>POR DEFINIR</v>
      </c>
      <c r="O580" s="20" t="str">
        <f>+"Edad de Víctimas de Femicidios en la "&amp;I580&amp;" para el "&amp;Agencia[[#This Row],[temporalidad]]</f>
        <v>Edad de Víctimas de Femicidios en la Región de Tarapacá para el Periodo 2010-2021</v>
      </c>
      <c r="P580" s="20"/>
      <c r="Q580" s="11" t="str">
        <f t="shared" si="726"/>
        <v>Gráfico</v>
      </c>
      <c r="R580" s="87" t="str">
        <f>Agencia[[#This Row],[territorio]]&amp;" femicidio edad víctima mujer"</f>
        <v>Región de Tarapacá femicidio edad víctima mujer</v>
      </c>
      <c r="S580" s="22" t="s">
        <v>423</v>
      </c>
      <c r="T580" s="68" t="str">
        <f>"100-R-"&amp;Agencia[[#This Row],[Filtro URL]]</f>
        <v>100-R-1</v>
      </c>
      <c r="U580" s="50" t="str">
        <f t="shared" si="727"/>
        <v>#1774B9</v>
      </c>
      <c r="V580" s="118" t="str">
        <f>+Agencia[[#This Row],[idcoleccion]]&amp;"-"&amp;Agencia[[#This Row],[id]]</f>
        <v>990-0569</v>
      </c>
      <c r="W580" s="118">
        <f>+VLOOKUP(Agencia[[#This Row],[Filtro URL]],Estructura!$X$4:$Y$500,2,0)</f>
        <v>99200001</v>
      </c>
      <c r="X580" s="118" t="str">
        <f>+VLOOKUP(Agencia[[#This Row],[tema]],Estructura!$A$4:$C$500,3,0)</f>
        <v>T-1044</v>
      </c>
      <c r="Y580" s="118" t="str">
        <f>+VLOOKUP(Agencia[[#This Row],[contenido]],Estructura!$E$4:$G$500,3,0)</f>
        <v>C-996</v>
      </c>
      <c r="Z580" s="118" t="str">
        <f>+VLOOKUP(Agencia[[#This Row],[Filtro Integrado]],Estructura!$I$4:$K$500,3,0)</f>
        <v>FI-992</v>
      </c>
      <c r="AA580" s="118" t="str">
        <f>+VLOOKUP(Agencia[[#This Row],[Muestra]],Estructura!$M$4:$O$500,3,0)</f>
        <v>M-1047</v>
      </c>
    </row>
    <row r="581" spans="1:27" ht="24" x14ac:dyDescent="0.3">
      <c r="A581" s="21" t="s">
        <v>1173</v>
      </c>
      <c r="B581" s="24">
        <f t="shared" ref="B581:D581" si="836">+B580</f>
        <v>990</v>
      </c>
      <c r="C581" s="25" t="str">
        <f t="shared" si="836"/>
        <v>Agencia Información</v>
      </c>
      <c r="D581" s="25" t="str">
        <f t="shared" si="836"/>
        <v>Mujeres</v>
      </c>
      <c r="E581" s="19">
        <v>2</v>
      </c>
      <c r="F581" s="18" t="s">
        <v>1541</v>
      </c>
      <c r="G581" s="18" t="s">
        <v>3762</v>
      </c>
      <c r="H581" s="35" t="s">
        <v>16</v>
      </c>
      <c r="I581" s="36" t="s">
        <v>369</v>
      </c>
      <c r="J581" s="9" t="str">
        <f t="shared" ref="J581:N581" si="837">+J580</f>
        <v>Región</v>
      </c>
      <c r="K581" s="9" t="str">
        <f t="shared" si="837"/>
        <v>Cantidad de víctimas por edad</v>
      </c>
      <c r="L581" s="9" t="str">
        <f t="shared" si="837"/>
        <v>Periodo 2010-2021</v>
      </c>
      <c r="M581" s="9" t="str">
        <f t="shared" si="837"/>
        <v>Número de víctimas</v>
      </c>
      <c r="N581" s="40" t="str">
        <f t="shared" si="837"/>
        <v>POR DEFINIR</v>
      </c>
      <c r="O581" s="20" t="str">
        <f>+"Edad de Víctimas de Femicidios en la "&amp;I581&amp;" para el "&amp;Agencia[[#This Row],[temporalidad]]</f>
        <v>Edad de Víctimas de Femicidios en la Región de Antofagasta para el Periodo 2010-2021</v>
      </c>
      <c r="P581" s="20"/>
      <c r="Q581" s="11" t="str">
        <f t="shared" si="726"/>
        <v>Gráfico</v>
      </c>
      <c r="R581" s="87" t="str">
        <f>Agencia[[#This Row],[territorio]]&amp;" femicidio edad víctima mujer"</f>
        <v>Región de Antofagasta femicidio edad víctima mujer</v>
      </c>
      <c r="S581" s="22" t="s">
        <v>423</v>
      </c>
      <c r="T581" s="68" t="str">
        <f>"100-R-"&amp;Agencia[[#This Row],[Filtro URL]]</f>
        <v>100-R-2</v>
      </c>
      <c r="U581" s="50" t="str">
        <f t="shared" si="727"/>
        <v>#1774B9</v>
      </c>
      <c r="V581" s="118" t="str">
        <f>+Agencia[[#This Row],[idcoleccion]]&amp;"-"&amp;Agencia[[#This Row],[id]]</f>
        <v>990-0570</v>
      </c>
      <c r="W581" s="118">
        <f>+VLOOKUP(Agencia[[#This Row],[Filtro URL]],Estructura!$X$4:$Y$500,2,0)</f>
        <v>99200002</v>
      </c>
      <c r="X581" s="118" t="str">
        <f>+VLOOKUP(Agencia[[#This Row],[tema]],Estructura!$A$4:$C$500,3,0)</f>
        <v>T-1044</v>
      </c>
      <c r="Y581" s="118" t="str">
        <f>+VLOOKUP(Agencia[[#This Row],[contenido]],Estructura!$E$4:$G$500,3,0)</f>
        <v>C-996</v>
      </c>
      <c r="Z581" s="118" t="str">
        <f>+VLOOKUP(Agencia[[#This Row],[Filtro Integrado]],Estructura!$I$4:$K$500,3,0)</f>
        <v>FI-992</v>
      </c>
      <c r="AA581" s="118" t="str">
        <f>+VLOOKUP(Agencia[[#This Row],[Muestra]],Estructura!$M$4:$O$500,3,0)</f>
        <v>M-1047</v>
      </c>
    </row>
    <row r="582" spans="1:27" ht="24" x14ac:dyDescent="0.3">
      <c r="A582" s="21" t="s">
        <v>1174</v>
      </c>
      <c r="B582" s="24">
        <f t="shared" ref="B582:D582" si="838">+B581</f>
        <v>990</v>
      </c>
      <c r="C582" s="25" t="str">
        <f t="shared" si="838"/>
        <v>Agencia Información</v>
      </c>
      <c r="D582" s="25" t="str">
        <f t="shared" si="838"/>
        <v>Mujeres</v>
      </c>
      <c r="E582" s="19">
        <v>3</v>
      </c>
      <c r="F582" s="18" t="s">
        <v>1541</v>
      </c>
      <c r="G582" s="18" t="s">
        <v>3762</v>
      </c>
      <c r="H582" s="35" t="s">
        <v>16</v>
      </c>
      <c r="I582" s="36" t="s">
        <v>370</v>
      </c>
      <c r="J582" s="9" t="str">
        <f t="shared" ref="J582:N582" si="839">+J581</f>
        <v>Región</v>
      </c>
      <c r="K582" s="9" t="str">
        <f t="shared" si="839"/>
        <v>Cantidad de víctimas por edad</v>
      </c>
      <c r="L582" s="9" t="str">
        <f t="shared" si="839"/>
        <v>Periodo 2010-2021</v>
      </c>
      <c r="M582" s="9" t="str">
        <f t="shared" si="839"/>
        <v>Número de víctimas</v>
      </c>
      <c r="N582" s="40" t="str">
        <f t="shared" si="839"/>
        <v>POR DEFINIR</v>
      </c>
      <c r="O582" s="20" t="str">
        <f>+"Edad de Víctimas de Femicidios en la "&amp;I582&amp;" para el "&amp;Agencia[[#This Row],[temporalidad]]</f>
        <v>Edad de Víctimas de Femicidios en la Región de Atacama para el Periodo 2010-2021</v>
      </c>
      <c r="P582" s="20"/>
      <c r="Q582" s="11" t="str">
        <f t="shared" si="726"/>
        <v>Gráfico</v>
      </c>
      <c r="R582" s="87" t="str">
        <f>Agencia[[#This Row],[territorio]]&amp;" femicidio edad víctima mujer"</f>
        <v>Región de Atacama femicidio edad víctima mujer</v>
      </c>
      <c r="S582" s="22" t="s">
        <v>423</v>
      </c>
      <c r="T582" s="68" t="str">
        <f>"100-R-"&amp;Agencia[[#This Row],[Filtro URL]]</f>
        <v>100-R-3</v>
      </c>
      <c r="U582" s="50" t="str">
        <f t="shared" si="727"/>
        <v>#1774B9</v>
      </c>
      <c r="V582" s="118" t="str">
        <f>+Agencia[[#This Row],[idcoleccion]]&amp;"-"&amp;Agencia[[#This Row],[id]]</f>
        <v>990-0571</v>
      </c>
      <c r="W582" s="118">
        <f>+VLOOKUP(Agencia[[#This Row],[Filtro URL]],Estructura!$X$4:$Y$500,2,0)</f>
        <v>99200003</v>
      </c>
      <c r="X582" s="118" t="str">
        <f>+VLOOKUP(Agencia[[#This Row],[tema]],Estructura!$A$4:$C$500,3,0)</f>
        <v>T-1044</v>
      </c>
      <c r="Y582" s="118" t="str">
        <f>+VLOOKUP(Agencia[[#This Row],[contenido]],Estructura!$E$4:$G$500,3,0)</f>
        <v>C-996</v>
      </c>
      <c r="Z582" s="118" t="str">
        <f>+VLOOKUP(Agencia[[#This Row],[Filtro Integrado]],Estructura!$I$4:$K$500,3,0)</f>
        <v>FI-992</v>
      </c>
      <c r="AA582" s="118" t="str">
        <f>+VLOOKUP(Agencia[[#This Row],[Muestra]],Estructura!$M$4:$O$500,3,0)</f>
        <v>M-1047</v>
      </c>
    </row>
    <row r="583" spans="1:27" ht="24" x14ac:dyDescent="0.3">
      <c r="A583" s="21" t="s">
        <v>1175</v>
      </c>
      <c r="B583" s="24">
        <f t="shared" ref="B583:D583" si="840">+B582</f>
        <v>990</v>
      </c>
      <c r="C583" s="25" t="str">
        <f t="shared" si="840"/>
        <v>Agencia Información</v>
      </c>
      <c r="D583" s="25" t="str">
        <f t="shared" si="840"/>
        <v>Mujeres</v>
      </c>
      <c r="E583" s="19">
        <v>4</v>
      </c>
      <c r="F583" s="18" t="s">
        <v>1541</v>
      </c>
      <c r="G583" s="18" t="s">
        <v>3762</v>
      </c>
      <c r="H583" s="35" t="s">
        <v>16</v>
      </c>
      <c r="I583" s="36" t="s">
        <v>371</v>
      </c>
      <c r="J583" s="9" t="str">
        <f t="shared" ref="J583:N583" si="841">+J582</f>
        <v>Región</v>
      </c>
      <c r="K583" s="9" t="str">
        <f t="shared" si="841"/>
        <v>Cantidad de víctimas por edad</v>
      </c>
      <c r="L583" s="9" t="str">
        <f t="shared" si="841"/>
        <v>Periodo 2010-2021</v>
      </c>
      <c r="M583" s="9" t="str">
        <f t="shared" si="841"/>
        <v>Número de víctimas</v>
      </c>
      <c r="N583" s="40" t="str">
        <f t="shared" si="841"/>
        <v>POR DEFINIR</v>
      </c>
      <c r="O583" s="20" t="str">
        <f>+"Edad de Víctimas de Femicidios en la "&amp;I583&amp;" para el "&amp;Agencia[[#This Row],[temporalidad]]</f>
        <v>Edad de Víctimas de Femicidios en la Región de Coquimbo para el Periodo 2010-2021</v>
      </c>
      <c r="P583" s="20"/>
      <c r="Q583" s="11" t="str">
        <f t="shared" si="726"/>
        <v>Gráfico</v>
      </c>
      <c r="R583" s="87" t="str">
        <f>Agencia[[#This Row],[territorio]]&amp;" femicidio edad víctima mujer"</f>
        <v>Región de Coquimbo femicidio edad víctima mujer</v>
      </c>
      <c r="S583" s="22" t="s">
        <v>423</v>
      </c>
      <c r="T583" s="68" t="str">
        <f>"100-R-"&amp;Agencia[[#This Row],[Filtro URL]]</f>
        <v>100-R-4</v>
      </c>
      <c r="U583" s="50" t="str">
        <f t="shared" si="727"/>
        <v>#1774B9</v>
      </c>
      <c r="V583" s="118" t="str">
        <f>+Agencia[[#This Row],[idcoleccion]]&amp;"-"&amp;Agencia[[#This Row],[id]]</f>
        <v>990-0572</v>
      </c>
      <c r="W583" s="118">
        <f>+VLOOKUP(Agencia[[#This Row],[Filtro URL]],Estructura!$X$4:$Y$500,2,0)</f>
        <v>99200004</v>
      </c>
      <c r="X583" s="118" t="str">
        <f>+VLOOKUP(Agencia[[#This Row],[tema]],Estructura!$A$4:$C$500,3,0)</f>
        <v>T-1044</v>
      </c>
      <c r="Y583" s="118" t="str">
        <f>+VLOOKUP(Agencia[[#This Row],[contenido]],Estructura!$E$4:$G$500,3,0)</f>
        <v>C-996</v>
      </c>
      <c r="Z583" s="118" t="str">
        <f>+VLOOKUP(Agencia[[#This Row],[Filtro Integrado]],Estructura!$I$4:$K$500,3,0)</f>
        <v>FI-992</v>
      </c>
      <c r="AA583" s="118" t="str">
        <f>+VLOOKUP(Agencia[[#This Row],[Muestra]],Estructura!$M$4:$O$500,3,0)</f>
        <v>M-1047</v>
      </c>
    </row>
    <row r="584" spans="1:27" ht="24" x14ac:dyDescent="0.3">
      <c r="A584" s="21" t="s">
        <v>1176</v>
      </c>
      <c r="B584" s="24">
        <f t="shared" ref="B584:D584" si="842">+B583</f>
        <v>990</v>
      </c>
      <c r="C584" s="25" t="str">
        <f t="shared" si="842"/>
        <v>Agencia Información</v>
      </c>
      <c r="D584" s="25" t="str">
        <f t="shared" si="842"/>
        <v>Mujeres</v>
      </c>
      <c r="E584" s="19">
        <v>5</v>
      </c>
      <c r="F584" s="18" t="s">
        <v>1541</v>
      </c>
      <c r="G584" s="18" t="s">
        <v>3762</v>
      </c>
      <c r="H584" s="35" t="s">
        <v>16</v>
      </c>
      <c r="I584" s="36" t="s">
        <v>372</v>
      </c>
      <c r="J584" s="9" t="str">
        <f t="shared" ref="J584:N584" si="843">+J583</f>
        <v>Región</v>
      </c>
      <c r="K584" s="9" t="str">
        <f t="shared" si="843"/>
        <v>Cantidad de víctimas por edad</v>
      </c>
      <c r="L584" s="9" t="str">
        <f t="shared" si="843"/>
        <v>Periodo 2010-2021</v>
      </c>
      <c r="M584" s="9" t="str">
        <f t="shared" si="843"/>
        <v>Número de víctimas</v>
      </c>
      <c r="N584" s="40" t="str">
        <f t="shared" si="843"/>
        <v>POR DEFINIR</v>
      </c>
      <c r="O584" s="20" t="str">
        <f>+"Edad de Víctimas de Femicidios en la "&amp;I584&amp;" para el "&amp;Agencia[[#This Row],[temporalidad]]</f>
        <v>Edad de Víctimas de Femicidios en la Región de Valparaíso para el Periodo 2010-2021</v>
      </c>
      <c r="P584" s="20"/>
      <c r="Q584" s="11" t="str">
        <f t="shared" si="726"/>
        <v>Gráfico</v>
      </c>
      <c r="R584" s="87" t="str">
        <f>Agencia[[#This Row],[territorio]]&amp;" femicidio edad víctima mujer"</f>
        <v>Región de Valparaíso femicidio edad víctima mujer</v>
      </c>
      <c r="S584" s="22" t="s">
        <v>423</v>
      </c>
      <c r="T584" s="68" t="str">
        <f>"100-R-"&amp;Agencia[[#This Row],[Filtro URL]]</f>
        <v>100-R-5</v>
      </c>
      <c r="U584" s="50" t="str">
        <f t="shared" si="727"/>
        <v>#1774B9</v>
      </c>
      <c r="V584" s="118" t="str">
        <f>+Agencia[[#This Row],[idcoleccion]]&amp;"-"&amp;Agencia[[#This Row],[id]]</f>
        <v>990-0573</v>
      </c>
      <c r="W584" s="118">
        <f>+VLOOKUP(Agencia[[#This Row],[Filtro URL]],Estructura!$X$4:$Y$500,2,0)</f>
        <v>99200005</v>
      </c>
      <c r="X584" s="118" t="str">
        <f>+VLOOKUP(Agencia[[#This Row],[tema]],Estructura!$A$4:$C$500,3,0)</f>
        <v>T-1044</v>
      </c>
      <c r="Y584" s="118" t="str">
        <f>+VLOOKUP(Agencia[[#This Row],[contenido]],Estructura!$E$4:$G$500,3,0)</f>
        <v>C-996</v>
      </c>
      <c r="Z584" s="118" t="str">
        <f>+VLOOKUP(Agencia[[#This Row],[Filtro Integrado]],Estructura!$I$4:$K$500,3,0)</f>
        <v>FI-992</v>
      </c>
      <c r="AA584" s="118" t="str">
        <f>+VLOOKUP(Agencia[[#This Row],[Muestra]],Estructura!$M$4:$O$500,3,0)</f>
        <v>M-1047</v>
      </c>
    </row>
    <row r="585" spans="1:27" ht="24" x14ac:dyDescent="0.3">
      <c r="A585" s="21" t="s">
        <v>1177</v>
      </c>
      <c r="B585" s="24">
        <f t="shared" ref="B585:D585" si="844">+B584</f>
        <v>990</v>
      </c>
      <c r="C585" s="25" t="str">
        <f t="shared" si="844"/>
        <v>Agencia Información</v>
      </c>
      <c r="D585" s="25" t="str">
        <f t="shared" si="844"/>
        <v>Mujeres</v>
      </c>
      <c r="E585" s="19">
        <v>6</v>
      </c>
      <c r="F585" s="18" t="s">
        <v>1541</v>
      </c>
      <c r="G585" s="18" t="s">
        <v>3762</v>
      </c>
      <c r="H585" s="35" t="s">
        <v>16</v>
      </c>
      <c r="I585" s="36" t="s">
        <v>373</v>
      </c>
      <c r="J585" s="9" t="str">
        <f t="shared" ref="J585:N585" si="845">+J584</f>
        <v>Región</v>
      </c>
      <c r="K585" s="9" t="str">
        <f t="shared" si="845"/>
        <v>Cantidad de víctimas por edad</v>
      </c>
      <c r="L585" s="9" t="str">
        <f t="shared" si="845"/>
        <v>Periodo 2010-2021</v>
      </c>
      <c r="M585" s="9" t="str">
        <f t="shared" si="845"/>
        <v>Número de víctimas</v>
      </c>
      <c r="N585" s="40" t="str">
        <f t="shared" si="845"/>
        <v>POR DEFINIR</v>
      </c>
      <c r="O585" s="20" t="str">
        <f>+"Edad de Víctimas de Femicidios en la "&amp;I585&amp;" para el "&amp;Agencia[[#This Row],[temporalidad]]</f>
        <v>Edad de Víctimas de Femicidios en la Región de O'Higgins para el Periodo 2010-2021</v>
      </c>
      <c r="P585" s="20"/>
      <c r="Q585" s="11" t="str">
        <f t="shared" si="726"/>
        <v>Gráfico</v>
      </c>
      <c r="R585" s="87" t="str">
        <f>Agencia[[#This Row],[territorio]]&amp;" femicidio edad víctima mujer"</f>
        <v>Región de O'Higgins femicidio edad víctima mujer</v>
      </c>
      <c r="S585" s="22" t="s">
        <v>423</v>
      </c>
      <c r="T585" s="68" t="str">
        <f>"100-R-"&amp;Agencia[[#This Row],[Filtro URL]]</f>
        <v>100-R-6</v>
      </c>
      <c r="U585" s="50" t="str">
        <f t="shared" si="727"/>
        <v>#1774B9</v>
      </c>
      <c r="V585" s="118" t="str">
        <f>+Agencia[[#This Row],[idcoleccion]]&amp;"-"&amp;Agencia[[#This Row],[id]]</f>
        <v>990-0574</v>
      </c>
      <c r="W585" s="118">
        <f>+VLOOKUP(Agencia[[#This Row],[Filtro URL]],Estructura!$X$4:$Y$500,2,0)</f>
        <v>99200006</v>
      </c>
      <c r="X585" s="118" t="str">
        <f>+VLOOKUP(Agencia[[#This Row],[tema]],Estructura!$A$4:$C$500,3,0)</f>
        <v>T-1044</v>
      </c>
      <c r="Y585" s="118" t="str">
        <f>+VLOOKUP(Agencia[[#This Row],[contenido]],Estructura!$E$4:$G$500,3,0)</f>
        <v>C-996</v>
      </c>
      <c r="Z585" s="118" t="str">
        <f>+VLOOKUP(Agencia[[#This Row],[Filtro Integrado]],Estructura!$I$4:$K$500,3,0)</f>
        <v>FI-992</v>
      </c>
      <c r="AA585" s="118" t="str">
        <f>+VLOOKUP(Agencia[[#This Row],[Muestra]],Estructura!$M$4:$O$500,3,0)</f>
        <v>M-1047</v>
      </c>
    </row>
    <row r="586" spans="1:27" ht="24" x14ac:dyDescent="0.3">
      <c r="A586" s="21" t="s">
        <v>1178</v>
      </c>
      <c r="B586" s="24">
        <f t="shared" ref="B586:D586" si="846">+B585</f>
        <v>990</v>
      </c>
      <c r="C586" s="25" t="str">
        <f t="shared" si="846"/>
        <v>Agencia Información</v>
      </c>
      <c r="D586" s="25" t="str">
        <f t="shared" si="846"/>
        <v>Mujeres</v>
      </c>
      <c r="E586" s="19">
        <v>7</v>
      </c>
      <c r="F586" s="18" t="s">
        <v>1541</v>
      </c>
      <c r="G586" s="18" t="s">
        <v>3762</v>
      </c>
      <c r="H586" s="35" t="s">
        <v>16</v>
      </c>
      <c r="I586" s="36" t="s">
        <v>374</v>
      </c>
      <c r="J586" s="9" t="str">
        <f t="shared" ref="J586:N586" si="847">+J585</f>
        <v>Región</v>
      </c>
      <c r="K586" s="9" t="str">
        <f t="shared" si="847"/>
        <v>Cantidad de víctimas por edad</v>
      </c>
      <c r="L586" s="9" t="str">
        <f t="shared" si="847"/>
        <v>Periodo 2010-2021</v>
      </c>
      <c r="M586" s="9" t="str">
        <f t="shared" si="847"/>
        <v>Número de víctimas</v>
      </c>
      <c r="N586" s="40" t="str">
        <f t="shared" si="847"/>
        <v>POR DEFINIR</v>
      </c>
      <c r="O586" s="20" t="str">
        <f>+"Edad de Víctimas de Femicidios en la "&amp;I586&amp;" para el "&amp;Agencia[[#This Row],[temporalidad]]</f>
        <v>Edad de Víctimas de Femicidios en la Región de Maule para el Periodo 2010-2021</v>
      </c>
      <c r="P586" s="20"/>
      <c r="Q586" s="11" t="str">
        <f t="shared" si="726"/>
        <v>Gráfico</v>
      </c>
      <c r="R586" s="87" t="str">
        <f>Agencia[[#This Row],[territorio]]&amp;" femicidio edad víctima mujer"</f>
        <v>Región de Maule femicidio edad víctima mujer</v>
      </c>
      <c r="S586" s="22" t="s">
        <v>423</v>
      </c>
      <c r="T586" s="68" t="str">
        <f>"100-R-"&amp;Agencia[[#This Row],[Filtro URL]]</f>
        <v>100-R-7</v>
      </c>
      <c r="U586" s="50" t="str">
        <f t="shared" si="727"/>
        <v>#1774B9</v>
      </c>
      <c r="V586" s="118" t="str">
        <f>+Agencia[[#This Row],[idcoleccion]]&amp;"-"&amp;Agencia[[#This Row],[id]]</f>
        <v>990-0575</v>
      </c>
      <c r="W586" s="118">
        <f>+VLOOKUP(Agencia[[#This Row],[Filtro URL]],Estructura!$X$4:$Y$500,2,0)</f>
        <v>99200007</v>
      </c>
      <c r="X586" s="118" t="str">
        <f>+VLOOKUP(Agencia[[#This Row],[tema]],Estructura!$A$4:$C$500,3,0)</f>
        <v>T-1044</v>
      </c>
      <c r="Y586" s="118" t="str">
        <f>+VLOOKUP(Agencia[[#This Row],[contenido]],Estructura!$E$4:$G$500,3,0)</f>
        <v>C-996</v>
      </c>
      <c r="Z586" s="118" t="str">
        <f>+VLOOKUP(Agencia[[#This Row],[Filtro Integrado]],Estructura!$I$4:$K$500,3,0)</f>
        <v>FI-992</v>
      </c>
      <c r="AA586" s="118" t="str">
        <f>+VLOOKUP(Agencia[[#This Row],[Muestra]],Estructura!$M$4:$O$500,3,0)</f>
        <v>M-1047</v>
      </c>
    </row>
    <row r="587" spans="1:27" ht="24" x14ac:dyDescent="0.3">
      <c r="A587" s="21" t="s">
        <v>1179</v>
      </c>
      <c r="B587" s="24">
        <f t="shared" ref="B587:D587" si="848">+B586</f>
        <v>990</v>
      </c>
      <c r="C587" s="25" t="str">
        <f t="shared" si="848"/>
        <v>Agencia Información</v>
      </c>
      <c r="D587" s="25" t="str">
        <f t="shared" si="848"/>
        <v>Mujeres</v>
      </c>
      <c r="E587" s="19">
        <v>8</v>
      </c>
      <c r="F587" s="18" t="s">
        <v>1541</v>
      </c>
      <c r="G587" s="18" t="s">
        <v>3762</v>
      </c>
      <c r="H587" s="35" t="s">
        <v>16</v>
      </c>
      <c r="I587" s="36" t="s">
        <v>375</v>
      </c>
      <c r="J587" s="9" t="str">
        <f t="shared" ref="J587:N587" si="849">+J586</f>
        <v>Región</v>
      </c>
      <c r="K587" s="9" t="str">
        <f t="shared" si="849"/>
        <v>Cantidad de víctimas por edad</v>
      </c>
      <c r="L587" s="9" t="str">
        <f t="shared" si="849"/>
        <v>Periodo 2010-2021</v>
      </c>
      <c r="M587" s="9" t="str">
        <f t="shared" si="849"/>
        <v>Número de víctimas</v>
      </c>
      <c r="N587" s="40" t="str">
        <f t="shared" si="849"/>
        <v>POR DEFINIR</v>
      </c>
      <c r="O587" s="20" t="str">
        <f>+"Edad de Víctimas de Femicidios en la "&amp;I587&amp;" para el "&amp;Agencia[[#This Row],[temporalidad]]</f>
        <v>Edad de Víctimas de Femicidios en la Región del Biobío para el Periodo 2010-2021</v>
      </c>
      <c r="P587" s="20"/>
      <c r="Q587" s="11" t="str">
        <f t="shared" si="726"/>
        <v>Gráfico</v>
      </c>
      <c r="R587" s="87" t="str">
        <f>Agencia[[#This Row],[territorio]]&amp;" femicidio edad víctima mujer"</f>
        <v>Región del Biobío femicidio edad víctima mujer</v>
      </c>
      <c r="S587" s="22" t="s">
        <v>423</v>
      </c>
      <c r="T587" s="68" t="str">
        <f>"100-R-"&amp;Agencia[[#This Row],[Filtro URL]]</f>
        <v>100-R-8</v>
      </c>
      <c r="U587" s="50" t="str">
        <f t="shared" si="727"/>
        <v>#1774B9</v>
      </c>
      <c r="V587" s="118" t="str">
        <f>+Agencia[[#This Row],[idcoleccion]]&amp;"-"&amp;Agencia[[#This Row],[id]]</f>
        <v>990-0576</v>
      </c>
      <c r="W587" s="118">
        <f>+VLOOKUP(Agencia[[#This Row],[Filtro URL]],Estructura!$X$4:$Y$500,2,0)</f>
        <v>99200008</v>
      </c>
      <c r="X587" s="118" t="str">
        <f>+VLOOKUP(Agencia[[#This Row],[tema]],Estructura!$A$4:$C$500,3,0)</f>
        <v>T-1044</v>
      </c>
      <c r="Y587" s="118" t="str">
        <f>+VLOOKUP(Agencia[[#This Row],[contenido]],Estructura!$E$4:$G$500,3,0)</f>
        <v>C-996</v>
      </c>
      <c r="Z587" s="118" t="str">
        <f>+VLOOKUP(Agencia[[#This Row],[Filtro Integrado]],Estructura!$I$4:$K$500,3,0)</f>
        <v>FI-992</v>
      </c>
      <c r="AA587" s="118" t="str">
        <f>+VLOOKUP(Agencia[[#This Row],[Muestra]],Estructura!$M$4:$O$500,3,0)</f>
        <v>M-1047</v>
      </c>
    </row>
    <row r="588" spans="1:27" ht="24" x14ac:dyDescent="0.3">
      <c r="A588" s="21" t="s">
        <v>1180</v>
      </c>
      <c r="B588" s="24">
        <f t="shared" ref="B588:D588" si="850">+B587</f>
        <v>990</v>
      </c>
      <c r="C588" s="25" t="str">
        <f t="shared" si="850"/>
        <v>Agencia Información</v>
      </c>
      <c r="D588" s="25" t="str">
        <f t="shared" si="850"/>
        <v>Mujeres</v>
      </c>
      <c r="E588" s="19">
        <v>9</v>
      </c>
      <c r="F588" s="18" t="s">
        <v>1541</v>
      </c>
      <c r="G588" s="18" t="s">
        <v>3762</v>
      </c>
      <c r="H588" s="35" t="s">
        <v>16</v>
      </c>
      <c r="I588" s="36" t="s">
        <v>376</v>
      </c>
      <c r="J588" s="9" t="str">
        <f t="shared" ref="J588:N588" si="851">+J587</f>
        <v>Región</v>
      </c>
      <c r="K588" s="9" t="str">
        <f t="shared" si="851"/>
        <v>Cantidad de víctimas por edad</v>
      </c>
      <c r="L588" s="9" t="str">
        <f t="shared" si="851"/>
        <v>Periodo 2010-2021</v>
      </c>
      <c r="M588" s="9" t="str">
        <f t="shared" si="851"/>
        <v>Número de víctimas</v>
      </c>
      <c r="N588" s="40" t="str">
        <f t="shared" si="851"/>
        <v>POR DEFINIR</v>
      </c>
      <c r="O588" s="20" t="str">
        <f>+"Edad de Víctimas de Femicidios en la "&amp;I588&amp;" para el "&amp;Agencia[[#This Row],[temporalidad]]</f>
        <v>Edad de Víctimas de Femicidios en la Región de La Araucanía para el Periodo 2010-2021</v>
      </c>
      <c r="P588" s="20"/>
      <c r="Q588" s="11" t="str">
        <f t="shared" ref="Q588:Q650" si="852">+Q587</f>
        <v>Gráfico</v>
      </c>
      <c r="R588" s="87" t="str">
        <f>Agencia[[#This Row],[territorio]]&amp;" femicidio edad víctima mujer"</f>
        <v>Región de La Araucanía femicidio edad víctima mujer</v>
      </c>
      <c r="S588" s="22" t="s">
        <v>423</v>
      </c>
      <c r="T588" s="68" t="str">
        <f>"100-R-"&amp;Agencia[[#This Row],[Filtro URL]]</f>
        <v>100-R-9</v>
      </c>
      <c r="U588" s="50" t="str">
        <f t="shared" ref="U588:U651" si="853">+U587</f>
        <v>#1774B9</v>
      </c>
      <c r="V588" s="118" t="str">
        <f>+Agencia[[#This Row],[idcoleccion]]&amp;"-"&amp;Agencia[[#This Row],[id]]</f>
        <v>990-0577</v>
      </c>
      <c r="W588" s="118">
        <f>+VLOOKUP(Agencia[[#This Row],[Filtro URL]],Estructura!$X$4:$Y$500,2,0)</f>
        <v>99200009</v>
      </c>
      <c r="X588" s="118" t="str">
        <f>+VLOOKUP(Agencia[[#This Row],[tema]],Estructura!$A$4:$C$500,3,0)</f>
        <v>T-1044</v>
      </c>
      <c r="Y588" s="118" t="str">
        <f>+VLOOKUP(Agencia[[#This Row],[contenido]],Estructura!$E$4:$G$500,3,0)</f>
        <v>C-996</v>
      </c>
      <c r="Z588" s="118" t="str">
        <f>+VLOOKUP(Agencia[[#This Row],[Filtro Integrado]],Estructura!$I$4:$K$500,3,0)</f>
        <v>FI-992</v>
      </c>
      <c r="AA588" s="118" t="str">
        <f>+VLOOKUP(Agencia[[#This Row],[Muestra]],Estructura!$M$4:$O$500,3,0)</f>
        <v>M-1047</v>
      </c>
    </row>
    <row r="589" spans="1:27" ht="24" x14ac:dyDescent="0.3">
      <c r="A589" s="21" t="s">
        <v>1181</v>
      </c>
      <c r="B589" s="24">
        <f t="shared" ref="B589:D589" si="854">+B588</f>
        <v>990</v>
      </c>
      <c r="C589" s="25" t="str">
        <f t="shared" si="854"/>
        <v>Agencia Información</v>
      </c>
      <c r="D589" s="25" t="str">
        <f t="shared" si="854"/>
        <v>Mujeres</v>
      </c>
      <c r="E589" s="19">
        <v>10</v>
      </c>
      <c r="F589" s="18" t="s">
        <v>1541</v>
      </c>
      <c r="G589" s="18" t="s">
        <v>3762</v>
      </c>
      <c r="H589" s="35" t="s">
        <v>16</v>
      </c>
      <c r="I589" s="36" t="s">
        <v>377</v>
      </c>
      <c r="J589" s="9" t="str">
        <f t="shared" ref="J589:N589" si="855">+J588</f>
        <v>Región</v>
      </c>
      <c r="K589" s="9" t="str">
        <f t="shared" si="855"/>
        <v>Cantidad de víctimas por edad</v>
      </c>
      <c r="L589" s="9" t="str">
        <f t="shared" si="855"/>
        <v>Periodo 2010-2021</v>
      </c>
      <c r="M589" s="9" t="str">
        <f t="shared" si="855"/>
        <v>Número de víctimas</v>
      </c>
      <c r="N589" s="40" t="str">
        <f t="shared" si="855"/>
        <v>POR DEFINIR</v>
      </c>
      <c r="O589" s="20" t="str">
        <f>+"Edad de Víctimas de Femicidios en la "&amp;I589&amp;" para el "&amp;Agencia[[#This Row],[temporalidad]]</f>
        <v>Edad de Víctimas de Femicidios en la Región de Los Lagos para el Periodo 2010-2021</v>
      </c>
      <c r="P589" s="20"/>
      <c r="Q589" s="11" t="str">
        <f t="shared" si="852"/>
        <v>Gráfico</v>
      </c>
      <c r="R589" s="87" t="str">
        <f>Agencia[[#This Row],[territorio]]&amp;" femicidio edad víctima mujer"</f>
        <v>Región de Los Lagos femicidio edad víctima mujer</v>
      </c>
      <c r="S589" s="22" t="s">
        <v>423</v>
      </c>
      <c r="T589" s="68" t="str">
        <f>"100-R-"&amp;Agencia[[#This Row],[Filtro URL]]</f>
        <v>100-R-10</v>
      </c>
      <c r="U589" s="50" t="str">
        <f t="shared" si="853"/>
        <v>#1774B9</v>
      </c>
      <c r="V589" s="118" t="str">
        <f>+Agencia[[#This Row],[idcoleccion]]&amp;"-"&amp;Agencia[[#This Row],[id]]</f>
        <v>990-0578</v>
      </c>
      <c r="W589" s="118">
        <f>+VLOOKUP(Agencia[[#This Row],[Filtro URL]],Estructura!$X$4:$Y$500,2,0)</f>
        <v>99200010</v>
      </c>
      <c r="X589" s="118" t="str">
        <f>+VLOOKUP(Agencia[[#This Row],[tema]],Estructura!$A$4:$C$500,3,0)</f>
        <v>T-1044</v>
      </c>
      <c r="Y589" s="118" t="str">
        <f>+VLOOKUP(Agencia[[#This Row],[contenido]],Estructura!$E$4:$G$500,3,0)</f>
        <v>C-996</v>
      </c>
      <c r="Z589" s="118" t="str">
        <f>+VLOOKUP(Agencia[[#This Row],[Filtro Integrado]],Estructura!$I$4:$K$500,3,0)</f>
        <v>FI-992</v>
      </c>
      <c r="AA589" s="118" t="str">
        <f>+VLOOKUP(Agencia[[#This Row],[Muestra]],Estructura!$M$4:$O$500,3,0)</f>
        <v>M-1047</v>
      </c>
    </row>
    <row r="590" spans="1:27" ht="24" x14ac:dyDescent="0.3">
      <c r="A590" s="21" t="s">
        <v>1182</v>
      </c>
      <c r="B590" s="24">
        <f t="shared" ref="B590:D590" si="856">+B589</f>
        <v>990</v>
      </c>
      <c r="C590" s="25" t="str">
        <f t="shared" si="856"/>
        <v>Agencia Información</v>
      </c>
      <c r="D590" s="25" t="str">
        <f t="shared" si="856"/>
        <v>Mujeres</v>
      </c>
      <c r="E590" s="19">
        <v>11</v>
      </c>
      <c r="F590" s="18" t="s">
        <v>1541</v>
      </c>
      <c r="G590" s="18" t="s">
        <v>3762</v>
      </c>
      <c r="H590" s="35" t="s">
        <v>16</v>
      </c>
      <c r="I590" s="36" t="s">
        <v>378</v>
      </c>
      <c r="J590" s="9" t="str">
        <f t="shared" ref="J590:N590" si="857">+J589</f>
        <v>Región</v>
      </c>
      <c r="K590" s="9" t="str">
        <f t="shared" si="857"/>
        <v>Cantidad de víctimas por edad</v>
      </c>
      <c r="L590" s="9" t="str">
        <f t="shared" si="857"/>
        <v>Periodo 2010-2021</v>
      </c>
      <c r="M590" s="9" t="str">
        <f t="shared" si="857"/>
        <v>Número de víctimas</v>
      </c>
      <c r="N590" s="40" t="str">
        <f t="shared" si="857"/>
        <v>POR DEFINIR</v>
      </c>
      <c r="O590" s="20" t="str">
        <f>+"Edad de Víctimas de Femicidios en la "&amp;I590&amp;" para el "&amp;Agencia[[#This Row],[temporalidad]]</f>
        <v>Edad de Víctimas de Femicidios en la Región de Aysén para el Periodo 2010-2021</v>
      </c>
      <c r="P590" s="20"/>
      <c r="Q590" s="11" t="str">
        <f t="shared" si="852"/>
        <v>Gráfico</v>
      </c>
      <c r="R590" s="87" t="str">
        <f>Agencia[[#This Row],[territorio]]&amp;" femicidio edad víctima mujer"</f>
        <v>Región de Aysén femicidio edad víctima mujer</v>
      </c>
      <c r="S590" s="22" t="s">
        <v>423</v>
      </c>
      <c r="T590" s="68" t="str">
        <f>"100-R-"&amp;Agencia[[#This Row],[Filtro URL]]</f>
        <v>100-R-11</v>
      </c>
      <c r="U590" s="50" t="str">
        <f t="shared" si="853"/>
        <v>#1774B9</v>
      </c>
      <c r="V590" s="118" t="str">
        <f>+Agencia[[#This Row],[idcoleccion]]&amp;"-"&amp;Agencia[[#This Row],[id]]</f>
        <v>990-0579</v>
      </c>
      <c r="W590" s="118">
        <f>+VLOOKUP(Agencia[[#This Row],[Filtro URL]],Estructura!$X$4:$Y$500,2,0)</f>
        <v>99200011</v>
      </c>
      <c r="X590" s="118" t="str">
        <f>+VLOOKUP(Agencia[[#This Row],[tema]],Estructura!$A$4:$C$500,3,0)</f>
        <v>T-1044</v>
      </c>
      <c r="Y590" s="118" t="str">
        <f>+VLOOKUP(Agencia[[#This Row],[contenido]],Estructura!$E$4:$G$500,3,0)</f>
        <v>C-996</v>
      </c>
      <c r="Z590" s="118" t="str">
        <f>+VLOOKUP(Agencia[[#This Row],[Filtro Integrado]],Estructura!$I$4:$K$500,3,0)</f>
        <v>FI-992</v>
      </c>
      <c r="AA590" s="118" t="str">
        <f>+VLOOKUP(Agencia[[#This Row],[Muestra]],Estructura!$M$4:$O$500,3,0)</f>
        <v>M-1047</v>
      </c>
    </row>
    <row r="591" spans="1:27" ht="24" x14ac:dyDescent="0.3">
      <c r="A591" s="21" t="s">
        <v>1183</v>
      </c>
      <c r="B591" s="24">
        <f t="shared" ref="B591:D591" si="858">+B590</f>
        <v>990</v>
      </c>
      <c r="C591" s="25" t="str">
        <f t="shared" si="858"/>
        <v>Agencia Información</v>
      </c>
      <c r="D591" s="25" t="str">
        <f t="shared" si="858"/>
        <v>Mujeres</v>
      </c>
      <c r="E591" s="19">
        <v>12</v>
      </c>
      <c r="F591" s="18" t="s">
        <v>1541</v>
      </c>
      <c r="G591" s="18" t="s">
        <v>3762</v>
      </c>
      <c r="H591" s="35" t="s">
        <v>16</v>
      </c>
      <c r="I591" s="36" t="s">
        <v>379</v>
      </c>
      <c r="J591" s="9" t="str">
        <f t="shared" ref="J591:N591" si="859">+J590</f>
        <v>Región</v>
      </c>
      <c r="K591" s="9" t="str">
        <f t="shared" si="859"/>
        <v>Cantidad de víctimas por edad</v>
      </c>
      <c r="L591" s="9" t="str">
        <f t="shared" si="859"/>
        <v>Periodo 2010-2021</v>
      </c>
      <c r="M591" s="9" t="str">
        <f t="shared" si="859"/>
        <v>Número de víctimas</v>
      </c>
      <c r="N591" s="40" t="str">
        <f t="shared" si="859"/>
        <v>POR DEFINIR</v>
      </c>
      <c r="O591" s="20" t="str">
        <f>+"Edad de Víctimas de Femicidios en la "&amp;I591&amp;" para el "&amp;Agencia[[#This Row],[temporalidad]]</f>
        <v>Edad de Víctimas de Femicidios en la Región de Magallanes para el Periodo 2010-2021</v>
      </c>
      <c r="P591" s="20"/>
      <c r="Q591" s="11" t="str">
        <f t="shared" si="852"/>
        <v>Gráfico</v>
      </c>
      <c r="R591" s="87" t="str">
        <f>Agencia[[#This Row],[territorio]]&amp;" femicidio edad víctima mujer"</f>
        <v>Región de Magallanes femicidio edad víctima mujer</v>
      </c>
      <c r="S591" s="22" t="s">
        <v>423</v>
      </c>
      <c r="T591" s="68" t="str">
        <f>"100-R-"&amp;Agencia[[#This Row],[Filtro URL]]</f>
        <v>100-R-12</v>
      </c>
      <c r="U591" s="50" t="str">
        <f t="shared" si="853"/>
        <v>#1774B9</v>
      </c>
      <c r="V591" s="118" t="str">
        <f>+Agencia[[#This Row],[idcoleccion]]&amp;"-"&amp;Agencia[[#This Row],[id]]</f>
        <v>990-0580</v>
      </c>
      <c r="W591" s="118">
        <f>+VLOOKUP(Agencia[[#This Row],[Filtro URL]],Estructura!$X$4:$Y$500,2,0)</f>
        <v>99200012</v>
      </c>
      <c r="X591" s="118" t="str">
        <f>+VLOOKUP(Agencia[[#This Row],[tema]],Estructura!$A$4:$C$500,3,0)</f>
        <v>T-1044</v>
      </c>
      <c r="Y591" s="118" t="str">
        <f>+VLOOKUP(Agencia[[#This Row],[contenido]],Estructura!$E$4:$G$500,3,0)</f>
        <v>C-996</v>
      </c>
      <c r="Z591" s="118" t="str">
        <f>+VLOOKUP(Agencia[[#This Row],[Filtro Integrado]],Estructura!$I$4:$K$500,3,0)</f>
        <v>FI-992</v>
      </c>
      <c r="AA591" s="118" t="str">
        <f>+VLOOKUP(Agencia[[#This Row],[Muestra]],Estructura!$M$4:$O$500,3,0)</f>
        <v>M-1047</v>
      </c>
    </row>
    <row r="592" spans="1:27" ht="24" x14ac:dyDescent="0.3">
      <c r="A592" s="21" t="s">
        <v>1184</v>
      </c>
      <c r="B592" s="24">
        <f t="shared" ref="B592:D592" si="860">+B591</f>
        <v>990</v>
      </c>
      <c r="C592" s="25" t="str">
        <f t="shared" si="860"/>
        <v>Agencia Información</v>
      </c>
      <c r="D592" s="25" t="str">
        <f t="shared" si="860"/>
        <v>Mujeres</v>
      </c>
      <c r="E592" s="19">
        <v>13</v>
      </c>
      <c r="F592" s="18" t="s">
        <v>1541</v>
      </c>
      <c r="G592" s="18" t="s">
        <v>3762</v>
      </c>
      <c r="H592" s="35" t="s">
        <v>16</v>
      </c>
      <c r="I592" s="36" t="s">
        <v>380</v>
      </c>
      <c r="J592" s="9" t="str">
        <f t="shared" ref="J592:N592" si="861">+J591</f>
        <v>Región</v>
      </c>
      <c r="K592" s="9" t="str">
        <f t="shared" si="861"/>
        <v>Cantidad de víctimas por edad</v>
      </c>
      <c r="L592" s="9" t="str">
        <f t="shared" si="861"/>
        <v>Periodo 2010-2021</v>
      </c>
      <c r="M592" s="9" t="str">
        <f t="shared" si="861"/>
        <v>Número de víctimas</v>
      </c>
      <c r="N592" s="40" t="str">
        <f t="shared" si="861"/>
        <v>POR DEFINIR</v>
      </c>
      <c r="O592" s="20" t="str">
        <f>+"Edad de Víctimas de Femicidios en la "&amp;I592&amp;" para el "&amp;Agencia[[#This Row],[temporalidad]]</f>
        <v>Edad de Víctimas de Femicidios en la Región Metropolitana para el Periodo 2010-2021</v>
      </c>
      <c r="P592" s="20"/>
      <c r="Q592" s="11" t="str">
        <f t="shared" si="852"/>
        <v>Gráfico</v>
      </c>
      <c r="R592" s="87" t="str">
        <f>Agencia[[#This Row],[territorio]]&amp;" femicidio edad víctima mujer"</f>
        <v>Región Metropolitana femicidio edad víctima mujer</v>
      </c>
      <c r="S592" s="22" t="s">
        <v>423</v>
      </c>
      <c r="T592" s="68" t="str">
        <f>"200-R-"&amp;Agencia[[#This Row],[Filtro URL]]</f>
        <v>200-R-13</v>
      </c>
      <c r="U592" s="50" t="str">
        <f t="shared" si="853"/>
        <v>#1774B9</v>
      </c>
      <c r="V592" s="118" t="str">
        <f>+Agencia[[#This Row],[idcoleccion]]&amp;"-"&amp;Agencia[[#This Row],[id]]</f>
        <v>990-0581</v>
      </c>
      <c r="W592" s="118">
        <f>+VLOOKUP(Agencia[[#This Row],[Filtro URL]],Estructura!$X$4:$Y$500,2,0)</f>
        <v>99200013</v>
      </c>
      <c r="X592" s="118" t="str">
        <f>+VLOOKUP(Agencia[[#This Row],[tema]],Estructura!$A$4:$C$500,3,0)</f>
        <v>T-1044</v>
      </c>
      <c r="Y592" s="118" t="str">
        <f>+VLOOKUP(Agencia[[#This Row],[contenido]],Estructura!$E$4:$G$500,3,0)</f>
        <v>C-996</v>
      </c>
      <c r="Z592" s="118" t="str">
        <f>+VLOOKUP(Agencia[[#This Row],[Filtro Integrado]],Estructura!$I$4:$K$500,3,0)</f>
        <v>FI-992</v>
      </c>
      <c r="AA592" s="118" t="str">
        <f>+VLOOKUP(Agencia[[#This Row],[Muestra]],Estructura!$M$4:$O$500,3,0)</f>
        <v>M-1047</v>
      </c>
    </row>
    <row r="593" spans="1:27" ht="24" x14ac:dyDescent="0.3">
      <c r="A593" s="21" t="s">
        <v>1185</v>
      </c>
      <c r="B593" s="24">
        <f t="shared" ref="B593:D593" si="862">+B592</f>
        <v>990</v>
      </c>
      <c r="C593" s="25" t="str">
        <f t="shared" si="862"/>
        <v>Agencia Información</v>
      </c>
      <c r="D593" s="25" t="str">
        <f t="shared" si="862"/>
        <v>Mujeres</v>
      </c>
      <c r="E593" s="19">
        <v>14</v>
      </c>
      <c r="F593" s="18" t="s">
        <v>1541</v>
      </c>
      <c r="G593" s="18" t="s">
        <v>3762</v>
      </c>
      <c r="H593" s="35" t="s">
        <v>16</v>
      </c>
      <c r="I593" s="36" t="s">
        <v>381</v>
      </c>
      <c r="J593" s="9" t="str">
        <f t="shared" ref="J593:N593" si="863">+J592</f>
        <v>Región</v>
      </c>
      <c r="K593" s="9" t="str">
        <f t="shared" si="863"/>
        <v>Cantidad de víctimas por edad</v>
      </c>
      <c r="L593" s="9" t="str">
        <f t="shared" si="863"/>
        <v>Periodo 2010-2021</v>
      </c>
      <c r="M593" s="9" t="str">
        <f t="shared" si="863"/>
        <v>Número de víctimas</v>
      </c>
      <c r="N593" s="40" t="str">
        <f t="shared" si="863"/>
        <v>POR DEFINIR</v>
      </c>
      <c r="O593" s="20" t="str">
        <f>+"Edad de Víctimas de Femicidios en la "&amp;I593&amp;" para el "&amp;Agencia[[#This Row],[temporalidad]]</f>
        <v>Edad de Víctimas de Femicidios en la Región de Los Ríos para el Periodo 2010-2021</v>
      </c>
      <c r="P593" s="20"/>
      <c r="Q593" s="11" t="str">
        <f t="shared" si="852"/>
        <v>Gráfico</v>
      </c>
      <c r="R593" s="87" t="str">
        <f>Agencia[[#This Row],[territorio]]&amp;" femicidio edad víctima mujer"</f>
        <v>Región de Los Ríos femicidio edad víctima mujer</v>
      </c>
      <c r="S593" s="22" t="s">
        <v>423</v>
      </c>
      <c r="T593" s="68" t="str">
        <f>"100-R-"&amp;Agencia[[#This Row],[Filtro URL]]</f>
        <v>100-R-14</v>
      </c>
      <c r="U593" s="50" t="str">
        <f t="shared" si="853"/>
        <v>#1774B9</v>
      </c>
      <c r="V593" s="118" t="str">
        <f>+Agencia[[#This Row],[idcoleccion]]&amp;"-"&amp;Agencia[[#This Row],[id]]</f>
        <v>990-0582</v>
      </c>
      <c r="W593" s="118">
        <f>+VLOOKUP(Agencia[[#This Row],[Filtro URL]],Estructura!$X$4:$Y$500,2,0)</f>
        <v>99200014</v>
      </c>
      <c r="X593" s="118" t="str">
        <f>+VLOOKUP(Agencia[[#This Row],[tema]],Estructura!$A$4:$C$500,3,0)</f>
        <v>T-1044</v>
      </c>
      <c r="Y593" s="118" t="str">
        <f>+VLOOKUP(Agencia[[#This Row],[contenido]],Estructura!$E$4:$G$500,3,0)</f>
        <v>C-996</v>
      </c>
      <c r="Z593" s="118" t="str">
        <f>+VLOOKUP(Agencia[[#This Row],[Filtro Integrado]],Estructura!$I$4:$K$500,3,0)</f>
        <v>FI-992</v>
      </c>
      <c r="AA593" s="118" t="str">
        <f>+VLOOKUP(Agencia[[#This Row],[Muestra]],Estructura!$M$4:$O$500,3,0)</f>
        <v>M-1047</v>
      </c>
    </row>
    <row r="594" spans="1:27" ht="24" x14ac:dyDescent="0.3">
      <c r="A594" s="21" t="s">
        <v>1186</v>
      </c>
      <c r="B594" s="24">
        <f t="shared" ref="B594:D594" si="864">+B593</f>
        <v>990</v>
      </c>
      <c r="C594" s="25" t="str">
        <f t="shared" si="864"/>
        <v>Agencia Información</v>
      </c>
      <c r="D594" s="25" t="str">
        <f t="shared" si="864"/>
        <v>Mujeres</v>
      </c>
      <c r="E594" s="19">
        <v>15</v>
      </c>
      <c r="F594" s="18" t="s">
        <v>1541</v>
      </c>
      <c r="G594" s="18" t="s">
        <v>3762</v>
      </c>
      <c r="H594" s="35" t="s">
        <v>16</v>
      </c>
      <c r="I594" s="36" t="s">
        <v>382</v>
      </c>
      <c r="J594" s="9" t="str">
        <f t="shared" ref="J594:N594" si="865">+J593</f>
        <v>Región</v>
      </c>
      <c r="K594" s="9" t="str">
        <f t="shared" si="865"/>
        <v>Cantidad de víctimas por edad</v>
      </c>
      <c r="L594" s="9" t="str">
        <f t="shared" si="865"/>
        <v>Periodo 2010-2021</v>
      </c>
      <c r="M594" s="9" t="str">
        <f t="shared" si="865"/>
        <v>Número de víctimas</v>
      </c>
      <c r="N594" s="40" t="str">
        <f t="shared" si="865"/>
        <v>POR DEFINIR</v>
      </c>
      <c r="O594" s="20" t="str">
        <f>+"Edad de Víctimas de Femicidios en la "&amp;I594&amp;" para el "&amp;Agencia[[#This Row],[temporalidad]]</f>
        <v>Edad de Víctimas de Femicidios en la Región de Arica y Parinacota para el Periodo 2010-2021</v>
      </c>
      <c r="P594" s="20"/>
      <c r="Q594" s="11" t="str">
        <f t="shared" si="852"/>
        <v>Gráfico</v>
      </c>
      <c r="R594" s="87" t="str">
        <f>Agencia[[#This Row],[territorio]]&amp;" femicidio edad víctima mujer"</f>
        <v>Región de Arica y Parinacota femicidio edad víctima mujer</v>
      </c>
      <c r="S594" s="22" t="s">
        <v>423</v>
      </c>
      <c r="T594" s="68" t="str">
        <f>"100-R-"&amp;Agencia[[#This Row],[Filtro URL]]</f>
        <v>100-R-15</v>
      </c>
      <c r="U594" s="50" t="str">
        <f t="shared" si="853"/>
        <v>#1774B9</v>
      </c>
      <c r="V594" s="118" t="str">
        <f>+Agencia[[#This Row],[idcoleccion]]&amp;"-"&amp;Agencia[[#This Row],[id]]</f>
        <v>990-0583</v>
      </c>
      <c r="W594" s="118">
        <f>+VLOOKUP(Agencia[[#This Row],[Filtro URL]],Estructura!$X$4:$Y$500,2,0)</f>
        <v>99200015</v>
      </c>
      <c r="X594" s="118" t="str">
        <f>+VLOOKUP(Agencia[[#This Row],[tema]],Estructura!$A$4:$C$500,3,0)</f>
        <v>T-1044</v>
      </c>
      <c r="Y594" s="118" t="str">
        <f>+VLOOKUP(Agencia[[#This Row],[contenido]],Estructura!$E$4:$G$500,3,0)</f>
        <v>C-996</v>
      </c>
      <c r="Z594" s="118" t="str">
        <f>+VLOOKUP(Agencia[[#This Row],[Filtro Integrado]],Estructura!$I$4:$K$500,3,0)</f>
        <v>FI-992</v>
      </c>
      <c r="AA594" s="118" t="str">
        <f>+VLOOKUP(Agencia[[#This Row],[Muestra]],Estructura!$M$4:$O$500,3,0)</f>
        <v>M-1047</v>
      </c>
    </row>
    <row r="595" spans="1:27" ht="24" x14ac:dyDescent="0.3">
      <c r="A595" s="21" t="s">
        <v>1187</v>
      </c>
      <c r="B595" s="24">
        <f t="shared" ref="B595:D595" si="866">+B594</f>
        <v>990</v>
      </c>
      <c r="C595" s="25" t="str">
        <f t="shared" si="866"/>
        <v>Agencia Información</v>
      </c>
      <c r="D595" s="25" t="str">
        <f t="shared" si="866"/>
        <v>Mujeres</v>
      </c>
      <c r="E595" s="19">
        <v>16</v>
      </c>
      <c r="F595" s="18" t="s">
        <v>1541</v>
      </c>
      <c r="G595" s="18" t="s">
        <v>3762</v>
      </c>
      <c r="H595" s="35" t="s">
        <v>16</v>
      </c>
      <c r="I595" s="36" t="s">
        <v>383</v>
      </c>
      <c r="J595" s="9" t="str">
        <f t="shared" ref="J595:N595" si="867">+J594</f>
        <v>Región</v>
      </c>
      <c r="K595" s="9" t="str">
        <f t="shared" si="867"/>
        <v>Cantidad de víctimas por edad</v>
      </c>
      <c r="L595" s="9" t="str">
        <f t="shared" si="867"/>
        <v>Periodo 2010-2021</v>
      </c>
      <c r="M595" s="9" t="str">
        <f t="shared" si="867"/>
        <v>Número de víctimas</v>
      </c>
      <c r="N595" s="40" t="str">
        <f t="shared" si="867"/>
        <v>POR DEFINIR</v>
      </c>
      <c r="O595" s="20" t="str">
        <f>+"Edad de Víctimas de Femicidios en la "&amp;I595&amp;" para el "&amp;Agencia[[#This Row],[temporalidad]]</f>
        <v>Edad de Víctimas de Femicidios en la Región de Ñuble para el Periodo 2010-2021</v>
      </c>
      <c r="P595" s="20"/>
      <c r="Q595" s="11" t="str">
        <f t="shared" si="852"/>
        <v>Gráfico</v>
      </c>
      <c r="R595" s="87" t="str">
        <f>Agencia[[#This Row],[territorio]]&amp;" femicidio edad víctima mujer"</f>
        <v>Región de Ñuble femicidio edad víctima mujer</v>
      </c>
      <c r="S595" s="22" t="s">
        <v>423</v>
      </c>
      <c r="T595" s="68" t="str">
        <f>"100-R-"&amp;Agencia[[#This Row],[Filtro URL]]</f>
        <v>100-R-16</v>
      </c>
      <c r="U595" s="50" t="str">
        <f t="shared" si="853"/>
        <v>#1774B9</v>
      </c>
      <c r="V595" s="118" t="str">
        <f>+Agencia[[#This Row],[idcoleccion]]&amp;"-"&amp;Agencia[[#This Row],[id]]</f>
        <v>990-0584</v>
      </c>
      <c r="W595" s="118">
        <f>+VLOOKUP(Agencia[[#This Row],[Filtro URL]],Estructura!$X$4:$Y$500,2,0)</f>
        <v>99200016</v>
      </c>
      <c r="X595" s="118" t="str">
        <f>+VLOOKUP(Agencia[[#This Row],[tema]],Estructura!$A$4:$C$500,3,0)</f>
        <v>T-1044</v>
      </c>
      <c r="Y595" s="118" t="str">
        <f>+VLOOKUP(Agencia[[#This Row],[contenido]],Estructura!$E$4:$G$500,3,0)</f>
        <v>C-996</v>
      </c>
      <c r="Z595" s="118" t="str">
        <f>+VLOOKUP(Agencia[[#This Row],[Filtro Integrado]],Estructura!$I$4:$K$500,3,0)</f>
        <v>FI-992</v>
      </c>
      <c r="AA595" s="118" t="str">
        <f>+VLOOKUP(Agencia[[#This Row],[Muestra]],Estructura!$M$4:$O$500,3,0)</f>
        <v>M-1047</v>
      </c>
    </row>
    <row r="596" spans="1:27" ht="48" x14ac:dyDescent="0.3">
      <c r="A596" s="21" t="s">
        <v>1188</v>
      </c>
      <c r="B596" s="24">
        <f t="shared" ref="B596:C596" si="868">+B595</f>
        <v>990</v>
      </c>
      <c r="C596" s="25" t="str">
        <f t="shared" si="868"/>
        <v>Agencia Información</v>
      </c>
      <c r="D596" s="25" t="s">
        <v>462</v>
      </c>
      <c r="E596" s="14">
        <v>0</v>
      </c>
      <c r="F596" s="18" t="s">
        <v>1541</v>
      </c>
      <c r="G596" s="18" t="s">
        <v>3762</v>
      </c>
      <c r="H596" s="33" t="s">
        <v>20</v>
      </c>
      <c r="I596" s="34" t="s">
        <v>15</v>
      </c>
      <c r="J596" s="9" t="s">
        <v>16</v>
      </c>
      <c r="K596" s="9" t="s">
        <v>1548</v>
      </c>
      <c r="L596" s="9" t="s">
        <v>1462</v>
      </c>
      <c r="M596" s="9" t="s">
        <v>1543</v>
      </c>
      <c r="N596" s="38" t="s">
        <v>1547</v>
      </c>
      <c r="O596" s="20" t="str">
        <f>+"Relación Víctima-Femicida en "&amp;I596&amp;" para el "&amp;Agencia[[#This Row],[temporalidad]]</f>
        <v>Relación Víctima-Femicida en Chile para el Periodo 2010-2021</v>
      </c>
      <c r="P596" s="20" t="s">
        <v>1546</v>
      </c>
      <c r="Q596" s="11" t="s">
        <v>596</v>
      </c>
      <c r="R596" s="20" t="str">
        <f>Agencia[[#This Row],[territorio]]&amp;" femicidio víctima mujer conviviente cónyuge pareja ex relación femicida"</f>
        <v>Chile femicidio víctima mujer conviviente cónyuge pareja ex relación femicida</v>
      </c>
      <c r="S596" s="39" t="s">
        <v>1549</v>
      </c>
      <c r="T596" s="68" t="s">
        <v>855</v>
      </c>
      <c r="U596" s="50" t="str">
        <f t="shared" si="853"/>
        <v>#1774B9</v>
      </c>
      <c r="V596" s="118" t="str">
        <f>+Agencia[[#This Row],[idcoleccion]]&amp;"-"&amp;Agencia[[#This Row],[id]]</f>
        <v>990-0585</v>
      </c>
      <c r="W596" s="118">
        <f>+VLOOKUP(Agencia[[#This Row],[Filtro URL]],Estructura!$X$4:$Y$500,2,0)</f>
        <v>99100000</v>
      </c>
      <c r="X596" s="118" t="str">
        <f>+VLOOKUP(Agencia[[#This Row],[tema]],Estructura!$A$4:$C$500,3,0)</f>
        <v>T-1044</v>
      </c>
      <c r="Y596" s="118" t="str">
        <f>+VLOOKUP(Agencia[[#This Row],[contenido]],Estructura!$E$4:$G$500,3,0)</f>
        <v>C-996</v>
      </c>
      <c r="Z596" s="118" t="str">
        <f>+VLOOKUP(Agencia[[#This Row],[Filtro Integrado]],Estructura!$I$4:$K$500,3,0)</f>
        <v>FI-992</v>
      </c>
      <c r="AA596" s="118" t="str">
        <f>+VLOOKUP(Agencia[[#This Row],[Muestra]],Estructura!$M$4:$O$500,3,0)</f>
        <v>M-1048</v>
      </c>
    </row>
    <row r="597" spans="1:27" ht="48" x14ac:dyDescent="0.3">
      <c r="A597" s="21" t="s">
        <v>1189</v>
      </c>
      <c r="B597" s="24">
        <f t="shared" ref="B597:D597" si="869">+B596</f>
        <v>990</v>
      </c>
      <c r="C597" s="25" t="str">
        <f t="shared" si="869"/>
        <v>Agencia Información</v>
      </c>
      <c r="D597" s="25" t="str">
        <f t="shared" si="869"/>
        <v>Mujeres</v>
      </c>
      <c r="E597" s="19">
        <v>1</v>
      </c>
      <c r="F597" s="18" t="s">
        <v>1541</v>
      </c>
      <c r="G597" s="18" t="s">
        <v>3762</v>
      </c>
      <c r="H597" s="35" t="s">
        <v>16</v>
      </c>
      <c r="I597" s="36" t="s">
        <v>368</v>
      </c>
      <c r="J597" s="9" t="s">
        <v>404</v>
      </c>
      <c r="K597" s="9" t="str">
        <f t="shared" ref="K597:N597" si="870">+K596</f>
        <v xml:space="preserve">Cantidad de víctimas por relación con el femicida </v>
      </c>
      <c r="L597" s="9" t="str">
        <f t="shared" si="870"/>
        <v>Periodo 2010-2021</v>
      </c>
      <c r="M597" s="9" t="str">
        <f t="shared" si="870"/>
        <v>Número de víctimas</v>
      </c>
      <c r="N597" s="38" t="str">
        <f t="shared" si="870"/>
        <v>Red Chilena contra la violencia hacia la Mujer</v>
      </c>
      <c r="O597" s="20" t="str">
        <f>+"Relación Víctima-Femicida en la "&amp;I597&amp;" para el "&amp;Agencia[[#This Row],[temporalidad]]</f>
        <v>Relación Víctima-Femicida en la Región de Tarapacá para el Periodo 2010-2021</v>
      </c>
      <c r="P597" s="20"/>
      <c r="Q597" s="11" t="str">
        <f t="shared" si="852"/>
        <v>Nube de palabras</v>
      </c>
      <c r="R597" s="87" t="str">
        <f>Agencia[[#This Row],[territorio]]&amp;" femicidio víctima mujer conviviente cónyuge pareja ex relación femicida"</f>
        <v>Región de Tarapacá femicidio víctima mujer conviviente cónyuge pareja ex relación femicida</v>
      </c>
      <c r="S597" s="22" t="s">
        <v>423</v>
      </c>
      <c r="T597" s="68" t="str">
        <f>"100-R-"&amp;Agencia[[#This Row],[Filtro URL]]</f>
        <v>100-R-1</v>
      </c>
      <c r="U597" s="50" t="str">
        <f t="shared" si="853"/>
        <v>#1774B9</v>
      </c>
      <c r="V597" s="118" t="str">
        <f>+Agencia[[#This Row],[idcoleccion]]&amp;"-"&amp;Agencia[[#This Row],[id]]</f>
        <v>990-0586</v>
      </c>
      <c r="W597" s="118">
        <f>+VLOOKUP(Agencia[[#This Row],[Filtro URL]],Estructura!$X$4:$Y$500,2,0)</f>
        <v>99200001</v>
      </c>
      <c r="X597" s="118" t="str">
        <f>+VLOOKUP(Agencia[[#This Row],[tema]],Estructura!$A$4:$C$500,3,0)</f>
        <v>T-1044</v>
      </c>
      <c r="Y597" s="118" t="str">
        <f>+VLOOKUP(Agencia[[#This Row],[contenido]],Estructura!$E$4:$G$500,3,0)</f>
        <v>C-996</v>
      </c>
      <c r="Z597" s="118" t="str">
        <f>+VLOOKUP(Agencia[[#This Row],[Filtro Integrado]],Estructura!$I$4:$K$500,3,0)</f>
        <v>FI-993</v>
      </c>
      <c r="AA597" s="118" t="str">
        <f>+VLOOKUP(Agencia[[#This Row],[Muestra]],Estructura!$M$4:$O$500,3,0)</f>
        <v>M-1048</v>
      </c>
    </row>
    <row r="598" spans="1:27" ht="48" x14ac:dyDescent="0.3">
      <c r="A598" s="21" t="s">
        <v>1190</v>
      </c>
      <c r="B598" s="24">
        <f t="shared" ref="B598:D598" si="871">+B597</f>
        <v>990</v>
      </c>
      <c r="C598" s="25" t="str">
        <f t="shared" si="871"/>
        <v>Agencia Información</v>
      </c>
      <c r="D598" s="25" t="str">
        <f t="shared" si="871"/>
        <v>Mujeres</v>
      </c>
      <c r="E598" s="19">
        <v>2</v>
      </c>
      <c r="F598" s="18" t="s">
        <v>1541</v>
      </c>
      <c r="G598" s="18" t="s">
        <v>3762</v>
      </c>
      <c r="H598" s="35" t="s">
        <v>16</v>
      </c>
      <c r="I598" s="36" t="s">
        <v>369</v>
      </c>
      <c r="J598" s="9" t="str">
        <f t="shared" ref="J598:N598" si="872">+J597</f>
        <v>Ninguno</v>
      </c>
      <c r="K598" s="9" t="str">
        <f t="shared" si="872"/>
        <v xml:space="preserve">Cantidad de víctimas por relación con el femicida </v>
      </c>
      <c r="L598" s="9" t="str">
        <f t="shared" si="872"/>
        <v>Periodo 2010-2021</v>
      </c>
      <c r="M598" s="9" t="str">
        <f t="shared" si="872"/>
        <v>Número de víctimas</v>
      </c>
      <c r="N598" s="38" t="str">
        <f t="shared" si="872"/>
        <v>Red Chilena contra la violencia hacia la Mujer</v>
      </c>
      <c r="O598" s="20" t="str">
        <f>+"Relación Víctima-Femicida en la "&amp;I598&amp;" para el "&amp;Agencia[[#This Row],[temporalidad]]</f>
        <v>Relación Víctima-Femicida en la Región de Antofagasta para el Periodo 2010-2021</v>
      </c>
      <c r="P598" s="20"/>
      <c r="Q598" s="11" t="str">
        <f t="shared" si="852"/>
        <v>Nube de palabras</v>
      </c>
      <c r="R598" s="87" t="str">
        <f>Agencia[[#This Row],[territorio]]&amp;" femicidio víctima mujer conviviente cónyuge pareja ex relación femicida"</f>
        <v>Región de Antofagasta femicidio víctima mujer conviviente cónyuge pareja ex relación femicida</v>
      </c>
      <c r="S598" s="22" t="s">
        <v>423</v>
      </c>
      <c r="T598" s="68" t="str">
        <f>"100-R-"&amp;Agencia[[#This Row],[Filtro URL]]</f>
        <v>100-R-2</v>
      </c>
      <c r="U598" s="50" t="str">
        <f t="shared" si="853"/>
        <v>#1774B9</v>
      </c>
      <c r="V598" s="118" t="str">
        <f>+Agencia[[#This Row],[idcoleccion]]&amp;"-"&amp;Agencia[[#This Row],[id]]</f>
        <v>990-0587</v>
      </c>
      <c r="W598" s="118">
        <f>+VLOOKUP(Agencia[[#This Row],[Filtro URL]],Estructura!$X$4:$Y$500,2,0)</f>
        <v>99200002</v>
      </c>
      <c r="X598" s="118" t="str">
        <f>+VLOOKUP(Agencia[[#This Row],[tema]],Estructura!$A$4:$C$500,3,0)</f>
        <v>T-1044</v>
      </c>
      <c r="Y598" s="118" t="str">
        <f>+VLOOKUP(Agencia[[#This Row],[contenido]],Estructura!$E$4:$G$500,3,0)</f>
        <v>C-996</v>
      </c>
      <c r="Z598" s="118" t="str">
        <f>+VLOOKUP(Agencia[[#This Row],[Filtro Integrado]],Estructura!$I$4:$K$500,3,0)</f>
        <v>FI-993</v>
      </c>
      <c r="AA598" s="118" t="str">
        <f>+VLOOKUP(Agencia[[#This Row],[Muestra]],Estructura!$M$4:$O$500,3,0)</f>
        <v>M-1048</v>
      </c>
    </row>
    <row r="599" spans="1:27" ht="48" x14ac:dyDescent="0.3">
      <c r="A599" s="21" t="s">
        <v>1191</v>
      </c>
      <c r="B599" s="24">
        <f t="shared" ref="B599:D599" si="873">+B598</f>
        <v>990</v>
      </c>
      <c r="C599" s="25" t="str">
        <f t="shared" si="873"/>
        <v>Agencia Información</v>
      </c>
      <c r="D599" s="25" t="str">
        <f t="shared" si="873"/>
        <v>Mujeres</v>
      </c>
      <c r="E599" s="19">
        <v>3</v>
      </c>
      <c r="F599" s="18" t="s">
        <v>1541</v>
      </c>
      <c r="G599" s="18" t="s">
        <v>3762</v>
      </c>
      <c r="H599" s="35" t="s">
        <v>16</v>
      </c>
      <c r="I599" s="36" t="s">
        <v>370</v>
      </c>
      <c r="J599" s="9" t="str">
        <f t="shared" ref="J599:N599" si="874">+J598</f>
        <v>Ninguno</v>
      </c>
      <c r="K599" s="9" t="str">
        <f t="shared" si="874"/>
        <v xml:space="preserve">Cantidad de víctimas por relación con el femicida </v>
      </c>
      <c r="L599" s="9" t="str">
        <f t="shared" si="874"/>
        <v>Periodo 2010-2021</v>
      </c>
      <c r="M599" s="9" t="str">
        <f t="shared" si="874"/>
        <v>Número de víctimas</v>
      </c>
      <c r="N599" s="38" t="str">
        <f t="shared" si="874"/>
        <v>Red Chilena contra la violencia hacia la Mujer</v>
      </c>
      <c r="O599" s="20" t="str">
        <f>+"Relación Víctima-Femicida en la "&amp;I599&amp;" para el "&amp;Agencia[[#This Row],[temporalidad]]</f>
        <v>Relación Víctima-Femicida en la Región de Atacama para el Periodo 2010-2021</v>
      </c>
      <c r="P599" s="20"/>
      <c r="Q599" s="11" t="str">
        <f t="shared" si="852"/>
        <v>Nube de palabras</v>
      </c>
      <c r="R599" s="87" t="str">
        <f>Agencia[[#This Row],[territorio]]&amp;" femicidio víctima mujer conviviente cónyuge pareja ex relación femicida"</f>
        <v>Región de Atacama femicidio víctima mujer conviviente cónyuge pareja ex relación femicida</v>
      </c>
      <c r="S599" s="22" t="s">
        <v>423</v>
      </c>
      <c r="T599" s="68" t="str">
        <f>"100-R-"&amp;Agencia[[#This Row],[Filtro URL]]</f>
        <v>100-R-3</v>
      </c>
      <c r="U599" s="50" t="str">
        <f t="shared" si="853"/>
        <v>#1774B9</v>
      </c>
      <c r="V599" s="118" t="str">
        <f>+Agencia[[#This Row],[idcoleccion]]&amp;"-"&amp;Agencia[[#This Row],[id]]</f>
        <v>990-0588</v>
      </c>
      <c r="W599" s="118">
        <f>+VLOOKUP(Agencia[[#This Row],[Filtro URL]],Estructura!$X$4:$Y$500,2,0)</f>
        <v>99200003</v>
      </c>
      <c r="X599" s="118" t="str">
        <f>+VLOOKUP(Agencia[[#This Row],[tema]],Estructura!$A$4:$C$500,3,0)</f>
        <v>T-1044</v>
      </c>
      <c r="Y599" s="118" t="str">
        <f>+VLOOKUP(Agencia[[#This Row],[contenido]],Estructura!$E$4:$G$500,3,0)</f>
        <v>C-996</v>
      </c>
      <c r="Z599" s="118" t="str">
        <f>+VLOOKUP(Agencia[[#This Row],[Filtro Integrado]],Estructura!$I$4:$K$500,3,0)</f>
        <v>FI-993</v>
      </c>
      <c r="AA599" s="118" t="str">
        <f>+VLOOKUP(Agencia[[#This Row],[Muestra]],Estructura!$M$4:$O$500,3,0)</f>
        <v>M-1048</v>
      </c>
    </row>
    <row r="600" spans="1:27" ht="48" x14ac:dyDescent="0.3">
      <c r="A600" s="21" t="s">
        <v>1192</v>
      </c>
      <c r="B600" s="24">
        <f t="shared" ref="B600:D600" si="875">+B599</f>
        <v>990</v>
      </c>
      <c r="C600" s="25" t="str">
        <f t="shared" si="875"/>
        <v>Agencia Información</v>
      </c>
      <c r="D600" s="25" t="str">
        <f t="shared" si="875"/>
        <v>Mujeres</v>
      </c>
      <c r="E600" s="19">
        <v>4</v>
      </c>
      <c r="F600" s="18" t="s">
        <v>1541</v>
      </c>
      <c r="G600" s="18" t="s">
        <v>3762</v>
      </c>
      <c r="H600" s="35" t="s">
        <v>16</v>
      </c>
      <c r="I600" s="36" t="s">
        <v>371</v>
      </c>
      <c r="J600" s="9" t="str">
        <f t="shared" ref="J600:N600" si="876">+J599</f>
        <v>Ninguno</v>
      </c>
      <c r="K600" s="9" t="str">
        <f t="shared" si="876"/>
        <v xml:space="preserve">Cantidad de víctimas por relación con el femicida </v>
      </c>
      <c r="L600" s="9" t="str">
        <f t="shared" si="876"/>
        <v>Periodo 2010-2021</v>
      </c>
      <c r="M600" s="9" t="str">
        <f t="shared" si="876"/>
        <v>Número de víctimas</v>
      </c>
      <c r="N600" s="38" t="str">
        <f t="shared" si="876"/>
        <v>Red Chilena contra la violencia hacia la Mujer</v>
      </c>
      <c r="O600" s="20" t="str">
        <f>+"Relación Víctima-Femicida en la "&amp;I600&amp;" para el "&amp;Agencia[[#This Row],[temporalidad]]</f>
        <v>Relación Víctima-Femicida en la Región de Coquimbo para el Periodo 2010-2021</v>
      </c>
      <c r="P600" s="20"/>
      <c r="Q600" s="11" t="str">
        <f t="shared" si="852"/>
        <v>Nube de palabras</v>
      </c>
      <c r="R600" s="87" t="str">
        <f>Agencia[[#This Row],[territorio]]&amp;" femicidio víctima mujer conviviente cónyuge pareja ex relación femicida"</f>
        <v>Región de Coquimbo femicidio víctima mujer conviviente cónyuge pareja ex relación femicida</v>
      </c>
      <c r="S600" s="22" t="s">
        <v>423</v>
      </c>
      <c r="T600" s="68" t="str">
        <f>"100-R-"&amp;Agencia[[#This Row],[Filtro URL]]</f>
        <v>100-R-4</v>
      </c>
      <c r="U600" s="50" t="str">
        <f t="shared" si="853"/>
        <v>#1774B9</v>
      </c>
      <c r="V600" s="118" t="str">
        <f>+Agencia[[#This Row],[idcoleccion]]&amp;"-"&amp;Agencia[[#This Row],[id]]</f>
        <v>990-0589</v>
      </c>
      <c r="W600" s="118">
        <f>+VLOOKUP(Agencia[[#This Row],[Filtro URL]],Estructura!$X$4:$Y$500,2,0)</f>
        <v>99200004</v>
      </c>
      <c r="X600" s="118" t="str">
        <f>+VLOOKUP(Agencia[[#This Row],[tema]],Estructura!$A$4:$C$500,3,0)</f>
        <v>T-1044</v>
      </c>
      <c r="Y600" s="118" t="str">
        <f>+VLOOKUP(Agencia[[#This Row],[contenido]],Estructura!$E$4:$G$500,3,0)</f>
        <v>C-996</v>
      </c>
      <c r="Z600" s="118" t="str">
        <f>+VLOOKUP(Agencia[[#This Row],[Filtro Integrado]],Estructura!$I$4:$K$500,3,0)</f>
        <v>FI-993</v>
      </c>
      <c r="AA600" s="118" t="str">
        <f>+VLOOKUP(Agencia[[#This Row],[Muestra]],Estructura!$M$4:$O$500,3,0)</f>
        <v>M-1048</v>
      </c>
    </row>
    <row r="601" spans="1:27" ht="48" x14ac:dyDescent="0.3">
      <c r="A601" s="21" t="s">
        <v>1193</v>
      </c>
      <c r="B601" s="24">
        <f t="shared" ref="B601:D601" si="877">+B600</f>
        <v>990</v>
      </c>
      <c r="C601" s="25" t="str">
        <f t="shared" si="877"/>
        <v>Agencia Información</v>
      </c>
      <c r="D601" s="25" t="str">
        <f t="shared" si="877"/>
        <v>Mujeres</v>
      </c>
      <c r="E601" s="19">
        <v>5</v>
      </c>
      <c r="F601" s="18" t="s">
        <v>1541</v>
      </c>
      <c r="G601" s="18" t="s">
        <v>3762</v>
      </c>
      <c r="H601" s="35" t="s">
        <v>16</v>
      </c>
      <c r="I601" s="36" t="s">
        <v>372</v>
      </c>
      <c r="J601" s="9" t="str">
        <f t="shared" ref="J601:N601" si="878">+J600</f>
        <v>Ninguno</v>
      </c>
      <c r="K601" s="9" t="str">
        <f t="shared" si="878"/>
        <v xml:space="preserve">Cantidad de víctimas por relación con el femicida </v>
      </c>
      <c r="L601" s="9" t="str">
        <f t="shared" si="878"/>
        <v>Periodo 2010-2021</v>
      </c>
      <c r="M601" s="9" t="str">
        <f t="shared" si="878"/>
        <v>Número de víctimas</v>
      </c>
      <c r="N601" s="38" t="str">
        <f t="shared" si="878"/>
        <v>Red Chilena contra la violencia hacia la Mujer</v>
      </c>
      <c r="O601" s="20" t="str">
        <f>+"Relación Víctima-Femicida en la "&amp;I601&amp;" para el "&amp;Agencia[[#This Row],[temporalidad]]</f>
        <v>Relación Víctima-Femicida en la Región de Valparaíso para el Periodo 2010-2021</v>
      </c>
      <c r="P601" s="20"/>
      <c r="Q601" s="11" t="str">
        <f t="shared" si="852"/>
        <v>Nube de palabras</v>
      </c>
      <c r="R601" s="87" t="str">
        <f>Agencia[[#This Row],[territorio]]&amp;" femicidio víctima mujer conviviente cónyuge pareja ex relación femicida"</f>
        <v>Región de Valparaíso femicidio víctima mujer conviviente cónyuge pareja ex relación femicida</v>
      </c>
      <c r="S601" s="22" t="s">
        <v>423</v>
      </c>
      <c r="T601" s="68" t="str">
        <f>"100-R-"&amp;Agencia[[#This Row],[Filtro URL]]</f>
        <v>100-R-5</v>
      </c>
      <c r="U601" s="50" t="str">
        <f t="shared" si="853"/>
        <v>#1774B9</v>
      </c>
      <c r="V601" s="118" t="str">
        <f>+Agencia[[#This Row],[idcoleccion]]&amp;"-"&amp;Agencia[[#This Row],[id]]</f>
        <v>990-0590</v>
      </c>
      <c r="W601" s="118">
        <f>+VLOOKUP(Agencia[[#This Row],[Filtro URL]],Estructura!$X$4:$Y$500,2,0)</f>
        <v>99200005</v>
      </c>
      <c r="X601" s="118" t="str">
        <f>+VLOOKUP(Agencia[[#This Row],[tema]],Estructura!$A$4:$C$500,3,0)</f>
        <v>T-1044</v>
      </c>
      <c r="Y601" s="118" t="str">
        <f>+VLOOKUP(Agencia[[#This Row],[contenido]],Estructura!$E$4:$G$500,3,0)</f>
        <v>C-996</v>
      </c>
      <c r="Z601" s="118" t="str">
        <f>+VLOOKUP(Agencia[[#This Row],[Filtro Integrado]],Estructura!$I$4:$K$500,3,0)</f>
        <v>FI-993</v>
      </c>
      <c r="AA601" s="118" t="str">
        <f>+VLOOKUP(Agencia[[#This Row],[Muestra]],Estructura!$M$4:$O$500,3,0)</f>
        <v>M-1048</v>
      </c>
    </row>
    <row r="602" spans="1:27" ht="48" x14ac:dyDescent="0.3">
      <c r="A602" s="21" t="s">
        <v>1194</v>
      </c>
      <c r="B602" s="24">
        <f t="shared" ref="B602:D602" si="879">+B601</f>
        <v>990</v>
      </c>
      <c r="C602" s="25" t="str">
        <f t="shared" si="879"/>
        <v>Agencia Información</v>
      </c>
      <c r="D602" s="25" t="str">
        <f t="shared" si="879"/>
        <v>Mujeres</v>
      </c>
      <c r="E602" s="19">
        <v>6</v>
      </c>
      <c r="F602" s="18" t="s">
        <v>1541</v>
      </c>
      <c r="G602" s="18" t="s">
        <v>3762</v>
      </c>
      <c r="H602" s="35" t="s">
        <v>16</v>
      </c>
      <c r="I602" s="36" t="s">
        <v>373</v>
      </c>
      <c r="J602" s="9" t="str">
        <f t="shared" ref="J602:N602" si="880">+J601</f>
        <v>Ninguno</v>
      </c>
      <c r="K602" s="9" t="str">
        <f t="shared" si="880"/>
        <v xml:space="preserve">Cantidad de víctimas por relación con el femicida </v>
      </c>
      <c r="L602" s="9" t="str">
        <f t="shared" si="880"/>
        <v>Periodo 2010-2021</v>
      </c>
      <c r="M602" s="9" t="str">
        <f t="shared" si="880"/>
        <v>Número de víctimas</v>
      </c>
      <c r="N602" s="38" t="str">
        <f t="shared" si="880"/>
        <v>Red Chilena contra la violencia hacia la Mujer</v>
      </c>
      <c r="O602" s="20" t="str">
        <f>+"Relación Víctima-Femicida en la "&amp;I602&amp;" para el "&amp;Agencia[[#This Row],[temporalidad]]</f>
        <v>Relación Víctima-Femicida en la Región de O'Higgins para el Periodo 2010-2021</v>
      </c>
      <c r="P602" s="20"/>
      <c r="Q602" s="11" t="str">
        <f t="shared" si="852"/>
        <v>Nube de palabras</v>
      </c>
      <c r="R602" s="87" t="str">
        <f>Agencia[[#This Row],[territorio]]&amp;" femicidio víctima mujer conviviente cónyuge pareja ex relación femicida"</f>
        <v>Región de O'Higgins femicidio víctima mujer conviviente cónyuge pareja ex relación femicida</v>
      </c>
      <c r="S602" s="22" t="s">
        <v>423</v>
      </c>
      <c r="T602" s="68" t="str">
        <f>"100-R-"&amp;Agencia[[#This Row],[Filtro URL]]</f>
        <v>100-R-6</v>
      </c>
      <c r="U602" s="50" t="str">
        <f t="shared" si="853"/>
        <v>#1774B9</v>
      </c>
      <c r="V602" s="118" t="str">
        <f>+Agencia[[#This Row],[idcoleccion]]&amp;"-"&amp;Agencia[[#This Row],[id]]</f>
        <v>990-0591</v>
      </c>
      <c r="W602" s="118">
        <f>+VLOOKUP(Agencia[[#This Row],[Filtro URL]],Estructura!$X$4:$Y$500,2,0)</f>
        <v>99200006</v>
      </c>
      <c r="X602" s="118" t="str">
        <f>+VLOOKUP(Agencia[[#This Row],[tema]],Estructura!$A$4:$C$500,3,0)</f>
        <v>T-1044</v>
      </c>
      <c r="Y602" s="118" t="str">
        <f>+VLOOKUP(Agencia[[#This Row],[contenido]],Estructura!$E$4:$G$500,3,0)</f>
        <v>C-996</v>
      </c>
      <c r="Z602" s="118" t="str">
        <f>+VLOOKUP(Agencia[[#This Row],[Filtro Integrado]],Estructura!$I$4:$K$500,3,0)</f>
        <v>FI-993</v>
      </c>
      <c r="AA602" s="118" t="str">
        <f>+VLOOKUP(Agencia[[#This Row],[Muestra]],Estructura!$M$4:$O$500,3,0)</f>
        <v>M-1048</v>
      </c>
    </row>
    <row r="603" spans="1:27" ht="48" x14ac:dyDescent="0.3">
      <c r="A603" s="21" t="s">
        <v>1195</v>
      </c>
      <c r="B603" s="24">
        <f t="shared" ref="B603:D603" si="881">+B602</f>
        <v>990</v>
      </c>
      <c r="C603" s="25" t="str">
        <f t="shared" si="881"/>
        <v>Agencia Información</v>
      </c>
      <c r="D603" s="25" t="str">
        <f t="shared" si="881"/>
        <v>Mujeres</v>
      </c>
      <c r="E603" s="19">
        <v>7</v>
      </c>
      <c r="F603" s="18" t="s">
        <v>1541</v>
      </c>
      <c r="G603" s="18" t="s">
        <v>3762</v>
      </c>
      <c r="H603" s="35" t="s">
        <v>16</v>
      </c>
      <c r="I603" s="36" t="s">
        <v>374</v>
      </c>
      <c r="J603" s="9" t="str">
        <f t="shared" ref="J603:N603" si="882">+J602</f>
        <v>Ninguno</v>
      </c>
      <c r="K603" s="9" t="str">
        <f t="shared" si="882"/>
        <v xml:space="preserve">Cantidad de víctimas por relación con el femicida </v>
      </c>
      <c r="L603" s="9" t="str">
        <f t="shared" si="882"/>
        <v>Periodo 2010-2021</v>
      </c>
      <c r="M603" s="9" t="str">
        <f t="shared" si="882"/>
        <v>Número de víctimas</v>
      </c>
      <c r="N603" s="38" t="str">
        <f t="shared" si="882"/>
        <v>Red Chilena contra la violencia hacia la Mujer</v>
      </c>
      <c r="O603" s="20" t="str">
        <f>+"Relación Víctima-Femicida en la "&amp;I603&amp;" para el "&amp;Agencia[[#This Row],[temporalidad]]</f>
        <v>Relación Víctima-Femicida en la Región de Maule para el Periodo 2010-2021</v>
      </c>
      <c r="P603" s="20"/>
      <c r="Q603" s="11" t="str">
        <f t="shared" si="852"/>
        <v>Nube de palabras</v>
      </c>
      <c r="R603" s="87" t="str">
        <f>Agencia[[#This Row],[territorio]]&amp;" femicidio víctima mujer conviviente cónyuge pareja ex relación femicida"</f>
        <v>Región de Maule femicidio víctima mujer conviviente cónyuge pareja ex relación femicida</v>
      </c>
      <c r="S603" s="22" t="s">
        <v>423</v>
      </c>
      <c r="T603" s="68" t="str">
        <f>"100-R-"&amp;Agencia[[#This Row],[Filtro URL]]</f>
        <v>100-R-7</v>
      </c>
      <c r="U603" s="50" t="str">
        <f t="shared" si="853"/>
        <v>#1774B9</v>
      </c>
      <c r="V603" s="118" t="str">
        <f>+Agencia[[#This Row],[idcoleccion]]&amp;"-"&amp;Agencia[[#This Row],[id]]</f>
        <v>990-0592</v>
      </c>
      <c r="W603" s="118">
        <f>+VLOOKUP(Agencia[[#This Row],[Filtro URL]],Estructura!$X$4:$Y$500,2,0)</f>
        <v>99200007</v>
      </c>
      <c r="X603" s="118" t="str">
        <f>+VLOOKUP(Agencia[[#This Row],[tema]],Estructura!$A$4:$C$500,3,0)</f>
        <v>T-1044</v>
      </c>
      <c r="Y603" s="118" t="str">
        <f>+VLOOKUP(Agencia[[#This Row],[contenido]],Estructura!$E$4:$G$500,3,0)</f>
        <v>C-996</v>
      </c>
      <c r="Z603" s="118" t="str">
        <f>+VLOOKUP(Agencia[[#This Row],[Filtro Integrado]],Estructura!$I$4:$K$500,3,0)</f>
        <v>FI-993</v>
      </c>
      <c r="AA603" s="118" t="str">
        <f>+VLOOKUP(Agencia[[#This Row],[Muestra]],Estructura!$M$4:$O$500,3,0)</f>
        <v>M-1048</v>
      </c>
    </row>
    <row r="604" spans="1:27" ht="48" x14ac:dyDescent="0.3">
      <c r="A604" s="21" t="s">
        <v>1196</v>
      </c>
      <c r="B604" s="24">
        <f t="shared" ref="B604:D604" si="883">+B603</f>
        <v>990</v>
      </c>
      <c r="C604" s="25" t="str">
        <f t="shared" si="883"/>
        <v>Agencia Información</v>
      </c>
      <c r="D604" s="25" t="str">
        <f t="shared" si="883"/>
        <v>Mujeres</v>
      </c>
      <c r="E604" s="19">
        <v>8</v>
      </c>
      <c r="F604" s="18" t="s">
        <v>1541</v>
      </c>
      <c r="G604" s="18" t="s">
        <v>3762</v>
      </c>
      <c r="H604" s="35" t="s">
        <v>16</v>
      </c>
      <c r="I604" s="36" t="s">
        <v>375</v>
      </c>
      <c r="J604" s="9" t="str">
        <f t="shared" ref="J604:N604" si="884">+J603</f>
        <v>Ninguno</v>
      </c>
      <c r="K604" s="9" t="str">
        <f t="shared" si="884"/>
        <v xml:space="preserve">Cantidad de víctimas por relación con el femicida </v>
      </c>
      <c r="L604" s="9" t="str">
        <f t="shared" si="884"/>
        <v>Periodo 2010-2021</v>
      </c>
      <c r="M604" s="9" t="str">
        <f t="shared" si="884"/>
        <v>Número de víctimas</v>
      </c>
      <c r="N604" s="38" t="str">
        <f t="shared" si="884"/>
        <v>Red Chilena contra la violencia hacia la Mujer</v>
      </c>
      <c r="O604" s="20" t="str">
        <f>+"Relación Víctima-Femicida en la "&amp;I604&amp;" para el "&amp;Agencia[[#This Row],[temporalidad]]</f>
        <v>Relación Víctima-Femicida en la Región del Biobío para el Periodo 2010-2021</v>
      </c>
      <c r="P604" s="20"/>
      <c r="Q604" s="11" t="str">
        <f t="shared" si="852"/>
        <v>Nube de palabras</v>
      </c>
      <c r="R604" s="87" t="str">
        <f>Agencia[[#This Row],[territorio]]&amp;" femicidio víctima mujer conviviente cónyuge pareja ex relación femicida"</f>
        <v>Región del Biobío femicidio víctima mujer conviviente cónyuge pareja ex relación femicida</v>
      </c>
      <c r="S604" s="22" t="s">
        <v>423</v>
      </c>
      <c r="T604" s="68" t="str">
        <f>"100-R-"&amp;Agencia[[#This Row],[Filtro URL]]</f>
        <v>100-R-8</v>
      </c>
      <c r="U604" s="50" t="str">
        <f t="shared" si="853"/>
        <v>#1774B9</v>
      </c>
      <c r="V604" s="118" t="str">
        <f>+Agencia[[#This Row],[idcoleccion]]&amp;"-"&amp;Agencia[[#This Row],[id]]</f>
        <v>990-0593</v>
      </c>
      <c r="W604" s="118">
        <f>+VLOOKUP(Agencia[[#This Row],[Filtro URL]],Estructura!$X$4:$Y$500,2,0)</f>
        <v>99200008</v>
      </c>
      <c r="X604" s="118" t="str">
        <f>+VLOOKUP(Agencia[[#This Row],[tema]],Estructura!$A$4:$C$500,3,0)</f>
        <v>T-1044</v>
      </c>
      <c r="Y604" s="118" t="str">
        <f>+VLOOKUP(Agencia[[#This Row],[contenido]],Estructura!$E$4:$G$500,3,0)</f>
        <v>C-996</v>
      </c>
      <c r="Z604" s="118" t="str">
        <f>+VLOOKUP(Agencia[[#This Row],[Filtro Integrado]],Estructura!$I$4:$K$500,3,0)</f>
        <v>FI-993</v>
      </c>
      <c r="AA604" s="118" t="str">
        <f>+VLOOKUP(Agencia[[#This Row],[Muestra]],Estructura!$M$4:$O$500,3,0)</f>
        <v>M-1048</v>
      </c>
    </row>
    <row r="605" spans="1:27" ht="48" x14ac:dyDescent="0.3">
      <c r="A605" s="21" t="s">
        <v>1197</v>
      </c>
      <c r="B605" s="24">
        <f t="shared" ref="B605:D605" si="885">+B604</f>
        <v>990</v>
      </c>
      <c r="C605" s="25" t="str">
        <f t="shared" si="885"/>
        <v>Agencia Información</v>
      </c>
      <c r="D605" s="25" t="str">
        <f t="shared" si="885"/>
        <v>Mujeres</v>
      </c>
      <c r="E605" s="19">
        <v>9</v>
      </c>
      <c r="F605" s="18" t="s">
        <v>1541</v>
      </c>
      <c r="G605" s="18" t="s">
        <v>3762</v>
      </c>
      <c r="H605" s="35" t="s">
        <v>16</v>
      </c>
      <c r="I605" s="36" t="s">
        <v>376</v>
      </c>
      <c r="J605" s="9" t="str">
        <f t="shared" ref="J605:N605" si="886">+J604</f>
        <v>Ninguno</v>
      </c>
      <c r="K605" s="9" t="str">
        <f t="shared" si="886"/>
        <v xml:space="preserve">Cantidad de víctimas por relación con el femicida </v>
      </c>
      <c r="L605" s="9" t="str">
        <f t="shared" si="886"/>
        <v>Periodo 2010-2021</v>
      </c>
      <c r="M605" s="9" t="str">
        <f t="shared" si="886"/>
        <v>Número de víctimas</v>
      </c>
      <c r="N605" s="38" t="str">
        <f t="shared" si="886"/>
        <v>Red Chilena contra la violencia hacia la Mujer</v>
      </c>
      <c r="O605" s="20" t="str">
        <f>+"Relación Víctima-Femicida en la "&amp;I605&amp;" para el "&amp;Agencia[[#This Row],[temporalidad]]</f>
        <v>Relación Víctima-Femicida en la Región de La Araucanía para el Periodo 2010-2021</v>
      </c>
      <c r="P605" s="20"/>
      <c r="Q605" s="11" t="str">
        <f t="shared" si="852"/>
        <v>Nube de palabras</v>
      </c>
      <c r="R605" s="87" t="str">
        <f>Agencia[[#This Row],[territorio]]&amp;" femicidio víctima mujer conviviente cónyuge pareja ex relación femicida"</f>
        <v>Región de La Araucanía femicidio víctima mujer conviviente cónyuge pareja ex relación femicida</v>
      </c>
      <c r="S605" s="22" t="s">
        <v>423</v>
      </c>
      <c r="T605" s="68" t="str">
        <f>"100-R-"&amp;Agencia[[#This Row],[Filtro URL]]</f>
        <v>100-R-9</v>
      </c>
      <c r="U605" s="50" t="str">
        <f t="shared" si="853"/>
        <v>#1774B9</v>
      </c>
      <c r="V605" s="118" t="str">
        <f>+Agencia[[#This Row],[idcoleccion]]&amp;"-"&amp;Agencia[[#This Row],[id]]</f>
        <v>990-0594</v>
      </c>
      <c r="W605" s="118">
        <f>+VLOOKUP(Agencia[[#This Row],[Filtro URL]],Estructura!$X$4:$Y$500,2,0)</f>
        <v>99200009</v>
      </c>
      <c r="X605" s="118" t="str">
        <f>+VLOOKUP(Agencia[[#This Row],[tema]],Estructura!$A$4:$C$500,3,0)</f>
        <v>T-1044</v>
      </c>
      <c r="Y605" s="118" t="str">
        <f>+VLOOKUP(Agencia[[#This Row],[contenido]],Estructura!$E$4:$G$500,3,0)</f>
        <v>C-996</v>
      </c>
      <c r="Z605" s="118" t="str">
        <f>+VLOOKUP(Agencia[[#This Row],[Filtro Integrado]],Estructura!$I$4:$K$500,3,0)</f>
        <v>FI-993</v>
      </c>
      <c r="AA605" s="118" t="str">
        <f>+VLOOKUP(Agencia[[#This Row],[Muestra]],Estructura!$M$4:$O$500,3,0)</f>
        <v>M-1048</v>
      </c>
    </row>
    <row r="606" spans="1:27" ht="48" x14ac:dyDescent="0.3">
      <c r="A606" s="21" t="s">
        <v>1198</v>
      </c>
      <c r="B606" s="24">
        <f t="shared" ref="B606:D606" si="887">+B605</f>
        <v>990</v>
      </c>
      <c r="C606" s="25" t="str">
        <f t="shared" si="887"/>
        <v>Agencia Información</v>
      </c>
      <c r="D606" s="25" t="str">
        <f t="shared" si="887"/>
        <v>Mujeres</v>
      </c>
      <c r="E606" s="19">
        <v>10</v>
      </c>
      <c r="F606" s="18" t="s">
        <v>1541</v>
      </c>
      <c r="G606" s="18" t="s">
        <v>3762</v>
      </c>
      <c r="H606" s="35" t="s">
        <v>16</v>
      </c>
      <c r="I606" s="36" t="s">
        <v>377</v>
      </c>
      <c r="J606" s="9" t="str">
        <f t="shared" ref="J606:N606" si="888">+J605</f>
        <v>Ninguno</v>
      </c>
      <c r="K606" s="9" t="str">
        <f t="shared" si="888"/>
        <v xml:space="preserve">Cantidad de víctimas por relación con el femicida </v>
      </c>
      <c r="L606" s="9" t="str">
        <f t="shared" si="888"/>
        <v>Periodo 2010-2021</v>
      </c>
      <c r="M606" s="9" t="str">
        <f t="shared" si="888"/>
        <v>Número de víctimas</v>
      </c>
      <c r="N606" s="38" t="str">
        <f t="shared" si="888"/>
        <v>Red Chilena contra la violencia hacia la Mujer</v>
      </c>
      <c r="O606" s="20" t="str">
        <f>+"Relación Víctima-Femicida en la "&amp;I606&amp;" para el "&amp;Agencia[[#This Row],[temporalidad]]</f>
        <v>Relación Víctima-Femicida en la Región de Los Lagos para el Periodo 2010-2021</v>
      </c>
      <c r="P606" s="20"/>
      <c r="Q606" s="11" t="str">
        <f t="shared" si="852"/>
        <v>Nube de palabras</v>
      </c>
      <c r="R606" s="87" t="str">
        <f>Agencia[[#This Row],[territorio]]&amp;" femicidio víctima mujer conviviente cónyuge pareja ex relación femicida"</f>
        <v>Región de Los Lagos femicidio víctima mujer conviviente cónyuge pareja ex relación femicida</v>
      </c>
      <c r="S606" s="22" t="s">
        <v>423</v>
      </c>
      <c r="T606" s="68" t="str">
        <f>"100-R-"&amp;Agencia[[#This Row],[Filtro URL]]</f>
        <v>100-R-10</v>
      </c>
      <c r="U606" s="50" t="str">
        <f t="shared" si="853"/>
        <v>#1774B9</v>
      </c>
      <c r="V606" s="118" t="str">
        <f>+Agencia[[#This Row],[idcoleccion]]&amp;"-"&amp;Agencia[[#This Row],[id]]</f>
        <v>990-0595</v>
      </c>
      <c r="W606" s="118">
        <f>+VLOOKUP(Agencia[[#This Row],[Filtro URL]],Estructura!$X$4:$Y$500,2,0)</f>
        <v>99200010</v>
      </c>
      <c r="X606" s="118" t="str">
        <f>+VLOOKUP(Agencia[[#This Row],[tema]],Estructura!$A$4:$C$500,3,0)</f>
        <v>T-1044</v>
      </c>
      <c r="Y606" s="118" t="str">
        <f>+VLOOKUP(Agencia[[#This Row],[contenido]],Estructura!$E$4:$G$500,3,0)</f>
        <v>C-996</v>
      </c>
      <c r="Z606" s="118" t="str">
        <f>+VLOOKUP(Agencia[[#This Row],[Filtro Integrado]],Estructura!$I$4:$K$500,3,0)</f>
        <v>FI-993</v>
      </c>
      <c r="AA606" s="118" t="str">
        <f>+VLOOKUP(Agencia[[#This Row],[Muestra]],Estructura!$M$4:$O$500,3,0)</f>
        <v>M-1048</v>
      </c>
    </row>
    <row r="607" spans="1:27" ht="48" x14ac:dyDescent="0.3">
      <c r="A607" s="21" t="s">
        <v>1199</v>
      </c>
      <c r="B607" s="24">
        <f t="shared" ref="B607:D607" si="889">+B606</f>
        <v>990</v>
      </c>
      <c r="C607" s="25" t="str">
        <f t="shared" si="889"/>
        <v>Agencia Información</v>
      </c>
      <c r="D607" s="25" t="str">
        <f t="shared" si="889"/>
        <v>Mujeres</v>
      </c>
      <c r="E607" s="19">
        <v>11</v>
      </c>
      <c r="F607" s="18" t="s">
        <v>1541</v>
      </c>
      <c r="G607" s="18" t="s">
        <v>3762</v>
      </c>
      <c r="H607" s="35" t="s">
        <v>16</v>
      </c>
      <c r="I607" s="36" t="s">
        <v>378</v>
      </c>
      <c r="J607" s="9" t="str">
        <f t="shared" ref="J607:N607" si="890">+J606</f>
        <v>Ninguno</v>
      </c>
      <c r="K607" s="9" t="str">
        <f t="shared" si="890"/>
        <v xml:space="preserve">Cantidad de víctimas por relación con el femicida </v>
      </c>
      <c r="L607" s="9" t="str">
        <f t="shared" si="890"/>
        <v>Periodo 2010-2021</v>
      </c>
      <c r="M607" s="9" t="str">
        <f t="shared" si="890"/>
        <v>Número de víctimas</v>
      </c>
      <c r="N607" s="38" t="str">
        <f t="shared" si="890"/>
        <v>Red Chilena contra la violencia hacia la Mujer</v>
      </c>
      <c r="O607" s="20" t="str">
        <f>+"Relación Víctima-Femicida en la "&amp;I607&amp;" para el "&amp;Agencia[[#This Row],[temporalidad]]</f>
        <v>Relación Víctima-Femicida en la Región de Aysén para el Periodo 2010-2021</v>
      </c>
      <c r="P607" s="20"/>
      <c r="Q607" s="11" t="str">
        <f t="shared" si="852"/>
        <v>Nube de palabras</v>
      </c>
      <c r="R607" s="87" t="str">
        <f>Agencia[[#This Row],[territorio]]&amp;" femicidio víctima mujer conviviente cónyuge pareja ex relación femicida"</f>
        <v>Región de Aysén femicidio víctima mujer conviviente cónyuge pareja ex relación femicida</v>
      </c>
      <c r="S607" s="22" t="s">
        <v>423</v>
      </c>
      <c r="T607" s="68" t="str">
        <f>"100-R-"&amp;Agencia[[#This Row],[Filtro URL]]</f>
        <v>100-R-11</v>
      </c>
      <c r="U607" s="50" t="str">
        <f t="shared" si="853"/>
        <v>#1774B9</v>
      </c>
      <c r="V607" s="118" t="str">
        <f>+Agencia[[#This Row],[idcoleccion]]&amp;"-"&amp;Agencia[[#This Row],[id]]</f>
        <v>990-0596</v>
      </c>
      <c r="W607" s="118">
        <f>+VLOOKUP(Agencia[[#This Row],[Filtro URL]],Estructura!$X$4:$Y$500,2,0)</f>
        <v>99200011</v>
      </c>
      <c r="X607" s="118" t="str">
        <f>+VLOOKUP(Agencia[[#This Row],[tema]],Estructura!$A$4:$C$500,3,0)</f>
        <v>T-1044</v>
      </c>
      <c r="Y607" s="118" t="str">
        <f>+VLOOKUP(Agencia[[#This Row],[contenido]],Estructura!$E$4:$G$500,3,0)</f>
        <v>C-996</v>
      </c>
      <c r="Z607" s="118" t="str">
        <f>+VLOOKUP(Agencia[[#This Row],[Filtro Integrado]],Estructura!$I$4:$K$500,3,0)</f>
        <v>FI-993</v>
      </c>
      <c r="AA607" s="118" t="str">
        <f>+VLOOKUP(Agencia[[#This Row],[Muestra]],Estructura!$M$4:$O$500,3,0)</f>
        <v>M-1048</v>
      </c>
    </row>
    <row r="608" spans="1:27" ht="48" x14ac:dyDescent="0.3">
      <c r="A608" s="21" t="s">
        <v>1200</v>
      </c>
      <c r="B608" s="24">
        <f t="shared" ref="B608:D608" si="891">+B607</f>
        <v>990</v>
      </c>
      <c r="C608" s="25" t="str">
        <f t="shared" si="891"/>
        <v>Agencia Información</v>
      </c>
      <c r="D608" s="25" t="str">
        <f t="shared" si="891"/>
        <v>Mujeres</v>
      </c>
      <c r="E608" s="19">
        <v>12</v>
      </c>
      <c r="F608" s="18" t="s">
        <v>1541</v>
      </c>
      <c r="G608" s="18" t="s">
        <v>3762</v>
      </c>
      <c r="H608" s="35" t="s">
        <v>16</v>
      </c>
      <c r="I608" s="36" t="s">
        <v>379</v>
      </c>
      <c r="J608" s="9" t="str">
        <f t="shared" ref="J608:N608" si="892">+J607</f>
        <v>Ninguno</v>
      </c>
      <c r="K608" s="9" t="str">
        <f t="shared" si="892"/>
        <v xml:space="preserve">Cantidad de víctimas por relación con el femicida </v>
      </c>
      <c r="L608" s="9" t="str">
        <f t="shared" si="892"/>
        <v>Periodo 2010-2021</v>
      </c>
      <c r="M608" s="9" t="str">
        <f t="shared" si="892"/>
        <v>Número de víctimas</v>
      </c>
      <c r="N608" s="38" t="str">
        <f t="shared" si="892"/>
        <v>Red Chilena contra la violencia hacia la Mujer</v>
      </c>
      <c r="O608" s="20" t="str">
        <f>+"Relación Víctima-Femicida en la "&amp;I608&amp;" para el "&amp;Agencia[[#This Row],[temporalidad]]</f>
        <v>Relación Víctima-Femicida en la Región de Magallanes para el Periodo 2010-2021</v>
      </c>
      <c r="P608" s="20"/>
      <c r="Q608" s="11" t="str">
        <f t="shared" si="852"/>
        <v>Nube de palabras</v>
      </c>
      <c r="R608" s="87" t="str">
        <f>Agencia[[#This Row],[territorio]]&amp;" femicidio víctima mujer conviviente cónyuge pareja ex relación femicida"</f>
        <v>Región de Magallanes femicidio víctima mujer conviviente cónyuge pareja ex relación femicida</v>
      </c>
      <c r="S608" s="22" t="s">
        <v>423</v>
      </c>
      <c r="T608" s="68" t="str">
        <f>"100-R-"&amp;Agencia[[#This Row],[Filtro URL]]</f>
        <v>100-R-12</v>
      </c>
      <c r="U608" s="50" t="str">
        <f t="shared" si="853"/>
        <v>#1774B9</v>
      </c>
      <c r="V608" s="118" t="str">
        <f>+Agencia[[#This Row],[idcoleccion]]&amp;"-"&amp;Agencia[[#This Row],[id]]</f>
        <v>990-0597</v>
      </c>
      <c r="W608" s="118">
        <f>+VLOOKUP(Agencia[[#This Row],[Filtro URL]],Estructura!$X$4:$Y$500,2,0)</f>
        <v>99200012</v>
      </c>
      <c r="X608" s="118" t="str">
        <f>+VLOOKUP(Agencia[[#This Row],[tema]],Estructura!$A$4:$C$500,3,0)</f>
        <v>T-1044</v>
      </c>
      <c r="Y608" s="118" t="str">
        <f>+VLOOKUP(Agencia[[#This Row],[contenido]],Estructura!$E$4:$G$500,3,0)</f>
        <v>C-996</v>
      </c>
      <c r="Z608" s="118" t="str">
        <f>+VLOOKUP(Agencia[[#This Row],[Filtro Integrado]],Estructura!$I$4:$K$500,3,0)</f>
        <v>FI-993</v>
      </c>
      <c r="AA608" s="118" t="str">
        <f>+VLOOKUP(Agencia[[#This Row],[Muestra]],Estructura!$M$4:$O$500,3,0)</f>
        <v>M-1048</v>
      </c>
    </row>
    <row r="609" spans="1:27" ht="48" x14ac:dyDescent="0.3">
      <c r="A609" s="21" t="s">
        <v>1201</v>
      </c>
      <c r="B609" s="24">
        <f t="shared" ref="B609:D609" si="893">+B608</f>
        <v>990</v>
      </c>
      <c r="C609" s="25" t="str">
        <f t="shared" si="893"/>
        <v>Agencia Información</v>
      </c>
      <c r="D609" s="25" t="str">
        <f t="shared" si="893"/>
        <v>Mujeres</v>
      </c>
      <c r="E609" s="19">
        <v>13</v>
      </c>
      <c r="F609" s="18" t="s">
        <v>1541</v>
      </c>
      <c r="G609" s="18" t="s">
        <v>3762</v>
      </c>
      <c r="H609" s="35" t="s">
        <v>16</v>
      </c>
      <c r="I609" s="36" t="s">
        <v>380</v>
      </c>
      <c r="J609" s="9" t="str">
        <f t="shared" ref="J609:N609" si="894">+J608</f>
        <v>Ninguno</v>
      </c>
      <c r="K609" s="9" t="str">
        <f t="shared" si="894"/>
        <v xml:space="preserve">Cantidad de víctimas por relación con el femicida </v>
      </c>
      <c r="L609" s="9" t="str">
        <f t="shared" si="894"/>
        <v>Periodo 2010-2021</v>
      </c>
      <c r="M609" s="9" t="str">
        <f t="shared" si="894"/>
        <v>Número de víctimas</v>
      </c>
      <c r="N609" s="38" t="str">
        <f t="shared" si="894"/>
        <v>Red Chilena contra la violencia hacia la Mujer</v>
      </c>
      <c r="O609" s="20" t="str">
        <f>+"Relación Víctima-Femicida en la "&amp;I609&amp;" para el "&amp;Agencia[[#This Row],[temporalidad]]</f>
        <v>Relación Víctima-Femicida en la Región Metropolitana para el Periodo 2010-2021</v>
      </c>
      <c r="P609" s="20"/>
      <c r="Q609" s="11" t="str">
        <f t="shared" si="852"/>
        <v>Nube de palabras</v>
      </c>
      <c r="R609" s="87" t="str">
        <f>Agencia[[#This Row],[territorio]]&amp;" femicidio víctima mujer conviviente cónyuge pareja ex relación femicida"</f>
        <v>Región Metropolitana femicidio víctima mujer conviviente cónyuge pareja ex relación femicida</v>
      </c>
      <c r="S609" s="22" t="s">
        <v>423</v>
      </c>
      <c r="T609" s="68" t="str">
        <f>"200-R-"&amp;Agencia[[#This Row],[Filtro URL]]</f>
        <v>200-R-13</v>
      </c>
      <c r="U609" s="50" t="str">
        <f t="shared" si="853"/>
        <v>#1774B9</v>
      </c>
      <c r="V609" s="118" t="str">
        <f>+Agencia[[#This Row],[idcoleccion]]&amp;"-"&amp;Agencia[[#This Row],[id]]</f>
        <v>990-0598</v>
      </c>
      <c r="W609" s="118">
        <f>+VLOOKUP(Agencia[[#This Row],[Filtro URL]],Estructura!$X$4:$Y$500,2,0)</f>
        <v>99200013</v>
      </c>
      <c r="X609" s="118" t="str">
        <f>+VLOOKUP(Agencia[[#This Row],[tema]],Estructura!$A$4:$C$500,3,0)</f>
        <v>T-1044</v>
      </c>
      <c r="Y609" s="118" t="str">
        <f>+VLOOKUP(Agencia[[#This Row],[contenido]],Estructura!$E$4:$G$500,3,0)</f>
        <v>C-996</v>
      </c>
      <c r="Z609" s="118" t="str">
        <f>+VLOOKUP(Agencia[[#This Row],[Filtro Integrado]],Estructura!$I$4:$K$500,3,0)</f>
        <v>FI-993</v>
      </c>
      <c r="AA609" s="118" t="str">
        <f>+VLOOKUP(Agencia[[#This Row],[Muestra]],Estructura!$M$4:$O$500,3,0)</f>
        <v>M-1048</v>
      </c>
    </row>
    <row r="610" spans="1:27" ht="48" x14ac:dyDescent="0.3">
      <c r="A610" s="21" t="s">
        <v>1202</v>
      </c>
      <c r="B610" s="24">
        <f t="shared" ref="B610:D610" si="895">+B609</f>
        <v>990</v>
      </c>
      <c r="C610" s="25" t="str">
        <f t="shared" si="895"/>
        <v>Agencia Información</v>
      </c>
      <c r="D610" s="25" t="str">
        <f t="shared" si="895"/>
        <v>Mujeres</v>
      </c>
      <c r="E610" s="19">
        <v>14</v>
      </c>
      <c r="F610" s="18" t="s">
        <v>1541</v>
      </c>
      <c r="G610" s="18" t="s">
        <v>3762</v>
      </c>
      <c r="H610" s="35" t="s">
        <v>16</v>
      </c>
      <c r="I610" s="36" t="s">
        <v>381</v>
      </c>
      <c r="J610" s="9" t="str">
        <f t="shared" ref="J610:N610" si="896">+J609</f>
        <v>Ninguno</v>
      </c>
      <c r="K610" s="9" t="str">
        <f t="shared" si="896"/>
        <v xml:space="preserve">Cantidad de víctimas por relación con el femicida </v>
      </c>
      <c r="L610" s="9" t="str">
        <f t="shared" si="896"/>
        <v>Periodo 2010-2021</v>
      </c>
      <c r="M610" s="9" t="str">
        <f t="shared" si="896"/>
        <v>Número de víctimas</v>
      </c>
      <c r="N610" s="38" t="str">
        <f t="shared" si="896"/>
        <v>Red Chilena contra la violencia hacia la Mujer</v>
      </c>
      <c r="O610" s="20" t="str">
        <f>+"Relación Víctima-Femicida en la "&amp;I610&amp;" para el "&amp;Agencia[[#This Row],[temporalidad]]</f>
        <v>Relación Víctima-Femicida en la Región de Los Ríos para el Periodo 2010-2021</v>
      </c>
      <c r="P610" s="20"/>
      <c r="Q610" s="11" t="str">
        <f t="shared" si="852"/>
        <v>Nube de palabras</v>
      </c>
      <c r="R610" s="87" t="str">
        <f>Agencia[[#This Row],[territorio]]&amp;" femicidio víctima mujer conviviente cónyuge pareja ex relación femicida"</f>
        <v>Región de Los Ríos femicidio víctima mujer conviviente cónyuge pareja ex relación femicida</v>
      </c>
      <c r="S610" s="22" t="s">
        <v>423</v>
      </c>
      <c r="T610" s="68" t="str">
        <f>"100-R-"&amp;Agencia[[#This Row],[Filtro URL]]</f>
        <v>100-R-14</v>
      </c>
      <c r="U610" s="50" t="str">
        <f t="shared" si="853"/>
        <v>#1774B9</v>
      </c>
      <c r="V610" s="118" t="str">
        <f>+Agencia[[#This Row],[idcoleccion]]&amp;"-"&amp;Agencia[[#This Row],[id]]</f>
        <v>990-0599</v>
      </c>
      <c r="W610" s="118">
        <f>+VLOOKUP(Agencia[[#This Row],[Filtro URL]],Estructura!$X$4:$Y$500,2,0)</f>
        <v>99200014</v>
      </c>
      <c r="X610" s="118" t="str">
        <f>+VLOOKUP(Agencia[[#This Row],[tema]],Estructura!$A$4:$C$500,3,0)</f>
        <v>T-1044</v>
      </c>
      <c r="Y610" s="118" t="str">
        <f>+VLOOKUP(Agencia[[#This Row],[contenido]],Estructura!$E$4:$G$500,3,0)</f>
        <v>C-996</v>
      </c>
      <c r="Z610" s="118" t="str">
        <f>+VLOOKUP(Agencia[[#This Row],[Filtro Integrado]],Estructura!$I$4:$K$500,3,0)</f>
        <v>FI-993</v>
      </c>
      <c r="AA610" s="118" t="str">
        <f>+VLOOKUP(Agencia[[#This Row],[Muestra]],Estructura!$M$4:$O$500,3,0)</f>
        <v>M-1048</v>
      </c>
    </row>
    <row r="611" spans="1:27" ht="48" x14ac:dyDescent="0.3">
      <c r="A611" s="21" t="s">
        <v>1203</v>
      </c>
      <c r="B611" s="24">
        <f t="shared" ref="B611:D611" si="897">+B610</f>
        <v>990</v>
      </c>
      <c r="C611" s="25" t="str">
        <f t="shared" si="897"/>
        <v>Agencia Información</v>
      </c>
      <c r="D611" s="25" t="str">
        <f t="shared" si="897"/>
        <v>Mujeres</v>
      </c>
      <c r="E611" s="19">
        <v>15</v>
      </c>
      <c r="F611" s="18" t="s">
        <v>1541</v>
      </c>
      <c r="G611" s="18" t="s">
        <v>3762</v>
      </c>
      <c r="H611" s="35" t="s">
        <v>16</v>
      </c>
      <c r="I611" s="36" t="s">
        <v>382</v>
      </c>
      <c r="J611" s="9" t="str">
        <f t="shared" ref="J611:N611" si="898">+J610</f>
        <v>Ninguno</v>
      </c>
      <c r="K611" s="9" t="str">
        <f t="shared" si="898"/>
        <v xml:space="preserve">Cantidad de víctimas por relación con el femicida </v>
      </c>
      <c r="L611" s="9" t="str">
        <f t="shared" si="898"/>
        <v>Periodo 2010-2021</v>
      </c>
      <c r="M611" s="9" t="str">
        <f t="shared" si="898"/>
        <v>Número de víctimas</v>
      </c>
      <c r="N611" s="38" t="str">
        <f t="shared" si="898"/>
        <v>Red Chilena contra la violencia hacia la Mujer</v>
      </c>
      <c r="O611" s="20" t="str">
        <f>+"Relación Víctima-Femicida en la "&amp;I611&amp;" para el "&amp;Agencia[[#This Row],[temporalidad]]</f>
        <v>Relación Víctima-Femicida en la Región de Arica y Parinacota para el Periodo 2010-2021</v>
      </c>
      <c r="P611" s="20"/>
      <c r="Q611" s="11" t="str">
        <f t="shared" si="852"/>
        <v>Nube de palabras</v>
      </c>
      <c r="R611" s="87" t="str">
        <f>Agencia[[#This Row],[territorio]]&amp;" femicidio víctima mujer conviviente cónyuge pareja ex relación femicida"</f>
        <v>Región de Arica y Parinacota femicidio víctima mujer conviviente cónyuge pareja ex relación femicida</v>
      </c>
      <c r="S611" s="22" t="s">
        <v>423</v>
      </c>
      <c r="T611" s="68" t="str">
        <f>"100-R-"&amp;Agencia[[#This Row],[Filtro URL]]</f>
        <v>100-R-15</v>
      </c>
      <c r="U611" s="50" t="str">
        <f t="shared" si="853"/>
        <v>#1774B9</v>
      </c>
      <c r="V611" s="118" t="str">
        <f>+Agencia[[#This Row],[idcoleccion]]&amp;"-"&amp;Agencia[[#This Row],[id]]</f>
        <v>990-0600</v>
      </c>
      <c r="W611" s="118">
        <f>+VLOOKUP(Agencia[[#This Row],[Filtro URL]],Estructura!$X$4:$Y$500,2,0)</f>
        <v>99200015</v>
      </c>
      <c r="X611" s="118" t="str">
        <f>+VLOOKUP(Agencia[[#This Row],[tema]],Estructura!$A$4:$C$500,3,0)</f>
        <v>T-1044</v>
      </c>
      <c r="Y611" s="118" t="str">
        <f>+VLOOKUP(Agencia[[#This Row],[contenido]],Estructura!$E$4:$G$500,3,0)</f>
        <v>C-996</v>
      </c>
      <c r="Z611" s="118" t="str">
        <f>+VLOOKUP(Agencia[[#This Row],[Filtro Integrado]],Estructura!$I$4:$K$500,3,0)</f>
        <v>FI-993</v>
      </c>
      <c r="AA611" s="118" t="str">
        <f>+VLOOKUP(Agencia[[#This Row],[Muestra]],Estructura!$M$4:$O$500,3,0)</f>
        <v>M-1048</v>
      </c>
    </row>
    <row r="612" spans="1:27" ht="48" x14ac:dyDescent="0.3">
      <c r="A612" s="21" t="s">
        <v>1204</v>
      </c>
      <c r="B612" s="24">
        <f t="shared" ref="B612:D612" si="899">+B611</f>
        <v>990</v>
      </c>
      <c r="C612" s="25" t="str">
        <f t="shared" si="899"/>
        <v>Agencia Información</v>
      </c>
      <c r="D612" s="25" t="str">
        <f t="shared" si="899"/>
        <v>Mujeres</v>
      </c>
      <c r="E612" s="19">
        <v>16</v>
      </c>
      <c r="F612" s="18" t="s">
        <v>1541</v>
      </c>
      <c r="G612" s="18" t="s">
        <v>3762</v>
      </c>
      <c r="H612" s="35" t="s">
        <v>16</v>
      </c>
      <c r="I612" s="36" t="s">
        <v>383</v>
      </c>
      <c r="J612" s="9" t="str">
        <f t="shared" ref="J612:N612" si="900">+J611</f>
        <v>Ninguno</v>
      </c>
      <c r="K612" s="9" t="str">
        <f t="shared" si="900"/>
        <v xml:space="preserve">Cantidad de víctimas por relación con el femicida </v>
      </c>
      <c r="L612" s="9" t="str">
        <f t="shared" si="900"/>
        <v>Periodo 2010-2021</v>
      </c>
      <c r="M612" s="9" t="str">
        <f t="shared" si="900"/>
        <v>Número de víctimas</v>
      </c>
      <c r="N612" s="38" t="str">
        <f t="shared" si="900"/>
        <v>Red Chilena contra la violencia hacia la Mujer</v>
      </c>
      <c r="O612" s="20" t="str">
        <f>+"Relación Víctima-Femicida en la "&amp;I612&amp;" para el "&amp;Agencia[[#This Row],[temporalidad]]</f>
        <v>Relación Víctima-Femicida en la Región de Ñuble para el Periodo 2010-2021</v>
      </c>
      <c r="P612" s="20"/>
      <c r="Q612" s="11" t="str">
        <f t="shared" si="852"/>
        <v>Nube de palabras</v>
      </c>
      <c r="R612" s="87" t="str">
        <f>Agencia[[#This Row],[territorio]]&amp;" femicidio víctima mujer conviviente cónyuge pareja ex relación femicida"</f>
        <v>Región de Ñuble femicidio víctima mujer conviviente cónyuge pareja ex relación femicida</v>
      </c>
      <c r="S612" s="22" t="s">
        <v>423</v>
      </c>
      <c r="T612" s="68" t="str">
        <f>"100-R-"&amp;Agencia[[#This Row],[Filtro URL]]</f>
        <v>100-R-16</v>
      </c>
      <c r="U612" s="50" t="str">
        <f t="shared" si="853"/>
        <v>#1774B9</v>
      </c>
      <c r="V612" s="118" t="str">
        <f>+Agencia[[#This Row],[idcoleccion]]&amp;"-"&amp;Agencia[[#This Row],[id]]</f>
        <v>990-0601</v>
      </c>
      <c r="W612" s="118">
        <f>+VLOOKUP(Agencia[[#This Row],[Filtro URL]],Estructura!$X$4:$Y$500,2,0)</f>
        <v>99200016</v>
      </c>
      <c r="X612" s="118" t="str">
        <f>+VLOOKUP(Agencia[[#This Row],[tema]],Estructura!$A$4:$C$500,3,0)</f>
        <v>T-1044</v>
      </c>
      <c r="Y612" s="118" t="str">
        <f>+VLOOKUP(Agencia[[#This Row],[contenido]],Estructura!$E$4:$G$500,3,0)</f>
        <v>C-996</v>
      </c>
      <c r="Z612" s="118" t="str">
        <f>+VLOOKUP(Agencia[[#This Row],[Filtro Integrado]],Estructura!$I$4:$K$500,3,0)</f>
        <v>FI-993</v>
      </c>
      <c r="AA612" s="118" t="str">
        <f>+VLOOKUP(Agencia[[#This Row],[Muestra]],Estructura!$M$4:$O$500,3,0)</f>
        <v>M-1048</v>
      </c>
    </row>
    <row r="613" spans="1:27" ht="36" x14ac:dyDescent="0.3">
      <c r="A613" s="21" t="s">
        <v>1205</v>
      </c>
      <c r="B613" s="24">
        <f t="shared" ref="B613:C613" si="901">+B612</f>
        <v>990</v>
      </c>
      <c r="C613" s="25" t="str">
        <f t="shared" si="901"/>
        <v>Agencia Información</v>
      </c>
      <c r="D613" s="25" t="s">
        <v>462</v>
      </c>
      <c r="E613" s="14">
        <v>0</v>
      </c>
      <c r="F613" s="18" t="s">
        <v>1541</v>
      </c>
      <c r="G613" s="18" t="s">
        <v>3762</v>
      </c>
      <c r="H613" s="33" t="s">
        <v>20</v>
      </c>
      <c r="I613" s="34" t="s">
        <v>15</v>
      </c>
      <c r="J613" s="9" t="s">
        <v>404</v>
      </c>
      <c r="K613" s="9" t="s">
        <v>1550</v>
      </c>
      <c r="L613" s="9" t="s">
        <v>1551</v>
      </c>
      <c r="M613" s="9" t="s">
        <v>1543</v>
      </c>
      <c r="N613" s="9" t="s">
        <v>1552</v>
      </c>
      <c r="O613" s="20" t="str">
        <f>+"Evolución Comparada Anual de Femicidios en "&amp;Agencia[[#This Row],[territorio]]&amp;" para el "&amp;Agencia[[#This Row],[temporalidad]]</f>
        <v>Evolución Comparada Anual de Femicidios en Chile para el Periodo 2018-2021</v>
      </c>
      <c r="P613" s="20" t="s">
        <v>1555</v>
      </c>
      <c r="Q613" s="11" t="s">
        <v>584</v>
      </c>
      <c r="R613" s="20" t="str">
        <f>Agencia[[#This Row],[territorio]]&amp;" femicidio víctima mujer semestre año"</f>
        <v>Chile femicidio víctima mujer semestre año</v>
      </c>
      <c r="S613" s="39" t="s">
        <v>1553</v>
      </c>
      <c r="T613" s="68">
        <v>0</v>
      </c>
      <c r="U613" s="50" t="str">
        <f t="shared" si="853"/>
        <v>#1774B9</v>
      </c>
      <c r="V613" s="118" t="str">
        <f>+Agencia[[#This Row],[idcoleccion]]&amp;"-"&amp;Agencia[[#This Row],[id]]</f>
        <v>990-0602</v>
      </c>
      <c r="W613" s="118">
        <f>+VLOOKUP(Agencia[[#This Row],[Filtro URL]],Estructura!$X$4:$Y$500,2,0)</f>
        <v>99100000</v>
      </c>
      <c r="X613" s="118" t="str">
        <f>+VLOOKUP(Agencia[[#This Row],[tema]],Estructura!$A$4:$C$500,3,0)</f>
        <v>T-1044</v>
      </c>
      <c r="Y613" s="118" t="str">
        <f>+VLOOKUP(Agencia[[#This Row],[contenido]],Estructura!$E$4:$G$500,3,0)</f>
        <v>C-996</v>
      </c>
      <c r="Z613" s="118" t="str">
        <f>+VLOOKUP(Agencia[[#This Row],[Filtro Integrado]],Estructura!$I$4:$K$500,3,0)</f>
        <v>FI-993</v>
      </c>
      <c r="AA613" s="118" t="str">
        <f>+VLOOKUP(Agencia[[#This Row],[Muestra]],Estructura!$M$4:$O$500,3,0)</f>
        <v>M-1049</v>
      </c>
    </row>
    <row r="614" spans="1:27" ht="81.599999999999994" x14ac:dyDescent="0.3">
      <c r="A614" s="21" t="s">
        <v>1206</v>
      </c>
      <c r="B614" s="24">
        <f t="shared" ref="B614:C614" si="902">+B613</f>
        <v>990</v>
      </c>
      <c r="C614" s="25" t="str">
        <f t="shared" si="902"/>
        <v>Agencia Información</v>
      </c>
      <c r="D614" s="25" t="s">
        <v>462</v>
      </c>
      <c r="E614" s="14">
        <v>0</v>
      </c>
      <c r="F614" s="18" t="s">
        <v>1541</v>
      </c>
      <c r="G614" s="18" t="s">
        <v>3762</v>
      </c>
      <c r="H614" s="33" t="s">
        <v>20</v>
      </c>
      <c r="I614" s="34" t="s">
        <v>15</v>
      </c>
      <c r="J614" s="9" t="s">
        <v>5590</v>
      </c>
      <c r="K614" s="9" t="s">
        <v>1550</v>
      </c>
      <c r="L614" s="9" t="s">
        <v>1462</v>
      </c>
      <c r="M614" s="9" t="s">
        <v>1543</v>
      </c>
      <c r="N614" s="38" t="s">
        <v>1547</v>
      </c>
      <c r="O614" s="20" t="str">
        <f>+"Evolución de Femicidios por mes en "&amp;I614&amp;" para el "&amp;Agencia[[#This Row],[temporalidad]]</f>
        <v>Evolución de Femicidios por mes en Chile para el Periodo 2010-2021</v>
      </c>
      <c r="P614" s="20" t="s">
        <v>1556</v>
      </c>
      <c r="Q614" s="11" t="s">
        <v>584</v>
      </c>
      <c r="R614" s="20" t="str">
        <f>Agencia[[#This Row],[territorio]]&amp;" femicidio víctima mujer mes año tendencia"</f>
        <v>Chile femicidio víctima mujer mes año tendencia</v>
      </c>
      <c r="S614" s="39" t="s">
        <v>1554</v>
      </c>
      <c r="T614" s="68">
        <v>0</v>
      </c>
      <c r="U614" s="50" t="str">
        <f t="shared" si="853"/>
        <v>#1774B9</v>
      </c>
      <c r="V614" s="118" t="str">
        <f>+Agencia[[#This Row],[idcoleccion]]&amp;"-"&amp;Agencia[[#This Row],[id]]</f>
        <v>990-0603</v>
      </c>
      <c r="W614" s="118">
        <f>+VLOOKUP(Agencia[[#This Row],[Filtro URL]],Estructura!$X$4:$Y$500,2,0)</f>
        <v>99100000</v>
      </c>
      <c r="X614" s="118" t="str">
        <f>+VLOOKUP(Agencia[[#This Row],[tema]],Estructura!$A$4:$C$500,3,0)</f>
        <v>T-1044</v>
      </c>
      <c r="Y614" s="118" t="str">
        <f>+VLOOKUP(Agencia[[#This Row],[contenido]],Estructura!$E$4:$G$500,3,0)</f>
        <v>C-996</v>
      </c>
      <c r="Z614" s="118" t="str">
        <f>+VLOOKUP(Agencia[[#This Row],[Filtro Integrado]],Estructura!$I$4:$K$500,3,0)</f>
        <v>FI-1009</v>
      </c>
      <c r="AA614" s="118" t="str">
        <f>+VLOOKUP(Agencia[[#This Row],[Muestra]],Estructura!$M$4:$O$500,3,0)</f>
        <v>M-1049</v>
      </c>
    </row>
    <row r="615" spans="1:27" ht="61.2" x14ac:dyDescent="0.3">
      <c r="A615" s="21" t="s">
        <v>1207</v>
      </c>
      <c r="B615" s="24">
        <f t="shared" ref="B615:C615" si="903">+B614</f>
        <v>990</v>
      </c>
      <c r="C615" s="25" t="str">
        <f t="shared" si="903"/>
        <v>Agencia Información</v>
      </c>
      <c r="D615" s="25" t="s">
        <v>1467</v>
      </c>
      <c r="E615" s="14">
        <v>0</v>
      </c>
      <c r="F615" s="18" t="s">
        <v>1558</v>
      </c>
      <c r="G615" s="18" t="s">
        <v>3770</v>
      </c>
      <c r="H615" s="33" t="s">
        <v>20</v>
      </c>
      <c r="I615" s="34" t="s">
        <v>15</v>
      </c>
      <c r="J615" s="9" t="s">
        <v>404</v>
      </c>
      <c r="K615" s="9" t="s">
        <v>1560</v>
      </c>
      <c r="L615" s="9" t="s">
        <v>1559</v>
      </c>
      <c r="M615" s="9" t="s">
        <v>6257</v>
      </c>
      <c r="N615" s="9" t="s">
        <v>6403</v>
      </c>
      <c r="O615" s="20" t="str">
        <f>+"Evolución de Parque Vehicular Escolar por Región en "&amp;I615&amp;" para el "&amp;Agencia[[#This Row],[temporalidad]]</f>
        <v>Evolución de Parque Vehicular Escolar por Región en Chile para el Periodo 2014-2021</v>
      </c>
      <c r="P615" s="20" t="s">
        <v>1557</v>
      </c>
      <c r="Q615" s="11" t="s">
        <v>611</v>
      </c>
      <c r="R615" s="20" t="str">
        <f>Agencia[[#This Row],[territorio]]&amp;" vehículo escolar vehicular evolución cantidad"</f>
        <v>Chile vehículo escolar vehicular evolución cantidad</v>
      </c>
      <c r="S615" s="39" t="s">
        <v>1563</v>
      </c>
      <c r="T615" s="68">
        <v>0</v>
      </c>
      <c r="U615" s="50" t="str">
        <f t="shared" si="853"/>
        <v>#1774B9</v>
      </c>
      <c r="V615" s="118" t="str">
        <f>+Agencia[[#This Row],[idcoleccion]]&amp;"-"&amp;Agencia[[#This Row],[id]]</f>
        <v>990-0604</v>
      </c>
      <c r="W615" s="118">
        <f>+VLOOKUP(Agencia[[#This Row],[Filtro URL]],Estructura!$X$4:$Y$500,2,0)</f>
        <v>99100000</v>
      </c>
      <c r="X615" s="118" t="str">
        <f>+VLOOKUP(Agencia[[#This Row],[tema]],Estructura!$A$4:$C$500,3,0)</f>
        <v>T-1045</v>
      </c>
      <c r="Y615" s="118" t="str">
        <f>+VLOOKUP(Agencia[[#This Row],[contenido]],Estructura!$E$4:$G$500,3,0)</f>
        <v>C-1003</v>
      </c>
      <c r="Z615" s="118" t="str">
        <f>+VLOOKUP(Agencia[[#This Row],[Filtro Integrado]],Estructura!$I$4:$K$500,3,0)</f>
        <v>FI-993</v>
      </c>
      <c r="AA615" s="118" t="str">
        <f>+VLOOKUP(Agencia[[#This Row],[Muestra]],Estructura!$M$4:$O$500,3,0)</f>
        <v>M-1050</v>
      </c>
    </row>
    <row r="616" spans="1:27" ht="91.8" x14ac:dyDescent="0.3">
      <c r="A616" s="21" t="s">
        <v>1208</v>
      </c>
      <c r="B616" s="24">
        <f t="shared" ref="B616:C616" si="904">+B615</f>
        <v>990</v>
      </c>
      <c r="C616" s="25" t="str">
        <f t="shared" si="904"/>
        <v>Agencia Información</v>
      </c>
      <c r="D616" s="25" t="s">
        <v>597</v>
      </c>
      <c r="E616" s="14">
        <v>0</v>
      </c>
      <c r="F616" s="18" t="s">
        <v>1566</v>
      </c>
      <c r="G616" s="10" t="s">
        <v>3786</v>
      </c>
      <c r="H616" s="33" t="s">
        <v>20</v>
      </c>
      <c r="I616" s="34" t="s">
        <v>15</v>
      </c>
      <c r="J616" s="9" t="s">
        <v>1565</v>
      </c>
      <c r="K616" s="9" t="s">
        <v>1567</v>
      </c>
      <c r="L616" s="9" t="s">
        <v>1564</v>
      </c>
      <c r="M616" s="9" t="s">
        <v>1568</v>
      </c>
      <c r="N616" s="9" t="s">
        <v>598</v>
      </c>
      <c r="O616" s="20" t="str">
        <f>+"Detalle de programas e instituciones evaluados por ministerio en "&amp;I616&amp;" durante el "&amp;Agencia[[#This Row],[temporalidad]]</f>
        <v>Detalle de programas e instituciones evaluados por ministerio en Chile durante el Periodo 1997-2020</v>
      </c>
      <c r="P616" s="20" t="s">
        <v>1561</v>
      </c>
      <c r="Q616" s="11" t="s">
        <v>606</v>
      </c>
      <c r="R616" s="20" t="str">
        <f>Agencia[[#This Row],[territorio]]&amp;" programas desempeño gobierno servicio evaluación instituciones público ministerio"</f>
        <v>Chile programas desempeño gobierno servicio evaluación instituciones público ministerio</v>
      </c>
      <c r="S616" s="39" t="s">
        <v>1562</v>
      </c>
      <c r="T616" s="68">
        <v>0</v>
      </c>
      <c r="U616" s="50" t="str">
        <f t="shared" si="853"/>
        <v>#1774B9</v>
      </c>
      <c r="V616" s="118" t="str">
        <f>+Agencia[[#This Row],[idcoleccion]]&amp;"-"&amp;Agencia[[#This Row],[id]]</f>
        <v>990-0605</v>
      </c>
      <c r="W616" s="118">
        <f>+VLOOKUP(Agencia[[#This Row],[Filtro URL]],Estructura!$X$4:$Y$500,2,0)</f>
        <v>99100000</v>
      </c>
      <c r="X616" s="118" t="str">
        <f>+VLOOKUP(Agencia[[#This Row],[tema]],Estructura!$A$4:$C$500,3,0)</f>
        <v>T-1011</v>
      </c>
      <c r="Y616" s="118" t="str">
        <f>+VLOOKUP(Agencia[[#This Row],[contenido]],Estructura!$E$4:$G$500,3,0)</f>
        <v>C-1006</v>
      </c>
      <c r="Z616" s="118" t="str">
        <f>+VLOOKUP(Agencia[[#This Row],[Filtro Integrado]],Estructura!$I$4:$K$500,3,0)</f>
        <v>FI-1000</v>
      </c>
      <c r="AA616" s="118" t="str">
        <f>+VLOOKUP(Agencia[[#This Row],[Muestra]],Estructura!$M$4:$O$500,3,0)</f>
        <v>M-1051</v>
      </c>
    </row>
    <row r="617" spans="1:27" ht="36" x14ac:dyDescent="0.3">
      <c r="A617" s="21" t="s">
        <v>1209</v>
      </c>
      <c r="B617" s="24">
        <f t="shared" ref="B617:C617" si="905">+B616</f>
        <v>990</v>
      </c>
      <c r="C617" s="25" t="str">
        <f t="shared" si="905"/>
        <v>Agencia Información</v>
      </c>
      <c r="D617" s="25" t="s">
        <v>574</v>
      </c>
      <c r="E617" s="14">
        <v>0</v>
      </c>
      <c r="F617" s="18" t="s">
        <v>819</v>
      </c>
      <c r="G617" s="18" t="s">
        <v>575</v>
      </c>
      <c r="H617" s="33" t="s">
        <v>20</v>
      </c>
      <c r="I617" s="34" t="s">
        <v>15</v>
      </c>
      <c r="J617" s="9" t="s">
        <v>1032</v>
      </c>
      <c r="K617" s="9" t="s">
        <v>1571</v>
      </c>
      <c r="L617" s="9" t="s">
        <v>576</v>
      </c>
      <c r="M617" s="9" t="s">
        <v>1570</v>
      </c>
      <c r="N617" s="9" t="s">
        <v>5293</v>
      </c>
      <c r="O617" s="20" t="str">
        <f>+"Evolución de número de fallecidos por 1 millón de habitantes por comuna en "&amp;I617&amp;" durante el "&amp;Agencia[[#This Row],[temporalidad]]</f>
        <v>Evolución de número de fallecidos por 1 millón de habitantes por comuna en Chile durante el Periodo 2020-2021</v>
      </c>
      <c r="P617" s="20"/>
      <c r="Q617" s="11" t="s">
        <v>821</v>
      </c>
      <c r="R617" s="20" t="str">
        <f>Agencia[[#This Row],[territorio]]&amp;" COVID-19 región comuna casos activos fallecidos recuperados acumulados evolución"</f>
        <v>Chile COVID-19 región comuna casos activos fallecidos recuperados acumulados evolución</v>
      </c>
      <c r="S617" s="102" t="s">
        <v>7408</v>
      </c>
      <c r="T617" s="68" t="s">
        <v>1033</v>
      </c>
      <c r="U617" s="50" t="str">
        <f t="shared" si="853"/>
        <v>#1774B9</v>
      </c>
      <c r="V617" s="118" t="str">
        <f>+Agencia[[#This Row],[idcoleccion]]&amp;"-"&amp;Agencia[[#This Row],[id]]</f>
        <v>990-0606</v>
      </c>
      <c r="W617" s="118">
        <f>+VLOOKUP(Agencia[[#This Row],[Filtro URL]],Estructura!$X$4:$Y$500,2,0)</f>
        <v>99100000</v>
      </c>
      <c r="X617" s="118" t="str">
        <f>+VLOOKUP(Agencia[[#This Row],[tema]],Estructura!$A$4:$C$500,3,0)</f>
        <v>T-1030</v>
      </c>
      <c r="Y617" s="118" t="str">
        <f>+VLOOKUP(Agencia[[#This Row],[contenido]],Estructura!$E$4:$G$500,3,0)</f>
        <v>C-991</v>
      </c>
      <c r="Z617" s="118" t="str">
        <f>+VLOOKUP(Agencia[[#This Row],[Filtro Integrado]],Estructura!$I$4:$K$500,3,0)</f>
        <v>FI-994</v>
      </c>
      <c r="AA617" s="118" t="str">
        <f>+VLOOKUP(Agencia[[#This Row],[Muestra]],Estructura!$M$4:$O$500,3,0)</f>
        <v>M-1052</v>
      </c>
    </row>
    <row r="618" spans="1:27" ht="61.2" x14ac:dyDescent="0.3">
      <c r="A618" s="21" t="s">
        <v>1210</v>
      </c>
      <c r="B618" s="24">
        <f t="shared" ref="B618:D618" si="906">+B617</f>
        <v>990</v>
      </c>
      <c r="C618" s="25" t="str">
        <f t="shared" si="906"/>
        <v>Agencia Información</v>
      </c>
      <c r="D618" s="25" t="str">
        <f t="shared" si="906"/>
        <v>Salud</v>
      </c>
      <c r="E618" s="19">
        <v>1</v>
      </c>
      <c r="F618" s="18" t="s">
        <v>819</v>
      </c>
      <c r="G618" s="18" t="s">
        <v>575</v>
      </c>
      <c r="H618" s="35" t="s">
        <v>16</v>
      </c>
      <c r="I618" s="36" t="s">
        <v>368</v>
      </c>
      <c r="J618" s="9" t="s">
        <v>18</v>
      </c>
      <c r="K618" s="9" t="str">
        <f t="shared" ref="K618:N618" si="907">+K617</f>
        <v>Cantidad de fallecidos por 1 MM de habitantes</v>
      </c>
      <c r="L618" s="9" t="str">
        <f t="shared" si="907"/>
        <v>Periodo 2020-2021</v>
      </c>
      <c r="M618" s="9" t="str">
        <f t="shared" si="907"/>
        <v>Número de fallecidos</v>
      </c>
      <c r="N618" s="9" t="str">
        <f t="shared" si="907"/>
        <v>Ministerio de Ciencia, Tecnología, Conocimiento e Innovación</v>
      </c>
      <c r="O618" s="20" t="str">
        <f>+"Evolución de número de fallecidos por 1 millón de habitantes por comuna en la "&amp;I618&amp;" durante el "&amp;Agencia[[#This Row],[temporalidad]]</f>
        <v>Evolución de número de fallecidos por 1 millón de habitantes por comuna en la Región de Tarapacá durante el Periodo 2020-2021</v>
      </c>
      <c r="P618" s="20" t="s">
        <v>1569</v>
      </c>
      <c r="Q618" s="11" t="str">
        <f t="shared" si="852"/>
        <v>Gráfico de Evolución</v>
      </c>
      <c r="R618" s="20" t="str">
        <f>Agencia[[#This Row],[territorio]]&amp;" COVID-19 comuna casos activos fallecidos recuperados acumulados evolución"</f>
        <v>Región de Tarapacá COVID-19 comuna casos activos fallecidos recuperados acumulados evolución</v>
      </c>
      <c r="S618" s="39" t="str">
        <f>HYPERLINK("https://analytics.zoho.com/open-view/2395394000008117468?ZOHO_CRITERIA=%22Localiza_CL_Poblacion%22.%22Codreg%22%3D"&amp;Agencia[[#This Row],[Filtro URL]])</f>
        <v>https://analytics.zoho.com/open-view/2395394000008117468?ZOHO_CRITERIA=%22Localiza_CL_Poblacion%22.%22Codreg%22%3D1</v>
      </c>
      <c r="T618" s="69" t="str">
        <f>"100-C-"&amp;Agencia[[#This Row],[Filtro URL]]</f>
        <v>100-C-1</v>
      </c>
      <c r="U618" s="50" t="str">
        <f t="shared" si="853"/>
        <v>#1774B9</v>
      </c>
      <c r="V618" s="118" t="str">
        <f>+Agencia[[#This Row],[idcoleccion]]&amp;"-"&amp;Agencia[[#This Row],[id]]</f>
        <v>990-0607</v>
      </c>
      <c r="W618" s="118">
        <f>+VLOOKUP(Agencia[[#This Row],[Filtro URL]],Estructura!$X$4:$Y$500,2,0)</f>
        <v>99200001</v>
      </c>
      <c r="X618" s="118" t="str">
        <f>+VLOOKUP(Agencia[[#This Row],[tema]],Estructura!$A$4:$C$500,3,0)</f>
        <v>T-1030</v>
      </c>
      <c r="Y618" s="118" t="str">
        <f>+VLOOKUP(Agencia[[#This Row],[contenido]],Estructura!$E$4:$G$500,3,0)</f>
        <v>C-991</v>
      </c>
      <c r="Z618" s="118" t="str">
        <f>+VLOOKUP(Agencia[[#This Row],[Filtro Integrado]],Estructura!$I$4:$K$500,3,0)</f>
        <v>FI-991</v>
      </c>
      <c r="AA618" s="118" t="str">
        <f>+VLOOKUP(Agencia[[#This Row],[Muestra]],Estructura!$M$4:$O$500,3,0)</f>
        <v>M-1052</v>
      </c>
    </row>
    <row r="619" spans="1:27" ht="57.6" x14ac:dyDescent="0.3">
      <c r="A619" s="21" t="s">
        <v>1211</v>
      </c>
      <c r="B619" s="24">
        <f t="shared" ref="B619:D619" si="908">+B618</f>
        <v>990</v>
      </c>
      <c r="C619" s="25" t="str">
        <f t="shared" si="908"/>
        <v>Agencia Información</v>
      </c>
      <c r="D619" s="25" t="str">
        <f t="shared" si="908"/>
        <v>Salud</v>
      </c>
      <c r="E619" s="19">
        <v>2</v>
      </c>
      <c r="F619" s="18" t="s">
        <v>819</v>
      </c>
      <c r="G619" s="18" t="s">
        <v>575</v>
      </c>
      <c r="H619" s="35" t="s">
        <v>16</v>
      </c>
      <c r="I619" s="36" t="s">
        <v>369</v>
      </c>
      <c r="J619" s="9" t="str">
        <f t="shared" ref="J619:N619" si="909">+J618</f>
        <v>Comuna</v>
      </c>
      <c r="K619" s="9" t="str">
        <f t="shared" si="909"/>
        <v>Cantidad de fallecidos por 1 MM de habitantes</v>
      </c>
      <c r="L619" s="9" t="str">
        <f t="shared" si="909"/>
        <v>Periodo 2020-2021</v>
      </c>
      <c r="M619" s="9" t="str">
        <f t="shared" si="909"/>
        <v>Número de fallecidos</v>
      </c>
      <c r="N619" s="9" t="str">
        <f t="shared" si="909"/>
        <v>Ministerio de Ciencia, Tecnología, Conocimiento e Innovación</v>
      </c>
      <c r="O619" s="20" t="str">
        <f>+"Evolución de número de fallecidos por 1 millón de habitantes por comuna en la "&amp;I619&amp;" durante el "&amp;Agencia[[#This Row],[temporalidad]]</f>
        <v>Evolución de número de fallecidos por 1 millón de habitantes por comuna en la Región de Antofagasta durante el Periodo 2020-2021</v>
      </c>
      <c r="P619" s="20"/>
      <c r="Q619" s="11" t="str">
        <f t="shared" si="852"/>
        <v>Gráfico de Evolución</v>
      </c>
      <c r="R619" s="20" t="str">
        <f>Agencia[[#This Row],[territorio]]&amp;" COVID-19 comuna casos activos fallecidos recuperados acumulados evolución"</f>
        <v>Región de Antofagasta COVID-19 comuna casos activos fallecidos recuperados acumulados evolución</v>
      </c>
      <c r="S619" s="102" t="str">
        <f>HYPERLINK("https://analytics.zoho.com/open-view/2395394000008117468?ZOHO_CRITERIA=%22Localiza_CL_Poblacion%22.%22Codreg%22%3D"&amp;Agencia[[#This Row],[Filtro URL]])</f>
        <v>https://analytics.zoho.com/open-view/2395394000008117468?ZOHO_CRITERIA=%22Localiza_CL_Poblacion%22.%22Codreg%22%3D2</v>
      </c>
      <c r="T619" s="69" t="str">
        <f>"100-C-"&amp;Agencia[[#This Row],[Filtro URL]]</f>
        <v>100-C-2</v>
      </c>
      <c r="U619" s="50" t="str">
        <f t="shared" si="853"/>
        <v>#1774B9</v>
      </c>
      <c r="V619" s="118" t="str">
        <f>+Agencia[[#This Row],[idcoleccion]]&amp;"-"&amp;Agencia[[#This Row],[id]]</f>
        <v>990-0608</v>
      </c>
      <c r="W619" s="118">
        <f>+VLOOKUP(Agencia[[#This Row],[Filtro URL]],Estructura!$X$4:$Y$500,2,0)</f>
        <v>99200002</v>
      </c>
      <c r="X619" s="118" t="str">
        <f>+VLOOKUP(Agencia[[#This Row],[tema]],Estructura!$A$4:$C$500,3,0)</f>
        <v>T-1030</v>
      </c>
      <c r="Y619" s="118" t="str">
        <f>+VLOOKUP(Agencia[[#This Row],[contenido]],Estructura!$E$4:$G$500,3,0)</f>
        <v>C-991</v>
      </c>
      <c r="Z619" s="118" t="str">
        <f>+VLOOKUP(Agencia[[#This Row],[Filtro Integrado]],Estructura!$I$4:$K$500,3,0)</f>
        <v>FI-991</v>
      </c>
      <c r="AA619" s="118" t="str">
        <f>+VLOOKUP(Agencia[[#This Row],[Muestra]],Estructura!$M$4:$O$500,3,0)</f>
        <v>M-1052</v>
      </c>
    </row>
    <row r="620" spans="1:27" ht="57.6" x14ac:dyDescent="0.3">
      <c r="A620" s="21" t="s">
        <v>1212</v>
      </c>
      <c r="B620" s="24">
        <f t="shared" ref="B620:D620" si="910">+B619</f>
        <v>990</v>
      </c>
      <c r="C620" s="25" t="str">
        <f t="shared" si="910"/>
        <v>Agencia Información</v>
      </c>
      <c r="D620" s="25" t="str">
        <f t="shared" si="910"/>
        <v>Salud</v>
      </c>
      <c r="E620" s="19">
        <v>3</v>
      </c>
      <c r="F620" s="18" t="s">
        <v>819</v>
      </c>
      <c r="G620" s="18" t="s">
        <v>575</v>
      </c>
      <c r="H620" s="35" t="s">
        <v>16</v>
      </c>
      <c r="I620" s="36" t="s">
        <v>370</v>
      </c>
      <c r="J620" s="9" t="str">
        <f t="shared" ref="J620:N620" si="911">+J619</f>
        <v>Comuna</v>
      </c>
      <c r="K620" s="9" t="str">
        <f t="shared" si="911"/>
        <v>Cantidad de fallecidos por 1 MM de habitantes</v>
      </c>
      <c r="L620" s="9" t="str">
        <f t="shared" si="911"/>
        <v>Periodo 2020-2021</v>
      </c>
      <c r="M620" s="9" t="str">
        <f t="shared" si="911"/>
        <v>Número de fallecidos</v>
      </c>
      <c r="N620" s="9" t="str">
        <f t="shared" si="911"/>
        <v>Ministerio de Ciencia, Tecnología, Conocimiento e Innovación</v>
      </c>
      <c r="O620" s="20" t="str">
        <f>+"Evolución de número de fallecidos por 1 millón de habitantes por comuna en la "&amp;I620&amp;" durante el "&amp;Agencia[[#This Row],[temporalidad]]</f>
        <v>Evolución de número de fallecidos por 1 millón de habitantes por comuna en la Región de Atacama durante el Periodo 2020-2021</v>
      </c>
      <c r="P620" s="20"/>
      <c r="Q620" s="11" t="str">
        <f t="shared" si="852"/>
        <v>Gráfico de Evolución</v>
      </c>
      <c r="R620" s="20" t="str">
        <f>Agencia[[#This Row],[territorio]]&amp;" COVID-19 comuna casos activos fallecidos recuperados acumulados evolución"</f>
        <v>Región de Atacama COVID-19 comuna casos activos fallecidos recuperados acumulados evolución</v>
      </c>
      <c r="S620" s="102" t="str">
        <f>HYPERLINK("https://analytics.zoho.com/open-view/2395394000008117468?ZOHO_CRITERIA=%22Localiza_CL_Poblacion%22.%22Codreg%22%3D"&amp;Agencia[[#This Row],[Filtro URL]])</f>
        <v>https://analytics.zoho.com/open-view/2395394000008117468?ZOHO_CRITERIA=%22Localiza_CL_Poblacion%22.%22Codreg%22%3D3</v>
      </c>
      <c r="T620" s="69" t="str">
        <f>"100-C-"&amp;Agencia[[#This Row],[Filtro URL]]</f>
        <v>100-C-3</v>
      </c>
      <c r="U620" s="50" t="str">
        <f t="shared" si="853"/>
        <v>#1774B9</v>
      </c>
      <c r="V620" s="118" t="str">
        <f>+Agencia[[#This Row],[idcoleccion]]&amp;"-"&amp;Agencia[[#This Row],[id]]</f>
        <v>990-0609</v>
      </c>
      <c r="W620" s="118">
        <f>+VLOOKUP(Agencia[[#This Row],[Filtro URL]],Estructura!$X$4:$Y$500,2,0)</f>
        <v>99200003</v>
      </c>
      <c r="X620" s="118" t="str">
        <f>+VLOOKUP(Agencia[[#This Row],[tema]],Estructura!$A$4:$C$500,3,0)</f>
        <v>T-1030</v>
      </c>
      <c r="Y620" s="118" t="str">
        <f>+VLOOKUP(Agencia[[#This Row],[contenido]],Estructura!$E$4:$G$500,3,0)</f>
        <v>C-991</v>
      </c>
      <c r="Z620" s="118" t="str">
        <f>+VLOOKUP(Agencia[[#This Row],[Filtro Integrado]],Estructura!$I$4:$K$500,3,0)</f>
        <v>FI-991</v>
      </c>
      <c r="AA620" s="118" t="str">
        <f>+VLOOKUP(Agencia[[#This Row],[Muestra]],Estructura!$M$4:$O$500,3,0)</f>
        <v>M-1052</v>
      </c>
    </row>
    <row r="621" spans="1:27" ht="57.6" x14ac:dyDescent="0.3">
      <c r="A621" s="21" t="s">
        <v>1213</v>
      </c>
      <c r="B621" s="24">
        <f t="shared" ref="B621:D621" si="912">+B620</f>
        <v>990</v>
      </c>
      <c r="C621" s="25" t="str">
        <f t="shared" si="912"/>
        <v>Agencia Información</v>
      </c>
      <c r="D621" s="25" t="str">
        <f t="shared" si="912"/>
        <v>Salud</v>
      </c>
      <c r="E621" s="19">
        <v>4</v>
      </c>
      <c r="F621" s="18" t="s">
        <v>819</v>
      </c>
      <c r="G621" s="18" t="s">
        <v>575</v>
      </c>
      <c r="H621" s="35" t="s">
        <v>16</v>
      </c>
      <c r="I621" s="36" t="s">
        <v>371</v>
      </c>
      <c r="J621" s="9" t="str">
        <f t="shared" ref="J621:N621" si="913">+J620</f>
        <v>Comuna</v>
      </c>
      <c r="K621" s="9" t="str">
        <f t="shared" si="913"/>
        <v>Cantidad de fallecidos por 1 MM de habitantes</v>
      </c>
      <c r="L621" s="9" t="str">
        <f t="shared" si="913"/>
        <v>Periodo 2020-2021</v>
      </c>
      <c r="M621" s="9" t="str">
        <f t="shared" si="913"/>
        <v>Número de fallecidos</v>
      </c>
      <c r="N621" s="9" t="str">
        <f t="shared" si="913"/>
        <v>Ministerio de Ciencia, Tecnología, Conocimiento e Innovación</v>
      </c>
      <c r="O621" s="20" t="str">
        <f>+"Evolución de número de fallecidos por 1 millón de habitantes por comuna en la "&amp;I621&amp;" durante el "&amp;Agencia[[#This Row],[temporalidad]]</f>
        <v>Evolución de número de fallecidos por 1 millón de habitantes por comuna en la Región de Coquimbo durante el Periodo 2020-2021</v>
      </c>
      <c r="P621" s="20"/>
      <c r="Q621" s="11" t="str">
        <f t="shared" si="852"/>
        <v>Gráfico de Evolución</v>
      </c>
      <c r="R621" s="20" t="str">
        <f>Agencia[[#This Row],[territorio]]&amp;" COVID-19 comuna casos activos fallecidos recuperados acumulados evolución"</f>
        <v>Región de Coquimbo COVID-19 comuna casos activos fallecidos recuperados acumulados evolución</v>
      </c>
      <c r="S621" s="102" t="str">
        <f>HYPERLINK("https://analytics.zoho.com/open-view/2395394000008117468?ZOHO_CRITERIA=%22Localiza_CL_Poblacion%22.%22Codreg%22%3D"&amp;Agencia[[#This Row],[Filtro URL]])</f>
        <v>https://analytics.zoho.com/open-view/2395394000008117468?ZOHO_CRITERIA=%22Localiza_CL_Poblacion%22.%22Codreg%22%3D4</v>
      </c>
      <c r="T621" s="69" t="str">
        <f>"100-C-"&amp;Agencia[[#This Row],[Filtro URL]]</f>
        <v>100-C-4</v>
      </c>
      <c r="U621" s="50" t="str">
        <f t="shared" si="853"/>
        <v>#1774B9</v>
      </c>
      <c r="V621" s="118" t="str">
        <f>+Agencia[[#This Row],[idcoleccion]]&amp;"-"&amp;Agencia[[#This Row],[id]]</f>
        <v>990-0610</v>
      </c>
      <c r="W621" s="118">
        <f>+VLOOKUP(Agencia[[#This Row],[Filtro URL]],Estructura!$X$4:$Y$500,2,0)</f>
        <v>99200004</v>
      </c>
      <c r="X621" s="118" t="str">
        <f>+VLOOKUP(Agencia[[#This Row],[tema]],Estructura!$A$4:$C$500,3,0)</f>
        <v>T-1030</v>
      </c>
      <c r="Y621" s="118" t="str">
        <f>+VLOOKUP(Agencia[[#This Row],[contenido]],Estructura!$E$4:$G$500,3,0)</f>
        <v>C-991</v>
      </c>
      <c r="Z621" s="118" t="str">
        <f>+VLOOKUP(Agencia[[#This Row],[Filtro Integrado]],Estructura!$I$4:$K$500,3,0)</f>
        <v>FI-991</v>
      </c>
      <c r="AA621" s="118" t="str">
        <f>+VLOOKUP(Agencia[[#This Row],[Muestra]],Estructura!$M$4:$O$500,3,0)</f>
        <v>M-1052</v>
      </c>
    </row>
    <row r="622" spans="1:27" ht="57.6" x14ac:dyDescent="0.3">
      <c r="A622" s="21" t="s">
        <v>1214</v>
      </c>
      <c r="B622" s="24">
        <f t="shared" ref="B622:D622" si="914">+B621</f>
        <v>990</v>
      </c>
      <c r="C622" s="25" t="str">
        <f t="shared" si="914"/>
        <v>Agencia Información</v>
      </c>
      <c r="D622" s="25" t="str">
        <f t="shared" si="914"/>
        <v>Salud</v>
      </c>
      <c r="E622" s="19">
        <v>5</v>
      </c>
      <c r="F622" s="18" t="s">
        <v>819</v>
      </c>
      <c r="G622" s="18" t="s">
        <v>575</v>
      </c>
      <c r="H622" s="35" t="s">
        <v>16</v>
      </c>
      <c r="I622" s="36" t="s">
        <v>372</v>
      </c>
      <c r="J622" s="9" t="str">
        <f t="shared" ref="J622:N622" si="915">+J621</f>
        <v>Comuna</v>
      </c>
      <c r="K622" s="9" t="str">
        <f t="shared" si="915"/>
        <v>Cantidad de fallecidos por 1 MM de habitantes</v>
      </c>
      <c r="L622" s="9" t="str">
        <f t="shared" si="915"/>
        <v>Periodo 2020-2021</v>
      </c>
      <c r="M622" s="9" t="str">
        <f t="shared" si="915"/>
        <v>Número de fallecidos</v>
      </c>
      <c r="N622" s="9" t="str">
        <f t="shared" si="915"/>
        <v>Ministerio de Ciencia, Tecnología, Conocimiento e Innovación</v>
      </c>
      <c r="O622" s="20" t="str">
        <f>+"Evolución de número de fallecidos por 1 millón de habitantes por comuna en la "&amp;I622&amp;" durante el "&amp;Agencia[[#This Row],[temporalidad]]</f>
        <v>Evolución de número de fallecidos por 1 millón de habitantes por comuna en la Región de Valparaíso durante el Periodo 2020-2021</v>
      </c>
      <c r="P622" s="20"/>
      <c r="Q622" s="11" t="str">
        <f t="shared" si="852"/>
        <v>Gráfico de Evolución</v>
      </c>
      <c r="R622" s="20" t="str">
        <f>Agencia[[#This Row],[territorio]]&amp;" COVID-19 comuna casos activos fallecidos recuperados acumulados evolución"</f>
        <v>Región de Valparaíso COVID-19 comuna casos activos fallecidos recuperados acumulados evolución</v>
      </c>
      <c r="S622" s="102" t="str">
        <f>HYPERLINK("https://analytics.zoho.com/open-view/2395394000008117468?ZOHO_CRITERIA=%22Localiza_CL_Poblacion%22.%22Codreg%22%3D"&amp;Agencia[[#This Row],[Filtro URL]])</f>
        <v>https://analytics.zoho.com/open-view/2395394000008117468?ZOHO_CRITERIA=%22Localiza_CL_Poblacion%22.%22Codreg%22%3D5</v>
      </c>
      <c r="T622" s="69" t="str">
        <f>"100-C-"&amp;Agencia[[#This Row],[Filtro URL]]</f>
        <v>100-C-5</v>
      </c>
      <c r="U622" s="50" t="str">
        <f t="shared" si="853"/>
        <v>#1774B9</v>
      </c>
      <c r="V622" s="118" t="str">
        <f>+Agencia[[#This Row],[idcoleccion]]&amp;"-"&amp;Agencia[[#This Row],[id]]</f>
        <v>990-0611</v>
      </c>
      <c r="W622" s="118">
        <f>+VLOOKUP(Agencia[[#This Row],[Filtro URL]],Estructura!$X$4:$Y$500,2,0)</f>
        <v>99200005</v>
      </c>
      <c r="X622" s="118" t="str">
        <f>+VLOOKUP(Agencia[[#This Row],[tema]],Estructura!$A$4:$C$500,3,0)</f>
        <v>T-1030</v>
      </c>
      <c r="Y622" s="118" t="str">
        <f>+VLOOKUP(Agencia[[#This Row],[contenido]],Estructura!$E$4:$G$500,3,0)</f>
        <v>C-991</v>
      </c>
      <c r="Z622" s="118" t="str">
        <f>+VLOOKUP(Agencia[[#This Row],[Filtro Integrado]],Estructura!$I$4:$K$500,3,0)</f>
        <v>FI-991</v>
      </c>
      <c r="AA622" s="118" t="str">
        <f>+VLOOKUP(Agencia[[#This Row],[Muestra]],Estructura!$M$4:$O$500,3,0)</f>
        <v>M-1052</v>
      </c>
    </row>
    <row r="623" spans="1:27" ht="57.6" x14ac:dyDescent="0.3">
      <c r="A623" s="21" t="s">
        <v>1215</v>
      </c>
      <c r="B623" s="24">
        <f t="shared" ref="B623:D623" si="916">+B622</f>
        <v>990</v>
      </c>
      <c r="C623" s="25" t="str">
        <f t="shared" si="916"/>
        <v>Agencia Información</v>
      </c>
      <c r="D623" s="25" t="str">
        <f t="shared" si="916"/>
        <v>Salud</v>
      </c>
      <c r="E623" s="19">
        <v>6</v>
      </c>
      <c r="F623" s="18" t="s">
        <v>819</v>
      </c>
      <c r="G623" s="18" t="s">
        <v>575</v>
      </c>
      <c r="H623" s="35" t="s">
        <v>16</v>
      </c>
      <c r="I623" s="36" t="s">
        <v>373</v>
      </c>
      <c r="J623" s="9" t="str">
        <f t="shared" ref="J623:N623" si="917">+J622</f>
        <v>Comuna</v>
      </c>
      <c r="K623" s="9" t="str">
        <f t="shared" si="917"/>
        <v>Cantidad de fallecidos por 1 MM de habitantes</v>
      </c>
      <c r="L623" s="9" t="str">
        <f t="shared" si="917"/>
        <v>Periodo 2020-2021</v>
      </c>
      <c r="M623" s="9" t="str">
        <f t="shared" si="917"/>
        <v>Número de fallecidos</v>
      </c>
      <c r="N623" s="9" t="str">
        <f t="shared" si="917"/>
        <v>Ministerio de Ciencia, Tecnología, Conocimiento e Innovación</v>
      </c>
      <c r="O623" s="20" t="str">
        <f>+"Evolución de número de fallecidos por 1 millón de habitantes por comuna en la "&amp;I623&amp;" durante el "&amp;Agencia[[#This Row],[temporalidad]]</f>
        <v>Evolución de número de fallecidos por 1 millón de habitantes por comuna en la Región de O'Higgins durante el Periodo 2020-2021</v>
      </c>
      <c r="P623" s="20"/>
      <c r="Q623" s="11" t="str">
        <f t="shared" si="852"/>
        <v>Gráfico de Evolución</v>
      </c>
      <c r="R623" s="20" t="str">
        <f>Agencia[[#This Row],[territorio]]&amp;" COVID-19 comuna casos activos fallecidos recuperados acumulados evolución"</f>
        <v>Región de O'Higgins COVID-19 comuna casos activos fallecidos recuperados acumulados evolución</v>
      </c>
      <c r="S623" s="102" t="str">
        <f>HYPERLINK("https://analytics.zoho.com/open-view/2395394000008117468?ZOHO_CRITERIA=%22Localiza_CL_Poblacion%22.%22Codreg%22%3D"&amp;Agencia[[#This Row],[Filtro URL]])</f>
        <v>https://analytics.zoho.com/open-view/2395394000008117468?ZOHO_CRITERIA=%22Localiza_CL_Poblacion%22.%22Codreg%22%3D6</v>
      </c>
      <c r="T623" s="69" t="str">
        <f>"100-C-"&amp;Agencia[[#This Row],[Filtro URL]]</f>
        <v>100-C-6</v>
      </c>
      <c r="U623" s="50" t="str">
        <f t="shared" si="853"/>
        <v>#1774B9</v>
      </c>
      <c r="V623" s="118" t="str">
        <f>+Agencia[[#This Row],[idcoleccion]]&amp;"-"&amp;Agencia[[#This Row],[id]]</f>
        <v>990-0612</v>
      </c>
      <c r="W623" s="118">
        <f>+VLOOKUP(Agencia[[#This Row],[Filtro URL]],Estructura!$X$4:$Y$500,2,0)</f>
        <v>99200006</v>
      </c>
      <c r="X623" s="118" t="str">
        <f>+VLOOKUP(Agencia[[#This Row],[tema]],Estructura!$A$4:$C$500,3,0)</f>
        <v>T-1030</v>
      </c>
      <c r="Y623" s="118" t="str">
        <f>+VLOOKUP(Agencia[[#This Row],[contenido]],Estructura!$E$4:$G$500,3,0)</f>
        <v>C-991</v>
      </c>
      <c r="Z623" s="118" t="str">
        <f>+VLOOKUP(Agencia[[#This Row],[Filtro Integrado]],Estructura!$I$4:$K$500,3,0)</f>
        <v>FI-991</v>
      </c>
      <c r="AA623" s="118" t="str">
        <f>+VLOOKUP(Agencia[[#This Row],[Muestra]],Estructura!$M$4:$O$500,3,0)</f>
        <v>M-1052</v>
      </c>
    </row>
    <row r="624" spans="1:27" ht="57.6" x14ac:dyDescent="0.3">
      <c r="A624" s="21" t="s">
        <v>1216</v>
      </c>
      <c r="B624" s="24">
        <f t="shared" ref="B624:D624" si="918">+B623</f>
        <v>990</v>
      </c>
      <c r="C624" s="25" t="str">
        <f t="shared" si="918"/>
        <v>Agencia Información</v>
      </c>
      <c r="D624" s="25" t="str">
        <f t="shared" si="918"/>
        <v>Salud</v>
      </c>
      <c r="E624" s="19">
        <v>7</v>
      </c>
      <c r="F624" s="18" t="s">
        <v>819</v>
      </c>
      <c r="G624" s="18" t="s">
        <v>575</v>
      </c>
      <c r="H624" s="35" t="s">
        <v>16</v>
      </c>
      <c r="I624" s="36" t="s">
        <v>374</v>
      </c>
      <c r="J624" s="9" t="str">
        <f t="shared" ref="J624:N624" si="919">+J623</f>
        <v>Comuna</v>
      </c>
      <c r="K624" s="9" t="str">
        <f t="shared" si="919"/>
        <v>Cantidad de fallecidos por 1 MM de habitantes</v>
      </c>
      <c r="L624" s="9" t="str">
        <f t="shared" si="919"/>
        <v>Periodo 2020-2021</v>
      </c>
      <c r="M624" s="9" t="str">
        <f t="shared" si="919"/>
        <v>Número de fallecidos</v>
      </c>
      <c r="N624" s="9" t="str">
        <f t="shared" si="919"/>
        <v>Ministerio de Ciencia, Tecnología, Conocimiento e Innovación</v>
      </c>
      <c r="O624" s="20" t="str">
        <f>+"Evolución de número de fallecidos por 1 millón de habitantes por comuna en la "&amp;I624&amp;" durante el "&amp;Agencia[[#This Row],[temporalidad]]</f>
        <v>Evolución de número de fallecidos por 1 millón de habitantes por comuna en la Región de Maule durante el Periodo 2020-2021</v>
      </c>
      <c r="P624" s="20"/>
      <c r="Q624" s="11" t="str">
        <f t="shared" si="852"/>
        <v>Gráfico de Evolución</v>
      </c>
      <c r="R624" s="20" t="str">
        <f>Agencia[[#This Row],[territorio]]&amp;" COVID-19 comuna casos activos fallecidos recuperados acumulados evolución"</f>
        <v>Región de Maule COVID-19 comuna casos activos fallecidos recuperados acumulados evolución</v>
      </c>
      <c r="S624" s="102" t="str">
        <f>HYPERLINK("https://analytics.zoho.com/open-view/2395394000008117468?ZOHO_CRITERIA=%22Localiza_CL_Poblacion%22.%22Codreg%22%3D"&amp;Agencia[[#This Row],[Filtro URL]])</f>
        <v>https://analytics.zoho.com/open-view/2395394000008117468?ZOHO_CRITERIA=%22Localiza_CL_Poblacion%22.%22Codreg%22%3D7</v>
      </c>
      <c r="T624" s="69" t="str">
        <f>"100-C-"&amp;Agencia[[#This Row],[Filtro URL]]</f>
        <v>100-C-7</v>
      </c>
      <c r="U624" s="50" t="str">
        <f t="shared" si="853"/>
        <v>#1774B9</v>
      </c>
      <c r="V624" s="118" t="str">
        <f>+Agencia[[#This Row],[idcoleccion]]&amp;"-"&amp;Agencia[[#This Row],[id]]</f>
        <v>990-0613</v>
      </c>
      <c r="W624" s="118">
        <f>+VLOOKUP(Agencia[[#This Row],[Filtro URL]],Estructura!$X$4:$Y$500,2,0)</f>
        <v>99200007</v>
      </c>
      <c r="X624" s="118" t="str">
        <f>+VLOOKUP(Agencia[[#This Row],[tema]],Estructura!$A$4:$C$500,3,0)</f>
        <v>T-1030</v>
      </c>
      <c r="Y624" s="118" t="str">
        <f>+VLOOKUP(Agencia[[#This Row],[contenido]],Estructura!$E$4:$G$500,3,0)</f>
        <v>C-991</v>
      </c>
      <c r="Z624" s="118" t="str">
        <f>+VLOOKUP(Agencia[[#This Row],[Filtro Integrado]],Estructura!$I$4:$K$500,3,0)</f>
        <v>FI-991</v>
      </c>
      <c r="AA624" s="118" t="str">
        <f>+VLOOKUP(Agencia[[#This Row],[Muestra]],Estructura!$M$4:$O$500,3,0)</f>
        <v>M-1052</v>
      </c>
    </row>
    <row r="625" spans="1:27" ht="57.6" x14ac:dyDescent="0.3">
      <c r="A625" s="21" t="s">
        <v>1217</v>
      </c>
      <c r="B625" s="24">
        <f t="shared" ref="B625:D625" si="920">+B624</f>
        <v>990</v>
      </c>
      <c r="C625" s="25" t="str">
        <f t="shared" si="920"/>
        <v>Agencia Información</v>
      </c>
      <c r="D625" s="25" t="str">
        <f t="shared" si="920"/>
        <v>Salud</v>
      </c>
      <c r="E625" s="19">
        <v>8</v>
      </c>
      <c r="F625" s="18" t="s">
        <v>819</v>
      </c>
      <c r="G625" s="18" t="s">
        <v>575</v>
      </c>
      <c r="H625" s="35" t="s">
        <v>16</v>
      </c>
      <c r="I625" s="36" t="s">
        <v>375</v>
      </c>
      <c r="J625" s="9" t="str">
        <f t="shared" ref="J625:N625" si="921">+J624</f>
        <v>Comuna</v>
      </c>
      <c r="K625" s="9" t="str">
        <f t="shared" si="921"/>
        <v>Cantidad de fallecidos por 1 MM de habitantes</v>
      </c>
      <c r="L625" s="9" t="str">
        <f t="shared" si="921"/>
        <v>Periodo 2020-2021</v>
      </c>
      <c r="M625" s="9" t="str">
        <f t="shared" si="921"/>
        <v>Número de fallecidos</v>
      </c>
      <c r="N625" s="9" t="str">
        <f t="shared" si="921"/>
        <v>Ministerio de Ciencia, Tecnología, Conocimiento e Innovación</v>
      </c>
      <c r="O625" s="20" t="str">
        <f>+"Evolución de número de fallecidos por 1 millón de habitantes por comuna en la "&amp;I625&amp;" durante el "&amp;Agencia[[#This Row],[temporalidad]]</f>
        <v>Evolución de número de fallecidos por 1 millón de habitantes por comuna en la Región del Biobío durante el Periodo 2020-2021</v>
      </c>
      <c r="P625" s="20"/>
      <c r="Q625" s="11" t="str">
        <f t="shared" si="852"/>
        <v>Gráfico de Evolución</v>
      </c>
      <c r="R625" s="20" t="str">
        <f>Agencia[[#This Row],[territorio]]&amp;" COVID-19 comuna casos activos fallecidos recuperados acumulados evolución"</f>
        <v>Región del Biobío COVID-19 comuna casos activos fallecidos recuperados acumulados evolución</v>
      </c>
      <c r="S625" s="102" t="str">
        <f>HYPERLINK("https://analytics.zoho.com/open-view/2395394000008117468?ZOHO_CRITERIA=%22Localiza_CL_Poblacion%22.%22Codreg%22%3D"&amp;Agencia[[#This Row],[Filtro URL]])</f>
        <v>https://analytics.zoho.com/open-view/2395394000008117468?ZOHO_CRITERIA=%22Localiza_CL_Poblacion%22.%22Codreg%22%3D8</v>
      </c>
      <c r="T625" s="69" t="str">
        <f>"100-C-"&amp;Agencia[[#This Row],[Filtro URL]]</f>
        <v>100-C-8</v>
      </c>
      <c r="U625" s="50" t="str">
        <f t="shared" si="853"/>
        <v>#1774B9</v>
      </c>
      <c r="V625" s="118" t="str">
        <f>+Agencia[[#This Row],[idcoleccion]]&amp;"-"&amp;Agencia[[#This Row],[id]]</f>
        <v>990-0614</v>
      </c>
      <c r="W625" s="118">
        <f>+VLOOKUP(Agencia[[#This Row],[Filtro URL]],Estructura!$X$4:$Y$500,2,0)</f>
        <v>99200008</v>
      </c>
      <c r="X625" s="118" t="str">
        <f>+VLOOKUP(Agencia[[#This Row],[tema]],Estructura!$A$4:$C$500,3,0)</f>
        <v>T-1030</v>
      </c>
      <c r="Y625" s="118" t="str">
        <f>+VLOOKUP(Agencia[[#This Row],[contenido]],Estructura!$E$4:$G$500,3,0)</f>
        <v>C-991</v>
      </c>
      <c r="Z625" s="118" t="str">
        <f>+VLOOKUP(Agencia[[#This Row],[Filtro Integrado]],Estructura!$I$4:$K$500,3,0)</f>
        <v>FI-991</v>
      </c>
      <c r="AA625" s="118" t="str">
        <f>+VLOOKUP(Agencia[[#This Row],[Muestra]],Estructura!$M$4:$O$500,3,0)</f>
        <v>M-1052</v>
      </c>
    </row>
    <row r="626" spans="1:27" ht="57.6" x14ac:dyDescent="0.3">
      <c r="A626" s="21" t="s">
        <v>1218</v>
      </c>
      <c r="B626" s="24">
        <f t="shared" ref="B626:D626" si="922">+B625</f>
        <v>990</v>
      </c>
      <c r="C626" s="25" t="str">
        <f t="shared" si="922"/>
        <v>Agencia Información</v>
      </c>
      <c r="D626" s="25" t="str">
        <f t="shared" si="922"/>
        <v>Salud</v>
      </c>
      <c r="E626" s="19">
        <v>9</v>
      </c>
      <c r="F626" s="18" t="s">
        <v>819</v>
      </c>
      <c r="G626" s="18" t="s">
        <v>575</v>
      </c>
      <c r="H626" s="35" t="s">
        <v>16</v>
      </c>
      <c r="I626" s="36" t="s">
        <v>376</v>
      </c>
      <c r="J626" s="9" t="str">
        <f t="shared" ref="J626:N626" si="923">+J625</f>
        <v>Comuna</v>
      </c>
      <c r="K626" s="9" t="str">
        <f t="shared" si="923"/>
        <v>Cantidad de fallecidos por 1 MM de habitantes</v>
      </c>
      <c r="L626" s="9" t="str">
        <f t="shared" si="923"/>
        <v>Periodo 2020-2021</v>
      </c>
      <c r="M626" s="9" t="str">
        <f t="shared" si="923"/>
        <v>Número de fallecidos</v>
      </c>
      <c r="N626" s="9" t="str">
        <f t="shared" si="923"/>
        <v>Ministerio de Ciencia, Tecnología, Conocimiento e Innovación</v>
      </c>
      <c r="O626" s="20" t="str">
        <f>+"Evolución de número de fallecidos por 1 millón de habitantes por comuna en la "&amp;I626&amp;" durante el "&amp;Agencia[[#This Row],[temporalidad]]</f>
        <v>Evolución de número de fallecidos por 1 millón de habitantes por comuna en la Región de La Araucanía durante el Periodo 2020-2021</v>
      </c>
      <c r="P626" s="20"/>
      <c r="Q626" s="11" t="str">
        <f t="shared" si="852"/>
        <v>Gráfico de Evolución</v>
      </c>
      <c r="R626" s="20" t="str">
        <f>Agencia[[#This Row],[territorio]]&amp;" COVID-19 comuna casos activos fallecidos recuperados acumulados evolución"</f>
        <v>Región de La Araucanía COVID-19 comuna casos activos fallecidos recuperados acumulados evolución</v>
      </c>
      <c r="S626" s="102" t="str">
        <f>HYPERLINK("https://analytics.zoho.com/open-view/2395394000008117468?ZOHO_CRITERIA=%22Localiza_CL_Poblacion%22.%22Codreg%22%3D"&amp;Agencia[[#This Row],[Filtro URL]])</f>
        <v>https://analytics.zoho.com/open-view/2395394000008117468?ZOHO_CRITERIA=%22Localiza_CL_Poblacion%22.%22Codreg%22%3D9</v>
      </c>
      <c r="T626" s="69" t="str">
        <f>"100-C-"&amp;Agencia[[#This Row],[Filtro URL]]</f>
        <v>100-C-9</v>
      </c>
      <c r="U626" s="50" t="str">
        <f t="shared" si="853"/>
        <v>#1774B9</v>
      </c>
      <c r="V626" s="118" t="str">
        <f>+Agencia[[#This Row],[idcoleccion]]&amp;"-"&amp;Agencia[[#This Row],[id]]</f>
        <v>990-0615</v>
      </c>
      <c r="W626" s="118">
        <f>+VLOOKUP(Agencia[[#This Row],[Filtro URL]],Estructura!$X$4:$Y$500,2,0)</f>
        <v>99200009</v>
      </c>
      <c r="X626" s="118" t="str">
        <f>+VLOOKUP(Agencia[[#This Row],[tema]],Estructura!$A$4:$C$500,3,0)</f>
        <v>T-1030</v>
      </c>
      <c r="Y626" s="118" t="str">
        <f>+VLOOKUP(Agencia[[#This Row],[contenido]],Estructura!$E$4:$G$500,3,0)</f>
        <v>C-991</v>
      </c>
      <c r="Z626" s="118" t="str">
        <f>+VLOOKUP(Agencia[[#This Row],[Filtro Integrado]],Estructura!$I$4:$K$500,3,0)</f>
        <v>FI-991</v>
      </c>
      <c r="AA626" s="118" t="str">
        <f>+VLOOKUP(Agencia[[#This Row],[Muestra]],Estructura!$M$4:$O$500,3,0)</f>
        <v>M-1052</v>
      </c>
    </row>
    <row r="627" spans="1:27" ht="57.6" x14ac:dyDescent="0.3">
      <c r="A627" s="21" t="s">
        <v>1219</v>
      </c>
      <c r="B627" s="24">
        <f t="shared" ref="B627:D627" si="924">+B626</f>
        <v>990</v>
      </c>
      <c r="C627" s="25" t="str">
        <f t="shared" si="924"/>
        <v>Agencia Información</v>
      </c>
      <c r="D627" s="25" t="str">
        <f t="shared" si="924"/>
        <v>Salud</v>
      </c>
      <c r="E627" s="19">
        <v>10</v>
      </c>
      <c r="F627" s="18" t="s">
        <v>819</v>
      </c>
      <c r="G627" s="18" t="s">
        <v>575</v>
      </c>
      <c r="H627" s="35" t="s">
        <v>16</v>
      </c>
      <c r="I627" s="36" t="s">
        <v>377</v>
      </c>
      <c r="J627" s="9" t="str">
        <f t="shared" ref="J627:N627" si="925">+J626</f>
        <v>Comuna</v>
      </c>
      <c r="K627" s="9" t="str">
        <f t="shared" si="925"/>
        <v>Cantidad de fallecidos por 1 MM de habitantes</v>
      </c>
      <c r="L627" s="9" t="str">
        <f t="shared" si="925"/>
        <v>Periodo 2020-2021</v>
      </c>
      <c r="M627" s="9" t="str">
        <f t="shared" si="925"/>
        <v>Número de fallecidos</v>
      </c>
      <c r="N627" s="9" t="str">
        <f t="shared" si="925"/>
        <v>Ministerio de Ciencia, Tecnología, Conocimiento e Innovación</v>
      </c>
      <c r="O627" s="20" t="str">
        <f>+"Evolución de número de fallecidos por 1 millón de habitantes por comuna en la "&amp;I627&amp;" durante el "&amp;Agencia[[#This Row],[temporalidad]]</f>
        <v>Evolución de número de fallecidos por 1 millón de habitantes por comuna en la Región de Los Lagos durante el Periodo 2020-2021</v>
      </c>
      <c r="P627" s="20"/>
      <c r="Q627" s="11" t="str">
        <f t="shared" si="852"/>
        <v>Gráfico de Evolución</v>
      </c>
      <c r="R627" s="20" t="str">
        <f>Agencia[[#This Row],[territorio]]&amp;" COVID-19 comuna casos activos fallecidos recuperados acumulados evolución"</f>
        <v>Región de Los Lagos COVID-19 comuna casos activos fallecidos recuperados acumulados evolución</v>
      </c>
      <c r="S627" s="102" t="str">
        <f>HYPERLINK("https://analytics.zoho.com/open-view/2395394000008117468?ZOHO_CRITERIA=%22Localiza_CL_Poblacion%22.%22Codreg%22%3D"&amp;Agencia[[#This Row],[Filtro URL]])</f>
        <v>https://analytics.zoho.com/open-view/2395394000008117468?ZOHO_CRITERIA=%22Localiza_CL_Poblacion%22.%22Codreg%22%3D10</v>
      </c>
      <c r="T627" s="69" t="str">
        <f>"100-C-"&amp;Agencia[[#This Row],[Filtro URL]]</f>
        <v>100-C-10</v>
      </c>
      <c r="U627" s="50" t="str">
        <f t="shared" si="853"/>
        <v>#1774B9</v>
      </c>
      <c r="V627" s="118" t="str">
        <f>+Agencia[[#This Row],[idcoleccion]]&amp;"-"&amp;Agencia[[#This Row],[id]]</f>
        <v>990-0616</v>
      </c>
      <c r="W627" s="118">
        <f>+VLOOKUP(Agencia[[#This Row],[Filtro URL]],Estructura!$X$4:$Y$500,2,0)</f>
        <v>99200010</v>
      </c>
      <c r="X627" s="118" t="str">
        <f>+VLOOKUP(Agencia[[#This Row],[tema]],Estructura!$A$4:$C$500,3,0)</f>
        <v>T-1030</v>
      </c>
      <c r="Y627" s="118" t="str">
        <f>+VLOOKUP(Agencia[[#This Row],[contenido]],Estructura!$E$4:$G$500,3,0)</f>
        <v>C-991</v>
      </c>
      <c r="Z627" s="118" t="str">
        <f>+VLOOKUP(Agencia[[#This Row],[Filtro Integrado]],Estructura!$I$4:$K$500,3,0)</f>
        <v>FI-991</v>
      </c>
      <c r="AA627" s="118" t="str">
        <f>+VLOOKUP(Agencia[[#This Row],[Muestra]],Estructura!$M$4:$O$500,3,0)</f>
        <v>M-1052</v>
      </c>
    </row>
    <row r="628" spans="1:27" ht="57.6" x14ac:dyDescent="0.3">
      <c r="A628" s="21" t="s">
        <v>1220</v>
      </c>
      <c r="B628" s="24">
        <f t="shared" ref="B628:D628" si="926">+B627</f>
        <v>990</v>
      </c>
      <c r="C628" s="25" t="str">
        <f t="shared" si="926"/>
        <v>Agencia Información</v>
      </c>
      <c r="D628" s="25" t="str">
        <f t="shared" si="926"/>
        <v>Salud</v>
      </c>
      <c r="E628" s="19">
        <v>11</v>
      </c>
      <c r="F628" s="18" t="s">
        <v>819</v>
      </c>
      <c r="G628" s="18" t="s">
        <v>575</v>
      </c>
      <c r="H628" s="35" t="s">
        <v>16</v>
      </c>
      <c r="I628" s="36" t="s">
        <v>378</v>
      </c>
      <c r="J628" s="9" t="str">
        <f t="shared" ref="J628:N628" si="927">+J627</f>
        <v>Comuna</v>
      </c>
      <c r="K628" s="9" t="str">
        <f t="shared" si="927"/>
        <v>Cantidad de fallecidos por 1 MM de habitantes</v>
      </c>
      <c r="L628" s="9" t="str">
        <f t="shared" si="927"/>
        <v>Periodo 2020-2021</v>
      </c>
      <c r="M628" s="9" t="str">
        <f t="shared" si="927"/>
        <v>Número de fallecidos</v>
      </c>
      <c r="N628" s="9" t="str">
        <f t="shared" si="927"/>
        <v>Ministerio de Ciencia, Tecnología, Conocimiento e Innovación</v>
      </c>
      <c r="O628" s="20" t="str">
        <f>+"Evolución de número de fallecidos por 1 millón de habitantes por comuna en la "&amp;I628&amp;" durante el "&amp;Agencia[[#This Row],[temporalidad]]</f>
        <v>Evolución de número de fallecidos por 1 millón de habitantes por comuna en la Región de Aysén durante el Periodo 2020-2021</v>
      </c>
      <c r="P628" s="20"/>
      <c r="Q628" s="11" t="str">
        <f t="shared" si="852"/>
        <v>Gráfico de Evolución</v>
      </c>
      <c r="R628" s="20" t="str">
        <f>Agencia[[#This Row],[territorio]]&amp;" COVID-19 comuna casos activos fallecidos recuperados acumulados evolución"</f>
        <v>Región de Aysén COVID-19 comuna casos activos fallecidos recuperados acumulados evolución</v>
      </c>
      <c r="S628" s="102" t="str">
        <f>HYPERLINK("https://analytics.zoho.com/open-view/2395394000008117468?ZOHO_CRITERIA=%22Localiza_CL_Poblacion%22.%22Codreg%22%3D"&amp;Agencia[[#This Row],[Filtro URL]])</f>
        <v>https://analytics.zoho.com/open-view/2395394000008117468?ZOHO_CRITERIA=%22Localiza_CL_Poblacion%22.%22Codreg%22%3D11</v>
      </c>
      <c r="T628" s="69" t="str">
        <f>"100-C-"&amp;Agencia[[#This Row],[Filtro URL]]</f>
        <v>100-C-11</v>
      </c>
      <c r="U628" s="50" t="str">
        <f t="shared" si="853"/>
        <v>#1774B9</v>
      </c>
      <c r="V628" s="118" t="str">
        <f>+Agencia[[#This Row],[idcoleccion]]&amp;"-"&amp;Agencia[[#This Row],[id]]</f>
        <v>990-0617</v>
      </c>
      <c r="W628" s="118">
        <f>+VLOOKUP(Agencia[[#This Row],[Filtro URL]],Estructura!$X$4:$Y$500,2,0)</f>
        <v>99200011</v>
      </c>
      <c r="X628" s="118" t="str">
        <f>+VLOOKUP(Agencia[[#This Row],[tema]],Estructura!$A$4:$C$500,3,0)</f>
        <v>T-1030</v>
      </c>
      <c r="Y628" s="118" t="str">
        <f>+VLOOKUP(Agencia[[#This Row],[contenido]],Estructura!$E$4:$G$500,3,0)</f>
        <v>C-991</v>
      </c>
      <c r="Z628" s="118" t="str">
        <f>+VLOOKUP(Agencia[[#This Row],[Filtro Integrado]],Estructura!$I$4:$K$500,3,0)</f>
        <v>FI-991</v>
      </c>
      <c r="AA628" s="118" t="str">
        <f>+VLOOKUP(Agencia[[#This Row],[Muestra]],Estructura!$M$4:$O$500,3,0)</f>
        <v>M-1052</v>
      </c>
    </row>
    <row r="629" spans="1:27" ht="57.6" x14ac:dyDescent="0.3">
      <c r="A629" s="21" t="s">
        <v>1221</v>
      </c>
      <c r="B629" s="24">
        <f t="shared" ref="B629:D629" si="928">+B628</f>
        <v>990</v>
      </c>
      <c r="C629" s="25" t="str">
        <f t="shared" si="928"/>
        <v>Agencia Información</v>
      </c>
      <c r="D629" s="25" t="str">
        <f t="shared" si="928"/>
        <v>Salud</v>
      </c>
      <c r="E629" s="19">
        <v>12</v>
      </c>
      <c r="F629" s="18" t="s">
        <v>819</v>
      </c>
      <c r="G629" s="18" t="s">
        <v>575</v>
      </c>
      <c r="H629" s="35" t="s">
        <v>16</v>
      </c>
      <c r="I629" s="36" t="s">
        <v>379</v>
      </c>
      <c r="J629" s="9" t="str">
        <f t="shared" ref="J629:N629" si="929">+J628</f>
        <v>Comuna</v>
      </c>
      <c r="K629" s="9" t="str">
        <f t="shared" si="929"/>
        <v>Cantidad de fallecidos por 1 MM de habitantes</v>
      </c>
      <c r="L629" s="9" t="str">
        <f t="shared" si="929"/>
        <v>Periodo 2020-2021</v>
      </c>
      <c r="M629" s="9" t="str">
        <f t="shared" si="929"/>
        <v>Número de fallecidos</v>
      </c>
      <c r="N629" s="9" t="str">
        <f t="shared" si="929"/>
        <v>Ministerio de Ciencia, Tecnología, Conocimiento e Innovación</v>
      </c>
      <c r="O629" s="20" t="str">
        <f>+"Evolución de número de fallecidos por 1 millón de habitantes por comuna en la "&amp;I629&amp;" durante el "&amp;Agencia[[#This Row],[temporalidad]]</f>
        <v>Evolución de número de fallecidos por 1 millón de habitantes por comuna en la Región de Magallanes durante el Periodo 2020-2021</v>
      </c>
      <c r="P629" s="20"/>
      <c r="Q629" s="11" t="str">
        <f t="shared" si="852"/>
        <v>Gráfico de Evolución</v>
      </c>
      <c r="R629" s="20" t="str">
        <f>Agencia[[#This Row],[territorio]]&amp;" COVID-19 comuna casos activos fallecidos recuperados acumulados evolución"</f>
        <v>Región de Magallanes COVID-19 comuna casos activos fallecidos recuperados acumulados evolución</v>
      </c>
      <c r="S629" s="102" t="str">
        <f>HYPERLINK("https://analytics.zoho.com/open-view/2395394000008117468?ZOHO_CRITERIA=%22Localiza_CL_Poblacion%22.%22Codreg%22%3D"&amp;Agencia[[#This Row],[Filtro URL]])</f>
        <v>https://analytics.zoho.com/open-view/2395394000008117468?ZOHO_CRITERIA=%22Localiza_CL_Poblacion%22.%22Codreg%22%3D12</v>
      </c>
      <c r="T629" s="69" t="str">
        <f>"100-C-"&amp;Agencia[[#This Row],[Filtro URL]]</f>
        <v>100-C-12</v>
      </c>
      <c r="U629" s="50" t="str">
        <f t="shared" si="853"/>
        <v>#1774B9</v>
      </c>
      <c r="V629" s="118" t="str">
        <f>+Agencia[[#This Row],[idcoleccion]]&amp;"-"&amp;Agencia[[#This Row],[id]]</f>
        <v>990-0618</v>
      </c>
      <c r="W629" s="118">
        <f>+VLOOKUP(Agencia[[#This Row],[Filtro URL]],Estructura!$X$4:$Y$500,2,0)</f>
        <v>99200012</v>
      </c>
      <c r="X629" s="118" t="str">
        <f>+VLOOKUP(Agencia[[#This Row],[tema]],Estructura!$A$4:$C$500,3,0)</f>
        <v>T-1030</v>
      </c>
      <c r="Y629" s="118" t="str">
        <f>+VLOOKUP(Agencia[[#This Row],[contenido]],Estructura!$E$4:$G$500,3,0)</f>
        <v>C-991</v>
      </c>
      <c r="Z629" s="118" t="str">
        <f>+VLOOKUP(Agencia[[#This Row],[Filtro Integrado]],Estructura!$I$4:$K$500,3,0)</f>
        <v>FI-991</v>
      </c>
      <c r="AA629" s="118" t="str">
        <f>+VLOOKUP(Agencia[[#This Row],[Muestra]],Estructura!$M$4:$O$500,3,0)</f>
        <v>M-1052</v>
      </c>
    </row>
    <row r="630" spans="1:27" ht="57.6" x14ac:dyDescent="0.3">
      <c r="A630" s="21" t="s">
        <v>1222</v>
      </c>
      <c r="B630" s="24">
        <f t="shared" ref="B630:D630" si="930">+B629</f>
        <v>990</v>
      </c>
      <c r="C630" s="25" t="str">
        <f t="shared" si="930"/>
        <v>Agencia Información</v>
      </c>
      <c r="D630" s="25" t="str">
        <f t="shared" si="930"/>
        <v>Salud</v>
      </c>
      <c r="E630" s="19">
        <v>13</v>
      </c>
      <c r="F630" s="18" t="s">
        <v>819</v>
      </c>
      <c r="G630" s="18" t="s">
        <v>575</v>
      </c>
      <c r="H630" s="35" t="s">
        <v>16</v>
      </c>
      <c r="I630" s="36" t="s">
        <v>380</v>
      </c>
      <c r="J630" s="9" t="str">
        <f t="shared" ref="J630:N630" si="931">+J629</f>
        <v>Comuna</v>
      </c>
      <c r="K630" s="9" t="str">
        <f t="shared" si="931"/>
        <v>Cantidad de fallecidos por 1 MM de habitantes</v>
      </c>
      <c r="L630" s="9" t="str">
        <f t="shared" si="931"/>
        <v>Periodo 2020-2021</v>
      </c>
      <c r="M630" s="9" t="str">
        <f t="shared" si="931"/>
        <v>Número de fallecidos</v>
      </c>
      <c r="N630" s="9" t="str">
        <f t="shared" si="931"/>
        <v>Ministerio de Ciencia, Tecnología, Conocimiento e Innovación</v>
      </c>
      <c r="O630" s="20" t="str">
        <f>+"Evolución de número de fallecidos por 1 millón de habitantes por comuna en la "&amp;I630&amp;" durante el "&amp;Agencia[[#This Row],[temporalidad]]</f>
        <v>Evolución de número de fallecidos por 1 millón de habitantes por comuna en la Región Metropolitana durante el Periodo 2020-2021</v>
      </c>
      <c r="P630" s="20"/>
      <c r="Q630" s="11" t="str">
        <f t="shared" si="852"/>
        <v>Gráfico de Evolución</v>
      </c>
      <c r="R630" s="20" t="str">
        <f>Agencia[[#This Row],[territorio]]&amp;" COVID-19 comuna casos activos fallecidos recuperados acumulados evolución"</f>
        <v>Región Metropolitana COVID-19 comuna casos activos fallecidos recuperados acumulados evolución</v>
      </c>
      <c r="S630" s="102" t="str">
        <f>HYPERLINK("https://analytics.zoho.com/open-view/2395394000008117468?ZOHO_CRITERIA=%22Localiza_CL_Poblacion%22.%22Codreg%22%3D"&amp;Agencia[[#This Row],[Filtro URL]])</f>
        <v>https://analytics.zoho.com/open-view/2395394000008117468?ZOHO_CRITERIA=%22Localiza_CL_Poblacion%22.%22Codreg%22%3D13</v>
      </c>
      <c r="T630" s="69" t="str">
        <f>"200-C-"&amp;Agencia[[#This Row],[Filtro URL]]</f>
        <v>200-C-13</v>
      </c>
      <c r="U630" s="50" t="str">
        <f t="shared" si="853"/>
        <v>#1774B9</v>
      </c>
      <c r="V630" s="118" t="str">
        <f>+Agencia[[#This Row],[idcoleccion]]&amp;"-"&amp;Agencia[[#This Row],[id]]</f>
        <v>990-0619</v>
      </c>
      <c r="W630" s="118">
        <f>+VLOOKUP(Agencia[[#This Row],[Filtro URL]],Estructura!$X$4:$Y$500,2,0)</f>
        <v>99200013</v>
      </c>
      <c r="X630" s="118" t="str">
        <f>+VLOOKUP(Agencia[[#This Row],[tema]],Estructura!$A$4:$C$500,3,0)</f>
        <v>T-1030</v>
      </c>
      <c r="Y630" s="118" t="str">
        <f>+VLOOKUP(Agencia[[#This Row],[contenido]],Estructura!$E$4:$G$500,3,0)</f>
        <v>C-991</v>
      </c>
      <c r="Z630" s="118" t="str">
        <f>+VLOOKUP(Agencia[[#This Row],[Filtro Integrado]],Estructura!$I$4:$K$500,3,0)</f>
        <v>FI-991</v>
      </c>
      <c r="AA630" s="118" t="str">
        <f>+VLOOKUP(Agencia[[#This Row],[Muestra]],Estructura!$M$4:$O$500,3,0)</f>
        <v>M-1052</v>
      </c>
    </row>
    <row r="631" spans="1:27" ht="57.6" x14ac:dyDescent="0.3">
      <c r="A631" s="21" t="s">
        <v>1223</v>
      </c>
      <c r="B631" s="24">
        <f t="shared" ref="B631:D631" si="932">+B630</f>
        <v>990</v>
      </c>
      <c r="C631" s="25" t="str">
        <f t="shared" si="932"/>
        <v>Agencia Información</v>
      </c>
      <c r="D631" s="25" t="str">
        <f t="shared" si="932"/>
        <v>Salud</v>
      </c>
      <c r="E631" s="19">
        <v>14</v>
      </c>
      <c r="F631" s="18" t="s">
        <v>819</v>
      </c>
      <c r="G631" s="18" t="s">
        <v>575</v>
      </c>
      <c r="H631" s="35" t="s">
        <v>16</v>
      </c>
      <c r="I631" s="36" t="s">
        <v>381</v>
      </c>
      <c r="J631" s="9" t="str">
        <f t="shared" ref="J631:N631" si="933">+J630</f>
        <v>Comuna</v>
      </c>
      <c r="K631" s="9" t="str">
        <f t="shared" si="933"/>
        <v>Cantidad de fallecidos por 1 MM de habitantes</v>
      </c>
      <c r="L631" s="9" t="str">
        <f t="shared" si="933"/>
        <v>Periodo 2020-2021</v>
      </c>
      <c r="M631" s="9" t="str">
        <f t="shared" si="933"/>
        <v>Número de fallecidos</v>
      </c>
      <c r="N631" s="9" t="str">
        <f t="shared" si="933"/>
        <v>Ministerio de Ciencia, Tecnología, Conocimiento e Innovación</v>
      </c>
      <c r="O631" s="20" t="str">
        <f>+"Evolución de número de fallecidos por 1 millón de habitantes por comuna en la "&amp;I631&amp;" durante el "&amp;Agencia[[#This Row],[temporalidad]]</f>
        <v>Evolución de número de fallecidos por 1 millón de habitantes por comuna en la Región de Los Ríos durante el Periodo 2020-2021</v>
      </c>
      <c r="P631" s="20"/>
      <c r="Q631" s="11" t="str">
        <f t="shared" si="852"/>
        <v>Gráfico de Evolución</v>
      </c>
      <c r="R631" s="20" t="str">
        <f>Agencia[[#This Row],[territorio]]&amp;" COVID-19 comuna casos activos fallecidos recuperados acumulados evolución"</f>
        <v>Región de Los Ríos COVID-19 comuna casos activos fallecidos recuperados acumulados evolución</v>
      </c>
      <c r="S631" s="102" t="str">
        <f>HYPERLINK("https://analytics.zoho.com/open-view/2395394000008117468?ZOHO_CRITERIA=%22Localiza_CL_Poblacion%22.%22Codreg%22%3D"&amp;Agencia[[#This Row],[Filtro URL]])</f>
        <v>https://analytics.zoho.com/open-view/2395394000008117468?ZOHO_CRITERIA=%22Localiza_CL_Poblacion%22.%22Codreg%22%3D14</v>
      </c>
      <c r="T631" s="69" t="str">
        <f>"100-C-"&amp;Agencia[[#This Row],[Filtro URL]]</f>
        <v>100-C-14</v>
      </c>
      <c r="U631" s="50" t="str">
        <f t="shared" si="853"/>
        <v>#1774B9</v>
      </c>
      <c r="V631" s="118" t="str">
        <f>+Agencia[[#This Row],[idcoleccion]]&amp;"-"&amp;Agencia[[#This Row],[id]]</f>
        <v>990-0620</v>
      </c>
      <c r="W631" s="118">
        <f>+VLOOKUP(Agencia[[#This Row],[Filtro URL]],Estructura!$X$4:$Y$500,2,0)</f>
        <v>99200014</v>
      </c>
      <c r="X631" s="118" t="str">
        <f>+VLOOKUP(Agencia[[#This Row],[tema]],Estructura!$A$4:$C$500,3,0)</f>
        <v>T-1030</v>
      </c>
      <c r="Y631" s="118" t="str">
        <f>+VLOOKUP(Agencia[[#This Row],[contenido]],Estructura!$E$4:$G$500,3,0)</f>
        <v>C-991</v>
      </c>
      <c r="Z631" s="118" t="str">
        <f>+VLOOKUP(Agencia[[#This Row],[Filtro Integrado]],Estructura!$I$4:$K$500,3,0)</f>
        <v>FI-991</v>
      </c>
      <c r="AA631" s="118" t="str">
        <f>+VLOOKUP(Agencia[[#This Row],[Muestra]],Estructura!$M$4:$O$500,3,0)</f>
        <v>M-1052</v>
      </c>
    </row>
    <row r="632" spans="1:27" ht="57.6" x14ac:dyDescent="0.3">
      <c r="A632" s="21" t="s">
        <v>1224</v>
      </c>
      <c r="B632" s="24">
        <f t="shared" ref="B632:D632" si="934">+B631</f>
        <v>990</v>
      </c>
      <c r="C632" s="25" t="str">
        <f t="shared" si="934"/>
        <v>Agencia Información</v>
      </c>
      <c r="D632" s="25" t="str">
        <f t="shared" si="934"/>
        <v>Salud</v>
      </c>
      <c r="E632" s="19">
        <v>15</v>
      </c>
      <c r="F632" s="18" t="s">
        <v>819</v>
      </c>
      <c r="G632" s="18" t="s">
        <v>575</v>
      </c>
      <c r="H632" s="35" t="s">
        <v>16</v>
      </c>
      <c r="I632" s="36" t="s">
        <v>382</v>
      </c>
      <c r="J632" s="9" t="str">
        <f t="shared" ref="J632:N632" si="935">+J631</f>
        <v>Comuna</v>
      </c>
      <c r="K632" s="9" t="str">
        <f t="shared" si="935"/>
        <v>Cantidad de fallecidos por 1 MM de habitantes</v>
      </c>
      <c r="L632" s="9" t="str">
        <f t="shared" si="935"/>
        <v>Periodo 2020-2021</v>
      </c>
      <c r="M632" s="9" t="str">
        <f t="shared" si="935"/>
        <v>Número de fallecidos</v>
      </c>
      <c r="N632" s="9" t="str">
        <f t="shared" si="935"/>
        <v>Ministerio de Ciencia, Tecnología, Conocimiento e Innovación</v>
      </c>
      <c r="O632" s="20" t="str">
        <f>+"Evolución de número de fallecidos por 1 millón de habitantes por comuna en la "&amp;I632&amp;" durante el "&amp;Agencia[[#This Row],[temporalidad]]</f>
        <v>Evolución de número de fallecidos por 1 millón de habitantes por comuna en la Región de Arica y Parinacota durante el Periodo 2020-2021</v>
      </c>
      <c r="P632" s="20"/>
      <c r="Q632" s="11" t="str">
        <f t="shared" si="852"/>
        <v>Gráfico de Evolución</v>
      </c>
      <c r="R632" s="20" t="str">
        <f>Agencia[[#This Row],[territorio]]&amp;" COVID-19 comuna casos activos fallecidos recuperados acumulados evolución"</f>
        <v>Región de Arica y Parinacota COVID-19 comuna casos activos fallecidos recuperados acumulados evolución</v>
      </c>
      <c r="S632" s="102" t="str">
        <f>HYPERLINK("https://analytics.zoho.com/open-view/2395394000008117468?ZOHO_CRITERIA=%22Localiza_CL_Poblacion%22.%22Codreg%22%3D"&amp;Agencia[[#This Row],[Filtro URL]])</f>
        <v>https://analytics.zoho.com/open-view/2395394000008117468?ZOHO_CRITERIA=%22Localiza_CL_Poblacion%22.%22Codreg%22%3D15</v>
      </c>
      <c r="T632" s="69" t="str">
        <f>"100-C-"&amp;Agencia[[#This Row],[Filtro URL]]</f>
        <v>100-C-15</v>
      </c>
      <c r="U632" s="50" t="str">
        <f t="shared" si="853"/>
        <v>#1774B9</v>
      </c>
      <c r="V632" s="118" t="str">
        <f>+Agencia[[#This Row],[idcoleccion]]&amp;"-"&amp;Agencia[[#This Row],[id]]</f>
        <v>990-0621</v>
      </c>
      <c r="W632" s="118">
        <f>+VLOOKUP(Agencia[[#This Row],[Filtro URL]],Estructura!$X$4:$Y$500,2,0)</f>
        <v>99200015</v>
      </c>
      <c r="X632" s="118" t="str">
        <f>+VLOOKUP(Agencia[[#This Row],[tema]],Estructura!$A$4:$C$500,3,0)</f>
        <v>T-1030</v>
      </c>
      <c r="Y632" s="118" t="str">
        <f>+VLOOKUP(Agencia[[#This Row],[contenido]],Estructura!$E$4:$G$500,3,0)</f>
        <v>C-991</v>
      </c>
      <c r="Z632" s="118" t="str">
        <f>+VLOOKUP(Agencia[[#This Row],[Filtro Integrado]],Estructura!$I$4:$K$500,3,0)</f>
        <v>FI-991</v>
      </c>
      <c r="AA632" s="118" t="str">
        <f>+VLOOKUP(Agencia[[#This Row],[Muestra]],Estructura!$M$4:$O$500,3,0)</f>
        <v>M-1052</v>
      </c>
    </row>
    <row r="633" spans="1:27" ht="57.6" x14ac:dyDescent="0.3">
      <c r="A633" s="21" t="s">
        <v>1225</v>
      </c>
      <c r="B633" s="24">
        <f t="shared" ref="B633:D633" si="936">+B632</f>
        <v>990</v>
      </c>
      <c r="C633" s="25" t="str">
        <f t="shared" si="936"/>
        <v>Agencia Información</v>
      </c>
      <c r="D633" s="25" t="str">
        <f t="shared" si="936"/>
        <v>Salud</v>
      </c>
      <c r="E633" s="19">
        <v>16</v>
      </c>
      <c r="F633" s="18" t="s">
        <v>819</v>
      </c>
      <c r="G633" s="18" t="s">
        <v>575</v>
      </c>
      <c r="H633" s="35" t="s">
        <v>16</v>
      </c>
      <c r="I633" s="36" t="s">
        <v>383</v>
      </c>
      <c r="J633" s="9" t="str">
        <f t="shared" ref="J633:N633" si="937">+J632</f>
        <v>Comuna</v>
      </c>
      <c r="K633" s="9" t="str">
        <f t="shared" si="937"/>
        <v>Cantidad de fallecidos por 1 MM de habitantes</v>
      </c>
      <c r="L633" s="9" t="str">
        <f t="shared" si="937"/>
        <v>Periodo 2020-2021</v>
      </c>
      <c r="M633" s="9" t="str">
        <f t="shared" si="937"/>
        <v>Número de fallecidos</v>
      </c>
      <c r="N633" s="9" t="str">
        <f t="shared" si="937"/>
        <v>Ministerio de Ciencia, Tecnología, Conocimiento e Innovación</v>
      </c>
      <c r="O633" s="20" t="str">
        <f>+"Evolución de número de fallecidos por 1 millón de habitantes por comuna en la "&amp;I633&amp;" durante el "&amp;Agencia[[#This Row],[temporalidad]]</f>
        <v>Evolución de número de fallecidos por 1 millón de habitantes por comuna en la Región de Ñuble durante el Periodo 2020-2021</v>
      </c>
      <c r="P633" s="20"/>
      <c r="Q633" s="11" t="str">
        <f t="shared" si="852"/>
        <v>Gráfico de Evolución</v>
      </c>
      <c r="R633" s="20" t="str">
        <f>Agencia[[#This Row],[territorio]]&amp;" COVID-19 comuna casos activos fallecidos recuperados acumulados evolución"</f>
        <v>Región de Ñuble COVID-19 comuna casos activos fallecidos recuperados acumulados evolución</v>
      </c>
      <c r="S633" s="102" t="str">
        <f>HYPERLINK("https://analytics.zoho.com/open-view/2395394000008117468?ZOHO_CRITERIA=%22Localiza_CL_Poblacion%22.%22Codreg%22%3D"&amp;Agencia[[#This Row],[Filtro URL]])</f>
        <v>https://analytics.zoho.com/open-view/2395394000008117468?ZOHO_CRITERIA=%22Localiza_CL_Poblacion%22.%22Codreg%22%3D16</v>
      </c>
      <c r="T633" s="69" t="str">
        <f>"100-C-"&amp;Agencia[[#This Row],[Filtro URL]]</f>
        <v>100-C-16</v>
      </c>
      <c r="U633" s="50" t="str">
        <f t="shared" si="853"/>
        <v>#1774B9</v>
      </c>
      <c r="V633" s="118" t="str">
        <f>+Agencia[[#This Row],[idcoleccion]]&amp;"-"&amp;Agencia[[#This Row],[id]]</f>
        <v>990-0622</v>
      </c>
      <c r="W633" s="118">
        <f>+VLOOKUP(Agencia[[#This Row],[Filtro URL]],Estructura!$X$4:$Y$500,2,0)</f>
        <v>99200016</v>
      </c>
      <c r="X633" s="118" t="str">
        <f>+VLOOKUP(Agencia[[#This Row],[tema]],Estructura!$A$4:$C$500,3,0)</f>
        <v>T-1030</v>
      </c>
      <c r="Y633" s="118" t="str">
        <f>+VLOOKUP(Agencia[[#This Row],[contenido]],Estructura!$E$4:$G$500,3,0)</f>
        <v>C-991</v>
      </c>
      <c r="Z633" s="118" t="str">
        <f>+VLOOKUP(Agencia[[#This Row],[Filtro Integrado]],Estructura!$I$4:$K$500,3,0)</f>
        <v>FI-991</v>
      </c>
      <c r="AA633" s="118" t="str">
        <f>+VLOOKUP(Agencia[[#This Row],[Muestra]],Estructura!$M$4:$O$500,3,0)</f>
        <v>M-1052</v>
      </c>
    </row>
    <row r="634" spans="1:27" ht="61.2" x14ac:dyDescent="0.3">
      <c r="A634" s="21" t="s">
        <v>1226</v>
      </c>
      <c r="B634" s="24">
        <f t="shared" ref="B634:C634" si="938">+B633</f>
        <v>990</v>
      </c>
      <c r="C634" s="25" t="str">
        <f t="shared" si="938"/>
        <v>Agencia Información</v>
      </c>
      <c r="D634" s="25" t="s">
        <v>14</v>
      </c>
      <c r="E634" s="14">
        <v>0</v>
      </c>
      <c r="F634" s="18" t="s">
        <v>1524</v>
      </c>
      <c r="G634" s="18" t="s">
        <v>7427</v>
      </c>
      <c r="H634" s="33" t="s">
        <v>20</v>
      </c>
      <c r="I634" s="34" t="s">
        <v>15</v>
      </c>
      <c r="J634" s="9" t="s">
        <v>1032</v>
      </c>
      <c r="K634" s="9" t="s">
        <v>1574</v>
      </c>
      <c r="L634" s="9" t="s">
        <v>1573</v>
      </c>
      <c r="M634" s="9" t="s">
        <v>1529</v>
      </c>
      <c r="N634" s="9" t="s">
        <v>1526</v>
      </c>
      <c r="O634" s="20" t="str">
        <f>+"Evolución de Puntaje SIMCE de Lectura por Dependencia de Establecimientos para 2° Medio en "&amp;I634&amp;", "&amp;Agencia[[#This Row],[temporalidad]]</f>
        <v>Evolución de Puntaje SIMCE de Lectura por Dependencia de Establecimientos para 2° Medio en Chile, Periodo 2015-2018</v>
      </c>
      <c r="P634" s="20" t="s">
        <v>1572</v>
      </c>
      <c r="Q634" s="11" t="s">
        <v>821</v>
      </c>
      <c r="R634" s="20" t="str">
        <f>Agencia[[#This Row],[territorio]]&amp;" SIMCE media segundo educación puntaje lectura municipal subvencionado corporación lenguaje particular"</f>
        <v>Chile SIMCE media segundo educación puntaje lectura municipal subvencionado corporación lenguaje particular</v>
      </c>
      <c r="S634" s="39" t="s">
        <v>1576</v>
      </c>
      <c r="T634" s="68" t="s">
        <v>1033</v>
      </c>
      <c r="U634" s="50" t="str">
        <f t="shared" si="853"/>
        <v>#1774B9</v>
      </c>
      <c r="V634" s="118" t="str">
        <f>+Agencia[[#This Row],[idcoleccion]]&amp;"-"&amp;Agencia[[#This Row],[id]]</f>
        <v>990-0623</v>
      </c>
      <c r="W634" s="118">
        <f>+VLOOKUP(Agencia[[#This Row],[Filtro URL]],Estructura!$X$4:$Y$500,2,0)</f>
        <v>99100000</v>
      </c>
      <c r="X634" s="118" t="str">
        <f>+VLOOKUP(Agencia[[#This Row],[tema]],Estructura!$A$4:$C$500,3,0)</f>
        <v>T-1043</v>
      </c>
      <c r="Y634" s="118" t="str">
        <f>+VLOOKUP(Agencia[[#This Row],[contenido]],Estructura!$E$4:$G$500,3,0)</f>
        <v>C-1018</v>
      </c>
      <c r="Z634" s="118" t="str">
        <f>+VLOOKUP(Agencia[[#This Row],[Filtro Integrado]],Estructura!$I$4:$K$500,3,0)</f>
        <v>FI-994</v>
      </c>
      <c r="AA634" s="118" t="str">
        <f>+VLOOKUP(Agencia[[#This Row],[Muestra]],Estructura!$M$4:$O$500,3,0)</f>
        <v>M-1053</v>
      </c>
    </row>
    <row r="635" spans="1:27" ht="36" x14ac:dyDescent="0.3">
      <c r="A635" s="21" t="s">
        <v>1227</v>
      </c>
      <c r="B635" s="24">
        <f t="shared" ref="B635:D635" si="939">+B634</f>
        <v>990</v>
      </c>
      <c r="C635" s="25" t="str">
        <f t="shared" si="939"/>
        <v>Agencia Información</v>
      </c>
      <c r="D635" s="25" t="str">
        <f t="shared" si="939"/>
        <v>Educación</v>
      </c>
      <c r="E635" s="19">
        <v>1</v>
      </c>
      <c r="F635" s="18" t="s">
        <v>1524</v>
      </c>
      <c r="G635" s="18" t="s">
        <v>7427</v>
      </c>
      <c r="H635" s="35" t="s">
        <v>16</v>
      </c>
      <c r="I635" s="36" t="s">
        <v>368</v>
      </c>
      <c r="J635" s="9" t="s">
        <v>18</v>
      </c>
      <c r="K635" s="9" t="str">
        <f t="shared" ref="K635:N635" si="940">+K634</f>
        <v>Puntaje promedio por establecimiento</v>
      </c>
      <c r="L635" s="9" t="str">
        <f t="shared" si="940"/>
        <v>Periodo 2015-2018</v>
      </c>
      <c r="M635" s="9" t="str">
        <f t="shared" si="940"/>
        <v>Puntaje</v>
      </c>
      <c r="N635" s="9" t="str">
        <f t="shared" si="940"/>
        <v>Agencia de Calidad de la Educación</v>
      </c>
      <c r="O635" s="20" t="str">
        <f>+"Evolución de Puntaje SIMCE de Lectura por Dependencia de Establecimientos para 2° Medio en la "&amp;I635&amp;", "&amp;Agencia[[#This Row],[temporalidad]]</f>
        <v>Evolución de Puntaje SIMCE de Lectura por Dependencia de Establecimientos para 2° Medio en la Región de Tarapacá, Periodo 2015-2018</v>
      </c>
      <c r="P635" s="20"/>
      <c r="Q635" s="11" t="str">
        <f t="shared" si="852"/>
        <v>Gráfico de Evolución</v>
      </c>
      <c r="R635" s="20" t="str">
        <f>Agencia[[#This Row],[territorio]]&amp;" SIMCE media segundo educación puntaje lectura municipal subvencionado corporación lenguaje particular"</f>
        <v>Región de Tarapacá SIMCE media segundo educación puntaje lectura municipal subvencionado corporación lenguaje particular</v>
      </c>
      <c r="S635" s="22" t="s">
        <v>423</v>
      </c>
      <c r="T635" s="69" t="str">
        <f>"100-C-"&amp;Agencia[[#This Row],[Filtro URL]]</f>
        <v>100-C-1</v>
      </c>
      <c r="U635" s="50" t="str">
        <f t="shared" si="853"/>
        <v>#1774B9</v>
      </c>
      <c r="V635" s="118" t="str">
        <f>+Agencia[[#This Row],[idcoleccion]]&amp;"-"&amp;Agencia[[#This Row],[id]]</f>
        <v>990-0624</v>
      </c>
      <c r="W635" s="118">
        <f>+VLOOKUP(Agencia[[#This Row],[Filtro URL]],Estructura!$X$4:$Y$500,2,0)</f>
        <v>99200001</v>
      </c>
      <c r="X635" s="118" t="str">
        <f>+VLOOKUP(Agencia[[#This Row],[tema]],Estructura!$A$4:$C$500,3,0)</f>
        <v>T-1043</v>
      </c>
      <c r="Y635" s="118" t="str">
        <f>+VLOOKUP(Agencia[[#This Row],[contenido]],Estructura!$E$4:$G$500,3,0)</f>
        <v>C-1018</v>
      </c>
      <c r="Z635" s="118" t="str">
        <f>+VLOOKUP(Agencia[[#This Row],[Filtro Integrado]],Estructura!$I$4:$K$500,3,0)</f>
        <v>FI-991</v>
      </c>
      <c r="AA635" s="118" t="str">
        <f>+VLOOKUP(Agencia[[#This Row],[Muestra]],Estructura!$M$4:$O$500,3,0)</f>
        <v>M-1053</v>
      </c>
    </row>
    <row r="636" spans="1:27" ht="36" x14ac:dyDescent="0.3">
      <c r="A636" s="21" t="s">
        <v>1228</v>
      </c>
      <c r="B636" s="24">
        <f t="shared" ref="B636:D636" si="941">+B635</f>
        <v>990</v>
      </c>
      <c r="C636" s="25" t="str">
        <f t="shared" si="941"/>
        <v>Agencia Información</v>
      </c>
      <c r="D636" s="25" t="str">
        <f t="shared" si="941"/>
        <v>Educación</v>
      </c>
      <c r="E636" s="19">
        <v>2</v>
      </c>
      <c r="F636" s="18" t="s">
        <v>1524</v>
      </c>
      <c r="G636" s="18" t="s">
        <v>7427</v>
      </c>
      <c r="H636" s="35" t="s">
        <v>16</v>
      </c>
      <c r="I636" s="36" t="s">
        <v>369</v>
      </c>
      <c r="J636" s="9" t="str">
        <f t="shared" ref="J636:N636" si="942">+J635</f>
        <v>Comuna</v>
      </c>
      <c r="K636" s="9" t="str">
        <f t="shared" si="942"/>
        <v>Puntaje promedio por establecimiento</v>
      </c>
      <c r="L636" s="9" t="str">
        <f t="shared" si="942"/>
        <v>Periodo 2015-2018</v>
      </c>
      <c r="M636" s="9" t="str">
        <f t="shared" si="942"/>
        <v>Puntaje</v>
      </c>
      <c r="N636" s="9" t="str">
        <f t="shared" si="942"/>
        <v>Agencia de Calidad de la Educación</v>
      </c>
      <c r="O636" s="20" t="str">
        <f>+"Evolución de Puntaje SIMCE de Lectura por Dependencia de Establecimientos para 2° Medio en la "&amp;I636&amp;", "&amp;Agencia[[#This Row],[temporalidad]]</f>
        <v>Evolución de Puntaje SIMCE de Lectura por Dependencia de Establecimientos para 2° Medio en la Región de Antofagasta, Periodo 2015-2018</v>
      </c>
      <c r="P636" s="20"/>
      <c r="Q636" s="11" t="str">
        <f t="shared" si="852"/>
        <v>Gráfico de Evolución</v>
      </c>
      <c r="R636" s="20" t="str">
        <f>Agencia[[#This Row],[territorio]]&amp;" SIMCE media segundo educación puntaje lectura municipal subvencionado corporación lenguaje particular"</f>
        <v>Región de Antofagasta SIMCE media segundo educación puntaje lectura municipal subvencionado corporación lenguaje particular</v>
      </c>
      <c r="S636" s="22" t="s">
        <v>423</v>
      </c>
      <c r="T636" s="69" t="str">
        <f>"100-C-"&amp;Agencia[[#This Row],[Filtro URL]]</f>
        <v>100-C-2</v>
      </c>
      <c r="U636" s="50" t="str">
        <f t="shared" si="853"/>
        <v>#1774B9</v>
      </c>
      <c r="V636" s="118" t="str">
        <f>+Agencia[[#This Row],[idcoleccion]]&amp;"-"&amp;Agencia[[#This Row],[id]]</f>
        <v>990-0625</v>
      </c>
      <c r="W636" s="118">
        <f>+VLOOKUP(Agencia[[#This Row],[Filtro URL]],Estructura!$X$4:$Y$500,2,0)</f>
        <v>99200002</v>
      </c>
      <c r="X636" s="118" t="str">
        <f>+VLOOKUP(Agencia[[#This Row],[tema]],Estructura!$A$4:$C$500,3,0)</f>
        <v>T-1043</v>
      </c>
      <c r="Y636" s="118" t="str">
        <f>+VLOOKUP(Agencia[[#This Row],[contenido]],Estructura!$E$4:$G$500,3,0)</f>
        <v>C-1018</v>
      </c>
      <c r="Z636" s="118" t="str">
        <f>+VLOOKUP(Agencia[[#This Row],[Filtro Integrado]],Estructura!$I$4:$K$500,3,0)</f>
        <v>FI-991</v>
      </c>
      <c r="AA636" s="118" t="str">
        <f>+VLOOKUP(Agencia[[#This Row],[Muestra]],Estructura!$M$4:$O$500,3,0)</f>
        <v>M-1053</v>
      </c>
    </row>
    <row r="637" spans="1:27" ht="36" x14ac:dyDescent="0.3">
      <c r="A637" s="21" t="s">
        <v>1229</v>
      </c>
      <c r="B637" s="24">
        <f t="shared" ref="B637:D637" si="943">+B636</f>
        <v>990</v>
      </c>
      <c r="C637" s="25" t="str">
        <f t="shared" si="943"/>
        <v>Agencia Información</v>
      </c>
      <c r="D637" s="25" t="str">
        <f t="shared" si="943"/>
        <v>Educación</v>
      </c>
      <c r="E637" s="19">
        <v>3</v>
      </c>
      <c r="F637" s="18" t="s">
        <v>1524</v>
      </c>
      <c r="G637" s="18" t="s">
        <v>7427</v>
      </c>
      <c r="H637" s="35" t="s">
        <v>16</v>
      </c>
      <c r="I637" s="36" t="s">
        <v>370</v>
      </c>
      <c r="J637" s="9" t="str">
        <f t="shared" ref="J637:N637" si="944">+J636</f>
        <v>Comuna</v>
      </c>
      <c r="K637" s="9" t="str">
        <f t="shared" si="944"/>
        <v>Puntaje promedio por establecimiento</v>
      </c>
      <c r="L637" s="9" t="str">
        <f t="shared" si="944"/>
        <v>Periodo 2015-2018</v>
      </c>
      <c r="M637" s="9" t="str">
        <f t="shared" si="944"/>
        <v>Puntaje</v>
      </c>
      <c r="N637" s="9" t="str">
        <f t="shared" si="944"/>
        <v>Agencia de Calidad de la Educación</v>
      </c>
      <c r="O637" s="20" t="str">
        <f>+"Evolución de Puntaje SIMCE de Lectura por Dependencia de Establecimientos para 2° Medio en la "&amp;I637&amp;", "&amp;Agencia[[#This Row],[temporalidad]]</f>
        <v>Evolución de Puntaje SIMCE de Lectura por Dependencia de Establecimientos para 2° Medio en la Región de Atacama, Periodo 2015-2018</v>
      </c>
      <c r="P637" s="20"/>
      <c r="Q637" s="11" t="str">
        <f t="shared" si="852"/>
        <v>Gráfico de Evolución</v>
      </c>
      <c r="R637" s="20" t="str">
        <f>Agencia[[#This Row],[territorio]]&amp;" SIMCE media segundo educación puntaje lectura municipal subvencionado corporación lenguaje particular"</f>
        <v>Región de Atacama SIMCE media segundo educación puntaje lectura municipal subvencionado corporación lenguaje particular</v>
      </c>
      <c r="S637" s="22" t="s">
        <v>423</v>
      </c>
      <c r="T637" s="69" t="str">
        <f>"100-C-"&amp;Agencia[[#This Row],[Filtro URL]]</f>
        <v>100-C-3</v>
      </c>
      <c r="U637" s="50" t="str">
        <f t="shared" si="853"/>
        <v>#1774B9</v>
      </c>
      <c r="V637" s="118" t="str">
        <f>+Agencia[[#This Row],[idcoleccion]]&amp;"-"&amp;Agencia[[#This Row],[id]]</f>
        <v>990-0626</v>
      </c>
      <c r="W637" s="118">
        <f>+VLOOKUP(Agencia[[#This Row],[Filtro URL]],Estructura!$X$4:$Y$500,2,0)</f>
        <v>99200003</v>
      </c>
      <c r="X637" s="118" t="str">
        <f>+VLOOKUP(Agencia[[#This Row],[tema]],Estructura!$A$4:$C$500,3,0)</f>
        <v>T-1043</v>
      </c>
      <c r="Y637" s="118" t="str">
        <f>+VLOOKUP(Agencia[[#This Row],[contenido]],Estructura!$E$4:$G$500,3,0)</f>
        <v>C-1018</v>
      </c>
      <c r="Z637" s="118" t="str">
        <f>+VLOOKUP(Agencia[[#This Row],[Filtro Integrado]],Estructura!$I$4:$K$500,3,0)</f>
        <v>FI-991</v>
      </c>
      <c r="AA637" s="118" t="str">
        <f>+VLOOKUP(Agencia[[#This Row],[Muestra]],Estructura!$M$4:$O$500,3,0)</f>
        <v>M-1053</v>
      </c>
    </row>
    <row r="638" spans="1:27" ht="36" x14ac:dyDescent="0.3">
      <c r="A638" s="21" t="s">
        <v>1230</v>
      </c>
      <c r="B638" s="24">
        <f t="shared" ref="B638:D638" si="945">+B637</f>
        <v>990</v>
      </c>
      <c r="C638" s="25" t="str">
        <f t="shared" si="945"/>
        <v>Agencia Información</v>
      </c>
      <c r="D638" s="25" t="str">
        <f t="shared" si="945"/>
        <v>Educación</v>
      </c>
      <c r="E638" s="19">
        <v>4</v>
      </c>
      <c r="F638" s="18" t="s">
        <v>1524</v>
      </c>
      <c r="G638" s="18" t="s">
        <v>7427</v>
      </c>
      <c r="H638" s="35" t="s">
        <v>16</v>
      </c>
      <c r="I638" s="36" t="s">
        <v>371</v>
      </c>
      <c r="J638" s="9" t="str">
        <f t="shared" ref="J638:N638" si="946">+J637</f>
        <v>Comuna</v>
      </c>
      <c r="K638" s="9" t="str">
        <f t="shared" si="946"/>
        <v>Puntaje promedio por establecimiento</v>
      </c>
      <c r="L638" s="9" t="str">
        <f t="shared" si="946"/>
        <v>Periodo 2015-2018</v>
      </c>
      <c r="M638" s="9" t="str">
        <f t="shared" si="946"/>
        <v>Puntaje</v>
      </c>
      <c r="N638" s="9" t="str">
        <f t="shared" si="946"/>
        <v>Agencia de Calidad de la Educación</v>
      </c>
      <c r="O638" s="20" t="str">
        <f>+"Evolución de Puntaje SIMCE de Lectura por Dependencia de Establecimientos para 2° Medio en la "&amp;I638&amp;", "&amp;Agencia[[#This Row],[temporalidad]]</f>
        <v>Evolución de Puntaje SIMCE de Lectura por Dependencia de Establecimientos para 2° Medio en la Región de Coquimbo, Periodo 2015-2018</v>
      </c>
      <c r="P638" s="20"/>
      <c r="Q638" s="11" t="str">
        <f t="shared" si="852"/>
        <v>Gráfico de Evolución</v>
      </c>
      <c r="R638" s="20" t="str">
        <f>Agencia[[#This Row],[territorio]]&amp;" SIMCE media segundo educación puntaje lectura municipal subvencionado corporación lenguaje particular"</f>
        <v>Región de Coquimbo SIMCE media segundo educación puntaje lectura municipal subvencionado corporación lenguaje particular</v>
      </c>
      <c r="S638" s="22" t="s">
        <v>423</v>
      </c>
      <c r="T638" s="69" t="str">
        <f>"100-C-"&amp;Agencia[[#This Row],[Filtro URL]]</f>
        <v>100-C-4</v>
      </c>
      <c r="U638" s="50" t="str">
        <f t="shared" si="853"/>
        <v>#1774B9</v>
      </c>
      <c r="V638" s="118" t="str">
        <f>+Agencia[[#This Row],[idcoleccion]]&amp;"-"&amp;Agencia[[#This Row],[id]]</f>
        <v>990-0627</v>
      </c>
      <c r="W638" s="118">
        <f>+VLOOKUP(Agencia[[#This Row],[Filtro URL]],Estructura!$X$4:$Y$500,2,0)</f>
        <v>99200004</v>
      </c>
      <c r="X638" s="118" t="str">
        <f>+VLOOKUP(Agencia[[#This Row],[tema]],Estructura!$A$4:$C$500,3,0)</f>
        <v>T-1043</v>
      </c>
      <c r="Y638" s="118" t="str">
        <f>+VLOOKUP(Agencia[[#This Row],[contenido]],Estructura!$E$4:$G$500,3,0)</f>
        <v>C-1018</v>
      </c>
      <c r="Z638" s="118" t="str">
        <f>+VLOOKUP(Agencia[[#This Row],[Filtro Integrado]],Estructura!$I$4:$K$500,3,0)</f>
        <v>FI-991</v>
      </c>
      <c r="AA638" s="118" t="str">
        <f>+VLOOKUP(Agencia[[#This Row],[Muestra]],Estructura!$M$4:$O$500,3,0)</f>
        <v>M-1053</v>
      </c>
    </row>
    <row r="639" spans="1:27" ht="36" x14ac:dyDescent="0.3">
      <c r="A639" s="21" t="s">
        <v>1231</v>
      </c>
      <c r="B639" s="24">
        <f t="shared" ref="B639:D639" si="947">+B638</f>
        <v>990</v>
      </c>
      <c r="C639" s="25" t="str">
        <f t="shared" si="947"/>
        <v>Agencia Información</v>
      </c>
      <c r="D639" s="25" t="str">
        <f t="shared" si="947"/>
        <v>Educación</v>
      </c>
      <c r="E639" s="19">
        <v>5</v>
      </c>
      <c r="F639" s="18" t="s">
        <v>1524</v>
      </c>
      <c r="G639" s="18" t="s">
        <v>7427</v>
      </c>
      <c r="H639" s="35" t="s">
        <v>16</v>
      </c>
      <c r="I639" s="36" t="s">
        <v>372</v>
      </c>
      <c r="J639" s="9" t="str">
        <f t="shared" ref="J639:N639" si="948">+J638</f>
        <v>Comuna</v>
      </c>
      <c r="K639" s="9" t="str">
        <f t="shared" si="948"/>
        <v>Puntaje promedio por establecimiento</v>
      </c>
      <c r="L639" s="9" t="str">
        <f t="shared" si="948"/>
        <v>Periodo 2015-2018</v>
      </c>
      <c r="M639" s="9" t="str">
        <f t="shared" si="948"/>
        <v>Puntaje</v>
      </c>
      <c r="N639" s="9" t="str">
        <f t="shared" si="948"/>
        <v>Agencia de Calidad de la Educación</v>
      </c>
      <c r="O639" s="20" t="str">
        <f>+"Evolución de Puntaje SIMCE de Lectura por Dependencia de Establecimientos para 2° Medio en la "&amp;I639&amp;", "&amp;Agencia[[#This Row],[temporalidad]]</f>
        <v>Evolución de Puntaje SIMCE de Lectura por Dependencia de Establecimientos para 2° Medio en la Región de Valparaíso, Periodo 2015-2018</v>
      </c>
      <c r="P639" s="20"/>
      <c r="Q639" s="11" t="str">
        <f t="shared" si="852"/>
        <v>Gráfico de Evolución</v>
      </c>
      <c r="R639" s="20" t="str">
        <f>Agencia[[#This Row],[territorio]]&amp;" SIMCE media segundo educación puntaje lectura municipal subvencionado corporación lenguaje particular"</f>
        <v>Región de Valparaíso SIMCE media segundo educación puntaje lectura municipal subvencionado corporación lenguaje particular</v>
      </c>
      <c r="S639" s="22" t="s">
        <v>423</v>
      </c>
      <c r="T639" s="69" t="str">
        <f>"100-C-"&amp;Agencia[[#This Row],[Filtro URL]]</f>
        <v>100-C-5</v>
      </c>
      <c r="U639" s="50" t="str">
        <f t="shared" si="853"/>
        <v>#1774B9</v>
      </c>
      <c r="V639" s="118" t="str">
        <f>+Agencia[[#This Row],[idcoleccion]]&amp;"-"&amp;Agencia[[#This Row],[id]]</f>
        <v>990-0628</v>
      </c>
      <c r="W639" s="118">
        <f>+VLOOKUP(Agencia[[#This Row],[Filtro URL]],Estructura!$X$4:$Y$500,2,0)</f>
        <v>99200005</v>
      </c>
      <c r="X639" s="118" t="str">
        <f>+VLOOKUP(Agencia[[#This Row],[tema]],Estructura!$A$4:$C$500,3,0)</f>
        <v>T-1043</v>
      </c>
      <c r="Y639" s="118" t="str">
        <f>+VLOOKUP(Agencia[[#This Row],[contenido]],Estructura!$E$4:$G$500,3,0)</f>
        <v>C-1018</v>
      </c>
      <c r="Z639" s="118" t="str">
        <f>+VLOOKUP(Agencia[[#This Row],[Filtro Integrado]],Estructura!$I$4:$K$500,3,0)</f>
        <v>FI-991</v>
      </c>
      <c r="AA639" s="118" t="str">
        <f>+VLOOKUP(Agencia[[#This Row],[Muestra]],Estructura!$M$4:$O$500,3,0)</f>
        <v>M-1053</v>
      </c>
    </row>
    <row r="640" spans="1:27" ht="36" x14ac:dyDescent="0.3">
      <c r="A640" s="21" t="s">
        <v>1232</v>
      </c>
      <c r="B640" s="24">
        <f t="shared" ref="B640:D640" si="949">+B639</f>
        <v>990</v>
      </c>
      <c r="C640" s="25" t="str">
        <f t="shared" si="949"/>
        <v>Agencia Información</v>
      </c>
      <c r="D640" s="25" t="str">
        <f t="shared" si="949"/>
        <v>Educación</v>
      </c>
      <c r="E640" s="19">
        <v>6</v>
      </c>
      <c r="F640" s="18" t="s">
        <v>1524</v>
      </c>
      <c r="G640" s="18" t="s">
        <v>7427</v>
      </c>
      <c r="H640" s="35" t="s">
        <v>16</v>
      </c>
      <c r="I640" s="36" t="s">
        <v>373</v>
      </c>
      <c r="J640" s="9" t="str">
        <f t="shared" ref="J640:N640" si="950">+J639</f>
        <v>Comuna</v>
      </c>
      <c r="K640" s="9" t="str">
        <f t="shared" si="950"/>
        <v>Puntaje promedio por establecimiento</v>
      </c>
      <c r="L640" s="9" t="str">
        <f t="shared" si="950"/>
        <v>Periodo 2015-2018</v>
      </c>
      <c r="M640" s="9" t="str">
        <f t="shared" si="950"/>
        <v>Puntaje</v>
      </c>
      <c r="N640" s="9" t="str">
        <f t="shared" si="950"/>
        <v>Agencia de Calidad de la Educación</v>
      </c>
      <c r="O640" s="20" t="str">
        <f>+"Evolución de Puntaje SIMCE de Lectura por Dependencia de Establecimientos para 2° Medio en la "&amp;I640&amp;", "&amp;Agencia[[#This Row],[temporalidad]]</f>
        <v>Evolución de Puntaje SIMCE de Lectura por Dependencia de Establecimientos para 2° Medio en la Región de O'Higgins, Periodo 2015-2018</v>
      </c>
      <c r="P640" s="20"/>
      <c r="Q640" s="11" t="str">
        <f t="shared" si="852"/>
        <v>Gráfico de Evolución</v>
      </c>
      <c r="R640" s="20" t="str">
        <f>Agencia[[#This Row],[territorio]]&amp;" SIMCE media segundo educación puntaje lectura municipal subvencionado corporación lenguaje particular"</f>
        <v>Región de O'Higgins SIMCE media segundo educación puntaje lectura municipal subvencionado corporación lenguaje particular</v>
      </c>
      <c r="S640" s="22" t="s">
        <v>423</v>
      </c>
      <c r="T640" s="69" t="str">
        <f>"100-C-"&amp;Agencia[[#This Row],[Filtro URL]]</f>
        <v>100-C-6</v>
      </c>
      <c r="U640" s="50" t="str">
        <f t="shared" si="853"/>
        <v>#1774B9</v>
      </c>
      <c r="V640" s="118" t="str">
        <f>+Agencia[[#This Row],[idcoleccion]]&amp;"-"&amp;Agencia[[#This Row],[id]]</f>
        <v>990-0629</v>
      </c>
      <c r="W640" s="118">
        <f>+VLOOKUP(Agencia[[#This Row],[Filtro URL]],Estructura!$X$4:$Y$500,2,0)</f>
        <v>99200006</v>
      </c>
      <c r="X640" s="118" t="str">
        <f>+VLOOKUP(Agencia[[#This Row],[tema]],Estructura!$A$4:$C$500,3,0)</f>
        <v>T-1043</v>
      </c>
      <c r="Y640" s="118" t="str">
        <f>+VLOOKUP(Agencia[[#This Row],[contenido]],Estructura!$E$4:$G$500,3,0)</f>
        <v>C-1018</v>
      </c>
      <c r="Z640" s="118" t="str">
        <f>+VLOOKUP(Agencia[[#This Row],[Filtro Integrado]],Estructura!$I$4:$K$500,3,0)</f>
        <v>FI-991</v>
      </c>
      <c r="AA640" s="118" t="str">
        <f>+VLOOKUP(Agencia[[#This Row],[Muestra]],Estructura!$M$4:$O$500,3,0)</f>
        <v>M-1053</v>
      </c>
    </row>
    <row r="641" spans="1:27" ht="36" x14ac:dyDescent="0.3">
      <c r="A641" s="21" t="s">
        <v>1233</v>
      </c>
      <c r="B641" s="24">
        <f t="shared" ref="B641:D641" si="951">+B640</f>
        <v>990</v>
      </c>
      <c r="C641" s="25" t="str">
        <f t="shared" si="951"/>
        <v>Agencia Información</v>
      </c>
      <c r="D641" s="25" t="str">
        <f t="shared" si="951"/>
        <v>Educación</v>
      </c>
      <c r="E641" s="19">
        <v>7</v>
      </c>
      <c r="F641" s="18" t="s">
        <v>1524</v>
      </c>
      <c r="G641" s="18" t="s">
        <v>7427</v>
      </c>
      <c r="H641" s="35" t="s">
        <v>16</v>
      </c>
      <c r="I641" s="36" t="s">
        <v>374</v>
      </c>
      <c r="J641" s="9" t="str">
        <f t="shared" ref="J641:N641" si="952">+J640</f>
        <v>Comuna</v>
      </c>
      <c r="K641" s="9" t="str">
        <f t="shared" si="952"/>
        <v>Puntaje promedio por establecimiento</v>
      </c>
      <c r="L641" s="9" t="str">
        <f t="shared" si="952"/>
        <v>Periodo 2015-2018</v>
      </c>
      <c r="M641" s="9" t="str">
        <f t="shared" si="952"/>
        <v>Puntaje</v>
      </c>
      <c r="N641" s="9" t="str">
        <f t="shared" si="952"/>
        <v>Agencia de Calidad de la Educación</v>
      </c>
      <c r="O641" s="20" t="str">
        <f>+"Evolución de Puntaje SIMCE de Lectura por Dependencia de Establecimientos para 2° Medio en la "&amp;I641&amp;", "&amp;Agencia[[#This Row],[temporalidad]]</f>
        <v>Evolución de Puntaje SIMCE de Lectura por Dependencia de Establecimientos para 2° Medio en la Región de Maule, Periodo 2015-2018</v>
      </c>
      <c r="P641" s="20"/>
      <c r="Q641" s="11" t="str">
        <f t="shared" si="852"/>
        <v>Gráfico de Evolución</v>
      </c>
      <c r="R641" s="20" t="str">
        <f>Agencia[[#This Row],[territorio]]&amp;" SIMCE media segundo educación puntaje lectura municipal subvencionado corporación lenguaje particular"</f>
        <v>Región de Maule SIMCE media segundo educación puntaje lectura municipal subvencionado corporación lenguaje particular</v>
      </c>
      <c r="S641" s="22" t="s">
        <v>423</v>
      </c>
      <c r="T641" s="69" t="str">
        <f>"100-C-"&amp;Agencia[[#This Row],[Filtro URL]]</f>
        <v>100-C-7</v>
      </c>
      <c r="U641" s="50" t="str">
        <f t="shared" si="853"/>
        <v>#1774B9</v>
      </c>
      <c r="V641" s="118" t="str">
        <f>+Agencia[[#This Row],[idcoleccion]]&amp;"-"&amp;Agencia[[#This Row],[id]]</f>
        <v>990-0630</v>
      </c>
      <c r="W641" s="118">
        <f>+VLOOKUP(Agencia[[#This Row],[Filtro URL]],Estructura!$X$4:$Y$500,2,0)</f>
        <v>99200007</v>
      </c>
      <c r="X641" s="118" t="str">
        <f>+VLOOKUP(Agencia[[#This Row],[tema]],Estructura!$A$4:$C$500,3,0)</f>
        <v>T-1043</v>
      </c>
      <c r="Y641" s="118" t="str">
        <f>+VLOOKUP(Agencia[[#This Row],[contenido]],Estructura!$E$4:$G$500,3,0)</f>
        <v>C-1018</v>
      </c>
      <c r="Z641" s="118" t="str">
        <f>+VLOOKUP(Agencia[[#This Row],[Filtro Integrado]],Estructura!$I$4:$K$500,3,0)</f>
        <v>FI-991</v>
      </c>
      <c r="AA641" s="118" t="str">
        <f>+VLOOKUP(Agencia[[#This Row],[Muestra]],Estructura!$M$4:$O$500,3,0)</f>
        <v>M-1053</v>
      </c>
    </row>
    <row r="642" spans="1:27" ht="36" x14ac:dyDescent="0.3">
      <c r="A642" s="21" t="s">
        <v>1234</v>
      </c>
      <c r="B642" s="24">
        <f t="shared" ref="B642:D642" si="953">+B641</f>
        <v>990</v>
      </c>
      <c r="C642" s="25" t="str">
        <f t="shared" si="953"/>
        <v>Agencia Información</v>
      </c>
      <c r="D642" s="25" t="str">
        <f t="shared" si="953"/>
        <v>Educación</v>
      </c>
      <c r="E642" s="19">
        <v>8</v>
      </c>
      <c r="F642" s="18" t="s">
        <v>1524</v>
      </c>
      <c r="G642" s="18" t="s">
        <v>7427</v>
      </c>
      <c r="H642" s="35" t="s">
        <v>16</v>
      </c>
      <c r="I642" s="36" t="s">
        <v>375</v>
      </c>
      <c r="J642" s="9" t="str">
        <f t="shared" ref="J642:N642" si="954">+J641</f>
        <v>Comuna</v>
      </c>
      <c r="K642" s="9" t="str">
        <f t="shared" si="954"/>
        <v>Puntaje promedio por establecimiento</v>
      </c>
      <c r="L642" s="9" t="str">
        <f t="shared" si="954"/>
        <v>Periodo 2015-2018</v>
      </c>
      <c r="M642" s="9" t="str">
        <f t="shared" si="954"/>
        <v>Puntaje</v>
      </c>
      <c r="N642" s="9" t="str">
        <f t="shared" si="954"/>
        <v>Agencia de Calidad de la Educación</v>
      </c>
      <c r="O642" s="20" t="str">
        <f>+"Evolución de Puntaje SIMCE de Lectura por Dependencia de Establecimientos para 2° Medio en la "&amp;I642&amp;", "&amp;Agencia[[#This Row],[temporalidad]]</f>
        <v>Evolución de Puntaje SIMCE de Lectura por Dependencia de Establecimientos para 2° Medio en la Región del Biobío, Periodo 2015-2018</v>
      </c>
      <c r="P642" s="20"/>
      <c r="Q642" s="11" t="str">
        <f t="shared" si="852"/>
        <v>Gráfico de Evolución</v>
      </c>
      <c r="R642" s="20" t="str">
        <f>Agencia[[#This Row],[territorio]]&amp;" SIMCE media segundo educación puntaje lectura municipal subvencionado corporación lenguaje particular"</f>
        <v>Región del Biobío SIMCE media segundo educación puntaje lectura municipal subvencionado corporación lenguaje particular</v>
      </c>
      <c r="S642" s="22" t="s">
        <v>423</v>
      </c>
      <c r="T642" s="69" t="str">
        <f>"100-C-"&amp;Agencia[[#This Row],[Filtro URL]]</f>
        <v>100-C-8</v>
      </c>
      <c r="U642" s="50" t="str">
        <f t="shared" si="853"/>
        <v>#1774B9</v>
      </c>
      <c r="V642" s="118" t="str">
        <f>+Agencia[[#This Row],[idcoleccion]]&amp;"-"&amp;Agencia[[#This Row],[id]]</f>
        <v>990-0631</v>
      </c>
      <c r="W642" s="118">
        <f>+VLOOKUP(Agencia[[#This Row],[Filtro URL]],Estructura!$X$4:$Y$500,2,0)</f>
        <v>99200008</v>
      </c>
      <c r="X642" s="118" t="str">
        <f>+VLOOKUP(Agencia[[#This Row],[tema]],Estructura!$A$4:$C$500,3,0)</f>
        <v>T-1043</v>
      </c>
      <c r="Y642" s="118" t="str">
        <f>+VLOOKUP(Agencia[[#This Row],[contenido]],Estructura!$E$4:$G$500,3,0)</f>
        <v>C-1018</v>
      </c>
      <c r="Z642" s="118" t="str">
        <f>+VLOOKUP(Agencia[[#This Row],[Filtro Integrado]],Estructura!$I$4:$K$500,3,0)</f>
        <v>FI-991</v>
      </c>
      <c r="AA642" s="118" t="str">
        <f>+VLOOKUP(Agencia[[#This Row],[Muestra]],Estructura!$M$4:$O$500,3,0)</f>
        <v>M-1053</v>
      </c>
    </row>
    <row r="643" spans="1:27" ht="36" x14ac:dyDescent="0.3">
      <c r="A643" s="21" t="s">
        <v>1235</v>
      </c>
      <c r="B643" s="24">
        <f t="shared" ref="B643:D643" si="955">+B642</f>
        <v>990</v>
      </c>
      <c r="C643" s="25" t="str">
        <f t="shared" si="955"/>
        <v>Agencia Información</v>
      </c>
      <c r="D643" s="25" t="str">
        <f t="shared" si="955"/>
        <v>Educación</v>
      </c>
      <c r="E643" s="19">
        <v>9</v>
      </c>
      <c r="F643" s="18" t="s">
        <v>1524</v>
      </c>
      <c r="G643" s="18" t="s">
        <v>7427</v>
      </c>
      <c r="H643" s="35" t="s">
        <v>16</v>
      </c>
      <c r="I643" s="36" t="s">
        <v>376</v>
      </c>
      <c r="J643" s="9" t="str">
        <f t="shared" ref="J643:N643" si="956">+J642</f>
        <v>Comuna</v>
      </c>
      <c r="K643" s="9" t="str">
        <f t="shared" si="956"/>
        <v>Puntaje promedio por establecimiento</v>
      </c>
      <c r="L643" s="9" t="str">
        <f t="shared" si="956"/>
        <v>Periodo 2015-2018</v>
      </c>
      <c r="M643" s="9" t="str">
        <f t="shared" si="956"/>
        <v>Puntaje</v>
      </c>
      <c r="N643" s="9" t="str">
        <f t="shared" si="956"/>
        <v>Agencia de Calidad de la Educación</v>
      </c>
      <c r="O643" s="20" t="str">
        <f>+"Evolución de Puntaje SIMCE de Lectura por Dependencia de Establecimientos para 2° Medio en la "&amp;I643&amp;", "&amp;Agencia[[#This Row],[temporalidad]]</f>
        <v>Evolución de Puntaje SIMCE de Lectura por Dependencia de Establecimientos para 2° Medio en la Región de La Araucanía, Periodo 2015-2018</v>
      </c>
      <c r="P643" s="20"/>
      <c r="Q643" s="11" t="str">
        <f t="shared" si="852"/>
        <v>Gráfico de Evolución</v>
      </c>
      <c r="R643" s="20" t="str">
        <f>Agencia[[#This Row],[territorio]]&amp;" SIMCE media segundo educación puntaje lectura municipal subvencionado corporación lenguaje particular"</f>
        <v>Región de La Araucanía SIMCE media segundo educación puntaje lectura municipal subvencionado corporación lenguaje particular</v>
      </c>
      <c r="S643" s="22" t="s">
        <v>423</v>
      </c>
      <c r="T643" s="69" t="str">
        <f>"100-C-"&amp;Agencia[[#This Row],[Filtro URL]]</f>
        <v>100-C-9</v>
      </c>
      <c r="U643" s="50" t="str">
        <f t="shared" si="853"/>
        <v>#1774B9</v>
      </c>
      <c r="V643" s="118" t="str">
        <f>+Agencia[[#This Row],[idcoleccion]]&amp;"-"&amp;Agencia[[#This Row],[id]]</f>
        <v>990-0632</v>
      </c>
      <c r="W643" s="118">
        <f>+VLOOKUP(Agencia[[#This Row],[Filtro URL]],Estructura!$X$4:$Y$500,2,0)</f>
        <v>99200009</v>
      </c>
      <c r="X643" s="118" t="str">
        <f>+VLOOKUP(Agencia[[#This Row],[tema]],Estructura!$A$4:$C$500,3,0)</f>
        <v>T-1043</v>
      </c>
      <c r="Y643" s="118" t="str">
        <f>+VLOOKUP(Agencia[[#This Row],[contenido]],Estructura!$E$4:$G$500,3,0)</f>
        <v>C-1018</v>
      </c>
      <c r="Z643" s="118" t="str">
        <f>+VLOOKUP(Agencia[[#This Row],[Filtro Integrado]],Estructura!$I$4:$K$500,3,0)</f>
        <v>FI-991</v>
      </c>
      <c r="AA643" s="118" t="str">
        <f>+VLOOKUP(Agencia[[#This Row],[Muestra]],Estructura!$M$4:$O$500,3,0)</f>
        <v>M-1053</v>
      </c>
    </row>
    <row r="644" spans="1:27" ht="36" x14ac:dyDescent="0.3">
      <c r="A644" s="21" t="s">
        <v>1236</v>
      </c>
      <c r="B644" s="24">
        <f t="shared" ref="B644:D644" si="957">+B643</f>
        <v>990</v>
      </c>
      <c r="C644" s="25" t="str">
        <f t="shared" si="957"/>
        <v>Agencia Información</v>
      </c>
      <c r="D644" s="25" t="str">
        <f t="shared" si="957"/>
        <v>Educación</v>
      </c>
      <c r="E644" s="19">
        <v>10</v>
      </c>
      <c r="F644" s="18" t="s">
        <v>1524</v>
      </c>
      <c r="G644" s="18" t="s">
        <v>7427</v>
      </c>
      <c r="H644" s="35" t="s">
        <v>16</v>
      </c>
      <c r="I644" s="36" t="s">
        <v>377</v>
      </c>
      <c r="J644" s="9" t="str">
        <f t="shared" ref="J644:N644" si="958">+J643</f>
        <v>Comuna</v>
      </c>
      <c r="K644" s="9" t="str">
        <f t="shared" si="958"/>
        <v>Puntaje promedio por establecimiento</v>
      </c>
      <c r="L644" s="9" t="str">
        <f t="shared" si="958"/>
        <v>Periodo 2015-2018</v>
      </c>
      <c r="M644" s="9" t="str">
        <f t="shared" si="958"/>
        <v>Puntaje</v>
      </c>
      <c r="N644" s="9" t="str">
        <f t="shared" si="958"/>
        <v>Agencia de Calidad de la Educación</v>
      </c>
      <c r="O644" s="20" t="str">
        <f>+"Evolución de Puntaje SIMCE de Lectura por Dependencia de Establecimientos para 2° Medio en la "&amp;I644&amp;", "&amp;Agencia[[#This Row],[temporalidad]]</f>
        <v>Evolución de Puntaje SIMCE de Lectura por Dependencia de Establecimientos para 2° Medio en la Región de Los Lagos, Periodo 2015-2018</v>
      </c>
      <c r="P644" s="20"/>
      <c r="Q644" s="11" t="str">
        <f t="shared" si="852"/>
        <v>Gráfico de Evolución</v>
      </c>
      <c r="R644" s="20" t="str">
        <f>Agencia[[#This Row],[territorio]]&amp;" SIMCE media segundo educación puntaje lectura municipal subvencionado corporación lenguaje particular"</f>
        <v>Región de Los Lagos SIMCE media segundo educación puntaje lectura municipal subvencionado corporación lenguaje particular</v>
      </c>
      <c r="S644" s="22" t="s">
        <v>423</v>
      </c>
      <c r="T644" s="69" t="str">
        <f>"100-C-"&amp;Agencia[[#This Row],[Filtro URL]]</f>
        <v>100-C-10</v>
      </c>
      <c r="U644" s="50" t="str">
        <f t="shared" si="853"/>
        <v>#1774B9</v>
      </c>
      <c r="V644" s="118" t="str">
        <f>+Agencia[[#This Row],[idcoleccion]]&amp;"-"&amp;Agencia[[#This Row],[id]]</f>
        <v>990-0633</v>
      </c>
      <c r="W644" s="118">
        <f>+VLOOKUP(Agencia[[#This Row],[Filtro URL]],Estructura!$X$4:$Y$500,2,0)</f>
        <v>99200010</v>
      </c>
      <c r="X644" s="118" t="str">
        <f>+VLOOKUP(Agencia[[#This Row],[tema]],Estructura!$A$4:$C$500,3,0)</f>
        <v>T-1043</v>
      </c>
      <c r="Y644" s="118" t="str">
        <f>+VLOOKUP(Agencia[[#This Row],[contenido]],Estructura!$E$4:$G$500,3,0)</f>
        <v>C-1018</v>
      </c>
      <c r="Z644" s="118" t="str">
        <f>+VLOOKUP(Agencia[[#This Row],[Filtro Integrado]],Estructura!$I$4:$K$500,3,0)</f>
        <v>FI-991</v>
      </c>
      <c r="AA644" s="118" t="str">
        <f>+VLOOKUP(Agencia[[#This Row],[Muestra]],Estructura!$M$4:$O$500,3,0)</f>
        <v>M-1053</v>
      </c>
    </row>
    <row r="645" spans="1:27" ht="36" x14ac:dyDescent="0.3">
      <c r="A645" s="21" t="s">
        <v>1237</v>
      </c>
      <c r="B645" s="24">
        <f t="shared" ref="B645:D645" si="959">+B644</f>
        <v>990</v>
      </c>
      <c r="C645" s="25" t="str">
        <f t="shared" si="959"/>
        <v>Agencia Información</v>
      </c>
      <c r="D645" s="25" t="str">
        <f t="shared" si="959"/>
        <v>Educación</v>
      </c>
      <c r="E645" s="19">
        <v>11</v>
      </c>
      <c r="F645" s="18" t="s">
        <v>1524</v>
      </c>
      <c r="G645" s="18" t="s">
        <v>7427</v>
      </c>
      <c r="H645" s="35" t="s">
        <v>16</v>
      </c>
      <c r="I645" s="36" t="s">
        <v>378</v>
      </c>
      <c r="J645" s="9" t="str">
        <f t="shared" ref="J645:N645" si="960">+J644</f>
        <v>Comuna</v>
      </c>
      <c r="K645" s="9" t="str">
        <f t="shared" si="960"/>
        <v>Puntaje promedio por establecimiento</v>
      </c>
      <c r="L645" s="9" t="str">
        <f t="shared" si="960"/>
        <v>Periodo 2015-2018</v>
      </c>
      <c r="M645" s="9" t="str">
        <f t="shared" si="960"/>
        <v>Puntaje</v>
      </c>
      <c r="N645" s="9" t="str">
        <f t="shared" si="960"/>
        <v>Agencia de Calidad de la Educación</v>
      </c>
      <c r="O645" s="20" t="str">
        <f>+"Evolución de Puntaje SIMCE de Lectura por Dependencia de Establecimientos para 2° Medio en la "&amp;I645&amp;", "&amp;Agencia[[#This Row],[temporalidad]]</f>
        <v>Evolución de Puntaje SIMCE de Lectura por Dependencia de Establecimientos para 2° Medio en la Región de Aysén, Periodo 2015-2018</v>
      </c>
      <c r="P645" s="20"/>
      <c r="Q645" s="11" t="str">
        <f t="shared" si="852"/>
        <v>Gráfico de Evolución</v>
      </c>
      <c r="R645" s="20" t="str">
        <f>Agencia[[#This Row],[territorio]]&amp;" SIMCE media segundo educación puntaje lectura municipal subvencionado corporación lenguaje particular"</f>
        <v>Región de Aysén SIMCE media segundo educación puntaje lectura municipal subvencionado corporación lenguaje particular</v>
      </c>
      <c r="S645" s="22" t="s">
        <v>423</v>
      </c>
      <c r="T645" s="69" t="str">
        <f>"100-C-"&amp;Agencia[[#This Row],[Filtro URL]]</f>
        <v>100-C-11</v>
      </c>
      <c r="U645" s="50" t="str">
        <f t="shared" si="853"/>
        <v>#1774B9</v>
      </c>
      <c r="V645" s="118" t="str">
        <f>+Agencia[[#This Row],[idcoleccion]]&amp;"-"&amp;Agencia[[#This Row],[id]]</f>
        <v>990-0634</v>
      </c>
      <c r="W645" s="118">
        <f>+VLOOKUP(Agencia[[#This Row],[Filtro URL]],Estructura!$X$4:$Y$500,2,0)</f>
        <v>99200011</v>
      </c>
      <c r="X645" s="118" t="str">
        <f>+VLOOKUP(Agencia[[#This Row],[tema]],Estructura!$A$4:$C$500,3,0)</f>
        <v>T-1043</v>
      </c>
      <c r="Y645" s="118" t="str">
        <f>+VLOOKUP(Agencia[[#This Row],[contenido]],Estructura!$E$4:$G$500,3,0)</f>
        <v>C-1018</v>
      </c>
      <c r="Z645" s="118" t="str">
        <f>+VLOOKUP(Agencia[[#This Row],[Filtro Integrado]],Estructura!$I$4:$K$500,3,0)</f>
        <v>FI-991</v>
      </c>
      <c r="AA645" s="118" t="str">
        <f>+VLOOKUP(Agencia[[#This Row],[Muestra]],Estructura!$M$4:$O$500,3,0)</f>
        <v>M-1053</v>
      </c>
    </row>
    <row r="646" spans="1:27" ht="36" x14ac:dyDescent="0.3">
      <c r="A646" s="21" t="s">
        <v>1238</v>
      </c>
      <c r="B646" s="24">
        <f t="shared" ref="B646:D646" si="961">+B645</f>
        <v>990</v>
      </c>
      <c r="C646" s="25" t="str">
        <f t="shared" si="961"/>
        <v>Agencia Información</v>
      </c>
      <c r="D646" s="25" t="str">
        <f t="shared" si="961"/>
        <v>Educación</v>
      </c>
      <c r="E646" s="19">
        <v>12</v>
      </c>
      <c r="F646" s="18" t="s">
        <v>1524</v>
      </c>
      <c r="G646" s="18" t="s">
        <v>7427</v>
      </c>
      <c r="H646" s="35" t="s">
        <v>16</v>
      </c>
      <c r="I646" s="36" t="s">
        <v>379</v>
      </c>
      <c r="J646" s="9" t="str">
        <f t="shared" ref="J646:N646" si="962">+J645</f>
        <v>Comuna</v>
      </c>
      <c r="K646" s="9" t="str">
        <f t="shared" si="962"/>
        <v>Puntaje promedio por establecimiento</v>
      </c>
      <c r="L646" s="9" t="str">
        <f t="shared" si="962"/>
        <v>Periodo 2015-2018</v>
      </c>
      <c r="M646" s="9" t="str">
        <f t="shared" si="962"/>
        <v>Puntaje</v>
      </c>
      <c r="N646" s="9" t="str">
        <f t="shared" si="962"/>
        <v>Agencia de Calidad de la Educación</v>
      </c>
      <c r="O646" s="20" t="str">
        <f>+"Evolución de Puntaje SIMCE de Lectura por Dependencia de Establecimientos para 2° Medio en la "&amp;I646&amp;", "&amp;Agencia[[#This Row],[temporalidad]]</f>
        <v>Evolución de Puntaje SIMCE de Lectura por Dependencia de Establecimientos para 2° Medio en la Región de Magallanes, Periodo 2015-2018</v>
      </c>
      <c r="P646" s="20"/>
      <c r="Q646" s="11" t="str">
        <f t="shared" si="852"/>
        <v>Gráfico de Evolución</v>
      </c>
      <c r="R646" s="20" t="str">
        <f>Agencia[[#This Row],[territorio]]&amp;" SIMCE media segundo educación puntaje lectura municipal subvencionado corporación lenguaje particular"</f>
        <v>Región de Magallanes SIMCE media segundo educación puntaje lectura municipal subvencionado corporación lenguaje particular</v>
      </c>
      <c r="S646" s="22" t="s">
        <v>423</v>
      </c>
      <c r="T646" s="69" t="str">
        <f>"100-C-"&amp;Agencia[[#This Row],[Filtro URL]]</f>
        <v>100-C-12</v>
      </c>
      <c r="U646" s="50" t="str">
        <f t="shared" si="853"/>
        <v>#1774B9</v>
      </c>
      <c r="V646" s="118" t="str">
        <f>+Agencia[[#This Row],[idcoleccion]]&amp;"-"&amp;Agencia[[#This Row],[id]]</f>
        <v>990-0635</v>
      </c>
      <c r="W646" s="118">
        <f>+VLOOKUP(Agencia[[#This Row],[Filtro URL]],Estructura!$X$4:$Y$500,2,0)</f>
        <v>99200012</v>
      </c>
      <c r="X646" s="118" t="str">
        <f>+VLOOKUP(Agencia[[#This Row],[tema]],Estructura!$A$4:$C$500,3,0)</f>
        <v>T-1043</v>
      </c>
      <c r="Y646" s="118" t="str">
        <f>+VLOOKUP(Agencia[[#This Row],[contenido]],Estructura!$E$4:$G$500,3,0)</f>
        <v>C-1018</v>
      </c>
      <c r="Z646" s="118" t="str">
        <f>+VLOOKUP(Agencia[[#This Row],[Filtro Integrado]],Estructura!$I$4:$K$500,3,0)</f>
        <v>FI-991</v>
      </c>
      <c r="AA646" s="118" t="str">
        <f>+VLOOKUP(Agencia[[#This Row],[Muestra]],Estructura!$M$4:$O$500,3,0)</f>
        <v>M-1053</v>
      </c>
    </row>
    <row r="647" spans="1:27" ht="36" x14ac:dyDescent="0.3">
      <c r="A647" s="21" t="s">
        <v>1239</v>
      </c>
      <c r="B647" s="24">
        <f t="shared" ref="B647:D647" si="963">+B646</f>
        <v>990</v>
      </c>
      <c r="C647" s="25" t="str">
        <f t="shared" si="963"/>
        <v>Agencia Información</v>
      </c>
      <c r="D647" s="25" t="str">
        <f t="shared" si="963"/>
        <v>Educación</v>
      </c>
      <c r="E647" s="19">
        <v>13</v>
      </c>
      <c r="F647" s="18" t="s">
        <v>1524</v>
      </c>
      <c r="G647" s="18" t="s">
        <v>7427</v>
      </c>
      <c r="H647" s="35" t="s">
        <v>16</v>
      </c>
      <c r="I647" s="36" t="s">
        <v>380</v>
      </c>
      <c r="J647" s="9" t="str">
        <f t="shared" ref="J647:N647" si="964">+J646</f>
        <v>Comuna</v>
      </c>
      <c r="K647" s="9" t="str">
        <f t="shared" si="964"/>
        <v>Puntaje promedio por establecimiento</v>
      </c>
      <c r="L647" s="9" t="str">
        <f t="shared" si="964"/>
        <v>Periodo 2015-2018</v>
      </c>
      <c r="M647" s="9" t="str">
        <f t="shared" si="964"/>
        <v>Puntaje</v>
      </c>
      <c r="N647" s="9" t="str">
        <f t="shared" si="964"/>
        <v>Agencia de Calidad de la Educación</v>
      </c>
      <c r="O647" s="20" t="str">
        <f>+"Evolución de Puntaje SIMCE de Lectura por Dependencia de Establecimientos para 2° Medio en la "&amp;I647&amp;", "&amp;Agencia[[#This Row],[temporalidad]]</f>
        <v>Evolución de Puntaje SIMCE de Lectura por Dependencia de Establecimientos para 2° Medio en la Región Metropolitana, Periodo 2015-2018</v>
      </c>
      <c r="P647" s="20"/>
      <c r="Q647" s="11" t="str">
        <f t="shared" si="852"/>
        <v>Gráfico de Evolución</v>
      </c>
      <c r="R647" s="20" t="str">
        <f>Agencia[[#This Row],[territorio]]&amp;" SIMCE media segundo educación puntaje lectura municipal subvencionado corporación lenguaje particular"</f>
        <v>Región Metropolitana SIMCE media segundo educación puntaje lectura municipal subvencionado corporación lenguaje particular</v>
      </c>
      <c r="S647" s="22" t="s">
        <v>423</v>
      </c>
      <c r="T647" s="69" t="str">
        <f>"200-C-"&amp;Agencia[[#This Row],[Filtro URL]]</f>
        <v>200-C-13</v>
      </c>
      <c r="U647" s="50" t="str">
        <f t="shared" si="853"/>
        <v>#1774B9</v>
      </c>
      <c r="V647" s="118" t="str">
        <f>+Agencia[[#This Row],[idcoleccion]]&amp;"-"&amp;Agencia[[#This Row],[id]]</f>
        <v>990-0636</v>
      </c>
      <c r="W647" s="118">
        <f>+VLOOKUP(Agencia[[#This Row],[Filtro URL]],Estructura!$X$4:$Y$500,2,0)</f>
        <v>99200013</v>
      </c>
      <c r="X647" s="118" t="str">
        <f>+VLOOKUP(Agencia[[#This Row],[tema]],Estructura!$A$4:$C$500,3,0)</f>
        <v>T-1043</v>
      </c>
      <c r="Y647" s="118" t="str">
        <f>+VLOOKUP(Agencia[[#This Row],[contenido]],Estructura!$E$4:$G$500,3,0)</f>
        <v>C-1018</v>
      </c>
      <c r="Z647" s="118" t="str">
        <f>+VLOOKUP(Agencia[[#This Row],[Filtro Integrado]],Estructura!$I$4:$K$500,3,0)</f>
        <v>FI-991</v>
      </c>
      <c r="AA647" s="118" t="str">
        <f>+VLOOKUP(Agencia[[#This Row],[Muestra]],Estructura!$M$4:$O$500,3,0)</f>
        <v>M-1053</v>
      </c>
    </row>
    <row r="648" spans="1:27" ht="36" x14ac:dyDescent="0.3">
      <c r="A648" s="21" t="s">
        <v>1240</v>
      </c>
      <c r="B648" s="24">
        <f t="shared" ref="B648:D648" si="965">+B647</f>
        <v>990</v>
      </c>
      <c r="C648" s="25" t="str">
        <f t="shared" si="965"/>
        <v>Agencia Información</v>
      </c>
      <c r="D648" s="25" t="str">
        <f t="shared" si="965"/>
        <v>Educación</v>
      </c>
      <c r="E648" s="19">
        <v>14</v>
      </c>
      <c r="F648" s="18" t="s">
        <v>1524</v>
      </c>
      <c r="G648" s="18" t="s">
        <v>7427</v>
      </c>
      <c r="H648" s="35" t="s">
        <v>16</v>
      </c>
      <c r="I648" s="36" t="s">
        <v>381</v>
      </c>
      <c r="J648" s="9" t="str">
        <f t="shared" ref="J648:N648" si="966">+J647</f>
        <v>Comuna</v>
      </c>
      <c r="K648" s="9" t="str">
        <f t="shared" si="966"/>
        <v>Puntaje promedio por establecimiento</v>
      </c>
      <c r="L648" s="9" t="str">
        <f t="shared" si="966"/>
        <v>Periodo 2015-2018</v>
      </c>
      <c r="M648" s="9" t="str">
        <f t="shared" si="966"/>
        <v>Puntaje</v>
      </c>
      <c r="N648" s="9" t="str">
        <f t="shared" si="966"/>
        <v>Agencia de Calidad de la Educación</v>
      </c>
      <c r="O648" s="20" t="str">
        <f>+"Evolución de Puntaje SIMCE de Lectura por Dependencia de Establecimientos para 2° Medio en la "&amp;I648&amp;", "&amp;Agencia[[#This Row],[temporalidad]]</f>
        <v>Evolución de Puntaje SIMCE de Lectura por Dependencia de Establecimientos para 2° Medio en la Región de Los Ríos, Periodo 2015-2018</v>
      </c>
      <c r="P648" s="20"/>
      <c r="Q648" s="11" t="str">
        <f t="shared" si="852"/>
        <v>Gráfico de Evolución</v>
      </c>
      <c r="R648" s="20" t="str">
        <f>Agencia[[#This Row],[territorio]]&amp;" SIMCE media segundo educación puntaje lectura municipal subvencionado corporación lenguaje particular"</f>
        <v>Región de Los Ríos SIMCE media segundo educación puntaje lectura municipal subvencionado corporación lenguaje particular</v>
      </c>
      <c r="S648" s="22" t="s">
        <v>423</v>
      </c>
      <c r="T648" s="69" t="str">
        <f>"100-C-"&amp;Agencia[[#This Row],[Filtro URL]]</f>
        <v>100-C-14</v>
      </c>
      <c r="U648" s="50" t="str">
        <f t="shared" si="853"/>
        <v>#1774B9</v>
      </c>
      <c r="V648" s="118" t="str">
        <f>+Agencia[[#This Row],[idcoleccion]]&amp;"-"&amp;Agencia[[#This Row],[id]]</f>
        <v>990-0637</v>
      </c>
      <c r="W648" s="118">
        <f>+VLOOKUP(Agencia[[#This Row],[Filtro URL]],Estructura!$X$4:$Y$500,2,0)</f>
        <v>99200014</v>
      </c>
      <c r="X648" s="118" t="str">
        <f>+VLOOKUP(Agencia[[#This Row],[tema]],Estructura!$A$4:$C$500,3,0)</f>
        <v>T-1043</v>
      </c>
      <c r="Y648" s="118" t="str">
        <f>+VLOOKUP(Agencia[[#This Row],[contenido]],Estructura!$E$4:$G$500,3,0)</f>
        <v>C-1018</v>
      </c>
      <c r="Z648" s="118" t="str">
        <f>+VLOOKUP(Agencia[[#This Row],[Filtro Integrado]],Estructura!$I$4:$K$500,3,0)</f>
        <v>FI-991</v>
      </c>
      <c r="AA648" s="118" t="str">
        <f>+VLOOKUP(Agencia[[#This Row],[Muestra]],Estructura!$M$4:$O$500,3,0)</f>
        <v>M-1053</v>
      </c>
    </row>
    <row r="649" spans="1:27" ht="36" x14ac:dyDescent="0.3">
      <c r="A649" s="21" t="s">
        <v>1241</v>
      </c>
      <c r="B649" s="24">
        <f t="shared" ref="B649:D649" si="967">+B648</f>
        <v>990</v>
      </c>
      <c r="C649" s="25" t="str">
        <f t="shared" si="967"/>
        <v>Agencia Información</v>
      </c>
      <c r="D649" s="25" t="str">
        <f t="shared" si="967"/>
        <v>Educación</v>
      </c>
      <c r="E649" s="19">
        <v>15</v>
      </c>
      <c r="F649" s="18" t="s">
        <v>1524</v>
      </c>
      <c r="G649" s="18" t="s">
        <v>7427</v>
      </c>
      <c r="H649" s="35" t="s">
        <v>16</v>
      </c>
      <c r="I649" s="36" t="s">
        <v>382</v>
      </c>
      <c r="J649" s="9" t="str">
        <f t="shared" ref="J649:N649" si="968">+J648</f>
        <v>Comuna</v>
      </c>
      <c r="K649" s="9" t="str">
        <f t="shared" si="968"/>
        <v>Puntaje promedio por establecimiento</v>
      </c>
      <c r="L649" s="9" t="str">
        <f t="shared" si="968"/>
        <v>Periodo 2015-2018</v>
      </c>
      <c r="M649" s="9" t="str">
        <f t="shared" si="968"/>
        <v>Puntaje</v>
      </c>
      <c r="N649" s="9" t="str">
        <f t="shared" si="968"/>
        <v>Agencia de Calidad de la Educación</v>
      </c>
      <c r="O649" s="20" t="str">
        <f>+"Evolución de Puntaje SIMCE de Lectura por Dependencia de Establecimientos para 2° Medio en la "&amp;I649&amp;", "&amp;Agencia[[#This Row],[temporalidad]]</f>
        <v>Evolución de Puntaje SIMCE de Lectura por Dependencia de Establecimientos para 2° Medio en la Región de Arica y Parinacota, Periodo 2015-2018</v>
      </c>
      <c r="P649" s="20"/>
      <c r="Q649" s="11" t="str">
        <f t="shared" si="852"/>
        <v>Gráfico de Evolución</v>
      </c>
      <c r="R649" s="20" t="str">
        <f>Agencia[[#This Row],[territorio]]&amp;" SIMCE media segundo educación puntaje lectura municipal subvencionado corporación lenguaje particular"</f>
        <v>Región de Arica y Parinacota SIMCE media segundo educación puntaje lectura municipal subvencionado corporación lenguaje particular</v>
      </c>
      <c r="S649" s="22" t="s">
        <v>423</v>
      </c>
      <c r="T649" s="69" t="str">
        <f>"100-C-"&amp;Agencia[[#This Row],[Filtro URL]]</f>
        <v>100-C-15</v>
      </c>
      <c r="U649" s="50" t="str">
        <f t="shared" si="853"/>
        <v>#1774B9</v>
      </c>
      <c r="V649" s="118" t="str">
        <f>+Agencia[[#This Row],[idcoleccion]]&amp;"-"&amp;Agencia[[#This Row],[id]]</f>
        <v>990-0638</v>
      </c>
      <c r="W649" s="118">
        <f>+VLOOKUP(Agencia[[#This Row],[Filtro URL]],Estructura!$X$4:$Y$500,2,0)</f>
        <v>99200015</v>
      </c>
      <c r="X649" s="118" t="str">
        <f>+VLOOKUP(Agencia[[#This Row],[tema]],Estructura!$A$4:$C$500,3,0)</f>
        <v>T-1043</v>
      </c>
      <c r="Y649" s="118" t="str">
        <f>+VLOOKUP(Agencia[[#This Row],[contenido]],Estructura!$E$4:$G$500,3,0)</f>
        <v>C-1018</v>
      </c>
      <c r="Z649" s="118" t="str">
        <f>+VLOOKUP(Agencia[[#This Row],[Filtro Integrado]],Estructura!$I$4:$K$500,3,0)</f>
        <v>FI-991</v>
      </c>
      <c r="AA649" s="118" t="str">
        <f>+VLOOKUP(Agencia[[#This Row],[Muestra]],Estructura!$M$4:$O$500,3,0)</f>
        <v>M-1053</v>
      </c>
    </row>
    <row r="650" spans="1:27" ht="36" x14ac:dyDescent="0.3">
      <c r="A650" s="21" t="s">
        <v>1242</v>
      </c>
      <c r="B650" s="24">
        <f t="shared" ref="B650:D650" si="969">+B649</f>
        <v>990</v>
      </c>
      <c r="C650" s="25" t="str">
        <f t="shared" si="969"/>
        <v>Agencia Información</v>
      </c>
      <c r="D650" s="25" t="str">
        <f t="shared" si="969"/>
        <v>Educación</v>
      </c>
      <c r="E650" s="19">
        <v>16</v>
      </c>
      <c r="F650" s="18" t="s">
        <v>1524</v>
      </c>
      <c r="G650" s="18" t="s">
        <v>7427</v>
      </c>
      <c r="H650" s="35" t="s">
        <v>16</v>
      </c>
      <c r="I650" s="36" t="s">
        <v>383</v>
      </c>
      <c r="J650" s="9" t="str">
        <f t="shared" ref="J650:N650" si="970">+J649</f>
        <v>Comuna</v>
      </c>
      <c r="K650" s="9" t="str">
        <f t="shared" si="970"/>
        <v>Puntaje promedio por establecimiento</v>
      </c>
      <c r="L650" s="9" t="str">
        <f t="shared" si="970"/>
        <v>Periodo 2015-2018</v>
      </c>
      <c r="M650" s="9" t="str">
        <f t="shared" si="970"/>
        <v>Puntaje</v>
      </c>
      <c r="N650" s="9" t="str">
        <f t="shared" si="970"/>
        <v>Agencia de Calidad de la Educación</v>
      </c>
      <c r="O650" s="20" t="str">
        <f>+"Evolución de Puntaje SIMCE de Lectura por Dependencia de Establecimientos para 2° Medio en la "&amp;I650&amp;", "&amp;Agencia[[#This Row],[temporalidad]]</f>
        <v>Evolución de Puntaje SIMCE de Lectura por Dependencia de Establecimientos para 2° Medio en la Región de Ñuble, Periodo 2015-2018</v>
      </c>
      <c r="P650" s="20"/>
      <c r="Q650" s="11" t="str">
        <f t="shared" si="852"/>
        <v>Gráfico de Evolución</v>
      </c>
      <c r="R650" s="20" t="str">
        <f>Agencia[[#This Row],[territorio]]&amp;" SIMCE media segundo educación puntaje lectura municipal subvencionado corporación lenguaje particular"</f>
        <v>Región de Ñuble SIMCE media segundo educación puntaje lectura municipal subvencionado corporación lenguaje particular</v>
      </c>
      <c r="S650" s="22" t="s">
        <v>423</v>
      </c>
      <c r="T650" s="69" t="str">
        <f>"100-C-"&amp;Agencia[[#This Row],[Filtro URL]]</f>
        <v>100-C-16</v>
      </c>
      <c r="U650" s="50" t="str">
        <f t="shared" si="853"/>
        <v>#1774B9</v>
      </c>
      <c r="V650" s="118" t="str">
        <f>+Agencia[[#This Row],[idcoleccion]]&amp;"-"&amp;Agencia[[#This Row],[id]]</f>
        <v>990-0639</v>
      </c>
      <c r="W650" s="118">
        <f>+VLOOKUP(Agencia[[#This Row],[Filtro URL]],Estructura!$X$4:$Y$500,2,0)</f>
        <v>99200016</v>
      </c>
      <c r="X650" s="118" t="str">
        <f>+VLOOKUP(Agencia[[#This Row],[tema]],Estructura!$A$4:$C$500,3,0)</f>
        <v>T-1043</v>
      </c>
      <c r="Y650" s="118" t="str">
        <f>+VLOOKUP(Agencia[[#This Row],[contenido]],Estructura!$E$4:$G$500,3,0)</f>
        <v>C-1018</v>
      </c>
      <c r="Z650" s="118" t="str">
        <f>+VLOOKUP(Agencia[[#This Row],[Filtro Integrado]],Estructura!$I$4:$K$500,3,0)</f>
        <v>FI-991</v>
      </c>
      <c r="AA650" s="118" t="str">
        <f>+VLOOKUP(Agencia[[#This Row],[Muestra]],Estructura!$M$4:$O$500,3,0)</f>
        <v>M-1053</v>
      </c>
    </row>
    <row r="651" spans="1:27" ht="61.2" x14ac:dyDescent="0.3">
      <c r="A651" s="21" t="s">
        <v>1243</v>
      </c>
      <c r="B651" s="24">
        <f t="shared" ref="B651:C651" si="971">+B650</f>
        <v>990</v>
      </c>
      <c r="C651" s="25" t="str">
        <f t="shared" si="971"/>
        <v>Agencia Información</v>
      </c>
      <c r="D651" s="25" t="s">
        <v>14</v>
      </c>
      <c r="E651" s="14">
        <v>0</v>
      </c>
      <c r="F651" s="18" t="s">
        <v>1524</v>
      </c>
      <c r="G651" s="18" t="s">
        <v>7427</v>
      </c>
      <c r="H651" s="33" t="s">
        <v>20</v>
      </c>
      <c r="I651" s="34" t="s">
        <v>15</v>
      </c>
      <c r="J651" s="9" t="s">
        <v>1032</v>
      </c>
      <c r="K651" s="9" t="s">
        <v>1574</v>
      </c>
      <c r="L651" s="9" t="s">
        <v>1573</v>
      </c>
      <c r="M651" s="9" t="s">
        <v>1529</v>
      </c>
      <c r="N651" s="9" t="s">
        <v>1526</v>
      </c>
      <c r="O651" s="20" t="str">
        <f>+"Evolución de Puntaje SIMCE de Matemáticas por Dependencia de Establecimientos para 2° Medio en "&amp;I651&amp;", "&amp;Agencia[[#This Row],[temporalidad]]</f>
        <v>Evolución de Puntaje SIMCE de Matemáticas por Dependencia de Establecimientos para 2° Medio en Chile, Periodo 2015-2018</v>
      </c>
      <c r="P651" s="20" t="s">
        <v>1572</v>
      </c>
      <c r="Q651" s="11" t="s">
        <v>821</v>
      </c>
      <c r="R651" s="20" t="str">
        <f>Agencia[[#This Row],[territorio]]&amp;" SIMCE media segundo educación puntaje matemáticas municipal subvencionado corporación lenguaje particular"</f>
        <v>Chile SIMCE media segundo educación puntaje matemáticas municipal subvencionado corporación lenguaje particular</v>
      </c>
      <c r="S651" s="39" t="s">
        <v>1575</v>
      </c>
      <c r="T651" s="68" t="s">
        <v>1033</v>
      </c>
      <c r="U651" s="50" t="str">
        <f t="shared" si="853"/>
        <v>#1774B9</v>
      </c>
      <c r="V651" s="118" t="str">
        <f>+Agencia[[#This Row],[idcoleccion]]&amp;"-"&amp;Agencia[[#This Row],[id]]</f>
        <v>990-0640</v>
      </c>
      <c r="W651" s="118">
        <f>+VLOOKUP(Agencia[[#This Row],[Filtro URL]],Estructura!$X$4:$Y$500,2,0)</f>
        <v>99100000</v>
      </c>
      <c r="X651" s="118" t="str">
        <f>+VLOOKUP(Agencia[[#This Row],[tema]],Estructura!$A$4:$C$500,3,0)</f>
        <v>T-1043</v>
      </c>
      <c r="Y651" s="118" t="str">
        <f>+VLOOKUP(Agencia[[#This Row],[contenido]],Estructura!$E$4:$G$500,3,0)</f>
        <v>C-1018</v>
      </c>
      <c r="Z651" s="118" t="str">
        <f>+VLOOKUP(Agencia[[#This Row],[Filtro Integrado]],Estructura!$I$4:$K$500,3,0)</f>
        <v>FI-994</v>
      </c>
      <c r="AA651" s="118" t="str">
        <f>+VLOOKUP(Agencia[[#This Row],[Muestra]],Estructura!$M$4:$O$500,3,0)</f>
        <v>M-1053</v>
      </c>
    </row>
    <row r="652" spans="1:27" ht="36" x14ac:dyDescent="0.3">
      <c r="A652" s="21" t="s">
        <v>1244</v>
      </c>
      <c r="B652" s="24">
        <f t="shared" ref="B652:D652" si="972">+B651</f>
        <v>990</v>
      </c>
      <c r="C652" s="25" t="str">
        <f t="shared" si="972"/>
        <v>Agencia Información</v>
      </c>
      <c r="D652" s="25" t="str">
        <f t="shared" si="972"/>
        <v>Educación</v>
      </c>
      <c r="E652" s="19">
        <v>1</v>
      </c>
      <c r="F652" s="18" t="s">
        <v>1524</v>
      </c>
      <c r="G652" s="18" t="s">
        <v>7427</v>
      </c>
      <c r="H652" s="35" t="s">
        <v>16</v>
      </c>
      <c r="I652" s="36" t="s">
        <v>368</v>
      </c>
      <c r="J652" s="9" t="s">
        <v>18</v>
      </c>
      <c r="K652" s="9" t="str">
        <f t="shared" ref="K652:N652" si="973">+K651</f>
        <v>Puntaje promedio por establecimiento</v>
      </c>
      <c r="L652" s="9" t="str">
        <f t="shared" si="973"/>
        <v>Periodo 2015-2018</v>
      </c>
      <c r="M652" s="9" t="str">
        <f t="shared" si="973"/>
        <v>Puntaje</v>
      </c>
      <c r="N652" s="9" t="str">
        <f t="shared" si="973"/>
        <v>Agencia de Calidad de la Educación</v>
      </c>
      <c r="O652" s="20" t="str">
        <f>+"Evolución de Puntaje SIMCE de Matemáticas por Dependencia de Establecimientos para 2° Medio en la "&amp;I652&amp;", "&amp;Agencia[[#This Row],[temporalidad]]</f>
        <v>Evolución de Puntaje SIMCE de Matemáticas por Dependencia de Establecimientos para 2° Medio en la Región de Tarapacá, Periodo 2015-2018</v>
      </c>
      <c r="P652" s="20"/>
      <c r="Q652" s="11" t="str">
        <f t="shared" ref="Q652:Q715" si="974">+Q651</f>
        <v>Gráfico de Evolución</v>
      </c>
      <c r="R652" s="20" t="str">
        <f>Agencia[[#This Row],[territorio]]&amp;" SIMCE media segundo educación puntaje matemáticas municipal subvencionado corporación lenguaje particular"</f>
        <v>Región de Tarapacá SIMCE media segundo educación puntaje matemáticas municipal subvencionado corporación lenguaje particular</v>
      </c>
      <c r="S652" s="22" t="s">
        <v>423</v>
      </c>
      <c r="T652" s="69" t="str">
        <f>"100-C-"&amp;Agencia[[#This Row],[Filtro URL]]</f>
        <v>100-C-1</v>
      </c>
      <c r="U652" s="50" t="str">
        <f t="shared" ref="U652:U715" si="975">+U651</f>
        <v>#1774B9</v>
      </c>
      <c r="V652" s="118" t="str">
        <f>+Agencia[[#This Row],[idcoleccion]]&amp;"-"&amp;Agencia[[#This Row],[id]]</f>
        <v>990-0641</v>
      </c>
      <c r="W652" s="118">
        <f>+VLOOKUP(Agencia[[#This Row],[Filtro URL]],Estructura!$X$4:$Y$500,2,0)</f>
        <v>99200001</v>
      </c>
      <c r="X652" s="118" t="str">
        <f>+VLOOKUP(Agencia[[#This Row],[tema]],Estructura!$A$4:$C$500,3,0)</f>
        <v>T-1043</v>
      </c>
      <c r="Y652" s="118" t="str">
        <f>+VLOOKUP(Agencia[[#This Row],[contenido]],Estructura!$E$4:$G$500,3,0)</f>
        <v>C-1018</v>
      </c>
      <c r="Z652" s="118" t="str">
        <f>+VLOOKUP(Agencia[[#This Row],[Filtro Integrado]],Estructura!$I$4:$K$500,3,0)</f>
        <v>FI-991</v>
      </c>
      <c r="AA652" s="118" t="str">
        <f>+VLOOKUP(Agencia[[#This Row],[Muestra]],Estructura!$M$4:$O$500,3,0)</f>
        <v>M-1053</v>
      </c>
    </row>
    <row r="653" spans="1:27" ht="36" x14ac:dyDescent="0.3">
      <c r="A653" s="21" t="s">
        <v>1245</v>
      </c>
      <c r="B653" s="24">
        <f t="shared" ref="B653:D653" si="976">+B652</f>
        <v>990</v>
      </c>
      <c r="C653" s="25" t="str">
        <f t="shared" si="976"/>
        <v>Agencia Información</v>
      </c>
      <c r="D653" s="25" t="str">
        <f t="shared" si="976"/>
        <v>Educación</v>
      </c>
      <c r="E653" s="19">
        <v>2</v>
      </c>
      <c r="F653" s="18" t="s">
        <v>1524</v>
      </c>
      <c r="G653" s="18" t="s">
        <v>7427</v>
      </c>
      <c r="H653" s="35" t="s">
        <v>16</v>
      </c>
      <c r="I653" s="36" t="s">
        <v>369</v>
      </c>
      <c r="J653" s="9" t="str">
        <f t="shared" ref="J653:N653" si="977">+J652</f>
        <v>Comuna</v>
      </c>
      <c r="K653" s="9" t="str">
        <f t="shared" si="977"/>
        <v>Puntaje promedio por establecimiento</v>
      </c>
      <c r="L653" s="9" t="str">
        <f t="shared" si="977"/>
        <v>Periodo 2015-2018</v>
      </c>
      <c r="M653" s="9" t="str">
        <f t="shared" si="977"/>
        <v>Puntaje</v>
      </c>
      <c r="N653" s="9" t="str">
        <f t="shared" si="977"/>
        <v>Agencia de Calidad de la Educación</v>
      </c>
      <c r="O653" s="20" t="str">
        <f>+"Evolución de Puntaje SIMCE de Matemáticas por Dependencia de Establecimientos para 2° Medio en la "&amp;I653&amp;", "&amp;Agencia[[#This Row],[temporalidad]]</f>
        <v>Evolución de Puntaje SIMCE de Matemáticas por Dependencia de Establecimientos para 2° Medio en la Región de Antofagasta, Periodo 2015-2018</v>
      </c>
      <c r="P653" s="20"/>
      <c r="Q653" s="11" t="str">
        <f t="shared" si="974"/>
        <v>Gráfico de Evolución</v>
      </c>
      <c r="R653" s="20" t="str">
        <f>Agencia[[#This Row],[territorio]]&amp;" SIMCE media segundo educación puntaje matemáticas municipal subvencionado corporación lenguaje particular"</f>
        <v>Región de Antofagasta SIMCE media segundo educación puntaje matemáticas municipal subvencionado corporación lenguaje particular</v>
      </c>
      <c r="S653" s="22" t="s">
        <v>423</v>
      </c>
      <c r="T653" s="69" t="str">
        <f>"100-C-"&amp;Agencia[[#This Row],[Filtro URL]]</f>
        <v>100-C-2</v>
      </c>
      <c r="U653" s="50" t="str">
        <f t="shared" si="975"/>
        <v>#1774B9</v>
      </c>
      <c r="V653" s="118" t="str">
        <f>+Agencia[[#This Row],[idcoleccion]]&amp;"-"&amp;Agencia[[#This Row],[id]]</f>
        <v>990-0642</v>
      </c>
      <c r="W653" s="118">
        <f>+VLOOKUP(Agencia[[#This Row],[Filtro URL]],Estructura!$X$4:$Y$500,2,0)</f>
        <v>99200002</v>
      </c>
      <c r="X653" s="118" t="str">
        <f>+VLOOKUP(Agencia[[#This Row],[tema]],Estructura!$A$4:$C$500,3,0)</f>
        <v>T-1043</v>
      </c>
      <c r="Y653" s="118" t="str">
        <f>+VLOOKUP(Agencia[[#This Row],[contenido]],Estructura!$E$4:$G$500,3,0)</f>
        <v>C-1018</v>
      </c>
      <c r="Z653" s="118" t="str">
        <f>+VLOOKUP(Agencia[[#This Row],[Filtro Integrado]],Estructura!$I$4:$K$500,3,0)</f>
        <v>FI-991</v>
      </c>
      <c r="AA653" s="118" t="str">
        <f>+VLOOKUP(Agencia[[#This Row],[Muestra]],Estructura!$M$4:$O$500,3,0)</f>
        <v>M-1053</v>
      </c>
    </row>
    <row r="654" spans="1:27" ht="36" x14ac:dyDescent="0.3">
      <c r="A654" s="21" t="s">
        <v>1246</v>
      </c>
      <c r="B654" s="24">
        <f t="shared" ref="B654:D654" si="978">+B653</f>
        <v>990</v>
      </c>
      <c r="C654" s="25" t="str">
        <f t="shared" si="978"/>
        <v>Agencia Información</v>
      </c>
      <c r="D654" s="25" t="str">
        <f t="shared" si="978"/>
        <v>Educación</v>
      </c>
      <c r="E654" s="19">
        <v>3</v>
      </c>
      <c r="F654" s="18" t="s">
        <v>1524</v>
      </c>
      <c r="G654" s="18" t="s">
        <v>7427</v>
      </c>
      <c r="H654" s="35" t="s">
        <v>16</v>
      </c>
      <c r="I654" s="36" t="s">
        <v>370</v>
      </c>
      <c r="J654" s="9" t="str">
        <f t="shared" ref="J654:N654" si="979">+J653</f>
        <v>Comuna</v>
      </c>
      <c r="K654" s="9" t="str">
        <f t="shared" si="979"/>
        <v>Puntaje promedio por establecimiento</v>
      </c>
      <c r="L654" s="9" t="str">
        <f t="shared" si="979"/>
        <v>Periodo 2015-2018</v>
      </c>
      <c r="M654" s="9" t="str">
        <f t="shared" si="979"/>
        <v>Puntaje</v>
      </c>
      <c r="N654" s="9" t="str">
        <f t="shared" si="979"/>
        <v>Agencia de Calidad de la Educación</v>
      </c>
      <c r="O654" s="20" t="str">
        <f>+"Evolución de Puntaje SIMCE de Matemáticas por Dependencia de Establecimientos para 2° Medio en la "&amp;I654&amp;", "&amp;Agencia[[#This Row],[temporalidad]]</f>
        <v>Evolución de Puntaje SIMCE de Matemáticas por Dependencia de Establecimientos para 2° Medio en la Región de Atacama, Periodo 2015-2018</v>
      </c>
      <c r="P654" s="20"/>
      <c r="Q654" s="11" t="str">
        <f t="shared" si="974"/>
        <v>Gráfico de Evolución</v>
      </c>
      <c r="R654" s="20" t="str">
        <f>Agencia[[#This Row],[territorio]]&amp;" SIMCE media segundo educación puntaje matemáticas municipal subvencionado corporación lenguaje particular"</f>
        <v>Región de Atacama SIMCE media segundo educación puntaje matemáticas municipal subvencionado corporación lenguaje particular</v>
      </c>
      <c r="S654" s="22" t="s">
        <v>423</v>
      </c>
      <c r="T654" s="69" t="str">
        <f>"100-C-"&amp;Agencia[[#This Row],[Filtro URL]]</f>
        <v>100-C-3</v>
      </c>
      <c r="U654" s="50" t="str">
        <f t="shared" si="975"/>
        <v>#1774B9</v>
      </c>
      <c r="V654" s="118" t="str">
        <f>+Agencia[[#This Row],[idcoleccion]]&amp;"-"&amp;Agencia[[#This Row],[id]]</f>
        <v>990-0643</v>
      </c>
      <c r="W654" s="118">
        <f>+VLOOKUP(Agencia[[#This Row],[Filtro URL]],Estructura!$X$4:$Y$500,2,0)</f>
        <v>99200003</v>
      </c>
      <c r="X654" s="118" t="str">
        <f>+VLOOKUP(Agencia[[#This Row],[tema]],Estructura!$A$4:$C$500,3,0)</f>
        <v>T-1043</v>
      </c>
      <c r="Y654" s="118" t="str">
        <f>+VLOOKUP(Agencia[[#This Row],[contenido]],Estructura!$E$4:$G$500,3,0)</f>
        <v>C-1018</v>
      </c>
      <c r="Z654" s="118" t="str">
        <f>+VLOOKUP(Agencia[[#This Row],[Filtro Integrado]],Estructura!$I$4:$K$500,3,0)</f>
        <v>FI-991</v>
      </c>
      <c r="AA654" s="118" t="str">
        <f>+VLOOKUP(Agencia[[#This Row],[Muestra]],Estructura!$M$4:$O$500,3,0)</f>
        <v>M-1053</v>
      </c>
    </row>
    <row r="655" spans="1:27" ht="36" x14ac:dyDescent="0.3">
      <c r="A655" s="21" t="s">
        <v>1247</v>
      </c>
      <c r="B655" s="24">
        <f t="shared" ref="B655:D655" si="980">+B654</f>
        <v>990</v>
      </c>
      <c r="C655" s="25" t="str">
        <f t="shared" si="980"/>
        <v>Agencia Información</v>
      </c>
      <c r="D655" s="25" t="str">
        <f t="shared" si="980"/>
        <v>Educación</v>
      </c>
      <c r="E655" s="19">
        <v>4</v>
      </c>
      <c r="F655" s="18" t="s">
        <v>1524</v>
      </c>
      <c r="G655" s="18" t="s">
        <v>7427</v>
      </c>
      <c r="H655" s="35" t="s">
        <v>16</v>
      </c>
      <c r="I655" s="36" t="s">
        <v>371</v>
      </c>
      <c r="J655" s="9" t="str">
        <f t="shared" ref="J655:N655" si="981">+J654</f>
        <v>Comuna</v>
      </c>
      <c r="K655" s="9" t="str">
        <f t="shared" si="981"/>
        <v>Puntaje promedio por establecimiento</v>
      </c>
      <c r="L655" s="9" t="str">
        <f t="shared" si="981"/>
        <v>Periodo 2015-2018</v>
      </c>
      <c r="M655" s="9" t="str">
        <f t="shared" si="981"/>
        <v>Puntaje</v>
      </c>
      <c r="N655" s="9" t="str">
        <f t="shared" si="981"/>
        <v>Agencia de Calidad de la Educación</v>
      </c>
      <c r="O655" s="20" t="str">
        <f>+"Evolución de Puntaje SIMCE de Matemáticas por Dependencia de Establecimientos para 2° Medio en la "&amp;I655&amp;", "&amp;Agencia[[#This Row],[temporalidad]]</f>
        <v>Evolución de Puntaje SIMCE de Matemáticas por Dependencia de Establecimientos para 2° Medio en la Región de Coquimbo, Periodo 2015-2018</v>
      </c>
      <c r="P655" s="20"/>
      <c r="Q655" s="11" t="str">
        <f t="shared" si="974"/>
        <v>Gráfico de Evolución</v>
      </c>
      <c r="R655" s="20" t="str">
        <f>Agencia[[#This Row],[territorio]]&amp;" SIMCE media segundo educación puntaje matemáticas municipal subvencionado corporación lenguaje particular"</f>
        <v>Región de Coquimbo SIMCE media segundo educación puntaje matemáticas municipal subvencionado corporación lenguaje particular</v>
      </c>
      <c r="S655" s="22" t="s">
        <v>423</v>
      </c>
      <c r="T655" s="69" t="str">
        <f>"100-C-"&amp;Agencia[[#This Row],[Filtro URL]]</f>
        <v>100-C-4</v>
      </c>
      <c r="U655" s="50" t="str">
        <f t="shared" si="975"/>
        <v>#1774B9</v>
      </c>
      <c r="V655" s="118" t="str">
        <f>+Agencia[[#This Row],[idcoleccion]]&amp;"-"&amp;Agencia[[#This Row],[id]]</f>
        <v>990-0644</v>
      </c>
      <c r="W655" s="118">
        <f>+VLOOKUP(Agencia[[#This Row],[Filtro URL]],Estructura!$X$4:$Y$500,2,0)</f>
        <v>99200004</v>
      </c>
      <c r="X655" s="118" t="str">
        <f>+VLOOKUP(Agencia[[#This Row],[tema]],Estructura!$A$4:$C$500,3,0)</f>
        <v>T-1043</v>
      </c>
      <c r="Y655" s="118" t="str">
        <f>+VLOOKUP(Agencia[[#This Row],[contenido]],Estructura!$E$4:$G$500,3,0)</f>
        <v>C-1018</v>
      </c>
      <c r="Z655" s="118" t="str">
        <f>+VLOOKUP(Agencia[[#This Row],[Filtro Integrado]],Estructura!$I$4:$K$500,3,0)</f>
        <v>FI-991</v>
      </c>
      <c r="AA655" s="118" t="str">
        <f>+VLOOKUP(Agencia[[#This Row],[Muestra]],Estructura!$M$4:$O$500,3,0)</f>
        <v>M-1053</v>
      </c>
    </row>
    <row r="656" spans="1:27" ht="36" x14ac:dyDescent="0.3">
      <c r="A656" s="21" t="s">
        <v>1248</v>
      </c>
      <c r="B656" s="24">
        <f t="shared" ref="B656:D656" si="982">+B655</f>
        <v>990</v>
      </c>
      <c r="C656" s="25" t="str">
        <f t="shared" si="982"/>
        <v>Agencia Información</v>
      </c>
      <c r="D656" s="25" t="str">
        <f t="shared" si="982"/>
        <v>Educación</v>
      </c>
      <c r="E656" s="19">
        <v>5</v>
      </c>
      <c r="F656" s="18" t="s">
        <v>1524</v>
      </c>
      <c r="G656" s="18" t="s">
        <v>7427</v>
      </c>
      <c r="H656" s="35" t="s">
        <v>16</v>
      </c>
      <c r="I656" s="36" t="s">
        <v>372</v>
      </c>
      <c r="J656" s="9" t="str">
        <f t="shared" ref="J656:N656" si="983">+J655</f>
        <v>Comuna</v>
      </c>
      <c r="K656" s="9" t="str">
        <f t="shared" si="983"/>
        <v>Puntaje promedio por establecimiento</v>
      </c>
      <c r="L656" s="9" t="str">
        <f t="shared" si="983"/>
        <v>Periodo 2015-2018</v>
      </c>
      <c r="M656" s="9" t="str">
        <f t="shared" si="983"/>
        <v>Puntaje</v>
      </c>
      <c r="N656" s="9" t="str">
        <f t="shared" si="983"/>
        <v>Agencia de Calidad de la Educación</v>
      </c>
      <c r="O656" s="20" t="str">
        <f>+"Evolución de Puntaje SIMCE de Matemáticas por Dependencia de Establecimientos para 2° Medio en la "&amp;I656&amp;", "&amp;Agencia[[#This Row],[temporalidad]]</f>
        <v>Evolución de Puntaje SIMCE de Matemáticas por Dependencia de Establecimientos para 2° Medio en la Región de Valparaíso, Periodo 2015-2018</v>
      </c>
      <c r="P656" s="20"/>
      <c r="Q656" s="11" t="str">
        <f t="shared" si="974"/>
        <v>Gráfico de Evolución</v>
      </c>
      <c r="R656" s="20" t="str">
        <f>Agencia[[#This Row],[territorio]]&amp;" SIMCE media segundo educación puntaje matemáticas municipal subvencionado corporación lenguaje particular"</f>
        <v>Región de Valparaíso SIMCE media segundo educación puntaje matemáticas municipal subvencionado corporación lenguaje particular</v>
      </c>
      <c r="S656" s="22" t="s">
        <v>423</v>
      </c>
      <c r="T656" s="69" t="str">
        <f>"100-C-"&amp;Agencia[[#This Row],[Filtro URL]]</f>
        <v>100-C-5</v>
      </c>
      <c r="U656" s="50" t="str">
        <f t="shared" si="975"/>
        <v>#1774B9</v>
      </c>
      <c r="V656" s="118" t="str">
        <f>+Agencia[[#This Row],[idcoleccion]]&amp;"-"&amp;Agencia[[#This Row],[id]]</f>
        <v>990-0645</v>
      </c>
      <c r="W656" s="118">
        <f>+VLOOKUP(Agencia[[#This Row],[Filtro URL]],Estructura!$X$4:$Y$500,2,0)</f>
        <v>99200005</v>
      </c>
      <c r="X656" s="118" t="str">
        <f>+VLOOKUP(Agencia[[#This Row],[tema]],Estructura!$A$4:$C$500,3,0)</f>
        <v>T-1043</v>
      </c>
      <c r="Y656" s="118" t="str">
        <f>+VLOOKUP(Agencia[[#This Row],[contenido]],Estructura!$E$4:$G$500,3,0)</f>
        <v>C-1018</v>
      </c>
      <c r="Z656" s="118" t="str">
        <f>+VLOOKUP(Agencia[[#This Row],[Filtro Integrado]],Estructura!$I$4:$K$500,3,0)</f>
        <v>FI-991</v>
      </c>
      <c r="AA656" s="118" t="str">
        <f>+VLOOKUP(Agencia[[#This Row],[Muestra]],Estructura!$M$4:$O$500,3,0)</f>
        <v>M-1053</v>
      </c>
    </row>
    <row r="657" spans="1:27" ht="36" x14ac:dyDescent="0.3">
      <c r="A657" s="21" t="s">
        <v>1249</v>
      </c>
      <c r="B657" s="24">
        <f t="shared" ref="B657:D657" si="984">+B656</f>
        <v>990</v>
      </c>
      <c r="C657" s="25" t="str">
        <f t="shared" si="984"/>
        <v>Agencia Información</v>
      </c>
      <c r="D657" s="25" t="str">
        <f t="shared" si="984"/>
        <v>Educación</v>
      </c>
      <c r="E657" s="19">
        <v>6</v>
      </c>
      <c r="F657" s="18" t="s">
        <v>1524</v>
      </c>
      <c r="G657" s="18" t="s">
        <v>7427</v>
      </c>
      <c r="H657" s="35" t="s">
        <v>16</v>
      </c>
      <c r="I657" s="36" t="s">
        <v>373</v>
      </c>
      <c r="J657" s="9" t="str">
        <f t="shared" ref="J657:N657" si="985">+J656</f>
        <v>Comuna</v>
      </c>
      <c r="K657" s="9" t="str">
        <f t="shared" si="985"/>
        <v>Puntaje promedio por establecimiento</v>
      </c>
      <c r="L657" s="9" t="str">
        <f t="shared" si="985"/>
        <v>Periodo 2015-2018</v>
      </c>
      <c r="M657" s="9" t="str">
        <f t="shared" si="985"/>
        <v>Puntaje</v>
      </c>
      <c r="N657" s="9" t="str">
        <f t="shared" si="985"/>
        <v>Agencia de Calidad de la Educación</v>
      </c>
      <c r="O657" s="20" t="str">
        <f>+"Evolución de Puntaje SIMCE de Matemáticas por Dependencia de Establecimientos para 2° Medio en la "&amp;I657&amp;", "&amp;Agencia[[#This Row],[temporalidad]]</f>
        <v>Evolución de Puntaje SIMCE de Matemáticas por Dependencia de Establecimientos para 2° Medio en la Región de O'Higgins, Periodo 2015-2018</v>
      </c>
      <c r="P657" s="20"/>
      <c r="Q657" s="11" t="str">
        <f t="shared" si="974"/>
        <v>Gráfico de Evolución</v>
      </c>
      <c r="R657" s="20" t="str">
        <f>Agencia[[#This Row],[territorio]]&amp;" SIMCE media segundo educación puntaje matemáticas municipal subvencionado corporación lenguaje particular"</f>
        <v>Región de O'Higgins SIMCE media segundo educación puntaje matemáticas municipal subvencionado corporación lenguaje particular</v>
      </c>
      <c r="S657" s="22" t="s">
        <v>423</v>
      </c>
      <c r="T657" s="69" t="str">
        <f>"100-C-"&amp;Agencia[[#This Row],[Filtro URL]]</f>
        <v>100-C-6</v>
      </c>
      <c r="U657" s="50" t="str">
        <f t="shared" si="975"/>
        <v>#1774B9</v>
      </c>
      <c r="V657" s="118" t="str">
        <f>+Agencia[[#This Row],[idcoleccion]]&amp;"-"&amp;Agencia[[#This Row],[id]]</f>
        <v>990-0646</v>
      </c>
      <c r="W657" s="118">
        <f>+VLOOKUP(Agencia[[#This Row],[Filtro URL]],Estructura!$X$4:$Y$500,2,0)</f>
        <v>99200006</v>
      </c>
      <c r="X657" s="118" t="str">
        <f>+VLOOKUP(Agencia[[#This Row],[tema]],Estructura!$A$4:$C$500,3,0)</f>
        <v>T-1043</v>
      </c>
      <c r="Y657" s="118" t="str">
        <f>+VLOOKUP(Agencia[[#This Row],[contenido]],Estructura!$E$4:$G$500,3,0)</f>
        <v>C-1018</v>
      </c>
      <c r="Z657" s="118" t="str">
        <f>+VLOOKUP(Agencia[[#This Row],[Filtro Integrado]],Estructura!$I$4:$K$500,3,0)</f>
        <v>FI-991</v>
      </c>
      <c r="AA657" s="118" t="str">
        <f>+VLOOKUP(Agencia[[#This Row],[Muestra]],Estructura!$M$4:$O$500,3,0)</f>
        <v>M-1053</v>
      </c>
    </row>
    <row r="658" spans="1:27" ht="36" x14ac:dyDescent="0.3">
      <c r="A658" s="21" t="s">
        <v>1250</v>
      </c>
      <c r="B658" s="24">
        <f t="shared" ref="B658:D658" si="986">+B657</f>
        <v>990</v>
      </c>
      <c r="C658" s="25" t="str">
        <f t="shared" si="986"/>
        <v>Agencia Información</v>
      </c>
      <c r="D658" s="25" t="str">
        <f t="shared" si="986"/>
        <v>Educación</v>
      </c>
      <c r="E658" s="19">
        <v>7</v>
      </c>
      <c r="F658" s="18" t="s">
        <v>1524</v>
      </c>
      <c r="G658" s="18" t="s">
        <v>7427</v>
      </c>
      <c r="H658" s="35" t="s">
        <v>16</v>
      </c>
      <c r="I658" s="36" t="s">
        <v>374</v>
      </c>
      <c r="J658" s="9" t="str">
        <f t="shared" ref="J658:N658" si="987">+J657</f>
        <v>Comuna</v>
      </c>
      <c r="K658" s="9" t="str">
        <f t="shared" si="987"/>
        <v>Puntaje promedio por establecimiento</v>
      </c>
      <c r="L658" s="9" t="str">
        <f t="shared" si="987"/>
        <v>Periodo 2015-2018</v>
      </c>
      <c r="M658" s="9" t="str">
        <f t="shared" si="987"/>
        <v>Puntaje</v>
      </c>
      <c r="N658" s="9" t="str">
        <f t="shared" si="987"/>
        <v>Agencia de Calidad de la Educación</v>
      </c>
      <c r="O658" s="20" t="str">
        <f>+"Evolución de Puntaje SIMCE de Matemáticas por Dependencia de Establecimientos para 2° Medio en la "&amp;I658&amp;", "&amp;Agencia[[#This Row],[temporalidad]]</f>
        <v>Evolución de Puntaje SIMCE de Matemáticas por Dependencia de Establecimientos para 2° Medio en la Región de Maule, Periodo 2015-2018</v>
      </c>
      <c r="P658" s="20"/>
      <c r="Q658" s="11" t="str">
        <f t="shared" si="974"/>
        <v>Gráfico de Evolución</v>
      </c>
      <c r="R658" s="20" t="str">
        <f>Agencia[[#This Row],[territorio]]&amp;" SIMCE media segundo educación puntaje matemáticas municipal subvencionado corporación lenguaje particular"</f>
        <v>Región de Maule SIMCE media segundo educación puntaje matemáticas municipal subvencionado corporación lenguaje particular</v>
      </c>
      <c r="S658" s="22" t="s">
        <v>423</v>
      </c>
      <c r="T658" s="69" t="str">
        <f>"100-C-"&amp;Agencia[[#This Row],[Filtro URL]]</f>
        <v>100-C-7</v>
      </c>
      <c r="U658" s="50" t="str">
        <f t="shared" si="975"/>
        <v>#1774B9</v>
      </c>
      <c r="V658" s="118" t="str">
        <f>+Agencia[[#This Row],[idcoleccion]]&amp;"-"&amp;Agencia[[#This Row],[id]]</f>
        <v>990-0647</v>
      </c>
      <c r="W658" s="118">
        <f>+VLOOKUP(Agencia[[#This Row],[Filtro URL]],Estructura!$X$4:$Y$500,2,0)</f>
        <v>99200007</v>
      </c>
      <c r="X658" s="118" t="str">
        <f>+VLOOKUP(Agencia[[#This Row],[tema]],Estructura!$A$4:$C$500,3,0)</f>
        <v>T-1043</v>
      </c>
      <c r="Y658" s="118" t="str">
        <f>+VLOOKUP(Agencia[[#This Row],[contenido]],Estructura!$E$4:$G$500,3,0)</f>
        <v>C-1018</v>
      </c>
      <c r="Z658" s="118" t="str">
        <f>+VLOOKUP(Agencia[[#This Row],[Filtro Integrado]],Estructura!$I$4:$K$500,3,0)</f>
        <v>FI-991</v>
      </c>
      <c r="AA658" s="118" t="str">
        <f>+VLOOKUP(Agencia[[#This Row],[Muestra]],Estructura!$M$4:$O$500,3,0)</f>
        <v>M-1053</v>
      </c>
    </row>
    <row r="659" spans="1:27" ht="36" x14ac:dyDescent="0.3">
      <c r="A659" s="21" t="s">
        <v>1251</v>
      </c>
      <c r="B659" s="24">
        <f t="shared" ref="B659:D659" si="988">+B658</f>
        <v>990</v>
      </c>
      <c r="C659" s="25" t="str">
        <f t="shared" si="988"/>
        <v>Agencia Información</v>
      </c>
      <c r="D659" s="25" t="str">
        <f t="shared" si="988"/>
        <v>Educación</v>
      </c>
      <c r="E659" s="19">
        <v>8</v>
      </c>
      <c r="F659" s="18" t="s">
        <v>1524</v>
      </c>
      <c r="G659" s="18" t="s">
        <v>7427</v>
      </c>
      <c r="H659" s="35" t="s">
        <v>16</v>
      </c>
      <c r="I659" s="36" t="s">
        <v>375</v>
      </c>
      <c r="J659" s="9" t="str">
        <f t="shared" ref="J659:N659" si="989">+J658</f>
        <v>Comuna</v>
      </c>
      <c r="K659" s="9" t="str">
        <f t="shared" si="989"/>
        <v>Puntaje promedio por establecimiento</v>
      </c>
      <c r="L659" s="9" t="str">
        <f t="shared" si="989"/>
        <v>Periodo 2015-2018</v>
      </c>
      <c r="M659" s="9" t="str">
        <f t="shared" si="989"/>
        <v>Puntaje</v>
      </c>
      <c r="N659" s="9" t="str">
        <f t="shared" si="989"/>
        <v>Agencia de Calidad de la Educación</v>
      </c>
      <c r="O659" s="20" t="str">
        <f>+"Evolución de Puntaje SIMCE de Matemáticas por Dependencia de Establecimientos para 2° Medio en la "&amp;I659&amp;", "&amp;Agencia[[#This Row],[temporalidad]]</f>
        <v>Evolución de Puntaje SIMCE de Matemáticas por Dependencia de Establecimientos para 2° Medio en la Región del Biobío, Periodo 2015-2018</v>
      </c>
      <c r="P659" s="20"/>
      <c r="Q659" s="11" t="str">
        <f t="shared" si="974"/>
        <v>Gráfico de Evolución</v>
      </c>
      <c r="R659" s="20" t="str">
        <f>Agencia[[#This Row],[territorio]]&amp;" SIMCE media segundo educación puntaje matemáticas municipal subvencionado corporación lenguaje particular"</f>
        <v>Región del Biobío SIMCE media segundo educación puntaje matemáticas municipal subvencionado corporación lenguaje particular</v>
      </c>
      <c r="S659" s="22" t="s">
        <v>423</v>
      </c>
      <c r="T659" s="69" t="str">
        <f>"100-C-"&amp;Agencia[[#This Row],[Filtro URL]]</f>
        <v>100-C-8</v>
      </c>
      <c r="U659" s="50" t="str">
        <f t="shared" si="975"/>
        <v>#1774B9</v>
      </c>
      <c r="V659" s="118" t="str">
        <f>+Agencia[[#This Row],[idcoleccion]]&amp;"-"&amp;Agencia[[#This Row],[id]]</f>
        <v>990-0648</v>
      </c>
      <c r="W659" s="118">
        <f>+VLOOKUP(Agencia[[#This Row],[Filtro URL]],Estructura!$X$4:$Y$500,2,0)</f>
        <v>99200008</v>
      </c>
      <c r="X659" s="118" t="str">
        <f>+VLOOKUP(Agencia[[#This Row],[tema]],Estructura!$A$4:$C$500,3,0)</f>
        <v>T-1043</v>
      </c>
      <c r="Y659" s="118" t="str">
        <f>+VLOOKUP(Agencia[[#This Row],[contenido]],Estructura!$E$4:$G$500,3,0)</f>
        <v>C-1018</v>
      </c>
      <c r="Z659" s="118" t="str">
        <f>+VLOOKUP(Agencia[[#This Row],[Filtro Integrado]],Estructura!$I$4:$K$500,3,0)</f>
        <v>FI-991</v>
      </c>
      <c r="AA659" s="118" t="str">
        <f>+VLOOKUP(Agencia[[#This Row],[Muestra]],Estructura!$M$4:$O$500,3,0)</f>
        <v>M-1053</v>
      </c>
    </row>
    <row r="660" spans="1:27" ht="36" x14ac:dyDescent="0.3">
      <c r="A660" s="21" t="s">
        <v>1252</v>
      </c>
      <c r="B660" s="24">
        <f t="shared" ref="B660:D660" si="990">+B659</f>
        <v>990</v>
      </c>
      <c r="C660" s="25" t="str">
        <f t="shared" si="990"/>
        <v>Agencia Información</v>
      </c>
      <c r="D660" s="25" t="str">
        <f t="shared" si="990"/>
        <v>Educación</v>
      </c>
      <c r="E660" s="19">
        <v>9</v>
      </c>
      <c r="F660" s="18" t="s">
        <v>1524</v>
      </c>
      <c r="G660" s="18" t="s">
        <v>7427</v>
      </c>
      <c r="H660" s="35" t="s">
        <v>16</v>
      </c>
      <c r="I660" s="36" t="s">
        <v>376</v>
      </c>
      <c r="J660" s="9" t="str">
        <f t="shared" ref="J660:N660" si="991">+J659</f>
        <v>Comuna</v>
      </c>
      <c r="K660" s="9" t="str">
        <f t="shared" si="991"/>
        <v>Puntaje promedio por establecimiento</v>
      </c>
      <c r="L660" s="9" t="str">
        <f t="shared" si="991"/>
        <v>Periodo 2015-2018</v>
      </c>
      <c r="M660" s="9" t="str">
        <f t="shared" si="991"/>
        <v>Puntaje</v>
      </c>
      <c r="N660" s="9" t="str">
        <f t="shared" si="991"/>
        <v>Agencia de Calidad de la Educación</v>
      </c>
      <c r="O660" s="20" t="str">
        <f>+"Evolución de Puntaje SIMCE de Matemáticas por Dependencia de Establecimientos para 2° Medio en la "&amp;I660&amp;", "&amp;Agencia[[#This Row],[temporalidad]]</f>
        <v>Evolución de Puntaje SIMCE de Matemáticas por Dependencia de Establecimientos para 2° Medio en la Región de La Araucanía, Periodo 2015-2018</v>
      </c>
      <c r="P660" s="20"/>
      <c r="Q660" s="11" t="str">
        <f t="shared" si="974"/>
        <v>Gráfico de Evolución</v>
      </c>
      <c r="R660" s="20" t="str">
        <f>Agencia[[#This Row],[territorio]]&amp;" SIMCE media segundo educación puntaje matemáticas municipal subvencionado corporación lenguaje particular"</f>
        <v>Región de La Araucanía SIMCE media segundo educación puntaje matemáticas municipal subvencionado corporación lenguaje particular</v>
      </c>
      <c r="S660" s="22" t="s">
        <v>423</v>
      </c>
      <c r="T660" s="69" t="str">
        <f>"100-C-"&amp;Agencia[[#This Row],[Filtro URL]]</f>
        <v>100-C-9</v>
      </c>
      <c r="U660" s="50" t="str">
        <f t="shared" si="975"/>
        <v>#1774B9</v>
      </c>
      <c r="V660" s="118" t="str">
        <f>+Agencia[[#This Row],[idcoleccion]]&amp;"-"&amp;Agencia[[#This Row],[id]]</f>
        <v>990-0649</v>
      </c>
      <c r="W660" s="118">
        <f>+VLOOKUP(Agencia[[#This Row],[Filtro URL]],Estructura!$X$4:$Y$500,2,0)</f>
        <v>99200009</v>
      </c>
      <c r="X660" s="118" t="str">
        <f>+VLOOKUP(Agencia[[#This Row],[tema]],Estructura!$A$4:$C$500,3,0)</f>
        <v>T-1043</v>
      </c>
      <c r="Y660" s="118" t="str">
        <f>+VLOOKUP(Agencia[[#This Row],[contenido]],Estructura!$E$4:$G$500,3,0)</f>
        <v>C-1018</v>
      </c>
      <c r="Z660" s="118" t="str">
        <f>+VLOOKUP(Agencia[[#This Row],[Filtro Integrado]],Estructura!$I$4:$K$500,3,0)</f>
        <v>FI-991</v>
      </c>
      <c r="AA660" s="118" t="str">
        <f>+VLOOKUP(Agencia[[#This Row],[Muestra]],Estructura!$M$4:$O$500,3,0)</f>
        <v>M-1053</v>
      </c>
    </row>
    <row r="661" spans="1:27" ht="36" x14ac:dyDescent="0.3">
      <c r="A661" s="21" t="s">
        <v>1253</v>
      </c>
      <c r="B661" s="24">
        <f t="shared" ref="B661:D661" si="992">+B660</f>
        <v>990</v>
      </c>
      <c r="C661" s="25" t="str">
        <f t="shared" si="992"/>
        <v>Agencia Información</v>
      </c>
      <c r="D661" s="25" t="str">
        <f t="shared" si="992"/>
        <v>Educación</v>
      </c>
      <c r="E661" s="19">
        <v>10</v>
      </c>
      <c r="F661" s="18" t="s">
        <v>1524</v>
      </c>
      <c r="G661" s="18" t="s">
        <v>7427</v>
      </c>
      <c r="H661" s="35" t="s">
        <v>16</v>
      </c>
      <c r="I661" s="36" t="s">
        <v>377</v>
      </c>
      <c r="J661" s="9" t="str">
        <f t="shared" ref="J661:N661" si="993">+J660</f>
        <v>Comuna</v>
      </c>
      <c r="K661" s="9" t="str">
        <f t="shared" si="993"/>
        <v>Puntaje promedio por establecimiento</v>
      </c>
      <c r="L661" s="9" t="str">
        <f t="shared" si="993"/>
        <v>Periodo 2015-2018</v>
      </c>
      <c r="M661" s="9" t="str">
        <f t="shared" si="993"/>
        <v>Puntaje</v>
      </c>
      <c r="N661" s="9" t="str">
        <f t="shared" si="993"/>
        <v>Agencia de Calidad de la Educación</v>
      </c>
      <c r="O661" s="20" t="str">
        <f>+"Evolución de Puntaje SIMCE de Matemáticas por Dependencia de Establecimientos para 2° Medio en la "&amp;I661&amp;", "&amp;Agencia[[#This Row],[temporalidad]]</f>
        <v>Evolución de Puntaje SIMCE de Matemáticas por Dependencia de Establecimientos para 2° Medio en la Región de Los Lagos, Periodo 2015-2018</v>
      </c>
      <c r="P661" s="20"/>
      <c r="Q661" s="11" t="str">
        <f t="shared" si="974"/>
        <v>Gráfico de Evolución</v>
      </c>
      <c r="R661" s="20" t="str">
        <f>Agencia[[#This Row],[territorio]]&amp;" SIMCE media segundo educación puntaje matemáticas municipal subvencionado corporación lenguaje particular"</f>
        <v>Región de Los Lagos SIMCE media segundo educación puntaje matemáticas municipal subvencionado corporación lenguaje particular</v>
      </c>
      <c r="S661" s="22" t="s">
        <v>423</v>
      </c>
      <c r="T661" s="69" t="str">
        <f>"100-C-"&amp;Agencia[[#This Row],[Filtro URL]]</f>
        <v>100-C-10</v>
      </c>
      <c r="U661" s="50" t="str">
        <f t="shared" si="975"/>
        <v>#1774B9</v>
      </c>
      <c r="V661" s="118" t="str">
        <f>+Agencia[[#This Row],[idcoleccion]]&amp;"-"&amp;Agencia[[#This Row],[id]]</f>
        <v>990-0650</v>
      </c>
      <c r="W661" s="118">
        <f>+VLOOKUP(Agencia[[#This Row],[Filtro URL]],Estructura!$X$4:$Y$500,2,0)</f>
        <v>99200010</v>
      </c>
      <c r="X661" s="118" t="str">
        <f>+VLOOKUP(Agencia[[#This Row],[tema]],Estructura!$A$4:$C$500,3,0)</f>
        <v>T-1043</v>
      </c>
      <c r="Y661" s="118" t="str">
        <f>+VLOOKUP(Agencia[[#This Row],[contenido]],Estructura!$E$4:$G$500,3,0)</f>
        <v>C-1018</v>
      </c>
      <c r="Z661" s="118" t="str">
        <f>+VLOOKUP(Agencia[[#This Row],[Filtro Integrado]],Estructura!$I$4:$K$500,3,0)</f>
        <v>FI-991</v>
      </c>
      <c r="AA661" s="118" t="str">
        <f>+VLOOKUP(Agencia[[#This Row],[Muestra]],Estructura!$M$4:$O$500,3,0)</f>
        <v>M-1053</v>
      </c>
    </row>
    <row r="662" spans="1:27" ht="36" x14ac:dyDescent="0.3">
      <c r="A662" s="21" t="s">
        <v>1254</v>
      </c>
      <c r="B662" s="24">
        <f t="shared" ref="B662:D662" si="994">+B661</f>
        <v>990</v>
      </c>
      <c r="C662" s="25" t="str">
        <f t="shared" si="994"/>
        <v>Agencia Información</v>
      </c>
      <c r="D662" s="25" t="str">
        <f t="shared" si="994"/>
        <v>Educación</v>
      </c>
      <c r="E662" s="19">
        <v>11</v>
      </c>
      <c r="F662" s="18" t="s">
        <v>1524</v>
      </c>
      <c r="G662" s="18" t="s">
        <v>7427</v>
      </c>
      <c r="H662" s="35" t="s">
        <v>16</v>
      </c>
      <c r="I662" s="36" t="s">
        <v>378</v>
      </c>
      <c r="J662" s="9" t="str">
        <f t="shared" ref="J662:N662" si="995">+J661</f>
        <v>Comuna</v>
      </c>
      <c r="K662" s="9" t="str">
        <f t="shared" si="995"/>
        <v>Puntaje promedio por establecimiento</v>
      </c>
      <c r="L662" s="9" t="str">
        <f t="shared" si="995"/>
        <v>Periodo 2015-2018</v>
      </c>
      <c r="M662" s="9" t="str">
        <f t="shared" si="995"/>
        <v>Puntaje</v>
      </c>
      <c r="N662" s="9" t="str">
        <f t="shared" si="995"/>
        <v>Agencia de Calidad de la Educación</v>
      </c>
      <c r="O662" s="20" t="str">
        <f>+"Evolución de Puntaje SIMCE de Matemáticas por Dependencia de Establecimientos para 2° Medio en la "&amp;I662&amp;", "&amp;Agencia[[#This Row],[temporalidad]]</f>
        <v>Evolución de Puntaje SIMCE de Matemáticas por Dependencia de Establecimientos para 2° Medio en la Región de Aysén, Periodo 2015-2018</v>
      </c>
      <c r="P662" s="20"/>
      <c r="Q662" s="11" t="str">
        <f t="shared" si="974"/>
        <v>Gráfico de Evolución</v>
      </c>
      <c r="R662" s="20" t="str">
        <f>Agencia[[#This Row],[territorio]]&amp;" SIMCE media segundo educación puntaje matemáticas municipal subvencionado corporación lenguaje particular"</f>
        <v>Región de Aysén SIMCE media segundo educación puntaje matemáticas municipal subvencionado corporación lenguaje particular</v>
      </c>
      <c r="S662" s="22" t="s">
        <v>423</v>
      </c>
      <c r="T662" s="69" t="str">
        <f>"100-C-"&amp;Agencia[[#This Row],[Filtro URL]]</f>
        <v>100-C-11</v>
      </c>
      <c r="U662" s="50" t="str">
        <f t="shared" si="975"/>
        <v>#1774B9</v>
      </c>
      <c r="V662" s="118" t="str">
        <f>+Agencia[[#This Row],[idcoleccion]]&amp;"-"&amp;Agencia[[#This Row],[id]]</f>
        <v>990-0651</v>
      </c>
      <c r="W662" s="118">
        <f>+VLOOKUP(Agencia[[#This Row],[Filtro URL]],Estructura!$X$4:$Y$500,2,0)</f>
        <v>99200011</v>
      </c>
      <c r="X662" s="118" t="str">
        <f>+VLOOKUP(Agencia[[#This Row],[tema]],Estructura!$A$4:$C$500,3,0)</f>
        <v>T-1043</v>
      </c>
      <c r="Y662" s="118" t="str">
        <f>+VLOOKUP(Agencia[[#This Row],[contenido]],Estructura!$E$4:$G$500,3,0)</f>
        <v>C-1018</v>
      </c>
      <c r="Z662" s="118" t="str">
        <f>+VLOOKUP(Agencia[[#This Row],[Filtro Integrado]],Estructura!$I$4:$K$500,3,0)</f>
        <v>FI-991</v>
      </c>
      <c r="AA662" s="118" t="str">
        <f>+VLOOKUP(Agencia[[#This Row],[Muestra]],Estructura!$M$4:$O$500,3,0)</f>
        <v>M-1053</v>
      </c>
    </row>
    <row r="663" spans="1:27" ht="36" x14ac:dyDescent="0.3">
      <c r="A663" s="21" t="s">
        <v>1255</v>
      </c>
      <c r="B663" s="24">
        <f t="shared" ref="B663:D663" si="996">+B662</f>
        <v>990</v>
      </c>
      <c r="C663" s="25" t="str">
        <f t="shared" si="996"/>
        <v>Agencia Información</v>
      </c>
      <c r="D663" s="25" t="str">
        <f t="shared" si="996"/>
        <v>Educación</v>
      </c>
      <c r="E663" s="19">
        <v>12</v>
      </c>
      <c r="F663" s="18" t="s">
        <v>1524</v>
      </c>
      <c r="G663" s="18" t="s">
        <v>7427</v>
      </c>
      <c r="H663" s="35" t="s">
        <v>16</v>
      </c>
      <c r="I663" s="36" t="s">
        <v>379</v>
      </c>
      <c r="J663" s="9" t="str">
        <f t="shared" ref="J663:N663" si="997">+J662</f>
        <v>Comuna</v>
      </c>
      <c r="K663" s="9" t="str">
        <f t="shared" si="997"/>
        <v>Puntaje promedio por establecimiento</v>
      </c>
      <c r="L663" s="9" t="str">
        <f t="shared" si="997"/>
        <v>Periodo 2015-2018</v>
      </c>
      <c r="M663" s="9" t="str">
        <f t="shared" si="997"/>
        <v>Puntaje</v>
      </c>
      <c r="N663" s="9" t="str">
        <f t="shared" si="997"/>
        <v>Agencia de Calidad de la Educación</v>
      </c>
      <c r="O663" s="20" t="str">
        <f>+"Evolución de Puntaje SIMCE de Matemáticas por Dependencia de Establecimientos para 2° Medio en la "&amp;I663&amp;", "&amp;Agencia[[#This Row],[temporalidad]]</f>
        <v>Evolución de Puntaje SIMCE de Matemáticas por Dependencia de Establecimientos para 2° Medio en la Región de Magallanes, Periodo 2015-2018</v>
      </c>
      <c r="P663" s="20"/>
      <c r="Q663" s="11" t="str">
        <f t="shared" si="974"/>
        <v>Gráfico de Evolución</v>
      </c>
      <c r="R663" s="20" t="str">
        <f>Agencia[[#This Row],[territorio]]&amp;" SIMCE media segundo educación puntaje matemáticas municipal subvencionado corporación lenguaje particular"</f>
        <v>Región de Magallanes SIMCE media segundo educación puntaje matemáticas municipal subvencionado corporación lenguaje particular</v>
      </c>
      <c r="S663" s="22" t="s">
        <v>423</v>
      </c>
      <c r="T663" s="69" t="str">
        <f>"100-C-"&amp;Agencia[[#This Row],[Filtro URL]]</f>
        <v>100-C-12</v>
      </c>
      <c r="U663" s="50" t="str">
        <f t="shared" si="975"/>
        <v>#1774B9</v>
      </c>
      <c r="V663" s="118" t="str">
        <f>+Agencia[[#This Row],[idcoleccion]]&amp;"-"&amp;Agencia[[#This Row],[id]]</f>
        <v>990-0652</v>
      </c>
      <c r="W663" s="118">
        <f>+VLOOKUP(Agencia[[#This Row],[Filtro URL]],Estructura!$X$4:$Y$500,2,0)</f>
        <v>99200012</v>
      </c>
      <c r="X663" s="118" t="str">
        <f>+VLOOKUP(Agencia[[#This Row],[tema]],Estructura!$A$4:$C$500,3,0)</f>
        <v>T-1043</v>
      </c>
      <c r="Y663" s="118" t="str">
        <f>+VLOOKUP(Agencia[[#This Row],[contenido]],Estructura!$E$4:$G$500,3,0)</f>
        <v>C-1018</v>
      </c>
      <c r="Z663" s="118" t="str">
        <f>+VLOOKUP(Agencia[[#This Row],[Filtro Integrado]],Estructura!$I$4:$K$500,3,0)</f>
        <v>FI-991</v>
      </c>
      <c r="AA663" s="118" t="str">
        <f>+VLOOKUP(Agencia[[#This Row],[Muestra]],Estructura!$M$4:$O$500,3,0)</f>
        <v>M-1053</v>
      </c>
    </row>
    <row r="664" spans="1:27" ht="36" x14ac:dyDescent="0.3">
      <c r="A664" s="21" t="s">
        <v>1256</v>
      </c>
      <c r="B664" s="24">
        <f t="shared" ref="B664:D664" si="998">+B663</f>
        <v>990</v>
      </c>
      <c r="C664" s="25" t="str">
        <f t="shared" si="998"/>
        <v>Agencia Información</v>
      </c>
      <c r="D664" s="25" t="str">
        <f t="shared" si="998"/>
        <v>Educación</v>
      </c>
      <c r="E664" s="19">
        <v>13</v>
      </c>
      <c r="F664" s="18" t="s">
        <v>1524</v>
      </c>
      <c r="G664" s="18" t="s">
        <v>7427</v>
      </c>
      <c r="H664" s="35" t="s">
        <v>16</v>
      </c>
      <c r="I664" s="36" t="s">
        <v>380</v>
      </c>
      <c r="J664" s="9" t="str">
        <f t="shared" ref="J664:N664" si="999">+J663</f>
        <v>Comuna</v>
      </c>
      <c r="K664" s="9" t="str">
        <f t="shared" si="999"/>
        <v>Puntaje promedio por establecimiento</v>
      </c>
      <c r="L664" s="9" t="str">
        <f t="shared" si="999"/>
        <v>Periodo 2015-2018</v>
      </c>
      <c r="M664" s="9" t="str">
        <f t="shared" si="999"/>
        <v>Puntaje</v>
      </c>
      <c r="N664" s="9" t="str">
        <f t="shared" si="999"/>
        <v>Agencia de Calidad de la Educación</v>
      </c>
      <c r="O664" s="20" t="str">
        <f>+"Evolución de Puntaje SIMCE de Matemáticas por Dependencia de Establecimientos para 2° Medio en la "&amp;I664&amp;", "&amp;Agencia[[#This Row],[temporalidad]]</f>
        <v>Evolución de Puntaje SIMCE de Matemáticas por Dependencia de Establecimientos para 2° Medio en la Región Metropolitana, Periodo 2015-2018</v>
      </c>
      <c r="P664" s="20"/>
      <c r="Q664" s="11" t="str">
        <f t="shared" si="974"/>
        <v>Gráfico de Evolución</v>
      </c>
      <c r="R664" s="20" t="str">
        <f>Agencia[[#This Row],[territorio]]&amp;" SIMCE media segundo educación puntaje matemáticas municipal subvencionado corporación lenguaje particular"</f>
        <v>Región Metropolitana SIMCE media segundo educación puntaje matemáticas municipal subvencionado corporación lenguaje particular</v>
      </c>
      <c r="S664" s="22" t="s">
        <v>423</v>
      </c>
      <c r="T664" s="69" t="str">
        <f>"200-C-"&amp;Agencia[[#This Row],[Filtro URL]]</f>
        <v>200-C-13</v>
      </c>
      <c r="U664" s="50" t="str">
        <f t="shared" si="975"/>
        <v>#1774B9</v>
      </c>
      <c r="V664" s="118" t="str">
        <f>+Agencia[[#This Row],[idcoleccion]]&amp;"-"&amp;Agencia[[#This Row],[id]]</f>
        <v>990-0653</v>
      </c>
      <c r="W664" s="118">
        <f>+VLOOKUP(Agencia[[#This Row],[Filtro URL]],Estructura!$X$4:$Y$500,2,0)</f>
        <v>99200013</v>
      </c>
      <c r="X664" s="118" t="str">
        <f>+VLOOKUP(Agencia[[#This Row],[tema]],Estructura!$A$4:$C$500,3,0)</f>
        <v>T-1043</v>
      </c>
      <c r="Y664" s="118" t="str">
        <f>+VLOOKUP(Agencia[[#This Row],[contenido]],Estructura!$E$4:$G$500,3,0)</f>
        <v>C-1018</v>
      </c>
      <c r="Z664" s="118" t="str">
        <f>+VLOOKUP(Agencia[[#This Row],[Filtro Integrado]],Estructura!$I$4:$K$500,3,0)</f>
        <v>FI-991</v>
      </c>
      <c r="AA664" s="118" t="str">
        <f>+VLOOKUP(Agencia[[#This Row],[Muestra]],Estructura!$M$4:$O$500,3,0)</f>
        <v>M-1053</v>
      </c>
    </row>
    <row r="665" spans="1:27" ht="36" x14ac:dyDescent="0.3">
      <c r="A665" s="21" t="s">
        <v>1257</v>
      </c>
      <c r="B665" s="24">
        <f t="shared" ref="B665:D665" si="1000">+B664</f>
        <v>990</v>
      </c>
      <c r="C665" s="25" t="str">
        <f t="shared" si="1000"/>
        <v>Agencia Información</v>
      </c>
      <c r="D665" s="25" t="str">
        <f t="shared" si="1000"/>
        <v>Educación</v>
      </c>
      <c r="E665" s="19">
        <v>14</v>
      </c>
      <c r="F665" s="18" t="s">
        <v>1524</v>
      </c>
      <c r="G665" s="18" t="s">
        <v>7427</v>
      </c>
      <c r="H665" s="35" t="s">
        <v>16</v>
      </c>
      <c r="I665" s="36" t="s">
        <v>381</v>
      </c>
      <c r="J665" s="9" t="str">
        <f t="shared" ref="J665:N665" si="1001">+J664</f>
        <v>Comuna</v>
      </c>
      <c r="K665" s="9" t="str">
        <f t="shared" si="1001"/>
        <v>Puntaje promedio por establecimiento</v>
      </c>
      <c r="L665" s="9" t="str">
        <f t="shared" si="1001"/>
        <v>Periodo 2015-2018</v>
      </c>
      <c r="M665" s="9" t="str">
        <f t="shared" si="1001"/>
        <v>Puntaje</v>
      </c>
      <c r="N665" s="9" t="str">
        <f t="shared" si="1001"/>
        <v>Agencia de Calidad de la Educación</v>
      </c>
      <c r="O665" s="20" t="str">
        <f>+"Evolución de Puntaje SIMCE de Matemáticas por Dependencia de Establecimientos para 2° Medio en la "&amp;I665&amp;", "&amp;Agencia[[#This Row],[temporalidad]]</f>
        <v>Evolución de Puntaje SIMCE de Matemáticas por Dependencia de Establecimientos para 2° Medio en la Región de Los Ríos, Periodo 2015-2018</v>
      </c>
      <c r="P665" s="20"/>
      <c r="Q665" s="11" t="str">
        <f t="shared" si="974"/>
        <v>Gráfico de Evolución</v>
      </c>
      <c r="R665" s="20" t="str">
        <f>Agencia[[#This Row],[territorio]]&amp;" SIMCE media segundo educación puntaje matemáticas municipal subvencionado corporación lenguaje particular"</f>
        <v>Región de Los Ríos SIMCE media segundo educación puntaje matemáticas municipal subvencionado corporación lenguaje particular</v>
      </c>
      <c r="S665" s="22" t="s">
        <v>423</v>
      </c>
      <c r="T665" s="69" t="str">
        <f>"100-C-"&amp;Agencia[[#This Row],[Filtro URL]]</f>
        <v>100-C-14</v>
      </c>
      <c r="U665" s="50" t="str">
        <f t="shared" si="975"/>
        <v>#1774B9</v>
      </c>
      <c r="V665" s="118" t="str">
        <f>+Agencia[[#This Row],[idcoleccion]]&amp;"-"&amp;Agencia[[#This Row],[id]]</f>
        <v>990-0654</v>
      </c>
      <c r="W665" s="118">
        <f>+VLOOKUP(Agencia[[#This Row],[Filtro URL]],Estructura!$X$4:$Y$500,2,0)</f>
        <v>99200014</v>
      </c>
      <c r="X665" s="118" t="str">
        <f>+VLOOKUP(Agencia[[#This Row],[tema]],Estructura!$A$4:$C$500,3,0)</f>
        <v>T-1043</v>
      </c>
      <c r="Y665" s="118" t="str">
        <f>+VLOOKUP(Agencia[[#This Row],[contenido]],Estructura!$E$4:$G$500,3,0)</f>
        <v>C-1018</v>
      </c>
      <c r="Z665" s="118" t="str">
        <f>+VLOOKUP(Agencia[[#This Row],[Filtro Integrado]],Estructura!$I$4:$K$500,3,0)</f>
        <v>FI-991</v>
      </c>
      <c r="AA665" s="118" t="str">
        <f>+VLOOKUP(Agencia[[#This Row],[Muestra]],Estructura!$M$4:$O$500,3,0)</f>
        <v>M-1053</v>
      </c>
    </row>
    <row r="666" spans="1:27" ht="40.799999999999997" x14ac:dyDescent="0.3">
      <c r="A666" s="21" t="s">
        <v>1258</v>
      </c>
      <c r="B666" s="24">
        <f t="shared" ref="B666:D666" si="1002">+B665</f>
        <v>990</v>
      </c>
      <c r="C666" s="25" t="str">
        <f t="shared" si="1002"/>
        <v>Agencia Información</v>
      </c>
      <c r="D666" s="25" t="str">
        <f t="shared" si="1002"/>
        <v>Educación</v>
      </c>
      <c r="E666" s="19">
        <v>15</v>
      </c>
      <c r="F666" s="18" t="s">
        <v>1524</v>
      </c>
      <c r="G666" s="18" t="s">
        <v>7427</v>
      </c>
      <c r="H666" s="35" t="s">
        <v>16</v>
      </c>
      <c r="I666" s="36" t="s">
        <v>382</v>
      </c>
      <c r="J666" s="9" t="str">
        <f t="shared" ref="J666:N666" si="1003">+J665</f>
        <v>Comuna</v>
      </c>
      <c r="K666" s="9" t="str">
        <f t="shared" si="1003"/>
        <v>Puntaje promedio por establecimiento</v>
      </c>
      <c r="L666" s="9" t="str">
        <f t="shared" si="1003"/>
        <v>Periodo 2015-2018</v>
      </c>
      <c r="M666" s="9" t="str">
        <f t="shared" si="1003"/>
        <v>Puntaje</v>
      </c>
      <c r="N666" s="9" t="str">
        <f t="shared" si="1003"/>
        <v>Agencia de Calidad de la Educación</v>
      </c>
      <c r="O666" s="20" t="str">
        <f>+"Evolución de Puntaje SIMCE de Matemáticas por Dependencia de Establecimientos para 2° Medio en la "&amp;I666&amp;", "&amp;Agencia[[#This Row],[temporalidad]]</f>
        <v>Evolución de Puntaje SIMCE de Matemáticas por Dependencia de Establecimientos para 2° Medio en la Región de Arica y Parinacota, Periodo 2015-2018</v>
      </c>
      <c r="P666" s="20"/>
      <c r="Q666" s="11" t="str">
        <f t="shared" si="974"/>
        <v>Gráfico de Evolución</v>
      </c>
      <c r="R666" s="20" t="str">
        <f>Agencia[[#This Row],[territorio]]&amp;" SIMCE media segundo educación puntaje matemáticas municipal subvencionado corporación lenguaje particular"</f>
        <v>Región de Arica y Parinacota SIMCE media segundo educación puntaje matemáticas municipal subvencionado corporación lenguaje particular</v>
      </c>
      <c r="S666" s="22" t="s">
        <v>423</v>
      </c>
      <c r="T666" s="69" t="str">
        <f>"100-C-"&amp;Agencia[[#This Row],[Filtro URL]]</f>
        <v>100-C-15</v>
      </c>
      <c r="U666" s="50" t="str">
        <f t="shared" si="975"/>
        <v>#1774B9</v>
      </c>
      <c r="V666" s="118" t="str">
        <f>+Agencia[[#This Row],[idcoleccion]]&amp;"-"&amp;Agencia[[#This Row],[id]]</f>
        <v>990-0655</v>
      </c>
      <c r="W666" s="118">
        <f>+VLOOKUP(Agencia[[#This Row],[Filtro URL]],Estructura!$X$4:$Y$500,2,0)</f>
        <v>99200015</v>
      </c>
      <c r="X666" s="118" t="str">
        <f>+VLOOKUP(Agencia[[#This Row],[tema]],Estructura!$A$4:$C$500,3,0)</f>
        <v>T-1043</v>
      </c>
      <c r="Y666" s="118" t="str">
        <f>+VLOOKUP(Agencia[[#This Row],[contenido]],Estructura!$E$4:$G$500,3,0)</f>
        <v>C-1018</v>
      </c>
      <c r="Z666" s="118" t="str">
        <f>+VLOOKUP(Agencia[[#This Row],[Filtro Integrado]],Estructura!$I$4:$K$500,3,0)</f>
        <v>FI-991</v>
      </c>
      <c r="AA666" s="118" t="str">
        <f>+VLOOKUP(Agencia[[#This Row],[Muestra]],Estructura!$M$4:$O$500,3,0)</f>
        <v>M-1053</v>
      </c>
    </row>
    <row r="667" spans="1:27" ht="36" x14ac:dyDescent="0.3">
      <c r="A667" s="21" t="s">
        <v>1259</v>
      </c>
      <c r="B667" s="24">
        <f t="shared" ref="B667:D667" si="1004">+B666</f>
        <v>990</v>
      </c>
      <c r="C667" s="25" t="str">
        <f t="shared" si="1004"/>
        <v>Agencia Información</v>
      </c>
      <c r="D667" s="25" t="str">
        <f t="shared" si="1004"/>
        <v>Educación</v>
      </c>
      <c r="E667" s="19">
        <v>16</v>
      </c>
      <c r="F667" s="18" t="s">
        <v>1524</v>
      </c>
      <c r="G667" s="18" t="s">
        <v>7427</v>
      </c>
      <c r="H667" s="35" t="s">
        <v>16</v>
      </c>
      <c r="I667" s="36" t="s">
        <v>383</v>
      </c>
      <c r="J667" s="9" t="str">
        <f t="shared" ref="J667:N667" si="1005">+J666</f>
        <v>Comuna</v>
      </c>
      <c r="K667" s="9" t="str">
        <f t="shared" si="1005"/>
        <v>Puntaje promedio por establecimiento</v>
      </c>
      <c r="L667" s="9" t="str">
        <f t="shared" si="1005"/>
        <v>Periodo 2015-2018</v>
      </c>
      <c r="M667" s="9" t="str">
        <f t="shared" si="1005"/>
        <v>Puntaje</v>
      </c>
      <c r="N667" s="9" t="str">
        <f t="shared" si="1005"/>
        <v>Agencia de Calidad de la Educación</v>
      </c>
      <c r="O667" s="20" t="str">
        <f>+"Evolución de Puntaje SIMCE de Matemáticas por Dependencia de Establecimientos para 2° Medio en la "&amp;I667&amp;", "&amp;Agencia[[#This Row],[temporalidad]]</f>
        <v>Evolución de Puntaje SIMCE de Matemáticas por Dependencia de Establecimientos para 2° Medio en la Región de Ñuble, Periodo 2015-2018</v>
      </c>
      <c r="P667" s="20"/>
      <c r="Q667" s="11" t="str">
        <f t="shared" si="974"/>
        <v>Gráfico de Evolución</v>
      </c>
      <c r="R667" s="20" t="str">
        <f>Agencia[[#This Row],[territorio]]&amp;" SIMCE media segundo educación puntaje matemáticas municipal subvencionado corporación lenguaje particular"</f>
        <v>Región de Ñuble SIMCE media segundo educación puntaje matemáticas municipal subvencionado corporación lenguaje particular</v>
      </c>
      <c r="S667" s="22" t="s">
        <v>423</v>
      </c>
      <c r="T667" s="69" t="str">
        <f>"100-C-"&amp;Agencia[[#This Row],[Filtro URL]]</f>
        <v>100-C-16</v>
      </c>
      <c r="U667" s="50" t="str">
        <f t="shared" si="975"/>
        <v>#1774B9</v>
      </c>
      <c r="V667" s="118" t="str">
        <f>+Agencia[[#This Row],[idcoleccion]]&amp;"-"&amp;Agencia[[#This Row],[id]]</f>
        <v>990-0656</v>
      </c>
      <c r="W667" s="118">
        <f>+VLOOKUP(Agencia[[#This Row],[Filtro URL]],Estructura!$X$4:$Y$500,2,0)</f>
        <v>99200016</v>
      </c>
      <c r="X667" s="118" t="str">
        <f>+VLOOKUP(Agencia[[#This Row],[tema]],Estructura!$A$4:$C$500,3,0)</f>
        <v>T-1043</v>
      </c>
      <c r="Y667" s="118" t="str">
        <f>+VLOOKUP(Agencia[[#This Row],[contenido]],Estructura!$E$4:$G$500,3,0)</f>
        <v>C-1018</v>
      </c>
      <c r="Z667" s="118" t="str">
        <f>+VLOOKUP(Agencia[[#This Row],[Filtro Integrado]],Estructura!$I$4:$K$500,3,0)</f>
        <v>FI-991</v>
      </c>
      <c r="AA667" s="118" t="str">
        <f>+VLOOKUP(Agencia[[#This Row],[Muestra]],Estructura!$M$4:$O$500,3,0)</f>
        <v>M-1053</v>
      </c>
    </row>
    <row r="668" spans="1:27" ht="48" x14ac:dyDescent="0.3">
      <c r="A668" s="21" t="s">
        <v>1260</v>
      </c>
      <c r="B668" s="24">
        <f t="shared" ref="B668:C668" si="1006">+B667</f>
        <v>990</v>
      </c>
      <c r="C668" s="25" t="str">
        <f t="shared" si="1006"/>
        <v>Agencia Información</v>
      </c>
      <c r="D668" s="25" t="s">
        <v>14</v>
      </c>
      <c r="E668" s="14">
        <v>0</v>
      </c>
      <c r="F668" s="18" t="s">
        <v>1538</v>
      </c>
      <c r="G668" s="18" t="s">
        <v>7427</v>
      </c>
      <c r="H668" s="33" t="s">
        <v>20</v>
      </c>
      <c r="I668" s="34" t="s">
        <v>15</v>
      </c>
      <c r="J668" s="9" t="s">
        <v>18</v>
      </c>
      <c r="K668" s="9" t="s">
        <v>1577</v>
      </c>
      <c r="L668" s="9" t="s">
        <v>894</v>
      </c>
      <c r="M668" s="9" t="s">
        <v>1529</v>
      </c>
      <c r="N668" s="9" t="s">
        <v>1526</v>
      </c>
      <c r="O668" s="20" t="str">
        <f>+"Resumen de Indicadores de Desarrollo Personal y Social por Dependencia de Establecimiento por comuna en "&amp;I668&amp;", "&amp;Agencia[[#This Row],[temporalidad]]</f>
        <v>Resumen de Indicadores de Desarrollo Personal y Social por Dependencia de Establecimiento por comuna en Chile, Periodo 2014-2019</v>
      </c>
      <c r="P668" s="20"/>
      <c r="Q668" s="11" t="str">
        <f t="shared" si="974"/>
        <v>Gráfico de Evolución</v>
      </c>
      <c r="R668" s="20" t="str">
        <f>Agencia[[#This Row],[territorio]]&amp;" calidad educación puntaje municipal subvencionado corporación particular autoestima convivencia hábitos salud participación desarrollo personal indicadores"</f>
        <v>Chile calidad educación puntaje municipal subvencionado corporación particular autoestima convivencia hábitos salud participación desarrollo personal indicadores</v>
      </c>
      <c r="S668" s="22" t="s">
        <v>423</v>
      </c>
      <c r="T668" s="68" t="s">
        <v>1033</v>
      </c>
      <c r="U668" s="50" t="str">
        <f t="shared" si="975"/>
        <v>#1774B9</v>
      </c>
      <c r="V668" s="118" t="str">
        <f>+Agencia[[#This Row],[idcoleccion]]&amp;"-"&amp;Agencia[[#This Row],[id]]</f>
        <v>990-0657</v>
      </c>
      <c r="W668" s="118">
        <f>+VLOOKUP(Agencia[[#This Row],[Filtro URL]],Estructura!$X$4:$Y$500,2,0)</f>
        <v>99100000</v>
      </c>
      <c r="X668" s="118" t="str">
        <f>+VLOOKUP(Agencia[[#This Row],[tema]],Estructura!$A$4:$C$500,3,0)</f>
        <v>T-991</v>
      </c>
      <c r="Y668" s="118" t="str">
        <f>+VLOOKUP(Agencia[[#This Row],[contenido]],Estructura!$E$4:$G$500,3,0)</f>
        <v>C-1018</v>
      </c>
      <c r="Z668" s="118" t="str">
        <f>+VLOOKUP(Agencia[[#This Row],[Filtro Integrado]],Estructura!$I$4:$K$500,3,0)</f>
        <v>FI-991</v>
      </c>
      <c r="AA668" s="118" t="str">
        <f>+VLOOKUP(Agencia[[#This Row],[Muestra]],Estructura!$M$4:$O$500,3,0)</f>
        <v>M-1082</v>
      </c>
    </row>
    <row r="669" spans="1:27" ht="57.6" x14ac:dyDescent="0.3">
      <c r="A669" s="21" t="s">
        <v>1261</v>
      </c>
      <c r="B669" s="24">
        <f t="shared" ref="B669:D669" si="1007">+B668</f>
        <v>990</v>
      </c>
      <c r="C669" s="25" t="str">
        <f t="shared" si="1007"/>
        <v>Agencia Información</v>
      </c>
      <c r="D669" s="25" t="str">
        <f t="shared" si="1007"/>
        <v>Educación</v>
      </c>
      <c r="E669" s="19">
        <v>1</v>
      </c>
      <c r="F669" s="18" t="s">
        <v>1538</v>
      </c>
      <c r="G669" s="18" t="s">
        <v>7427</v>
      </c>
      <c r="H669" s="35" t="s">
        <v>16</v>
      </c>
      <c r="I669" s="36" t="s">
        <v>368</v>
      </c>
      <c r="J669" s="9" t="s">
        <v>18</v>
      </c>
      <c r="K669" s="9" t="s">
        <v>1577</v>
      </c>
      <c r="L669" s="9" t="str">
        <f t="shared" ref="L669:N669" si="1008">+L668</f>
        <v>Periodo 2014-2019</v>
      </c>
      <c r="M669" s="9" t="str">
        <f t="shared" si="1008"/>
        <v>Puntaje</v>
      </c>
      <c r="N669" s="9" t="str">
        <f t="shared" si="1008"/>
        <v>Agencia de Calidad de la Educación</v>
      </c>
      <c r="O669" s="20" t="str">
        <f>+"Resumen de Indicadores de Desarrollo Personal y Social por Dependencia de Establecimiento por comuna en la "&amp;I669&amp;", "&amp;Agencia[[#This Row],[temporalidad]]</f>
        <v>Resumen de Indicadores de Desarrollo Personal y Social por Dependencia de Establecimiento por comuna en la Región de Tarapacá, Periodo 2014-2019</v>
      </c>
      <c r="P669" s="20"/>
      <c r="Q669" s="11" t="str">
        <f t="shared" si="974"/>
        <v>Gráfico de Evolución</v>
      </c>
      <c r="R669" s="20" t="str">
        <f>Agencia[[#This Row],[territorio]]&amp;" calidad educación puntaje municipal subvencionado corporación particular autoestima convivencia hábitos salud participación desarrollo personal indicadores"</f>
        <v>Región de Tarapacá calidad educación puntaje municipal subvencionado corporación particular autoestima convivencia hábitos salud participación desarrollo personal indicadores</v>
      </c>
      <c r="S669" s="39" t="str">
        <f>HYPERLINK("https://analytics.zoho.com/open-view/2395394000007990413?ZOHO_CRITERIA=%22Localiza%20CL%22.%22Codreg%22%3D"&amp;Agencia[[#This Row],[Filtro URL]])</f>
        <v>https://analytics.zoho.com/open-view/2395394000007990413?ZOHO_CRITERIA=%22Localiza%20CL%22.%22Codreg%22%3D1</v>
      </c>
      <c r="T669" s="69" t="str">
        <f>"100-C-"&amp;Agencia[[#This Row],[Filtro URL]]</f>
        <v>100-C-1</v>
      </c>
      <c r="U669" s="50" t="str">
        <f t="shared" si="975"/>
        <v>#1774B9</v>
      </c>
      <c r="V669" s="118" t="str">
        <f>+Agencia[[#This Row],[idcoleccion]]&amp;"-"&amp;Agencia[[#This Row],[id]]</f>
        <v>990-0658</v>
      </c>
      <c r="W669" s="118">
        <f>+VLOOKUP(Agencia[[#This Row],[Filtro URL]],Estructura!$X$4:$Y$500,2,0)</f>
        <v>99200001</v>
      </c>
      <c r="X669" s="118" t="str">
        <f>+VLOOKUP(Agencia[[#This Row],[tema]],Estructura!$A$4:$C$500,3,0)</f>
        <v>T-991</v>
      </c>
      <c r="Y669" s="118" t="str">
        <f>+VLOOKUP(Agencia[[#This Row],[contenido]],Estructura!$E$4:$G$500,3,0)</f>
        <v>C-1018</v>
      </c>
      <c r="Z669" s="118" t="str">
        <f>+VLOOKUP(Agencia[[#This Row],[Filtro Integrado]],Estructura!$I$4:$K$500,3,0)</f>
        <v>FI-991</v>
      </c>
      <c r="AA669" s="118" t="str">
        <f>+VLOOKUP(Agencia[[#This Row],[Muestra]],Estructura!$M$4:$O$500,3,0)</f>
        <v>M-1082</v>
      </c>
    </row>
    <row r="670" spans="1:27" ht="57.6" x14ac:dyDescent="0.3">
      <c r="A670" s="21" t="s">
        <v>1262</v>
      </c>
      <c r="B670" s="24">
        <f t="shared" ref="B670:D670" si="1009">+B669</f>
        <v>990</v>
      </c>
      <c r="C670" s="25" t="str">
        <f t="shared" si="1009"/>
        <v>Agencia Información</v>
      </c>
      <c r="D670" s="25" t="str">
        <f t="shared" si="1009"/>
        <v>Educación</v>
      </c>
      <c r="E670" s="19">
        <v>2</v>
      </c>
      <c r="F670" s="18" t="s">
        <v>1538</v>
      </c>
      <c r="G670" s="18" t="s">
        <v>7427</v>
      </c>
      <c r="H670" s="35" t="s">
        <v>16</v>
      </c>
      <c r="I670" s="36" t="s">
        <v>369</v>
      </c>
      <c r="J670" s="9" t="str">
        <f t="shared" ref="J670:N670" si="1010">+J669</f>
        <v>Comuna</v>
      </c>
      <c r="K670" s="9" t="s">
        <v>1577</v>
      </c>
      <c r="L670" s="9" t="str">
        <f t="shared" si="1010"/>
        <v>Periodo 2014-2019</v>
      </c>
      <c r="M670" s="9" t="str">
        <f t="shared" si="1010"/>
        <v>Puntaje</v>
      </c>
      <c r="N670" s="9" t="str">
        <f t="shared" si="1010"/>
        <v>Agencia de Calidad de la Educación</v>
      </c>
      <c r="O670" s="20" t="str">
        <f>+"Resumen de Indicadores de Desarrollo Personal y Social por Dependencia de Establecimiento por comuna en la "&amp;I670&amp;", "&amp;Agencia[[#This Row],[temporalidad]]</f>
        <v>Resumen de Indicadores de Desarrollo Personal y Social por Dependencia de Establecimiento por comuna en la Región de Antofagasta, Periodo 2014-2019</v>
      </c>
      <c r="P670" s="20"/>
      <c r="Q670" s="11" t="str">
        <f t="shared" si="974"/>
        <v>Gráfico de Evolución</v>
      </c>
      <c r="R670" s="20" t="str">
        <f>Agencia[[#This Row],[territorio]]&amp;" calidad educación puntaje municipal subvencionado corporación particular autoestima convivencia hábitos salud participación desarrollo personal indicadores"</f>
        <v>Región de Antofagasta calidad educación puntaje municipal subvencionado corporación particular autoestima convivencia hábitos salud participación desarrollo personal indicadores</v>
      </c>
      <c r="S670" s="39" t="str">
        <f>HYPERLINK("https://analytics.zoho.com/open-view/2395394000007990413?ZOHO_CRITERIA=%22Localiza%20CL%22.%22Codreg%22%3D"&amp;Agencia[[#This Row],[Filtro URL]])</f>
        <v>https://analytics.zoho.com/open-view/2395394000007990413?ZOHO_CRITERIA=%22Localiza%20CL%22.%22Codreg%22%3D2</v>
      </c>
      <c r="T670" s="69" t="str">
        <f>"100-C-"&amp;Agencia[[#This Row],[Filtro URL]]</f>
        <v>100-C-2</v>
      </c>
      <c r="U670" s="50" t="str">
        <f t="shared" si="975"/>
        <v>#1774B9</v>
      </c>
      <c r="V670" s="118" t="str">
        <f>+Agencia[[#This Row],[idcoleccion]]&amp;"-"&amp;Agencia[[#This Row],[id]]</f>
        <v>990-0659</v>
      </c>
      <c r="W670" s="118">
        <f>+VLOOKUP(Agencia[[#This Row],[Filtro URL]],Estructura!$X$4:$Y$500,2,0)</f>
        <v>99200002</v>
      </c>
      <c r="X670" s="118" t="str">
        <f>+VLOOKUP(Agencia[[#This Row],[tema]],Estructura!$A$4:$C$500,3,0)</f>
        <v>T-991</v>
      </c>
      <c r="Y670" s="118" t="str">
        <f>+VLOOKUP(Agencia[[#This Row],[contenido]],Estructura!$E$4:$G$500,3,0)</f>
        <v>C-1018</v>
      </c>
      <c r="Z670" s="118" t="str">
        <f>+VLOOKUP(Agencia[[#This Row],[Filtro Integrado]],Estructura!$I$4:$K$500,3,0)</f>
        <v>FI-991</v>
      </c>
      <c r="AA670" s="118" t="str">
        <f>+VLOOKUP(Agencia[[#This Row],[Muestra]],Estructura!$M$4:$O$500,3,0)</f>
        <v>M-1082</v>
      </c>
    </row>
    <row r="671" spans="1:27" ht="57.6" x14ac:dyDescent="0.3">
      <c r="A671" s="21" t="s">
        <v>1263</v>
      </c>
      <c r="B671" s="24">
        <f t="shared" ref="B671:D671" si="1011">+B670</f>
        <v>990</v>
      </c>
      <c r="C671" s="25" t="str">
        <f t="shared" si="1011"/>
        <v>Agencia Información</v>
      </c>
      <c r="D671" s="25" t="str">
        <f t="shared" si="1011"/>
        <v>Educación</v>
      </c>
      <c r="E671" s="19">
        <v>3</v>
      </c>
      <c r="F671" s="18" t="s">
        <v>1538</v>
      </c>
      <c r="G671" s="18" t="s">
        <v>7427</v>
      </c>
      <c r="H671" s="35" t="s">
        <v>16</v>
      </c>
      <c r="I671" s="36" t="s">
        <v>370</v>
      </c>
      <c r="J671" s="9" t="str">
        <f t="shared" ref="J671:N671" si="1012">+J670</f>
        <v>Comuna</v>
      </c>
      <c r="K671" s="9" t="s">
        <v>1577</v>
      </c>
      <c r="L671" s="9" t="str">
        <f t="shared" si="1012"/>
        <v>Periodo 2014-2019</v>
      </c>
      <c r="M671" s="9" t="str">
        <f t="shared" si="1012"/>
        <v>Puntaje</v>
      </c>
      <c r="N671" s="9" t="str">
        <f t="shared" si="1012"/>
        <v>Agencia de Calidad de la Educación</v>
      </c>
      <c r="O671" s="20" t="str">
        <f>+"Resumen de Indicadores de Desarrollo Personal y Social por Dependencia de Establecimiento por comuna en la "&amp;I671&amp;", "&amp;Agencia[[#This Row],[temporalidad]]</f>
        <v>Resumen de Indicadores de Desarrollo Personal y Social por Dependencia de Establecimiento por comuna en la Región de Atacama, Periodo 2014-2019</v>
      </c>
      <c r="P671" s="20"/>
      <c r="Q671" s="11" t="str">
        <f t="shared" si="974"/>
        <v>Gráfico de Evolución</v>
      </c>
      <c r="R671" s="20" t="str">
        <f>Agencia[[#This Row],[territorio]]&amp;" calidad educación puntaje municipal subvencionado corporación particular autoestima convivencia hábitos salud participación desarrollo personal indicadores"</f>
        <v>Región de Atacama calidad educación puntaje municipal subvencionado corporación particular autoestima convivencia hábitos salud participación desarrollo personal indicadores</v>
      </c>
      <c r="S671" s="39" t="str">
        <f>HYPERLINK("https://analytics.zoho.com/open-view/2395394000007990413?ZOHO_CRITERIA=%22Localiza%20CL%22.%22Codreg%22%3D"&amp;Agencia[[#This Row],[Filtro URL]])</f>
        <v>https://analytics.zoho.com/open-view/2395394000007990413?ZOHO_CRITERIA=%22Localiza%20CL%22.%22Codreg%22%3D3</v>
      </c>
      <c r="T671" s="69" t="str">
        <f>"100-C-"&amp;Agencia[[#This Row],[Filtro URL]]</f>
        <v>100-C-3</v>
      </c>
      <c r="U671" s="50" t="str">
        <f t="shared" si="975"/>
        <v>#1774B9</v>
      </c>
      <c r="V671" s="118" t="str">
        <f>+Agencia[[#This Row],[idcoleccion]]&amp;"-"&amp;Agencia[[#This Row],[id]]</f>
        <v>990-0660</v>
      </c>
      <c r="W671" s="118">
        <f>+VLOOKUP(Agencia[[#This Row],[Filtro URL]],Estructura!$X$4:$Y$500,2,0)</f>
        <v>99200003</v>
      </c>
      <c r="X671" s="118" t="str">
        <f>+VLOOKUP(Agencia[[#This Row],[tema]],Estructura!$A$4:$C$500,3,0)</f>
        <v>T-991</v>
      </c>
      <c r="Y671" s="118" t="str">
        <f>+VLOOKUP(Agencia[[#This Row],[contenido]],Estructura!$E$4:$G$500,3,0)</f>
        <v>C-1018</v>
      </c>
      <c r="Z671" s="118" t="str">
        <f>+VLOOKUP(Agencia[[#This Row],[Filtro Integrado]],Estructura!$I$4:$K$500,3,0)</f>
        <v>FI-991</v>
      </c>
      <c r="AA671" s="118" t="str">
        <f>+VLOOKUP(Agencia[[#This Row],[Muestra]],Estructura!$M$4:$O$500,3,0)</f>
        <v>M-1082</v>
      </c>
    </row>
    <row r="672" spans="1:27" ht="57.6" x14ac:dyDescent="0.3">
      <c r="A672" s="21" t="s">
        <v>1264</v>
      </c>
      <c r="B672" s="24">
        <f t="shared" ref="B672:D672" si="1013">+B671</f>
        <v>990</v>
      </c>
      <c r="C672" s="25" t="str">
        <f t="shared" si="1013"/>
        <v>Agencia Información</v>
      </c>
      <c r="D672" s="25" t="str">
        <f t="shared" si="1013"/>
        <v>Educación</v>
      </c>
      <c r="E672" s="19">
        <v>4</v>
      </c>
      <c r="F672" s="18" t="s">
        <v>1538</v>
      </c>
      <c r="G672" s="18" t="s">
        <v>7427</v>
      </c>
      <c r="H672" s="35" t="s">
        <v>16</v>
      </c>
      <c r="I672" s="36" t="s">
        <v>371</v>
      </c>
      <c r="J672" s="9" t="str">
        <f t="shared" ref="J672:N672" si="1014">+J671</f>
        <v>Comuna</v>
      </c>
      <c r="K672" s="9" t="s">
        <v>1577</v>
      </c>
      <c r="L672" s="9" t="str">
        <f t="shared" si="1014"/>
        <v>Periodo 2014-2019</v>
      </c>
      <c r="M672" s="9" t="str">
        <f t="shared" si="1014"/>
        <v>Puntaje</v>
      </c>
      <c r="N672" s="9" t="str">
        <f t="shared" si="1014"/>
        <v>Agencia de Calidad de la Educación</v>
      </c>
      <c r="O672" s="20" t="str">
        <f>+"Resumen de Indicadores de Desarrollo Personal y Social por Dependencia de Establecimiento por comuna en la "&amp;I672&amp;", "&amp;Agencia[[#This Row],[temporalidad]]</f>
        <v>Resumen de Indicadores de Desarrollo Personal y Social por Dependencia de Establecimiento por comuna en la Región de Coquimbo, Periodo 2014-2019</v>
      </c>
      <c r="P672" s="20"/>
      <c r="Q672" s="11" t="str">
        <f t="shared" si="974"/>
        <v>Gráfico de Evolución</v>
      </c>
      <c r="R672" s="20" t="str">
        <f>Agencia[[#This Row],[territorio]]&amp;" calidad educación puntaje municipal subvencionado corporación particular autoestima convivencia hábitos salud participación desarrollo personal indicadores"</f>
        <v>Región de Coquimbo calidad educación puntaje municipal subvencionado corporación particular autoestima convivencia hábitos salud participación desarrollo personal indicadores</v>
      </c>
      <c r="S672" s="39" t="str">
        <f>HYPERLINK("https://analytics.zoho.com/open-view/2395394000007990413?ZOHO_CRITERIA=%22Localiza%20CL%22.%22Codreg%22%3D"&amp;Agencia[[#This Row],[Filtro URL]])</f>
        <v>https://analytics.zoho.com/open-view/2395394000007990413?ZOHO_CRITERIA=%22Localiza%20CL%22.%22Codreg%22%3D4</v>
      </c>
      <c r="T672" s="69" t="str">
        <f>"100-C-"&amp;Agencia[[#This Row],[Filtro URL]]</f>
        <v>100-C-4</v>
      </c>
      <c r="U672" s="50" t="str">
        <f t="shared" si="975"/>
        <v>#1774B9</v>
      </c>
      <c r="V672" s="118" t="str">
        <f>+Agencia[[#This Row],[idcoleccion]]&amp;"-"&amp;Agencia[[#This Row],[id]]</f>
        <v>990-0661</v>
      </c>
      <c r="W672" s="118">
        <f>+VLOOKUP(Agencia[[#This Row],[Filtro URL]],Estructura!$X$4:$Y$500,2,0)</f>
        <v>99200004</v>
      </c>
      <c r="X672" s="118" t="str">
        <f>+VLOOKUP(Agencia[[#This Row],[tema]],Estructura!$A$4:$C$500,3,0)</f>
        <v>T-991</v>
      </c>
      <c r="Y672" s="118" t="str">
        <f>+VLOOKUP(Agencia[[#This Row],[contenido]],Estructura!$E$4:$G$500,3,0)</f>
        <v>C-1018</v>
      </c>
      <c r="Z672" s="118" t="str">
        <f>+VLOOKUP(Agencia[[#This Row],[Filtro Integrado]],Estructura!$I$4:$K$500,3,0)</f>
        <v>FI-991</v>
      </c>
      <c r="AA672" s="118" t="str">
        <f>+VLOOKUP(Agencia[[#This Row],[Muestra]],Estructura!$M$4:$O$500,3,0)</f>
        <v>M-1082</v>
      </c>
    </row>
    <row r="673" spans="1:27" ht="112.2" x14ac:dyDescent="0.3">
      <c r="A673" s="21" t="s">
        <v>1265</v>
      </c>
      <c r="B673" s="24">
        <f t="shared" ref="B673:D673" si="1015">+B672</f>
        <v>990</v>
      </c>
      <c r="C673" s="25" t="str">
        <f t="shared" si="1015"/>
        <v>Agencia Información</v>
      </c>
      <c r="D673" s="25" t="str">
        <f t="shared" si="1015"/>
        <v>Educación</v>
      </c>
      <c r="E673" s="19">
        <v>5</v>
      </c>
      <c r="F673" s="18" t="s">
        <v>1538</v>
      </c>
      <c r="G673" s="18" t="s">
        <v>7427</v>
      </c>
      <c r="H673" s="35" t="s">
        <v>16</v>
      </c>
      <c r="I673" s="36" t="s">
        <v>372</v>
      </c>
      <c r="J673" s="9" t="str">
        <f t="shared" ref="J673:N673" si="1016">+J672</f>
        <v>Comuna</v>
      </c>
      <c r="K673" s="9" t="s">
        <v>1577</v>
      </c>
      <c r="L673" s="9" t="str">
        <f t="shared" si="1016"/>
        <v>Periodo 2014-2019</v>
      </c>
      <c r="M673" s="9" t="str">
        <f t="shared" si="1016"/>
        <v>Puntaje</v>
      </c>
      <c r="N673" s="9" t="str">
        <f t="shared" si="1016"/>
        <v>Agencia de Calidad de la Educación</v>
      </c>
      <c r="O673" s="20" t="str">
        <f>+"Resumen de Indicadores de Desarrollo Personal y Social por Dependencia de Establecimiento por comuna en la "&amp;I673&amp;", "&amp;Agencia[[#This Row],[temporalidad]]</f>
        <v>Resumen de Indicadores de Desarrollo Personal y Social por Dependencia de Establecimiento por comuna en la Región de Valparaíso, Periodo 2014-2019</v>
      </c>
      <c r="P673" s="20" t="s">
        <v>1580</v>
      </c>
      <c r="Q673" s="11" t="str">
        <f t="shared" si="974"/>
        <v>Gráfico de Evolución</v>
      </c>
      <c r="R673" s="20" t="str">
        <f>Agencia[[#This Row],[territorio]]&amp;" calidad educación puntaje municipal subvencionado corporación particular autoestima convivencia hábitos salud participación desarrollo personal indicadores"</f>
        <v>Región de Valparaíso calidad educación puntaje municipal subvencionado corporación particular autoestima convivencia hábitos salud participación desarrollo personal indicadores</v>
      </c>
      <c r="S673" s="39" t="str">
        <f>HYPERLINK("https://analytics.zoho.com/open-view/2395394000007990413?ZOHO_CRITERIA=%22Localiza%20CL%22.%22Codreg%22%3D"&amp;Agencia[[#This Row],[Filtro URL]])</f>
        <v>https://analytics.zoho.com/open-view/2395394000007990413?ZOHO_CRITERIA=%22Localiza%20CL%22.%22Codreg%22%3D5</v>
      </c>
      <c r="T673" s="69" t="str">
        <f>"100-C-"&amp;Agencia[[#This Row],[Filtro URL]]</f>
        <v>100-C-5</v>
      </c>
      <c r="U673" s="50" t="str">
        <f t="shared" si="975"/>
        <v>#1774B9</v>
      </c>
      <c r="V673" s="118" t="str">
        <f>+Agencia[[#This Row],[idcoleccion]]&amp;"-"&amp;Agencia[[#This Row],[id]]</f>
        <v>990-0662</v>
      </c>
      <c r="W673" s="118">
        <f>+VLOOKUP(Agencia[[#This Row],[Filtro URL]],Estructura!$X$4:$Y$500,2,0)</f>
        <v>99200005</v>
      </c>
      <c r="X673" s="118" t="str">
        <f>+VLOOKUP(Agencia[[#This Row],[tema]],Estructura!$A$4:$C$500,3,0)</f>
        <v>T-991</v>
      </c>
      <c r="Y673" s="118" t="str">
        <f>+VLOOKUP(Agencia[[#This Row],[contenido]],Estructura!$E$4:$G$500,3,0)</f>
        <v>C-1018</v>
      </c>
      <c r="Z673" s="118" t="str">
        <f>+VLOOKUP(Agencia[[#This Row],[Filtro Integrado]],Estructura!$I$4:$K$500,3,0)</f>
        <v>FI-991</v>
      </c>
      <c r="AA673" s="118" t="str">
        <f>+VLOOKUP(Agencia[[#This Row],[Muestra]],Estructura!$M$4:$O$500,3,0)</f>
        <v>M-1082</v>
      </c>
    </row>
    <row r="674" spans="1:27" ht="57.6" x14ac:dyDescent="0.3">
      <c r="A674" s="21" t="s">
        <v>1266</v>
      </c>
      <c r="B674" s="24">
        <f t="shared" ref="B674:D674" si="1017">+B673</f>
        <v>990</v>
      </c>
      <c r="C674" s="25" t="str">
        <f t="shared" si="1017"/>
        <v>Agencia Información</v>
      </c>
      <c r="D674" s="25" t="str">
        <f t="shared" si="1017"/>
        <v>Educación</v>
      </c>
      <c r="E674" s="19">
        <v>6</v>
      </c>
      <c r="F674" s="18" t="s">
        <v>1538</v>
      </c>
      <c r="G674" s="18" t="s">
        <v>7427</v>
      </c>
      <c r="H674" s="35" t="s">
        <v>16</v>
      </c>
      <c r="I674" s="36" t="s">
        <v>373</v>
      </c>
      <c r="J674" s="9" t="str">
        <f t="shared" ref="J674:N674" si="1018">+J673</f>
        <v>Comuna</v>
      </c>
      <c r="K674" s="9" t="s">
        <v>1577</v>
      </c>
      <c r="L674" s="9" t="str">
        <f t="shared" si="1018"/>
        <v>Periodo 2014-2019</v>
      </c>
      <c r="M674" s="9" t="str">
        <f t="shared" si="1018"/>
        <v>Puntaje</v>
      </c>
      <c r="N674" s="9" t="str">
        <f t="shared" si="1018"/>
        <v>Agencia de Calidad de la Educación</v>
      </c>
      <c r="O674" s="20" t="str">
        <f>+"Resumen de Indicadores de Desarrollo Personal y Social por Dependencia de Establecimiento por comuna en la "&amp;I674&amp;", "&amp;Agencia[[#This Row],[temporalidad]]</f>
        <v>Resumen de Indicadores de Desarrollo Personal y Social por Dependencia de Establecimiento por comuna en la Región de O'Higgins, Periodo 2014-2019</v>
      </c>
      <c r="P674" s="20"/>
      <c r="Q674" s="11" t="str">
        <f t="shared" si="974"/>
        <v>Gráfico de Evolución</v>
      </c>
      <c r="R674" s="20" t="str">
        <f>Agencia[[#This Row],[territorio]]&amp;" calidad educación puntaje municipal subvencionado corporación particular autoestima convivencia hábitos salud participación desarrollo personal indicadores"</f>
        <v>Región de O'Higgins calidad educación puntaje municipal subvencionado corporación particular autoestima convivencia hábitos salud participación desarrollo personal indicadores</v>
      </c>
      <c r="S674" s="39" t="str">
        <f>HYPERLINK("https://analytics.zoho.com/open-view/2395394000007990413?ZOHO_CRITERIA=%22Localiza%20CL%22.%22Codreg%22%3D"&amp;Agencia[[#This Row],[Filtro URL]])</f>
        <v>https://analytics.zoho.com/open-view/2395394000007990413?ZOHO_CRITERIA=%22Localiza%20CL%22.%22Codreg%22%3D6</v>
      </c>
      <c r="T674" s="69" t="str">
        <f>"100-C-"&amp;Agencia[[#This Row],[Filtro URL]]</f>
        <v>100-C-6</v>
      </c>
      <c r="U674" s="50" t="str">
        <f t="shared" si="975"/>
        <v>#1774B9</v>
      </c>
      <c r="V674" s="118" t="str">
        <f>+Agencia[[#This Row],[idcoleccion]]&amp;"-"&amp;Agencia[[#This Row],[id]]</f>
        <v>990-0663</v>
      </c>
      <c r="W674" s="118">
        <f>+VLOOKUP(Agencia[[#This Row],[Filtro URL]],Estructura!$X$4:$Y$500,2,0)</f>
        <v>99200006</v>
      </c>
      <c r="X674" s="118" t="str">
        <f>+VLOOKUP(Agencia[[#This Row],[tema]],Estructura!$A$4:$C$500,3,0)</f>
        <v>T-991</v>
      </c>
      <c r="Y674" s="118" t="str">
        <f>+VLOOKUP(Agencia[[#This Row],[contenido]],Estructura!$E$4:$G$500,3,0)</f>
        <v>C-1018</v>
      </c>
      <c r="Z674" s="118" t="str">
        <f>+VLOOKUP(Agencia[[#This Row],[Filtro Integrado]],Estructura!$I$4:$K$500,3,0)</f>
        <v>FI-991</v>
      </c>
      <c r="AA674" s="118" t="str">
        <f>+VLOOKUP(Agencia[[#This Row],[Muestra]],Estructura!$M$4:$O$500,3,0)</f>
        <v>M-1082</v>
      </c>
    </row>
    <row r="675" spans="1:27" ht="57.6" x14ac:dyDescent="0.3">
      <c r="A675" s="21" t="s">
        <v>1267</v>
      </c>
      <c r="B675" s="24">
        <f t="shared" ref="B675:D675" si="1019">+B674</f>
        <v>990</v>
      </c>
      <c r="C675" s="25" t="str">
        <f t="shared" si="1019"/>
        <v>Agencia Información</v>
      </c>
      <c r="D675" s="25" t="str">
        <f t="shared" si="1019"/>
        <v>Educación</v>
      </c>
      <c r="E675" s="19">
        <v>7</v>
      </c>
      <c r="F675" s="18" t="s">
        <v>1538</v>
      </c>
      <c r="G675" s="18" t="s">
        <v>7427</v>
      </c>
      <c r="H675" s="35" t="s">
        <v>16</v>
      </c>
      <c r="I675" s="36" t="s">
        <v>374</v>
      </c>
      <c r="J675" s="9" t="str">
        <f t="shared" ref="J675:N675" si="1020">+J674</f>
        <v>Comuna</v>
      </c>
      <c r="K675" s="9" t="s">
        <v>1577</v>
      </c>
      <c r="L675" s="9" t="str">
        <f t="shared" si="1020"/>
        <v>Periodo 2014-2019</v>
      </c>
      <c r="M675" s="9" t="str">
        <f t="shared" si="1020"/>
        <v>Puntaje</v>
      </c>
      <c r="N675" s="9" t="str">
        <f t="shared" si="1020"/>
        <v>Agencia de Calidad de la Educación</v>
      </c>
      <c r="O675" s="20" t="str">
        <f>+"Resumen de Indicadores de Desarrollo Personal y Social por Dependencia de Establecimiento por comuna en la "&amp;I675&amp;", "&amp;Agencia[[#This Row],[temporalidad]]</f>
        <v>Resumen de Indicadores de Desarrollo Personal y Social por Dependencia de Establecimiento por comuna en la Región de Maule, Periodo 2014-2019</v>
      </c>
      <c r="P675" s="20"/>
      <c r="Q675" s="11" t="str">
        <f t="shared" si="974"/>
        <v>Gráfico de Evolución</v>
      </c>
      <c r="R675" s="20" t="str">
        <f>Agencia[[#This Row],[territorio]]&amp;" calidad educación puntaje municipal subvencionado corporación particular autoestima convivencia hábitos salud participación desarrollo personal indicadores"</f>
        <v>Región de Maule calidad educación puntaje municipal subvencionado corporación particular autoestima convivencia hábitos salud participación desarrollo personal indicadores</v>
      </c>
      <c r="S675" s="39" t="str">
        <f>HYPERLINK("https://analytics.zoho.com/open-view/2395394000007990413?ZOHO_CRITERIA=%22Localiza%20CL%22.%22Codreg%22%3D"&amp;Agencia[[#This Row],[Filtro URL]])</f>
        <v>https://analytics.zoho.com/open-view/2395394000007990413?ZOHO_CRITERIA=%22Localiza%20CL%22.%22Codreg%22%3D7</v>
      </c>
      <c r="T675" s="69" t="str">
        <f>"100-C-"&amp;Agencia[[#This Row],[Filtro URL]]</f>
        <v>100-C-7</v>
      </c>
      <c r="U675" s="50" t="str">
        <f t="shared" si="975"/>
        <v>#1774B9</v>
      </c>
      <c r="V675" s="118" t="str">
        <f>+Agencia[[#This Row],[idcoleccion]]&amp;"-"&amp;Agencia[[#This Row],[id]]</f>
        <v>990-0664</v>
      </c>
      <c r="W675" s="118">
        <f>+VLOOKUP(Agencia[[#This Row],[Filtro URL]],Estructura!$X$4:$Y$500,2,0)</f>
        <v>99200007</v>
      </c>
      <c r="X675" s="118" t="str">
        <f>+VLOOKUP(Agencia[[#This Row],[tema]],Estructura!$A$4:$C$500,3,0)</f>
        <v>T-991</v>
      </c>
      <c r="Y675" s="118" t="str">
        <f>+VLOOKUP(Agencia[[#This Row],[contenido]],Estructura!$E$4:$G$500,3,0)</f>
        <v>C-1018</v>
      </c>
      <c r="Z675" s="118" t="str">
        <f>+VLOOKUP(Agencia[[#This Row],[Filtro Integrado]],Estructura!$I$4:$K$500,3,0)</f>
        <v>FI-991</v>
      </c>
      <c r="AA675" s="118" t="str">
        <f>+VLOOKUP(Agencia[[#This Row],[Muestra]],Estructura!$M$4:$O$500,3,0)</f>
        <v>M-1082</v>
      </c>
    </row>
    <row r="676" spans="1:27" ht="57.6" x14ac:dyDescent="0.3">
      <c r="A676" s="21" t="s">
        <v>1268</v>
      </c>
      <c r="B676" s="24">
        <f t="shared" ref="B676:D676" si="1021">+B675</f>
        <v>990</v>
      </c>
      <c r="C676" s="25" t="str">
        <f t="shared" si="1021"/>
        <v>Agencia Información</v>
      </c>
      <c r="D676" s="25" t="str">
        <f t="shared" si="1021"/>
        <v>Educación</v>
      </c>
      <c r="E676" s="19">
        <v>8</v>
      </c>
      <c r="F676" s="18" t="s">
        <v>1538</v>
      </c>
      <c r="G676" s="18" t="s">
        <v>7427</v>
      </c>
      <c r="H676" s="35" t="s">
        <v>16</v>
      </c>
      <c r="I676" s="36" t="s">
        <v>375</v>
      </c>
      <c r="J676" s="9" t="str">
        <f t="shared" ref="J676:N676" si="1022">+J675</f>
        <v>Comuna</v>
      </c>
      <c r="K676" s="9" t="s">
        <v>1577</v>
      </c>
      <c r="L676" s="9" t="str">
        <f t="shared" si="1022"/>
        <v>Periodo 2014-2019</v>
      </c>
      <c r="M676" s="9" t="str">
        <f t="shared" si="1022"/>
        <v>Puntaje</v>
      </c>
      <c r="N676" s="9" t="str">
        <f t="shared" si="1022"/>
        <v>Agencia de Calidad de la Educación</v>
      </c>
      <c r="O676" s="20" t="str">
        <f>+"Resumen de Indicadores de Desarrollo Personal y Social por Dependencia de Establecimiento por comuna en la "&amp;I676&amp;", "&amp;Agencia[[#This Row],[temporalidad]]</f>
        <v>Resumen de Indicadores de Desarrollo Personal y Social por Dependencia de Establecimiento por comuna en la Región del Biobío, Periodo 2014-2019</v>
      </c>
      <c r="P676" s="20"/>
      <c r="Q676" s="11" t="str">
        <f t="shared" si="974"/>
        <v>Gráfico de Evolución</v>
      </c>
      <c r="R676" s="20" t="str">
        <f>Agencia[[#This Row],[territorio]]&amp;" calidad educación puntaje municipal subvencionado corporación particular autoestima convivencia hábitos salud participación desarrollo personal indicadores"</f>
        <v>Región del Biobío calidad educación puntaje municipal subvencionado corporación particular autoestima convivencia hábitos salud participación desarrollo personal indicadores</v>
      </c>
      <c r="S676" s="39" t="str">
        <f>HYPERLINK("https://analytics.zoho.com/open-view/2395394000007990413?ZOHO_CRITERIA=%22Localiza%20CL%22.%22Codreg%22%3D"&amp;Agencia[[#This Row],[Filtro URL]])</f>
        <v>https://analytics.zoho.com/open-view/2395394000007990413?ZOHO_CRITERIA=%22Localiza%20CL%22.%22Codreg%22%3D8</v>
      </c>
      <c r="T676" s="69" t="str">
        <f>"100-C-"&amp;Agencia[[#This Row],[Filtro URL]]</f>
        <v>100-C-8</v>
      </c>
      <c r="U676" s="50" t="str">
        <f t="shared" si="975"/>
        <v>#1774B9</v>
      </c>
      <c r="V676" s="118" t="str">
        <f>+Agencia[[#This Row],[idcoleccion]]&amp;"-"&amp;Agencia[[#This Row],[id]]</f>
        <v>990-0665</v>
      </c>
      <c r="W676" s="118">
        <f>+VLOOKUP(Agencia[[#This Row],[Filtro URL]],Estructura!$X$4:$Y$500,2,0)</f>
        <v>99200008</v>
      </c>
      <c r="X676" s="118" t="str">
        <f>+VLOOKUP(Agencia[[#This Row],[tema]],Estructura!$A$4:$C$500,3,0)</f>
        <v>T-991</v>
      </c>
      <c r="Y676" s="118" t="str">
        <f>+VLOOKUP(Agencia[[#This Row],[contenido]],Estructura!$E$4:$G$500,3,0)</f>
        <v>C-1018</v>
      </c>
      <c r="Z676" s="118" t="str">
        <f>+VLOOKUP(Agencia[[#This Row],[Filtro Integrado]],Estructura!$I$4:$K$500,3,0)</f>
        <v>FI-991</v>
      </c>
      <c r="AA676" s="118" t="str">
        <f>+VLOOKUP(Agencia[[#This Row],[Muestra]],Estructura!$M$4:$O$500,3,0)</f>
        <v>M-1082</v>
      </c>
    </row>
    <row r="677" spans="1:27" ht="57.6" x14ac:dyDescent="0.3">
      <c r="A677" s="21" t="s">
        <v>1269</v>
      </c>
      <c r="B677" s="24">
        <f t="shared" ref="B677:D677" si="1023">+B676</f>
        <v>990</v>
      </c>
      <c r="C677" s="25" t="str">
        <f t="shared" si="1023"/>
        <v>Agencia Información</v>
      </c>
      <c r="D677" s="25" t="str">
        <f t="shared" si="1023"/>
        <v>Educación</v>
      </c>
      <c r="E677" s="19">
        <v>9</v>
      </c>
      <c r="F677" s="18" t="s">
        <v>1538</v>
      </c>
      <c r="G677" s="18" t="s">
        <v>7427</v>
      </c>
      <c r="H677" s="35" t="s">
        <v>16</v>
      </c>
      <c r="I677" s="36" t="s">
        <v>376</v>
      </c>
      <c r="J677" s="9" t="str">
        <f t="shared" ref="J677:N677" si="1024">+J676</f>
        <v>Comuna</v>
      </c>
      <c r="K677" s="9" t="s">
        <v>1577</v>
      </c>
      <c r="L677" s="9" t="str">
        <f t="shared" si="1024"/>
        <v>Periodo 2014-2019</v>
      </c>
      <c r="M677" s="9" t="str">
        <f t="shared" si="1024"/>
        <v>Puntaje</v>
      </c>
      <c r="N677" s="9" t="str">
        <f t="shared" si="1024"/>
        <v>Agencia de Calidad de la Educación</v>
      </c>
      <c r="O677" s="20" t="str">
        <f>+"Resumen de Indicadores de Desarrollo Personal y Social por Dependencia de Establecimiento por comuna en la "&amp;I677&amp;", "&amp;Agencia[[#This Row],[temporalidad]]</f>
        <v>Resumen de Indicadores de Desarrollo Personal y Social por Dependencia de Establecimiento por comuna en la Región de La Araucanía, Periodo 2014-2019</v>
      </c>
      <c r="P677" s="20"/>
      <c r="Q677" s="11" t="str">
        <f t="shared" si="974"/>
        <v>Gráfico de Evolución</v>
      </c>
      <c r="R677" s="20" t="str">
        <f>Agencia[[#This Row],[territorio]]&amp;" calidad educación puntaje municipal subvencionado corporación particular autoestima convivencia hábitos salud participación desarrollo personal indicadores"</f>
        <v>Región de La Araucanía calidad educación puntaje municipal subvencionado corporación particular autoestima convivencia hábitos salud participación desarrollo personal indicadores</v>
      </c>
      <c r="S677" s="39" t="str">
        <f>HYPERLINK("https://analytics.zoho.com/open-view/2395394000007990413?ZOHO_CRITERIA=%22Localiza%20CL%22.%22Codreg%22%3D"&amp;Agencia[[#This Row],[Filtro URL]])</f>
        <v>https://analytics.zoho.com/open-view/2395394000007990413?ZOHO_CRITERIA=%22Localiza%20CL%22.%22Codreg%22%3D9</v>
      </c>
      <c r="T677" s="69" t="str">
        <f>"100-C-"&amp;Agencia[[#This Row],[Filtro URL]]</f>
        <v>100-C-9</v>
      </c>
      <c r="U677" s="50" t="str">
        <f t="shared" si="975"/>
        <v>#1774B9</v>
      </c>
      <c r="V677" s="118" t="str">
        <f>+Agencia[[#This Row],[idcoleccion]]&amp;"-"&amp;Agencia[[#This Row],[id]]</f>
        <v>990-0666</v>
      </c>
      <c r="W677" s="118">
        <f>+VLOOKUP(Agencia[[#This Row],[Filtro URL]],Estructura!$X$4:$Y$500,2,0)</f>
        <v>99200009</v>
      </c>
      <c r="X677" s="118" t="str">
        <f>+VLOOKUP(Agencia[[#This Row],[tema]],Estructura!$A$4:$C$500,3,0)</f>
        <v>T-991</v>
      </c>
      <c r="Y677" s="118" t="str">
        <f>+VLOOKUP(Agencia[[#This Row],[contenido]],Estructura!$E$4:$G$500,3,0)</f>
        <v>C-1018</v>
      </c>
      <c r="Z677" s="118" t="str">
        <f>+VLOOKUP(Agencia[[#This Row],[Filtro Integrado]],Estructura!$I$4:$K$500,3,0)</f>
        <v>FI-991</v>
      </c>
      <c r="AA677" s="118" t="str">
        <f>+VLOOKUP(Agencia[[#This Row],[Muestra]],Estructura!$M$4:$O$500,3,0)</f>
        <v>M-1082</v>
      </c>
    </row>
    <row r="678" spans="1:27" ht="57.6" x14ac:dyDescent="0.3">
      <c r="A678" s="21" t="s">
        <v>1270</v>
      </c>
      <c r="B678" s="24">
        <f t="shared" ref="B678:D678" si="1025">+B677</f>
        <v>990</v>
      </c>
      <c r="C678" s="25" t="str">
        <f t="shared" si="1025"/>
        <v>Agencia Información</v>
      </c>
      <c r="D678" s="25" t="str">
        <f t="shared" si="1025"/>
        <v>Educación</v>
      </c>
      <c r="E678" s="19">
        <v>10</v>
      </c>
      <c r="F678" s="18" t="s">
        <v>1538</v>
      </c>
      <c r="G678" s="18" t="s">
        <v>7427</v>
      </c>
      <c r="H678" s="35" t="s">
        <v>16</v>
      </c>
      <c r="I678" s="36" t="s">
        <v>377</v>
      </c>
      <c r="J678" s="9" t="str">
        <f t="shared" ref="J678:N678" si="1026">+J677</f>
        <v>Comuna</v>
      </c>
      <c r="K678" s="9" t="s">
        <v>1577</v>
      </c>
      <c r="L678" s="9" t="str">
        <f t="shared" si="1026"/>
        <v>Periodo 2014-2019</v>
      </c>
      <c r="M678" s="9" t="str">
        <f t="shared" si="1026"/>
        <v>Puntaje</v>
      </c>
      <c r="N678" s="9" t="str">
        <f t="shared" si="1026"/>
        <v>Agencia de Calidad de la Educación</v>
      </c>
      <c r="O678" s="20" t="str">
        <f>+"Resumen de Indicadores de Desarrollo Personal y Social por Dependencia de Establecimiento por comuna en la "&amp;I678&amp;", "&amp;Agencia[[#This Row],[temporalidad]]</f>
        <v>Resumen de Indicadores de Desarrollo Personal y Social por Dependencia de Establecimiento por comuna en la Región de Los Lagos, Periodo 2014-2019</v>
      </c>
      <c r="P678" s="20"/>
      <c r="Q678" s="11" t="str">
        <f t="shared" si="974"/>
        <v>Gráfico de Evolución</v>
      </c>
      <c r="R678" s="20" t="str">
        <f>Agencia[[#This Row],[territorio]]&amp;" calidad educación puntaje municipal subvencionado corporación particular autoestima convivencia hábitos salud participación desarrollo personal indicadores"</f>
        <v>Región de Los Lagos calidad educación puntaje municipal subvencionado corporación particular autoestima convivencia hábitos salud participación desarrollo personal indicadores</v>
      </c>
      <c r="S678" s="39" t="str">
        <f>HYPERLINK("https://analytics.zoho.com/open-view/2395394000007990413?ZOHO_CRITERIA=%22Localiza%20CL%22.%22Codreg%22%3D"&amp;Agencia[[#This Row],[Filtro URL]])</f>
        <v>https://analytics.zoho.com/open-view/2395394000007990413?ZOHO_CRITERIA=%22Localiza%20CL%22.%22Codreg%22%3D10</v>
      </c>
      <c r="T678" s="69" t="str">
        <f>"100-C-"&amp;Agencia[[#This Row],[Filtro URL]]</f>
        <v>100-C-10</v>
      </c>
      <c r="U678" s="50" t="str">
        <f t="shared" si="975"/>
        <v>#1774B9</v>
      </c>
      <c r="V678" s="118" t="str">
        <f>+Agencia[[#This Row],[idcoleccion]]&amp;"-"&amp;Agencia[[#This Row],[id]]</f>
        <v>990-0667</v>
      </c>
      <c r="W678" s="118">
        <f>+VLOOKUP(Agencia[[#This Row],[Filtro URL]],Estructura!$X$4:$Y$500,2,0)</f>
        <v>99200010</v>
      </c>
      <c r="X678" s="118" t="str">
        <f>+VLOOKUP(Agencia[[#This Row],[tema]],Estructura!$A$4:$C$500,3,0)</f>
        <v>T-991</v>
      </c>
      <c r="Y678" s="118" t="str">
        <f>+VLOOKUP(Agencia[[#This Row],[contenido]],Estructura!$E$4:$G$500,3,0)</f>
        <v>C-1018</v>
      </c>
      <c r="Z678" s="118" t="str">
        <f>+VLOOKUP(Agencia[[#This Row],[Filtro Integrado]],Estructura!$I$4:$K$500,3,0)</f>
        <v>FI-991</v>
      </c>
      <c r="AA678" s="118" t="str">
        <f>+VLOOKUP(Agencia[[#This Row],[Muestra]],Estructura!$M$4:$O$500,3,0)</f>
        <v>M-1082</v>
      </c>
    </row>
    <row r="679" spans="1:27" ht="57.6" x14ac:dyDescent="0.3">
      <c r="A679" s="21" t="s">
        <v>1271</v>
      </c>
      <c r="B679" s="24">
        <f t="shared" ref="B679:D679" si="1027">+B678</f>
        <v>990</v>
      </c>
      <c r="C679" s="25" t="str">
        <f t="shared" si="1027"/>
        <v>Agencia Información</v>
      </c>
      <c r="D679" s="25" t="str">
        <f t="shared" si="1027"/>
        <v>Educación</v>
      </c>
      <c r="E679" s="19">
        <v>11</v>
      </c>
      <c r="F679" s="18" t="s">
        <v>1538</v>
      </c>
      <c r="G679" s="18" t="s">
        <v>7427</v>
      </c>
      <c r="H679" s="35" t="s">
        <v>16</v>
      </c>
      <c r="I679" s="36" t="s">
        <v>378</v>
      </c>
      <c r="J679" s="9" t="str">
        <f t="shared" ref="J679:N679" si="1028">+J678</f>
        <v>Comuna</v>
      </c>
      <c r="K679" s="9" t="s">
        <v>1577</v>
      </c>
      <c r="L679" s="9" t="str">
        <f t="shared" si="1028"/>
        <v>Periodo 2014-2019</v>
      </c>
      <c r="M679" s="9" t="str">
        <f t="shared" si="1028"/>
        <v>Puntaje</v>
      </c>
      <c r="N679" s="9" t="str">
        <f t="shared" si="1028"/>
        <v>Agencia de Calidad de la Educación</v>
      </c>
      <c r="O679" s="20" t="str">
        <f>+"Resumen de Indicadores de Desarrollo Personal y Social por Dependencia de Establecimiento por comuna en la "&amp;I679&amp;", "&amp;Agencia[[#This Row],[temporalidad]]</f>
        <v>Resumen de Indicadores de Desarrollo Personal y Social por Dependencia de Establecimiento por comuna en la Región de Aysén, Periodo 2014-2019</v>
      </c>
      <c r="P679" s="20"/>
      <c r="Q679" s="11" t="str">
        <f t="shared" si="974"/>
        <v>Gráfico de Evolución</v>
      </c>
      <c r="R679" s="20" t="str">
        <f>Agencia[[#This Row],[territorio]]&amp;" calidad educación puntaje municipal subvencionado corporación particular autoestima convivencia hábitos salud participación desarrollo personal indicadores"</f>
        <v>Región de Aysén calidad educación puntaje municipal subvencionado corporación particular autoestima convivencia hábitos salud participación desarrollo personal indicadores</v>
      </c>
      <c r="S679" s="39" t="str">
        <f>HYPERLINK("https://analytics.zoho.com/open-view/2395394000007990413?ZOHO_CRITERIA=%22Localiza%20CL%22.%22Codreg%22%3D"&amp;Agencia[[#This Row],[Filtro URL]])</f>
        <v>https://analytics.zoho.com/open-view/2395394000007990413?ZOHO_CRITERIA=%22Localiza%20CL%22.%22Codreg%22%3D11</v>
      </c>
      <c r="T679" s="69" t="str">
        <f>"100-C-"&amp;Agencia[[#This Row],[Filtro URL]]</f>
        <v>100-C-11</v>
      </c>
      <c r="U679" s="50" t="str">
        <f t="shared" si="975"/>
        <v>#1774B9</v>
      </c>
      <c r="V679" s="118" t="str">
        <f>+Agencia[[#This Row],[idcoleccion]]&amp;"-"&amp;Agencia[[#This Row],[id]]</f>
        <v>990-0668</v>
      </c>
      <c r="W679" s="118">
        <f>+VLOOKUP(Agencia[[#This Row],[Filtro URL]],Estructura!$X$4:$Y$500,2,0)</f>
        <v>99200011</v>
      </c>
      <c r="X679" s="118" t="str">
        <f>+VLOOKUP(Agencia[[#This Row],[tema]],Estructura!$A$4:$C$500,3,0)</f>
        <v>T-991</v>
      </c>
      <c r="Y679" s="118" t="str">
        <f>+VLOOKUP(Agencia[[#This Row],[contenido]],Estructura!$E$4:$G$500,3,0)</f>
        <v>C-1018</v>
      </c>
      <c r="Z679" s="118" t="str">
        <f>+VLOOKUP(Agencia[[#This Row],[Filtro Integrado]],Estructura!$I$4:$K$500,3,0)</f>
        <v>FI-991</v>
      </c>
      <c r="AA679" s="118" t="str">
        <f>+VLOOKUP(Agencia[[#This Row],[Muestra]],Estructura!$M$4:$O$500,3,0)</f>
        <v>M-1082</v>
      </c>
    </row>
    <row r="680" spans="1:27" ht="57.6" x14ac:dyDescent="0.3">
      <c r="A680" s="21" t="s">
        <v>1272</v>
      </c>
      <c r="B680" s="24">
        <f t="shared" ref="B680:D680" si="1029">+B679</f>
        <v>990</v>
      </c>
      <c r="C680" s="25" t="str">
        <f t="shared" si="1029"/>
        <v>Agencia Información</v>
      </c>
      <c r="D680" s="25" t="str">
        <f t="shared" si="1029"/>
        <v>Educación</v>
      </c>
      <c r="E680" s="19">
        <v>12</v>
      </c>
      <c r="F680" s="18" t="s">
        <v>1538</v>
      </c>
      <c r="G680" s="18" t="s">
        <v>7427</v>
      </c>
      <c r="H680" s="35" t="s">
        <v>16</v>
      </c>
      <c r="I680" s="36" t="s">
        <v>379</v>
      </c>
      <c r="J680" s="9" t="str">
        <f t="shared" ref="J680:N680" si="1030">+J679</f>
        <v>Comuna</v>
      </c>
      <c r="K680" s="9" t="s">
        <v>1577</v>
      </c>
      <c r="L680" s="9" t="str">
        <f t="shared" si="1030"/>
        <v>Periodo 2014-2019</v>
      </c>
      <c r="M680" s="9" t="str">
        <f t="shared" si="1030"/>
        <v>Puntaje</v>
      </c>
      <c r="N680" s="9" t="str">
        <f t="shared" si="1030"/>
        <v>Agencia de Calidad de la Educación</v>
      </c>
      <c r="O680" s="20" t="str">
        <f>+"Resumen de Indicadores de Desarrollo Personal y Social por Dependencia de Establecimiento por comuna en la "&amp;I680&amp;", "&amp;Agencia[[#This Row],[temporalidad]]</f>
        <v>Resumen de Indicadores de Desarrollo Personal y Social por Dependencia de Establecimiento por comuna en la Región de Magallanes, Periodo 2014-2019</v>
      </c>
      <c r="P680" s="20"/>
      <c r="Q680" s="11" t="str">
        <f t="shared" si="974"/>
        <v>Gráfico de Evolución</v>
      </c>
      <c r="R680" s="20" t="str">
        <f>Agencia[[#This Row],[territorio]]&amp;" calidad educación puntaje municipal subvencionado corporación particular autoestima convivencia hábitos salud participación desarrollo personal indicadores"</f>
        <v>Región de Magallanes calidad educación puntaje municipal subvencionado corporación particular autoestima convivencia hábitos salud participación desarrollo personal indicadores</v>
      </c>
      <c r="S680" s="39" t="str">
        <f>HYPERLINK("https://analytics.zoho.com/open-view/2395394000007990413?ZOHO_CRITERIA=%22Localiza%20CL%22.%22Codreg%22%3D"&amp;Agencia[[#This Row],[Filtro URL]])</f>
        <v>https://analytics.zoho.com/open-view/2395394000007990413?ZOHO_CRITERIA=%22Localiza%20CL%22.%22Codreg%22%3D12</v>
      </c>
      <c r="T680" s="69" t="str">
        <f>"100-C-"&amp;Agencia[[#This Row],[Filtro URL]]</f>
        <v>100-C-12</v>
      </c>
      <c r="U680" s="50" t="str">
        <f t="shared" si="975"/>
        <v>#1774B9</v>
      </c>
      <c r="V680" s="118" t="str">
        <f>+Agencia[[#This Row],[idcoleccion]]&amp;"-"&amp;Agencia[[#This Row],[id]]</f>
        <v>990-0669</v>
      </c>
      <c r="W680" s="118">
        <f>+VLOOKUP(Agencia[[#This Row],[Filtro URL]],Estructura!$X$4:$Y$500,2,0)</f>
        <v>99200012</v>
      </c>
      <c r="X680" s="118" t="str">
        <f>+VLOOKUP(Agencia[[#This Row],[tema]],Estructura!$A$4:$C$500,3,0)</f>
        <v>T-991</v>
      </c>
      <c r="Y680" s="118" t="str">
        <f>+VLOOKUP(Agencia[[#This Row],[contenido]],Estructura!$E$4:$G$500,3,0)</f>
        <v>C-1018</v>
      </c>
      <c r="Z680" s="118" t="str">
        <f>+VLOOKUP(Agencia[[#This Row],[Filtro Integrado]],Estructura!$I$4:$K$500,3,0)</f>
        <v>FI-991</v>
      </c>
      <c r="AA680" s="118" t="str">
        <f>+VLOOKUP(Agencia[[#This Row],[Muestra]],Estructura!$M$4:$O$500,3,0)</f>
        <v>M-1082</v>
      </c>
    </row>
    <row r="681" spans="1:27" ht="57.6" x14ac:dyDescent="0.3">
      <c r="A681" s="21" t="s">
        <v>1273</v>
      </c>
      <c r="B681" s="24">
        <f t="shared" ref="B681:D681" si="1031">+B680</f>
        <v>990</v>
      </c>
      <c r="C681" s="25" t="str">
        <f t="shared" si="1031"/>
        <v>Agencia Información</v>
      </c>
      <c r="D681" s="25" t="str">
        <f t="shared" si="1031"/>
        <v>Educación</v>
      </c>
      <c r="E681" s="19">
        <v>13</v>
      </c>
      <c r="F681" s="18" t="s">
        <v>1538</v>
      </c>
      <c r="G681" s="18" t="s">
        <v>7427</v>
      </c>
      <c r="H681" s="35" t="s">
        <v>16</v>
      </c>
      <c r="I681" s="36" t="s">
        <v>380</v>
      </c>
      <c r="J681" s="9" t="str">
        <f t="shared" ref="J681:N681" si="1032">+J680</f>
        <v>Comuna</v>
      </c>
      <c r="K681" s="9" t="s">
        <v>1577</v>
      </c>
      <c r="L681" s="9" t="str">
        <f t="shared" si="1032"/>
        <v>Periodo 2014-2019</v>
      </c>
      <c r="M681" s="9" t="str">
        <f t="shared" si="1032"/>
        <v>Puntaje</v>
      </c>
      <c r="N681" s="9" t="str">
        <f t="shared" si="1032"/>
        <v>Agencia de Calidad de la Educación</v>
      </c>
      <c r="O681" s="20" t="str">
        <f>+"Resumen de Indicadores de Desarrollo Personal y Social por Dependencia de Establecimiento por comuna en la "&amp;I681&amp;", "&amp;Agencia[[#This Row],[temporalidad]]</f>
        <v>Resumen de Indicadores de Desarrollo Personal y Social por Dependencia de Establecimiento por comuna en la Región Metropolitana, Periodo 2014-2019</v>
      </c>
      <c r="P681" s="20"/>
      <c r="Q681" s="11" t="str">
        <f t="shared" si="974"/>
        <v>Gráfico de Evolución</v>
      </c>
      <c r="R681" s="20" t="str">
        <f>Agencia[[#This Row],[territorio]]&amp;" calidad educación puntaje municipal subvencionado corporación particular autoestima convivencia hábitos salud participación desarrollo personal indicadores"</f>
        <v>Región Metropolitana calidad educación puntaje municipal subvencionado corporación particular autoestima convivencia hábitos salud participación desarrollo personal indicadores</v>
      </c>
      <c r="S681" s="39" t="str">
        <f>HYPERLINK("https://analytics.zoho.com/open-view/2395394000007990413?ZOHO_CRITERIA=%22Localiza%20CL%22.%22Codreg%22%3D"&amp;Agencia[[#This Row],[Filtro URL]])</f>
        <v>https://analytics.zoho.com/open-view/2395394000007990413?ZOHO_CRITERIA=%22Localiza%20CL%22.%22Codreg%22%3D13</v>
      </c>
      <c r="T681" s="69" t="str">
        <f>"200-C-"&amp;Agencia[[#This Row],[Filtro URL]]</f>
        <v>200-C-13</v>
      </c>
      <c r="U681" s="50" t="str">
        <f t="shared" si="975"/>
        <v>#1774B9</v>
      </c>
      <c r="V681" s="118" t="str">
        <f>+Agencia[[#This Row],[idcoleccion]]&amp;"-"&amp;Agencia[[#This Row],[id]]</f>
        <v>990-0670</v>
      </c>
      <c r="W681" s="118">
        <f>+VLOOKUP(Agencia[[#This Row],[Filtro URL]],Estructura!$X$4:$Y$500,2,0)</f>
        <v>99200013</v>
      </c>
      <c r="X681" s="118" t="str">
        <f>+VLOOKUP(Agencia[[#This Row],[tema]],Estructura!$A$4:$C$500,3,0)</f>
        <v>T-991</v>
      </c>
      <c r="Y681" s="118" t="str">
        <f>+VLOOKUP(Agencia[[#This Row],[contenido]],Estructura!$E$4:$G$500,3,0)</f>
        <v>C-1018</v>
      </c>
      <c r="Z681" s="118" t="str">
        <f>+VLOOKUP(Agencia[[#This Row],[Filtro Integrado]],Estructura!$I$4:$K$500,3,0)</f>
        <v>FI-991</v>
      </c>
      <c r="AA681" s="118" t="str">
        <f>+VLOOKUP(Agencia[[#This Row],[Muestra]],Estructura!$M$4:$O$500,3,0)</f>
        <v>M-1082</v>
      </c>
    </row>
    <row r="682" spans="1:27" ht="57.6" x14ac:dyDescent="0.3">
      <c r="A682" s="21" t="s">
        <v>1274</v>
      </c>
      <c r="B682" s="24">
        <f t="shared" ref="B682:D682" si="1033">+B681</f>
        <v>990</v>
      </c>
      <c r="C682" s="25" t="str">
        <f t="shared" si="1033"/>
        <v>Agencia Información</v>
      </c>
      <c r="D682" s="25" t="str">
        <f t="shared" si="1033"/>
        <v>Educación</v>
      </c>
      <c r="E682" s="19">
        <v>14</v>
      </c>
      <c r="F682" s="18" t="s">
        <v>1538</v>
      </c>
      <c r="G682" s="18" t="s">
        <v>7427</v>
      </c>
      <c r="H682" s="35" t="s">
        <v>16</v>
      </c>
      <c r="I682" s="36" t="s">
        <v>381</v>
      </c>
      <c r="J682" s="9" t="str">
        <f t="shared" ref="J682:N682" si="1034">+J681</f>
        <v>Comuna</v>
      </c>
      <c r="K682" s="9" t="s">
        <v>1577</v>
      </c>
      <c r="L682" s="9" t="str">
        <f t="shared" si="1034"/>
        <v>Periodo 2014-2019</v>
      </c>
      <c r="M682" s="9" t="str">
        <f t="shared" si="1034"/>
        <v>Puntaje</v>
      </c>
      <c r="N682" s="9" t="str">
        <f t="shared" si="1034"/>
        <v>Agencia de Calidad de la Educación</v>
      </c>
      <c r="O682" s="20" t="str">
        <f>+"Resumen de Indicadores de Desarrollo Personal y Social por Dependencia de Establecimiento por comuna en la "&amp;I682&amp;", "&amp;Agencia[[#This Row],[temporalidad]]</f>
        <v>Resumen de Indicadores de Desarrollo Personal y Social por Dependencia de Establecimiento por comuna en la Región de Los Ríos, Periodo 2014-2019</v>
      </c>
      <c r="P682" s="20"/>
      <c r="Q682" s="11" t="str">
        <f t="shared" si="974"/>
        <v>Gráfico de Evolución</v>
      </c>
      <c r="R682" s="20" t="str">
        <f>Agencia[[#This Row],[territorio]]&amp;" calidad educación puntaje municipal subvencionado corporación particular autoestima convivencia hábitos salud participación desarrollo personal indicadores"</f>
        <v>Región de Los Ríos calidad educación puntaje municipal subvencionado corporación particular autoestima convivencia hábitos salud participación desarrollo personal indicadores</v>
      </c>
      <c r="S682" s="39" t="str">
        <f>HYPERLINK("https://analytics.zoho.com/open-view/2395394000007990413?ZOHO_CRITERIA=%22Localiza%20CL%22.%22Codreg%22%3D"&amp;Agencia[[#This Row],[Filtro URL]])</f>
        <v>https://analytics.zoho.com/open-view/2395394000007990413?ZOHO_CRITERIA=%22Localiza%20CL%22.%22Codreg%22%3D14</v>
      </c>
      <c r="T682" s="69" t="str">
        <f>"100-C-"&amp;Agencia[[#This Row],[Filtro URL]]</f>
        <v>100-C-14</v>
      </c>
      <c r="U682" s="50" t="str">
        <f t="shared" si="975"/>
        <v>#1774B9</v>
      </c>
      <c r="V682" s="118" t="str">
        <f>+Agencia[[#This Row],[idcoleccion]]&amp;"-"&amp;Agencia[[#This Row],[id]]</f>
        <v>990-0671</v>
      </c>
      <c r="W682" s="118">
        <f>+VLOOKUP(Agencia[[#This Row],[Filtro URL]],Estructura!$X$4:$Y$500,2,0)</f>
        <v>99200014</v>
      </c>
      <c r="X682" s="118" t="str">
        <f>+VLOOKUP(Agencia[[#This Row],[tema]],Estructura!$A$4:$C$500,3,0)</f>
        <v>T-991</v>
      </c>
      <c r="Y682" s="118" t="str">
        <f>+VLOOKUP(Agencia[[#This Row],[contenido]],Estructura!$E$4:$G$500,3,0)</f>
        <v>C-1018</v>
      </c>
      <c r="Z682" s="118" t="str">
        <f>+VLOOKUP(Agencia[[#This Row],[Filtro Integrado]],Estructura!$I$4:$K$500,3,0)</f>
        <v>FI-991</v>
      </c>
      <c r="AA682" s="118" t="str">
        <f>+VLOOKUP(Agencia[[#This Row],[Muestra]],Estructura!$M$4:$O$500,3,0)</f>
        <v>M-1082</v>
      </c>
    </row>
    <row r="683" spans="1:27" ht="57.6" x14ac:dyDescent="0.3">
      <c r="A683" s="21" t="s">
        <v>1275</v>
      </c>
      <c r="B683" s="24">
        <f t="shared" ref="B683:D683" si="1035">+B682</f>
        <v>990</v>
      </c>
      <c r="C683" s="25" t="str">
        <f t="shared" si="1035"/>
        <v>Agencia Información</v>
      </c>
      <c r="D683" s="25" t="str">
        <f t="shared" si="1035"/>
        <v>Educación</v>
      </c>
      <c r="E683" s="19">
        <v>15</v>
      </c>
      <c r="F683" s="18" t="s">
        <v>1538</v>
      </c>
      <c r="G683" s="18" t="s">
        <v>7427</v>
      </c>
      <c r="H683" s="35" t="s">
        <v>16</v>
      </c>
      <c r="I683" s="36" t="s">
        <v>382</v>
      </c>
      <c r="J683" s="9" t="str">
        <f t="shared" ref="J683:N683" si="1036">+J682</f>
        <v>Comuna</v>
      </c>
      <c r="K683" s="9" t="s">
        <v>1577</v>
      </c>
      <c r="L683" s="9" t="str">
        <f t="shared" si="1036"/>
        <v>Periodo 2014-2019</v>
      </c>
      <c r="M683" s="9" t="str">
        <f t="shared" si="1036"/>
        <v>Puntaje</v>
      </c>
      <c r="N683" s="9" t="str">
        <f t="shared" si="1036"/>
        <v>Agencia de Calidad de la Educación</v>
      </c>
      <c r="O683" s="20" t="str">
        <f>+"Resumen de Indicadores de Desarrollo Personal y Social por Dependencia de Establecimiento por comuna en la "&amp;I683&amp;", "&amp;Agencia[[#This Row],[temporalidad]]</f>
        <v>Resumen de Indicadores de Desarrollo Personal y Social por Dependencia de Establecimiento por comuna en la Región de Arica y Parinacota, Periodo 2014-2019</v>
      </c>
      <c r="P683" s="20"/>
      <c r="Q683" s="11" t="str">
        <f t="shared" si="974"/>
        <v>Gráfico de Evolución</v>
      </c>
      <c r="R683" s="20" t="str">
        <f>Agencia[[#This Row],[territorio]]&amp;" calidad educación puntaje municipal subvencionado corporación particular autoestima convivencia hábitos salud participación desarrollo personal indicadores"</f>
        <v>Región de Arica y Parinacota calidad educación puntaje municipal subvencionado corporación particular autoestima convivencia hábitos salud participación desarrollo personal indicadores</v>
      </c>
      <c r="S683" s="39" t="str">
        <f>HYPERLINK("https://analytics.zoho.com/open-view/2395394000007990413?ZOHO_CRITERIA=%22Localiza%20CL%22.%22Codreg%22%3D"&amp;Agencia[[#This Row],[Filtro URL]])</f>
        <v>https://analytics.zoho.com/open-view/2395394000007990413?ZOHO_CRITERIA=%22Localiza%20CL%22.%22Codreg%22%3D15</v>
      </c>
      <c r="T683" s="69" t="str">
        <f>"100-C-"&amp;Agencia[[#This Row],[Filtro URL]]</f>
        <v>100-C-15</v>
      </c>
      <c r="U683" s="50" t="str">
        <f t="shared" si="975"/>
        <v>#1774B9</v>
      </c>
      <c r="V683" s="118" t="str">
        <f>+Agencia[[#This Row],[idcoleccion]]&amp;"-"&amp;Agencia[[#This Row],[id]]</f>
        <v>990-0672</v>
      </c>
      <c r="W683" s="118">
        <f>+VLOOKUP(Agencia[[#This Row],[Filtro URL]],Estructura!$X$4:$Y$500,2,0)</f>
        <v>99200015</v>
      </c>
      <c r="X683" s="118" t="str">
        <f>+VLOOKUP(Agencia[[#This Row],[tema]],Estructura!$A$4:$C$500,3,0)</f>
        <v>T-991</v>
      </c>
      <c r="Y683" s="118" t="str">
        <f>+VLOOKUP(Agencia[[#This Row],[contenido]],Estructura!$E$4:$G$500,3,0)</f>
        <v>C-1018</v>
      </c>
      <c r="Z683" s="118" t="str">
        <f>+VLOOKUP(Agencia[[#This Row],[Filtro Integrado]],Estructura!$I$4:$K$500,3,0)</f>
        <v>FI-991</v>
      </c>
      <c r="AA683" s="118" t="str">
        <f>+VLOOKUP(Agencia[[#This Row],[Muestra]],Estructura!$M$4:$O$500,3,0)</f>
        <v>M-1082</v>
      </c>
    </row>
    <row r="684" spans="1:27" ht="57.6" x14ac:dyDescent="0.3">
      <c r="A684" s="21" t="s">
        <v>1276</v>
      </c>
      <c r="B684" s="24">
        <f t="shared" ref="B684:D684" si="1037">+B683</f>
        <v>990</v>
      </c>
      <c r="C684" s="25" t="str">
        <f t="shared" si="1037"/>
        <v>Agencia Información</v>
      </c>
      <c r="D684" s="25" t="str">
        <f t="shared" si="1037"/>
        <v>Educación</v>
      </c>
      <c r="E684" s="19">
        <v>16</v>
      </c>
      <c r="F684" s="18" t="s">
        <v>1538</v>
      </c>
      <c r="G684" s="18" t="s">
        <v>7427</v>
      </c>
      <c r="H684" s="35" t="s">
        <v>16</v>
      </c>
      <c r="I684" s="36" t="s">
        <v>383</v>
      </c>
      <c r="J684" s="9" t="str">
        <f t="shared" ref="J684:N684" si="1038">+J683</f>
        <v>Comuna</v>
      </c>
      <c r="K684" s="9" t="s">
        <v>1577</v>
      </c>
      <c r="L684" s="9" t="str">
        <f t="shared" si="1038"/>
        <v>Periodo 2014-2019</v>
      </c>
      <c r="M684" s="9" t="str">
        <f t="shared" si="1038"/>
        <v>Puntaje</v>
      </c>
      <c r="N684" s="9" t="str">
        <f t="shared" si="1038"/>
        <v>Agencia de Calidad de la Educación</v>
      </c>
      <c r="O684" s="20" t="str">
        <f>+"Resumen de Indicadores de Desarrollo Personal y Social por Dependencia de Establecimiento por comuna en la "&amp;I684&amp;", "&amp;Agencia[[#This Row],[temporalidad]]</f>
        <v>Resumen de Indicadores de Desarrollo Personal y Social por Dependencia de Establecimiento por comuna en la Región de Ñuble, Periodo 2014-2019</v>
      </c>
      <c r="P684" s="20"/>
      <c r="Q684" s="11" t="str">
        <f t="shared" si="974"/>
        <v>Gráfico de Evolución</v>
      </c>
      <c r="R684" s="20" t="str">
        <f>Agencia[[#This Row],[territorio]]&amp;" calidad educación puntaje municipal subvencionado corporación particular autoestima convivencia hábitos salud participación desarrollo personal indicadores"</f>
        <v>Región de Ñuble calidad educación puntaje municipal subvencionado corporación particular autoestima convivencia hábitos salud participación desarrollo personal indicadores</v>
      </c>
      <c r="S684" s="39" t="str">
        <f>HYPERLINK("https://analytics.zoho.com/open-view/2395394000007990413?ZOHO_CRITERIA=%22Localiza%20CL%22.%22Codreg%22%3D"&amp;Agencia[[#This Row],[Filtro URL]])</f>
        <v>https://analytics.zoho.com/open-view/2395394000007990413?ZOHO_CRITERIA=%22Localiza%20CL%22.%22Codreg%22%3D16</v>
      </c>
      <c r="T684" s="69" t="str">
        <f>"100-C-"&amp;Agencia[[#This Row],[Filtro URL]]</f>
        <v>100-C-16</v>
      </c>
      <c r="U684" s="50" t="str">
        <f t="shared" si="975"/>
        <v>#1774B9</v>
      </c>
      <c r="V684" s="118" t="str">
        <f>+Agencia[[#This Row],[idcoleccion]]&amp;"-"&amp;Agencia[[#This Row],[id]]</f>
        <v>990-0673</v>
      </c>
      <c r="W684" s="118">
        <f>+VLOOKUP(Agencia[[#This Row],[Filtro URL]],Estructura!$X$4:$Y$500,2,0)</f>
        <v>99200016</v>
      </c>
      <c r="X684" s="118" t="str">
        <f>+VLOOKUP(Agencia[[#This Row],[tema]],Estructura!$A$4:$C$500,3,0)</f>
        <v>T-991</v>
      </c>
      <c r="Y684" s="118" t="str">
        <f>+VLOOKUP(Agencia[[#This Row],[contenido]],Estructura!$E$4:$G$500,3,0)</f>
        <v>C-1018</v>
      </c>
      <c r="Z684" s="118" t="str">
        <f>+VLOOKUP(Agencia[[#This Row],[Filtro Integrado]],Estructura!$I$4:$K$500,3,0)</f>
        <v>FI-991</v>
      </c>
      <c r="AA684" s="118" t="str">
        <f>+VLOOKUP(Agencia[[#This Row],[Muestra]],Estructura!$M$4:$O$500,3,0)</f>
        <v>M-1082</v>
      </c>
    </row>
    <row r="685" spans="1:27" ht="91.8" x14ac:dyDescent="0.3">
      <c r="A685" s="21" t="s">
        <v>1277</v>
      </c>
      <c r="B685" s="24">
        <f t="shared" ref="B685:C685" si="1039">+B684</f>
        <v>990</v>
      </c>
      <c r="C685" s="25" t="str">
        <f t="shared" si="1039"/>
        <v>Agencia Información</v>
      </c>
      <c r="D685" s="25" t="s">
        <v>14</v>
      </c>
      <c r="E685" s="14">
        <v>0</v>
      </c>
      <c r="F685" s="18" t="s">
        <v>1538</v>
      </c>
      <c r="G685" s="18" t="s">
        <v>7427</v>
      </c>
      <c r="H685" s="33" t="s">
        <v>20</v>
      </c>
      <c r="I685" s="34" t="s">
        <v>15</v>
      </c>
      <c r="J685" s="9" t="s">
        <v>16</v>
      </c>
      <c r="K685" s="9" t="s">
        <v>1581</v>
      </c>
      <c r="L685" s="9" t="s">
        <v>894</v>
      </c>
      <c r="M685" s="9" t="s">
        <v>1529</v>
      </c>
      <c r="N685" s="9" t="s">
        <v>1526</v>
      </c>
      <c r="O685" s="20" t="str">
        <f>+"Mapa de distribución geográfica en "&amp;Agencia[[#This Row],[territorio]]&amp;" del Indicador de Autoestima Académica y Motivación Escolar, "&amp;Agencia[[#This Row],[temporalidad]]</f>
        <v>Mapa de distribución geográfica en Chile del Indicador de Autoestima Académica y Motivación Escolar, Periodo 2014-2019</v>
      </c>
      <c r="P685" s="20" t="s">
        <v>1582</v>
      </c>
      <c r="Q685" s="11" t="s">
        <v>831</v>
      </c>
      <c r="R685" s="20" t="str">
        <f>Agencia[[#This Row],[territorio]]&amp;" calidad educación puntaje autoestima motivación escolar desarrollo personal indicador académica"</f>
        <v>Chile calidad educación puntaje autoestima motivación escolar desarrollo personal indicador académica</v>
      </c>
      <c r="S685" s="39" t="s">
        <v>1578</v>
      </c>
      <c r="T685" s="68" t="s">
        <v>855</v>
      </c>
      <c r="U685" s="50" t="str">
        <f t="shared" si="975"/>
        <v>#1774B9</v>
      </c>
      <c r="V685" s="118" t="str">
        <f>+Agencia[[#This Row],[idcoleccion]]&amp;"-"&amp;Agencia[[#This Row],[id]]</f>
        <v>990-0674</v>
      </c>
      <c r="W685" s="118">
        <f>+VLOOKUP(Agencia[[#This Row],[Filtro URL]],Estructura!$X$4:$Y$500,2,0)</f>
        <v>99100000</v>
      </c>
      <c r="X685" s="118" t="str">
        <f>+VLOOKUP(Agencia[[#This Row],[tema]],Estructura!$A$4:$C$500,3,0)</f>
        <v>T-991</v>
      </c>
      <c r="Y685" s="118" t="str">
        <f>+VLOOKUP(Agencia[[#This Row],[contenido]],Estructura!$E$4:$G$500,3,0)</f>
        <v>C-1018</v>
      </c>
      <c r="Z685" s="118" t="str">
        <f>+VLOOKUP(Agencia[[#This Row],[Filtro Integrado]],Estructura!$I$4:$K$500,3,0)</f>
        <v>FI-992</v>
      </c>
      <c r="AA685" s="118" t="str">
        <f>+VLOOKUP(Agencia[[#This Row],[Muestra]],Estructura!$M$4:$O$500,3,0)</f>
        <v>M-1083</v>
      </c>
    </row>
    <row r="686" spans="1:27" ht="36" x14ac:dyDescent="0.3">
      <c r="A686" s="21" t="s">
        <v>1278</v>
      </c>
      <c r="B686" s="24">
        <f t="shared" ref="B686:D686" si="1040">+B685</f>
        <v>990</v>
      </c>
      <c r="C686" s="25" t="str">
        <f t="shared" si="1040"/>
        <v>Agencia Información</v>
      </c>
      <c r="D686" s="25" t="str">
        <f t="shared" si="1040"/>
        <v>Educación</v>
      </c>
      <c r="E686" s="19">
        <v>1</v>
      </c>
      <c r="F686" s="18" t="s">
        <v>1538</v>
      </c>
      <c r="G686" s="18" t="s">
        <v>7427</v>
      </c>
      <c r="H686" s="35" t="s">
        <v>16</v>
      </c>
      <c r="I686" s="36" t="s">
        <v>368</v>
      </c>
      <c r="J686" s="9" t="s">
        <v>404</v>
      </c>
      <c r="K686" s="9" t="s">
        <v>1581</v>
      </c>
      <c r="L686" s="9" t="str">
        <f t="shared" ref="L686:N686" si="1041">+L685</f>
        <v>Periodo 2014-2019</v>
      </c>
      <c r="M686" s="9" t="str">
        <f t="shared" si="1041"/>
        <v>Puntaje</v>
      </c>
      <c r="N686" s="9" t="str">
        <f t="shared" si="1041"/>
        <v>Agencia de Calidad de la Educación</v>
      </c>
      <c r="O686" s="20" t="str">
        <f>+"Mapa de distribución geográfica en la "&amp;Agencia[[#This Row],[territorio]]&amp;" del Indicador de Autoestima Académica y Motivación Escolar, "&amp;Agencia[[#This Row],[temporalidad]]</f>
        <v>Mapa de distribución geográfica en la Región de Tarapacá del Indicador de Autoestima Académica y Motivación Escolar, Periodo 2014-2019</v>
      </c>
      <c r="P686" s="20"/>
      <c r="Q686" s="11" t="str">
        <f t="shared" si="974"/>
        <v>Mapa de calor</v>
      </c>
      <c r="R686" s="20" t="str">
        <f>Agencia[[#This Row],[territorio]]&amp;" calidad educación puntaje autoestima motivación escolar desarrollo personal indicador académica"</f>
        <v>Región de Tarapacá calidad educación puntaje autoestima motivación escolar desarrollo personal indicador académica</v>
      </c>
      <c r="S686" s="22" t="s">
        <v>423</v>
      </c>
      <c r="T686" s="68" t="str">
        <f>"100-R-"&amp;Agencia[[#This Row],[Filtro URL]]</f>
        <v>100-R-1</v>
      </c>
      <c r="U686" s="50" t="str">
        <f t="shared" si="975"/>
        <v>#1774B9</v>
      </c>
      <c r="V686" s="118" t="str">
        <f>+Agencia[[#This Row],[idcoleccion]]&amp;"-"&amp;Agencia[[#This Row],[id]]</f>
        <v>990-0675</v>
      </c>
      <c r="W686" s="118">
        <f>+VLOOKUP(Agencia[[#This Row],[Filtro URL]],Estructura!$X$4:$Y$500,2,0)</f>
        <v>99200001</v>
      </c>
      <c r="X686" s="118" t="str">
        <f>+VLOOKUP(Agencia[[#This Row],[tema]],Estructura!$A$4:$C$500,3,0)</f>
        <v>T-991</v>
      </c>
      <c r="Y686" s="118" t="str">
        <f>+VLOOKUP(Agencia[[#This Row],[contenido]],Estructura!$E$4:$G$500,3,0)</f>
        <v>C-1018</v>
      </c>
      <c r="Z686" s="118" t="str">
        <f>+VLOOKUP(Agencia[[#This Row],[Filtro Integrado]],Estructura!$I$4:$K$500,3,0)</f>
        <v>FI-993</v>
      </c>
      <c r="AA686" s="118" t="str">
        <f>+VLOOKUP(Agencia[[#This Row],[Muestra]],Estructura!$M$4:$O$500,3,0)</f>
        <v>M-1083</v>
      </c>
    </row>
    <row r="687" spans="1:27" ht="36" x14ac:dyDescent="0.3">
      <c r="A687" s="21" t="s">
        <v>1279</v>
      </c>
      <c r="B687" s="24">
        <f t="shared" ref="B687:D687" si="1042">+B686</f>
        <v>990</v>
      </c>
      <c r="C687" s="25" t="str">
        <f t="shared" si="1042"/>
        <v>Agencia Información</v>
      </c>
      <c r="D687" s="25" t="str">
        <f t="shared" si="1042"/>
        <v>Educación</v>
      </c>
      <c r="E687" s="19">
        <v>2</v>
      </c>
      <c r="F687" s="18" t="s">
        <v>1538</v>
      </c>
      <c r="G687" s="18" t="s">
        <v>7427</v>
      </c>
      <c r="H687" s="35" t="s">
        <v>16</v>
      </c>
      <c r="I687" s="36" t="s">
        <v>369</v>
      </c>
      <c r="J687" s="9" t="str">
        <f t="shared" ref="J687:N687" si="1043">+J686</f>
        <v>Ninguno</v>
      </c>
      <c r="K687" s="9" t="s">
        <v>1581</v>
      </c>
      <c r="L687" s="9" t="str">
        <f t="shared" si="1043"/>
        <v>Periodo 2014-2019</v>
      </c>
      <c r="M687" s="9" t="str">
        <f t="shared" si="1043"/>
        <v>Puntaje</v>
      </c>
      <c r="N687" s="9" t="str">
        <f t="shared" si="1043"/>
        <v>Agencia de Calidad de la Educación</v>
      </c>
      <c r="O687" s="20" t="str">
        <f>+"Mapa de distribución geográfica en la "&amp;Agencia[[#This Row],[territorio]]&amp;" del Indicador de Autoestima Académica y Motivación Escolar, "&amp;Agencia[[#This Row],[temporalidad]]</f>
        <v>Mapa de distribución geográfica en la Región de Antofagasta del Indicador de Autoestima Académica y Motivación Escolar, Periodo 2014-2019</v>
      </c>
      <c r="P687" s="20"/>
      <c r="Q687" s="11" t="str">
        <f t="shared" si="974"/>
        <v>Mapa de calor</v>
      </c>
      <c r="R687" s="20" t="str">
        <f>Agencia[[#This Row],[territorio]]&amp;" calidad educación puntaje autoestima motivación escolar desarrollo personal indicador académica"</f>
        <v>Región de Antofagasta calidad educación puntaje autoestima motivación escolar desarrollo personal indicador académica</v>
      </c>
      <c r="S687" s="22" t="s">
        <v>423</v>
      </c>
      <c r="T687" s="68" t="str">
        <f>"100-R-"&amp;Agencia[[#This Row],[Filtro URL]]</f>
        <v>100-R-2</v>
      </c>
      <c r="U687" s="50" t="str">
        <f t="shared" si="975"/>
        <v>#1774B9</v>
      </c>
      <c r="V687" s="118" t="str">
        <f>+Agencia[[#This Row],[idcoleccion]]&amp;"-"&amp;Agencia[[#This Row],[id]]</f>
        <v>990-0676</v>
      </c>
      <c r="W687" s="118">
        <f>+VLOOKUP(Agencia[[#This Row],[Filtro URL]],Estructura!$X$4:$Y$500,2,0)</f>
        <v>99200002</v>
      </c>
      <c r="X687" s="118" t="str">
        <f>+VLOOKUP(Agencia[[#This Row],[tema]],Estructura!$A$4:$C$500,3,0)</f>
        <v>T-991</v>
      </c>
      <c r="Y687" s="118" t="str">
        <f>+VLOOKUP(Agencia[[#This Row],[contenido]],Estructura!$E$4:$G$500,3,0)</f>
        <v>C-1018</v>
      </c>
      <c r="Z687" s="118" t="str">
        <f>+VLOOKUP(Agencia[[#This Row],[Filtro Integrado]],Estructura!$I$4:$K$500,3,0)</f>
        <v>FI-993</v>
      </c>
      <c r="AA687" s="118" t="str">
        <f>+VLOOKUP(Agencia[[#This Row],[Muestra]],Estructura!$M$4:$O$500,3,0)</f>
        <v>M-1083</v>
      </c>
    </row>
    <row r="688" spans="1:27" ht="36" x14ac:dyDescent="0.3">
      <c r="A688" s="21" t="s">
        <v>1280</v>
      </c>
      <c r="B688" s="24">
        <f t="shared" ref="B688:D688" si="1044">+B687</f>
        <v>990</v>
      </c>
      <c r="C688" s="25" t="str">
        <f t="shared" si="1044"/>
        <v>Agencia Información</v>
      </c>
      <c r="D688" s="25" t="str">
        <f t="shared" si="1044"/>
        <v>Educación</v>
      </c>
      <c r="E688" s="19">
        <v>3</v>
      </c>
      <c r="F688" s="18" t="s">
        <v>1538</v>
      </c>
      <c r="G688" s="18" t="s">
        <v>7427</v>
      </c>
      <c r="H688" s="35" t="s">
        <v>16</v>
      </c>
      <c r="I688" s="36" t="s">
        <v>370</v>
      </c>
      <c r="J688" s="9" t="str">
        <f t="shared" ref="J688:N688" si="1045">+J687</f>
        <v>Ninguno</v>
      </c>
      <c r="K688" s="9" t="s">
        <v>1581</v>
      </c>
      <c r="L688" s="9" t="str">
        <f t="shared" si="1045"/>
        <v>Periodo 2014-2019</v>
      </c>
      <c r="M688" s="9" t="str">
        <f t="shared" si="1045"/>
        <v>Puntaje</v>
      </c>
      <c r="N688" s="9" t="str">
        <f t="shared" si="1045"/>
        <v>Agencia de Calidad de la Educación</v>
      </c>
      <c r="O688" s="20" t="str">
        <f>+"Mapa de distribución geográfica en la "&amp;Agencia[[#This Row],[territorio]]&amp;" del Indicador de Autoestima Académica y Motivación Escolar, "&amp;Agencia[[#This Row],[temporalidad]]</f>
        <v>Mapa de distribución geográfica en la Región de Atacama del Indicador de Autoestima Académica y Motivación Escolar, Periodo 2014-2019</v>
      </c>
      <c r="P688" s="20"/>
      <c r="Q688" s="11" t="str">
        <f t="shared" si="974"/>
        <v>Mapa de calor</v>
      </c>
      <c r="R688" s="20" t="str">
        <f>Agencia[[#This Row],[territorio]]&amp;" calidad educación puntaje autoestima motivación escolar desarrollo personal indicador académica"</f>
        <v>Región de Atacama calidad educación puntaje autoestima motivación escolar desarrollo personal indicador académica</v>
      </c>
      <c r="S688" s="22" t="s">
        <v>423</v>
      </c>
      <c r="T688" s="68" t="str">
        <f>"100-R-"&amp;Agencia[[#This Row],[Filtro URL]]</f>
        <v>100-R-3</v>
      </c>
      <c r="U688" s="50" t="str">
        <f t="shared" si="975"/>
        <v>#1774B9</v>
      </c>
      <c r="V688" s="118" t="str">
        <f>+Agencia[[#This Row],[idcoleccion]]&amp;"-"&amp;Agencia[[#This Row],[id]]</f>
        <v>990-0677</v>
      </c>
      <c r="W688" s="118">
        <f>+VLOOKUP(Agencia[[#This Row],[Filtro URL]],Estructura!$X$4:$Y$500,2,0)</f>
        <v>99200003</v>
      </c>
      <c r="X688" s="118" t="str">
        <f>+VLOOKUP(Agencia[[#This Row],[tema]],Estructura!$A$4:$C$500,3,0)</f>
        <v>T-991</v>
      </c>
      <c r="Y688" s="118" t="str">
        <f>+VLOOKUP(Agencia[[#This Row],[contenido]],Estructura!$E$4:$G$500,3,0)</f>
        <v>C-1018</v>
      </c>
      <c r="Z688" s="118" t="str">
        <f>+VLOOKUP(Agencia[[#This Row],[Filtro Integrado]],Estructura!$I$4:$K$500,3,0)</f>
        <v>FI-993</v>
      </c>
      <c r="AA688" s="118" t="str">
        <f>+VLOOKUP(Agencia[[#This Row],[Muestra]],Estructura!$M$4:$O$500,3,0)</f>
        <v>M-1083</v>
      </c>
    </row>
    <row r="689" spans="1:27" ht="36" x14ac:dyDescent="0.3">
      <c r="A689" s="21" t="s">
        <v>1281</v>
      </c>
      <c r="B689" s="24">
        <f t="shared" ref="B689:D689" si="1046">+B688</f>
        <v>990</v>
      </c>
      <c r="C689" s="25" t="str">
        <f t="shared" si="1046"/>
        <v>Agencia Información</v>
      </c>
      <c r="D689" s="25" t="str">
        <f t="shared" si="1046"/>
        <v>Educación</v>
      </c>
      <c r="E689" s="19">
        <v>4</v>
      </c>
      <c r="F689" s="18" t="s">
        <v>1538</v>
      </c>
      <c r="G689" s="18" t="s">
        <v>7427</v>
      </c>
      <c r="H689" s="35" t="s">
        <v>16</v>
      </c>
      <c r="I689" s="36" t="s">
        <v>371</v>
      </c>
      <c r="J689" s="9" t="str">
        <f t="shared" ref="J689:N689" si="1047">+J688</f>
        <v>Ninguno</v>
      </c>
      <c r="K689" s="9" t="s">
        <v>1581</v>
      </c>
      <c r="L689" s="9" t="str">
        <f t="shared" si="1047"/>
        <v>Periodo 2014-2019</v>
      </c>
      <c r="M689" s="9" t="str">
        <f t="shared" si="1047"/>
        <v>Puntaje</v>
      </c>
      <c r="N689" s="9" t="str">
        <f t="shared" si="1047"/>
        <v>Agencia de Calidad de la Educación</v>
      </c>
      <c r="O689" s="20" t="str">
        <f>+"Mapa de distribución geográfica en la "&amp;Agencia[[#This Row],[territorio]]&amp;" del Indicador de Autoestima Académica y Motivación Escolar, "&amp;Agencia[[#This Row],[temporalidad]]</f>
        <v>Mapa de distribución geográfica en la Región de Coquimbo del Indicador de Autoestima Académica y Motivación Escolar, Periodo 2014-2019</v>
      </c>
      <c r="P689" s="20"/>
      <c r="Q689" s="11" t="str">
        <f t="shared" si="974"/>
        <v>Mapa de calor</v>
      </c>
      <c r="R689" s="20" t="str">
        <f>Agencia[[#This Row],[territorio]]&amp;" calidad educación puntaje autoestima motivación escolar desarrollo personal indicador académica"</f>
        <v>Región de Coquimbo calidad educación puntaje autoestima motivación escolar desarrollo personal indicador académica</v>
      </c>
      <c r="S689" s="22" t="s">
        <v>423</v>
      </c>
      <c r="T689" s="68" t="str">
        <f>"100-R-"&amp;Agencia[[#This Row],[Filtro URL]]</f>
        <v>100-R-4</v>
      </c>
      <c r="U689" s="50" t="str">
        <f t="shared" si="975"/>
        <v>#1774B9</v>
      </c>
      <c r="V689" s="118" t="str">
        <f>+Agencia[[#This Row],[idcoleccion]]&amp;"-"&amp;Agencia[[#This Row],[id]]</f>
        <v>990-0678</v>
      </c>
      <c r="W689" s="118">
        <f>+VLOOKUP(Agencia[[#This Row],[Filtro URL]],Estructura!$X$4:$Y$500,2,0)</f>
        <v>99200004</v>
      </c>
      <c r="X689" s="118" t="str">
        <f>+VLOOKUP(Agencia[[#This Row],[tema]],Estructura!$A$4:$C$500,3,0)</f>
        <v>T-991</v>
      </c>
      <c r="Y689" s="118" t="str">
        <f>+VLOOKUP(Agencia[[#This Row],[contenido]],Estructura!$E$4:$G$500,3,0)</f>
        <v>C-1018</v>
      </c>
      <c r="Z689" s="118" t="str">
        <f>+VLOOKUP(Agencia[[#This Row],[Filtro Integrado]],Estructura!$I$4:$K$500,3,0)</f>
        <v>FI-993</v>
      </c>
      <c r="AA689" s="118" t="str">
        <f>+VLOOKUP(Agencia[[#This Row],[Muestra]],Estructura!$M$4:$O$500,3,0)</f>
        <v>M-1083</v>
      </c>
    </row>
    <row r="690" spans="1:27" ht="36" x14ac:dyDescent="0.3">
      <c r="A690" s="21" t="s">
        <v>1282</v>
      </c>
      <c r="B690" s="24">
        <f t="shared" ref="B690:D690" si="1048">+B689</f>
        <v>990</v>
      </c>
      <c r="C690" s="25" t="str">
        <f t="shared" si="1048"/>
        <v>Agencia Información</v>
      </c>
      <c r="D690" s="25" t="str">
        <f t="shared" si="1048"/>
        <v>Educación</v>
      </c>
      <c r="E690" s="19">
        <v>5</v>
      </c>
      <c r="F690" s="18" t="s">
        <v>1538</v>
      </c>
      <c r="G690" s="18" t="s">
        <v>7427</v>
      </c>
      <c r="H690" s="35" t="s">
        <v>16</v>
      </c>
      <c r="I690" s="36" t="s">
        <v>372</v>
      </c>
      <c r="J690" s="9" t="str">
        <f t="shared" ref="J690:N690" si="1049">+J689</f>
        <v>Ninguno</v>
      </c>
      <c r="K690" s="9" t="s">
        <v>1581</v>
      </c>
      <c r="L690" s="9" t="str">
        <f t="shared" si="1049"/>
        <v>Periodo 2014-2019</v>
      </c>
      <c r="M690" s="9" t="str">
        <f t="shared" si="1049"/>
        <v>Puntaje</v>
      </c>
      <c r="N690" s="9" t="str">
        <f t="shared" si="1049"/>
        <v>Agencia de Calidad de la Educación</v>
      </c>
      <c r="O690" s="20" t="str">
        <f>+"Mapa de distribución geográfica en la "&amp;Agencia[[#This Row],[territorio]]&amp;" del Indicador de Autoestima Académica y Motivación Escolar, "&amp;Agencia[[#This Row],[temporalidad]]</f>
        <v>Mapa de distribución geográfica en la Región de Valparaíso del Indicador de Autoestima Académica y Motivación Escolar, Periodo 2014-2019</v>
      </c>
      <c r="P690" s="20"/>
      <c r="Q690" s="11" t="str">
        <f t="shared" si="974"/>
        <v>Mapa de calor</v>
      </c>
      <c r="R690" s="20" t="str">
        <f>Agencia[[#This Row],[territorio]]&amp;" calidad educación puntaje autoestima motivación escolar desarrollo personal indicador académica"</f>
        <v>Región de Valparaíso calidad educación puntaje autoestima motivación escolar desarrollo personal indicador académica</v>
      </c>
      <c r="S690" s="22" t="s">
        <v>423</v>
      </c>
      <c r="T690" s="68" t="str">
        <f>"100-R-"&amp;Agencia[[#This Row],[Filtro URL]]</f>
        <v>100-R-5</v>
      </c>
      <c r="U690" s="50" t="str">
        <f t="shared" si="975"/>
        <v>#1774B9</v>
      </c>
      <c r="V690" s="118" t="str">
        <f>+Agencia[[#This Row],[idcoleccion]]&amp;"-"&amp;Agencia[[#This Row],[id]]</f>
        <v>990-0679</v>
      </c>
      <c r="W690" s="118">
        <f>+VLOOKUP(Agencia[[#This Row],[Filtro URL]],Estructura!$X$4:$Y$500,2,0)</f>
        <v>99200005</v>
      </c>
      <c r="X690" s="118" t="str">
        <f>+VLOOKUP(Agencia[[#This Row],[tema]],Estructura!$A$4:$C$500,3,0)</f>
        <v>T-991</v>
      </c>
      <c r="Y690" s="118" t="str">
        <f>+VLOOKUP(Agencia[[#This Row],[contenido]],Estructura!$E$4:$G$500,3,0)</f>
        <v>C-1018</v>
      </c>
      <c r="Z690" s="118" t="str">
        <f>+VLOOKUP(Agencia[[#This Row],[Filtro Integrado]],Estructura!$I$4:$K$500,3,0)</f>
        <v>FI-993</v>
      </c>
      <c r="AA690" s="118" t="str">
        <f>+VLOOKUP(Agencia[[#This Row],[Muestra]],Estructura!$M$4:$O$500,3,0)</f>
        <v>M-1083</v>
      </c>
    </row>
    <row r="691" spans="1:27" ht="36" x14ac:dyDescent="0.3">
      <c r="A691" s="21" t="s">
        <v>1283</v>
      </c>
      <c r="B691" s="24">
        <f t="shared" ref="B691:D691" si="1050">+B690</f>
        <v>990</v>
      </c>
      <c r="C691" s="25" t="str">
        <f t="shared" si="1050"/>
        <v>Agencia Información</v>
      </c>
      <c r="D691" s="25" t="str">
        <f t="shared" si="1050"/>
        <v>Educación</v>
      </c>
      <c r="E691" s="19">
        <v>6</v>
      </c>
      <c r="F691" s="18" t="s">
        <v>1538</v>
      </c>
      <c r="G691" s="18" t="s">
        <v>7427</v>
      </c>
      <c r="H691" s="35" t="s">
        <v>16</v>
      </c>
      <c r="I691" s="36" t="s">
        <v>373</v>
      </c>
      <c r="J691" s="9" t="str">
        <f t="shared" ref="J691:N691" si="1051">+J690</f>
        <v>Ninguno</v>
      </c>
      <c r="K691" s="9" t="s">
        <v>1581</v>
      </c>
      <c r="L691" s="9" t="str">
        <f t="shared" si="1051"/>
        <v>Periodo 2014-2019</v>
      </c>
      <c r="M691" s="9" t="str">
        <f t="shared" si="1051"/>
        <v>Puntaje</v>
      </c>
      <c r="N691" s="9" t="str">
        <f t="shared" si="1051"/>
        <v>Agencia de Calidad de la Educación</v>
      </c>
      <c r="O691" s="20" t="str">
        <f>+"Mapa de distribución geográfica en la "&amp;Agencia[[#This Row],[territorio]]&amp;" del Indicador de Autoestima Académica y Motivación Escolar, "&amp;Agencia[[#This Row],[temporalidad]]</f>
        <v>Mapa de distribución geográfica en la Región de O'Higgins del Indicador de Autoestima Académica y Motivación Escolar, Periodo 2014-2019</v>
      </c>
      <c r="P691" s="20"/>
      <c r="Q691" s="11" t="str">
        <f t="shared" si="974"/>
        <v>Mapa de calor</v>
      </c>
      <c r="R691" s="20" t="str">
        <f>Agencia[[#This Row],[territorio]]&amp;" calidad educación puntaje autoestima motivación escolar desarrollo personal indicador académica"</f>
        <v>Región de O'Higgins calidad educación puntaje autoestima motivación escolar desarrollo personal indicador académica</v>
      </c>
      <c r="S691" s="22" t="s">
        <v>423</v>
      </c>
      <c r="T691" s="68" t="str">
        <f>"100-R-"&amp;Agencia[[#This Row],[Filtro URL]]</f>
        <v>100-R-6</v>
      </c>
      <c r="U691" s="50" t="str">
        <f t="shared" si="975"/>
        <v>#1774B9</v>
      </c>
      <c r="V691" s="118" t="str">
        <f>+Agencia[[#This Row],[idcoleccion]]&amp;"-"&amp;Agencia[[#This Row],[id]]</f>
        <v>990-0680</v>
      </c>
      <c r="W691" s="118">
        <f>+VLOOKUP(Agencia[[#This Row],[Filtro URL]],Estructura!$X$4:$Y$500,2,0)</f>
        <v>99200006</v>
      </c>
      <c r="X691" s="118" t="str">
        <f>+VLOOKUP(Agencia[[#This Row],[tema]],Estructura!$A$4:$C$500,3,0)</f>
        <v>T-991</v>
      </c>
      <c r="Y691" s="118" t="str">
        <f>+VLOOKUP(Agencia[[#This Row],[contenido]],Estructura!$E$4:$G$500,3,0)</f>
        <v>C-1018</v>
      </c>
      <c r="Z691" s="118" t="str">
        <f>+VLOOKUP(Agencia[[#This Row],[Filtro Integrado]],Estructura!$I$4:$K$500,3,0)</f>
        <v>FI-993</v>
      </c>
      <c r="AA691" s="118" t="str">
        <f>+VLOOKUP(Agencia[[#This Row],[Muestra]],Estructura!$M$4:$O$500,3,0)</f>
        <v>M-1083</v>
      </c>
    </row>
    <row r="692" spans="1:27" ht="36" x14ac:dyDescent="0.3">
      <c r="A692" s="21" t="s">
        <v>1284</v>
      </c>
      <c r="B692" s="24">
        <f t="shared" ref="B692:D692" si="1052">+B691</f>
        <v>990</v>
      </c>
      <c r="C692" s="25" t="str">
        <f t="shared" si="1052"/>
        <v>Agencia Información</v>
      </c>
      <c r="D692" s="25" t="str">
        <f t="shared" si="1052"/>
        <v>Educación</v>
      </c>
      <c r="E692" s="19">
        <v>7</v>
      </c>
      <c r="F692" s="18" t="s">
        <v>1538</v>
      </c>
      <c r="G692" s="18" t="s">
        <v>7427</v>
      </c>
      <c r="H692" s="35" t="s">
        <v>16</v>
      </c>
      <c r="I692" s="36" t="s">
        <v>374</v>
      </c>
      <c r="J692" s="9" t="str">
        <f t="shared" ref="J692:N692" si="1053">+J691</f>
        <v>Ninguno</v>
      </c>
      <c r="K692" s="9" t="s">
        <v>1581</v>
      </c>
      <c r="L692" s="9" t="str">
        <f t="shared" si="1053"/>
        <v>Periodo 2014-2019</v>
      </c>
      <c r="M692" s="9" t="str">
        <f t="shared" si="1053"/>
        <v>Puntaje</v>
      </c>
      <c r="N692" s="9" t="str">
        <f t="shared" si="1053"/>
        <v>Agencia de Calidad de la Educación</v>
      </c>
      <c r="O692" s="20" t="str">
        <f>+"Mapa de distribución geográfica en la "&amp;Agencia[[#This Row],[territorio]]&amp;" del Indicador de Autoestima Académica y Motivación Escolar, "&amp;Agencia[[#This Row],[temporalidad]]</f>
        <v>Mapa de distribución geográfica en la Región de Maule del Indicador de Autoestima Académica y Motivación Escolar, Periodo 2014-2019</v>
      </c>
      <c r="P692" s="20"/>
      <c r="Q692" s="11" t="str">
        <f t="shared" si="974"/>
        <v>Mapa de calor</v>
      </c>
      <c r="R692" s="20" t="str">
        <f>Agencia[[#This Row],[territorio]]&amp;" calidad educación puntaje autoestima motivación escolar desarrollo personal indicador académica"</f>
        <v>Región de Maule calidad educación puntaje autoestima motivación escolar desarrollo personal indicador académica</v>
      </c>
      <c r="S692" s="22" t="s">
        <v>423</v>
      </c>
      <c r="T692" s="68" t="str">
        <f>"100-R-"&amp;Agencia[[#This Row],[Filtro URL]]</f>
        <v>100-R-7</v>
      </c>
      <c r="U692" s="50" t="str">
        <f t="shared" si="975"/>
        <v>#1774B9</v>
      </c>
      <c r="V692" s="118" t="str">
        <f>+Agencia[[#This Row],[idcoleccion]]&amp;"-"&amp;Agencia[[#This Row],[id]]</f>
        <v>990-0681</v>
      </c>
      <c r="W692" s="118">
        <f>+VLOOKUP(Agencia[[#This Row],[Filtro URL]],Estructura!$X$4:$Y$500,2,0)</f>
        <v>99200007</v>
      </c>
      <c r="X692" s="118" t="str">
        <f>+VLOOKUP(Agencia[[#This Row],[tema]],Estructura!$A$4:$C$500,3,0)</f>
        <v>T-991</v>
      </c>
      <c r="Y692" s="118" t="str">
        <f>+VLOOKUP(Agencia[[#This Row],[contenido]],Estructura!$E$4:$G$500,3,0)</f>
        <v>C-1018</v>
      </c>
      <c r="Z692" s="118" t="str">
        <f>+VLOOKUP(Agencia[[#This Row],[Filtro Integrado]],Estructura!$I$4:$K$500,3,0)</f>
        <v>FI-993</v>
      </c>
      <c r="AA692" s="118" t="str">
        <f>+VLOOKUP(Agencia[[#This Row],[Muestra]],Estructura!$M$4:$O$500,3,0)</f>
        <v>M-1083</v>
      </c>
    </row>
    <row r="693" spans="1:27" ht="36" x14ac:dyDescent="0.3">
      <c r="A693" s="21" t="s">
        <v>1285</v>
      </c>
      <c r="B693" s="24">
        <f t="shared" ref="B693:D693" si="1054">+B692</f>
        <v>990</v>
      </c>
      <c r="C693" s="25" t="str">
        <f t="shared" si="1054"/>
        <v>Agencia Información</v>
      </c>
      <c r="D693" s="25" t="str">
        <f t="shared" si="1054"/>
        <v>Educación</v>
      </c>
      <c r="E693" s="19">
        <v>8</v>
      </c>
      <c r="F693" s="18" t="s">
        <v>1538</v>
      </c>
      <c r="G693" s="18" t="s">
        <v>7427</v>
      </c>
      <c r="H693" s="35" t="s">
        <v>16</v>
      </c>
      <c r="I693" s="36" t="s">
        <v>375</v>
      </c>
      <c r="J693" s="9" t="str">
        <f t="shared" ref="J693:N693" si="1055">+J692</f>
        <v>Ninguno</v>
      </c>
      <c r="K693" s="9" t="s">
        <v>1581</v>
      </c>
      <c r="L693" s="9" t="str">
        <f t="shared" si="1055"/>
        <v>Periodo 2014-2019</v>
      </c>
      <c r="M693" s="9" t="str">
        <f t="shared" si="1055"/>
        <v>Puntaje</v>
      </c>
      <c r="N693" s="9" t="str">
        <f t="shared" si="1055"/>
        <v>Agencia de Calidad de la Educación</v>
      </c>
      <c r="O693" s="20" t="str">
        <f>+"Mapa de distribución geográfica en la "&amp;Agencia[[#This Row],[territorio]]&amp;" del Indicador de Autoestima Académica y Motivación Escolar, "&amp;Agencia[[#This Row],[temporalidad]]</f>
        <v>Mapa de distribución geográfica en la Región del Biobío del Indicador de Autoestima Académica y Motivación Escolar, Periodo 2014-2019</v>
      </c>
      <c r="P693" s="20"/>
      <c r="Q693" s="11" t="str">
        <f t="shared" si="974"/>
        <v>Mapa de calor</v>
      </c>
      <c r="R693" s="20" t="str">
        <f>Agencia[[#This Row],[territorio]]&amp;" calidad educación puntaje autoestima motivación escolar desarrollo personal indicador académica"</f>
        <v>Región del Biobío calidad educación puntaje autoestima motivación escolar desarrollo personal indicador académica</v>
      </c>
      <c r="S693" s="22" t="s">
        <v>423</v>
      </c>
      <c r="T693" s="68" t="str">
        <f>"100-R-"&amp;Agencia[[#This Row],[Filtro URL]]</f>
        <v>100-R-8</v>
      </c>
      <c r="U693" s="50" t="str">
        <f t="shared" si="975"/>
        <v>#1774B9</v>
      </c>
      <c r="V693" s="118" t="str">
        <f>+Agencia[[#This Row],[idcoleccion]]&amp;"-"&amp;Agencia[[#This Row],[id]]</f>
        <v>990-0682</v>
      </c>
      <c r="W693" s="118">
        <f>+VLOOKUP(Agencia[[#This Row],[Filtro URL]],Estructura!$X$4:$Y$500,2,0)</f>
        <v>99200008</v>
      </c>
      <c r="X693" s="118" t="str">
        <f>+VLOOKUP(Agencia[[#This Row],[tema]],Estructura!$A$4:$C$500,3,0)</f>
        <v>T-991</v>
      </c>
      <c r="Y693" s="118" t="str">
        <f>+VLOOKUP(Agencia[[#This Row],[contenido]],Estructura!$E$4:$G$500,3,0)</f>
        <v>C-1018</v>
      </c>
      <c r="Z693" s="118" t="str">
        <f>+VLOOKUP(Agencia[[#This Row],[Filtro Integrado]],Estructura!$I$4:$K$500,3,0)</f>
        <v>FI-993</v>
      </c>
      <c r="AA693" s="118" t="str">
        <f>+VLOOKUP(Agencia[[#This Row],[Muestra]],Estructura!$M$4:$O$500,3,0)</f>
        <v>M-1083</v>
      </c>
    </row>
    <row r="694" spans="1:27" ht="36" x14ac:dyDescent="0.3">
      <c r="A694" s="21" t="s">
        <v>1286</v>
      </c>
      <c r="B694" s="24">
        <f t="shared" ref="B694:D694" si="1056">+B693</f>
        <v>990</v>
      </c>
      <c r="C694" s="25" t="str">
        <f t="shared" si="1056"/>
        <v>Agencia Información</v>
      </c>
      <c r="D694" s="25" t="str">
        <f t="shared" si="1056"/>
        <v>Educación</v>
      </c>
      <c r="E694" s="19">
        <v>9</v>
      </c>
      <c r="F694" s="18" t="s">
        <v>1538</v>
      </c>
      <c r="G694" s="18" t="s">
        <v>7427</v>
      </c>
      <c r="H694" s="35" t="s">
        <v>16</v>
      </c>
      <c r="I694" s="36" t="s">
        <v>376</v>
      </c>
      <c r="J694" s="9" t="str">
        <f t="shared" ref="J694:N694" si="1057">+J693</f>
        <v>Ninguno</v>
      </c>
      <c r="K694" s="9" t="s">
        <v>1581</v>
      </c>
      <c r="L694" s="9" t="str">
        <f t="shared" si="1057"/>
        <v>Periodo 2014-2019</v>
      </c>
      <c r="M694" s="9" t="str">
        <f t="shared" si="1057"/>
        <v>Puntaje</v>
      </c>
      <c r="N694" s="9" t="str">
        <f t="shared" si="1057"/>
        <v>Agencia de Calidad de la Educación</v>
      </c>
      <c r="O694" s="20" t="str">
        <f>+"Mapa de distribución geográfica en la "&amp;Agencia[[#This Row],[territorio]]&amp;" del Indicador de Autoestima Académica y Motivación Escolar, "&amp;Agencia[[#This Row],[temporalidad]]</f>
        <v>Mapa de distribución geográfica en la Región de La Araucanía del Indicador de Autoestima Académica y Motivación Escolar, Periodo 2014-2019</v>
      </c>
      <c r="P694" s="20"/>
      <c r="Q694" s="11" t="str">
        <f t="shared" si="974"/>
        <v>Mapa de calor</v>
      </c>
      <c r="R694" s="20" t="str">
        <f>Agencia[[#This Row],[territorio]]&amp;" calidad educación puntaje autoestima motivación escolar desarrollo personal indicador académica"</f>
        <v>Región de La Araucanía calidad educación puntaje autoestima motivación escolar desarrollo personal indicador académica</v>
      </c>
      <c r="S694" s="22" t="s">
        <v>423</v>
      </c>
      <c r="T694" s="68" t="str">
        <f>"100-R-"&amp;Agencia[[#This Row],[Filtro URL]]</f>
        <v>100-R-9</v>
      </c>
      <c r="U694" s="50" t="str">
        <f t="shared" si="975"/>
        <v>#1774B9</v>
      </c>
      <c r="V694" s="118" t="str">
        <f>+Agencia[[#This Row],[idcoleccion]]&amp;"-"&amp;Agencia[[#This Row],[id]]</f>
        <v>990-0683</v>
      </c>
      <c r="W694" s="118">
        <f>+VLOOKUP(Agencia[[#This Row],[Filtro URL]],Estructura!$X$4:$Y$500,2,0)</f>
        <v>99200009</v>
      </c>
      <c r="X694" s="118" t="str">
        <f>+VLOOKUP(Agencia[[#This Row],[tema]],Estructura!$A$4:$C$500,3,0)</f>
        <v>T-991</v>
      </c>
      <c r="Y694" s="118" t="str">
        <f>+VLOOKUP(Agencia[[#This Row],[contenido]],Estructura!$E$4:$G$500,3,0)</f>
        <v>C-1018</v>
      </c>
      <c r="Z694" s="118" t="str">
        <f>+VLOOKUP(Agencia[[#This Row],[Filtro Integrado]],Estructura!$I$4:$K$500,3,0)</f>
        <v>FI-993</v>
      </c>
      <c r="AA694" s="118" t="str">
        <f>+VLOOKUP(Agencia[[#This Row],[Muestra]],Estructura!$M$4:$O$500,3,0)</f>
        <v>M-1083</v>
      </c>
    </row>
    <row r="695" spans="1:27" ht="36" x14ac:dyDescent="0.3">
      <c r="A695" s="21" t="s">
        <v>1287</v>
      </c>
      <c r="B695" s="24">
        <f t="shared" ref="B695:D695" si="1058">+B694</f>
        <v>990</v>
      </c>
      <c r="C695" s="25" t="str">
        <f t="shared" si="1058"/>
        <v>Agencia Información</v>
      </c>
      <c r="D695" s="25" t="str">
        <f t="shared" si="1058"/>
        <v>Educación</v>
      </c>
      <c r="E695" s="19">
        <v>10</v>
      </c>
      <c r="F695" s="18" t="s">
        <v>1538</v>
      </c>
      <c r="G695" s="18" t="s">
        <v>7427</v>
      </c>
      <c r="H695" s="35" t="s">
        <v>16</v>
      </c>
      <c r="I695" s="36" t="s">
        <v>377</v>
      </c>
      <c r="J695" s="9" t="str">
        <f t="shared" ref="J695:N695" si="1059">+J694</f>
        <v>Ninguno</v>
      </c>
      <c r="K695" s="9" t="s">
        <v>1581</v>
      </c>
      <c r="L695" s="9" t="str">
        <f t="shared" si="1059"/>
        <v>Periodo 2014-2019</v>
      </c>
      <c r="M695" s="9" t="str">
        <f t="shared" si="1059"/>
        <v>Puntaje</v>
      </c>
      <c r="N695" s="9" t="str">
        <f t="shared" si="1059"/>
        <v>Agencia de Calidad de la Educación</v>
      </c>
      <c r="O695" s="20" t="str">
        <f>+"Mapa de distribución geográfica en la "&amp;Agencia[[#This Row],[territorio]]&amp;" del Indicador de Autoestima Académica y Motivación Escolar, "&amp;Agencia[[#This Row],[temporalidad]]</f>
        <v>Mapa de distribución geográfica en la Región de Los Lagos del Indicador de Autoestima Académica y Motivación Escolar, Periodo 2014-2019</v>
      </c>
      <c r="P695" s="20"/>
      <c r="Q695" s="11" t="str">
        <f t="shared" si="974"/>
        <v>Mapa de calor</v>
      </c>
      <c r="R695" s="20" t="str">
        <f>Agencia[[#This Row],[territorio]]&amp;" calidad educación puntaje autoestima motivación escolar desarrollo personal indicador académica"</f>
        <v>Región de Los Lagos calidad educación puntaje autoestima motivación escolar desarrollo personal indicador académica</v>
      </c>
      <c r="S695" s="22" t="s">
        <v>423</v>
      </c>
      <c r="T695" s="68" t="str">
        <f>"100-R-"&amp;Agencia[[#This Row],[Filtro URL]]</f>
        <v>100-R-10</v>
      </c>
      <c r="U695" s="50" t="str">
        <f t="shared" si="975"/>
        <v>#1774B9</v>
      </c>
      <c r="V695" s="118" t="str">
        <f>+Agencia[[#This Row],[idcoleccion]]&amp;"-"&amp;Agencia[[#This Row],[id]]</f>
        <v>990-0684</v>
      </c>
      <c r="W695" s="118">
        <f>+VLOOKUP(Agencia[[#This Row],[Filtro URL]],Estructura!$X$4:$Y$500,2,0)</f>
        <v>99200010</v>
      </c>
      <c r="X695" s="118" t="str">
        <f>+VLOOKUP(Agencia[[#This Row],[tema]],Estructura!$A$4:$C$500,3,0)</f>
        <v>T-991</v>
      </c>
      <c r="Y695" s="118" t="str">
        <f>+VLOOKUP(Agencia[[#This Row],[contenido]],Estructura!$E$4:$G$500,3,0)</f>
        <v>C-1018</v>
      </c>
      <c r="Z695" s="118" t="str">
        <f>+VLOOKUP(Agencia[[#This Row],[Filtro Integrado]],Estructura!$I$4:$K$500,3,0)</f>
        <v>FI-993</v>
      </c>
      <c r="AA695" s="118" t="str">
        <f>+VLOOKUP(Agencia[[#This Row],[Muestra]],Estructura!$M$4:$O$500,3,0)</f>
        <v>M-1083</v>
      </c>
    </row>
    <row r="696" spans="1:27" ht="36" x14ac:dyDescent="0.3">
      <c r="A696" s="21" t="s">
        <v>1288</v>
      </c>
      <c r="B696" s="24">
        <f t="shared" ref="B696:D696" si="1060">+B695</f>
        <v>990</v>
      </c>
      <c r="C696" s="25" t="str">
        <f t="shared" si="1060"/>
        <v>Agencia Información</v>
      </c>
      <c r="D696" s="25" t="str">
        <f t="shared" si="1060"/>
        <v>Educación</v>
      </c>
      <c r="E696" s="19">
        <v>11</v>
      </c>
      <c r="F696" s="18" t="s">
        <v>1538</v>
      </c>
      <c r="G696" s="18" t="s">
        <v>7427</v>
      </c>
      <c r="H696" s="35" t="s">
        <v>16</v>
      </c>
      <c r="I696" s="36" t="s">
        <v>378</v>
      </c>
      <c r="J696" s="9" t="str">
        <f t="shared" ref="J696:N696" si="1061">+J695</f>
        <v>Ninguno</v>
      </c>
      <c r="K696" s="9" t="s">
        <v>1581</v>
      </c>
      <c r="L696" s="9" t="str">
        <f t="shared" si="1061"/>
        <v>Periodo 2014-2019</v>
      </c>
      <c r="M696" s="9" t="str">
        <f t="shared" si="1061"/>
        <v>Puntaje</v>
      </c>
      <c r="N696" s="9" t="str">
        <f t="shared" si="1061"/>
        <v>Agencia de Calidad de la Educación</v>
      </c>
      <c r="O696" s="20" t="str">
        <f>+"Mapa de distribución geográfica en la "&amp;Agencia[[#This Row],[territorio]]&amp;" del Indicador de Autoestima Académica y Motivación Escolar, "&amp;Agencia[[#This Row],[temporalidad]]</f>
        <v>Mapa de distribución geográfica en la Región de Aysén del Indicador de Autoestima Académica y Motivación Escolar, Periodo 2014-2019</v>
      </c>
      <c r="P696" s="20"/>
      <c r="Q696" s="11" t="str">
        <f t="shared" si="974"/>
        <v>Mapa de calor</v>
      </c>
      <c r="R696" s="20" t="str">
        <f>Agencia[[#This Row],[territorio]]&amp;" calidad educación puntaje autoestima motivación escolar desarrollo personal indicador académica"</f>
        <v>Región de Aysén calidad educación puntaje autoestima motivación escolar desarrollo personal indicador académica</v>
      </c>
      <c r="S696" s="22" t="s">
        <v>423</v>
      </c>
      <c r="T696" s="68" t="str">
        <f>"100-R-"&amp;Agencia[[#This Row],[Filtro URL]]</f>
        <v>100-R-11</v>
      </c>
      <c r="U696" s="50" t="str">
        <f t="shared" si="975"/>
        <v>#1774B9</v>
      </c>
      <c r="V696" s="118" t="str">
        <f>+Agencia[[#This Row],[idcoleccion]]&amp;"-"&amp;Agencia[[#This Row],[id]]</f>
        <v>990-0685</v>
      </c>
      <c r="W696" s="118">
        <f>+VLOOKUP(Agencia[[#This Row],[Filtro URL]],Estructura!$X$4:$Y$500,2,0)</f>
        <v>99200011</v>
      </c>
      <c r="X696" s="118" t="str">
        <f>+VLOOKUP(Agencia[[#This Row],[tema]],Estructura!$A$4:$C$500,3,0)</f>
        <v>T-991</v>
      </c>
      <c r="Y696" s="118" t="str">
        <f>+VLOOKUP(Agencia[[#This Row],[contenido]],Estructura!$E$4:$G$500,3,0)</f>
        <v>C-1018</v>
      </c>
      <c r="Z696" s="118" t="str">
        <f>+VLOOKUP(Agencia[[#This Row],[Filtro Integrado]],Estructura!$I$4:$K$500,3,0)</f>
        <v>FI-993</v>
      </c>
      <c r="AA696" s="118" t="str">
        <f>+VLOOKUP(Agencia[[#This Row],[Muestra]],Estructura!$M$4:$O$500,3,0)</f>
        <v>M-1083</v>
      </c>
    </row>
    <row r="697" spans="1:27" ht="36" x14ac:dyDescent="0.3">
      <c r="A697" s="21" t="s">
        <v>1289</v>
      </c>
      <c r="B697" s="24">
        <f t="shared" ref="B697:D697" si="1062">+B696</f>
        <v>990</v>
      </c>
      <c r="C697" s="25" t="str">
        <f t="shared" si="1062"/>
        <v>Agencia Información</v>
      </c>
      <c r="D697" s="25" t="str">
        <f t="shared" si="1062"/>
        <v>Educación</v>
      </c>
      <c r="E697" s="19">
        <v>12</v>
      </c>
      <c r="F697" s="18" t="s">
        <v>1538</v>
      </c>
      <c r="G697" s="18" t="s">
        <v>7427</v>
      </c>
      <c r="H697" s="35" t="s">
        <v>16</v>
      </c>
      <c r="I697" s="36" t="s">
        <v>379</v>
      </c>
      <c r="J697" s="9" t="str">
        <f t="shared" ref="J697:N697" si="1063">+J696</f>
        <v>Ninguno</v>
      </c>
      <c r="K697" s="9" t="s">
        <v>1581</v>
      </c>
      <c r="L697" s="9" t="str">
        <f t="shared" si="1063"/>
        <v>Periodo 2014-2019</v>
      </c>
      <c r="M697" s="9" t="str">
        <f t="shared" si="1063"/>
        <v>Puntaje</v>
      </c>
      <c r="N697" s="9" t="str">
        <f t="shared" si="1063"/>
        <v>Agencia de Calidad de la Educación</v>
      </c>
      <c r="O697" s="20" t="str">
        <f>+"Mapa de distribución geográfica en la "&amp;Agencia[[#This Row],[territorio]]&amp;" del Indicador de Autoestima Académica y Motivación Escolar, "&amp;Agencia[[#This Row],[temporalidad]]</f>
        <v>Mapa de distribución geográfica en la Región de Magallanes del Indicador de Autoestima Académica y Motivación Escolar, Periodo 2014-2019</v>
      </c>
      <c r="P697" s="20"/>
      <c r="Q697" s="11" t="str">
        <f t="shared" si="974"/>
        <v>Mapa de calor</v>
      </c>
      <c r="R697" s="20" t="str">
        <f>Agencia[[#This Row],[territorio]]&amp;" calidad educación puntaje autoestima motivación escolar desarrollo personal indicador académica"</f>
        <v>Región de Magallanes calidad educación puntaje autoestima motivación escolar desarrollo personal indicador académica</v>
      </c>
      <c r="S697" s="22" t="s">
        <v>423</v>
      </c>
      <c r="T697" s="68" t="str">
        <f>"100-R-"&amp;Agencia[[#This Row],[Filtro URL]]</f>
        <v>100-R-12</v>
      </c>
      <c r="U697" s="50" t="str">
        <f t="shared" si="975"/>
        <v>#1774B9</v>
      </c>
      <c r="V697" s="118" t="str">
        <f>+Agencia[[#This Row],[idcoleccion]]&amp;"-"&amp;Agencia[[#This Row],[id]]</f>
        <v>990-0686</v>
      </c>
      <c r="W697" s="118">
        <f>+VLOOKUP(Agencia[[#This Row],[Filtro URL]],Estructura!$X$4:$Y$500,2,0)</f>
        <v>99200012</v>
      </c>
      <c r="X697" s="118" t="str">
        <f>+VLOOKUP(Agencia[[#This Row],[tema]],Estructura!$A$4:$C$500,3,0)</f>
        <v>T-991</v>
      </c>
      <c r="Y697" s="118" t="str">
        <f>+VLOOKUP(Agencia[[#This Row],[contenido]],Estructura!$E$4:$G$500,3,0)</f>
        <v>C-1018</v>
      </c>
      <c r="Z697" s="118" t="str">
        <f>+VLOOKUP(Agencia[[#This Row],[Filtro Integrado]],Estructura!$I$4:$K$500,3,0)</f>
        <v>FI-993</v>
      </c>
      <c r="AA697" s="118" t="str">
        <f>+VLOOKUP(Agencia[[#This Row],[Muestra]],Estructura!$M$4:$O$500,3,0)</f>
        <v>M-1083</v>
      </c>
    </row>
    <row r="698" spans="1:27" ht="36" x14ac:dyDescent="0.3">
      <c r="A698" s="21" t="s">
        <v>1290</v>
      </c>
      <c r="B698" s="24">
        <f t="shared" ref="B698:D698" si="1064">+B697</f>
        <v>990</v>
      </c>
      <c r="C698" s="25" t="str">
        <f t="shared" si="1064"/>
        <v>Agencia Información</v>
      </c>
      <c r="D698" s="25" t="str">
        <f t="shared" si="1064"/>
        <v>Educación</v>
      </c>
      <c r="E698" s="19">
        <v>13</v>
      </c>
      <c r="F698" s="18" t="s">
        <v>1538</v>
      </c>
      <c r="G698" s="18" t="s">
        <v>7427</v>
      </c>
      <c r="H698" s="35" t="s">
        <v>16</v>
      </c>
      <c r="I698" s="36" t="s">
        <v>380</v>
      </c>
      <c r="J698" s="9" t="str">
        <f t="shared" ref="J698:N698" si="1065">+J697</f>
        <v>Ninguno</v>
      </c>
      <c r="K698" s="9" t="s">
        <v>1581</v>
      </c>
      <c r="L698" s="9" t="str">
        <f t="shared" si="1065"/>
        <v>Periodo 2014-2019</v>
      </c>
      <c r="M698" s="9" t="str">
        <f t="shared" si="1065"/>
        <v>Puntaje</v>
      </c>
      <c r="N698" s="9" t="str">
        <f t="shared" si="1065"/>
        <v>Agencia de Calidad de la Educación</v>
      </c>
      <c r="O698" s="20" t="str">
        <f>+"Mapa de distribución geográfica en la "&amp;Agencia[[#This Row],[territorio]]&amp;" del Indicador de Autoestima Académica y Motivación Escolar, "&amp;Agencia[[#This Row],[temporalidad]]</f>
        <v>Mapa de distribución geográfica en la Región Metropolitana del Indicador de Autoestima Académica y Motivación Escolar, Periodo 2014-2019</v>
      </c>
      <c r="P698" s="20"/>
      <c r="Q698" s="11" t="str">
        <f t="shared" si="974"/>
        <v>Mapa de calor</v>
      </c>
      <c r="R698" s="20" t="str">
        <f>Agencia[[#This Row],[territorio]]&amp;" calidad educación puntaje autoestima motivación escolar desarrollo personal indicador académica"</f>
        <v>Región Metropolitana calidad educación puntaje autoestima motivación escolar desarrollo personal indicador académica</v>
      </c>
      <c r="S698" s="22" t="s">
        <v>423</v>
      </c>
      <c r="T698" s="68" t="str">
        <f>"200-R-"&amp;Agencia[[#This Row],[Filtro URL]]</f>
        <v>200-R-13</v>
      </c>
      <c r="U698" s="50" t="str">
        <f t="shared" si="975"/>
        <v>#1774B9</v>
      </c>
      <c r="V698" s="118" t="str">
        <f>+Agencia[[#This Row],[idcoleccion]]&amp;"-"&amp;Agencia[[#This Row],[id]]</f>
        <v>990-0687</v>
      </c>
      <c r="W698" s="118">
        <f>+VLOOKUP(Agencia[[#This Row],[Filtro URL]],Estructura!$X$4:$Y$500,2,0)</f>
        <v>99200013</v>
      </c>
      <c r="X698" s="118" t="str">
        <f>+VLOOKUP(Agencia[[#This Row],[tema]],Estructura!$A$4:$C$500,3,0)</f>
        <v>T-991</v>
      </c>
      <c r="Y698" s="118" t="str">
        <f>+VLOOKUP(Agencia[[#This Row],[contenido]],Estructura!$E$4:$G$500,3,0)</f>
        <v>C-1018</v>
      </c>
      <c r="Z698" s="118" t="str">
        <f>+VLOOKUP(Agencia[[#This Row],[Filtro Integrado]],Estructura!$I$4:$K$500,3,0)</f>
        <v>FI-993</v>
      </c>
      <c r="AA698" s="118" t="str">
        <f>+VLOOKUP(Agencia[[#This Row],[Muestra]],Estructura!$M$4:$O$500,3,0)</f>
        <v>M-1083</v>
      </c>
    </row>
    <row r="699" spans="1:27" ht="36" x14ac:dyDescent="0.3">
      <c r="A699" s="21" t="s">
        <v>1291</v>
      </c>
      <c r="B699" s="24">
        <f t="shared" ref="B699:D699" si="1066">+B698</f>
        <v>990</v>
      </c>
      <c r="C699" s="25" t="str">
        <f t="shared" si="1066"/>
        <v>Agencia Información</v>
      </c>
      <c r="D699" s="25" t="str">
        <f t="shared" si="1066"/>
        <v>Educación</v>
      </c>
      <c r="E699" s="19">
        <v>14</v>
      </c>
      <c r="F699" s="18" t="s">
        <v>1538</v>
      </c>
      <c r="G699" s="18" t="s">
        <v>7427</v>
      </c>
      <c r="H699" s="35" t="s">
        <v>16</v>
      </c>
      <c r="I699" s="36" t="s">
        <v>381</v>
      </c>
      <c r="J699" s="9" t="str">
        <f t="shared" ref="J699:N699" si="1067">+J698</f>
        <v>Ninguno</v>
      </c>
      <c r="K699" s="9" t="s">
        <v>1581</v>
      </c>
      <c r="L699" s="9" t="str">
        <f t="shared" si="1067"/>
        <v>Periodo 2014-2019</v>
      </c>
      <c r="M699" s="9" t="str">
        <f t="shared" si="1067"/>
        <v>Puntaje</v>
      </c>
      <c r="N699" s="9" t="str">
        <f t="shared" si="1067"/>
        <v>Agencia de Calidad de la Educación</v>
      </c>
      <c r="O699" s="20" t="str">
        <f>+"Mapa de distribución geográfica en la "&amp;Agencia[[#This Row],[territorio]]&amp;" del Indicador de Autoestima Académica y Motivación Escolar, "&amp;Agencia[[#This Row],[temporalidad]]</f>
        <v>Mapa de distribución geográfica en la Región de Los Ríos del Indicador de Autoestima Académica y Motivación Escolar, Periodo 2014-2019</v>
      </c>
      <c r="P699" s="20"/>
      <c r="Q699" s="11" t="str">
        <f t="shared" si="974"/>
        <v>Mapa de calor</v>
      </c>
      <c r="R699" s="20" t="str">
        <f>Agencia[[#This Row],[territorio]]&amp;" calidad educación puntaje autoestima motivación escolar desarrollo personal indicador académica"</f>
        <v>Región de Los Ríos calidad educación puntaje autoestima motivación escolar desarrollo personal indicador académica</v>
      </c>
      <c r="S699" s="22" t="s">
        <v>423</v>
      </c>
      <c r="T699" s="68" t="str">
        <f>"100-R-"&amp;Agencia[[#This Row],[Filtro URL]]</f>
        <v>100-R-14</v>
      </c>
      <c r="U699" s="50" t="str">
        <f t="shared" si="975"/>
        <v>#1774B9</v>
      </c>
      <c r="V699" s="118" t="str">
        <f>+Agencia[[#This Row],[idcoleccion]]&amp;"-"&amp;Agencia[[#This Row],[id]]</f>
        <v>990-0688</v>
      </c>
      <c r="W699" s="118">
        <f>+VLOOKUP(Agencia[[#This Row],[Filtro URL]],Estructura!$X$4:$Y$500,2,0)</f>
        <v>99200014</v>
      </c>
      <c r="X699" s="118" t="str">
        <f>+VLOOKUP(Agencia[[#This Row],[tema]],Estructura!$A$4:$C$500,3,0)</f>
        <v>T-991</v>
      </c>
      <c r="Y699" s="118" t="str">
        <f>+VLOOKUP(Agencia[[#This Row],[contenido]],Estructura!$E$4:$G$500,3,0)</f>
        <v>C-1018</v>
      </c>
      <c r="Z699" s="118" t="str">
        <f>+VLOOKUP(Agencia[[#This Row],[Filtro Integrado]],Estructura!$I$4:$K$500,3,0)</f>
        <v>FI-993</v>
      </c>
      <c r="AA699" s="118" t="str">
        <f>+VLOOKUP(Agencia[[#This Row],[Muestra]],Estructura!$M$4:$O$500,3,0)</f>
        <v>M-1083</v>
      </c>
    </row>
    <row r="700" spans="1:27" ht="36" x14ac:dyDescent="0.3">
      <c r="A700" s="21" t="s">
        <v>1292</v>
      </c>
      <c r="B700" s="24">
        <f t="shared" ref="B700:D700" si="1068">+B699</f>
        <v>990</v>
      </c>
      <c r="C700" s="25" t="str">
        <f t="shared" si="1068"/>
        <v>Agencia Información</v>
      </c>
      <c r="D700" s="25" t="str">
        <f t="shared" si="1068"/>
        <v>Educación</v>
      </c>
      <c r="E700" s="19">
        <v>15</v>
      </c>
      <c r="F700" s="18" t="s">
        <v>1538</v>
      </c>
      <c r="G700" s="18" t="s">
        <v>7427</v>
      </c>
      <c r="H700" s="35" t="s">
        <v>16</v>
      </c>
      <c r="I700" s="36" t="s">
        <v>382</v>
      </c>
      <c r="J700" s="9" t="str">
        <f t="shared" ref="J700:N700" si="1069">+J699</f>
        <v>Ninguno</v>
      </c>
      <c r="K700" s="9" t="s">
        <v>1581</v>
      </c>
      <c r="L700" s="9" t="str">
        <f t="shared" si="1069"/>
        <v>Periodo 2014-2019</v>
      </c>
      <c r="M700" s="9" t="str">
        <f t="shared" si="1069"/>
        <v>Puntaje</v>
      </c>
      <c r="N700" s="9" t="str">
        <f t="shared" si="1069"/>
        <v>Agencia de Calidad de la Educación</v>
      </c>
      <c r="O700" s="20" t="str">
        <f>+"Mapa de distribución geográfica en la "&amp;Agencia[[#This Row],[territorio]]&amp;" del Indicador de Autoestima Académica y Motivación Escolar, "&amp;Agencia[[#This Row],[temporalidad]]</f>
        <v>Mapa de distribución geográfica en la Región de Arica y Parinacota del Indicador de Autoestima Académica y Motivación Escolar, Periodo 2014-2019</v>
      </c>
      <c r="P700" s="20"/>
      <c r="Q700" s="11" t="str">
        <f t="shared" si="974"/>
        <v>Mapa de calor</v>
      </c>
      <c r="R700" s="20" t="str">
        <f>Agencia[[#This Row],[territorio]]&amp;" calidad educación puntaje autoestima motivación escolar desarrollo personal indicador académica"</f>
        <v>Región de Arica y Parinacota calidad educación puntaje autoestima motivación escolar desarrollo personal indicador académica</v>
      </c>
      <c r="S700" s="22" t="s">
        <v>423</v>
      </c>
      <c r="T700" s="68" t="str">
        <f>"100-R-"&amp;Agencia[[#This Row],[Filtro URL]]</f>
        <v>100-R-15</v>
      </c>
      <c r="U700" s="50" t="str">
        <f t="shared" si="975"/>
        <v>#1774B9</v>
      </c>
      <c r="V700" s="118" t="str">
        <f>+Agencia[[#This Row],[idcoleccion]]&amp;"-"&amp;Agencia[[#This Row],[id]]</f>
        <v>990-0689</v>
      </c>
      <c r="W700" s="118">
        <f>+VLOOKUP(Agencia[[#This Row],[Filtro URL]],Estructura!$X$4:$Y$500,2,0)</f>
        <v>99200015</v>
      </c>
      <c r="X700" s="118" t="str">
        <f>+VLOOKUP(Agencia[[#This Row],[tema]],Estructura!$A$4:$C$500,3,0)</f>
        <v>T-991</v>
      </c>
      <c r="Y700" s="118" t="str">
        <f>+VLOOKUP(Agencia[[#This Row],[contenido]],Estructura!$E$4:$G$500,3,0)</f>
        <v>C-1018</v>
      </c>
      <c r="Z700" s="118" t="str">
        <f>+VLOOKUP(Agencia[[#This Row],[Filtro Integrado]],Estructura!$I$4:$K$500,3,0)</f>
        <v>FI-993</v>
      </c>
      <c r="AA700" s="118" t="str">
        <f>+VLOOKUP(Agencia[[#This Row],[Muestra]],Estructura!$M$4:$O$500,3,0)</f>
        <v>M-1083</v>
      </c>
    </row>
    <row r="701" spans="1:27" ht="36" x14ac:dyDescent="0.3">
      <c r="A701" s="21" t="s">
        <v>1293</v>
      </c>
      <c r="B701" s="24">
        <f t="shared" ref="B701:D701" si="1070">+B700</f>
        <v>990</v>
      </c>
      <c r="C701" s="25" t="str">
        <f t="shared" si="1070"/>
        <v>Agencia Información</v>
      </c>
      <c r="D701" s="25" t="str">
        <f t="shared" si="1070"/>
        <v>Educación</v>
      </c>
      <c r="E701" s="19">
        <v>16</v>
      </c>
      <c r="F701" s="18" t="s">
        <v>1538</v>
      </c>
      <c r="G701" s="18" t="s">
        <v>7427</v>
      </c>
      <c r="H701" s="35" t="s">
        <v>16</v>
      </c>
      <c r="I701" s="36" t="s">
        <v>383</v>
      </c>
      <c r="J701" s="9" t="str">
        <f t="shared" ref="J701:N701" si="1071">+J700</f>
        <v>Ninguno</v>
      </c>
      <c r="K701" s="9" t="s">
        <v>1581</v>
      </c>
      <c r="L701" s="9" t="str">
        <f t="shared" si="1071"/>
        <v>Periodo 2014-2019</v>
      </c>
      <c r="M701" s="9" t="str">
        <f t="shared" si="1071"/>
        <v>Puntaje</v>
      </c>
      <c r="N701" s="9" t="str">
        <f t="shared" si="1071"/>
        <v>Agencia de Calidad de la Educación</v>
      </c>
      <c r="O701" s="20" t="str">
        <f>+"Mapa de distribución geográfica en la "&amp;Agencia[[#This Row],[territorio]]&amp;" del Indicador de Autoestima Académica y Motivación Escolar, "&amp;Agencia[[#This Row],[temporalidad]]</f>
        <v>Mapa de distribución geográfica en la Región de Ñuble del Indicador de Autoestima Académica y Motivación Escolar, Periodo 2014-2019</v>
      </c>
      <c r="P701" s="20"/>
      <c r="Q701" s="11" t="str">
        <f t="shared" si="974"/>
        <v>Mapa de calor</v>
      </c>
      <c r="R701" s="20" t="str">
        <f>Agencia[[#This Row],[territorio]]&amp;" calidad educación puntaje autoestima motivación escolar desarrollo personal indicador académica"</f>
        <v>Región de Ñuble calidad educación puntaje autoestima motivación escolar desarrollo personal indicador académica</v>
      </c>
      <c r="S701" s="22" t="s">
        <v>423</v>
      </c>
      <c r="T701" s="68" t="str">
        <f>"100-R-"&amp;Agencia[[#This Row],[Filtro URL]]</f>
        <v>100-R-16</v>
      </c>
      <c r="U701" s="50" t="str">
        <f t="shared" si="975"/>
        <v>#1774B9</v>
      </c>
      <c r="V701" s="118" t="str">
        <f>+Agencia[[#This Row],[idcoleccion]]&amp;"-"&amp;Agencia[[#This Row],[id]]</f>
        <v>990-0690</v>
      </c>
      <c r="W701" s="118">
        <f>+VLOOKUP(Agencia[[#This Row],[Filtro URL]],Estructura!$X$4:$Y$500,2,0)</f>
        <v>99200016</v>
      </c>
      <c r="X701" s="118" t="str">
        <f>+VLOOKUP(Agencia[[#This Row],[tema]],Estructura!$A$4:$C$500,3,0)</f>
        <v>T-991</v>
      </c>
      <c r="Y701" s="118" t="str">
        <f>+VLOOKUP(Agencia[[#This Row],[contenido]],Estructura!$E$4:$G$500,3,0)</f>
        <v>C-1018</v>
      </c>
      <c r="Z701" s="118" t="str">
        <f>+VLOOKUP(Agencia[[#This Row],[Filtro Integrado]],Estructura!$I$4:$K$500,3,0)</f>
        <v>FI-993</v>
      </c>
      <c r="AA701" s="118" t="str">
        <f>+VLOOKUP(Agencia[[#This Row],[Muestra]],Estructura!$M$4:$O$500,3,0)</f>
        <v>M-1083</v>
      </c>
    </row>
    <row r="702" spans="1:27" ht="112.2" x14ac:dyDescent="0.3">
      <c r="A702" s="21" t="s">
        <v>1294</v>
      </c>
      <c r="B702" s="24">
        <f t="shared" ref="B702:C702" si="1072">+B701</f>
        <v>990</v>
      </c>
      <c r="C702" s="25" t="str">
        <f t="shared" si="1072"/>
        <v>Agencia Información</v>
      </c>
      <c r="D702" s="25" t="s">
        <v>14</v>
      </c>
      <c r="E702" s="14">
        <v>0</v>
      </c>
      <c r="F702" s="18" t="s">
        <v>1538</v>
      </c>
      <c r="G702" s="18" t="s">
        <v>7427</v>
      </c>
      <c r="H702" s="33" t="s">
        <v>20</v>
      </c>
      <c r="I702" s="34" t="s">
        <v>15</v>
      </c>
      <c r="J702" s="9" t="s">
        <v>16</v>
      </c>
      <c r="K702" s="9" t="s">
        <v>1583</v>
      </c>
      <c r="L702" s="9" t="s">
        <v>894</v>
      </c>
      <c r="M702" s="9" t="s">
        <v>1529</v>
      </c>
      <c r="N702" s="9" t="s">
        <v>1526</v>
      </c>
      <c r="O702" s="20" t="str">
        <f>+"Evolución del Indicador de Clima de Convivencia Escolar por Dependencia de Establecimientos en "&amp;I702&amp;", "&amp;Agencia[[#This Row],[temporalidad]]</f>
        <v>Evolución del Indicador de Clima de Convivencia Escolar por Dependencia de Establecimientos en Chile, Periodo 2014-2019</v>
      </c>
      <c r="P702" s="20" t="s">
        <v>1584</v>
      </c>
      <c r="Q702" s="11" t="s">
        <v>821</v>
      </c>
      <c r="R702" s="20" t="str">
        <f>Agencia[[#This Row],[territorio]]&amp;" calidad educación puntaje municipal subvencionado corporación particular convivencia escolar indicador"</f>
        <v>Chile calidad educación puntaje municipal subvencionado corporación particular convivencia escolar indicador</v>
      </c>
      <c r="S702" s="39" t="s">
        <v>1579</v>
      </c>
      <c r="T702" s="68" t="s">
        <v>855</v>
      </c>
      <c r="U702" s="50" t="str">
        <f t="shared" si="975"/>
        <v>#1774B9</v>
      </c>
      <c r="V702" s="118" t="str">
        <f>+Agencia[[#This Row],[idcoleccion]]&amp;"-"&amp;Agencia[[#This Row],[id]]</f>
        <v>990-0691</v>
      </c>
      <c r="W702" s="118">
        <f>+VLOOKUP(Agencia[[#This Row],[Filtro URL]],Estructura!$X$4:$Y$500,2,0)</f>
        <v>99100000</v>
      </c>
      <c r="X702" s="118" t="str">
        <f>+VLOOKUP(Agencia[[#This Row],[tema]],Estructura!$A$4:$C$500,3,0)</f>
        <v>T-991</v>
      </c>
      <c r="Y702" s="118" t="str">
        <f>+VLOOKUP(Agencia[[#This Row],[contenido]],Estructura!$E$4:$G$500,3,0)</f>
        <v>C-1018</v>
      </c>
      <c r="Z702" s="118" t="str">
        <f>+VLOOKUP(Agencia[[#This Row],[Filtro Integrado]],Estructura!$I$4:$K$500,3,0)</f>
        <v>FI-992</v>
      </c>
      <c r="AA702" s="118" t="str">
        <f>+VLOOKUP(Agencia[[#This Row],[Muestra]],Estructura!$M$4:$O$500,3,0)</f>
        <v>M-1084</v>
      </c>
    </row>
    <row r="703" spans="1:27" ht="30.6" x14ac:dyDescent="0.3">
      <c r="A703" s="21" t="s">
        <v>1295</v>
      </c>
      <c r="B703" s="24">
        <f t="shared" ref="B703:D703" si="1073">+B702</f>
        <v>990</v>
      </c>
      <c r="C703" s="25" t="str">
        <f t="shared" si="1073"/>
        <v>Agencia Información</v>
      </c>
      <c r="D703" s="25" t="str">
        <f t="shared" si="1073"/>
        <v>Educación</v>
      </c>
      <c r="E703" s="19">
        <v>1</v>
      </c>
      <c r="F703" s="18" t="s">
        <v>1538</v>
      </c>
      <c r="G703" s="18" t="s">
        <v>7427</v>
      </c>
      <c r="H703" s="35" t="s">
        <v>16</v>
      </c>
      <c r="I703" s="36" t="s">
        <v>368</v>
      </c>
      <c r="J703" s="9" t="s">
        <v>404</v>
      </c>
      <c r="K703" s="9" t="s">
        <v>1583</v>
      </c>
      <c r="L703" s="9" t="str">
        <f t="shared" ref="L703:N703" si="1074">+L702</f>
        <v>Periodo 2014-2019</v>
      </c>
      <c r="M703" s="9" t="str">
        <f t="shared" si="1074"/>
        <v>Puntaje</v>
      </c>
      <c r="N703" s="9" t="str">
        <f t="shared" si="1074"/>
        <v>Agencia de Calidad de la Educación</v>
      </c>
      <c r="O703" s="20" t="str">
        <f>+"Evolución del Indicador de Clima de Convivencia Escolar por Dependencia de Establecimientos en la "&amp;I703&amp;", "&amp;Agencia[[#This Row],[temporalidad]]</f>
        <v>Evolución del Indicador de Clima de Convivencia Escolar por Dependencia de Establecimientos en la Región de Tarapacá, Periodo 2014-2019</v>
      </c>
      <c r="P703" s="20"/>
      <c r="Q703" s="11" t="str">
        <f t="shared" si="974"/>
        <v>Gráfico de Evolución</v>
      </c>
      <c r="R703" s="20" t="str">
        <f>Agencia[[#This Row],[territorio]]&amp;" calidad educación puntaje municipal subvencionado corporación particular convivencia escolar indicador"</f>
        <v>Región de Tarapacá calidad educación puntaje municipal subvencionado corporación particular convivencia escolar indicador</v>
      </c>
      <c r="S703" s="22" t="s">
        <v>423</v>
      </c>
      <c r="T703" s="68" t="str">
        <f>"100-R-"&amp;Agencia[[#This Row],[Filtro URL]]</f>
        <v>100-R-1</v>
      </c>
      <c r="U703" s="50" t="str">
        <f t="shared" si="975"/>
        <v>#1774B9</v>
      </c>
      <c r="V703" s="118" t="str">
        <f>+Agencia[[#This Row],[idcoleccion]]&amp;"-"&amp;Agencia[[#This Row],[id]]</f>
        <v>990-0692</v>
      </c>
      <c r="W703" s="118">
        <f>+VLOOKUP(Agencia[[#This Row],[Filtro URL]],Estructura!$X$4:$Y$500,2,0)</f>
        <v>99200001</v>
      </c>
      <c r="X703" s="118" t="str">
        <f>+VLOOKUP(Agencia[[#This Row],[tema]],Estructura!$A$4:$C$500,3,0)</f>
        <v>T-991</v>
      </c>
      <c r="Y703" s="118" t="str">
        <f>+VLOOKUP(Agencia[[#This Row],[contenido]],Estructura!$E$4:$G$500,3,0)</f>
        <v>C-1018</v>
      </c>
      <c r="Z703" s="118" t="str">
        <f>+VLOOKUP(Agencia[[#This Row],[Filtro Integrado]],Estructura!$I$4:$K$500,3,0)</f>
        <v>FI-993</v>
      </c>
      <c r="AA703" s="118" t="str">
        <f>+VLOOKUP(Agencia[[#This Row],[Muestra]],Estructura!$M$4:$O$500,3,0)</f>
        <v>M-1084</v>
      </c>
    </row>
    <row r="704" spans="1:27" ht="30.6" x14ac:dyDescent="0.3">
      <c r="A704" s="21" t="s">
        <v>1296</v>
      </c>
      <c r="B704" s="24">
        <f t="shared" ref="B704:D704" si="1075">+B703</f>
        <v>990</v>
      </c>
      <c r="C704" s="25" t="str">
        <f t="shared" si="1075"/>
        <v>Agencia Información</v>
      </c>
      <c r="D704" s="25" t="str">
        <f t="shared" si="1075"/>
        <v>Educación</v>
      </c>
      <c r="E704" s="19">
        <v>2</v>
      </c>
      <c r="F704" s="18" t="s">
        <v>1538</v>
      </c>
      <c r="G704" s="18" t="s">
        <v>7427</v>
      </c>
      <c r="H704" s="35" t="s">
        <v>16</v>
      </c>
      <c r="I704" s="36" t="s">
        <v>369</v>
      </c>
      <c r="J704" s="9" t="str">
        <f t="shared" ref="J704:N704" si="1076">+J703</f>
        <v>Ninguno</v>
      </c>
      <c r="K704" s="9" t="s">
        <v>1583</v>
      </c>
      <c r="L704" s="9" t="str">
        <f t="shared" si="1076"/>
        <v>Periodo 2014-2019</v>
      </c>
      <c r="M704" s="9" t="str">
        <f t="shared" si="1076"/>
        <v>Puntaje</v>
      </c>
      <c r="N704" s="9" t="str">
        <f t="shared" si="1076"/>
        <v>Agencia de Calidad de la Educación</v>
      </c>
      <c r="O704" s="20" t="str">
        <f>+"Evolución del Indicador de Clima de Convivencia Escolar por Dependencia de Establecimientos en la "&amp;I704&amp;", "&amp;Agencia[[#This Row],[temporalidad]]</f>
        <v>Evolución del Indicador de Clima de Convivencia Escolar por Dependencia de Establecimientos en la Región de Antofagasta, Periodo 2014-2019</v>
      </c>
      <c r="P704" s="20"/>
      <c r="Q704" s="11" t="str">
        <f t="shared" si="974"/>
        <v>Gráfico de Evolución</v>
      </c>
      <c r="R704" s="20" t="str">
        <f>Agencia[[#This Row],[territorio]]&amp;" calidad educación puntaje municipal subvencionado corporación particular convivencia escolar indicador"</f>
        <v>Región de Antofagasta calidad educación puntaje municipal subvencionado corporación particular convivencia escolar indicador</v>
      </c>
      <c r="S704" s="22" t="s">
        <v>423</v>
      </c>
      <c r="T704" s="68" t="str">
        <f>"100-R-"&amp;Agencia[[#This Row],[Filtro URL]]</f>
        <v>100-R-2</v>
      </c>
      <c r="U704" s="50" t="str">
        <f t="shared" si="975"/>
        <v>#1774B9</v>
      </c>
      <c r="V704" s="118" t="str">
        <f>+Agencia[[#This Row],[idcoleccion]]&amp;"-"&amp;Agencia[[#This Row],[id]]</f>
        <v>990-0693</v>
      </c>
      <c r="W704" s="118">
        <f>+VLOOKUP(Agencia[[#This Row],[Filtro URL]],Estructura!$X$4:$Y$500,2,0)</f>
        <v>99200002</v>
      </c>
      <c r="X704" s="118" t="str">
        <f>+VLOOKUP(Agencia[[#This Row],[tema]],Estructura!$A$4:$C$500,3,0)</f>
        <v>T-991</v>
      </c>
      <c r="Y704" s="118" t="str">
        <f>+VLOOKUP(Agencia[[#This Row],[contenido]],Estructura!$E$4:$G$500,3,0)</f>
        <v>C-1018</v>
      </c>
      <c r="Z704" s="118" t="str">
        <f>+VLOOKUP(Agencia[[#This Row],[Filtro Integrado]],Estructura!$I$4:$K$500,3,0)</f>
        <v>FI-993</v>
      </c>
      <c r="AA704" s="118" t="str">
        <f>+VLOOKUP(Agencia[[#This Row],[Muestra]],Estructura!$M$4:$O$500,3,0)</f>
        <v>M-1084</v>
      </c>
    </row>
    <row r="705" spans="1:27" ht="30.6" x14ac:dyDescent="0.3">
      <c r="A705" s="21" t="s">
        <v>1297</v>
      </c>
      <c r="B705" s="24">
        <f t="shared" ref="B705:D705" si="1077">+B704</f>
        <v>990</v>
      </c>
      <c r="C705" s="25" t="str">
        <f t="shared" si="1077"/>
        <v>Agencia Información</v>
      </c>
      <c r="D705" s="25" t="str">
        <f t="shared" si="1077"/>
        <v>Educación</v>
      </c>
      <c r="E705" s="19">
        <v>3</v>
      </c>
      <c r="F705" s="18" t="s">
        <v>1538</v>
      </c>
      <c r="G705" s="18" t="s">
        <v>7427</v>
      </c>
      <c r="H705" s="35" t="s">
        <v>16</v>
      </c>
      <c r="I705" s="36" t="s">
        <v>370</v>
      </c>
      <c r="J705" s="9" t="str">
        <f t="shared" ref="J705:N705" si="1078">+J704</f>
        <v>Ninguno</v>
      </c>
      <c r="K705" s="9" t="s">
        <v>1583</v>
      </c>
      <c r="L705" s="9" t="str">
        <f t="shared" si="1078"/>
        <v>Periodo 2014-2019</v>
      </c>
      <c r="M705" s="9" t="str">
        <f t="shared" si="1078"/>
        <v>Puntaje</v>
      </c>
      <c r="N705" s="9" t="str">
        <f t="shared" si="1078"/>
        <v>Agencia de Calidad de la Educación</v>
      </c>
      <c r="O705" s="20" t="str">
        <f>+"Evolución del Indicador de Clima de Convivencia Escolar por Dependencia de Establecimientos en la "&amp;I705&amp;", "&amp;Agencia[[#This Row],[temporalidad]]</f>
        <v>Evolución del Indicador de Clima de Convivencia Escolar por Dependencia de Establecimientos en la Región de Atacama, Periodo 2014-2019</v>
      </c>
      <c r="P705" s="20"/>
      <c r="Q705" s="11" t="str">
        <f t="shared" si="974"/>
        <v>Gráfico de Evolución</v>
      </c>
      <c r="R705" s="20" t="str">
        <f>Agencia[[#This Row],[territorio]]&amp;" calidad educación puntaje municipal subvencionado corporación particular convivencia escolar indicador"</f>
        <v>Región de Atacama calidad educación puntaje municipal subvencionado corporación particular convivencia escolar indicador</v>
      </c>
      <c r="S705" s="22" t="s">
        <v>423</v>
      </c>
      <c r="T705" s="68" t="str">
        <f>"100-R-"&amp;Agencia[[#This Row],[Filtro URL]]</f>
        <v>100-R-3</v>
      </c>
      <c r="U705" s="50" t="str">
        <f t="shared" si="975"/>
        <v>#1774B9</v>
      </c>
      <c r="V705" s="118" t="str">
        <f>+Agencia[[#This Row],[idcoleccion]]&amp;"-"&amp;Agencia[[#This Row],[id]]</f>
        <v>990-0694</v>
      </c>
      <c r="W705" s="118">
        <f>+VLOOKUP(Agencia[[#This Row],[Filtro URL]],Estructura!$X$4:$Y$500,2,0)</f>
        <v>99200003</v>
      </c>
      <c r="X705" s="118" t="str">
        <f>+VLOOKUP(Agencia[[#This Row],[tema]],Estructura!$A$4:$C$500,3,0)</f>
        <v>T-991</v>
      </c>
      <c r="Y705" s="118" t="str">
        <f>+VLOOKUP(Agencia[[#This Row],[contenido]],Estructura!$E$4:$G$500,3,0)</f>
        <v>C-1018</v>
      </c>
      <c r="Z705" s="118" t="str">
        <f>+VLOOKUP(Agencia[[#This Row],[Filtro Integrado]],Estructura!$I$4:$K$500,3,0)</f>
        <v>FI-993</v>
      </c>
      <c r="AA705" s="118" t="str">
        <f>+VLOOKUP(Agencia[[#This Row],[Muestra]],Estructura!$M$4:$O$500,3,0)</f>
        <v>M-1084</v>
      </c>
    </row>
    <row r="706" spans="1:27" ht="30.6" x14ac:dyDescent="0.3">
      <c r="A706" s="21" t="s">
        <v>1298</v>
      </c>
      <c r="B706" s="24">
        <f t="shared" ref="B706:D706" si="1079">+B705</f>
        <v>990</v>
      </c>
      <c r="C706" s="25" t="str">
        <f t="shared" si="1079"/>
        <v>Agencia Información</v>
      </c>
      <c r="D706" s="25" t="str">
        <f t="shared" si="1079"/>
        <v>Educación</v>
      </c>
      <c r="E706" s="19">
        <v>4</v>
      </c>
      <c r="F706" s="18" t="s">
        <v>1538</v>
      </c>
      <c r="G706" s="18" t="s">
        <v>7427</v>
      </c>
      <c r="H706" s="35" t="s">
        <v>16</v>
      </c>
      <c r="I706" s="36" t="s">
        <v>371</v>
      </c>
      <c r="J706" s="9" t="str">
        <f t="shared" ref="J706:N706" si="1080">+J705</f>
        <v>Ninguno</v>
      </c>
      <c r="K706" s="9" t="s">
        <v>1583</v>
      </c>
      <c r="L706" s="9" t="str">
        <f t="shared" si="1080"/>
        <v>Periodo 2014-2019</v>
      </c>
      <c r="M706" s="9" t="str">
        <f t="shared" si="1080"/>
        <v>Puntaje</v>
      </c>
      <c r="N706" s="9" t="str">
        <f t="shared" si="1080"/>
        <v>Agencia de Calidad de la Educación</v>
      </c>
      <c r="O706" s="20" t="str">
        <f>+"Evolución del Indicador de Clima de Convivencia Escolar por Dependencia de Establecimientos en la "&amp;I706&amp;", "&amp;Agencia[[#This Row],[temporalidad]]</f>
        <v>Evolución del Indicador de Clima de Convivencia Escolar por Dependencia de Establecimientos en la Región de Coquimbo, Periodo 2014-2019</v>
      </c>
      <c r="P706" s="20"/>
      <c r="Q706" s="11" t="str">
        <f t="shared" si="974"/>
        <v>Gráfico de Evolución</v>
      </c>
      <c r="R706" s="20" t="str">
        <f>Agencia[[#This Row],[territorio]]&amp;" calidad educación puntaje municipal subvencionado corporación particular convivencia escolar indicador"</f>
        <v>Región de Coquimbo calidad educación puntaje municipal subvencionado corporación particular convivencia escolar indicador</v>
      </c>
      <c r="S706" s="22" t="s">
        <v>423</v>
      </c>
      <c r="T706" s="68" t="str">
        <f>"100-R-"&amp;Agencia[[#This Row],[Filtro URL]]</f>
        <v>100-R-4</v>
      </c>
      <c r="U706" s="50" t="str">
        <f t="shared" si="975"/>
        <v>#1774B9</v>
      </c>
      <c r="V706" s="118" t="str">
        <f>+Agencia[[#This Row],[idcoleccion]]&amp;"-"&amp;Agencia[[#This Row],[id]]</f>
        <v>990-0695</v>
      </c>
      <c r="W706" s="118">
        <f>+VLOOKUP(Agencia[[#This Row],[Filtro URL]],Estructura!$X$4:$Y$500,2,0)</f>
        <v>99200004</v>
      </c>
      <c r="X706" s="118" t="str">
        <f>+VLOOKUP(Agencia[[#This Row],[tema]],Estructura!$A$4:$C$500,3,0)</f>
        <v>T-991</v>
      </c>
      <c r="Y706" s="118" t="str">
        <f>+VLOOKUP(Agencia[[#This Row],[contenido]],Estructura!$E$4:$G$500,3,0)</f>
        <v>C-1018</v>
      </c>
      <c r="Z706" s="118" t="str">
        <f>+VLOOKUP(Agencia[[#This Row],[Filtro Integrado]],Estructura!$I$4:$K$500,3,0)</f>
        <v>FI-993</v>
      </c>
      <c r="AA706" s="118" t="str">
        <f>+VLOOKUP(Agencia[[#This Row],[Muestra]],Estructura!$M$4:$O$500,3,0)</f>
        <v>M-1084</v>
      </c>
    </row>
    <row r="707" spans="1:27" ht="30.6" x14ac:dyDescent="0.3">
      <c r="A707" s="21" t="s">
        <v>1299</v>
      </c>
      <c r="B707" s="24">
        <f t="shared" ref="B707:D707" si="1081">+B706</f>
        <v>990</v>
      </c>
      <c r="C707" s="25" t="str">
        <f t="shared" si="1081"/>
        <v>Agencia Información</v>
      </c>
      <c r="D707" s="25" t="str">
        <f t="shared" si="1081"/>
        <v>Educación</v>
      </c>
      <c r="E707" s="19">
        <v>5</v>
      </c>
      <c r="F707" s="18" t="s">
        <v>1538</v>
      </c>
      <c r="G707" s="18" t="s">
        <v>7427</v>
      </c>
      <c r="H707" s="35" t="s">
        <v>16</v>
      </c>
      <c r="I707" s="36" t="s">
        <v>372</v>
      </c>
      <c r="J707" s="9" t="str">
        <f t="shared" ref="J707:N707" si="1082">+J706</f>
        <v>Ninguno</v>
      </c>
      <c r="K707" s="9" t="s">
        <v>1583</v>
      </c>
      <c r="L707" s="9" t="str">
        <f t="shared" si="1082"/>
        <v>Periodo 2014-2019</v>
      </c>
      <c r="M707" s="9" t="str">
        <f t="shared" si="1082"/>
        <v>Puntaje</v>
      </c>
      <c r="N707" s="9" t="str">
        <f t="shared" si="1082"/>
        <v>Agencia de Calidad de la Educación</v>
      </c>
      <c r="O707" s="20" t="str">
        <f>+"Evolución del Indicador de Clima de Convivencia Escolar por Dependencia de Establecimientos en la "&amp;I707&amp;", "&amp;Agencia[[#This Row],[temporalidad]]</f>
        <v>Evolución del Indicador de Clima de Convivencia Escolar por Dependencia de Establecimientos en la Región de Valparaíso, Periodo 2014-2019</v>
      </c>
      <c r="P707" s="20"/>
      <c r="Q707" s="11" t="str">
        <f t="shared" si="974"/>
        <v>Gráfico de Evolución</v>
      </c>
      <c r="R707" s="20" t="str">
        <f>Agencia[[#This Row],[territorio]]&amp;" calidad educación puntaje municipal subvencionado corporación particular convivencia escolar indicador"</f>
        <v>Región de Valparaíso calidad educación puntaje municipal subvencionado corporación particular convivencia escolar indicador</v>
      </c>
      <c r="S707" s="22" t="s">
        <v>423</v>
      </c>
      <c r="T707" s="68" t="str">
        <f>"100-R-"&amp;Agencia[[#This Row],[Filtro URL]]</f>
        <v>100-R-5</v>
      </c>
      <c r="U707" s="50" t="str">
        <f t="shared" si="975"/>
        <v>#1774B9</v>
      </c>
      <c r="V707" s="118" t="str">
        <f>+Agencia[[#This Row],[idcoleccion]]&amp;"-"&amp;Agencia[[#This Row],[id]]</f>
        <v>990-0696</v>
      </c>
      <c r="W707" s="118">
        <f>+VLOOKUP(Agencia[[#This Row],[Filtro URL]],Estructura!$X$4:$Y$500,2,0)</f>
        <v>99200005</v>
      </c>
      <c r="X707" s="118" t="str">
        <f>+VLOOKUP(Agencia[[#This Row],[tema]],Estructura!$A$4:$C$500,3,0)</f>
        <v>T-991</v>
      </c>
      <c r="Y707" s="118" t="str">
        <f>+VLOOKUP(Agencia[[#This Row],[contenido]],Estructura!$E$4:$G$500,3,0)</f>
        <v>C-1018</v>
      </c>
      <c r="Z707" s="118" t="str">
        <f>+VLOOKUP(Agencia[[#This Row],[Filtro Integrado]],Estructura!$I$4:$K$500,3,0)</f>
        <v>FI-993</v>
      </c>
      <c r="AA707" s="118" t="str">
        <f>+VLOOKUP(Agencia[[#This Row],[Muestra]],Estructura!$M$4:$O$500,3,0)</f>
        <v>M-1084</v>
      </c>
    </row>
    <row r="708" spans="1:27" ht="30.6" x14ac:dyDescent="0.3">
      <c r="A708" s="21" t="s">
        <v>1300</v>
      </c>
      <c r="B708" s="24">
        <f t="shared" ref="B708:D708" si="1083">+B707</f>
        <v>990</v>
      </c>
      <c r="C708" s="25" t="str">
        <f t="shared" si="1083"/>
        <v>Agencia Información</v>
      </c>
      <c r="D708" s="25" t="str">
        <f t="shared" si="1083"/>
        <v>Educación</v>
      </c>
      <c r="E708" s="19">
        <v>6</v>
      </c>
      <c r="F708" s="18" t="s">
        <v>1538</v>
      </c>
      <c r="G708" s="18" t="s">
        <v>7427</v>
      </c>
      <c r="H708" s="35" t="s">
        <v>16</v>
      </c>
      <c r="I708" s="36" t="s">
        <v>373</v>
      </c>
      <c r="J708" s="9" t="str">
        <f t="shared" ref="J708:N708" si="1084">+J707</f>
        <v>Ninguno</v>
      </c>
      <c r="K708" s="9" t="s">
        <v>1583</v>
      </c>
      <c r="L708" s="9" t="str">
        <f t="shared" si="1084"/>
        <v>Periodo 2014-2019</v>
      </c>
      <c r="M708" s="9" t="str">
        <f t="shared" si="1084"/>
        <v>Puntaje</v>
      </c>
      <c r="N708" s="9" t="str">
        <f t="shared" si="1084"/>
        <v>Agencia de Calidad de la Educación</v>
      </c>
      <c r="O708" s="20" t="str">
        <f>+"Evolución del Indicador de Clima de Convivencia Escolar por Dependencia de Establecimientos en la "&amp;I708&amp;", "&amp;Agencia[[#This Row],[temporalidad]]</f>
        <v>Evolución del Indicador de Clima de Convivencia Escolar por Dependencia de Establecimientos en la Región de O'Higgins, Periodo 2014-2019</v>
      </c>
      <c r="P708" s="20"/>
      <c r="Q708" s="11" t="str">
        <f t="shared" si="974"/>
        <v>Gráfico de Evolución</v>
      </c>
      <c r="R708" s="20" t="str">
        <f>Agencia[[#This Row],[territorio]]&amp;" calidad educación puntaje municipal subvencionado corporación particular convivencia escolar indicador"</f>
        <v>Región de O'Higgins calidad educación puntaje municipal subvencionado corporación particular convivencia escolar indicador</v>
      </c>
      <c r="S708" s="22" t="s">
        <v>423</v>
      </c>
      <c r="T708" s="68" t="str">
        <f>"100-R-"&amp;Agencia[[#This Row],[Filtro URL]]</f>
        <v>100-R-6</v>
      </c>
      <c r="U708" s="50" t="str">
        <f t="shared" si="975"/>
        <v>#1774B9</v>
      </c>
      <c r="V708" s="118" t="str">
        <f>+Agencia[[#This Row],[idcoleccion]]&amp;"-"&amp;Agencia[[#This Row],[id]]</f>
        <v>990-0697</v>
      </c>
      <c r="W708" s="118">
        <f>+VLOOKUP(Agencia[[#This Row],[Filtro URL]],Estructura!$X$4:$Y$500,2,0)</f>
        <v>99200006</v>
      </c>
      <c r="X708" s="118" t="str">
        <f>+VLOOKUP(Agencia[[#This Row],[tema]],Estructura!$A$4:$C$500,3,0)</f>
        <v>T-991</v>
      </c>
      <c r="Y708" s="118" t="str">
        <f>+VLOOKUP(Agencia[[#This Row],[contenido]],Estructura!$E$4:$G$500,3,0)</f>
        <v>C-1018</v>
      </c>
      <c r="Z708" s="118" t="str">
        <f>+VLOOKUP(Agencia[[#This Row],[Filtro Integrado]],Estructura!$I$4:$K$500,3,0)</f>
        <v>FI-993</v>
      </c>
      <c r="AA708" s="118" t="str">
        <f>+VLOOKUP(Agencia[[#This Row],[Muestra]],Estructura!$M$4:$O$500,3,0)</f>
        <v>M-1084</v>
      </c>
    </row>
    <row r="709" spans="1:27" ht="30.6" x14ac:dyDescent="0.3">
      <c r="A709" s="21" t="s">
        <v>1301</v>
      </c>
      <c r="B709" s="24">
        <f t="shared" ref="B709:D709" si="1085">+B708</f>
        <v>990</v>
      </c>
      <c r="C709" s="25" t="str">
        <f t="shared" si="1085"/>
        <v>Agencia Información</v>
      </c>
      <c r="D709" s="25" t="str">
        <f t="shared" si="1085"/>
        <v>Educación</v>
      </c>
      <c r="E709" s="19">
        <v>7</v>
      </c>
      <c r="F709" s="18" t="s">
        <v>1538</v>
      </c>
      <c r="G709" s="18" t="s">
        <v>7427</v>
      </c>
      <c r="H709" s="35" t="s">
        <v>16</v>
      </c>
      <c r="I709" s="36" t="s">
        <v>374</v>
      </c>
      <c r="J709" s="9" t="str">
        <f t="shared" ref="J709:N709" si="1086">+J708</f>
        <v>Ninguno</v>
      </c>
      <c r="K709" s="9" t="s">
        <v>1583</v>
      </c>
      <c r="L709" s="9" t="str">
        <f t="shared" si="1086"/>
        <v>Periodo 2014-2019</v>
      </c>
      <c r="M709" s="9" t="str">
        <f t="shared" si="1086"/>
        <v>Puntaje</v>
      </c>
      <c r="N709" s="9" t="str">
        <f t="shared" si="1086"/>
        <v>Agencia de Calidad de la Educación</v>
      </c>
      <c r="O709" s="20" t="str">
        <f>+"Evolución del Indicador de Clima de Convivencia Escolar por Dependencia de Establecimientos en la "&amp;I709&amp;", "&amp;Agencia[[#This Row],[temporalidad]]</f>
        <v>Evolución del Indicador de Clima de Convivencia Escolar por Dependencia de Establecimientos en la Región de Maule, Periodo 2014-2019</v>
      </c>
      <c r="P709" s="20"/>
      <c r="Q709" s="11" t="str">
        <f t="shared" si="974"/>
        <v>Gráfico de Evolución</v>
      </c>
      <c r="R709" s="20" t="str">
        <f>Agencia[[#This Row],[territorio]]&amp;" calidad educación puntaje municipal subvencionado corporación particular convivencia escolar indicador"</f>
        <v>Región de Maule calidad educación puntaje municipal subvencionado corporación particular convivencia escolar indicador</v>
      </c>
      <c r="S709" s="22" t="s">
        <v>423</v>
      </c>
      <c r="T709" s="68" t="str">
        <f>"100-R-"&amp;Agencia[[#This Row],[Filtro URL]]</f>
        <v>100-R-7</v>
      </c>
      <c r="U709" s="50" t="str">
        <f t="shared" si="975"/>
        <v>#1774B9</v>
      </c>
      <c r="V709" s="118" t="str">
        <f>+Agencia[[#This Row],[idcoleccion]]&amp;"-"&amp;Agencia[[#This Row],[id]]</f>
        <v>990-0698</v>
      </c>
      <c r="W709" s="118">
        <f>+VLOOKUP(Agencia[[#This Row],[Filtro URL]],Estructura!$X$4:$Y$500,2,0)</f>
        <v>99200007</v>
      </c>
      <c r="X709" s="118" t="str">
        <f>+VLOOKUP(Agencia[[#This Row],[tema]],Estructura!$A$4:$C$500,3,0)</f>
        <v>T-991</v>
      </c>
      <c r="Y709" s="118" t="str">
        <f>+VLOOKUP(Agencia[[#This Row],[contenido]],Estructura!$E$4:$G$500,3,0)</f>
        <v>C-1018</v>
      </c>
      <c r="Z709" s="118" t="str">
        <f>+VLOOKUP(Agencia[[#This Row],[Filtro Integrado]],Estructura!$I$4:$K$500,3,0)</f>
        <v>FI-993</v>
      </c>
      <c r="AA709" s="118" t="str">
        <f>+VLOOKUP(Agencia[[#This Row],[Muestra]],Estructura!$M$4:$O$500,3,0)</f>
        <v>M-1084</v>
      </c>
    </row>
    <row r="710" spans="1:27" ht="30.6" x14ac:dyDescent="0.3">
      <c r="A710" s="21" t="s">
        <v>1302</v>
      </c>
      <c r="B710" s="24">
        <f t="shared" ref="B710:D710" si="1087">+B709</f>
        <v>990</v>
      </c>
      <c r="C710" s="25" t="str">
        <f t="shared" si="1087"/>
        <v>Agencia Información</v>
      </c>
      <c r="D710" s="25" t="str">
        <f t="shared" si="1087"/>
        <v>Educación</v>
      </c>
      <c r="E710" s="19">
        <v>8</v>
      </c>
      <c r="F710" s="18" t="s">
        <v>1538</v>
      </c>
      <c r="G710" s="18" t="s">
        <v>7427</v>
      </c>
      <c r="H710" s="35" t="s">
        <v>16</v>
      </c>
      <c r="I710" s="36" t="s">
        <v>375</v>
      </c>
      <c r="J710" s="9" t="str">
        <f t="shared" ref="J710:N710" si="1088">+J709</f>
        <v>Ninguno</v>
      </c>
      <c r="K710" s="9" t="s">
        <v>1583</v>
      </c>
      <c r="L710" s="9" t="str">
        <f t="shared" si="1088"/>
        <v>Periodo 2014-2019</v>
      </c>
      <c r="M710" s="9" t="str">
        <f t="shared" si="1088"/>
        <v>Puntaje</v>
      </c>
      <c r="N710" s="9" t="str">
        <f t="shared" si="1088"/>
        <v>Agencia de Calidad de la Educación</v>
      </c>
      <c r="O710" s="20" t="str">
        <f>+"Evolución del Indicador de Clima de Convivencia Escolar por Dependencia de Establecimientos en la "&amp;I710&amp;", "&amp;Agencia[[#This Row],[temporalidad]]</f>
        <v>Evolución del Indicador de Clima de Convivencia Escolar por Dependencia de Establecimientos en la Región del Biobío, Periodo 2014-2019</v>
      </c>
      <c r="P710" s="20"/>
      <c r="Q710" s="11" t="str">
        <f t="shared" si="974"/>
        <v>Gráfico de Evolución</v>
      </c>
      <c r="R710" s="20" t="str">
        <f>Agencia[[#This Row],[territorio]]&amp;" calidad educación puntaje municipal subvencionado corporación particular convivencia escolar indicador"</f>
        <v>Región del Biobío calidad educación puntaje municipal subvencionado corporación particular convivencia escolar indicador</v>
      </c>
      <c r="S710" s="22" t="s">
        <v>423</v>
      </c>
      <c r="T710" s="68" t="str">
        <f>"100-R-"&amp;Agencia[[#This Row],[Filtro URL]]</f>
        <v>100-R-8</v>
      </c>
      <c r="U710" s="50" t="str">
        <f t="shared" si="975"/>
        <v>#1774B9</v>
      </c>
      <c r="V710" s="118" t="str">
        <f>+Agencia[[#This Row],[idcoleccion]]&amp;"-"&amp;Agencia[[#This Row],[id]]</f>
        <v>990-0699</v>
      </c>
      <c r="W710" s="118">
        <f>+VLOOKUP(Agencia[[#This Row],[Filtro URL]],Estructura!$X$4:$Y$500,2,0)</f>
        <v>99200008</v>
      </c>
      <c r="X710" s="118" t="str">
        <f>+VLOOKUP(Agencia[[#This Row],[tema]],Estructura!$A$4:$C$500,3,0)</f>
        <v>T-991</v>
      </c>
      <c r="Y710" s="118" t="str">
        <f>+VLOOKUP(Agencia[[#This Row],[contenido]],Estructura!$E$4:$G$500,3,0)</f>
        <v>C-1018</v>
      </c>
      <c r="Z710" s="118" t="str">
        <f>+VLOOKUP(Agencia[[#This Row],[Filtro Integrado]],Estructura!$I$4:$K$500,3,0)</f>
        <v>FI-993</v>
      </c>
      <c r="AA710" s="118" t="str">
        <f>+VLOOKUP(Agencia[[#This Row],[Muestra]],Estructura!$M$4:$O$500,3,0)</f>
        <v>M-1084</v>
      </c>
    </row>
    <row r="711" spans="1:27" ht="30.6" x14ac:dyDescent="0.3">
      <c r="A711" s="21" t="s">
        <v>1303</v>
      </c>
      <c r="B711" s="24">
        <f t="shared" ref="B711:D711" si="1089">+B710</f>
        <v>990</v>
      </c>
      <c r="C711" s="25" t="str">
        <f t="shared" si="1089"/>
        <v>Agencia Información</v>
      </c>
      <c r="D711" s="25" t="str">
        <f t="shared" si="1089"/>
        <v>Educación</v>
      </c>
      <c r="E711" s="19">
        <v>9</v>
      </c>
      <c r="F711" s="18" t="s">
        <v>1538</v>
      </c>
      <c r="G711" s="18" t="s">
        <v>7427</v>
      </c>
      <c r="H711" s="35" t="s">
        <v>16</v>
      </c>
      <c r="I711" s="36" t="s">
        <v>376</v>
      </c>
      <c r="J711" s="9" t="str">
        <f t="shared" ref="J711:N711" si="1090">+J710</f>
        <v>Ninguno</v>
      </c>
      <c r="K711" s="9" t="s">
        <v>1583</v>
      </c>
      <c r="L711" s="9" t="str">
        <f t="shared" si="1090"/>
        <v>Periodo 2014-2019</v>
      </c>
      <c r="M711" s="9" t="str">
        <f t="shared" si="1090"/>
        <v>Puntaje</v>
      </c>
      <c r="N711" s="9" t="str">
        <f t="shared" si="1090"/>
        <v>Agencia de Calidad de la Educación</v>
      </c>
      <c r="O711" s="20" t="str">
        <f>+"Evolución del Indicador de Clima de Convivencia Escolar por Dependencia de Establecimientos en la "&amp;I711&amp;", "&amp;Agencia[[#This Row],[temporalidad]]</f>
        <v>Evolución del Indicador de Clima de Convivencia Escolar por Dependencia de Establecimientos en la Región de La Araucanía, Periodo 2014-2019</v>
      </c>
      <c r="P711" s="20"/>
      <c r="Q711" s="11" t="str">
        <f t="shared" si="974"/>
        <v>Gráfico de Evolución</v>
      </c>
      <c r="R711" s="20" t="str">
        <f>Agencia[[#This Row],[territorio]]&amp;" calidad educación puntaje municipal subvencionado corporación particular convivencia escolar indicador"</f>
        <v>Región de La Araucanía calidad educación puntaje municipal subvencionado corporación particular convivencia escolar indicador</v>
      </c>
      <c r="S711" s="22" t="s">
        <v>423</v>
      </c>
      <c r="T711" s="68" t="str">
        <f>"100-R-"&amp;Agencia[[#This Row],[Filtro URL]]</f>
        <v>100-R-9</v>
      </c>
      <c r="U711" s="50" t="str">
        <f t="shared" si="975"/>
        <v>#1774B9</v>
      </c>
      <c r="V711" s="118" t="str">
        <f>+Agencia[[#This Row],[idcoleccion]]&amp;"-"&amp;Agencia[[#This Row],[id]]</f>
        <v>990-0700</v>
      </c>
      <c r="W711" s="118">
        <f>+VLOOKUP(Agencia[[#This Row],[Filtro URL]],Estructura!$X$4:$Y$500,2,0)</f>
        <v>99200009</v>
      </c>
      <c r="X711" s="118" t="str">
        <f>+VLOOKUP(Agencia[[#This Row],[tema]],Estructura!$A$4:$C$500,3,0)</f>
        <v>T-991</v>
      </c>
      <c r="Y711" s="118" t="str">
        <f>+VLOOKUP(Agencia[[#This Row],[contenido]],Estructura!$E$4:$G$500,3,0)</f>
        <v>C-1018</v>
      </c>
      <c r="Z711" s="118" t="str">
        <f>+VLOOKUP(Agencia[[#This Row],[Filtro Integrado]],Estructura!$I$4:$K$500,3,0)</f>
        <v>FI-993</v>
      </c>
      <c r="AA711" s="118" t="str">
        <f>+VLOOKUP(Agencia[[#This Row],[Muestra]],Estructura!$M$4:$O$500,3,0)</f>
        <v>M-1084</v>
      </c>
    </row>
    <row r="712" spans="1:27" ht="30.6" x14ac:dyDescent="0.3">
      <c r="A712" s="21" t="s">
        <v>1304</v>
      </c>
      <c r="B712" s="24">
        <f t="shared" ref="B712:D712" si="1091">+B711</f>
        <v>990</v>
      </c>
      <c r="C712" s="25" t="str">
        <f t="shared" si="1091"/>
        <v>Agencia Información</v>
      </c>
      <c r="D712" s="25" t="str">
        <f t="shared" si="1091"/>
        <v>Educación</v>
      </c>
      <c r="E712" s="19">
        <v>10</v>
      </c>
      <c r="F712" s="18" t="s">
        <v>1538</v>
      </c>
      <c r="G712" s="18" t="s">
        <v>7427</v>
      </c>
      <c r="H712" s="35" t="s">
        <v>16</v>
      </c>
      <c r="I712" s="36" t="s">
        <v>377</v>
      </c>
      <c r="J712" s="9" t="str">
        <f t="shared" ref="J712:N712" si="1092">+J711</f>
        <v>Ninguno</v>
      </c>
      <c r="K712" s="9" t="s">
        <v>1583</v>
      </c>
      <c r="L712" s="9" t="str">
        <f t="shared" si="1092"/>
        <v>Periodo 2014-2019</v>
      </c>
      <c r="M712" s="9" t="str">
        <f t="shared" si="1092"/>
        <v>Puntaje</v>
      </c>
      <c r="N712" s="9" t="str">
        <f t="shared" si="1092"/>
        <v>Agencia de Calidad de la Educación</v>
      </c>
      <c r="O712" s="20" t="str">
        <f>+"Evolución del Indicador de Clima de Convivencia Escolar por Dependencia de Establecimientos en la "&amp;I712&amp;", "&amp;Agencia[[#This Row],[temporalidad]]</f>
        <v>Evolución del Indicador de Clima de Convivencia Escolar por Dependencia de Establecimientos en la Región de Los Lagos, Periodo 2014-2019</v>
      </c>
      <c r="P712" s="20"/>
      <c r="Q712" s="11" t="str">
        <f t="shared" si="974"/>
        <v>Gráfico de Evolución</v>
      </c>
      <c r="R712" s="20" t="str">
        <f>Agencia[[#This Row],[territorio]]&amp;" calidad educación puntaje municipal subvencionado corporación particular convivencia escolar indicador"</f>
        <v>Región de Los Lagos calidad educación puntaje municipal subvencionado corporación particular convivencia escolar indicador</v>
      </c>
      <c r="S712" s="22" t="s">
        <v>423</v>
      </c>
      <c r="T712" s="68" t="str">
        <f>"100-R-"&amp;Agencia[[#This Row],[Filtro URL]]</f>
        <v>100-R-10</v>
      </c>
      <c r="U712" s="50" t="str">
        <f t="shared" si="975"/>
        <v>#1774B9</v>
      </c>
      <c r="V712" s="118" t="str">
        <f>+Agencia[[#This Row],[idcoleccion]]&amp;"-"&amp;Agencia[[#This Row],[id]]</f>
        <v>990-0701</v>
      </c>
      <c r="W712" s="118">
        <f>+VLOOKUP(Agencia[[#This Row],[Filtro URL]],Estructura!$X$4:$Y$500,2,0)</f>
        <v>99200010</v>
      </c>
      <c r="X712" s="118" t="str">
        <f>+VLOOKUP(Agencia[[#This Row],[tema]],Estructura!$A$4:$C$500,3,0)</f>
        <v>T-991</v>
      </c>
      <c r="Y712" s="118" t="str">
        <f>+VLOOKUP(Agencia[[#This Row],[contenido]],Estructura!$E$4:$G$500,3,0)</f>
        <v>C-1018</v>
      </c>
      <c r="Z712" s="118" t="str">
        <f>+VLOOKUP(Agencia[[#This Row],[Filtro Integrado]],Estructura!$I$4:$K$500,3,0)</f>
        <v>FI-993</v>
      </c>
      <c r="AA712" s="118" t="str">
        <f>+VLOOKUP(Agencia[[#This Row],[Muestra]],Estructura!$M$4:$O$500,3,0)</f>
        <v>M-1084</v>
      </c>
    </row>
    <row r="713" spans="1:27" ht="30.6" x14ac:dyDescent="0.3">
      <c r="A713" s="21" t="s">
        <v>1305</v>
      </c>
      <c r="B713" s="24">
        <f t="shared" ref="B713:D713" si="1093">+B712</f>
        <v>990</v>
      </c>
      <c r="C713" s="25" t="str">
        <f t="shared" si="1093"/>
        <v>Agencia Información</v>
      </c>
      <c r="D713" s="25" t="str">
        <f t="shared" si="1093"/>
        <v>Educación</v>
      </c>
      <c r="E713" s="19">
        <v>11</v>
      </c>
      <c r="F713" s="18" t="s">
        <v>1538</v>
      </c>
      <c r="G713" s="18" t="s">
        <v>7427</v>
      </c>
      <c r="H713" s="35" t="s">
        <v>16</v>
      </c>
      <c r="I713" s="36" t="s">
        <v>378</v>
      </c>
      <c r="J713" s="9" t="str">
        <f t="shared" ref="J713:N713" si="1094">+J712</f>
        <v>Ninguno</v>
      </c>
      <c r="K713" s="9" t="s">
        <v>1583</v>
      </c>
      <c r="L713" s="9" t="str">
        <f t="shared" si="1094"/>
        <v>Periodo 2014-2019</v>
      </c>
      <c r="M713" s="9" t="str">
        <f t="shared" si="1094"/>
        <v>Puntaje</v>
      </c>
      <c r="N713" s="9" t="str">
        <f t="shared" si="1094"/>
        <v>Agencia de Calidad de la Educación</v>
      </c>
      <c r="O713" s="20" t="str">
        <f>+"Evolución del Indicador de Clima de Convivencia Escolar por Dependencia de Establecimientos en la "&amp;I713&amp;", "&amp;Agencia[[#This Row],[temporalidad]]</f>
        <v>Evolución del Indicador de Clima de Convivencia Escolar por Dependencia de Establecimientos en la Región de Aysén, Periodo 2014-2019</v>
      </c>
      <c r="P713" s="20"/>
      <c r="Q713" s="11" t="str">
        <f t="shared" si="974"/>
        <v>Gráfico de Evolución</v>
      </c>
      <c r="R713" s="20" t="str">
        <f>Agencia[[#This Row],[territorio]]&amp;" calidad educación puntaje municipal subvencionado corporación particular convivencia escolar indicador"</f>
        <v>Región de Aysén calidad educación puntaje municipal subvencionado corporación particular convivencia escolar indicador</v>
      </c>
      <c r="S713" s="22" t="s">
        <v>423</v>
      </c>
      <c r="T713" s="68" t="str">
        <f>"100-R-"&amp;Agencia[[#This Row],[Filtro URL]]</f>
        <v>100-R-11</v>
      </c>
      <c r="U713" s="50" t="str">
        <f t="shared" si="975"/>
        <v>#1774B9</v>
      </c>
      <c r="V713" s="118" t="str">
        <f>+Agencia[[#This Row],[idcoleccion]]&amp;"-"&amp;Agencia[[#This Row],[id]]</f>
        <v>990-0702</v>
      </c>
      <c r="W713" s="118">
        <f>+VLOOKUP(Agencia[[#This Row],[Filtro URL]],Estructura!$X$4:$Y$500,2,0)</f>
        <v>99200011</v>
      </c>
      <c r="X713" s="118" t="str">
        <f>+VLOOKUP(Agencia[[#This Row],[tema]],Estructura!$A$4:$C$500,3,0)</f>
        <v>T-991</v>
      </c>
      <c r="Y713" s="118" t="str">
        <f>+VLOOKUP(Agencia[[#This Row],[contenido]],Estructura!$E$4:$G$500,3,0)</f>
        <v>C-1018</v>
      </c>
      <c r="Z713" s="118" t="str">
        <f>+VLOOKUP(Agencia[[#This Row],[Filtro Integrado]],Estructura!$I$4:$K$500,3,0)</f>
        <v>FI-993</v>
      </c>
      <c r="AA713" s="118" t="str">
        <f>+VLOOKUP(Agencia[[#This Row],[Muestra]],Estructura!$M$4:$O$500,3,0)</f>
        <v>M-1084</v>
      </c>
    </row>
    <row r="714" spans="1:27" ht="30.6" x14ac:dyDescent="0.3">
      <c r="A714" s="21" t="s">
        <v>1306</v>
      </c>
      <c r="B714" s="24">
        <f t="shared" ref="B714:D714" si="1095">+B713</f>
        <v>990</v>
      </c>
      <c r="C714" s="25" t="str">
        <f t="shared" si="1095"/>
        <v>Agencia Información</v>
      </c>
      <c r="D714" s="25" t="str">
        <f t="shared" si="1095"/>
        <v>Educación</v>
      </c>
      <c r="E714" s="19">
        <v>12</v>
      </c>
      <c r="F714" s="18" t="s">
        <v>1538</v>
      </c>
      <c r="G714" s="18" t="s">
        <v>7427</v>
      </c>
      <c r="H714" s="35" t="s">
        <v>16</v>
      </c>
      <c r="I714" s="36" t="s">
        <v>379</v>
      </c>
      <c r="J714" s="9" t="str">
        <f t="shared" ref="J714:N714" si="1096">+J713</f>
        <v>Ninguno</v>
      </c>
      <c r="K714" s="9" t="s">
        <v>1583</v>
      </c>
      <c r="L714" s="9" t="str">
        <f t="shared" si="1096"/>
        <v>Periodo 2014-2019</v>
      </c>
      <c r="M714" s="9" t="str">
        <f t="shared" si="1096"/>
        <v>Puntaje</v>
      </c>
      <c r="N714" s="9" t="str">
        <f t="shared" si="1096"/>
        <v>Agencia de Calidad de la Educación</v>
      </c>
      <c r="O714" s="20" t="str">
        <f>+"Evolución del Indicador de Clima de Convivencia Escolar por Dependencia de Establecimientos en la "&amp;I714&amp;", "&amp;Agencia[[#This Row],[temporalidad]]</f>
        <v>Evolución del Indicador de Clima de Convivencia Escolar por Dependencia de Establecimientos en la Región de Magallanes, Periodo 2014-2019</v>
      </c>
      <c r="P714" s="20"/>
      <c r="Q714" s="11" t="str">
        <f t="shared" si="974"/>
        <v>Gráfico de Evolución</v>
      </c>
      <c r="R714" s="20" t="str">
        <f>Agencia[[#This Row],[territorio]]&amp;" calidad educación puntaje municipal subvencionado corporación particular convivencia escolar indicador"</f>
        <v>Región de Magallanes calidad educación puntaje municipal subvencionado corporación particular convivencia escolar indicador</v>
      </c>
      <c r="S714" s="22" t="s">
        <v>423</v>
      </c>
      <c r="T714" s="68" t="str">
        <f>"100-R-"&amp;Agencia[[#This Row],[Filtro URL]]</f>
        <v>100-R-12</v>
      </c>
      <c r="U714" s="50" t="str">
        <f t="shared" si="975"/>
        <v>#1774B9</v>
      </c>
      <c r="V714" s="118" t="str">
        <f>+Agencia[[#This Row],[idcoleccion]]&amp;"-"&amp;Agencia[[#This Row],[id]]</f>
        <v>990-0703</v>
      </c>
      <c r="W714" s="118">
        <f>+VLOOKUP(Agencia[[#This Row],[Filtro URL]],Estructura!$X$4:$Y$500,2,0)</f>
        <v>99200012</v>
      </c>
      <c r="X714" s="118" t="str">
        <f>+VLOOKUP(Agencia[[#This Row],[tema]],Estructura!$A$4:$C$500,3,0)</f>
        <v>T-991</v>
      </c>
      <c r="Y714" s="118" t="str">
        <f>+VLOOKUP(Agencia[[#This Row],[contenido]],Estructura!$E$4:$G$500,3,0)</f>
        <v>C-1018</v>
      </c>
      <c r="Z714" s="118" t="str">
        <f>+VLOOKUP(Agencia[[#This Row],[Filtro Integrado]],Estructura!$I$4:$K$500,3,0)</f>
        <v>FI-993</v>
      </c>
      <c r="AA714" s="118" t="str">
        <f>+VLOOKUP(Agencia[[#This Row],[Muestra]],Estructura!$M$4:$O$500,3,0)</f>
        <v>M-1084</v>
      </c>
    </row>
    <row r="715" spans="1:27" ht="30.6" x14ac:dyDescent="0.3">
      <c r="A715" s="21" t="s">
        <v>1307</v>
      </c>
      <c r="B715" s="24">
        <f t="shared" ref="B715:D715" si="1097">+B714</f>
        <v>990</v>
      </c>
      <c r="C715" s="25" t="str">
        <f t="shared" si="1097"/>
        <v>Agencia Información</v>
      </c>
      <c r="D715" s="25" t="str">
        <f t="shared" si="1097"/>
        <v>Educación</v>
      </c>
      <c r="E715" s="19">
        <v>13</v>
      </c>
      <c r="F715" s="18" t="s">
        <v>1538</v>
      </c>
      <c r="G715" s="18" t="s">
        <v>7427</v>
      </c>
      <c r="H715" s="35" t="s">
        <v>16</v>
      </c>
      <c r="I715" s="36" t="s">
        <v>380</v>
      </c>
      <c r="J715" s="9" t="str">
        <f t="shared" ref="J715:N715" si="1098">+J714</f>
        <v>Ninguno</v>
      </c>
      <c r="K715" s="9" t="s">
        <v>1583</v>
      </c>
      <c r="L715" s="9" t="str">
        <f t="shared" si="1098"/>
        <v>Periodo 2014-2019</v>
      </c>
      <c r="M715" s="9" t="str">
        <f t="shared" si="1098"/>
        <v>Puntaje</v>
      </c>
      <c r="N715" s="9" t="str">
        <f t="shared" si="1098"/>
        <v>Agencia de Calidad de la Educación</v>
      </c>
      <c r="O715" s="20" t="str">
        <f>+"Evolución del Indicador de Clima de Convivencia Escolar por Dependencia de Establecimientos en la "&amp;I715&amp;", "&amp;Agencia[[#This Row],[temporalidad]]</f>
        <v>Evolución del Indicador de Clima de Convivencia Escolar por Dependencia de Establecimientos en la Región Metropolitana, Periodo 2014-2019</v>
      </c>
      <c r="P715" s="20"/>
      <c r="Q715" s="11" t="str">
        <f t="shared" si="974"/>
        <v>Gráfico de Evolución</v>
      </c>
      <c r="R715" s="20" t="str">
        <f>Agencia[[#This Row],[territorio]]&amp;" calidad educación puntaje municipal subvencionado corporación particular convivencia escolar indicador"</f>
        <v>Región Metropolitana calidad educación puntaje municipal subvencionado corporación particular convivencia escolar indicador</v>
      </c>
      <c r="S715" s="22" t="s">
        <v>423</v>
      </c>
      <c r="T715" s="68" t="str">
        <f>"200-R-"&amp;Agencia[[#This Row],[Filtro URL]]</f>
        <v>200-R-13</v>
      </c>
      <c r="U715" s="50" t="str">
        <f t="shared" si="975"/>
        <v>#1774B9</v>
      </c>
      <c r="V715" s="118" t="str">
        <f>+Agencia[[#This Row],[idcoleccion]]&amp;"-"&amp;Agencia[[#This Row],[id]]</f>
        <v>990-0704</v>
      </c>
      <c r="W715" s="118">
        <f>+VLOOKUP(Agencia[[#This Row],[Filtro URL]],Estructura!$X$4:$Y$500,2,0)</f>
        <v>99200013</v>
      </c>
      <c r="X715" s="118" t="str">
        <f>+VLOOKUP(Agencia[[#This Row],[tema]],Estructura!$A$4:$C$500,3,0)</f>
        <v>T-991</v>
      </c>
      <c r="Y715" s="118" t="str">
        <f>+VLOOKUP(Agencia[[#This Row],[contenido]],Estructura!$E$4:$G$500,3,0)</f>
        <v>C-1018</v>
      </c>
      <c r="Z715" s="118" t="str">
        <f>+VLOOKUP(Agencia[[#This Row],[Filtro Integrado]],Estructura!$I$4:$K$500,3,0)</f>
        <v>FI-993</v>
      </c>
      <c r="AA715" s="118" t="str">
        <f>+VLOOKUP(Agencia[[#This Row],[Muestra]],Estructura!$M$4:$O$500,3,0)</f>
        <v>M-1084</v>
      </c>
    </row>
    <row r="716" spans="1:27" ht="30.6" x14ac:dyDescent="0.3">
      <c r="A716" s="21" t="s">
        <v>1308</v>
      </c>
      <c r="B716" s="24">
        <f t="shared" ref="B716:D716" si="1099">+B715</f>
        <v>990</v>
      </c>
      <c r="C716" s="25" t="str">
        <f t="shared" si="1099"/>
        <v>Agencia Información</v>
      </c>
      <c r="D716" s="25" t="str">
        <f t="shared" si="1099"/>
        <v>Educación</v>
      </c>
      <c r="E716" s="19">
        <v>14</v>
      </c>
      <c r="F716" s="18" t="s">
        <v>1538</v>
      </c>
      <c r="G716" s="18" t="s">
        <v>7427</v>
      </c>
      <c r="H716" s="35" t="s">
        <v>16</v>
      </c>
      <c r="I716" s="36" t="s">
        <v>381</v>
      </c>
      <c r="J716" s="9" t="str">
        <f t="shared" ref="J716:N716" si="1100">+J715</f>
        <v>Ninguno</v>
      </c>
      <c r="K716" s="9" t="s">
        <v>1583</v>
      </c>
      <c r="L716" s="9" t="str">
        <f t="shared" si="1100"/>
        <v>Periodo 2014-2019</v>
      </c>
      <c r="M716" s="9" t="str">
        <f t="shared" si="1100"/>
        <v>Puntaje</v>
      </c>
      <c r="N716" s="9" t="str">
        <f t="shared" si="1100"/>
        <v>Agencia de Calidad de la Educación</v>
      </c>
      <c r="O716" s="20" t="str">
        <f>+"Evolución del Indicador de Clima de Convivencia Escolar por Dependencia de Establecimientos en la "&amp;I716&amp;", "&amp;Agencia[[#This Row],[temporalidad]]</f>
        <v>Evolución del Indicador de Clima de Convivencia Escolar por Dependencia de Establecimientos en la Región de Los Ríos, Periodo 2014-2019</v>
      </c>
      <c r="P716" s="20"/>
      <c r="Q716" s="11" t="str">
        <f t="shared" ref="Q716:Q779" si="1101">+Q715</f>
        <v>Gráfico de Evolución</v>
      </c>
      <c r="R716" s="20" t="str">
        <f>Agencia[[#This Row],[territorio]]&amp;" calidad educación puntaje municipal subvencionado corporación particular convivencia escolar indicador"</f>
        <v>Región de Los Ríos calidad educación puntaje municipal subvencionado corporación particular convivencia escolar indicador</v>
      </c>
      <c r="S716" s="22" t="s">
        <v>423</v>
      </c>
      <c r="T716" s="68" t="str">
        <f>"100-R-"&amp;Agencia[[#This Row],[Filtro URL]]</f>
        <v>100-R-14</v>
      </c>
      <c r="U716" s="50" t="str">
        <f t="shared" ref="U716:U779" si="1102">+U715</f>
        <v>#1774B9</v>
      </c>
      <c r="V716" s="118" t="str">
        <f>+Agencia[[#This Row],[idcoleccion]]&amp;"-"&amp;Agencia[[#This Row],[id]]</f>
        <v>990-0705</v>
      </c>
      <c r="W716" s="118">
        <f>+VLOOKUP(Agencia[[#This Row],[Filtro URL]],Estructura!$X$4:$Y$500,2,0)</f>
        <v>99200014</v>
      </c>
      <c r="X716" s="118" t="str">
        <f>+VLOOKUP(Agencia[[#This Row],[tema]],Estructura!$A$4:$C$500,3,0)</f>
        <v>T-991</v>
      </c>
      <c r="Y716" s="118" t="str">
        <f>+VLOOKUP(Agencia[[#This Row],[contenido]],Estructura!$E$4:$G$500,3,0)</f>
        <v>C-1018</v>
      </c>
      <c r="Z716" s="118" t="str">
        <f>+VLOOKUP(Agencia[[#This Row],[Filtro Integrado]],Estructura!$I$4:$K$500,3,0)</f>
        <v>FI-993</v>
      </c>
      <c r="AA716" s="118" t="str">
        <f>+VLOOKUP(Agencia[[#This Row],[Muestra]],Estructura!$M$4:$O$500,3,0)</f>
        <v>M-1084</v>
      </c>
    </row>
    <row r="717" spans="1:27" ht="30.6" x14ac:dyDescent="0.3">
      <c r="A717" s="21" t="s">
        <v>1309</v>
      </c>
      <c r="B717" s="24">
        <f t="shared" ref="B717:D717" si="1103">+B716</f>
        <v>990</v>
      </c>
      <c r="C717" s="25" t="str">
        <f t="shared" si="1103"/>
        <v>Agencia Información</v>
      </c>
      <c r="D717" s="25" t="str">
        <f t="shared" si="1103"/>
        <v>Educación</v>
      </c>
      <c r="E717" s="19">
        <v>15</v>
      </c>
      <c r="F717" s="18" t="s">
        <v>1538</v>
      </c>
      <c r="G717" s="18" t="s">
        <v>7427</v>
      </c>
      <c r="H717" s="35" t="s">
        <v>16</v>
      </c>
      <c r="I717" s="36" t="s">
        <v>382</v>
      </c>
      <c r="J717" s="9" t="str">
        <f t="shared" ref="J717:N717" si="1104">+J716</f>
        <v>Ninguno</v>
      </c>
      <c r="K717" s="9" t="s">
        <v>1583</v>
      </c>
      <c r="L717" s="9" t="str">
        <f t="shared" si="1104"/>
        <v>Periodo 2014-2019</v>
      </c>
      <c r="M717" s="9" t="str">
        <f t="shared" si="1104"/>
        <v>Puntaje</v>
      </c>
      <c r="N717" s="9" t="str">
        <f t="shared" si="1104"/>
        <v>Agencia de Calidad de la Educación</v>
      </c>
      <c r="O717" s="20" t="str">
        <f>+"Evolución del Indicador de Clima de Convivencia Escolar por Dependencia de Establecimientos en la "&amp;I717&amp;", "&amp;Agencia[[#This Row],[temporalidad]]</f>
        <v>Evolución del Indicador de Clima de Convivencia Escolar por Dependencia de Establecimientos en la Región de Arica y Parinacota, Periodo 2014-2019</v>
      </c>
      <c r="P717" s="20"/>
      <c r="Q717" s="11" t="str">
        <f t="shared" si="1101"/>
        <v>Gráfico de Evolución</v>
      </c>
      <c r="R717" s="20" t="str">
        <f>Agencia[[#This Row],[territorio]]&amp;" calidad educación puntaje municipal subvencionado corporación particular convivencia escolar indicador"</f>
        <v>Región de Arica y Parinacota calidad educación puntaje municipal subvencionado corporación particular convivencia escolar indicador</v>
      </c>
      <c r="S717" s="22" t="s">
        <v>423</v>
      </c>
      <c r="T717" s="68" t="str">
        <f>"100-R-"&amp;Agencia[[#This Row],[Filtro URL]]</f>
        <v>100-R-15</v>
      </c>
      <c r="U717" s="50" t="str">
        <f t="shared" si="1102"/>
        <v>#1774B9</v>
      </c>
      <c r="V717" s="118" t="str">
        <f>+Agencia[[#This Row],[idcoleccion]]&amp;"-"&amp;Agencia[[#This Row],[id]]</f>
        <v>990-0706</v>
      </c>
      <c r="W717" s="118">
        <f>+VLOOKUP(Agencia[[#This Row],[Filtro URL]],Estructura!$X$4:$Y$500,2,0)</f>
        <v>99200015</v>
      </c>
      <c r="X717" s="118" t="str">
        <f>+VLOOKUP(Agencia[[#This Row],[tema]],Estructura!$A$4:$C$500,3,0)</f>
        <v>T-991</v>
      </c>
      <c r="Y717" s="118" t="str">
        <f>+VLOOKUP(Agencia[[#This Row],[contenido]],Estructura!$E$4:$G$500,3,0)</f>
        <v>C-1018</v>
      </c>
      <c r="Z717" s="118" t="str">
        <f>+VLOOKUP(Agencia[[#This Row],[Filtro Integrado]],Estructura!$I$4:$K$500,3,0)</f>
        <v>FI-993</v>
      </c>
      <c r="AA717" s="118" t="str">
        <f>+VLOOKUP(Agencia[[#This Row],[Muestra]],Estructura!$M$4:$O$500,3,0)</f>
        <v>M-1084</v>
      </c>
    </row>
    <row r="718" spans="1:27" ht="30.6" x14ac:dyDescent="0.3">
      <c r="A718" s="21" t="s">
        <v>1310</v>
      </c>
      <c r="B718" s="24">
        <f t="shared" ref="B718:D718" si="1105">+B717</f>
        <v>990</v>
      </c>
      <c r="C718" s="25" t="str">
        <f t="shared" si="1105"/>
        <v>Agencia Información</v>
      </c>
      <c r="D718" s="25" t="str">
        <f t="shared" si="1105"/>
        <v>Educación</v>
      </c>
      <c r="E718" s="19">
        <v>16</v>
      </c>
      <c r="F718" s="18" t="s">
        <v>1538</v>
      </c>
      <c r="G718" s="18" t="s">
        <v>7427</v>
      </c>
      <c r="H718" s="35" t="s">
        <v>16</v>
      </c>
      <c r="I718" s="36" t="s">
        <v>383</v>
      </c>
      <c r="J718" s="9" t="str">
        <f t="shared" ref="J718:N718" si="1106">+J717</f>
        <v>Ninguno</v>
      </c>
      <c r="K718" s="9" t="s">
        <v>1583</v>
      </c>
      <c r="L718" s="9" t="str">
        <f t="shared" si="1106"/>
        <v>Periodo 2014-2019</v>
      </c>
      <c r="M718" s="9" t="str">
        <f t="shared" si="1106"/>
        <v>Puntaje</v>
      </c>
      <c r="N718" s="9" t="str">
        <f t="shared" si="1106"/>
        <v>Agencia de Calidad de la Educación</v>
      </c>
      <c r="O718" s="20" t="str">
        <f>+"Evolución del Indicador de Clima de Convivencia Escolar por Dependencia de Establecimientos en la "&amp;I718&amp;", "&amp;Agencia[[#This Row],[temporalidad]]</f>
        <v>Evolución del Indicador de Clima de Convivencia Escolar por Dependencia de Establecimientos en la Región de Ñuble, Periodo 2014-2019</v>
      </c>
      <c r="P718" s="20"/>
      <c r="Q718" s="11" t="str">
        <f t="shared" si="1101"/>
        <v>Gráfico de Evolución</v>
      </c>
      <c r="R718" s="20" t="str">
        <f>Agencia[[#This Row],[territorio]]&amp;" calidad educación puntaje municipal subvencionado corporación particular convivencia escolar indicador"</f>
        <v>Región de Ñuble calidad educación puntaje municipal subvencionado corporación particular convivencia escolar indicador</v>
      </c>
      <c r="S718" s="22" t="s">
        <v>423</v>
      </c>
      <c r="T718" s="68" t="str">
        <f>"100-R-"&amp;Agencia[[#This Row],[Filtro URL]]</f>
        <v>100-R-16</v>
      </c>
      <c r="U718" s="50" t="str">
        <f t="shared" si="1102"/>
        <v>#1774B9</v>
      </c>
      <c r="V718" s="118" t="str">
        <f>+Agencia[[#This Row],[idcoleccion]]&amp;"-"&amp;Agencia[[#This Row],[id]]</f>
        <v>990-0707</v>
      </c>
      <c r="W718" s="118">
        <f>+VLOOKUP(Agencia[[#This Row],[Filtro URL]],Estructura!$X$4:$Y$500,2,0)</f>
        <v>99200016</v>
      </c>
      <c r="X718" s="118" t="str">
        <f>+VLOOKUP(Agencia[[#This Row],[tema]],Estructura!$A$4:$C$500,3,0)</f>
        <v>T-991</v>
      </c>
      <c r="Y718" s="118" t="str">
        <f>+VLOOKUP(Agencia[[#This Row],[contenido]],Estructura!$E$4:$G$500,3,0)</f>
        <v>C-1018</v>
      </c>
      <c r="Z718" s="118" t="str">
        <f>+VLOOKUP(Agencia[[#This Row],[Filtro Integrado]],Estructura!$I$4:$K$500,3,0)</f>
        <v>FI-993</v>
      </c>
      <c r="AA718" s="118" t="str">
        <f>+VLOOKUP(Agencia[[#This Row],[Muestra]],Estructura!$M$4:$O$500,3,0)</f>
        <v>M-1084</v>
      </c>
    </row>
    <row r="719" spans="1:27" ht="61.2" x14ac:dyDescent="0.3">
      <c r="A719" s="21" t="s">
        <v>1311</v>
      </c>
      <c r="B719" s="24">
        <f t="shared" ref="B719:C719" si="1107">+B718</f>
        <v>990</v>
      </c>
      <c r="C719" s="25" t="str">
        <f t="shared" si="1107"/>
        <v>Agencia Información</v>
      </c>
      <c r="D719" s="25" t="s">
        <v>870</v>
      </c>
      <c r="E719" s="14">
        <v>0</v>
      </c>
      <c r="F719" s="18" t="s">
        <v>7426</v>
      </c>
      <c r="G719" s="18" t="s">
        <v>870</v>
      </c>
      <c r="H719" s="33" t="s">
        <v>20</v>
      </c>
      <c r="I719" s="34" t="s">
        <v>15</v>
      </c>
      <c r="J719" s="9" t="s">
        <v>404</v>
      </c>
      <c r="K719" s="9" t="s">
        <v>1588</v>
      </c>
      <c r="L719" s="9" t="s">
        <v>576</v>
      </c>
      <c r="M719" s="9" t="s">
        <v>4224</v>
      </c>
      <c r="N719" s="9" t="s">
        <v>1459</v>
      </c>
      <c r="O719" s="20" t="str">
        <f>+"Superficie de Solicitudes de Edificación Autorizadas por Categoría en "&amp;I719&amp;", "&amp;Agencia[[#This Row],[temporalidad]]</f>
        <v>Superficie de Solicitudes de Edificación Autorizadas por Categoría en Chile, Periodo 2020-2021</v>
      </c>
      <c r="P719" s="20" t="s">
        <v>1585</v>
      </c>
      <c r="Q719" s="11" t="s">
        <v>611</v>
      </c>
      <c r="R719" s="20" t="str">
        <f>Agencia[[#This Row],[territorio]]&amp;" solicitudes edificación superficie autorizadas habitacional ampliaciones obras nuevas"</f>
        <v>Chile solicitudes edificación superficie autorizadas habitacional ampliaciones obras nuevas</v>
      </c>
      <c r="S719" s="39" t="s">
        <v>1587</v>
      </c>
      <c r="T719" s="68">
        <v>0</v>
      </c>
      <c r="U719" s="50" t="str">
        <f t="shared" si="1102"/>
        <v>#1774B9</v>
      </c>
      <c r="V719" s="118" t="str">
        <f>+Agencia[[#This Row],[idcoleccion]]&amp;"-"&amp;Agencia[[#This Row],[id]]</f>
        <v>990-0708</v>
      </c>
      <c r="W719" s="118">
        <f>+VLOOKUP(Agencia[[#This Row],[Filtro URL]],Estructura!$X$4:$Y$500,2,0)</f>
        <v>99100000</v>
      </c>
      <c r="X719" s="118" t="str">
        <f>+VLOOKUP(Agencia[[#This Row],[tema]],Estructura!$A$4:$C$500,3,0)</f>
        <v>T-1063</v>
      </c>
      <c r="Y719" s="118" t="str">
        <f>+VLOOKUP(Agencia[[#This Row],[contenido]],Estructura!$E$4:$G$500,3,0)</f>
        <v>C-1011</v>
      </c>
      <c r="Z719" s="118" t="str">
        <f>+VLOOKUP(Agencia[[#This Row],[Filtro Integrado]],Estructura!$I$4:$K$500,3,0)</f>
        <v>FI-993</v>
      </c>
      <c r="AA719" s="118" t="str">
        <f>+VLOOKUP(Agencia[[#This Row],[Muestra]],Estructura!$M$4:$O$500,3,0)</f>
        <v>M-1054</v>
      </c>
    </row>
    <row r="720" spans="1:27" ht="71.400000000000006" x14ac:dyDescent="0.3">
      <c r="A720" s="21" t="s">
        <v>1312</v>
      </c>
      <c r="B720" s="24">
        <f t="shared" ref="B720:C720" si="1108">+B719</f>
        <v>990</v>
      </c>
      <c r="C720" s="25" t="str">
        <f t="shared" si="1108"/>
        <v>Agencia Información</v>
      </c>
      <c r="D720" s="25" t="s">
        <v>881</v>
      </c>
      <c r="E720" s="14">
        <v>0</v>
      </c>
      <c r="F720" s="18" t="s">
        <v>1590</v>
      </c>
      <c r="G720" s="18" t="s">
        <v>1601</v>
      </c>
      <c r="H720" s="33" t="s">
        <v>20</v>
      </c>
      <c r="I720" s="34" t="s">
        <v>15</v>
      </c>
      <c r="J720" s="9" t="s">
        <v>16</v>
      </c>
      <c r="K720" s="9" t="s">
        <v>1591</v>
      </c>
      <c r="L720" s="9" t="s">
        <v>886</v>
      </c>
      <c r="M720" s="9" t="s">
        <v>1490</v>
      </c>
      <c r="N720" s="9" t="s">
        <v>885</v>
      </c>
      <c r="O720" s="20" t="str">
        <f>+"Número trabajadores dependientes informados por género según tamaño de empresa en "&amp;I720&amp;", "&amp;Agencia[[#This Row],[temporalidad]]</f>
        <v>Número trabajadores dependientes informados por género según tamaño de empresa en Chile, Año 2019</v>
      </c>
      <c r="P720" s="20" t="s">
        <v>1589</v>
      </c>
      <c r="Q720" s="11" t="s">
        <v>584</v>
      </c>
      <c r="R720" s="20" t="str">
        <f>Agencia[[#This Row],[territorio]]&amp;" trabajadores dependientes informados tramo empresas ventas anuales grande mediana pequeña micro mujeres sexo hombres género sii"</f>
        <v>Chile trabajadores dependientes informados tramo empresas ventas anuales grande mediana pequeña micro mujeres sexo hombres género sii</v>
      </c>
      <c r="S720" s="39" t="s">
        <v>1592</v>
      </c>
      <c r="T720" s="68" t="s">
        <v>855</v>
      </c>
      <c r="U720" s="50" t="str">
        <f t="shared" si="1102"/>
        <v>#1774B9</v>
      </c>
      <c r="V720" s="118" t="str">
        <f>+Agencia[[#This Row],[idcoleccion]]&amp;"-"&amp;Agencia[[#This Row],[id]]</f>
        <v>990-0709</v>
      </c>
      <c r="W720" s="118">
        <f>+VLOOKUP(Agencia[[#This Row],[Filtro URL]],Estructura!$X$4:$Y$500,2,0)</f>
        <v>99100000</v>
      </c>
      <c r="X720" s="118" t="str">
        <f>+VLOOKUP(Agencia[[#This Row],[tema]],Estructura!$A$4:$C$500,3,0)</f>
        <v>T-1012</v>
      </c>
      <c r="Y720" s="118" t="str">
        <f>+VLOOKUP(Agencia[[#This Row],[contenido]],Estructura!$E$4:$G$500,3,0)</f>
        <v>C-993</v>
      </c>
      <c r="Z720" s="118" t="str">
        <f>+VLOOKUP(Agencia[[#This Row],[Filtro Integrado]],Estructura!$I$4:$K$500,3,0)</f>
        <v>FI-992</v>
      </c>
      <c r="AA720" s="118" t="str">
        <f>+VLOOKUP(Agencia[[#This Row],[Muestra]],Estructura!$M$4:$O$500,3,0)</f>
        <v>M-1055</v>
      </c>
    </row>
    <row r="721" spans="1:27" ht="57.6" x14ac:dyDescent="0.3">
      <c r="A721" s="21" t="s">
        <v>1313</v>
      </c>
      <c r="B721" s="24">
        <f t="shared" ref="B721:D721" si="1109">+B720</f>
        <v>990</v>
      </c>
      <c r="C721" s="25" t="str">
        <f t="shared" si="1109"/>
        <v>Agencia Información</v>
      </c>
      <c r="D721" s="25" t="str">
        <f t="shared" si="1109"/>
        <v>Economía</v>
      </c>
      <c r="E721" s="19">
        <v>1</v>
      </c>
      <c r="F721" s="18" t="s">
        <v>1590</v>
      </c>
      <c r="G721" s="18" t="s">
        <v>1601</v>
      </c>
      <c r="H721" s="35" t="s">
        <v>16</v>
      </c>
      <c r="I721" s="36" t="s">
        <v>368</v>
      </c>
      <c r="J721" s="9" t="s">
        <v>404</v>
      </c>
      <c r="K721" s="9" t="str">
        <f t="shared" ref="K721:N721" si="1110">+K720</f>
        <v>Cantidad de trabajadors dependientes informados</v>
      </c>
      <c r="L721" s="9" t="str">
        <f t="shared" si="1110"/>
        <v>Año 2019</v>
      </c>
      <c r="M721" s="9" t="str">
        <f t="shared" si="1110"/>
        <v>Personas</v>
      </c>
      <c r="N721" s="9" t="str">
        <f t="shared" si="1110"/>
        <v>Servicio de Impuestos Internos (SII)</v>
      </c>
      <c r="O721" s="20" t="str">
        <f>+"Número trabajadores dependientes informados por sexo según tamaño de empresa en la "&amp;I721&amp;", "&amp;Agencia[[#This Row],[temporalidad]]</f>
        <v>Número trabajadores dependientes informados por sexo según tamaño de empresa en la Región de Tarapacá, Año 2019</v>
      </c>
      <c r="P721" s="20"/>
      <c r="Q721" s="11" t="str">
        <f t="shared" si="1101"/>
        <v>Gráfico</v>
      </c>
      <c r="R721" s="20" t="str">
        <f>Agencia[[#This Row],[territorio]]&amp;" trabajadores dependientes informados tramo empresas ventas anuales grande mediana pequeña micro mujeres sexo hombres género sii"</f>
        <v>Región de Tarapacá trabajadores dependientes informados tramo empresas ventas anuales grande mediana pequeña micro mujeres sexo hombres género sii</v>
      </c>
      <c r="S721" s="39" t="str">
        <f>HYPERLINK("https://analytics.zoho.com/open-view/2395394000008435819?ZOHO_CRITERIA=%225.1%20Empresas_Tama%C3%B1o%22.%22Cod_Regi%C3%B3n%22%3D"&amp;Agencia[[#This Row],[Filtro URL]])</f>
        <v>https://analytics.zoho.com/open-view/2395394000008435819?ZOHO_CRITERIA=%225.1%20Empresas_Tama%C3%B1o%22.%22Cod_Regi%C3%B3n%22%3D1</v>
      </c>
      <c r="T721" s="68" t="str">
        <f>"100-R-"&amp;Agencia[[#This Row],[Filtro URL]]</f>
        <v>100-R-1</v>
      </c>
      <c r="U721" s="50" t="str">
        <f t="shared" si="1102"/>
        <v>#1774B9</v>
      </c>
      <c r="V721" s="118" t="str">
        <f>+Agencia[[#This Row],[idcoleccion]]&amp;"-"&amp;Agencia[[#This Row],[id]]</f>
        <v>990-0710</v>
      </c>
      <c r="W721" s="118">
        <f>+VLOOKUP(Agencia[[#This Row],[Filtro URL]],Estructura!$X$4:$Y$500,2,0)</f>
        <v>99200001</v>
      </c>
      <c r="X721" s="118" t="str">
        <f>+VLOOKUP(Agencia[[#This Row],[tema]],Estructura!$A$4:$C$500,3,0)</f>
        <v>T-1012</v>
      </c>
      <c r="Y721" s="118" t="str">
        <f>+VLOOKUP(Agencia[[#This Row],[contenido]],Estructura!$E$4:$G$500,3,0)</f>
        <v>C-993</v>
      </c>
      <c r="Z721" s="118" t="str">
        <f>+VLOOKUP(Agencia[[#This Row],[Filtro Integrado]],Estructura!$I$4:$K$500,3,0)</f>
        <v>FI-993</v>
      </c>
      <c r="AA721" s="118" t="str">
        <f>+VLOOKUP(Agencia[[#This Row],[Muestra]],Estructura!$M$4:$O$500,3,0)</f>
        <v>M-1055</v>
      </c>
    </row>
    <row r="722" spans="1:27" ht="57.6" x14ac:dyDescent="0.3">
      <c r="A722" s="21" t="s">
        <v>1314</v>
      </c>
      <c r="B722" s="24">
        <f t="shared" ref="B722:D722" si="1111">+B721</f>
        <v>990</v>
      </c>
      <c r="C722" s="25" t="str">
        <f t="shared" si="1111"/>
        <v>Agencia Información</v>
      </c>
      <c r="D722" s="25" t="str">
        <f t="shared" si="1111"/>
        <v>Economía</v>
      </c>
      <c r="E722" s="19">
        <v>2</v>
      </c>
      <c r="F722" s="18" t="s">
        <v>1590</v>
      </c>
      <c r="G722" s="18" t="s">
        <v>1601</v>
      </c>
      <c r="H722" s="35" t="s">
        <v>16</v>
      </c>
      <c r="I722" s="36" t="s">
        <v>369</v>
      </c>
      <c r="J722" s="9" t="str">
        <f t="shared" ref="J722:N722" si="1112">+J721</f>
        <v>Ninguno</v>
      </c>
      <c r="K722" s="9" t="str">
        <f t="shared" si="1112"/>
        <v>Cantidad de trabajadors dependientes informados</v>
      </c>
      <c r="L722" s="9" t="str">
        <f t="shared" si="1112"/>
        <v>Año 2019</v>
      </c>
      <c r="M722" s="9" t="str">
        <f t="shared" si="1112"/>
        <v>Personas</v>
      </c>
      <c r="N722" s="9" t="str">
        <f t="shared" si="1112"/>
        <v>Servicio de Impuestos Internos (SII)</v>
      </c>
      <c r="O722" s="20" t="str">
        <f>+"Número trabajadores dependientes informados por sexo según tamaño de empresa en la "&amp;I722&amp;", "&amp;Agencia[[#This Row],[temporalidad]]</f>
        <v>Número trabajadores dependientes informados por sexo según tamaño de empresa en la Región de Antofagasta, Año 2019</v>
      </c>
      <c r="P722" s="20"/>
      <c r="Q722" s="11" t="str">
        <f t="shared" si="1101"/>
        <v>Gráfico</v>
      </c>
      <c r="R722" s="20" t="str">
        <f>Agencia[[#This Row],[territorio]]&amp;" trabajadores dependientes informados tramo empresas ventas anuales grande mediana pequeña micro mujeres sexo hombres género sii"</f>
        <v>Región de Antofagasta trabajadores dependientes informados tramo empresas ventas anuales grande mediana pequeña micro mujeres sexo hombres género sii</v>
      </c>
      <c r="S722" s="39" t="str">
        <f>HYPERLINK("https://analytics.zoho.com/open-view/2395394000008435819?ZOHO_CRITERIA=%225.1%20Empresas_Tama%C3%B1o%22.%22Cod_Regi%C3%B3n%22%3D"&amp;Agencia[[#This Row],[Filtro URL]])</f>
        <v>https://analytics.zoho.com/open-view/2395394000008435819?ZOHO_CRITERIA=%225.1%20Empresas_Tama%C3%B1o%22.%22Cod_Regi%C3%B3n%22%3D2</v>
      </c>
      <c r="T722" s="68" t="str">
        <f>"100-R-"&amp;Agencia[[#This Row],[Filtro URL]]</f>
        <v>100-R-2</v>
      </c>
      <c r="U722" s="50" t="str">
        <f t="shared" si="1102"/>
        <v>#1774B9</v>
      </c>
      <c r="V722" s="118" t="str">
        <f>+Agencia[[#This Row],[idcoleccion]]&amp;"-"&amp;Agencia[[#This Row],[id]]</f>
        <v>990-0711</v>
      </c>
      <c r="W722" s="118">
        <f>+VLOOKUP(Agencia[[#This Row],[Filtro URL]],Estructura!$X$4:$Y$500,2,0)</f>
        <v>99200002</v>
      </c>
      <c r="X722" s="118" t="str">
        <f>+VLOOKUP(Agencia[[#This Row],[tema]],Estructura!$A$4:$C$500,3,0)</f>
        <v>T-1012</v>
      </c>
      <c r="Y722" s="118" t="str">
        <f>+VLOOKUP(Agencia[[#This Row],[contenido]],Estructura!$E$4:$G$500,3,0)</f>
        <v>C-993</v>
      </c>
      <c r="Z722" s="118" t="str">
        <f>+VLOOKUP(Agencia[[#This Row],[Filtro Integrado]],Estructura!$I$4:$K$500,3,0)</f>
        <v>FI-993</v>
      </c>
      <c r="AA722" s="118" t="str">
        <f>+VLOOKUP(Agencia[[#This Row],[Muestra]],Estructura!$M$4:$O$500,3,0)</f>
        <v>M-1055</v>
      </c>
    </row>
    <row r="723" spans="1:27" ht="57.6" x14ac:dyDescent="0.3">
      <c r="A723" s="21" t="s">
        <v>1315</v>
      </c>
      <c r="B723" s="24">
        <f t="shared" ref="B723:D723" si="1113">+B722</f>
        <v>990</v>
      </c>
      <c r="C723" s="25" t="str">
        <f t="shared" si="1113"/>
        <v>Agencia Información</v>
      </c>
      <c r="D723" s="25" t="str">
        <f t="shared" si="1113"/>
        <v>Economía</v>
      </c>
      <c r="E723" s="19">
        <v>3</v>
      </c>
      <c r="F723" s="18" t="s">
        <v>1590</v>
      </c>
      <c r="G723" s="18" t="s">
        <v>1601</v>
      </c>
      <c r="H723" s="35" t="s">
        <v>16</v>
      </c>
      <c r="I723" s="36" t="s">
        <v>370</v>
      </c>
      <c r="J723" s="9" t="str">
        <f t="shared" ref="J723:N723" si="1114">+J722</f>
        <v>Ninguno</v>
      </c>
      <c r="K723" s="9" t="str">
        <f t="shared" si="1114"/>
        <v>Cantidad de trabajadors dependientes informados</v>
      </c>
      <c r="L723" s="9" t="str">
        <f t="shared" si="1114"/>
        <v>Año 2019</v>
      </c>
      <c r="M723" s="9" t="str">
        <f t="shared" si="1114"/>
        <v>Personas</v>
      </c>
      <c r="N723" s="9" t="str">
        <f t="shared" si="1114"/>
        <v>Servicio de Impuestos Internos (SII)</v>
      </c>
      <c r="O723" s="20" t="str">
        <f>+"Número trabajadores dependientes informados por sexo según tamaño de empresa en la "&amp;I723&amp;", "&amp;Agencia[[#This Row],[temporalidad]]</f>
        <v>Número trabajadores dependientes informados por sexo según tamaño de empresa en la Región de Atacama, Año 2019</v>
      </c>
      <c r="P723" s="20"/>
      <c r="Q723" s="11" t="str">
        <f t="shared" si="1101"/>
        <v>Gráfico</v>
      </c>
      <c r="R723" s="20" t="str">
        <f>Agencia[[#This Row],[territorio]]&amp;" trabajadores dependientes informados tramo empresas ventas anuales grande mediana pequeña micro mujeres sexo hombres género sii"</f>
        <v>Región de Atacama trabajadores dependientes informados tramo empresas ventas anuales grande mediana pequeña micro mujeres sexo hombres género sii</v>
      </c>
      <c r="S723" s="39" t="str">
        <f>HYPERLINK("https://analytics.zoho.com/open-view/2395394000008435819?ZOHO_CRITERIA=%225.1%20Empresas_Tama%C3%B1o%22.%22Cod_Regi%C3%B3n%22%3D"&amp;Agencia[[#This Row],[Filtro URL]])</f>
        <v>https://analytics.zoho.com/open-view/2395394000008435819?ZOHO_CRITERIA=%225.1%20Empresas_Tama%C3%B1o%22.%22Cod_Regi%C3%B3n%22%3D3</v>
      </c>
      <c r="T723" s="68" t="str">
        <f>"100-R-"&amp;Agencia[[#This Row],[Filtro URL]]</f>
        <v>100-R-3</v>
      </c>
      <c r="U723" s="50" t="str">
        <f t="shared" si="1102"/>
        <v>#1774B9</v>
      </c>
      <c r="V723" s="118" t="str">
        <f>+Agencia[[#This Row],[idcoleccion]]&amp;"-"&amp;Agencia[[#This Row],[id]]</f>
        <v>990-0712</v>
      </c>
      <c r="W723" s="118">
        <f>+VLOOKUP(Agencia[[#This Row],[Filtro URL]],Estructura!$X$4:$Y$500,2,0)</f>
        <v>99200003</v>
      </c>
      <c r="X723" s="118" t="str">
        <f>+VLOOKUP(Agencia[[#This Row],[tema]],Estructura!$A$4:$C$500,3,0)</f>
        <v>T-1012</v>
      </c>
      <c r="Y723" s="118" t="str">
        <f>+VLOOKUP(Agencia[[#This Row],[contenido]],Estructura!$E$4:$G$500,3,0)</f>
        <v>C-993</v>
      </c>
      <c r="Z723" s="118" t="str">
        <f>+VLOOKUP(Agencia[[#This Row],[Filtro Integrado]],Estructura!$I$4:$K$500,3,0)</f>
        <v>FI-993</v>
      </c>
      <c r="AA723" s="118" t="str">
        <f>+VLOOKUP(Agencia[[#This Row],[Muestra]],Estructura!$M$4:$O$500,3,0)</f>
        <v>M-1055</v>
      </c>
    </row>
    <row r="724" spans="1:27" ht="57.6" x14ac:dyDescent="0.3">
      <c r="A724" s="21" t="s">
        <v>1316</v>
      </c>
      <c r="B724" s="24">
        <f t="shared" ref="B724:D724" si="1115">+B723</f>
        <v>990</v>
      </c>
      <c r="C724" s="25" t="str">
        <f t="shared" si="1115"/>
        <v>Agencia Información</v>
      </c>
      <c r="D724" s="25" t="str">
        <f t="shared" si="1115"/>
        <v>Economía</v>
      </c>
      <c r="E724" s="19">
        <v>4</v>
      </c>
      <c r="F724" s="18" t="s">
        <v>1590</v>
      </c>
      <c r="G724" s="18" t="s">
        <v>1601</v>
      </c>
      <c r="H724" s="35" t="s">
        <v>16</v>
      </c>
      <c r="I724" s="36" t="s">
        <v>371</v>
      </c>
      <c r="J724" s="9" t="str">
        <f t="shared" ref="J724:N724" si="1116">+J723</f>
        <v>Ninguno</v>
      </c>
      <c r="K724" s="9" t="str">
        <f t="shared" si="1116"/>
        <v>Cantidad de trabajadors dependientes informados</v>
      </c>
      <c r="L724" s="9" t="str">
        <f t="shared" si="1116"/>
        <v>Año 2019</v>
      </c>
      <c r="M724" s="9" t="str">
        <f t="shared" si="1116"/>
        <v>Personas</v>
      </c>
      <c r="N724" s="9" t="str">
        <f t="shared" si="1116"/>
        <v>Servicio de Impuestos Internos (SII)</v>
      </c>
      <c r="O724" s="20" t="str">
        <f>+"Número trabajadores dependientes informados por sexo según tamaño de empresa en la "&amp;I724&amp;", "&amp;Agencia[[#This Row],[temporalidad]]</f>
        <v>Número trabajadores dependientes informados por sexo según tamaño de empresa en la Región de Coquimbo, Año 2019</v>
      </c>
      <c r="P724" s="20"/>
      <c r="Q724" s="11" t="str">
        <f t="shared" si="1101"/>
        <v>Gráfico</v>
      </c>
      <c r="R724" s="20" t="str">
        <f>Agencia[[#This Row],[territorio]]&amp;" trabajadores dependientes informados tramo empresas ventas anuales grande mediana pequeña micro mujeres sexo hombres género sii"</f>
        <v>Región de Coquimbo trabajadores dependientes informados tramo empresas ventas anuales grande mediana pequeña micro mujeres sexo hombres género sii</v>
      </c>
      <c r="S724" s="39" t="str">
        <f>HYPERLINK("https://analytics.zoho.com/open-view/2395394000008435819?ZOHO_CRITERIA=%225.1%20Empresas_Tama%C3%B1o%22.%22Cod_Regi%C3%B3n%22%3D"&amp;Agencia[[#This Row],[Filtro URL]])</f>
        <v>https://analytics.zoho.com/open-view/2395394000008435819?ZOHO_CRITERIA=%225.1%20Empresas_Tama%C3%B1o%22.%22Cod_Regi%C3%B3n%22%3D4</v>
      </c>
      <c r="T724" s="68" t="str">
        <f>"100-R-"&amp;Agencia[[#This Row],[Filtro URL]]</f>
        <v>100-R-4</v>
      </c>
      <c r="U724" s="50" t="str">
        <f t="shared" si="1102"/>
        <v>#1774B9</v>
      </c>
      <c r="V724" s="118" t="str">
        <f>+Agencia[[#This Row],[idcoleccion]]&amp;"-"&amp;Agencia[[#This Row],[id]]</f>
        <v>990-0713</v>
      </c>
      <c r="W724" s="118">
        <f>+VLOOKUP(Agencia[[#This Row],[Filtro URL]],Estructura!$X$4:$Y$500,2,0)</f>
        <v>99200004</v>
      </c>
      <c r="X724" s="118" t="str">
        <f>+VLOOKUP(Agencia[[#This Row],[tema]],Estructura!$A$4:$C$500,3,0)</f>
        <v>T-1012</v>
      </c>
      <c r="Y724" s="118" t="str">
        <f>+VLOOKUP(Agencia[[#This Row],[contenido]],Estructura!$E$4:$G$500,3,0)</f>
        <v>C-993</v>
      </c>
      <c r="Z724" s="118" t="str">
        <f>+VLOOKUP(Agencia[[#This Row],[Filtro Integrado]],Estructura!$I$4:$K$500,3,0)</f>
        <v>FI-993</v>
      </c>
      <c r="AA724" s="118" t="str">
        <f>+VLOOKUP(Agencia[[#This Row],[Muestra]],Estructura!$M$4:$O$500,3,0)</f>
        <v>M-1055</v>
      </c>
    </row>
    <row r="725" spans="1:27" ht="57.6" x14ac:dyDescent="0.3">
      <c r="A725" s="21" t="s">
        <v>1317</v>
      </c>
      <c r="B725" s="24">
        <f t="shared" ref="B725:D725" si="1117">+B724</f>
        <v>990</v>
      </c>
      <c r="C725" s="25" t="str">
        <f t="shared" si="1117"/>
        <v>Agencia Información</v>
      </c>
      <c r="D725" s="25" t="str">
        <f t="shared" si="1117"/>
        <v>Economía</v>
      </c>
      <c r="E725" s="19">
        <v>5</v>
      </c>
      <c r="F725" s="18" t="s">
        <v>1590</v>
      </c>
      <c r="G725" s="18" t="s">
        <v>1601</v>
      </c>
      <c r="H725" s="35" t="s">
        <v>16</v>
      </c>
      <c r="I725" s="36" t="s">
        <v>372</v>
      </c>
      <c r="J725" s="9" t="str">
        <f t="shared" ref="J725:N725" si="1118">+J724</f>
        <v>Ninguno</v>
      </c>
      <c r="K725" s="9" t="str">
        <f t="shared" si="1118"/>
        <v>Cantidad de trabajadors dependientes informados</v>
      </c>
      <c r="L725" s="9" t="str">
        <f t="shared" si="1118"/>
        <v>Año 2019</v>
      </c>
      <c r="M725" s="9" t="str">
        <f t="shared" si="1118"/>
        <v>Personas</v>
      </c>
      <c r="N725" s="9" t="str">
        <f t="shared" si="1118"/>
        <v>Servicio de Impuestos Internos (SII)</v>
      </c>
      <c r="O725" s="20" t="str">
        <f>+"Número trabajadores dependientes informados por sexo según tamaño de empresa en la "&amp;I725&amp;", "&amp;Agencia[[#This Row],[temporalidad]]</f>
        <v>Número trabajadores dependientes informados por sexo según tamaño de empresa en la Región de Valparaíso, Año 2019</v>
      </c>
      <c r="P725" s="20"/>
      <c r="Q725" s="11" t="str">
        <f t="shared" si="1101"/>
        <v>Gráfico</v>
      </c>
      <c r="R725" s="20" t="str">
        <f>Agencia[[#This Row],[territorio]]&amp;" trabajadores dependientes informados tramo empresas ventas anuales grande mediana pequeña micro mujeres sexo hombres género sii"</f>
        <v>Región de Valparaíso trabajadores dependientes informados tramo empresas ventas anuales grande mediana pequeña micro mujeres sexo hombres género sii</v>
      </c>
      <c r="S725" s="39" t="str">
        <f>HYPERLINK("https://analytics.zoho.com/open-view/2395394000008435819?ZOHO_CRITERIA=%225.1%20Empresas_Tama%C3%B1o%22.%22Cod_Regi%C3%B3n%22%3D"&amp;Agencia[[#This Row],[Filtro URL]])</f>
        <v>https://analytics.zoho.com/open-view/2395394000008435819?ZOHO_CRITERIA=%225.1%20Empresas_Tama%C3%B1o%22.%22Cod_Regi%C3%B3n%22%3D5</v>
      </c>
      <c r="T725" s="68" t="str">
        <f>"100-R-"&amp;Agencia[[#This Row],[Filtro URL]]</f>
        <v>100-R-5</v>
      </c>
      <c r="U725" s="50" t="str">
        <f t="shared" si="1102"/>
        <v>#1774B9</v>
      </c>
      <c r="V725" s="118" t="str">
        <f>+Agencia[[#This Row],[idcoleccion]]&amp;"-"&amp;Agencia[[#This Row],[id]]</f>
        <v>990-0714</v>
      </c>
      <c r="W725" s="118">
        <f>+VLOOKUP(Agencia[[#This Row],[Filtro URL]],Estructura!$X$4:$Y$500,2,0)</f>
        <v>99200005</v>
      </c>
      <c r="X725" s="118" t="str">
        <f>+VLOOKUP(Agencia[[#This Row],[tema]],Estructura!$A$4:$C$500,3,0)</f>
        <v>T-1012</v>
      </c>
      <c r="Y725" s="118" t="str">
        <f>+VLOOKUP(Agencia[[#This Row],[contenido]],Estructura!$E$4:$G$500,3,0)</f>
        <v>C-993</v>
      </c>
      <c r="Z725" s="118" t="str">
        <f>+VLOOKUP(Agencia[[#This Row],[Filtro Integrado]],Estructura!$I$4:$K$500,3,0)</f>
        <v>FI-993</v>
      </c>
      <c r="AA725" s="118" t="str">
        <f>+VLOOKUP(Agencia[[#This Row],[Muestra]],Estructura!$M$4:$O$500,3,0)</f>
        <v>M-1055</v>
      </c>
    </row>
    <row r="726" spans="1:27" ht="57.6" x14ac:dyDescent="0.3">
      <c r="A726" s="21" t="s">
        <v>1318</v>
      </c>
      <c r="B726" s="24">
        <f t="shared" ref="B726:D726" si="1119">+B725</f>
        <v>990</v>
      </c>
      <c r="C726" s="25" t="str">
        <f t="shared" si="1119"/>
        <v>Agencia Información</v>
      </c>
      <c r="D726" s="25" t="str">
        <f t="shared" si="1119"/>
        <v>Economía</v>
      </c>
      <c r="E726" s="19">
        <v>6</v>
      </c>
      <c r="F726" s="18" t="s">
        <v>1590</v>
      </c>
      <c r="G726" s="18" t="s">
        <v>1601</v>
      </c>
      <c r="H726" s="35" t="s">
        <v>16</v>
      </c>
      <c r="I726" s="36" t="s">
        <v>373</v>
      </c>
      <c r="J726" s="9" t="str">
        <f t="shared" ref="J726:N726" si="1120">+J725</f>
        <v>Ninguno</v>
      </c>
      <c r="K726" s="9" t="str">
        <f t="shared" si="1120"/>
        <v>Cantidad de trabajadors dependientes informados</v>
      </c>
      <c r="L726" s="9" t="str">
        <f t="shared" si="1120"/>
        <v>Año 2019</v>
      </c>
      <c r="M726" s="9" t="str">
        <f t="shared" si="1120"/>
        <v>Personas</v>
      </c>
      <c r="N726" s="9" t="str">
        <f t="shared" si="1120"/>
        <v>Servicio de Impuestos Internos (SII)</v>
      </c>
      <c r="O726" s="20" t="str">
        <f>+"Número trabajadores dependientes informados por sexo según tamaño de empresa en la "&amp;I726&amp;", "&amp;Agencia[[#This Row],[temporalidad]]</f>
        <v>Número trabajadores dependientes informados por sexo según tamaño de empresa en la Región de O'Higgins, Año 2019</v>
      </c>
      <c r="P726" s="20"/>
      <c r="Q726" s="11" t="str">
        <f t="shared" si="1101"/>
        <v>Gráfico</v>
      </c>
      <c r="R726" s="20" t="str">
        <f>Agencia[[#This Row],[territorio]]&amp;" trabajadores dependientes informados tramo empresas ventas anuales grande mediana pequeña micro mujeres sexo hombres género sii"</f>
        <v>Región de O'Higgins trabajadores dependientes informados tramo empresas ventas anuales grande mediana pequeña micro mujeres sexo hombres género sii</v>
      </c>
      <c r="S726" s="39" t="str">
        <f>HYPERLINK("https://analytics.zoho.com/open-view/2395394000008435819?ZOHO_CRITERIA=%225.1%20Empresas_Tama%C3%B1o%22.%22Cod_Regi%C3%B3n%22%3D"&amp;Agencia[[#This Row],[Filtro URL]])</f>
        <v>https://analytics.zoho.com/open-view/2395394000008435819?ZOHO_CRITERIA=%225.1%20Empresas_Tama%C3%B1o%22.%22Cod_Regi%C3%B3n%22%3D6</v>
      </c>
      <c r="T726" s="68" t="str">
        <f>"100-R-"&amp;Agencia[[#This Row],[Filtro URL]]</f>
        <v>100-R-6</v>
      </c>
      <c r="U726" s="50" t="str">
        <f t="shared" si="1102"/>
        <v>#1774B9</v>
      </c>
      <c r="V726" s="118" t="str">
        <f>+Agencia[[#This Row],[idcoleccion]]&amp;"-"&amp;Agencia[[#This Row],[id]]</f>
        <v>990-0715</v>
      </c>
      <c r="W726" s="118">
        <f>+VLOOKUP(Agencia[[#This Row],[Filtro URL]],Estructura!$X$4:$Y$500,2,0)</f>
        <v>99200006</v>
      </c>
      <c r="X726" s="118" t="str">
        <f>+VLOOKUP(Agencia[[#This Row],[tema]],Estructura!$A$4:$C$500,3,0)</f>
        <v>T-1012</v>
      </c>
      <c r="Y726" s="118" t="str">
        <f>+VLOOKUP(Agencia[[#This Row],[contenido]],Estructura!$E$4:$G$500,3,0)</f>
        <v>C-993</v>
      </c>
      <c r="Z726" s="118" t="str">
        <f>+VLOOKUP(Agencia[[#This Row],[Filtro Integrado]],Estructura!$I$4:$K$500,3,0)</f>
        <v>FI-993</v>
      </c>
      <c r="AA726" s="118" t="str">
        <f>+VLOOKUP(Agencia[[#This Row],[Muestra]],Estructura!$M$4:$O$500,3,0)</f>
        <v>M-1055</v>
      </c>
    </row>
    <row r="727" spans="1:27" ht="57.6" x14ac:dyDescent="0.3">
      <c r="A727" s="21" t="s">
        <v>1319</v>
      </c>
      <c r="B727" s="24">
        <f t="shared" ref="B727:D727" si="1121">+B726</f>
        <v>990</v>
      </c>
      <c r="C727" s="25" t="str">
        <f t="shared" si="1121"/>
        <v>Agencia Información</v>
      </c>
      <c r="D727" s="25" t="str">
        <f t="shared" si="1121"/>
        <v>Economía</v>
      </c>
      <c r="E727" s="19">
        <v>7</v>
      </c>
      <c r="F727" s="18" t="s">
        <v>1590</v>
      </c>
      <c r="G727" s="18" t="s">
        <v>1601</v>
      </c>
      <c r="H727" s="35" t="s">
        <v>16</v>
      </c>
      <c r="I727" s="36" t="s">
        <v>374</v>
      </c>
      <c r="J727" s="9" t="str">
        <f t="shared" ref="J727:N727" si="1122">+J726</f>
        <v>Ninguno</v>
      </c>
      <c r="K727" s="9" t="str">
        <f t="shared" si="1122"/>
        <v>Cantidad de trabajadors dependientes informados</v>
      </c>
      <c r="L727" s="9" t="str">
        <f t="shared" si="1122"/>
        <v>Año 2019</v>
      </c>
      <c r="M727" s="9" t="str">
        <f t="shared" si="1122"/>
        <v>Personas</v>
      </c>
      <c r="N727" s="9" t="str">
        <f t="shared" si="1122"/>
        <v>Servicio de Impuestos Internos (SII)</v>
      </c>
      <c r="O727" s="20" t="str">
        <f>+"Número trabajadores dependientes informados por sexo según tamaño de empresa en la "&amp;I727&amp;", "&amp;Agencia[[#This Row],[temporalidad]]</f>
        <v>Número trabajadores dependientes informados por sexo según tamaño de empresa en la Región de Maule, Año 2019</v>
      </c>
      <c r="P727" s="20"/>
      <c r="Q727" s="11" t="str">
        <f t="shared" si="1101"/>
        <v>Gráfico</v>
      </c>
      <c r="R727" s="20" t="str">
        <f>Agencia[[#This Row],[territorio]]&amp;" trabajadores dependientes informados tramo empresas ventas anuales grande mediana pequeña micro mujeres sexo hombres género sii"</f>
        <v>Región de Maule trabajadores dependientes informados tramo empresas ventas anuales grande mediana pequeña micro mujeres sexo hombres género sii</v>
      </c>
      <c r="S727" s="39" t="str">
        <f>HYPERLINK("https://analytics.zoho.com/open-view/2395394000008435819?ZOHO_CRITERIA=%225.1%20Empresas_Tama%C3%B1o%22.%22Cod_Regi%C3%B3n%22%3D"&amp;Agencia[[#This Row],[Filtro URL]])</f>
        <v>https://analytics.zoho.com/open-view/2395394000008435819?ZOHO_CRITERIA=%225.1%20Empresas_Tama%C3%B1o%22.%22Cod_Regi%C3%B3n%22%3D7</v>
      </c>
      <c r="T727" s="68" t="str">
        <f>"100-R-"&amp;Agencia[[#This Row],[Filtro URL]]</f>
        <v>100-R-7</v>
      </c>
      <c r="U727" s="50" t="str">
        <f t="shared" si="1102"/>
        <v>#1774B9</v>
      </c>
      <c r="V727" s="118" t="str">
        <f>+Agencia[[#This Row],[idcoleccion]]&amp;"-"&amp;Agencia[[#This Row],[id]]</f>
        <v>990-0716</v>
      </c>
      <c r="W727" s="118">
        <f>+VLOOKUP(Agencia[[#This Row],[Filtro URL]],Estructura!$X$4:$Y$500,2,0)</f>
        <v>99200007</v>
      </c>
      <c r="X727" s="118" t="str">
        <f>+VLOOKUP(Agencia[[#This Row],[tema]],Estructura!$A$4:$C$500,3,0)</f>
        <v>T-1012</v>
      </c>
      <c r="Y727" s="118" t="str">
        <f>+VLOOKUP(Agencia[[#This Row],[contenido]],Estructura!$E$4:$G$500,3,0)</f>
        <v>C-993</v>
      </c>
      <c r="Z727" s="118" t="str">
        <f>+VLOOKUP(Agencia[[#This Row],[Filtro Integrado]],Estructura!$I$4:$K$500,3,0)</f>
        <v>FI-993</v>
      </c>
      <c r="AA727" s="118" t="str">
        <f>+VLOOKUP(Agencia[[#This Row],[Muestra]],Estructura!$M$4:$O$500,3,0)</f>
        <v>M-1055</v>
      </c>
    </row>
    <row r="728" spans="1:27" ht="57.6" x14ac:dyDescent="0.3">
      <c r="A728" s="21" t="s">
        <v>1320</v>
      </c>
      <c r="B728" s="24">
        <f t="shared" ref="B728:D728" si="1123">+B727</f>
        <v>990</v>
      </c>
      <c r="C728" s="25" t="str">
        <f t="shared" si="1123"/>
        <v>Agencia Información</v>
      </c>
      <c r="D728" s="25" t="str">
        <f t="shared" si="1123"/>
        <v>Economía</v>
      </c>
      <c r="E728" s="19">
        <v>8</v>
      </c>
      <c r="F728" s="18" t="s">
        <v>1590</v>
      </c>
      <c r="G728" s="18" t="s">
        <v>1601</v>
      </c>
      <c r="H728" s="35" t="s">
        <v>16</v>
      </c>
      <c r="I728" s="36" t="s">
        <v>375</v>
      </c>
      <c r="J728" s="9" t="str">
        <f t="shared" ref="J728:N728" si="1124">+J727</f>
        <v>Ninguno</v>
      </c>
      <c r="K728" s="9" t="str">
        <f t="shared" si="1124"/>
        <v>Cantidad de trabajadors dependientes informados</v>
      </c>
      <c r="L728" s="9" t="str">
        <f t="shared" si="1124"/>
        <v>Año 2019</v>
      </c>
      <c r="M728" s="9" t="str">
        <f t="shared" si="1124"/>
        <v>Personas</v>
      </c>
      <c r="N728" s="9" t="str">
        <f t="shared" si="1124"/>
        <v>Servicio de Impuestos Internos (SII)</v>
      </c>
      <c r="O728" s="20" t="str">
        <f>+"Número trabajadores dependientes informados por sexo según tamaño de empresa en la "&amp;I728&amp;", "&amp;Agencia[[#This Row],[temporalidad]]</f>
        <v>Número trabajadores dependientes informados por sexo según tamaño de empresa en la Región del Biobío, Año 2019</v>
      </c>
      <c r="P728" s="20"/>
      <c r="Q728" s="11" t="str">
        <f t="shared" si="1101"/>
        <v>Gráfico</v>
      </c>
      <c r="R728" s="20" t="str">
        <f>Agencia[[#This Row],[territorio]]&amp;" trabajadores dependientes informados tramo empresas ventas anuales grande mediana pequeña micro mujeres sexo hombres género sii"</f>
        <v>Región del Biobío trabajadores dependientes informados tramo empresas ventas anuales grande mediana pequeña micro mujeres sexo hombres género sii</v>
      </c>
      <c r="S728" s="39" t="str">
        <f>HYPERLINK("https://analytics.zoho.com/open-view/2395394000008435819?ZOHO_CRITERIA=%225.1%20Empresas_Tama%C3%B1o%22.%22Cod_Regi%C3%B3n%22%3D"&amp;Agencia[[#This Row],[Filtro URL]])</f>
        <v>https://analytics.zoho.com/open-view/2395394000008435819?ZOHO_CRITERIA=%225.1%20Empresas_Tama%C3%B1o%22.%22Cod_Regi%C3%B3n%22%3D8</v>
      </c>
      <c r="T728" s="68" t="str">
        <f>"100-R-"&amp;Agencia[[#This Row],[Filtro URL]]</f>
        <v>100-R-8</v>
      </c>
      <c r="U728" s="50" t="str">
        <f t="shared" si="1102"/>
        <v>#1774B9</v>
      </c>
      <c r="V728" s="118" t="str">
        <f>+Agencia[[#This Row],[idcoleccion]]&amp;"-"&amp;Agencia[[#This Row],[id]]</f>
        <v>990-0717</v>
      </c>
      <c r="W728" s="118">
        <f>+VLOOKUP(Agencia[[#This Row],[Filtro URL]],Estructura!$X$4:$Y$500,2,0)</f>
        <v>99200008</v>
      </c>
      <c r="X728" s="118" t="str">
        <f>+VLOOKUP(Agencia[[#This Row],[tema]],Estructura!$A$4:$C$500,3,0)</f>
        <v>T-1012</v>
      </c>
      <c r="Y728" s="118" t="str">
        <f>+VLOOKUP(Agencia[[#This Row],[contenido]],Estructura!$E$4:$G$500,3,0)</f>
        <v>C-993</v>
      </c>
      <c r="Z728" s="118" t="str">
        <f>+VLOOKUP(Agencia[[#This Row],[Filtro Integrado]],Estructura!$I$4:$K$500,3,0)</f>
        <v>FI-993</v>
      </c>
      <c r="AA728" s="118" t="str">
        <f>+VLOOKUP(Agencia[[#This Row],[Muestra]],Estructura!$M$4:$O$500,3,0)</f>
        <v>M-1055</v>
      </c>
    </row>
    <row r="729" spans="1:27" ht="57.6" x14ac:dyDescent="0.3">
      <c r="A729" s="21" t="s">
        <v>1321</v>
      </c>
      <c r="B729" s="24">
        <f t="shared" ref="B729:D729" si="1125">+B728</f>
        <v>990</v>
      </c>
      <c r="C729" s="25" t="str">
        <f t="shared" si="1125"/>
        <v>Agencia Información</v>
      </c>
      <c r="D729" s="25" t="str">
        <f t="shared" si="1125"/>
        <v>Economía</v>
      </c>
      <c r="E729" s="19">
        <v>9</v>
      </c>
      <c r="F729" s="18" t="s">
        <v>1590</v>
      </c>
      <c r="G729" s="18" t="s">
        <v>1601</v>
      </c>
      <c r="H729" s="35" t="s">
        <v>16</v>
      </c>
      <c r="I729" s="36" t="s">
        <v>376</v>
      </c>
      <c r="J729" s="9" t="str">
        <f t="shared" ref="J729:N729" si="1126">+J728</f>
        <v>Ninguno</v>
      </c>
      <c r="K729" s="9" t="str">
        <f t="shared" si="1126"/>
        <v>Cantidad de trabajadors dependientes informados</v>
      </c>
      <c r="L729" s="9" t="str">
        <f t="shared" si="1126"/>
        <v>Año 2019</v>
      </c>
      <c r="M729" s="9" t="str">
        <f t="shared" si="1126"/>
        <v>Personas</v>
      </c>
      <c r="N729" s="9" t="str">
        <f t="shared" si="1126"/>
        <v>Servicio de Impuestos Internos (SII)</v>
      </c>
      <c r="O729" s="20" t="str">
        <f>+"Número trabajadores dependientes informados por sexo según tamaño de empresa en la "&amp;I729&amp;", "&amp;Agencia[[#This Row],[temporalidad]]</f>
        <v>Número trabajadores dependientes informados por sexo según tamaño de empresa en la Región de La Araucanía, Año 2019</v>
      </c>
      <c r="P729" s="20"/>
      <c r="Q729" s="11" t="str">
        <f t="shared" si="1101"/>
        <v>Gráfico</v>
      </c>
      <c r="R729" s="20" t="str">
        <f>Agencia[[#This Row],[territorio]]&amp;" trabajadores dependientes informados tramo empresas ventas anuales grande mediana pequeña micro mujeres sexo hombres género sii"</f>
        <v>Región de La Araucanía trabajadores dependientes informados tramo empresas ventas anuales grande mediana pequeña micro mujeres sexo hombres género sii</v>
      </c>
      <c r="S729" s="39" t="str">
        <f>HYPERLINK("https://analytics.zoho.com/open-view/2395394000008435819?ZOHO_CRITERIA=%225.1%20Empresas_Tama%C3%B1o%22.%22Cod_Regi%C3%B3n%22%3D"&amp;Agencia[[#This Row],[Filtro URL]])</f>
        <v>https://analytics.zoho.com/open-view/2395394000008435819?ZOHO_CRITERIA=%225.1%20Empresas_Tama%C3%B1o%22.%22Cod_Regi%C3%B3n%22%3D9</v>
      </c>
      <c r="T729" s="68" t="str">
        <f>"100-R-"&amp;Agencia[[#This Row],[Filtro URL]]</f>
        <v>100-R-9</v>
      </c>
      <c r="U729" s="50" t="str">
        <f t="shared" si="1102"/>
        <v>#1774B9</v>
      </c>
      <c r="V729" s="118" t="str">
        <f>+Agencia[[#This Row],[idcoleccion]]&amp;"-"&amp;Agencia[[#This Row],[id]]</f>
        <v>990-0718</v>
      </c>
      <c r="W729" s="118">
        <f>+VLOOKUP(Agencia[[#This Row],[Filtro URL]],Estructura!$X$4:$Y$500,2,0)</f>
        <v>99200009</v>
      </c>
      <c r="X729" s="118" t="str">
        <f>+VLOOKUP(Agencia[[#This Row],[tema]],Estructura!$A$4:$C$500,3,0)</f>
        <v>T-1012</v>
      </c>
      <c r="Y729" s="118" t="str">
        <f>+VLOOKUP(Agencia[[#This Row],[contenido]],Estructura!$E$4:$G$500,3,0)</f>
        <v>C-993</v>
      </c>
      <c r="Z729" s="118" t="str">
        <f>+VLOOKUP(Agencia[[#This Row],[Filtro Integrado]],Estructura!$I$4:$K$500,3,0)</f>
        <v>FI-993</v>
      </c>
      <c r="AA729" s="118" t="str">
        <f>+VLOOKUP(Agencia[[#This Row],[Muestra]],Estructura!$M$4:$O$500,3,0)</f>
        <v>M-1055</v>
      </c>
    </row>
    <row r="730" spans="1:27" ht="57.6" x14ac:dyDescent="0.3">
      <c r="A730" s="21" t="s">
        <v>1322</v>
      </c>
      <c r="B730" s="24">
        <f t="shared" ref="B730:D730" si="1127">+B729</f>
        <v>990</v>
      </c>
      <c r="C730" s="25" t="str">
        <f t="shared" si="1127"/>
        <v>Agencia Información</v>
      </c>
      <c r="D730" s="25" t="str">
        <f t="shared" si="1127"/>
        <v>Economía</v>
      </c>
      <c r="E730" s="19">
        <v>10</v>
      </c>
      <c r="F730" s="18" t="s">
        <v>1590</v>
      </c>
      <c r="G730" s="18" t="s">
        <v>1601</v>
      </c>
      <c r="H730" s="35" t="s">
        <v>16</v>
      </c>
      <c r="I730" s="36" t="s">
        <v>377</v>
      </c>
      <c r="J730" s="9" t="str">
        <f t="shared" ref="J730:N730" si="1128">+J729</f>
        <v>Ninguno</v>
      </c>
      <c r="K730" s="9" t="str">
        <f t="shared" si="1128"/>
        <v>Cantidad de trabajadors dependientes informados</v>
      </c>
      <c r="L730" s="9" t="str">
        <f t="shared" si="1128"/>
        <v>Año 2019</v>
      </c>
      <c r="M730" s="9" t="str">
        <f t="shared" si="1128"/>
        <v>Personas</v>
      </c>
      <c r="N730" s="9" t="str">
        <f t="shared" si="1128"/>
        <v>Servicio de Impuestos Internos (SII)</v>
      </c>
      <c r="O730" s="20" t="str">
        <f>+"Número trabajadores dependientes informados por sexo según tamaño de empresa en la "&amp;I730&amp;", "&amp;Agencia[[#This Row],[temporalidad]]</f>
        <v>Número trabajadores dependientes informados por sexo según tamaño de empresa en la Región de Los Lagos, Año 2019</v>
      </c>
      <c r="P730" s="20"/>
      <c r="Q730" s="11" t="str">
        <f t="shared" si="1101"/>
        <v>Gráfico</v>
      </c>
      <c r="R730" s="20" t="str">
        <f>Agencia[[#This Row],[territorio]]&amp;" trabajadores dependientes informados tramo empresas ventas anuales grande mediana pequeña micro mujeres sexo hombres género sii"</f>
        <v>Región de Los Lagos trabajadores dependientes informados tramo empresas ventas anuales grande mediana pequeña micro mujeres sexo hombres género sii</v>
      </c>
      <c r="S730" s="39" t="str">
        <f>HYPERLINK("https://analytics.zoho.com/open-view/2395394000008435819?ZOHO_CRITERIA=%225.1%20Empresas_Tama%C3%B1o%22.%22Cod_Regi%C3%B3n%22%3D"&amp;Agencia[[#This Row],[Filtro URL]])</f>
        <v>https://analytics.zoho.com/open-view/2395394000008435819?ZOHO_CRITERIA=%225.1%20Empresas_Tama%C3%B1o%22.%22Cod_Regi%C3%B3n%22%3D10</v>
      </c>
      <c r="T730" s="68" t="str">
        <f>"100-R-"&amp;Agencia[[#This Row],[Filtro URL]]</f>
        <v>100-R-10</v>
      </c>
      <c r="U730" s="50" t="str">
        <f t="shared" si="1102"/>
        <v>#1774B9</v>
      </c>
      <c r="V730" s="118" t="str">
        <f>+Agencia[[#This Row],[idcoleccion]]&amp;"-"&amp;Agencia[[#This Row],[id]]</f>
        <v>990-0719</v>
      </c>
      <c r="W730" s="118">
        <f>+VLOOKUP(Agencia[[#This Row],[Filtro URL]],Estructura!$X$4:$Y$500,2,0)</f>
        <v>99200010</v>
      </c>
      <c r="X730" s="118" t="str">
        <f>+VLOOKUP(Agencia[[#This Row],[tema]],Estructura!$A$4:$C$500,3,0)</f>
        <v>T-1012</v>
      </c>
      <c r="Y730" s="118" t="str">
        <f>+VLOOKUP(Agencia[[#This Row],[contenido]],Estructura!$E$4:$G$500,3,0)</f>
        <v>C-993</v>
      </c>
      <c r="Z730" s="118" t="str">
        <f>+VLOOKUP(Agencia[[#This Row],[Filtro Integrado]],Estructura!$I$4:$K$500,3,0)</f>
        <v>FI-993</v>
      </c>
      <c r="AA730" s="118" t="str">
        <f>+VLOOKUP(Agencia[[#This Row],[Muestra]],Estructura!$M$4:$O$500,3,0)</f>
        <v>M-1055</v>
      </c>
    </row>
    <row r="731" spans="1:27" ht="57.6" x14ac:dyDescent="0.3">
      <c r="A731" s="21" t="s">
        <v>1323</v>
      </c>
      <c r="B731" s="24">
        <f t="shared" ref="B731:D731" si="1129">+B730</f>
        <v>990</v>
      </c>
      <c r="C731" s="25" t="str">
        <f t="shared" si="1129"/>
        <v>Agencia Información</v>
      </c>
      <c r="D731" s="25" t="str">
        <f t="shared" si="1129"/>
        <v>Economía</v>
      </c>
      <c r="E731" s="19">
        <v>11</v>
      </c>
      <c r="F731" s="18" t="s">
        <v>1590</v>
      </c>
      <c r="G731" s="18" t="s">
        <v>1601</v>
      </c>
      <c r="H731" s="35" t="s">
        <v>16</v>
      </c>
      <c r="I731" s="36" t="s">
        <v>378</v>
      </c>
      <c r="J731" s="9" t="str">
        <f t="shared" ref="J731:N731" si="1130">+J730</f>
        <v>Ninguno</v>
      </c>
      <c r="K731" s="9" t="str">
        <f t="shared" si="1130"/>
        <v>Cantidad de trabajadors dependientes informados</v>
      </c>
      <c r="L731" s="9" t="str">
        <f t="shared" si="1130"/>
        <v>Año 2019</v>
      </c>
      <c r="M731" s="9" t="str">
        <f t="shared" si="1130"/>
        <v>Personas</v>
      </c>
      <c r="N731" s="9" t="str">
        <f t="shared" si="1130"/>
        <v>Servicio de Impuestos Internos (SII)</v>
      </c>
      <c r="O731" s="20" t="str">
        <f>+"Número trabajadores dependientes informados por sexo según tamaño de empresa en la "&amp;I731&amp;", "&amp;Agencia[[#This Row],[temporalidad]]</f>
        <v>Número trabajadores dependientes informados por sexo según tamaño de empresa en la Región de Aysén, Año 2019</v>
      </c>
      <c r="P731" s="20"/>
      <c r="Q731" s="11" t="str">
        <f t="shared" si="1101"/>
        <v>Gráfico</v>
      </c>
      <c r="R731" s="20" t="str">
        <f>Agencia[[#This Row],[territorio]]&amp;" trabajadores dependientes informados tramo empresas ventas anuales grande mediana pequeña micro mujeres sexo hombres género sii"</f>
        <v>Región de Aysén trabajadores dependientes informados tramo empresas ventas anuales grande mediana pequeña micro mujeres sexo hombres género sii</v>
      </c>
      <c r="S731" s="39" t="str">
        <f>HYPERLINK("https://analytics.zoho.com/open-view/2395394000008435819?ZOHO_CRITERIA=%225.1%20Empresas_Tama%C3%B1o%22.%22Cod_Regi%C3%B3n%22%3D"&amp;Agencia[[#This Row],[Filtro URL]])</f>
        <v>https://analytics.zoho.com/open-view/2395394000008435819?ZOHO_CRITERIA=%225.1%20Empresas_Tama%C3%B1o%22.%22Cod_Regi%C3%B3n%22%3D11</v>
      </c>
      <c r="T731" s="68" t="str">
        <f>"100-R-"&amp;Agencia[[#This Row],[Filtro URL]]</f>
        <v>100-R-11</v>
      </c>
      <c r="U731" s="50" t="str">
        <f t="shared" si="1102"/>
        <v>#1774B9</v>
      </c>
      <c r="V731" s="118" t="str">
        <f>+Agencia[[#This Row],[idcoleccion]]&amp;"-"&amp;Agencia[[#This Row],[id]]</f>
        <v>990-0720</v>
      </c>
      <c r="W731" s="118">
        <f>+VLOOKUP(Agencia[[#This Row],[Filtro URL]],Estructura!$X$4:$Y$500,2,0)</f>
        <v>99200011</v>
      </c>
      <c r="X731" s="118" t="str">
        <f>+VLOOKUP(Agencia[[#This Row],[tema]],Estructura!$A$4:$C$500,3,0)</f>
        <v>T-1012</v>
      </c>
      <c r="Y731" s="118" t="str">
        <f>+VLOOKUP(Agencia[[#This Row],[contenido]],Estructura!$E$4:$G$500,3,0)</f>
        <v>C-993</v>
      </c>
      <c r="Z731" s="118" t="str">
        <f>+VLOOKUP(Agencia[[#This Row],[Filtro Integrado]],Estructura!$I$4:$K$500,3,0)</f>
        <v>FI-993</v>
      </c>
      <c r="AA731" s="118" t="str">
        <f>+VLOOKUP(Agencia[[#This Row],[Muestra]],Estructura!$M$4:$O$500,3,0)</f>
        <v>M-1055</v>
      </c>
    </row>
    <row r="732" spans="1:27" ht="57.6" x14ac:dyDescent="0.3">
      <c r="A732" s="21" t="s">
        <v>1324</v>
      </c>
      <c r="B732" s="24">
        <f t="shared" ref="B732:D732" si="1131">+B731</f>
        <v>990</v>
      </c>
      <c r="C732" s="25" t="str">
        <f t="shared" si="1131"/>
        <v>Agencia Información</v>
      </c>
      <c r="D732" s="25" t="str">
        <f t="shared" si="1131"/>
        <v>Economía</v>
      </c>
      <c r="E732" s="19">
        <v>12</v>
      </c>
      <c r="F732" s="18" t="s">
        <v>1590</v>
      </c>
      <c r="G732" s="18" t="s">
        <v>1601</v>
      </c>
      <c r="H732" s="35" t="s">
        <v>16</v>
      </c>
      <c r="I732" s="36" t="s">
        <v>379</v>
      </c>
      <c r="J732" s="9" t="str">
        <f t="shared" ref="J732:N732" si="1132">+J731</f>
        <v>Ninguno</v>
      </c>
      <c r="K732" s="9" t="str">
        <f t="shared" si="1132"/>
        <v>Cantidad de trabajadors dependientes informados</v>
      </c>
      <c r="L732" s="9" t="str">
        <f t="shared" si="1132"/>
        <v>Año 2019</v>
      </c>
      <c r="M732" s="9" t="str">
        <f t="shared" si="1132"/>
        <v>Personas</v>
      </c>
      <c r="N732" s="9" t="str">
        <f t="shared" si="1132"/>
        <v>Servicio de Impuestos Internos (SII)</v>
      </c>
      <c r="O732" s="20" t="str">
        <f>+"Número trabajadores dependientes informados por sexo según tamaño de empresa en la "&amp;I732&amp;", "&amp;Agencia[[#This Row],[temporalidad]]</f>
        <v>Número trabajadores dependientes informados por sexo según tamaño de empresa en la Región de Magallanes, Año 2019</v>
      </c>
      <c r="P732" s="20"/>
      <c r="Q732" s="11" t="str">
        <f t="shared" si="1101"/>
        <v>Gráfico</v>
      </c>
      <c r="R732" s="20" t="str">
        <f>Agencia[[#This Row],[territorio]]&amp;" trabajadores dependientes informados tramo empresas ventas anuales grande mediana pequeña micro mujeres sexo hombres género sii"</f>
        <v>Región de Magallanes trabajadores dependientes informados tramo empresas ventas anuales grande mediana pequeña micro mujeres sexo hombres género sii</v>
      </c>
      <c r="S732" s="39" t="str">
        <f>HYPERLINK("https://analytics.zoho.com/open-view/2395394000008435819?ZOHO_CRITERIA=%225.1%20Empresas_Tama%C3%B1o%22.%22Cod_Regi%C3%B3n%22%3D"&amp;Agencia[[#This Row],[Filtro URL]])</f>
        <v>https://analytics.zoho.com/open-view/2395394000008435819?ZOHO_CRITERIA=%225.1%20Empresas_Tama%C3%B1o%22.%22Cod_Regi%C3%B3n%22%3D12</v>
      </c>
      <c r="T732" s="68" t="str">
        <f>"100-R-"&amp;Agencia[[#This Row],[Filtro URL]]</f>
        <v>100-R-12</v>
      </c>
      <c r="U732" s="50" t="str">
        <f t="shared" si="1102"/>
        <v>#1774B9</v>
      </c>
      <c r="V732" s="118" t="str">
        <f>+Agencia[[#This Row],[idcoleccion]]&amp;"-"&amp;Agencia[[#This Row],[id]]</f>
        <v>990-0721</v>
      </c>
      <c r="W732" s="118">
        <f>+VLOOKUP(Agencia[[#This Row],[Filtro URL]],Estructura!$X$4:$Y$500,2,0)</f>
        <v>99200012</v>
      </c>
      <c r="X732" s="118" t="str">
        <f>+VLOOKUP(Agencia[[#This Row],[tema]],Estructura!$A$4:$C$500,3,0)</f>
        <v>T-1012</v>
      </c>
      <c r="Y732" s="118" t="str">
        <f>+VLOOKUP(Agencia[[#This Row],[contenido]],Estructura!$E$4:$G$500,3,0)</f>
        <v>C-993</v>
      </c>
      <c r="Z732" s="118" t="str">
        <f>+VLOOKUP(Agencia[[#This Row],[Filtro Integrado]],Estructura!$I$4:$K$500,3,0)</f>
        <v>FI-993</v>
      </c>
      <c r="AA732" s="118" t="str">
        <f>+VLOOKUP(Agencia[[#This Row],[Muestra]],Estructura!$M$4:$O$500,3,0)</f>
        <v>M-1055</v>
      </c>
    </row>
    <row r="733" spans="1:27" ht="57.6" x14ac:dyDescent="0.3">
      <c r="A733" s="21" t="s">
        <v>1325</v>
      </c>
      <c r="B733" s="24">
        <f t="shared" ref="B733:D733" si="1133">+B732</f>
        <v>990</v>
      </c>
      <c r="C733" s="25" t="str">
        <f t="shared" si="1133"/>
        <v>Agencia Información</v>
      </c>
      <c r="D733" s="25" t="str">
        <f t="shared" si="1133"/>
        <v>Economía</v>
      </c>
      <c r="E733" s="19">
        <v>13</v>
      </c>
      <c r="F733" s="18" t="s">
        <v>1590</v>
      </c>
      <c r="G733" s="18" t="s">
        <v>1601</v>
      </c>
      <c r="H733" s="35" t="s">
        <v>16</v>
      </c>
      <c r="I733" s="36" t="s">
        <v>380</v>
      </c>
      <c r="J733" s="9" t="str">
        <f t="shared" ref="J733:N733" si="1134">+J732</f>
        <v>Ninguno</v>
      </c>
      <c r="K733" s="9" t="str">
        <f t="shared" si="1134"/>
        <v>Cantidad de trabajadors dependientes informados</v>
      </c>
      <c r="L733" s="9" t="str">
        <f t="shared" si="1134"/>
        <v>Año 2019</v>
      </c>
      <c r="M733" s="9" t="str">
        <f t="shared" si="1134"/>
        <v>Personas</v>
      </c>
      <c r="N733" s="9" t="str">
        <f t="shared" si="1134"/>
        <v>Servicio de Impuestos Internos (SII)</v>
      </c>
      <c r="O733" s="20" t="str">
        <f>+"Número trabajadores dependientes informados por sexo según tamaño de empresa en la "&amp;I733&amp;", "&amp;Agencia[[#This Row],[temporalidad]]</f>
        <v>Número trabajadores dependientes informados por sexo según tamaño de empresa en la Región Metropolitana, Año 2019</v>
      </c>
      <c r="P733" s="20"/>
      <c r="Q733" s="11" t="str">
        <f t="shared" si="1101"/>
        <v>Gráfico</v>
      </c>
      <c r="R733" s="20" t="str">
        <f>Agencia[[#This Row],[territorio]]&amp;" trabajadores dependientes informados tramo empresas ventas anuales grande mediana pequeña micro mujeres sexo hombres género sii"</f>
        <v>Región Metropolitana trabajadores dependientes informados tramo empresas ventas anuales grande mediana pequeña micro mujeres sexo hombres género sii</v>
      </c>
      <c r="S733" s="39" t="str">
        <f>HYPERLINK("https://analytics.zoho.com/open-view/2395394000008435819?ZOHO_CRITERIA=%225.1%20Empresas_Tama%C3%B1o%22.%22Cod_Regi%C3%B3n%22%3D"&amp;Agencia[[#This Row],[Filtro URL]])</f>
        <v>https://analytics.zoho.com/open-view/2395394000008435819?ZOHO_CRITERIA=%225.1%20Empresas_Tama%C3%B1o%22.%22Cod_Regi%C3%B3n%22%3D13</v>
      </c>
      <c r="T733" s="68" t="str">
        <f>"200-R-"&amp;Agencia[[#This Row],[Filtro URL]]</f>
        <v>200-R-13</v>
      </c>
      <c r="U733" s="50" t="str">
        <f t="shared" si="1102"/>
        <v>#1774B9</v>
      </c>
      <c r="V733" s="118" t="str">
        <f>+Agencia[[#This Row],[idcoleccion]]&amp;"-"&amp;Agencia[[#This Row],[id]]</f>
        <v>990-0722</v>
      </c>
      <c r="W733" s="118">
        <f>+VLOOKUP(Agencia[[#This Row],[Filtro URL]],Estructura!$X$4:$Y$500,2,0)</f>
        <v>99200013</v>
      </c>
      <c r="X733" s="118" t="str">
        <f>+VLOOKUP(Agencia[[#This Row],[tema]],Estructura!$A$4:$C$500,3,0)</f>
        <v>T-1012</v>
      </c>
      <c r="Y733" s="118" t="str">
        <f>+VLOOKUP(Agencia[[#This Row],[contenido]],Estructura!$E$4:$G$500,3,0)</f>
        <v>C-993</v>
      </c>
      <c r="Z733" s="118" t="str">
        <f>+VLOOKUP(Agencia[[#This Row],[Filtro Integrado]],Estructura!$I$4:$K$500,3,0)</f>
        <v>FI-993</v>
      </c>
      <c r="AA733" s="118" t="str">
        <f>+VLOOKUP(Agencia[[#This Row],[Muestra]],Estructura!$M$4:$O$500,3,0)</f>
        <v>M-1055</v>
      </c>
    </row>
    <row r="734" spans="1:27" ht="57.6" x14ac:dyDescent="0.3">
      <c r="A734" s="21" t="s">
        <v>1326</v>
      </c>
      <c r="B734" s="24">
        <f t="shared" ref="B734:D734" si="1135">+B733</f>
        <v>990</v>
      </c>
      <c r="C734" s="25" t="str">
        <f t="shared" si="1135"/>
        <v>Agencia Información</v>
      </c>
      <c r="D734" s="25" t="str">
        <f t="shared" si="1135"/>
        <v>Economía</v>
      </c>
      <c r="E734" s="19">
        <v>14</v>
      </c>
      <c r="F734" s="18" t="s">
        <v>1590</v>
      </c>
      <c r="G734" s="18" t="s">
        <v>1601</v>
      </c>
      <c r="H734" s="35" t="s">
        <v>16</v>
      </c>
      <c r="I734" s="36" t="s">
        <v>381</v>
      </c>
      <c r="J734" s="9" t="str">
        <f t="shared" ref="J734:N734" si="1136">+J733</f>
        <v>Ninguno</v>
      </c>
      <c r="K734" s="9" t="str">
        <f t="shared" si="1136"/>
        <v>Cantidad de trabajadors dependientes informados</v>
      </c>
      <c r="L734" s="9" t="str">
        <f t="shared" si="1136"/>
        <v>Año 2019</v>
      </c>
      <c r="M734" s="9" t="str">
        <f t="shared" si="1136"/>
        <v>Personas</v>
      </c>
      <c r="N734" s="9" t="str">
        <f t="shared" si="1136"/>
        <v>Servicio de Impuestos Internos (SII)</v>
      </c>
      <c r="O734" s="20" t="str">
        <f>+"Número trabajadores dependientes informados por sexo según tamaño de empresa en la "&amp;I734&amp;", "&amp;Agencia[[#This Row],[temporalidad]]</f>
        <v>Número trabajadores dependientes informados por sexo según tamaño de empresa en la Región de Los Ríos, Año 2019</v>
      </c>
      <c r="P734" s="20"/>
      <c r="Q734" s="11" t="str">
        <f t="shared" si="1101"/>
        <v>Gráfico</v>
      </c>
      <c r="R734" s="20" t="str">
        <f>Agencia[[#This Row],[territorio]]&amp;" trabajadores dependientes informados tramo empresas ventas anuales grande mediana pequeña micro mujeres sexo hombres género sii"</f>
        <v>Región de Los Ríos trabajadores dependientes informados tramo empresas ventas anuales grande mediana pequeña micro mujeres sexo hombres género sii</v>
      </c>
      <c r="S734" s="39" t="str">
        <f>HYPERLINK("https://analytics.zoho.com/open-view/2395394000008435819?ZOHO_CRITERIA=%225.1%20Empresas_Tama%C3%B1o%22.%22Cod_Regi%C3%B3n%22%3D"&amp;Agencia[[#This Row],[Filtro URL]])</f>
        <v>https://analytics.zoho.com/open-view/2395394000008435819?ZOHO_CRITERIA=%225.1%20Empresas_Tama%C3%B1o%22.%22Cod_Regi%C3%B3n%22%3D14</v>
      </c>
      <c r="T734" s="68" t="str">
        <f>"100-R-"&amp;Agencia[[#This Row],[Filtro URL]]</f>
        <v>100-R-14</v>
      </c>
      <c r="U734" s="50" t="str">
        <f t="shared" si="1102"/>
        <v>#1774B9</v>
      </c>
      <c r="V734" s="118" t="str">
        <f>+Agencia[[#This Row],[idcoleccion]]&amp;"-"&amp;Agencia[[#This Row],[id]]</f>
        <v>990-0723</v>
      </c>
      <c r="W734" s="118">
        <f>+VLOOKUP(Agencia[[#This Row],[Filtro URL]],Estructura!$X$4:$Y$500,2,0)</f>
        <v>99200014</v>
      </c>
      <c r="X734" s="118" t="str">
        <f>+VLOOKUP(Agencia[[#This Row],[tema]],Estructura!$A$4:$C$500,3,0)</f>
        <v>T-1012</v>
      </c>
      <c r="Y734" s="118" t="str">
        <f>+VLOOKUP(Agencia[[#This Row],[contenido]],Estructura!$E$4:$G$500,3,0)</f>
        <v>C-993</v>
      </c>
      <c r="Z734" s="118" t="str">
        <f>+VLOOKUP(Agencia[[#This Row],[Filtro Integrado]],Estructura!$I$4:$K$500,3,0)</f>
        <v>FI-993</v>
      </c>
      <c r="AA734" s="118" t="str">
        <f>+VLOOKUP(Agencia[[#This Row],[Muestra]],Estructura!$M$4:$O$500,3,0)</f>
        <v>M-1055</v>
      </c>
    </row>
    <row r="735" spans="1:27" ht="57.6" x14ac:dyDescent="0.3">
      <c r="A735" s="21" t="s">
        <v>1327</v>
      </c>
      <c r="B735" s="24">
        <f t="shared" ref="B735:D735" si="1137">+B734</f>
        <v>990</v>
      </c>
      <c r="C735" s="25" t="str">
        <f t="shared" si="1137"/>
        <v>Agencia Información</v>
      </c>
      <c r="D735" s="25" t="str">
        <f t="shared" si="1137"/>
        <v>Economía</v>
      </c>
      <c r="E735" s="19">
        <v>15</v>
      </c>
      <c r="F735" s="18" t="s">
        <v>1590</v>
      </c>
      <c r="G735" s="18" t="s">
        <v>1601</v>
      </c>
      <c r="H735" s="35" t="s">
        <v>16</v>
      </c>
      <c r="I735" s="36" t="s">
        <v>382</v>
      </c>
      <c r="J735" s="9" t="str">
        <f t="shared" ref="J735:N735" si="1138">+J734</f>
        <v>Ninguno</v>
      </c>
      <c r="K735" s="9" t="str">
        <f t="shared" si="1138"/>
        <v>Cantidad de trabajadors dependientes informados</v>
      </c>
      <c r="L735" s="9" t="str">
        <f t="shared" si="1138"/>
        <v>Año 2019</v>
      </c>
      <c r="M735" s="9" t="str">
        <f t="shared" si="1138"/>
        <v>Personas</v>
      </c>
      <c r="N735" s="9" t="str">
        <f t="shared" si="1138"/>
        <v>Servicio de Impuestos Internos (SII)</v>
      </c>
      <c r="O735" s="20" t="str">
        <f>+"Número trabajadores dependientes informados por sexo según tamaño de empresa en la "&amp;I735&amp;", "&amp;Agencia[[#This Row],[temporalidad]]</f>
        <v>Número trabajadores dependientes informados por sexo según tamaño de empresa en la Región de Arica y Parinacota, Año 2019</v>
      </c>
      <c r="P735" s="20"/>
      <c r="Q735" s="11" t="str">
        <f t="shared" si="1101"/>
        <v>Gráfico</v>
      </c>
      <c r="R735" s="20" t="str">
        <f>Agencia[[#This Row],[territorio]]&amp;" trabajadores dependientes informados tramo empresas ventas anuales grande mediana pequeña micro mujeres sexo hombres género sii"</f>
        <v>Región de Arica y Parinacota trabajadores dependientes informados tramo empresas ventas anuales grande mediana pequeña micro mujeres sexo hombres género sii</v>
      </c>
      <c r="S735" s="39" t="str">
        <f>HYPERLINK("https://analytics.zoho.com/open-view/2395394000008435819?ZOHO_CRITERIA=%225.1%20Empresas_Tama%C3%B1o%22.%22Cod_Regi%C3%B3n%22%3D"&amp;Agencia[[#This Row],[Filtro URL]])</f>
        <v>https://analytics.zoho.com/open-view/2395394000008435819?ZOHO_CRITERIA=%225.1%20Empresas_Tama%C3%B1o%22.%22Cod_Regi%C3%B3n%22%3D15</v>
      </c>
      <c r="T735" s="68" t="str">
        <f>"100-R-"&amp;Agencia[[#This Row],[Filtro URL]]</f>
        <v>100-R-15</v>
      </c>
      <c r="U735" s="50" t="str">
        <f t="shared" si="1102"/>
        <v>#1774B9</v>
      </c>
      <c r="V735" s="118" t="str">
        <f>+Agencia[[#This Row],[idcoleccion]]&amp;"-"&amp;Agencia[[#This Row],[id]]</f>
        <v>990-0724</v>
      </c>
      <c r="W735" s="118">
        <f>+VLOOKUP(Agencia[[#This Row],[Filtro URL]],Estructura!$X$4:$Y$500,2,0)</f>
        <v>99200015</v>
      </c>
      <c r="X735" s="118" t="str">
        <f>+VLOOKUP(Agencia[[#This Row],[tema]],Estructura!$A$4:$C$500,3,0)</f>
        <v>T-1012</v>
      </c>
      <c r="Y735" s="118" t="str">
        <f>+VLOOKUP(Agencia[[#This Row],[contenido]],Estructura!$E$4:$G$500,3,0)</f>
        <v>C-993</v>
      </c>
      <c r="Z735" s="118" t="str">
        <f>+VLOOKUP(Agencia[[#This Row],[Filtro Integrado]],Estructura!$I$4:$K$500,3,0)</f>
        <v>FI-993</v>
      </c>
      <c r="AA735" s="118" t="str">
        <f>+VLOOKUP(Agencia[[#This Row],[Muestra]],Estructura!$M$4:$O$500,3,0)</f>
        <v>M-1055</v>
      </c>
    </row>
    <row r="736" spans="1:27" ht="57.6" x14ac:dyDescent="0.3">
      <c r="A736" s="21" t="s">
        <v>1328</v>
      </c>
      <c r="B736" s="24">
        <f t="shared" ref="B736:D736" si="1139">+B735</f>
        <v>990</v>
      </c>
      <c r="C736" s="25" t="str">
        <f t="shared" si="1139"/>
        <v>Agencia Información</v>
      </c>
      <c r="D736" s="25" t="str">
        <f t="shared" si="1139"/>
        <v>Economía</v>
      </c>
      <c r="E736" s="19">
        <v>16</v>
      </c>
      <c r="F736" s="18" t="s">
        <v>1590</v>
      </c>
      <c r="G736" s="18" t="s">
        <v>1601</v>
      </c>
      <c r="H736" s="35" t="s">
        <v>16</v>
      </c>
      <c r="I736" s="36" t="s">
        <v>383</v>
      </c>
      <c r="J736" s="9" t="str">
        <f t="shared" ref="J736:N736" si="1140">+J735</f>
        <v>Ninguno</v>
      </c>
      <c r="K736" s="9" t="str">
        <f t="shared" si="1140"/>
        <v>Cantidad de trabajadors dependientes informados</v>
      </c>
      <c r="L736" s="9" t="str">
        <f t="shared" si="1140"/>
        <v>Año 2019</v>
      </c>
      <c r="M736" s="9" t="str">
        <f t="shared" si="1140"/>
        <v>Personas</v>
      </c>
      <c r="N736" s="9" t="str">
        <f t="shared" si="1140"/>
        <v>Servicio de Impuestos Internos (SII)</v>
      </c>
      <c r="O736" s="20" t="str">
        <f>+"Número trabajadores dependientes informados por sexo según tamaño de empresa en la "&amp;I736&amp;", "&amp;Agencia[[#This Row],[temporalidad]]</f>
        <v>Número trabajadores dependientes informados por sexo según tamaño de empresa en la Región de Ñuble, Año 2019</v>
      </c>
      <c r="P736" s="20"/>
      <c r="Q736" s="11" t="str">
        <f t="shared" si="1101"/>
        <v>Gráfico</v>
      </c>
      <c r="R736" s="20" t="str">
        <f>Agencia[[#This Row],[territorio]]&amp;" trabajadores dependientes informados tramo empresas ventas anuales grande mediana pequeña micro mujeres sexo hombres género sii"</f>
        <v>Región de Ñuble trabajadores dependientes informados tramo empresas ventas anuales grande mediana pequeña micro mujeres sexo hombres género sii</v>
      </c>
      <c r="S736" s="39" t="str">
        <f>HYPERLINK("https://analytics.zoho.com/open-view/2395394000008435819?ZOHO_CRITERIA=%225.1%20Empresas_Tama%C3%B1o%22.%22Cod_Regi%C3%B3n%22%3D"&amp;Agencia[[#This Row],[Filtro URL]])</f>
        <v>https://analytics.zoho.com/open-view/2395394000008435819?ZOHO_CRITERIA=%225.1%20Empresas_Tama%C3%B1o%22.%22Cod_Regi%C3%B3n%22%3D16</v>
      </c>
      <c r="T736" s="68" t="str">
        <f>"100-R-"&amp;Agencia[[#This Row],[Filtro URL]]</f>
        <v>100-R-16</v>
      </c>
      <c r="U736" s="50" t="str">
        <f t="shared" si="1102"/>
        <v>#1774B9</v>
      </c>
      <c r="V736" s="118" t="str">
        <f>+Agencia[[#This Row],[idcoleccion]]&amp;"-"&amp;Agencia[[#This Row],[id]]</f>
        <v>990-0725</v>
      </c>
      <c r="W736" s="118">
        <f>+VLOOKUP(Agencia[[#This Row],[Filtro URL]],Estructura!$X$4:$Y$500,2,0)</f>
        <v>99200016</v>
      </c>
      <c r="X736" s="118" t="str">
        <f>+VLOOKUP(Agencia[[#This Row],[tema]],Estructura!$A$4:$C$500,3,0)</f>
        <v>T-1012</v>
      </c>
      <c r="Y736" s="118" t="str">
        <f>+VLOOKUP(Agencia[[#This Row],[contenido]],Estructura!$E$4:$G$500,3,0)</f>
        <v>C-993</v>
      </c>
      <c r="Z736" s="118" t="str">
        <f>+VLOOKUP(Agencia[[#This Row],[Filtro Integrado]],Estructura!$I$4:$K$500,3,0)</f>
        <v>FI-993</v>
      </c>
      <c r="AA736" s="118" t="str">
        <f>+VLOOKUP(Agencia[[#This Row],[Muestra]],Estructura!$M$4:$O$500,3,0)</f>
        <v>M-1055</v>
      </c>
    </row>
    <row r="737" spans="1:27" ht="24" x14ac:dyDescent="0.3">
      <c r="A737" s="21" t="s">
        <v>1329</v>
      </c>
      <c r="B737" s="24">
        <f t="shared" ref="B737:C737" si="1141">+B736</f>
        <v>990</v>
      </c>
      <c r="C737" s="25" t="str">
        <f t="shared" si="1141"/>
        <v>Agencia Información</v>
      </c>
      <c r="D737" s="25" t="s">
        <v>881</v>
      </c>
      <c r="E737" s="14">
        <v>0</v>
      </c>
      <c r="F737" s="18" t="s">
        <v>1596</v>
      </c>
      <c r="G737" s="18" t="s">
        <v>1601</v>
      </c>
      <c r="H737" s="33" t="s">
        <v>20</v>
      </c>
      <c r="I737" s="34" t="s">
        <v>15</v>
      </c>
      <c r="J737" s="9" t="s">
        <v>16</v>
      </c>
      <c r="K737" s="9" t="s">
        <v>1595</v>
      </c>
      <c r="L737" s="9" t="s">
        <v>1489</v>
      </c>
      <c r="M737" s="9" t="s">
        <v>1594</v>
      </c>
      <c r="N737" s="9" t="s">
        <v>885</v>
      </c>
      <c r="O737" s="20" t="str">
        <f>+"Renta neta informada de trabajadoras en "&amp;I737&amp;", "&amp;Agencia[[#This Row],[temporalidad]]</f>
        <v>Renta neta informada de trabajadoras en Chile, Periodo 2005-2019</v>
      </c>
      <c r="P737" s="20"/>
      <c r="Q737" s="11" t="s">
        <v>821</v>
      </c>
      <c r="R737" s="20" t="str">
        <f>Agencia[[#This Row],[territorio]]&amp;" regional trabajadoras mujeres renta neta informada sii tamaño empresa micro"</f>
        <v>Chile regional trabajadoras mujeres renta neta informada sii tamaño empresa micro</v>
      </c>
      <c r="S737" s="22" t="s">
        <v>1597</v>
      </c>
      <c r="T737" s="68" t="s">
        <v>855</v>
      </c>
      <c r="U737" s="50" t="str">
        <f t="shared" si="1102"/>
        <v>#1774B9</v>
      </c>
      <c r="V737" s="118" t="str">
        <f>+Agencia[[#This Row],[idcoleccion]]&amp;"-"&amp;Agencia[[#This Row],[id]]</f>
        <v>990-0726</v>
      </c>
      <c r="W737" s="118">
        <f>+VLOOKUP(Agencia[[#This Row],[Filtro URL]],Estructura!$X$4:$Y$500,2,0)</f>
        <v>99100000</v>
      </c>
      <c r="X737" s="118" t="str">
        <f>+VLOOKUP(Agencia[[#This Row],[tema]],Estructura!$A$4:$C$500,3,0)</f>
        <v>T-1013</v>
      </c>
      <c r="Y737" s="118" t="str">
        <f>+VLOOKUP(Agencia[[#This Row],[contenido]],Estructura!$E$4:$G$500,3,0)</f>
        <v>C-993</v>
      </c>
      <c r="Z737" s="118" t="str">
        <f>+VLOOKUP(Agencia[[#This Row],[Filtro Integrado]],Estructura!$I$4:$K$500,3,0)</f>
        <v>FI-992</v>
      </c>
      <c r="AA737" s="118" t="str">
        <f>+VLOOKUP(Agencia[[#This Row],[Muestra]],Estructura!$M$4:$O$500,3,0)</f>
        <v>M-1056</v>
      </c>
    </row>
    <row r="738" spans="1:27" ht="57.6" x14ac:dyDescent="0.3">
      <c r="A738" s="21" t="s">
        <v>1330</v>
      </c>
      <c r="B738" s="24">
        <f t="shared" ref="B738:D738" si="1142">+B737</f>
        <v>990</v>
      </c>
      <c r="C738" s="25" t="str">
        <f t="shared" si="1142"/>
        <v>Agencia Información</v>
      </c>
      <c r="D738" s="25" t="str">
        <f t="shared" si="1142"/>
        <v>Economía</v>
      </c>
      <c r="E738" s="19">
        <v>1</v>
      </c>
      <c r="F738" s="18" t="s">
        <v>1596</v>
      </c>
      <c r="G738" s="18" t="s">
        <v>1601</v>
      </c>
      <c r="H738" s="35" t="s">
        <v>16</v>
      </c>
      <c r="I738" s="36" t="s">
        <v>368</v>
      </c>
      <c r="J738" s="9" t="s">
        <v>404</v>
      </c>
      <c r="K738" s="9" t="str">
        <f t="shared" ref="K738:N738" si="1143">+K737</f>
        <v>Renta neta informada</v>
      </c>
      <c r="L738" s="9" t="str">
        <f t="shared" si="1143"/>
        <v>Periodo 2005-2019</v>
      </c>
      <c r="M738" s="9" t="str">
        <f t="shared" si="1143"/>
        <v>CLP</v>
      </c>
      <c r="N738" s="9" t="str">
        <f t="shared" si="1143"/>
        <v>Servicio de Impuestos Internos (SII)</v>
      </c>
      <c r="O738" s="20" t="str">
        <f>+"Renta neta informada de trabajadoras en la "&amp;I738&amp;", "&amp;Agencia[[#This Row],[temporalidad]]</f>
        <v>Renta neta informada de trabajadoras en la Región de Tarapacá, Periodo 2005-2019</v>
      </c>
      <c r="P738" s="20"/>
      <c r="Q738" s="11" t="str">
        <f t="shared" si="1101"/>
        <v>Gráfico de Evolución</v>
      </c>
      <c r="R738" s="20" t="str">
        <f>Agencia[[#This Row],[territorio]]&amp;" regional trabajadoras mujeres renta neta informada sii tamaño empresa micro"</f>
        <v>Región de Tarapacá regional trabajadoras mujeres renta neta informada sii tamaño empresa micro</v>
      </c>
      <c r="S738" s="39" t="str">
        <f>HYPERLINK("https://analytics.zoho.com/open-view/2395394000008038636?ZOHO_CRITERIA=%225.1%20Empresas_Tama%C3%B1o%22.%22Cod_Regi%C3%B3n%22%3D"&amp;Agencia[[#This Row],[Filtro URL]])</f>
        <v>https://analytics.zoho.com/open-view/2395394000008038636?ZOHO_CRITERIA=%225.1%20Empresas_Tama%C3%B1o%22.%22Cod_Regi%C3%B3n%22%3D1</v>
      </c>
      <c r="T738" s="68" t="str">
        <f>"100-R-"&amp;Agencia[[#This Row],[Filtro URL]]</f>
        <v>100-R-1</v>
      </c>
      <c r="U738" s="50" t="str">
        <f t="shared" si="1102"/>
        <v>#1774B9</v>
      </c>
      <c r="V738" s="118" t="str">
        <f>+Agencia[[#This Row],[idcoleccion]]&amp;"-"&amp;Agencia[[#This Row],[id]]</f>
        <v>990-0727</v>
      </c>
      <c r="W738" s="118">
        <f>+VLOOKUP(Agencia[[#This Row],[Filtro URL]],Estructura!$X$4:$Y$500,2,0)</f>
        <v>99200001</v>
      </c>
      <c r="X738" s="118" t="str">
        <f>+VLOOKUP(Agencia[[#This Row],[tema]],Estructura!$A$4:$C$500,3,0)</f>
        <v>T-1013</v>
      </c>
      <c r="Y738" s="118" t="str">
        <f>+VLOOKUP(Agencia[[#This Row],[contenido]],Estructura!$E$4:$G$500,3,0)</f>
        <v>C-993</v>
      </c>
      <c r="Z738" s="118" t="str">
        <f>+VLOOKUP(Agencia[[#This Row],[Filtro Integrado]],Estructura!$I$4:$K$500,3,0)</f>
        <v>FI-993</v>
      </c>
      <c r="AA738" s="118" t="str">
        <f>+VLOOKUP(Agencia[[#This Row],[Muestra]],Estructura!$M$4:$O$500,3,0)</f>
        <v>M-1056</v>
      </c>
    </row>
    <row r="739" spans="1:27" ht="57.6" x14ac:dyDescent="0.3">
      <c r="A739" s="21" t="s">
        <v>1331</v>
      </c>
      <c r="B739" s="24">
        <f t="shared" ref="B739:D739" si="1144">+B738</f>
        <v>990</v>
      </c>
      <c r="C739" s="25" t="str">
        <f t="shared" si="1144"/>
        <v>Agencia Información</v>
      </c>
      <c r="D739" s="25" t="str">
        <f t="shared" si="1144"/>
        <v>Economía</v>
      </c>
      <c r="E739" s="19">
        <v>2</v>
      </c>
      <c r="F739" s="18" t="s">
        <v>1596</v>
      </c>
      <c r="G739" s="18" t="s">
        <v>1601</v>
      </c>
      <c r="H739" s="35" t="s">
        <v>16</v>
      </c>
      <c r="I739" s="36" t="s">
        <v>369</v>
      </c>
      <c r="J739" s="9" t="str">
        <f t="shared" ref="J739:N739" si="1145">+J738</f>
        <v>Ninguno</v>
      </c>
      <c r="K739" s="9" t="str">
        <f t="shared" si="1145"/>
        <v>Renta neta informada</v>
      </c>
      <c r="L739" s="9" t="str">
        <f t="shared" si="1145"/>
        <v>Periodo 2005-2019</v>
      </c>
      <c r="M739" s="9" t="str">
        <f t="shared" si="1145"/>
        <v>CLP</v>
      </c>
      <c r="N739" s="9" t="str">
        <f t="shared" si="1145"/>
        <v>Servicio de Impuestos Internos (SII)</v>
      </c>
      <c r="O739" s="20" t="str">
        <f>+"Renta neta informada de trabajadoras en la "&amp;I739&amp;", "&amp;Agencia[[#This Row],[temporalidad]]</f>
        <v>Renta neta informada de trabajadoras en la Región de Antofagasta, Periodo 2005-2019</v>
      </c>
      <c r="P739" s="20"/>
      <c r="Q739" s="11" t="str">
        <f t="shared" si="1101"/>
        <v>Gráfico de Evolución</v>
      </c>
      <c r="R739" s="20" t="str">
        <f>Agencia[[#This Row],[territorio]]&amp;" regional trabajadoras mujeres renta neta informada sii tamaño empresa micro"</f>
        <v>Región de Antofagasta regional trabajadoras mujeres renta neta informada sii tamaño empresa micro</v>
      </c>
      <c r="S739" s="39" t="str">
        <f>HYPERLINK("https://analytics.zoho.com/open-view/2395394000008038636?ZOHO_CRITERIA=%225.1%20Empresas_Tama%C3%B1o%22.%22Cod_Regi%C3%B3n%22%3D"&amp;Agencia[[#This Row],[Filtro URL]])</f>
        <v>https://analytics.zoho.com/open-view/2395394000008038636?ZOHO_CRITERIA=%225.1%20Empresas_Tama%C3%B1o%22.%22Cod_Regi%C3%B3n%22%3D2</v>
      </c>
      <c r="T739" s="68" t="str">
        <f>"100-R-"&amp;Agencia[[#This Row],[Filtro URL]]</f>
        <v>100-R-2</v>
      </c>
      <c r="U739" s="50" t="str">
        <f t="shared" si="1102"/>
        <v>#1774B9</v>
      </c>
      <c r="V739" s="118" t="str">
        <f>+Agencia[[#This Row],[idcoleccion]]&amp;"-"&amp;Agencia[[#This Row],[id]]</f>
        <v>990-0728</v>
      </c>
      <c r="W739" s="118">
        <f>+VLOOKUP(Agencia[[#This Row],[Filtro URL]],Estructura!$X$4:$Y$500,2,0)</f>
        <v>99200002</v>
      </c>
      <c r="X739" s="118" t="str">
        <f>+VLOOKUP(Agencia[[#This Row],[tema]],Estructura!$A$4:$C$500,3,0)</f>
        <v>T-1013</v>
      </c>
      <c r="Y739" s="118" t="str">
        <f>+VLOOKUP(Agencia[[#This Row],[contenido]],Estructura!$E$4:$G$500,3,0)</f>
        <v>C-993</v>
      </c>
      <c r="Z739" s="118" t="str">
        <f>+VLOOKUP(Agencia[[#This Row],[Filtro Integrado]],Estructura!$I$4:$K$500,3,0)</f>
        <v>FI-993</v>
      </c>
      <c r="AA739" s="118" t="str">
        <f>+VLOOKUP(Agencia[[#This Row],[Muestra]],Estructura!$M$4:$O$500,3,0)</f>
        <v>M-1056</v>
      </c>
    </row>
    <row r="740" spans="1:27" ht="57.6" x14ac:dyDescent="0.3">
      <c r="A740" s="21" t="s">
        <v>1332</v>
      </c>
      <c r="B740" s="24">
        <f t="shared" ref="B740:D740" si="1146">+B739</f>
        <v>990</v>
      </c>
      <c r="C740" s="25" t="str">
        <f t="shared" si="1146"/>
        <v>Agencia Información</v>
      </c>
      <c r="D740" s="25" t="str">
        <f t="shared" si="1146"/>
        <v>Economía</v>
      </c>
      <c r="E740" s="19">
        <v>3</v>
      </c>
      <c r="F740" s="18" t="s">
        <v>1596</v>
      </c>
      <c r="G740" s="18" t="s">
        <v>1601</v>
      </c>
      <c r="H740" s="35" t="s">
        <v>16</v>
      </c>
      <c r="I740" s="36" t="s">
        <v>370</v>
      </c>
      <c r="J740" s="9" t="str">
        <f t="shared" ref="J740:N740" si="1147">+J739</f>
        <v>Ninguno</v>
      </c>
      <c r="K740" s="9" t="str">
        <f t="shared" si="1147"/>
        <v>Renta neta informada</v>
      </c>
      <c r="L740" s="9" t="str">
        <f t="shared" si="1147"/>
        <v>Periodo 2005-2019</v>
      </c>
      <c r="M740" s="9" t="str">
        <f t="shared" si="1147"/>
        <v>CLP</v>
      </c>
      <c r="N740" s="9" t="str">
        <f t="shared" si="1147"/>
        <v>Servicio de Impuestos Internos (SII)</v>
      </c>
      <c r="O740" s="20" t="str">
        <f>+"Renta neta informada de trabajadoras en la "&amp;I740&amp;", "&amp;Agencia[[#This Row],[temporalidad]]</f>
        <v>Renta neta informada de trabajadoras en la Región de Atacama, Periodo 2005-2019</v>
      </c>
      <c r="P740" s="20"/>
      <c r="Q740" s="11" t="str">
        <f t="shared" si="1101"/>
        <v>Gráfico de Evolución</v>
      </c>
      <c r="R740" s="20" t="str">
        <f>Agencia[[#This Row],[territorio]]&amp;" regional trabajadoras mujeres renta neta informada sii tamaño empresa micro"</f>
        <v>Región de Atacama regional trabajadoras mujeres renta neta informada sii tamaño empresa micro</v>
      </c>
      <c r="S740" s="39" t="str">
        <f>HYPERLINK("https://analytics.zoho.com/open-view/2395394000008038636?ZOHO_CRITERIA=%225.1%20Empresas_Tama%C3%B1o%22.%22Cod_Regi%C3%B3n%22%3D"&amp;Agencia[[#This Row],[Filtro URL]])</f>
        <v>https://analytics.zoho.com/open-view/2395394000008038636?ZOHO_CRITERIA=%225.1%20Empresas_Tama%C3%B1o%22.%22Cod_Regi%C3%B3n%22%3D3</v>
      </c>
      <c r="T740" s="68" t="str">
        <f>"100-R-"&amp;Agencia[[#This Row],[Filtro URL]]</f>
        <v>100-R-3</v>
      </c>
      <c r="U740" s="50" t="str">
        <f t="shared" si="1102"/>
        <v>#1774B9</v>
      </c>
      <c r="V740" s="118" t="str">
        <f>+Agencia[[#This Row],[idcoleccion]]&amp;"-"&amp;Agencia[[#This Row],[id]]</f>
        <v>990-0729</v>
      </c>
      <c r="W740" s="118">
        <f>+VLOOKUP(Agencia[[#This Row],[Filtro URL]],Estructura!$X$4:$Y$500,2,0)</f>
        <v>99200003</v>
      </c>
      <c r="X740" s="118" t="str">
        <f>+VLOOKUP(Agencia[[#This Row],[tema]],Estructura!$A$4:$C$500,3,0)</f>
        <v>T-1013</v>
      </c>
      <c r="Y740" s="118" t="str">
        <f>+VLOOKUP(Agencia[[#This Row],[contenido]],Estructura!$E$4:$G$500,3,0)</f>
        <v>C-993</v>
      </c>
      <c r="Z740" s="118" t="str">
        <f>+VLOOKUP(Agencia[[#This Row],[Filtro Integrado]],Estructura!$I$4:$K$500,3,0)</f>
        <v>FI-993</v>
      </c>
      <c r="AA740" s="118" t="str">
        <f>+VLOOKUP(Agencia[[#This Row],[Muestra]],Estructura!$M$4:$O$500,3,0)</f>
        <v>M-1056</v>
      </c>
    </row>
    <row r="741" spans="1:27" ht="102" x14ac:dyDescent="0.3">
      <c r="A741" s="21" t="s">
        <v>1333</v>
      </c>
      <c r="B741" s="24">
        <f t="shared" ref="B741:D741" si="1148">+B740</f>
        <v>990</v>
      </c>
      <c r="C741" s="25" t="str">
        <f t="shared" si="1148"/>
        <v>Agencia Información</v>
      </c>
      <c r="D741" s="25" t="str">
        <f t="shared" si="1148"/>
        <v>Economía</v>
      </c>
      <c r="E741" s="19">
        <v>4</v>
      </c>
      <c r="F741" s="18" t="s">
        <v>1596</v>
      </c>
      <c r="G741" s="18" t="s">
        <v>1601</v>
      </c>
      <c r="H741" s="35" t="s">
        <v>16</v>
      </c>
      <c r="I741" s="36" t="s">
        <v>371</v>
      </c>
      <c r="J741" s="9" t="str">
        <f t="shared" ref="J741:N741" si="1149">+J740</f>
        <v>Ninguno</v>
      </c>
      <c r="K741" s="9" t="str">
        <f t="shared" si="1149"/>
        <v>Renta neta informada</v>
      </c>
      <c r="L741" s="9" t="str">
        <f t="shared" si="1149"/>
        <v>Periodo 2005-2019</v>
      </c>
      <c r="M741" s="9" t="str">
        <f t="shared" si="1149"/>
        <v>CLP</v>
      </c>
      <c r="N741" s="9" t="str">
        <f t="shared" si="1149"/>
        <v>Servicio de Impuestos Internos (SII)</v>
      </c>
      <c r="O741" s="20" t="str">
        <f>+"Renta neta informada de trabajadoras en la "&amp;I741&amp;", "&amp;Agencia[[#This Row],[temporalidad]]</f>
        <v>Renta neta informada de trabajadoras en la Región de Coquimbo, Periodo 2005-2019</v>
      </c>
      <c r="P741" s="20" t="s">
        <v>1593</v>
      </c>
      <c r="Q741" s="11" t="str">
        <f t="shared" si="1101"/>
        <v>Gráfico de Evolución</v>
      </c>
      <c r="R741" s="20" t="str">
        <f>Agencia[[#This Row],[territorio]]&amp;" regional trabajadoras mujeres renta neta informada sii tamaño empresa micro"</f>
        <v>Región de Coquimbo regional trabajadoras mujeres renta neta informada sii tamaño empresa micro</v>
      </c>
      <c r="S741" s="39" t="str">
        <f>HYPERLINK("https://analytics.zoho.com/open-view/2395394000008038636?ZOHO_CRITERIA=%225.1%20Empresas_Tama%C3%B1o%22.%22Cod_Regi%C3%B3n%22%3D"&amp;Agencia[[#This Row],[Filtro URL]])</f>
        <v>https://analytics.zoho.com/open-view/2395394000008038636?ZOHO_CRITERIA=%225.1%20Empresas_Tama%C3%B1o%22.%22Cod_Regi%C3%B3n%22%3D4</v>
      </c>
      <c r="T741" s="68" t="str">
        <f>"100-R-"&amp;Agencia[[#This Row],[Filtro URL]]</f>
        <v>100-R-4</v>
      </c>
      <c r="U741" s="50" t="str">
        <f t="shared" si="1102"/>
        <v>#1774B9</v>
      </c>
      <c r="V741" s="118" t="str">
        <f>+Agencia[[#This Row],[idcoleccion]]&amp;"-"&amp;Agencia[[#This Row],[id]]</f>
        <v>990-0730</v>
      </c>
      <c r="W741" s="118">
        <f>+VLOOKUP(Agencia[[#This Row],[Filtro URL]],Estructura!$X$4:$Y$500,2,0)</f>
        <v>99200004</v>
      </c>
      <c r="X741" s="118" t="str">
        <f>+VLOOKUP(Agencia[[#This Row],[tema]],Estructura!$A$4:$C$500,3,0)</f>
        <v>T-1013</v>
      </c>
      <c r="Y741" s="118" t="str">
        <f>+VLOOKUP(Agencia[[#This Row],[contenido]],Estructura!$E$4:$G$500,3,0)</f>
        <v>C-993</v>
      </c>
      <c r="Z741" s="118" t="str">
        <f>+VLOOKUP(Agencia[[#This Row],[Filtro Integrado]],Estructura!$I$4:$K$500,3,0)</f>
        <v>FI-993</v>
      </c>
      <c r="AA741" s="118" t="str">
        <f>+VLOOKUP(Agencia[[#This Row],[Muestra]],Estructura!$M$4:$O$500,3,0)</f>
        <v>M-1056</v>
      </c>
    </row>
    <row r="742" spans="1:27" ht="57.6" x14ac:dyDescent="0.3">
      <c r="A742" s="21" t="s">
        <v>1334</v>
      </c>
      <c r="B742" s="24">
        <f t="shared" ref="B742:D742" si="1150">+B741</f>
        <v>990</v>
      </c>
      <c r="C742" s="25" t="str">
        <f t="shared" si="1150"/>
        <v>Agencia Información</v>
      </c>
      <c r="D742" s="25" t="str">
        <f t="shared" si="1150"/>
        <v>Economía</v>
      </c>
      <c r="E742" s="19">
        <v>5</v>
      </c>
      <c r="F742" s="18" t="s">
        <v>1596</v>
      </c>
      <c r="G742" s="18" t="s">
        <v>1601</v>
      </c>
      <c r="H742" s="35" t="s">
        <v>16</v>
      </c>
      <c r="I742" s="36" t="s">
        <v>372</v>
      </c>
      <c r="J742" s="9" t="str">
        <f t="shared" ref="J742:N742" si="1151">+J741</f>
        <v>Ninguno</v>
      </c>
      <c r="K742" s="9" t="str">
        <f t="shared" si="1151"/>
        <v>Renta neta informada</v>
      </c>
      <c r="L742" s="9" t="str">
        <f t="shared" si="1151"/>
        <v>Periodo 2005-2019</v>
      </c>
      <c r="M742" s="9" t="str">
        <f t="shared" si="1151"/>
        <v>CLP</v>
      </c>
      <c r="N742" s="9" t="str">
        <f t="shared" si="1151"/>
        <v>Servicio de Impuestos Internos (SII)</v>
      </c>
      <c r="O742" s="20" t="str">
        <f>+"Renta neta informada de trabajadoras en la "&amp;I742&amp;", "&amp;Agencia[[#This Row],[temporalidad]]</f>
        <v>Renta neta informada de trabajadoras en la Región de Valparaíso, Periodo 2005-2019</v>
      </c>
      <c r="P742" s="20"/>
      <c r="Q742" s="11" t="str">
        <f t="shared" si="1101"/>
        <v>Gráfico de Evolución</v>
      </c>
      <c r="R742" s="20" t="str">
        <f>Agencia[[#This Row],[territorio]]&amp;" regional trabajadoras mujeres renta neta informada sii tamaño empresa micro"</f>
        <v>Región de Valparaíso regional trabajadoras mujeres renta neta informada sii tamaño empresa micro</v>
      </c>
      <c r="S742" s="39" t="str">
        <f>HYPERLINK("https://analytics.zoho.com/open-view/2395394000008038636?ZOHO_CRITERIA=%225.1%20Empresas_Tama%C3%B1o%22.%22Cod_Regi%C3%B3n%22%3D"&amp;Agencia[[#This Row],[Filtro URL]])</f>
        <v>https://analytics.zoho.com/open-view/2395394000008038636?ZOHO_CRITERIA=%225.1%20Empresas_Tama%C3%B1o%22.%22Cod_Regi%C3%B3n%22%3D5</v>
      </c>
      <c r="T742" s="68" t="str">
        <f>"100-R-"&amp;Agencia[[#This Row],[Filtro URL]]</f>
        <v>100-R-5</v>
      </c>
      <c r="U742" s="50" t="str">
        <f t="shared" si="1102"/>
        <v>#1774B9</v>
      </c>
      <c r="V742" s="118" t="str">
        <f>+Agencia[[#This Row],[idcoleccion]]&amp;"-"&amp;Agencia[[#This Row],[id]]</f>
        <v>990-0731</v>
      </c>
      <c r="W742" s="118">
        <f>+VLOOKUP(Agencia[[#This Row],[Filtro URL]],Estructura!$X$4:$Y$500,2,0)</f>
        <v>99200005</v>
      </c>
      <c r="X742" s="118" t="str">
        <f>+VLOOKUP(Agencia[[#This Row],[tema]],Estructura!$A$4:$C$500,3,0)</f>
        <v>T-1013</v>
      </c>
      <c r="Y742" s="118" t="str">
        <f>+VLOOKUP(Agencia[[#This Row],[contenido]],Estructura!$E$4:$G$500,3,0)</f>
        <v>C-993</v>
      </c>
      <c r="Z742" s="118" t="str">
        <f>+VLOOKUP(Agencia[[#This Row],[Filtro Integrado]],Estructura!$I$4:$K$500,3,0)</f>
        <v>FI-993</v>
      </c>
      <c r="AA742" s="118" t="str">
        <f>+VLOOKUP(Agencia[[#This Row],[Muestra]],Estructura!$M$4:$O$500,3,0)</f>
        <v>M-1056</v>
      </c>
    </row>
    <row r="743" spans="1:27" ht="57.6" x14ac:dyDescent="0.3">
      <c r="A743" s="21" t="s">
        <v>1335</v>
      </c>
      <c r="B743" s="24">
        <f t="shared" ref="B743:D743" si="1152">+B742</f>
        <v>990</v>
      </c>
      <c r="C743" s="25" t="str">
        <f t="shared" si="1152"/>
        <v>Agencia Información</v>
      </c>
      <c r="D743" s="25" t="str">
        <f t="shared" si="1152"/>
        <v>Economía</v>
      </c>
      <c r="E743" s="19">
        <v>6</v>
      </c>
      <c r="F743" s="18" t="s">
        <v>1596</v>
      </c>
      <c r="G743" s="18" t="s">
        <v>1601</v>
      </c>
      <c r="H743" s="35" t="s">
        <v>16</v>
      </c>
      <c r="I743" s="36" t="s">
        <v>373</v>
      </c>
      <c r="J743" s="9" t="str">
        <f t="shared" ref="J743:N743" si="1153">+J742</f>
        <v>Ninguno</v>
      </c>
      <c r="K743" s="9" t="str">
        <f t="shared" si="1153"/>
        <v>Renta neta informada</v>
      </c>
      <c r="L743" s="9" t="str">
        <f t="shared" si="1153"/>
        <v>Periodo 2005-2019</v>
      </c>
      <c r="M743" s="9" t="str">
        <f t="shared" si="1153"/>
        <v>CLP</v>
      </c>
      <c r="N743" s="9" t="str">
        <f t="shared" si="1153"/>
        <v>Servicio de Impuestos Internos (SII)</v>
      </c>
      <c r="O743" s="20" t="str">
        <f>+"Renta neta informada de trabajadoras en la "&amp;I743&amp;", "&amp;Agencia[[#This Row],[temporalidad]]</f>
        <v>Renta neta informada de trabajadoras en la Región de O'Higgins, Periodo 2005-2019</v>
      </c>
      <c r="P743" s="20"/>
      <c r="Q743" s="11" t="str">
        <f t="shared" si="1101"/>
        <v>Gráfico de Evolución</v>
      </c>
      <c r="R743" s="20" t="str">
        <f>Agencia[[#This Row],[territorio]]&amp;" regional trabajadoras mujeres renta neta informada sii tamaño empresa micro"</f>
        <v>Región de O'Higgins regional trabajadoras mujeres renta neta informada sii tamaño empresa micro</v>
      </c>
      <c r="S743" s="39" t="str">
        <f>HYPERLINK("https://analytics.zoho.com/open-view/2395394000008038636?ZOHO_CRITERIA=%225.1%20Empresas_Tama%C3%B1o%22.%22Cod_Regi%C3%B3n%22%3D"&amp;Agencia[[#This Row],[Filtro URL]])</f>
        <v>https://analytics.zoho.com/open-view/2395394000008038636?ZOHO_CRITERIA=%225.1%20Empresas_Tama%C3%B1o%22.%22Cod_Regi%C3%B3n%22%3D6</v>
      </c>
      <c r="T743" s="68" t="str">
        <f>"100-R-"&amp;Agencia[[#This Row],[Filtro URL]]</f>
        <v>100-R-6</v>
      </c>
      <c r="U743" s="50" t="str">
        <f t="shared" si="1102"/>
        <v>#1774B9</v>
      </c>
      <c r="V743" s="118" t="str">
        <f>+Agencia[[#This Row],[idcoleccion]]&amp;"-"&amp;Agencia[[#This Row],[id]]</f>
        <v>990-0732</v>
      </c>
      <c r="W743" s="118">
        <f>+VLOOKUP(Agencia[[#This Row],[Filtro URL]],Estructura!$X$4:$Y$500,2,0)</f>
        <v>99200006</v>
      </c>
      <c r="X743" s="118" t="str">
        <f>+VLOOKUP(Agencia[[#This Row],[tema]],Estructura!$A$4:$C$500,3,0)</f>
        <v>T-1013</v>
      </c>
      <c r="Y743" s="118" t="str">
        <f>+VLOOKUP(Agencia[[#This Row],[contenido]],Estructura!$E$4:$G$500,3,0)</f>
        <v>C-993</v>
      </c>
      <c r="Z743" s="118" t="str">
        <f>+VLOOKUP(Agencia[[#This Row],[Filtro Integrado]],Estructura!$I$4:$K$500,3,0)</f>
        <v>FI-993</v>
      </c>
      <c r="AA743" s="118" t="str">
        <f>+VLOOKUP(Agencia[[#This Row],[Muestra]],Estructura!$M$4:$O$500,3,0)</f>
        <v>M-1056</v>
      </c>
    </row>
    <row r="744" spans="1:27" ht="57.6" x14ac:dyDescent="0.3">
      <c r="A744" s="21" t="s">
        <v>1336</v>
      </c>
      <c r="B744" s="24">
        <f t="shared" ref="B744:D744" si="1154">+B743</f>
        <v>990</v>
      </c>
      <c r="C744" s="25" t="str">
        <f t="shared" si="1154"/>
        <v>Agencia Información</v>
      </c>
      <c r="D744" s="25" t="str">
        <f t="shared" si="1154"/>
        <v>Economía</v>
      </c>
      <c r="E744" s="19">
        <v>7</v>
      </c>
      <c r="F744" s="18" t="s">
        <v>1596</v>
      </c>
      <c r="G744" s="18" t="s">
        <v>1601</v>
      </c>
      <c r="H744" s="35" t="s">
        <v>16</v>
      </c>
      <c r="I744" s="36" t="s">
        <v>374</v>
      </c>
      <c r="J744" s="9" t="str">
        <f t="shared" ref="J744:N744" si="1155">+J743</f>
        <v>Ninguno</v>
      </c>
      <c r="K744" s="9" t="str">
        <f t="shared" si="1155"/>
        <v>Renta neta informada</v>
      </c>
      <c r="L744" s="9" t="str">
        <f t="shared" si="1155"/>
        <v>Periodo 2005-2019</v>
      </c>
      <c r="M744" s="9" t="str">
        <f t="shared" si="1155"/>
        <v>CLP</v>
      </c>
      <c r="N744" s="9" t="str">
        <f t="shared" si="1155"/>
        <v>Servicio de Impuestos Internos (SII)</v>
      </c>
      <c r="O744" s="20" t="str">
        <f>+"Renta neta informada de trabajadoras en la "&amp;I744&amp;", "&amp;Agencia[[#This Row],[temporalidad]]</f>
        <v>Renta neta informada de trabajadoras en la Región de Maule, Periodo 2005-2019</v>
      </c>
      <c r="P744" s="20"/>
      <c r="Q744" s="11" t="str">
        <f t="shared" si="1101"/>
        <v>Gráfico de Evolución</v>
      </c>
      <c r="R744" s="20" t="str">
        <f>Agencia[[#This Row],[territorio]]&amp;" regional trabajadoras mujeres renta neta informada sii tamaño empresa micro"</f>
        <v>Región de Maule regional trabajadoras mujeres renta neta informada sii tamaño empresa micro</v>
      </c>
      <c r="S744" s="39" t="str">
        <f>HYPERLINK("https://analytics.zoho.com/open-view/2395394000008038636?ZOHO_CRITERIA=%225.1%20Empresas_Tama%C3%B1o%22.%22Cod_Regi%C3%B3n%22%3D"&amp;Agencia[[#This Row],[Filtro URL]])</f>
        <v>https://analytics.zoho.com/open-view/2395394000008038636?ZOHO_CRITERIA=%225.1%20Empresas_Tama%C3%B1o%22.%22Cod_Regi%C3%B3n%22%3D7</v>
      </c>
      <c r="T744" s="68" t="str">
        <f>"100-R-"&amp;Agencia[[#This Row],[Filtro URL]]</f>
        <v>100-R-7</v>
      </c>
      <c r="U744" s="50" t="str">
        <f t="shared" si="1102"/>
        <v>#1774B9</v>
      </c>
      <c r="V744" s="118" t="str">
        <f>+Agencia[[#This Row],[idcoleccion]]&amp;"-"&amp;Agencia[[#This Row],[id]]</f>
        <v>990-0733</v>
      </c>
      <c r="W744" s="118">
        <f>+VLOOKUP(Agencia[[#This Row],[Filtro URL]],Estructura!$X$4:$Y$500,2,0)</f>
        <v>99200007</v>
      </c>
      <c r="X744" s="118" t="str">
        <f>+VLOOKUP(Agencia[[#This Row],[tema]],Estructura!$A$4:$C$500,3,0)</f>
        <v>T-1013</v>
      </c>
      <c r="Y744" s="118" t="str">
        <f>+VLOOKUP(Agencia[[#This Row],[contenido]],Estructura!$E$4:$G$500,3,0)</f>
        <v>C-993</v>
      </c>
      <c r="Z744" s="118" t="str">
        <f>+VLOOKUP(Agencia[[#This Row],[Filtro Integrado]],Estructura!$I$4:$K$500,3,0)</f>
        <v>FI-993</v>
      </c>
      <c r="AA744" s="118" t="str">
        <f>+VLOOKUP(Agencia[[#This Row],[Muestra]],Estructura!$M$4:$O$500,3,0)</f>
        <v>M-1056</v>
      </c>
    </row>
    <row r="745" spans="1:27" ht="57.6" x14ac:dyDescent="0.3">
      <c r="A745" s="21" t="s">
        <v>1337</v>
      </c>
      <c r="B745" s="24">
        <f t="shared" ref="B745:D745" si="1156">+B744</f>
        <v>990</v>
      </c>
      <c r="C745" s="25" t="str">
        <f t="shared" si="1156"/>
        <v>Agencia Información</v>
      </c>
      <c r="D745" s="25" t="str">
        <f t="shared" si="1156"/>
        <v>Economía</v>
      </c>
      <c r="E745" s="19">
        <v>8</v>
      </c>
      <c r="F745" s="18" t="s">
        <v>1596</v>
      </c>
      <c r="G745" s="18" t="s">
        <v>1601</v>
      </c>
      <c r="H745" s="35" t="s">
        <v>16</v>
      </c>
      <c r="I745" s="36" t="s">
        <v>375</v>
      </c>
      <c r="J745" s="9" t="str">
        <f t="shared" ref="J745:N745" si="1157">+J744</f>
        <v>Ninguno</v>
      </c>
      <c r="K745" s="9" t="str">
        <f t="shared" si="1157"/>
        <v>Renta neta informada</v>
      </c>
      <c r="L745" s="9" t="str">
        <f t="shared" si="1157"/>
        <v>Periodo 2005-2019</v>
      </c>
      <c r="M745" s="9" t="str">
        <f t="shared" si="1157"/>
        <v>CLP</v>
      </c>
      <c r="N745" s="9" t="str">
        <f t="shared" si="1157"/>
        <v>Servicio de Impuestos Internos (SII)</v>
      </c>
      <c r="O745" s="20" t="str">
        <f>+"Renta neta informada de trabajadoras en la "&amp;I745&amp;", "&amp;Agencia[[#This Row],[temporalidad]]</f>
        <v>Renta neta informada de trabajadoras en la Región del Biobío, Periodo 2005-2019</v>
      </c>
      <c r="P745" s="20"/>
      <c r="Q745" s="11" t="str">
        <f t="shared" si="1101"/>
        <v>Gráfico de Evolución</v>
      </c>
      <c r="R745" s="20" t="str">
        <f>Agencia[[#This Row],[territorio]]&amp;" regional trabajadoras mujeres renta neta informada sii tamaño empresa micro"</f>
        <v>Región del Biobío regional trabajadoras mujeres renta neta informada sii tamaño empresa micro</v>
      </c>
      <c r="S745" s="39" t="str">
        <f>HYPERLINK("https://analytics.zoho.com/open-view/2395394000008038636?ZOHO_CRITERIA=%225.1%20Empresas_Tama%C3%B1o%22.%22Cod_Regi%C3%B3n%22%3D"&amp;Agencia[[#This Row],[Filtro URL]])</f>
        <v>https://analytics.zoho.com/open-view/2395394000008038636?ZOHO_CRITERIA=%225.1%20Empresas_Tama%C3%B1o%22.%22Cod_Regi%C3%B3n%22%3D8</v>
      </c>
      <c r="T745" s="68" t="str">
        <f>"100-R-"&amp;Agencia[[#This Row],[Filtro URL]]</f>
        <v>100-R-8</v>
      </c>
      <c r="U745" s="50" t="str">
        <f t="shared" si="1102"/>
        <v>#1774B9</v>
      </c>
      <c r="V745" s="118" t="str">
        <f>+Agencia[[#This Row],[idcoleccion]]&amp;"-"&amp;Agencia[[#This Row],[id]]</f>
        <v>990-0734</v>
      </c>
      <c r="W745" s="118">
        <f>+VLOOKUP(Agencia[[#This Row],[Filtro URL]],Estructura!$X$4:$Y$500,2,0)</f>
        <v>99200008</v>
      </c>
      <c r="X745" s="118" t="str">
        <f>+VLOOKUP(Agencia[[#This Row],[tema]],Estructura!$A$4:$C$500,3,0)</f>
        <v>T-1013</v>
      </c>
      <c r="Y745" s="118" t="str">
        <f>+VLOOKUP(Agencia[[#This Row],[contenido]],Estructura!$E$4:$G$500,3,0)</f>
        <v>C-993</v>
      </c>
      <c r="Z745" s="118" t="str">
        <f>+VLOOKUP(Agencia[[#This Row],[Filtro Integrado]],Estructura!$I$4:$K$500,3,0)</f>
        <v>FI-993</v>
      </c>
      <c r="AA745" s="118" t="str">
        <f>+VLOOKUP(Agencia[[#This Row],[Muestra]],Estructura!$M$4:$O$500,3,0)</f>
        <v>M-1056</v>
      </c>
    </row>
    <row r="746" spans="1:27" ht="57.6" x14ac:dyDescent="0.3">
      <c r="A746" s="21" t="s">
        <v>1338</v>
      </c>
      <c r="B746" s="24">
        <f t="shared" ref="B746:D746" si="1158">+B745</f>
        <v>990</v>
      </c>
      <c r="C746" s="25" t="str">
        <f t="shared" si="1158"/>
        <v>Agencia Información</v>
      </c>
      <c r="D746" s="25" t="str">
        <f t="shared" si="1158"/>
        <v>Economía</v>
      </c>
      <c r="E746" s="19">
        <v>9</v>
      </c>
      <c r="F746" s="18" t="s">
        <v>1596</v>
      </c>
      <c r="G746" s="18" t="s">
        <v>1601</v>
      </c>
      <c r="H746" s="35" t="s">
        <v>16</v>
      </c>
      <c r="I746" s="36" t="s">
        <v>376</v>
      </c>
      <c r="J746" s="9" t="str">
        <f t="shared" ref="J746:N746" si="1159">+J745</f>
        <v>Ninguno</v>
      </c>
      <c r="K746" s="9" t="str">
        <f t="shared" si="1159"/>
        <v>Renta neta informada</v>
      </c>
      <c r="L746" s="9" t="str">
        <f t="shared" si="1159"/>
        <v>Periodo 2005-2019</v>
      </c>
      <c r="M746" s="9" t="str">
        <f t="shared" si="1159"/>
        <v>CLP</v>
      </c>
      <c r="N746" s="9" t="str">
        <f t="shared" si="1159"/>
        <v>Servicio de Impuestos Internos (SII)</v>
      </c>
      <c r="O746" s="20" t="str">
        <f>+"Renta neta informada de trabajadoras en la "&amp;I746&amp;", "&amp;Agencia[[#This Row],[temporalidad]]</f>
        <v>Renta neta informada de trabajadoras en la Región de La Araucanía, Periodo 2005-2019</v>
      </c>
      <c r="P746" s="20"/>
      <c r="Q746" s="11" t="str">
        <f t="shared" si="1101"/>
        <v>Gráfico de Evolución</v>
      </c>
      <c r="R746" s="20" t="str">
        <f>Agencia[[#This Row],[territorio]]&amp;" regional trabajadoras mujeres renta neta informada sii tamaño empresa micro"</f>
        <v>Región de La Araucanía regional trabajadoras mujeres renta neta informada sii tamaño empresa micro</v>
      </c>
      <c r="S746" s="39" t="str">
        <f>HYPERLINK("https://analytics.zoho.com/open-view/2395394000008038636?ZOHO_CRITERIA=%225.1%20Empresas_Tama%C3%B1o%22.%22Cod_Regi%C3%B3n%22%3D"&amp;Agencia[[#This Row],[Filtro URL]])</f>
        <v>https://analytics.zoho.com/open-view/2395394000008038636?ZOHO_CRITERIA=%225.1%20Empresas_Tama%C3%B1o%22.%22Cod_Regi%C3%B3n%22%3D9</v>
      </c>
      <c r="T746" s="68" t="str">
        <f>"100-R-"&amp;Agencia[[#This Row],[Filtro URL]]</f>
        <v>100-R-9</v>
      </c>
      <c r="U746" s="50" t="str">
        <f t="shared" si="1102"/>
        <v>#1774B9</v>
      </c>
      <c r="V746" s="118" t="str">
        <f>+Agencia[[#This Row],[idcoleccion]]&amp;"-"&amp;Agencia[[#This Row],[id]]</f>
        <v>990-0735</v>
      </c>
      <c r="W746" s="118">
        <f>+VLOOKUP(Agencia[[#This Row],[Filtro URL]],Estructura!$X$4:$Y$500,2,0)</f>
        <v>99200009</v>
      </c>
      <c r="X746" s="118" t="str">
        <f>+VLOOKUP(Agencia[[#This Row],[tema]],Estructura!$A$4:$C$500,3,0)</f>
        <v>T-1013</v>
      </c>
      <c r="Y746" s="118" t="str">
        <f>+VLOOKUP(Agencia[[#This Row],[contenido]],Estructura!$E$4:$G$500,3,0)</f>
        <v>C-993</v>
      </c>
      <c r="Z746" s="118" t="str">
        <f>+VLOOKUP(Agencia[[#This Row],[Filtro Integrado]],Estructura!$I$4:$K$500,3,0)</f>
        <v>FI-993</v>
      </c>
      <c r="AA746" s="118" t="str">
        <f>+VLOOKUP(Agencia[[#This Row],[Muestra]],Estructura!$M$4:$O$500,3,0)</f>
        <v>M-1056</v>
      </c>
    </row>
    <row r="747" spans="1:27" ht="57.6" x14ac:dyDescent="0.3">
      <c r="A747" s="21" t="s">
        <v>1339</v>
      </c>
      <c r="B747" s="24">
        <f t="shared" ref="B747:D747" si="1160">+B746</f>
        <v>990</v>
      </c>
      <c r="C747" s="25" t="str">
        <f t="shared" si="1160"/>
        <v>Agencia Información</v>
      </c>
      <c r="D747" s="25" t="str">
        <f t="shared" si="1160"/>
        <v>Economía</v>
      </c>
      <c r="E747" s="19">
        <v>10</v>
      </c>
      <c r="F747" s="18" t="s">
        <v>1596</v>
      </c>
      <c r="G747" s="18" t="s">
        <v>1601</v>
      </c>
      <c r="H747" s="35" t="s">
        <v>16</v>
      </c>
      <c r="I747" s="36" t="s">
        <v>377</v>
      </c>
      <c r="J747" s="9" t="str">
        <f t="shared" ref="J747:N747" si="1161">+J746</f>
        <v>Ninguno</v>
      </c>
      <c r="K747" s="9" t="str">
        <f t="shared" si="1161"/>
        <v>Renta neta informada</v>
      </c>
      <c r="L747" s="9" t="str">
        <f t="shared" si="1161"/>
        <v>Periodo 2005-2019</v>
      </c>
      <c r="M747" s="9" t="str">
        <f t="shared" si="1161"/>
        <v>CLP</v>
      </c>
      <c r="N747" s="9" t="str">
        <f t="shared" si="1161"/>
        <v>Servicio de Impuestos Internos (SII)</v>
      </c>
      <c r="O747" s="20" t="str">
        <f>+"Renta neta informada de trabajadoras en la "&amp;I747&amp;", "&amp;Agencia[[#This Row],[temporalidad]]</f>
        <v>Renta neta informada de trabajadoras en la Región de Los Lagos, Periodo 2005-2019</v>
      </c>
      <c r="P747" s="20"/>
      <c r="Q747" s="11" t="str">
        <f t="shared" si="1101"/>
        <v>Gráfico de Evolución</v>
      </c>
      <c r="R747" s="20" t="str">
        <f>Agencia[[#This Row],[territorio]]&amp;" regional trabajadoras mujeres renta neta informada sii tamaño empresa micro"</f>
        <v>Región de Los Lagos regional trabajadoras mujeres renta neta informada sii tamaño empresa micro</v>
      </c>
      <c r="S747" s="39" t="str">
        <f>HYPERLINK("https://analytics.zoho.com/open-view/2395394000008038636?ZOHO_CRITERIA=%225.1%20Empresas_Tama%C3%B1o%22.%22Cod_Regi%C3%B3n%22%3D"&amp;Agencia[[#This Row],[Filtro URL]])</f>
        <v>https://analytics.zoho.com/open-view/2395394000008038636?ZOHO_CRITERIA=%225.1%20Empresas_Tama%C3%B1o%22.%22Cod_Regi%C3%B3n%22%3D10</v>
      </c>
      <c r="T747" s="68" t="str">
        <f>"100-R-"&amp;Agencia[[#This Row],[Filtro URL]]</f>
        <v>100-R-10</v>
      </c>
      <c r="U747" s="50" t="str">
        <f t="shared" si="1102"/>
        <v>#1774B9</v>
      </c>
      <c r="V747" s="118" t="str">
        <f>+Agencia[[#This Row],[idcoleccion]]&amp;"-"&amp;Agencia[[#This Row],[id]]</f>
        <v>990-0736</v>
      </c>
      <c r="W747" s="118">
        <f>+VLOOKUP(Agencia[[#This Row],[Filtro URL]],Estructura!$X$4:$Y$500,2,0)</f>
        <v>99200010</v>
      </c>
      <c r="X747" s="118" t="str">
        <f>+VLOOKUP(Agencia[[#This Row],[tema]],Estructura!$A$4:$C$500,3,0)</f>
        <v>T-1013</v>
      </c>
      <c r="Y747" s="118" t="str">
        <f>+VLOOKUP(Agencia[[#This Row],[contenido]],Estructura!$E$4:$G$500,3,0)</f>
        <v>C-993</v>
      </c>
      <c r="Z747" s="118" t="str">
        <f>+VLOOKUP(Agencia[[#This Row],[Filtro Integrado]],Estructura!$I$4:$K$500,3,0)</f>
        <v>FI-993</v>
      </c>
      <c r="AA747" s="118" t="str">
        <f>+VLOOKUP(Agencia[[#This Row],[Muestra]],Estructura!$M$4:$O$500,3,0)</f>
        <v>M-1056</v>
      </c>
    </row>
    <row r="748" spans="1:27" ht="57.6" x14ac:dyDescent="0.3">
      <c r="A748" s="21" t="s">
        <v>1340</v>
      </c>
      <c r="B748" s="24">
        <f t="shared" ref="B748:D748" si="1162">+B747</f>
        <v>990</v>
      </c>
      <c r="C748" s="25" t="str">
        <f t="shared" si="1162"/>
        <v>Agencia Información</v>
      </c>
      <c r="D748" s="25" t="str">
        <f t="shared" si="1162"/>
        <v>Economía</v>
      </c>
      <c r="E748" s="19">
        <v>11</v>
      </c>
      <c r="F748" s="18" t="s">
        <v>1596</v>
      </c>
      <c r="G748" s="18" t="s">
        <v>1601</v>
      </c>
      <c r="H748" s="35" t="s">
        <v>16</v>
      </c>
      <c r="I748" s="36" t="s">
        <v>378</v>
      </c>
      <c r="J748" s="9" t="str">
        <f t="shared" ref="J748:N748" si="1163">+J747</f>
        <v>Ninguno</v>
      </c>
      <c r="K748" s="9" t="str">
        <f t="shared" si="1163"/>
        <v>Renta neta informada</v>
      </c>
      <c r="L748" s="9" t="str">
        <f t="shared" si="1163"/>
        <v>Periodo 2005-2019</v>
      </c>
      <c r="M748" s="9" t="str">
        <f t="shared" si="1163"/>
        <v>CLP</v>
      </c>
      <c r="N748" s="9" t="str">
        <f t="shared" si="1163"/>
        <v>Servicio de Impuestos Internos (SII)</v>
      </c>
      <c r="O748" s="20" t="str">
        <f>+"Renta neta informada de trabajadoras en la "&amp;I748&amp;", "&amp;Agencia[[#This Row],[temporalidad]]</f>
        <v>Renta neta informada de trabajadoras en la Región de Aysén, Periodo 2005-2019</v>
      </c>
      <c r="P748" s="20"/>
      <c r="Q748" s="11" t="str">
        <f t="shared" si="1101"/>
        <v>Gráfico de Evolución</v>
      </c>
      <c r="R748" s="20" t="str">
        <f>Agencia[[#This Row],[territorio]]&amp;" regional trabajadoras mujeres renta neta informada sii tamaño empresa micro"</f>
        <v>Región de Aysén regional trabajadoras mujeres renta neta informada sii tamaño empresa micro</v>
      </c>
      <c r="S748" s="39" t="str">
        <f>HYPERLINK("https://analytics.zoho.com/open-view/2395394000008038636?ZOHO_CRITERIA=%225.1%20Empresas_Tama%C3%B1o%22.%22Cod_Regi%C3%B3n%22%3D"&amp;Agencia[[#This Row],[Filtro URL]])</f>
        <v>https://analytics.zoho.com/open-view/2395394000008038636?ZOHO_CRITERIA=%225.1%20Empresas_Tama%C3%B1o%22.%22Cod_Regi%C3%B3n%22%3D11</v>
      </c>
      <c r="T748" s="68" t="str">
        <f>"100-R-"&amp;Agencia[[#This Row],[Filtro URL]]</f>
        <v>100-R-11</v>
      </c>
      <c r="U748" s="50" t="str">
        <f t="shared" si="1102"/>
        <v>#1774B9</v>
      </c>
      <c r="V748" s="118" t="str">
        <f>+Agencia[[#This Row],[idcoleccion]]&amp;"-"&amp;Agencia[[#This Row],[id]]</f>
        <v>990-0737</v>
      </c>
      <c r="W748" s="118">
        <f>+VLOOKUP(Agencia[[#This Row],[Filtro URL]],Estructura!$X$4:$Y$500,2,0)</f>
        <v>99200011</v>
      </c>
      <c r="X748" s="118" t="str">
        <f>+VLOOKUP(Agencia[[#This Row],[tema]],Estructura!$A$4:$C$500,3,0)</f>
        <v>T-1013</v>
      </c>
      <c r="Y748" s="118" t="str">
        <f>+VLOOKUP(Agencia[[#This Row],[contenido]],Estructura!$E$4:$G$500,3,0)</f>
        <v>C-993</v>
      </c>
      <c r="Z748" s="118" t="str">
        <f>+VLOOKUP(Agencia[[#This Row],[Filtro Integrado]],Estructura!$I$4:$K$500,3,0)</f>
        <v>FI-993</v>
      </c>
      <c r="AA748" s="118" t="str">
        <f>+VLOOKUP(Agencia[[#This Row],[Muestra]],Estructura!$M$4:$O$500,3,0)</f>
        <v>M-1056</v>
      </c>
    </row>
    <row r="749" spans="1:27" ht="57.6" x14ac:dyDescent="0.3">
      <c r="A749" s="21" t="s">
        <v>1341</v>
      </c>
      <c r="B749" s="24">
        <f t="shared" ref="B749:D749" si="1164">+B748</f>
        <v>990</v>
      </c>
      <c r="C749" s="25" t="str">
        <f t="shared" si="1164"/>
        <v>Agencia Información</v>
      </c>
      <c r="D749" s="25" t="str">
        <f t="shared" si="1164"/>
        <v>Economía</v>
      </c>
      <c r="E749" s="19">
        <v>12</v>
      </c>
      <c r="F749" s="18" t="s">
        <v>1596</v>
      </c>
      <c r="G749" s="18" t="s">
        <v>1601</v>
      </c>
      <c r="H749" s="35" t="s">
        <v>16</v>
      </c>
      <c r="I749" s="36" t="s">
        <v>379</v>
      </c>
      <c r="J749" s="9" t="str">
        <f t="shared" ref="J749:N749" si="1165">+J748</f>
        <v>Ninguno</v>
      </c>
      <c r="K749" s="9" t="str">
        <f t="shared" si="1165"/>
        <v>Renta neta informada</v>
      </c>
      <c r="L749" s="9" t="str">
        <f t="shared" si="1165"/>
        <v>Periodo 2005-2019</v>
      </c>
      <c r="M749" s="9" t="str">
        <f t="shared" si="1165"/>
        <v>CLP</v>
      </c>
      <c r="N749" s="9" t="str">
        <f t="shared" si="1165"/>
        <v>Servicio de Impuestos Internos (SII)</v>
      </c>
      <c r="O749" s="20" t="str">
        <f>+"Renta neta informada de trabajadoras en la "&amp;I749&amp;", "&amp;Agencia[[#This Row],[temporalidad]]</f>
        <v>Renta neta informada de trabajadoras en la Región de Magallanes, Periodo 2005-2019</v>
      </c>
      <c r="P749" s="20"/>
      <c r="Q749" s="11" t="str">
        <f t="shared" si="1101"/>
        <v>Gráfico de Evolución</v>
      </c>
      <c r="R749" s="20" t="str">
        <f>Agencia[[#This Row],[territorio]]&amp;" regional trabajadoras mujeres renta neta informada sii tamaño empresa micro"</f>
        <v>Región de Magallanes regional trabajadoras mujeres renta neta informada sii tamaño empresa micro</v>
      </c>
      <c r="S749" s="39" t="str">
        <f>HYPERLINK("https://analytics.zoho.com/open-view/2395394000008038636?ZOHO_CRITERIA=%225.1%20Empresas_Tama%C3%B1o%22.%22Cod_Regi%C3%B3n%22%3D"&amp;Agencia[[#This Row],[Filtro URL]])</f>
        <v>https://analytics.zoho.com/open-view/2395394000008038636?ZOHO_CRITERIA=%225.1%20Empresas_Tama%C3%B1o%22.%22Cod_Regi%C3%B3n%22%3D12</v>
      </c>
      <c r="T749" s="68" t="str">
        <f>"100-R-"&amp;Agencia[[#This Row],[Filtro URL]]</f>
        <v>100-R-12</v>
      </c>
      <c r="U749" s="50" t="str">
        <f t="shared" si="1102"/>
        <v>#1774B9</v>
      </c>
      <c r="V749" s="118" t="str">
        <f>+Agencia[[#This Row],[idcoleccion]]&amp;"-"&amp;Agencia[[#This Row],[id]]</f>
        <v>990-0738</v>
      </c>
      <c r="W749" s="118">
        <f>+VLOOKUP(Agencia[[#This Row],[Filtro URL]],Estructura!$X$4:$Y$500,2,0)</f>
        <v>99200012</v>
      </c>
      <c r="X749" s="118" t="str">
        <f>+VLOOKUP(Agencia[[#This Row],[tema]],Estructura!$A$4:$C$500,3,0)</f>
        <v>T-1013</v>
      </c>
      <c r="Y749" s="118" t="str">
        <f>+VLOOKUP(Agencia[[#This Row],[contenido]],Estructura!$E$4:$G$500,3,0)</f>
        <v>C-993</v>
      </c>
      <c r="Z749" s="118" t="str">
        <f>+VLOOKUP(Agencia[[#This Row],[Filtro Integrado]],Estructura!$I$4:$K$500,3,0)</f>
        <v>FI-993</v>
      </c>
      <c r="AA749" s="118" t="str">
        <f>+VLOOKUP(Agencia[[#This Row],[Muestra]],Estructura!$M$4:$O$500,3,0)</f>
        <v>M-1056</v>
      </c>
    </row>
    <row r="750" spans="1:27" ht="57.6" x14ac:dyDescent="0.3">
      <c r="A750" s="21" t="s">
        <v>1342</v>
      </c>
      <c r="B750" s="24">
        <f t="shared" ref="B750:D750" si="1166">+B749</f>
        <v>990</v>
      </c>
      <c r="C750" s="25" t="str">
        <f t="shared" si="1166"/>
        <v>Agencia Información</v>
      </c>
      <c r="D750" s="25" t="str">
        <f t="shared" si="1166"/>
        <v>Economía</v>
      </c>
      <c r="E750" s="19">
        <v>13</v>
      </c>
      <c r="F750" s="18" t="s">
        <v>1596</v>
      </c>
      <c r="G750" s="18" t="s">
        <v>1601</v>
      </c>
      <c r="H750" s="35" t="s">
        <v>16</v>
      </c>
      <c r="I750" s="36" t="s">
        <v>380</v>
      </c>
      <c r="J750" s="9" t="str">
        <f t="shared" ref="J750:N750" si="1167">+J749</f>
        <v>Ninguno</v>
      </c>
      <c r="K750" s="9" t="str">
        <f t="shared" si="1167"/>
        <v>Renta neta informada</v>
      </c>
      <c r="L750" s="9" t="str">
        <f t="shared" si="1167"/>
        <v>Periodo 2005-2019</v>
      </c>
      <c r="M750" s="9" t="str">
        <f t="shared" si="1167"/>
        <v>CLP</v>
      </c>
      <c r="N750" s="9" t="str">
        <f t="shared" si="1167"/>
        <v>Servicio de Impuestos Internos (SII)</v>
      </c>
      <c r="O750" s="20" t="str">
        <f>+"Renta neta informada de trabajadoras en la "&amp;I750&amp;", "&amp;Agencia[[#This Row],[temporalidad]]</f>
        <v>Renta neta informada de trabajadoras en la Región Metropolitana, Periodo 2005-2019</v>
      </c>
      <c r="P750" s="20"/>
      <c r="Q750" s="11" t="str">
        <f t="shared" si="1101"/>
        <v>Gráfico de Evolución</v>
      </c>
      <c r="R750" s="20" t="str">
        <f>Agencia[[#This Row],[territorio]]&amp;" regional trabajadoras mujeres renta neta informada sii tamaño empresa micro"</f>
        <v>Región Metropolitana regional trabajadoras mujeres renta neta informada sii tamaño empresa micro</v>
      </c>
      <c r="S750" s="39" t="str">
        <f>HYPERLINK("https://analytics.zoho.com/open-view/2395394000008038636?ZOHO_CRITERIA=%225.1%20Empresas_Tama%C3%B1o%22.%22Cod_Regi%C3%B3n%22%3D"&amp;Agencia[[#This Row],[Filtro URL]])</f>
        <v>https://analytics.zoho.com/open-view/2395394000008038636?ZOHO_CRITERIA=%225.1%20Empresas_Tama%C3%B1o%22.%22Cod_Regi%C3%B3n%22%3D13</v>
      </c>
      <c r="T750" s="68" t="str">
        <f>"200-R-"&amp;Agencia[[#This Row],[Filtro URL]]</f>
        <v>200-R-13</v>
      </c>
      <c r="U750" s="50" t="str">
        <f t="shared" si="1102"/>
        <v>#1774B9</v>
      </c>
      <c r="V750" s="118" t="str">
        <f>+Agencia[[#This Row],[idcoleccion]]&amp;"-"&amp;Agencia[[#This Row],[id]]</f>
        <v>990-0739</v>
      </c>
      <c r="W750" s="118">
        <f>+VLOOKUP(Agencia[[#This Row],[Filtro URL]],Estructura!$X$4:$Y$500,2,0)</f>
        <v>99200013</v>
      </c>
      <c r="X750" s="118" t="str">
        <f>+VLOOKUP(Agencia[[#This Row],[tema]],Estructura!$A$4:$C$500,3,0)</f>
        <v>T-1013</v>
      </c>
      <c r="Y750" s="118" t="str">
        <f>+VLOOKUP(Agencia[[#This Row],[contenido]],Estructura!$E$4:$G$500,3,0)</f>
        <v>C-993</v>
      </c>
      <c r="Z750" s="118" t="str">
        <f>+VLOOKUP(Agencia[[#This Row],[Filtro Integrado]],Estructura!$I$4:$K$500,3,0)</f>
        <v>FI-993</v>
      </c>
      <c r="AA750" s="118" t="str">
        <f>+VLOOKUP(Agencia[[#This Row],[Muestra]],Estructura!$M$4:$O$500,3,0)</f>
        <v>M-1056</v>
      </c>
    </row>
    <row r="751" spans="1:27" ht="57.6" x14ac:dyDescent="0.3">
      <c r="A751" s="21" t="s">
        <v>1343</v>
      </c>
      <c r="B751" s="24">
        <f t="shared" ref="B751:D751" si="1168">+B750</f>
        <v>990</v>
      </c>
      <c r="C751" s="25" t="str">
        <f t="shared" si="1168"/>
        <v>Agencia Información</v>
      </c>
      <c r="D751" s="25" t="str">
        <f t="shared" si="1168"/>
        <v>Economía</v>
      </c>
      <c r="E751" s="19">
        <v>14</v>
      </c>
      <c r="F751" s="18" t="s">
        <v>1596</v>
      </c>
      <c r="G751" s="18" t="s">
        <v>1601</v>
      </c>
      <c r="H751" s="35" t="s">
        <v>16</v>
      </c>
      <c r="I751" s="36" t="s">
        <v>381</v>
      </c>
      <c r="J751" s="9" t="str">
        <f t="shared" ref="J751:N751" si="1169">+J750</f>
        <v>Ninguno</v>
      </c>
      <c r="K751" s="9" t="str">
        <f t="shared" si="1169"/>
        <v>Renta neta informada</v>
      </c>
      <c r="L751" s="9" t="str">
        <f t="shared" si="1169"/>
        <v>Periodo 2005-2019</v>
      </c>
      <c r="M751" s="9" t="str">
        <f t="shared" si="1169"/>
        <v>CLP</v>
      </c>
      <c r="N751" s="9" t="str">
        <f t="shared" si="1169"/>
        <v>Servicio de Impuestos Internos (SII)</v>
      </c>
      <c r="O751" s="20" t="str">
        <f>+"Renta neta informada de trabajadoras en la "&amp;I751&amp;", "&amp;Agencia[[#This Row],[temporalidad]]</f>
        <v>Renta neta informada de trabajadoras en la Región de Los Ríos, Periodo 2005-2019</v>
      </c>
      <c r="P751" s="20"/>
      <c r="Q751" s="11" t="str">
        <f t="shared" si="1101"/>
        <v>Gráfico de Evolución</v>
      </c>
      <c r="R751" s="20" t="str">
        <f>Agencia[[#This Row],[territorio]]&amp;" regional trabajadoras mujeres renta neta informada sii tamaño empresa micro"</f>
        <v>Región de Los Ríos regional trabajadoras mujeres renta neta informada sii tamaño empresa micro</v>
      </c>
      <c r="S751" s="39" t="str">
        <f>HYPERLINK("https://analytics.zoho.com/open-view/2395394000008038636?ZOHO_CRITERIA=%225.1%20Empresas_Tama%C3%B1o%22.%22Cod_Regi%C3%B3n%22%3D"&amp;Agencia[[#This Row],[Filtro URL]])</f>
        <v>https://analytics.zoho.com/open-view/2395394000008038636?ZOHO_CRITERIA=%225.1%20Empresas_Tama%C3%B1o%22.%22Cod_Regi%C3%B3n%22%3D14</v>
      </c>
      <c r="T751" s="68" t="str">
        <f>"100-R-"&amp;Agencia[[#This Row],[Filtro URL]]</f>
        <v>100-R-14</v>
      </c>
      <c r="U751" s="50" t="str">
        <f t="shared" si="1102"/>
        <v>#1774B9</v>
      </c>
      <c r="V751" s="118" t="str">
        <f>+Agencia[[#This Row],[idcoleccion]]&amp;"-"&amp;Agencia[[#This Row],[id]]</f>
        <v>990-0740</v>
      </c>
      <c r="W751" s="118">
        <f>+VLOOKUP(Agencia[[#This Row],[Filtro URL]],Estructura!$X$4:$Y$500,2,0)</f>
        <v>99200014</v>
      </c>
      <c r="X751" s="118" t="str">
        <f>+VLOOKUP(Agencia[[#This Row],[tema]],Estructura!$A$4:$C$500,3,0)</f>
        <v>T-1013</v>
      </c>
      <c r="Y751" s="118" t="str">
        <f>+VLOOKUP(Agencia[[#This Row],[contenido]],Estructura!$E$4:$G$500,3,0)</f>
        <v>C-993</v>
      </c>
      <c r="Z751" s="118" t="str">
        <f>+VLOOKUP(Agencia[[#This Row],[Filtro Integrado]],Estructura!$I$4:$K$500,3,0)</f>
        <v>FI-993</v>
      </c>
      <c r="AA751" s="118" t="str">
        <f>+VLOOKUP(Agencia[[#This Row],[Muestra]],Estructura!$M$4:$O$500,3,0)</f>
        <v>M-1056</v>
      </c>
    </row>
    <row r="752" spans="1:27" ht="57.6" x14ac:dyDescent="0.3">
      <c r="A752" s="21" t="s">
        <v>1344</v>
      </c>
      <c r="B752" s="24">
        <f t="shared" ref="B752:D752" si="1170">+B751</f>
        <v>990</v>
      </c>
      <c r="C752" s="25" t="str">
        <f t="shared" si="1170"/>
        <v>Agencia Información</v>
      </c>
      <c r="D752" s="25" t="str">
        <f t="shared" si="1170"/>
        <v>Economía</v>
      </c>
      <c r="E752" s="19">
        <v>15</v>
      </c>
      <c r="F752" s="18" t="s">
        <v>1596</v>
      </c>
      <c r="G752" s="18" t="s">
        <v>1601</v>
      </c>
      <c r="H752" s="35" t="s">
        <v>16</v>
      </c>
      <c r="I752" s="36" t="s">
        <v>382</v>
      </c>
      <c r="J752" s="9" t="str">
        <f t="shared" ref="J752:N752" si="1171">+J751</f>
        <v>Ninguno</v>
      </c>
      <c r="K752" s="9" t="str">
        <f t="shared" si="1171"/>
        <v>Renta neta informada</v>
      </c>
      <c r="L752" s="9" t="str">
        <f t="shared" si="1171"/>
        <v>Periodo 2005-2019</v>
      </c>
      <c r="M752" s="9" t="str">
        <f t="shared" si="1171"/>
        <v>CLP</v>
      </c>
      <c r="N752" s="9" t="str">
        <f t="shared" si="1171"/>
        <v>Servicio de Impuestos Internos (SII)</v>
      </c>
      <c r="O752" s="20" t="str">
        <f>+"Renta neta informada de trabajadoras en la "&amp;I752&amp;", "&amp;Agencia[[#This Row],[temporalidad]]</f>
        <v>Renta neta informada de trabajadoras en la Región de Arica y Parinacota, Periodo 2005-2019</v>
      </c>
      <c r="P752" s="20"/>
      <c r="Q752" s="11" t="str">
        <f t="shared" si="1101"/>
        <v>Gráfico de Evolución</v>
      </c>
      <c r="R752" s="20" t="str">
        <f>Agencia[[#This Row],[territorio]]&amp;" regional trabajadoras mujeres renta neta informada sii tamaño empresa micro"</f>
        <v>Región de Arica y Parinacota regional trabajadoras mujeres renta neta informada sii tamaño empresa micro</v>
      </c>
      <c r="S752" s="39" t="str">
        <f>HYPERLINK("https://analytics.zoho.com/open-view/2395394000008038636?ZOHO_CRITERIA=%225.1%20Empresas_Tama%C3%B1o%22.%22Cod_Regi%C3%B3n%22%3D"&amp;Agencia[[#This Row],[Filtro URL]])</f>
        <v>https://analytics.zoho.com/open-view/2395394000008038636?ZOHO_CRITERIA=%225.1%20Empresas_Tama%C3%B1o%22.%22Cod_Regi%C3%B3n%22%3D15</v>
      </c>
      <c r="T752" s="68" t="str">
        <f>"100-R-"&amp;Agencia[[#This Row],[Filtro URL]]</f>
        <v>100-R-15</v>
      </c>
      <c r="U752" s="50" t="str">
        <f t="shared" si="1102"/>
        <v>#1774B9</v>
      </c>
      <c r="V752" s="118" t="str">
        <f>+Agencia[[#This Row],[idcoleccion]]&amp;"-"&amp;Agencia[[#This Row],[id]]</f>
        <v>990-0741</v>
      </c>
      <c r="W752" s="118">
        <f>+VLOOKUP(Agencia[[#This Row],[Filtro URL]],Estructura!$X$4:$Y$500,2,0)</f>
        <v>99200015</v>
      </c>
      <c r="X752" s="118" t="str">
        <f>+VLOOKUP(Agencia[[#This Row],[tema]],Estructura!$A$4:$C$500,3,0)</f>
        <v>T-1013</v>
      </c>
      <c r="Y752" s="118" t="str">
        <f>+VLOOKUP(Agencia[[#This Row],[contenido]],Estructura!$E$4:$G$500,3,0)</f>
        <v>C-993</v>
      </c>
      <c r="Z752" s="118" t="str">
        <f>+VLOOKUP(Agencia[[#This Row],[Filtro Integrado]],Estructura!$I$4:$K$500,3,0)</f>
        <v>FI-993</v>
      </c>
      <c r="AA752" s="118" t="str">
        <f>+VLOOKUP(Agencia[[#This Row],[Muestra]],Estructura!$M$4:$O$500,3,0)</f>
        <v>M-1056</v>
      </c>
    </row>
    <row r="753" spans="1:27" ht="57.6" x14ac:dyDescent="0.3">
      <c r="A753" s="21" t="s">
        <v>1345</v>
      </c>
      <c r="B753" s="24">
        <f t="shared" ref="B753:D753" si="1172">+B752</f>
        <v>990</v>
      </c>
      <c r="C753" s="25" t="str">
        <f t="shared" si="1172"/>
        <v>Agencia Información</v>
      </c>
      <c r="D753" s="25" t="str">
        <f t="shared" si="1172"/>
        <v>Economía</v>
      </c>
      <c r="E753" s="19">
        <v>16</v>
      </c>
      <c r="F753" s="18" t="s">
        <v>1596</v>
      </c>
      <c r="G753" s="18" t="s">
        <v>1601</v>
      </c>
      <c r="H753" s="35" t="s">
        <v>16</v>
      </c>
      <c r="I753" s="36" t="s">
        <v>383</v>
      </c>
      <c r="J753" s="9" t="str">
        <f t="shared" ref="J753:N753" si="1173">+J752</f>
        <v>Ninguno</v>
      </c>
      <c r="K753" s="9" t="str">
        <f t="shared" si="1173"/>
        <v>Renta neta informada</v>
      </c>
      <c r="L753" s="9" t="str">
        <f t="shared" si="1173"/>
        <v>Periodo 2005-2019</v>
      </c>
      <c r="M753" s="9" t="str">
        <f t="shared" si="1173"/>
        <v>CLP</v>
      </c>
      <c r="N753" s="9" t="str">
        <f t="shared" si="1173"/>
        <v>Servicio de Impuestos Internos (SII)</v>
      </c>
      <c r="O753" s="20" t="str">
        <f>+"Renta neta informada de trabajadoras en la "&amp;I753&amp;", "&amp;Agencia[[#This Row],[temporalidad]]</f>
        <v>Renta neta informada de trabajadoras en la Región de Ñuble, Periodo 2005-2019</v>
      </c>
      <c r="P753" s="20"/>
      <c r="Q753" s="11" t="str">
        <f t="shared" si="1101"/>
        <v>Gráfico de Evolución</v>
      </c>
      <c r="R753" s="20" t="str">
        <f>Agencia[[#This Row],[territorio]]&amp;" regional trabajadoras mujeres renta neta informada sii tamaño empresa micro"</f>
        <v>Región de Ñuble regional trabajadoras mujeres renta neta informada sii tamaño empresa micro</v>
      </c>
      <c r="S753" s="39" t="str">
        <f>HYPERLINK("https://analytics.zoho.com/open-view/2395394000008038636?ZOHO_CRITERIA=%225.1%20Empresas_Tama%C3%B1o%22.%22Cod_Regi%C3%B3n%22%3D"&amp;Agencia[[#This Row],[Filtro URL]])</f>
        <v>https://analytics.zoho.com/open-view/2395394000008038636?ZOHO_CRITERIA=%225.1%20Empresas_Tama%C3%B1o%22.%22Cod_Regi%C3%B3n%22%3D16</v>
      </c>
      <c r="T753" s="68" t="str">
        <f>"100-R-"&amp;Agencia[[#This Row],[Filtro URL]]</f>
        <v>100-R-16</v>
      </c>
      <c r="U753" s="50" t="str">
        <f t="shared" si="1102"/>
        <v>#1774B9</v>
      </c>
      <c r="V753" s="118" t="str">
        <f>+Agencia[[#This Row],[idcoleccion]]&amp;"-"&amp;Agencia[[#This Row],[id]]</f>
        <v>990-0742</v>
      </c>
      <c r="W753" s="118">
        <f>+VLOOKUP(Agencia[[#This Row],[Filtro URL]],Estructura!$X$4:$Y$500,2,0)</f>
        <v>99200016</v>
      </c>
      <c r="X753" s="118" t="str">
        <f>+VLOOKUP(Agencia[[#This Row],[tema]],Estructura!$A$4:$C$500,3,0)</f>
        <v>T-1013</v>
      </c>
      <c r="Y753" s="118" t="str">
        <f>+VLOOKUP(Agencia[[#This Row],[contenido]],Estructura!$E$4:$G$500,3,0)</f>
        <v>C-993</v>
      </c>
      <c r="Z753" s="118" t="str">
        <f>+VLOOKUP(Agencia[[#This Row],[Filtro Integrado]],Estructura!$I$4:$K$500,3,0)</f>
        <v>FI-993</v>
      </c>
      <c r="AA753" s="118" t="str">
        <f>+VLOOKUP(Agencia[[#This Row],[Muestra]],Estructura!$M$4:$O$500,3,0)</f>
        <v>M-1056</v>
      </c>
    </row>
    <row r="754" spans="1:27" ht="36" x14ac:dyDescent="0.3">
      <c r="A754" s="21" t="s">
        <v>1346</v>
      </c>
      <c r="B754" s="24">
        <f t="shared" ref="B754:C754" si="1174">+B753</f>
        <v>990</v>
      </c>
      <c r="C754" s="25" t="str">
        <f t="shared" si="1174"/>
        <v>Agencia Información</v>
      </c>
      <c r="D754" s="25" t="s">
        <v>881</v>
      </c>
      <c r="E754" s="14">
        <v>0</v>
      </c>
      <c r="F754" s="18" t="s">
        <v>1602</v>
      </c>
      <c r="G754" s="18" t="s">
        <v>1601</v>
      </c>
      <c r="H754" s="33" t="s">
        <v>20</v>
      </c>
      <c r="I754" s="34" t="s">
        <v>15</v>
      </c>
      <c r="J754" s="9" t="s">
        <v>16</v>
      </c>
      <c r="K754" s="9" t="s">
        <v>1600</v>
      </c>
      <c r="L754" s="9" t="s">
        <v>1489</v>
      </c>
      <c r="M754" s="9" t="s">
        <v>1599</v>
      </c>
      <c r="N754" s="9" t="s">
        <v>885</v>
      </c>
      <c r="O754" s="20" t="str">
        <f>+"Número de Empresas por Tamaño según ventas en "&amp;I754&amp;", "&amp;Agencia[[#This Row],[temporalidad]]</f>
        <v>Número de Empresas por Tamaño según ventas en Chile, Periodo 2005-2019</v>
      </c>
      <c r="P754" s="20"/>
      <c r="Q754" s="11" t="s">
        <v>821</v>
      </c>
      <c r="R754" s="20" t="str">
        <f>Agencia[[#This Row],[territorio]]&amp;" empresas regional tramos ventas uf micro mediana grande sii"</f>
        <v>Chile empresas regional tramos ventas uf micro mediana grande sii</v>
      </c>
      <c r="S754" s="39" t="s">
        <v>1603</v>
      </c>
      <c r="T754" s="68" t="s">
        <v>855</v>
      </c>
      <c r="U754" s="50" t="str">
        <f t="shared" si="1102"/>
        <v>#1774B9</v>
      </c>
      <c r="V754" s="118" t="str">
        <f>+Agencia[[#This Row],[idcoleccion]]&amp;"-"&amp;Agencia[[#This Row],[id]]</f>
        <v>990-0743</v>
      </c>
      <c r="W754" s="118">
        <f>+VLOOKUP(Agencia[[#This Row],[Filtro URL]],Estructura!$X$4:$Y$500,2,0)</f>
        <v>99100000</v>
      </c>
      <c r="X754" s="118" t="str">
        <f>+VLOOKUP(Agencia[[#This Row],[tema]],Estructura!$A$4:$C$500,3,0)</f>
        <v>T-1014</v>
      </c>
      <c r="Y754" s="118" t="str">
        <f>+VLOOKUP(Agencia[[#This Row],[contenido]],Estructura!$E$4:$G$500,3,0)</f>
        <v>C-993</v>
      </c>
      <c r="Z754" s="118" t="str">
        <f>+VLOOKUP(Agencia[[#This Row],[Filtro Integrado]],Estructura!$I$4:$K$500,3,0)</f>
        <v>FI-992</v>
      </c>
      <c r="AA754" s="118" t="str">
        <f>+VLOOKUP(Agencia[[#This Row],[Muestra]],Estructura!$M$4:$O$500,3,0)</f>
        <v>M-1057</v>
      </c>
    </row>
    <row r="755" spans="1:27" ht="57.6" x14ac:dyDescent="0.3">
      <c r="A755" s="21" t="s">
        <v>1347</v>
      </c>
      <c r="B755" s="24">
        <f t="shared" ref="B755:D755" si="1175">+B754</f>
        <v>990</v>
      </c>
      <c r="C755" s="25" t="str">
        <f t="shared" si="1175"/>
        <v>Agencia Información</v>
      </c>
      <c r="D755" s="25" t="str">
        <f t="shared" si="1175"/>
        <v>Economía</v>
      </c>
      <c r="E755" s="19">
        <v>1</v>
      </c>
      <c r="F755" s="18" t="s">
        <v>1602</v>
      </c>
      <c r="G755" s="18" t="s">
        <v>1601</v>
      </c>
      <c r="H755" s="35" t="s">
        <v>16</v>
      </c>
      <c r="I755" s="36" t="s">
        <v>368</v>
      </c>
      <c r="J755" s="9" t="s">
        <v>404</v>
      </c>
      <c r="K755" s="9" t="str">
        <f t="shared" ref="K755:N755" si="1176">+K754</f>
        <v>Cantidad de empresas por tamaño</v>
      </c>
      <c r="L755" s="9" t="str">
        <f t="shared" si="1176"/>
        <v>Periodo 2005-2019</v>
      </c>
      <c r="M755" s="9" t="str">
        <f t="shared" si="1176"/>
        <v>Número de empresas</v>
      </c>
      <c r="N755" s="9" t="str">
        <f t="shared" si="1176"/>
        <v>Servicio de Impuestos Internos (SII)</v>
      </c>
      <c r="O755" s="20" t="str">
        <f>+"Número de Empresas por Tamaño según ventas en la "&amp;I755&amp;", "&amp;Agencia[[#This Row],[temporalidad]]</f>
        <v>Número de Empresas por Tamaño según ventas en la Región de Tarapacá, Periodo 2005-2019</v>
      </c>
      <c r="P755" s="20"/>
      <c r="Q755" s="11" t="str">
        <f t="shared" si="1101"/>
        <v>Gráfico de Evolución</v>
      </c>
      <c r="R755" s="20" t="str">
        <f>Agencia[[#This Row],[territorio]]&amp;" empresas regional tramos ventas uf micro mediana grande sii"</f>
        <v>Región de Tarapacá empresas regional tramos ventas uf micro mediana grande sii</v>
      </c>
      <c r="S755" s="39" t="str">
        <f>HYPERLINK("https://analytics.zoho.com/open-view/2395394000008039000?ZOHO_CRITERIA=%225.1%20Empresas_Tama%C3%B1o%22.%22Cod_Regi%C3%B3n%22%3D"&amp;Agencia[[#This Row],[Filtro URL]])</f>
        <v>https://analytics.zoho.com/open-view/2395394000008039000?ZOHO_CRITERIA=%225.1%20Empresas_Tama%C3%B1o%22.%22Cod_Regi%C3%B3n%22%3D1</v>
      </c>
      <c r="T755" s="68" t="str">
        <f>"100-R-"&amp;Agencia[[#This Row],[Filtro URL]]</f>
        <v>100-R-1</v>
      </c>
      <c r="U755" s="50" t="str">
        <f t="shared" si="1102"/>
        <v>#1774B9</v>
      </c>
      <c r="V755" s="118" t="str">
        <f>+Agencia[[#This Row],[idcoleccion]]&amp;"-"&amp;Agencia[[#This Row],[id]]</f>
        <v>990-0744</v>
      </c>
      <c r="W755" s="118">
        <f>+VLOOKUP(Agencia[[#This Row],[Filtro URL]],Estructura!$X$4:$Y$500,2,0)</f>
        <v>99200001</v>
      </c>
      <c r="X755" s="118" t="str">
        <f>+VLOOKUP(Agencia[[#This Row],[tema]],Estructura!$A$4:$C$500,3,0)</f>
        <v>T-1014</v>
      </c>
      <c r="Y755" s="118" t="str">
        <f>+VLOOKUP(Agencia[[#This Row],[contenido]],Estructura!$E$4:$G$500,3,0)</f>
        <v>C-993</v>
      </c>
      <c r="Z755" s="118" t="str">
        <f>+VLOOKUP(Agencia[[#This Row],[Filtro Integrado]],Estructura!$I$4:$K$500,3,0)</f>
        <v>FI-993</v>
      </c>
      <c r="AA755" s="118" t="str">
        <f>+VLOOKUP(Agencia[[#This Row],[Muestra]],Estructura!$M$4:$O$500,3,0)</f>
        <v>M-1057</v>
      </c>
    </row>
    <row r="756" spans="1:27" ht="57.6" x14ac:dyDescent="0.3">
      <c r="A756" s="21" t="s">
        <v>1348</v>
      </c>
      <c r="B756" s="24">
        <f t="shared" ref="B756:D756" si="1177">+B755</f>
        <v>990</v>
      </c>
      <c r="C756" s="25" t="str">
        <f t="shared" si="1177"/>
        <v>Agencia Información</v>
      </c>
      <c r="D756" s="25" t="str">
        <f t="shared" si="1177"/>
        <v>Economía</v>
      </c>
      <c r="E756" s="19">
        <v>2</v>
      </c>
      <c r="F756" s="18" t="s">
        <v>1602</v>
      </c>
      <c r="G756" s="18" t="s">
        <v>1601</v>
      </c>
      <c r="H756" s="35" t="s">
        <v>16</v>
      </c>
      <c r="I756" s="36" t="s">
        <v>369</v>
      </c>
      <c r="J756" s="9" t="str">
        <f t="shared" ref="J756:N756" si="1178">+J755</f>
        <v>Ninguno</v>
      </c>
      <c r="K756" s="9" t="str">
        <f t="shared" si="1178"/>
        <v>Cantidad de empresas por tamaño</v>
      </c>
      <c r="L756" s="9" t="str">
        <f t="shared" si="1178"/>
        <v>Periodo 2005-2019</v>
      </c>
      <c r="M756" s="9" t="str">
        <f t="shared" si="1178"/>
        <v>Número de empresas</v>
      </c>
      <c r="N756" s="9" t="str">
        <f t="shared" si="1178"/>
        <v>Servicio de Impuestos Internos (SII)</v>
      </c>
      <c r="O756" s="20" t="str">
        <f>+"Número de Empresas por Tamaño según ventas en la "&amp;I756&amp;", "&amp;Agencia[[#This Row],[temporalidad]]</f>
        <v>Número de Empresas por Tamaño según ventas en la Región de Antofagasta, Periodo 2005-2019</v>
      </c>
      <c r="P756" s="20"/>
      <c r="Q756" s="11" t="str">
        <f t="shared" si="1101"/>
        <v>Gráfico de Evolución</v>
      </c>
      <c r="R756" s="20" t="str">
        <f>Agencia[[#This Row],[territorio]]&amp;" empresas regional tramos ventas uf micro mediana grande sii"</f>
        <v>Región de Antofagasta empresas regional tramos ventas uf micro mediana grande sii</v>
      </c>
      <c r="S756" s="39" t="str">
        <f>HYPERLINK("https://analytics.zoho.com/open-view/2395394000008039000?ZOHO_CRITERIA=%225.1%20Empresas_Tama%C3%B1o%22.%22Cod_Regi%C3%B3n%22%3D"&amp;Agencia[[#This Row],[Filtro URL]])</f>
        <v>https://analytics.zoho.com/open-view/2395394000008039000?ZOHO_CRITERIA=%225.1%20Empresas_Tama%C3%B1o%22.%22Cod_Regi%C3%B3n%22%3D2</v>
      </c>
      <c r="T756" s="68" t="str">
        <f>"100-R-"&amp;Agencia[[#This Row],[Filtro URL]]</f>
        <v>100-R-2</v>
      </c>
      <c r="U756" s="50" t="str">
        <f t="shared" si="1102"/>
        <v>#1774B9</v>
      </c>
      <c r="V756" s="118" t="str">
        <f>+Agencia[[#This Row],[idcoleccion]]&amp;"-"&amp;Agencia[[#This Row],[id]]</f>
        <v>990-0745</v>
      </c>
      <c r="W756" s="118">
        <f>+VLOOKUP(Agencia[[#This Row],[Filtro URL]],Estructura!$X$4:$Y$500,2,0)</f>
        <v>99200002</v>
      </c>
      <c r="X756" s="118" t="str">
        <f>+VLOOKUP(Agencia[[#This Row],[tema]],Estructura!$A$4:$C$500,3,0)</f>
        <v>T-1014</v>
      </c>
      <c r="Y756" s="118" t="str">
        <f>+VLOOKUP(Agencia[[#This Row],[contenido]],Estructura!$E$4:$G$500,3,0)</f>
        <v>C-993</v>
      </c>
      <c r="Z756" s="118" t="str">
        <f>+VLOOKUP(Agencia[[#This Row],[Filtro Integrado]],Estructura!$I$4:$K$500,3,0)</f>
        <v>FI-993</v>
      </c>
      <c r="AA756" s="118" t="str">
        <f>+VLOOKUP(Agencia[[#This Row],[Muestra]],Estructura!$M$4:$O$500,3,0)</f>
        <v>M-1057</v>
      </c>
    </row>
    <row r="757" spans="1:27" ht="57.6" x14ac:dyDescent="0.3">
      <c r="A757" s="21" t="s">
        <v>1349</v>
      </c>
      <c r="B757" s="24">
        <f t="shared" ref="B757:D757" si="1179">+B756</f>
        <v>990</v>
      </c>
      <c r="C757" s="25" t="str">
        <f t="shared" si="1179"/>
        <v>Agencia Información</v>
      </c>
      <c r="D757" s="25" t="str">
        <f t="shared" si="1179"/>
        <v>Economía</v>
      </c>
      <c r="E757" s="19">
        <v>3</v>
      </c>
      <c r="F757" s="18" t="s">
        <v>1602</v>
      </c>
      <c r="G757" s="18" t="s">
        <v>1601</v>
      </c>
      <c r="H757" s="35" t="s">
        <v>16</v>
      </c>
      <c r="I757" s="36" t="s">
        <v>370</v>
      </c>
      <c r="J757" s="9" t="str">
        <f t="shared" ref="J757:N757" si="1180">+J756</f>
        <v>Ninguno</v>
      </c>
      <c r="K757" s="9" t="str">
        <f t="shared" si="1180"/>
        <v>Cantidad de empresas por tamaño</v>
      </c>
      <c r="L757" s="9" t="str">
        <f t="shared" si="1180"/>
        <v>Periodo 2005-2019</v>
      </c>
      <c r="M757" s="9" t="str">
        <f t="shared" si="1180"/>
        <v>Número de empresas</v>
      </c>
      <c r="N757" s="9" t="str">
        <f t="shared" si="1180"/>
        <v>Servicio de Impuestos Internos (SII)</v>
      </c>
      <c r="O757" s="20" t="str">
        <f>+"Número de Empresas por Tamaño según ventas en la "&amp;I757&amp;", "&amp;Agencia[[#This Row],[temporalidad]]</f>
        <v>Número de Empresas por Tamaño según ventas en la Región de Atacama, Periodo 2005-2019</v>
      </c>
      <c r="P757" s="20"/>
      <c r="Q757" s="11" t="str">
        <f t="shared" si="1101"/>
        <v>Gráfico de Evolución</v>
      </c>
      <c r="R757" s="20" t="str">
        <f>Agencia[[#This Row],[territorio]]&amp;" empresas regional tramos ventas uf micro mediana grande sii"</f>
        <v>Región de Atacama empresas regional tramos ventas uf micro mediana grande sii</v>
      </c>
      <c r="S757" s="39" t="str">
        <f>HYPERLINK("https://analytics.zoho.com/open-view/2395394000008039000?ZOHO_CRITERIA=%225.1%20Empresas_Tama%C3%B1o%22.%22Cod_Regi%C3%B3n%22%3D"&amp;Agencia[[#This Row],[Filtro URL]])</f>
        <v>https://analytics.zoho.com/open-view/2395394000008039000?ZOHO_CRITERIA=%225.1%20Empresas_Tama%C3%B1o%22.%22Cod_Regi%C3%B3n%22%3D3</v>
      </c>
      <c r="T757" s="68" t="str">
        <f>"100-R-"&amp;Agencia[[#This Row],[Filtro URL]]</f>
        <v>100-R-3</v>
      </c>
      <c r="U757" s="50" t="str">
        <f t="shared" si="1102"/>
        <v>#1774B9</v>
      </c>
      <c r="V757" s="118" t="str">
        <f>+Agencia[[#This Row],[idcoleccion]]&amp;"-"&amp;Agencia[[#This Row],[id]]</f>
        <v>990-0746</v>
      </c>
      <c r="W757" s="118">
        <f>+VLOOKUP(Agencia[[#This Row],[Filtro URL]],Estructura!$X$4:$Y$500,2,0)</f>
        <v>99200003</v>
      </c>
      <c r="X757" s="118" t="str">
        <f>+VLOOKUP(Agencia[[#This Row],[tema]],Estructura!$A$4:$C$500,3,0)</f>
        <v>T-1014</v>
      </c>
      <c r="Y757" s="118" t="str">
        <f>+VLOOKUP(Agencia[[#This Row],[contenido]],Estructura!$E$4:$G$500,3,0)</f>
        <v>C-993</v>
      </c>
      <c r="Z757" s="118" t="str">
        <f>+VLOOKUP(Agencia[[#This Row],[Filtro Integrado]],Estructura!$I$4:$K$500,3,0)</f>
        <v>FI-993</v>
      </c>
      <c r="AA757" s="118" t="str">
        <f>+VLOOKUP(Agencia[[#This Row],[Muestra]],Estructura!$M$4:$O$500,3,0)</f>
        <v>M-1057</v>
      </c>
    </row>
    <row r="758" spans="1:27" ht="57.6" x14ac:dyDescent="0.3">
      <c r="A758" s="21" t="s">
        <v>1350</v>
      </c>
      <c r="B758" s="24">
        <f t="shared" ref="B758:D758" si="1181">+B757</f>
        <v>990</v>
      </c>
      <c r="C758" s="25" t="str">
        <f t="shared" si="1181"/>
        <v>Agencia Información</v>
      </c>
      <c r="D758" s="25" t="str">
        <f t="shared" si="1181"/>
        <v>Economía</v>
      </c>
      <c r="E758" s="19">
        <v>4</v>
      </c>
      <c r="F758" s="18" t="s">
        <v>1602</v>
      </c>
      <c r="G758" s="18" t="s">
        <v>1601</v>
      </c>
      <c r="H758" s="35" t="s">
        <v>16</v>
      </c>
      <c r="I758" s="36" t="s">
        <v>371</v>
      </c>
      <c r="J758" s="9" t="str">
        <f t="shared" ref="J758:N758" si="1182">+J757</f>
        <v>Ninguno</v>
      </c>
      <c r="K758" s="9" t="str">
        <f t="shared" si="1182"/>
        <v>Cantidad de empresas por tamaño</v>
      </c>
      <c r="L758" s="9" t="str">
        <f t="shared" si="1182"/>
        <v>Periodo 2005-2019</v>
      </c>
      <c r="M758" s="9" t="str">
        <f t="shared" si="1182"/>
        <v>Número de empresas</v>
      </c>
      <c r="N758" s="9" t="str">
        <f t="shared" si="1182"/>
        <v>Servicio de Impuestos Internos (SII)</v>
      </c>
      <c r="O758" s="20" t="str">
        <f>+"Número de Empresas por Tamaño según ventas en la "&amp;I758&amp;", "&amp;Agencia[[#This Row],[temporalidad]]</f>
        <v>Número de Empresas por Tamaño según ventas en la Región de Coquimbo, Periodo 2005-2019</v>
      </c>
      <c r="P758" s="20"/>
      <c r="Q758" s="11" t="str">
        <f t="shared" si="1101"/>
        <v>Gráfico de Evolución</v>
      </c>
      <c r="R758" s="20" t="str">
        <f>Agencia[[#This Row],[territorio]]&amp;" empresas regional tramos ventas uf micro mediana grande sii"</f>
        <v>Región de Coquimbo empresas regional tramos ventas uf micro mediana grande sii</v>
      </c>
      <c r="S758" s="39" t="str">
        <f>HYPERLINK("https://analytics.zoho.com/open-view/2395394000008039000?ZOHO_CRITERIA=%225.1%20Empresas_Tama%C3%B1o%22.%22Cod_Regi%C3%B3n%22%3D"&amp;Agencia[[#This Row],[Filtro URL]])</f>
        <v>https://analytics.zoho.com/open-view/2395394000008039000?ZOHO_CRITERIA=%225.1%20Empresas_Tama%C3%B1o%22.%22Cod_Regi%C3%B3n%22%3D4</v>
      </c>
      <c r="T758" s="68" t="str">
        <f>"100-R-"&amp;Agencia[[#This Row],[Filtro URL]]</f>
        <v>100-R-4</v>
      </c>
      <c r="U758" s="50" t="str">
        <f t="shared" si="1102"/>
        <v>#1774B9</v>
      </c>
      <c r="V758" s="118" t="str">
        <f>+Agencia[[#This Row],[idcoleccion]]&amp;"-"&amp;Agencia[[#This Row],[id]]</f>
        <v>990-0747</v>
      </c>
      <c r="W758" s="118">
        <f>+VLOOKUP(Agencia[[#This Row],[Filtro URL]],Estructura!$X$4:$Y$500,2,0)</f>
        <v>99200004</v>
      </c>
      <c r="X758" s="118" t="str">
        <f>+VLOOKUP(Agencia[[#This Row],[tema]],Estructura!$A$4:$C$500,3,0)</f>
        <v>T-1014</v>
      </c>
      <c r="Y758" s="118" t="str">
        <f>+VLOOKUP(Agencia[[#This Row],[contenido]],Estructura!$E$4:$G$500,3,0)</f>
        <v>C-993</v>
      </c>
      <c r="Z758" s="118" t="str">
        <f>+VLOOKUP(Agencia[[#This Row],[Filtro Integrado]],Estructura!$I$4:$K$500,3,0)</f>
        <v>FI-993</v>
      </c>
      <c r="AA758" s="118" t="str">
        <f>+VLOOKUP(Agencia[[#This Row],[Muestra]],Estructura!$M$4:$O$500,3,0)</f>
        <v>M-1057</v>
      </c>
    </row>
    <row r="759" spans="1:27" ht="57.6" x14ac:dyDescent="0.3">
      <c r="A759" s="21" t="s">
        <v>1351</v>
      </c>
      <c r="B759" s="24">
        <f t="shared" ref="B759:D759" si="1183">+B758</f>
        <v>990</v>
      </c>
      <c r="C759" s="25" t="str">
        <f t="shared" si="1183"/>
        <v>Agencia Información</v>
      </c>
      <c r="D759" s="25" t="str">
        <f t="shared" si="1183"/>
        <v>Economía</v>
      </c>
      <c r="E759" s="19">
        <v>5</v>
      </c>
      <c r="F759" s="18" t="s">
        <v>1602</v>
      </c>
      <c r="G759" s="18" t="s">
        <v>1601</v>
      </c>
      <c r="H759" s="35" t="s">
        <v>16</v>
      </c>
      <c r="I759" s="36" t="s">
        <v>372</v>
      </c>
      <c r="J759" s="9" t="str">
        <f t="shared" ref="J759:N759" si="1184">+J758</f>
        <v>Ninguno</v>
      </c>
      <c r="K759" s="9" t="str">
        <f t="shared" si="1184"/>
        <v>Cantidad de empresas por tamaño</v>
      </c>
      <c r="L759" s="9" t="str">
        <f t="shared" si="1184"/>
        <v>Periodo 2005-2019</v>
      </c>
      <c r="M759" s="9" t="str">
        <f t="shared" si="1184"/>
        <v>Número de empresas</v>
      </c>
      <c r="N759" s="9" t="str">
        <f t="shared" si="1184"/>
        <v>Servicio de Impuestos Internos (SII)</v>
      </c>
      <c r="O759" s="20" t="str">
        <f>+"Número de Empresas por Tamaño según ventas en la "&amp;I759&amp;", "&amp;Agencia[[#This Row],[temporalidad]]</f>
        <v>Número de Empresas por Tamaño según ventas en la Región de Valparaíso, Periodo 2005-2019</v>
      </c>
      <c r="P759" s="20"/>
      <c r="Q759" s="11" t="str">
        <f t="shared" si="1101"/>
        <v>Gráfico de Evolución</v>
      </c>
      <c r="R759" s="20" t="str">
        <f>Agencia[[#This Row],[territorio]]&amp;" empresas regional tramos ventas uf micro mediana grande sii"</f>
        <v>Región de Valparaíso empresas regional tramos ventas uf micro mediana grande sii</v>
      </c>
      <c r="S759" s="39" t="str">
        <f>HYPERLINK("https://analytics.zoho.com/open-view/2395394000008039000?ZOHO_CRITERIA=%225.1%20Empresas_Tama%C3%B1o%22.%22Cod_Regi%C3%B3n%22%3D"&amp;Agencia[[#This Row],[Filtro URL]])</f>
        <v>https://analytics.zoho.com/open-view/2395394000008039000?ZOHO_CRITERIA=%225.1%20Empresas_Tama%C3%B1o%22.%22Cod_Regi%C3%B3n%22%3D5</v>
      </c>
      <c r="T759" s="68" t="str">
        <f>"100-R-"&amp;Agencia[[#This Row],[Filtro URL]]</f>
        <v>100-R-5</v>
      </c>
      <c r="U759" s="50" t="str">
        <f t="shared" si="1102"/>
        <v>#1774B9</v>
      </c>
      <c r="V759" s="118" t="str">
        <f>+Agencia[[#This Row],[idcoleccion]]&amp;"-"&amp;Agencia[[#This Row],[id]]</f>
        <v>990-0748</v>
      </c>
      <c r="W759" s="118">
        <f>+VLOOKUP(Agencia[[#This Row],[Filtro URL]],Estructura!$X$4:$Y$500,2,0)</f>
        <v>99200005</v>
      </c>
      <c r="X759" s="118" t="str">
        <f>+VLOOKUP(Agencia[[#This Row],[tema]],Estructura!$A$4:$C$500,3,0)</f>
        <v>T-1014</v>
      </c>
      <c r="Y759" s="118" t="str">
        <f>+VLOOKUP(Agencia[[#This Row],[contenido]],Estructura!$E$4:$G$500,3,0)</f>
        <v>C-993</v>
      </c>
      <c r="Z759" s="118" t="str">
        <f>+VLOOKUP(Agencia[[#This Row],[Filtro Integrado]],Estructura!$I$4:$K$500,3,0)</f>
        <v>FI-993</v>
      </c>
      <c r="AA759" s="118" t="str">
        <f>+VLOOKUP(Agencia[[#This Row],[Muestra]],Estructura!$M$4:$O$500,3,0)</f>
        <v>M-1057</v>
      </c>
    </row>
    <row r="760" spans="1:27" ht="57.6" x14ac:dyDescent="0.3">
      <c r="A760" s="21" t="s">
        <v>1352</v>
      </c>
      <c r="B760" s="24">
        <f t="shared" ref="B760:D760" si="1185">+B759</f>
        <v>990</v>
      </c>
      <c r="C760" s="25" t="str">
        <f t="shared" si="1185"/>
        <v>Agencia Información</v>
      </c>
      <c r="D760" s="25" t="str">
        <f t="shared" si="1185"/>
        <v>Economía</v>
      </c>
      <c r="E760" s="19">
        <v>6</v>
      </c>
      <c r="F760" s="18" t="s">
        <v>1602</v>
      </c>
      <c r="G760" s="18" t="s">
        <v>1601</v>
      </c>
      <c r="H760" s="35" t="s">
        <v>16</v>
      </c>
      <c r="I760" s="36" t="s">
        <v>373</v>
      </c>
      <c r="J760" s="9" t="str">
        <f t="shared" ref="J760:N760" si="1186">+J759</f>
        <v>Ninguno</v>
      </c>
      <c r="K760" s="9" t="str">
        <f t="shared" si="1186"/>
        <v>Cantidad de empresas por tamaño</v>
      </c>
      <c r="L760" s="9" t="str">
        <f t="shared" si="1186"/>
        <v>Periodo 2005-2019</v>
      </c>
      <c r="M760" s="9" t="str">
        <f t="shared" si="1186"/>
        <v>Número de empresas</v>
      </c>
      <c r="N760" s="9" t="str">
        <f t="shared" si="1186"/>
        <v>Servicio de Impuestos Internos (SII)</v>
      </c>
      <c r="O760" s="20" t="str">
        <f>+"Número de Empresas por Tamaño según ventas en la "&amp;I760&amp;", "&amp;Agencia[[#This Row],[temporalidad]]</f>
        <v>Número de Empresas por Tamaño según ventas en la Región de O'Higgins, Periodo 2005-2019</v>
      </c>
      <c r="P760" s="20"/>
      <c r="Q760" s="11" t="str">
        <f t="shared" si="1101"/>
        <v>Gráfico de Evolución</v>
      </c>
      <c r="R760" s="20" t="str">
        <f>Agencia[[#This Row],[territorio]]&amp;" empresas regional tramos ventas uf micro mediana grande sii"</f>
        <v>Región de O'Higgins empresas regional tramos ventas uf micro mediana grande sii</v>
      </c>
      <c r="S760" s="39" t="str">
        <f>HYPERLINK("https://analytics.zoho.com/open-view/2395394000008039000?ZOHO_CRITERIA=%225.1%20Empresas_Tama%C3%B1o%22.%22Cod_Regi%C3%B3n%22%3D"&amp;Agencia[[#This Row],[Filtro URL]])</f>
        <v>https://analytics.zoho.com/open-view/2395394000008039000?ZOHO_CRITERIA=%225.1%20Empresas_Tama%C3%B1o%22.%22Cod_Regi%C3%B3n%22%3D6</v>
      </c>
      <c r="T760" s="68" t="str">
        <f>"100-R-"&amp;Agencia[[#This Row],[Filtro URL]]</f>
        <v>100-R-6</v>
      </c>
      <c r="U760" s="50" t="str">
        <f t="shared" si="1102"/>
        <v>#1774B9</v>
      </c>
      <c r="V760" s="118" t="str">
        <f>+Agencia[[#This Row],[idcoleccion]]&amp;"-"&amp;Agencia[[#This Row],[id]]</f>
        <v>990-0749</v>
      </c>
      <c r="W760" s="118">
        <f>+VLOOKUP(Agencia[[#This Row],[Filtro URL]],Estructura!$X$4:$Y$500,2,0)</f>
        <v>99200006</v>
      </c>
      <c r="X760" s="118" t="str">
        <f>+VLOOKUP(Agencia[[#This Row],[tema]],Estructura!$A$4:$C$500,3,0)</f>
        <v>T-1014</v>
      </c>
      <c r="Y760" s="118" t="str">
        <f>+VLOOKUP(Agencia[[#This Row],[contenido]],Estructura!$E$4:$G$500,3,0)</f>
        <v>C-993</v>
      </c>
      <c r="Z760" s="118" t="str">
        <f>+VLOOKUP(Agencia[[#This Row],[Filtro Integrado]],Estructura!$I$4:$K$500,3,0)</f>
        <v>FI-993</v>
      </c>
      <c r="AA760" s="118" t="str">
        <f>+VLOOKUP(Agencia[[#This Row],[Muestra]],Estructura!$M$4:$O$500,3,0)</f>
        <v>M-1057</v>
      </c>
    </row>
    <row r="761" spans="1:27" ht="57.6" x14ac:dyDescent="0.3">
      <c r="A761" s="21" t="s">
        <v>1353</v>
      </c>
      <c r="B761" s="24">
        <f t="shared" ref="B761:D761" si="1187">+B760</f>
        <v>990</v>
      </c>
      <c r="C761" s="25" t="str">
        <f t="shared" si="1187"/>
        <v>Agencia Información</v>
      </c>
      <c r="D761" s="25" t="str">
        <f t="shared" si="1187"/>
        <v>Economía</v>
      </c>
      <c r="E761" s="19">
        <v>7</v>
      </c>
      <c r="F761" s="18" t="s">
        <v>1602</v>
      </c>
      <c r="G761" s="18" t="s">
        <v>1601</v>
      </c>
      <c r="H761" s="35" t="s">
        <v>16</v>
      </c>
      <c r="I761" s="36" t="s">
        <v>374</v>
      </c>
      <c r="J761" s="9" t="str">
        <f t="shared" ref="J761:N761" si="1188">+J760</f>
        <v>Ninguno</v>
      </c>
      <c r="K761" s="9" t="str">
        <f t="shared" si="1188"/>
        <v>Cantidad de empresas por tamaño</v>
      </c>
      <c r="L761" s="9" t="str">
        <f t="shared" si="1188"/>
        <v>Periodo 2005-2019</v>
      </c>
      <c r="M761" s="9" t="str">
        <f t="shared" si="1188"/>
        <v>Número de empresas</v>
      </c>
      <c r="N761" s="9" t="str">
        <f t="shared" si="1188"/>
        <v>Servicio de Impuestos Internos (SII)</v>
      </c>
      <c r="O761" s="20" t="str">
        <f>+"Número de Empresas por Tamaño según ventas en la "&amp;I761&amp;", "&amp;Agencia[[#This Row],[temporalidad]]</f>
        <v>Número de Empresas por Tamaño según ventas en la Región de Maule, Periodo 2005-2019</v>
      </c>
      <c r="P761" s="20"/>
      <c r="Q761" s="11" t="str">
        <f t="shared" si="1101"/>
        <v>Gráfico de Evolución</v>
      </c>
      <c r="R761" s="20" t="str">
        <f>Agencia[[#This Row],[territorio]]&amp;" empresas regional tramos ventas uf micro mediana grande sii"</f>
        <v>Región de Maule empresas regional tramos ventas uf micro mediana grande sii</v>
      </c>
      <c r="S761" s="39" t="str">
        <f>HYPERLINK("https://analytics.zoho.com/open-view/2395394000008039000?ZOHO_CRITERIA=%225.1%20Empresas_Tama%C3%B1o%22.%22Cod_Regi%C3%B3n%22%3D"&amp;Agencia[[#This Row],[Filtro URL]])</f>
        <v>https://analytics.zoho.com/open-view/2395394000008039000?ZOHO_CRITERIA=%225.1%20Empresas_Tama%C3%B1o%22.%22Cod_Regi%C3%B3n%22%3D7</v>
      </c>
      <c r="T761" s="68" t="str">
        <f>"100-R-"&amp;Agencia[[#This Row],[Filtro URL]]</f>
        <v>100-R-7</v>
      </c>
      <c r="U761" s="50" t="str">
        <f t="shared" si="1102"/>
        <v>#1774B9</v>
      </c>
      <c r="V761" s="118" t="str">
        <f>+Agencia[[#This Row],[idcoleccion]]&amp;"-"&amp;Agencia[[#This Row],[id]]</f>
        <v>990-0750</v>
      </c>
      <c r="W761" s="118">
        <f>+VLOOKUP(Agencia[[#This Row],[Filtro URL]],Estructura!$X$4:$Y$500,2,0)</f>
        <v>99200007</v>
      </c>
      <c r="X761" s="118" t="str">
        <f>+VLOOKUP(Agencia[[#This Row],[tema]],Estructura!$A$4:$C$500,3,0)</f>
        <v>T-1014</v>
      </c>
      <c r="Y761" s="118" t="str">
        <f>+VLOOKUP(Agencia[[#This Row],[contenido]],Estructura!$E$4:$G$500,3,0)</f>
        <v>C-993</v>
      </c>
      <c r="Z761" s="118" t="str">
        <f>+VLOOKUP(Agencia[[#This Row],[Filtro Integrado]],Estructura!$I$4:$K$500,3,0)</f>
        <v>FI-993</v>
      </c>
      <c r="AA761" s="118" t="str">
        <f>+VLOOKUP(Agencia[[#This Row],[Muestra]],Estructura!$M$4:$O$500,3,0)</f>
        <v>M-1057</v>
      </c>
    </row>
    <row r="762" spans="1:27" ht="57.6" x14ac:dyDescent="0.3">
      <c r="A762" s="21" t="s">
        <v>1354</v>
      </c>
      <c r="B762" s="24">
        <f t="shared" ref="B762:D762" si="1189">+B761</f>
        <v>990</v>
      </c>
      <c r="C762" s="25" t="str">
        <f t="shared" si="1189"/>
        <v>Agencia Información</v>
      </c>
      <c r="D762" s="25" t="str">
        <f t="shared" si="1189"/>
        <v>Economía</v>
      </c>
      <c r="E762" s="19">
        <v>8</v>
      </c>
      <c r="F762" s="18" t="s">
        <v>1602</v>
      </c>
      <c r="G762" s="18" t="s">
        <v>1601</v>
      </c>
      <c r="H762" s="35" t="s">
        <v>16</v>
      </c>
      <c r="I762" s="36" t="s">
        <v>375</v>
      </c>
      <c r="J762" s="9" t="str">
        <f t="shared" ref="J762:N762" si="1190">+J761</f>
        <v>Ninguno</v>
      </c>
      <c r="K762" s="9" t="str">
        <f t="shared" si="1190"/>
        <v>Cantidad de empresas por tamaño</v>
      </c>
      <c r="L762" s="9" t="str">
        <f t="shared" si="1190"/>
        <v>Periodo 2005-2019</v>
      </c>
      <c r="M762" s="9" t="str">
        <f t="shared" si="1190"/>
        <v>Número de empresas</v>
      </c>
      <c r="N762" s="9" t="str">
        <f t="shared" si="1190"/>
        <v>Servicio de Impuestos Internos (SII)</v>
      </c>
      <c r="O762" s="20" t="str">
        <f>+"Número de Empresas por Tamaño según ventas en la "&amp;I762&amp;", "&amp;Agencia[[#This Row],[temporalidad]]</f>
        <v>Número de Empresas por Tamaño según ventas en la Región del Biobío, Periodo 2005-2019</v>
      </c>
      <c r="P762" s="20"/>
      <c r="Q762" s="11" t="str">
        <f t="shared" si="1101"/>
        <v>Gráfico de Evolución</v>
      </c>
      <c r="R762" s="20" t="str">
        <f>Agencia[[#This Row],[territorio]]&amp;" empresas regional tramos ventas uf micro mediana grande sii"</f>
        <v>Región del Biobío empresas regional tramos ventas uf micro mediana grande sii</v>
      </c>
      <c r="S762" s="39" t="str">
        <f>HYPERLINK("https://analytics.zoho.com/open-view/2395394000008039000?ZOHO_CRITERIA=%225.1%20Empresas_Tama%C3%B1o%22.%22Cod_Regi%C3%B3n%22%3D"&amp;Agencia[[#This Row],[Filtro URL]])</f>
        <v>https://analytics.zoho.com/open-view/2395394000008039000?ZOHO_CRITERIA=%225.1%20Empresas_Tama%C3%B1o%22.%22Cod_Regi%C3%B3n%22%3D8</v>
      </c>
      <c r="T762" s="68" t="str">
        <f>"100-R-"&amp;Agencia[[#This Row],[Filtro URL]]</f>
        <v>100-R-8</v>
      </c>
      <c r="U762" s="50" t="str">
        <f t="shared" si="1102"/>
        <v>#1774B9</v>
      </c>
      <c r="V762" s="118" t="str">
        <f>+Agencia[[#This Row],[idcoleccion]]&amp;"-"&amp;Agencia[[#This Row],[id]]</f>
        <v>990-0751</v>
      </c>
      <c r="W762" s="118">
        <f>+VLOOKUP(Agencia[[#This Row],[Filtro URL]],Estructura!$X$4:$Y$500,2,0)</f>
        <v>99200008</v>
      </c>
      <c r="X762" s="118" t="str">
        <f>+VLOOKUP(Agencia[[#This Row],[tema]],Estructura!$A$4:$C$500,3,0)</f>
        <v>T-1014</v>
      </c>
      <c r="Y762" s="118" t="str">
        <f>+VLOOKUP(Agencia[[#This Row],[contenido]],Estructura!$E$4:$G$500,3,0)</f>
        <v>C-993</v>
      </c>
      <c r="Z762" s="118" t="str">
        <f>+VLOOKUP(Agencia[[#This Row],[Filtro Integrado]],Estructura!$I$4:$K$500,3,0)</f>
        <v>FI-993</v>
      </c>
      <c r="AA762" s="118" t="str">
        <f>+VLOOKUP(Agencia[[#This Row],[Muestra]],Estructura!$M$4:$O$500,3,0)</f>
        <v>M-1057</v>
      </c>
    </row>
    <row r="763" spans="1:27" ht="57.6" x14ac:dyDescent="0.3">
      <c r="A763" s="21" t="s">
        <v>1355</v>
      </c>
      <c r="B763" s="24">
        <f t="shared" ref="B763:D763" si="1191">+B762</f>
        <v>990</v>
      </c>
      <c r="C763" s="25" t="str">
        <f t="shared" si="1191"/>
        <v>Agencia Información</v>
      </c>
      <c r="D763" s="25" t="str">
        <f t="shared" si="1191"/>
        <v>Economía</v>
      </c>
      <c r="E763" s="19">
        <v>9</v>
      </c>
      <c r="F763" s="18" t="s">
        <v>1602</v>
      </c>
      <c r="G763" s="18" t="s">
        <v>1601</v>
      </c>
      <c r="H763" s="35" t="s">
        <v>16</v>
      </c>
      <c r="I763" s="36" t="s">
        <v>376</v>
      </c>
      <c r="J763" s="9" t="str">
        <f t="shared" ref="J763:N763" si="1192">+J762</f>
        <v>Ninguno</v>
      </c>
      <c r="K763" s="9" t="str">
        <f t="shared" si="1192"/>
        <v>Cantidad de empresas por tamaño</v>
      </c>
      <c r="L763" s="9" t="str">
        <f t="shared" si="1192"/>
        <v>Periodo 2005-2019</v>
      </c>
      <c r="M763" s="9" t="str">
        <f t="shared" si="1192"/>
        <v>Número de empresas</v>
      </c>
      <c r="N763" s="9" t="str">
        <f t="shared" si="1192"/>
        <v>Servicio de Impuestos Internos (SII)</v>
      </c>
      <c r="O763" s="20" t="str">
        <f>+"Número de Empresas por Tamaño según ventas en la "&amp;I763&amp;", "&amp;Agencia[[#This Row],[temporalidad]]</f>
        <v>Número de Empresas por Tamaño según ventas en la Región de La Araucanía, Periodo 2005-2019</v>
      </c>
      <c r="P763" s="20"/>
      <c r="Q763" s="11" t="str">
        <f t="shared" si="1101"/>
        <v>Gráfico de Evolución</v>
      </c>
      <c r="R763" s="20" t="str">
        <f>Agencia[[#This Row],[territorio]]&amp;" empresas regional tramos ventas uf micro mediana grande sii"</f>
        <v>Región de La Araucanía empresas regional tramos ventas uf micro mediana grande sii</v>
      </c>
      <c r="S763" s="39" t="str">
        <f>HYPERLINK("https://analytics.zoho.com/open-view/2395394000008039000?ZOHO_CRITERIA=%225.1%20Empresas_Tama%C3%B1o%22.%22Cod_Regi%C3%B3n%22%3D"&amp;Agencia[[#This Row],[Filtro URL]])</f>
        <v>https://analytics.zoho.com/open-view/2395394000008039000?ZOHO_CRITERIA=%225.1%20Empresas_Tama%C3%B1o%22.%22Cod_Regi%C3%B3n%22%3D9</v>
      </c>
      <c r="T763" s="68" t="str">
        <f>"100-R-"&amp;Agencia[[#This Row],[Filtro URL]]</f>
        <v>100-R-9</v>
      </c>
      <c r="U763" s="50" t="str">
        <f t="shared" si="1102"/>
        <v>#1774B9</v>
      </c>
      <c r="V763" s="118" t="str">
        <f>+Agencia[[#This Row],[idcoleccion]]&amp;"-"&amp;Agencia[[#This Row],[id]]</f>
        <v>990-0752</v>
      </c>
      <c r="W763" s="118">
        <f>+VLOOKUP(Agencia[[#This Row],[Filtro URL]],Estructura!$X$4:$Y$500,2,0)</f>
        <v>99200009</v>
      </c>
      <c r="X763" s="118" t="str">
        <f>+VLOOKUP(Agencia[[#This Row],[tema]],Estructura!$A$4:$C$500,3,0)</f>
        <v>T-1014</v>
      </c>
      <c r="Y763" s="118" t="str">
        <f>+VLOOKUP(Agencia[[#This Row],[contenido]],Estructura!$E$4:$G$500,3,0)</f>
        <v>C-993</v>
      </c>
      <c r="Z763" s="118" t="str">
        <f>+VLOOKUP(Agencia[[#This Row],[Filtro Integrado]],Estructura!$I$4:$K$500,3,0)</f>
        <v>FI-993</v>
      </c>
      <c r="AA763" s="118" t="str">
        <f>+VLOOKUP(Agencia[[#This Row],[Muestra]],Estructura!$M$4:$O$500,3,0)</f>
        <v>M-1057</v>
      </c>
    </row>
    <row r="764" spans="1:27" ht="57.6" x14ac:dyDescent="0.3">
      <c r="A764" s="21" t="s">
        <v>1356</v>
      </c>
      <c r="B764" s="24">
        <f t="shared" ref="B764:D764" si="1193">+B763</f>
        <v>990</v>
      </c>
      <c r="C764" s="25" t="str">
        <f t="shared" si="1193"/>
        <v>Agencia Información</v>
      </c>
      <c r="D764" s="25" t="str">
        <f t="shared" si="1193"/>
        <v>Economía</v>
      </c>
      <c r="E764" s="19">
        <v>10</v>
      </c>
      <c r="F764" s="18" t="s">
        <v>1602</v>
      </c>
      <c r="G764" s="18" t="s">
        <v>1601</v>
      </c>
      <c r="H764" s="35" t="s">
        <v>16</v>
      </c>
      <c r="I764" s="36" t="s">
        <v>377</v>
      </c>
      <c r="J764" s="9" t="str">
        <f t="shared" ref="J764:N764" si="1194">+J763</f>
        <v>Ninguno</v>
      </c>
      <c r="K764" s="9" t="str">
        <f t="shared" si="1194"/>
        <v>Cantidad de empresas por tamaño</v>
      </c>
      <c r="L764" s="9" t="str">
        <f t="shared" si="1194"/>
        <v>Periodo 2005-2019</v>
      </c>
      <c r="M764" s="9" t="str">
        <f t="shared" si="1194"/>
        <v>Número de empresas</v>
      </c>
      <c r="N764" s="9" t="str">
        <f t="shared" si="1194"/>
        <v>Servicio de Impuestos Internos (SII)</v>
      </c>
      <c r="O764" s="20" t="str">
        <f>+"Número de Empresas por Tamaño según ventas en la "&amp;I764&amp;", "&amp;Agencia[[#This Row],[temporalidad]]</f>
        <v>Número de Empresas por Tamaño según ventas en la Región de Los Lagos, Periodo 2005-2019</v>
      </c>
      <c r="P764" s="20"/>
      <c r="Q764" s="11" t="str">
        <f t="shared" si="1101"/>
        <v>Gráfico de Evolución</v>
      </c>
      <c r="R764" s="20" t="str">
        <f>Agencia[[#This Row],[territorio]]&amp;" empresas regional tramos ventas uf micro mediana grande sii"</f>
        <v>Región de Los Lagos empresas regional tramos ventas uf micro mediana grande sii</v>
      </c>
      <c r="S764" s="39" t="str">
        <f>HYPERLINK("https://analytics.zoho.com/open-view/2395394000008039000?ZOHO_CRITERIA=%225.1%20Empresas_Tama%C3%B1o%22.%22Cod_Regi%C3%B3n%22%3D"&amp;Agencia[[#This Row],[Filtro URL]])</f>
        <v>https://analytics.zoho.com/open-view/2395394000008039000?ZOHO_CRITERIA=%225.1%20Empresas_Tama%C3%B1o%22.%22Cod_Regi%C3%B3n%22%3D10</v>
      </c>
      <c r="T764" s="68" t="str">
        <f>"100-R-"&amp;Agencia[[#This Row],[Filtro URL]]</f>
        <v>100-R-10</v>
      </c>
      <c r="U764" s="50" t="str">
        <f t="shared" si="1102"/>
        <v>#1774B9</v>
      </c>
      <c r="V764" s="118" t="str">
        <f>+Agencia[[#This Row],[idcoleccion]]&amp;"-"&amp;Agencia[[#This Row],[id]]</f>
        <v>990-0753</v>
      </c>
      <c r="W764" s="118">
        <f>+VLOOKUP(Agencia[[#This Row],[Filtro URL]],Estructura!$X$4:$Y$500,2,0)</f>
        <v>99200010</v>
      </c>
      <c r="X764" s="118" t="str">
        <f>+VLOOKUP(Agencia[[#This Row],[tema]],Estructura!$A$4:$C$500,3,0)</f>
        <v>T-1014</v>
      </c>
      <c r="Y764" s="118" t="str">
        <f>+VLOOKUP(Agencia[[#This Row],[contenido]],Estructura!$E$4:$G$500,3,0)</f>
        <v>C-993</v>
      </c>
      <c r="Z764" s="118" t="str">
        <f>+VLOOKUP(Agencia[[#This Row],[Filtro Integrado]],Estructura!$I$4:$K$500,3,0)</f>
        <v>FI-993</v>
      </c>
      <c r="AA764" s="118" t="str">
        <f>+VLOOKUP(Agencia[[#This Row],[Muestra]],Estructura!$M$4:$O$500,3,0)</f>
        <v>M-1057</v>
      </c>
    </row>
    <row r="765" spans="1:27" ht="57.6" x14ac:dyDescent="0.3">
      <c r="A765" s="21" t="s">
        <v>1357</v>
      </c>
      <c r="B765" s="24">
        <f t="shared" ref="B765:D765" si="1195">+B764</f>
        <v>990</v>
      </c>
      <c r="C765" s="25" t="str">
        <f t="shared" si="1195"/>
        <v>Agencia Información</v>
      </c>
      <c r="D765" s="25" t="str">
        <f t="shared" si="1195"/>
        <v>Economía</v>
      </c>
      <c r="E765" s="19">
        <v>11</v>
      </c>
      <c r="F765" s="18" t="s">
        <v>1602</v>
      </c>
      <c r="G765" s="18" t="s">
        <v>1601</v>
      </c>
      <c r="H765" s="35" t="s">
        <v>16</v>
      </c>
      <c r="I765" s="36" t="s">
        <v>378</v>
      </c>
      <c r="J765" s="9" t="str">
        <f t="shared" ref="J765:N765" si="1196">+J764</f>
        <v>Ninguno</v>
      </c>
      <c r="K765" s="9" t="str">
        <f t="shared" si="1196"/>
        <v>Cantidad de empresas por tamaño</v>
      </c>
      <c r="L765" s="9" t="str">
        <f t="shared" si="1196"/>
        <v>Periodo 2005-2019</v>
      </c>
      <c r="M765" s="9" t="str">
        <f t="shared" si="1196"/>
        <v>Número de empresas</v>
      </c>
      <c r="N765" s="9" t="str">
        <f t="shared" si="1196"/>
        <v>Servicio de Impuestos Internos (SII)</v>
      </c>
      <c r="O765" s="20" t="str">
        <f>+"Número de Empresas por Tamaño según ventas en la "&amp;I765&amp;", "&amp;Agencia[[#This Row],[temporalidad]]</f>
        <v>Número de Empresas por Tamaño según ventas en la Región de Aysén, Periodo 2005-2019</v>
      </c>
      <c r="P765" s="20"/>
      <c r="Q765" s="11" t="str">
        <f t="shared" si="1101"/>
        <v>Gráfico de Evolución</v>
      </c>
      <c r="R765" s="20" t="str">
        <f>Agencia[[#This Row],[territorio]]&amp;" empresas regional tramos ventas uf micro mediana grande sii"</f>
        <v>Región de Aysén empresas regional tramos ventas uf micro mediana grande sii</v>
      </c>
      <c r="S765" s="39" t="str">
        <f>HYPERLINK("https://analytics.zoho.com/open-view/2395394000008039000?ZOHO_CRITERIA=%225.1%20Empresas_Tama%C3%B1o%22.%22Cod_Regi%C3%B3n%22%3D"&amp;Agencia[[#This Row],[Filtro URL]])</f>
        <v>https://analytics.zoho.com/open-view/2395394000008039000?ZOHO_CRITERIA=%225.1%20Empresas_Tama%C3%B1o%22.%22Cod_Regi%C3%B3n%22%3D11</v>
      </c>
      <c r="T765" s="68" t="str">
        <f>"100-R-"&amp;Agencia[[#This Row],[Filtro URL]]</f>
        <v>100-R-11</v>
      </c>
      <c r="U765" s="50" t="str">
        <f t="shared" si="1102"/>
        <v>#1774B9</v>
      </c>
      <c r="V765" s="118" t="str">
        <f>+Agencia[[#This Row],[idcoleccion]]&amp;"-"&amp;Agencia[[#This Row],[id]]</f>
        <v>990-0754</v>
      </c>
      <c r="W765" s="118">
        <f>+VLOOKUP(Agencia[[#This Row],[Filtro URL]],Estructura!$X$4:$Y$500,2,0)</f>
        <v>99200011</v>
      </c>
      <c r="X765" s="118" t="str">
        <f>+VLOOKUP(Agencia[[#This Row],[tema]],Estructura!$A$4:$C$500,3,0)</f>
        <v>T-1014</v>
      </c>
      <c r="Y765" s="118" t="str">
        <f>+VLOOKUP(Agencia[[#This Row],[contenido]],Estructura!$E$4:$G$500,3,0)</f>
        <v>C-993</v>
      </c>
      <c r="Z765" s="118" t="str">
        <f>+VLOOKUP(Agencia[[#This Row],[Filtro Integrado]],Estructura!$I$4:$K$500,3,0)</f>
        <v>FI-993</v>
      </c>
      <c r="AA765" s="118" t="str">
        <f>+VLOOKUP(Agencia[[#This Row],[Muestra]],Estructura!$M$4:$O$500,3,0)</f>
        <v>M-1057</v>
      </c>
    </row>
    <row r="766" spans="1:27" ht="57.6" x14ac:dyDescent="0.3">
      <c r="A766" s="21" t="s">
        <v>1358</v>
      </c>
      <c r="B766" s="24">
        <f t="shared" ref="B766:D766" si="1197">+B765</f>
        <v>990</v>
      </c>
      <c r="C766" s="25" t="str">
        <f t="shared" si="1197"/>
        <v>Agencia Información</v>
      </c>
      <c r="D766" s="25" t="str">
        <f t="shared" si="1197"/>
        <v>Economía</v>
      </c>
      <c r="E766" s="19">
        <v>12</v>
      </c>
      <c r="F766" s="18" t="s">
        <v>1602</v>
      </c>
      <c r="G766" s="18" t="s">
        <v>1601</v>
      </c>
      <c r="H766" s="35" t="s">
        <v>16</v>
      </c>
      <c r="I766" s="36" t="s">
        <v>379</v>
      </c>
      <c r="J766" s="9" t="str">
        <f t="shared" ref="J766:N766" si="1198">+J765</f>
        <v>Ninguno</v>
      </c>
      <c r="K766" s="9" t="str">
        <f t="shared" si="1198"/>
        <v>Cantidad de empresas por tamaño</v>
      </c>
      <c r="L766" s="9" t="str">
        <f t="shared" si="1198"/>
        <v>Periodo 2005-2019</v>
      </c>
      <c r="M766" s="9" t="str">
        <f t="shared" si="1198"/>
        <v>Número de empresas</v>
      </c>
      <c r="N766" s="9" t="str">
        <f t="shared" si="1198"/>
        <v>Servicio de Impuestos Internos (SII)</v>
      </c>
      <c r="O766" s="20" t="str">
        <f>+"Número de Empresas por Tamaño según ventas en la "&amp;I766&amp;", "&amp;Agencia[[#This Row],[temporalidad]]</f>
        <v>Número de Empresas por Tamaño según ventas en la Región de Magallanes, Periodo 2005-2019</v>
      </c>
      <c r="P766" s="20"/>
      <c r="Q766" s="11" t="str">
        <f t="shared" si="1101"/>
        <v>Gráfico de Evolución</v>
      </c>
      <c r="R766" s="20" t="str">
        <f>Agencia[[#This Row],[territorio]]&amp;" empresas regional tramos ventas uf micro mediana grande sii"</f>
        <v>Región de Magallanes empresas regional tramos ventas uf micro mediana grande sii</v>
      </c>
      <c r="S766" s="39" t="str">
        <f>HYPERLINK("https://analytics.zoho.com/open-view/2395394000008039000?ZOHO_CRITERIA=%225.1%20Empresas_Tama%C3%B1o%22.%22Cod_Regi%C3%B3n%22%3D"&amp;Agencia[[#This Row],[Filtro URL]])</f>
        <v>https://analytics.zoho.com/open-view/2395394000008039000?ZOHO_CRITERIA=%225.1%20Empresas_Tama%C3%B1o%22.%22Cod_Regi%C3%B3n%22%3D12</v>
      </c>
      <c r="T766" s="68" t="str">
        <f>"100-R-"&amp;Agencia[[#This Row],[Filtro URL]]</f>
        <v>100-R-12</v>
      </c>
      <c r="U766" s="50" t="str">
        <f t="shared" si="1102"/>
        <v>#1774B9</v>
      </c>
      <c r="V766" s="118" t="str">
        <f>+Agencia[[#This Row],[idcoleccion]]&amp;"-"&amp;Agencia[[#This Row],[id]]</f>
        <v>990-0755</v>
      </c>
      <c r="W766" s="118">
        <f>+VLOOKUP(Agencia[[#This Row],[Filtro URL]],Estructura!$X$4:$Y$500,2,0)</f>
        <v>99200012</v>
      </c>
      <c r="X766" s="118" t="str">
        <f>+VLOOKUP(Agencia[[#This Row],[tema]],Estructura!$A$4:$C$500,3,0)</f>
        <v>T-1014</v>
      </c>
      <c r="Y766" s="118" t="str">
        <f>+VLOOKUP(Agencia[[#This Row],[contenido]],Estructura!$E$4:$G$500,3,0)</f>
        <v>C-993</v>
      </c>
      <c r="Z766" s="118" t="str">
        <f>+VLOOKUP(Agencia[[#This Row],[Filtro Integrado]],Estructura!$I$4:$K$500,3,0)</f>
        <v>FI-993</v>
      </c>
      <c r="AA766" s="118" t="str">
        <f>+VLOOKUP(Agencia[[#This Row],[Muestra]],Estructura!$M$4:$O$500,3,0)</f>
        <v>M-1057</v>
      </c>
    </row>
    <row r="767" spans="1:27" ht="61.2" x14ac:dyDescent="0.3">
      <c r="A767" s="21" t="s">
        <v>1359</v>
      </c>
      <c r="B767" s="24">
        <f t="shared" ref="B767:D767" si="1199">+B766</f>
        <v>990</v>
      </c>
      <c r="C767" s="25" t="str">
        <f t="shared" si="1199"/>
        <v>Agencia Información</v>
      </c>
      <c r="D767" s="25" t="str">
        <f t="shared" si="1199"/>
        <v>Economía</v>
      </c>
      <c r="E767" s="19">
        <v>13</v>
      </c>
      <c r="F767" s="18" t="s">
        <v>1602</v>
      </c>
      <c r="G767" s="18" t="s">
        <v>1601</v>
      </c>
      <c r="H767" s="35" t="s">
        <v>16</v>
      </c>
      <c r="I767" s="36" t="s">
        <v>380</v>
      </c>
      <c r="J767" s="9" t="str">
        <f t="shared" ref="J767:N767" si="1200">+J766</f>
        <v>Ninguno</v>
      </c>
      <c r="K767" s="9" t="str">
        <f t="shared" si="1200"/>
        <v>Cantidad de empresas por tamaño</v>
      </c>
      <c r="L767" s="9" t="str">
        <f t="shared" si="1200"/>
        <v>Periodo 2005-2019</v>
      </c>
      <c r="M767" s="9" t="str">
        <f t="shared" si="1200"/>
        <v>Número de empresas</v>
      </c>
      <c r="N767" s="9" t="str">
        <f t="shared" si="1200"/>
        <v>Servicio de Impuestos Internos (SII)</v>
      </c>
      <c r="O767" s="20" t="str">
        <f>+"Número de Empresas por Tamaño según ventas en la "&amp;I767&amp;", "&amp;Agencia[[#This Row],[temporalidad]]</f>
        <v>Número de Empresas por Tamaño según ventas en la Región Metropolitana, Periodo 2005-2019</v>
      </c>
      <c r="P767" s="20" t="s">
        <v>1598</v>
      </c>
      <c r="Q767" s="11" t="str">
        <f t="shared" si="1101"/>
        <v>Gráfico de Evolución</v>
      </c>
      <c r="R767" s="20" t="str">
        <f>Agencia[[#This Row],[territorio]]&amp;" empresas regional tramos ventas uf micro mediana grande sii"</f>
        <v>Región Metropolitana empresas regional tramos ventas uf micro mediana grande sii</v>
      </c>
      <c r="S767" s="39" t="str">
        <f>HYPERLINK("https://analytics.zoho.com/open-view/2395394000008039000?ZOHO_CRITERIA=%225.1%20Empresas_Tama%C3%B1o%22.%22Cod_Regi%C3%B3n%22%3D"&amp;Agencia[[#This Row],[Filtro URL]])</f>
        <v>https://analytics.zoho.com/open-view/2395394000008039000?ZOHO_CRITERIA=%225.1%20Empresas_Tama%C3%B1o%22.%22Cod_Regi%C3%B3n%22%3D13</v>
      </c>
      <c r="T767" s="68" t="str">
        <f>"200-R-"&amp;Agencia[[#This Row],[Filtro URL]]</f>
        <v>200-R-13</v>
      </c>
      <c r="U767" s="50" t="str">
        <f t="shared" si="1102"/>
        <v>#1774B9</v>
      </c>
      <c r="V767" s="118" t="str">
        <f>+Agencia[[#This Row],[idcoleccion]]&amp;"-"&amp;Agencia[[#This Row],[id]]</f>
        <v>990-0756</v>
      </c>
      <c r="W767" s="118">
        <f>+VLOOKUP(Agencia[[#This Row],[Filtro URL]],Estructura!$X$4:$Y$500,2,0)</f>
        <v>99200013</v>
      </c>
      <c r="X767" s="118" t="str">
        <f>+VLOOKUP(Agencia[[#This Row],[tema]],Estructura!$A$4:$C$500,3,0)</f>
        <v>T-1014</v>
      </c>
      <c r="Y767" s="118" t="str">
        <f>+VLOOKUP(Agencia[[#This Row],[contenido]],Estructura!$E$4:$G$500,3,0)</f>
        <v>C-993</v>
      </c>
      <c r="Z767" s="118" t="str">
        <f>+VLOOKUP(Agencia[[#This Row],[Filtro Integrado]],Estructura!$I$4:$K$500,3,0)</f>
        <v>FI-993</v>
      </c>
      <c r="AA767" s="118" t="str">
        <f>+VLOOKUP(Agencia[[#This Row],[Muestra]],Estructura!$M$4:$O$500,3,0)</f>
        <v>M-1057</v>
      </c>
    </row>
    <row r="768" spans="1:27" ht="57.6" x14ac:dyDescent="0.3">
      <c r="A768" s="21" t="s">
        <v>1360</v>
      </c>
      <c r="B768" s="24">
        <f t="shared" ref="B768:D768" si="1201">+B767</f>
        <v>990</v>
      </c>
      <c r="C768" s="25" t="str">
        <f t="shared" si="1201"/>
        <v>Agencia Información</v>
      </c>
      <c r="D768" s="25" t="str">
        <f t="shared" si="1201"/>
        <v>Economía</v>
      </c>
      <c r="E768" s="19">
        <v>14</v>
      </c>
      <c r="F768" s="18" t="s">
        <v>1602</v>
      </c>
      <c r="G768" s="18" t="s">
        <v>1601</v>
      </c>
      <c r="H768" s="35" t="s">
        <v>16</v>
      </c>
      <c r="I768" s="36" t="s">
        <v>381</v>
      </c>
      <c r="J768" s="9" t="str">
        <f t="shared" ref="J768:N768" si="1202">+J767</f>
        <v>Ninguno</v>
      </c>
      <c r="K768" s="9" t="str">
        <f t="shared" si="1202"/>
        <v>Cantidad de empresas por tamaño</v>
      </c>
      <c r="L768" s="9" t="str">
        <f t="shared" si="1202"/>
        <v>Periodo 2005-2019</v>
      </c>
      <c r="M768" s="9" t="str">
        <f t="shared" si="1202"/>
        <v>Número de empresas</v>
      </c>
      <c r="N768" s="9" t="str">
        <f t="shared" si="1202"/>
        <v>Servicio de Impuestos Internos (SII)</v>
      </c>
      <c r="O768" s="20" t="str">
        <f>+"Número de Empresas por Tamaño según ventas en la "&amp;I768&amp;", "&amp;Agencia[[#This Row],[temporalidad]]</f>
        <v>Número de Empresas por Tamaño según ventas en la Región de Los Ríos, Periodo 2005-2019</v>
      </c>
      <c r="P768" s="20"/>
      <c r="Q768" s="11" t="str">
        <f t="shared" si="1101"/>
        <v>Gráfico de Evolución</v>
      </c>
      <c r="R768" s="20" t="str">
        <f>Agencia[[#This Row],[territorio]]&amp;" empresas regional tramos ventas uf micro mediana grande sii"</f>
        <v>Región de Los Ríos empresas regional tramos ventas uf micro mediana grande sii</v>
      </c>
      <c r="S768" s="39" t="str">
        <f>HYPERLINK("https://analytics.zoho.com/open-view/2395394000008039000?ZOHO_CRITERIA=%225.1%20Empresas_Tama%C3%B1o%22.%22Cod_Regi%C3%B3n%22%3D"&amp;Agencia[[#This Row],[Filtro URL]])</f>
        <v>https://analytics.zoho.com/open-view/2395394000008039000?ZOHO_CRITERIA=%225.1%20Empresas_Tama%C3%B1o%22.%22Cod_Regi%C3%B3n%22%3D14</v>
      </c>
      <c r="T768" s="68" t="str">
        <f>"100-R-"&amp;Agencia[[#This Row],[Filtro URL]]</f>
        <v>100-R-14</v>
      </c>
      <c r="U768" s="50" t="str">
        <f t="shared" si="1102"/>
        <v>#1774B9</v>
      </c>
      <c r="V768" s="118" t="str">
        <f>+Agencia[[#This Row],[idcoleccion]]&amp;"-"&amp;Agencia[[#This Row],[id]]</f>
        <v>990-0757</v>
      </c>
      <c r="W768" s="118">
        <f>+VLOOKUP(Agencia[[#This Row],[Filtro URL]],Estructura!$X$4:$Y$500,2,0)</f>
        <v>99200014</v>
      </c>
      <c r="X768" s="118" t="str">
        <f>+VLOOKUP(Agencia[[#This Row],[tema]],Estructura!$A$4:$C$500,3,0)</f>
        <v>T-1014</v>
      </c>
      <c r="Y768" s="118" t="str">
        <f>+VLOOKUP(Agencia[[#This Row],[contenido]],Estructura!$E$4:$G$500,3,0)</f>
        <v>C-993</v>
      </c>
      <c r="Z768" s="118" t="str">
        <f>+VLOOKUP(Agencia[[#This Row],[Filtro Integrado]],Estructura!$I$4:$K$500,3,0)</f>
        <v>FI-993</v>
      </c>
      <c r="AA768" s="118" t="str">
        <f>+VLOOKUP(Agencia[[#This Row],[Muestra]],Estructura!$M$4:$O$500,3,0)</f>
        <v>M-1057</v>
      </c>
    </row>
    <row r="769" spans="1:27" ht="57.6" x14ac:dyDescent="0.3">
      <c r="A769" s="21" t="s">
        <v>1361</v>
      </c>
      <c r="B769" s="24">
        <f t="shared" ref="B769:D769" si="1203">+B768</f>
        <v>990</v>
      </c>
      <c r="C769" s="25" t="str">
        <f t="shared" si="1203"/>
        <v>Agencia Información</v>
      </c>
      <c r="D769" s="25" t="str">
        <f t="shared" si="1203"/>
        <v>Economía</v>
      </c>
      <c r="E769" s="19">
        <v>15</v>
      </c>
      <c r="F769" s="18" t="s">
        <v>1602</v>
      </c>
      <c r="G769" s="18" t="s">
        <v>1601</v>
      </c>
      <c r="H769" s="35" t="s">
        <v>16</v>
      </c>
      <c r="I769" s="36" t="s">
        <v>382</v>
      </c>
      <c r="J769" s="9" t="str">
        <f t="shared" ref="J769:N769" si="1204">+J768</f>
        <v>Ninguno</v>
      </c>
      <c r="K769" s="9" t="str">
        <f t="shared" si="1204"/>
        <v>Cantidad de empresas por tamaño</v>
      </c>
      <c r="L769" s="9" t="str">
        <f t="shared" si="1204"/>
        <v>Periodo 2005-2019</v>
      </c>
      <c r="M769" s="9" t="str">
        <f t="shared" si="1204"/>
        <v>Número de empresas</v>
      </c>
      <c r="N769" s="9" t="str">
        <f t="shared" si="1204"/>
        <v>Servicio de Impuestos Internos (SII)</v>
      </c>
      <c r="O769" s="20" t="str">
        <f>+"Número de Empresas por Tamaño según ventas en la "&amp;I769&amp;", "&amp;Agencia[[#This Row],[temporalidad]]</f>
        <v>Número de Empresas por Tamaño según ventas en la Región de Arica y Parinacota, Periodo 2005-2019</v>
      </c>
      <c r="P769" s="20"/>
      <c r="Q769" s="11" t="str">
        <f t="shared" si="1101"/>
        <v>Gráfico de Evolución</v>
      </c>
      <c r="R769" s="20" t="str">
        <f>Agencia[[#This Row],[territorio]]&amp;" empresas regional tramos ventas uf micro mediana grande sii"</f>
        <v>Región de Arica y Parinacota empresas regional tramos ventas uf micro mediana grande sii</v>
      </c>
      <c r="S769" s="39" t="str">
        <f>HYPERLINK("https://analytics.zoho.com/open-view/2395394000008039000?ZOHO_CRITERIA=%225.1%20Empresas_Tama%C3%B1o%22.%22Cod_Regi%C3%B3n%22%3D"&amp;Agencia[[#This Row],[Filtro URL]])</f>
        <v>https://analytics.zoho.com/open-view/2395394000008039000?ZOHO_CRITERIA=%225.1%20Empresas_Tama%C3%B1o%22.%22Cod_Regi%C3%B3n%22%3D15</v>
      </c>
      <c r="T769" s="68" t="str">
        <f>"100-R-"&amp;Agencia[[#This Row],[Filtro URL]]</f>
        <v>100-R-15</v>
      </c>
      <c r="U769" s="50" t="str">
        <f t="shared" si="1102"/>
        <v>#1774B9</v>
      </c>
      <c r="V769" s="118" t="str">
        <f>+Agencia[[#This Row],[idcoleccion]]&amp;"-"&amp;Agencia[[#This Row],[id]]</f>
        <v>990-0758</v>
      </c>
      <c r="W769" s="118">
        <f>+VLOOKUP(Agencia[[#This Row],[Filtro URL]],Estructura!$X$4:$Y$500,2,0)</f>
        <v>99200015</v>
      </c>
      <c r="X769" s="118" t="str">
        <f>+VLOOKUP(Agencia[[#This Row],[tema]],Estructura!$A$4:$C$500,3,0)</f>
        <v>T-1014</v>
      </c>
      <c r="Y769" s="118" t="str">
        <f>+VLOOKUP(Agencia[[#This Row],[contenido]],Estructura!$E$4:$G$500,3,0)</f>
        <v>C-993</v>
      </c>
      <c r="Z769" s="118" t="str">
        <f>+VLOOKUP(Agencia[[#This Row],[Filtro Integrado]],Estructura!$I$4:$K$500,3,0)</f>
        <v>FI-993</v>
      </c>
      <c r="AA769" s="118" t="str">
        <f>+VLOOKUP(Agencia[[#This Row],[Muestra]],Estructura!$M$4:$O$500,3,0)</f>
        <v>M-1057</v>
      </c>
    </row>
    <row r="770" spans="1:27" ht="57.6" x14ac:dyDescent="0.3">
      <c r="A770" s="21" t="s">
        <v>1362</v>
      </c>
      <c r="B770" s="24">
        <f t="shared" ref="B770:D770" si="1205">+B769</f>
        <v>990</v>
      </c>
      <c r="C770" s="25" t="str">
        <f t="shared" si="1205"/>
        <v>Agencia Información</v>
      </c>
      <c r="D770" s="25" t="str">
        <f t="shared" si="1205"/>
        <v>Economía</v>
      </c>
      <c r="E770" s="19">
        <v>16</v>
      </c>
      <c r="F770" s="18" t="s">
        <v>1602</v>
      </c>
      <c r="G770" s="18" t="s">
        <v>1601</v>
      </c>
      <c r="H770" s="35" t="s">
        <v>16</v>
      </c>
      <c r="I770" s="36" t="s">
        <v>383</v>
      </c>
      <c r="J770" s="9" t="str">
        <f t="shared" ref="J770:N770" si="1206">+J769</f>
        <v>Ninguno</v>
      </c>
      <c r="K770" s="9" t="str">
        <f t="shared" si="1206"/>
        <v>Cantidad de empresas por tamaño</v>
      </c>
      <c r="L770" s="9" t="str">
        <f t="shared" si="1206"/>
        <v>Periodo 2005-2019</v>
      </c>
      <c r="M770" s="9" t="str">
        <f t="shared" si="1206"/>
        <v>Número de empresas</v>
      </c>
      <c r="N770" s="9" t="str">
        <f t="shared" si="1206"/>
        <v>Servicio de Impuestos Internos (SII)</v>
      </c>
      <c r="O770" s="20" t="str">
        <f>+"Número de Empresas por Tamaño según ventas en la "&amp;I770&amp;", "&amp;Agencia[[#This Row],[temporalidad]]</f>
        <v>Número de Empresas por Tamaño según ventas en la Región de Ñuble, Periodo 2005-2019</v>
      </c>
      <c r="P770" s="20"/>
      <c r="Q770" s="11" t="str">
        <f t="shared" si="1101"/>
        <v>Gráfico de Evolución</v>
      </c>
      <c r="R770" s="20" t="str">
        <f>Agencia[[#This Row],[territorio]]&amp;" empresas regional tramos ventas uf micro mediana grande sii"</f>
        <v>Región de Ñuble empresas regional tramos ventas uf micro mediana grande sii</v>
      </c>
      <c r="S770" s="39" t="str">
        <f>HYPERLINK("https://analytics.zoho.com/open-view/2395394000008039000?ZOHO_CRITERIA=%225.1%20Empresas_Tama%C3%B1o%22.%22Cod_Regi%C3%B3n%22%3D"&amp;Agencia[[#This Row],[Filtro URL]])</f>
        <v>https://analytics.zoho.com/open-view/2395394000008039000?ZOHO_CRITERIA=%225.1%20Empresas_Tama%C3%B1o%22.%22Cod_Regi%C3%B3n%22%3D16</v>
      </c>
      <c r="T770" s="68" t="str">
        <f>"100-R-"&amp;Agencia[[#This Row],[Filtro URL]]</f>
        <v>100-R-16</v>
      </c>
      <c r="U770" s="50" t="str">
        <f t="shared" si="1102"/>
        <v>#1774B9</v>
      </c>
      <c r="V770" s="118" t="str">
        <f>+Agencia[[#This Row],[idcoleccion]]&amp;"-"&amp;Agencia[[#This Row],[id]]</f>
        <v>990-0759</v>
      </c>
      <c r="W770" s="118">
        <f>+VLOOKUP(Agencia[[#This Row],[Filtro URL]],Estructura!$X$4:$Y$500,2,0)</f>
        <v>99200016</v>
      </c>
      <c r="X770" s="118" t="str">
        <f>+VLOOKUP(Agencia[[#This Row],[tema]],Estructura!$A$4:$C$500,3,0)</f>
        <v>T-1014</v>
      </c>
      <c r="Y770" s="118" t="str">
        <f>+VLOOKUP(Agencia[[#This Row],[contenido]],Estructura!$E$4:$G$500,3,0)</f>
        <v>C-993</v>
      </c>
      <c r="Z770" s="118" t="str">
        <f>+VLOOKUP(Agencia[[#This Row],[Filtro Integrado]],Estructura!$I$4:$K$500,3,0)</f>
        <v>FI-993</v>
      </c>
      <c r="AA770" s="118" t="str">
        <f>+VLOOKUP(Agencia[[#This Row],[Muestra]],Estructura!$M$4:$O$500,3,0)</f>
        <v>M-1057</v>
      </c>
    </row>
    <row r="771" spans="1:27" ht="48" x14ac:dyDescent="0.3">
      <c r="A771" s="21" t="s">
        <v>1363</v>
      </c>
      <c r="B771" s="24">
        <f t="shared" ref="B771:C771" si="1207">+B770</f>
        <v>990</v>
      </c>
      <c r="C771" s="25" t="str">
        <f t="shared" si="1207"/>
        <v>Agencia Información</v>
      </c>
      <c r="D771" s="25" t="s">
        <v>574</v>
      </c>
      <c r="E771" s="14">
        <v>0</v>
      </c>
      <c r="F771" s="18" t="s">
        <v>1604</v>
      </c>
      <c r="G771" s="18" t="s">
        <v>3784</v>
      </c>
      <c r="H771" s="33" t="s">
        <v>20</v>
      </c>
      <c r="I771" s="34" t="s">
        <v>15</v>
      </c>
      <c r="J771" s="9" t="s">
        <v>1606</v>
      </c>
      <c r="K771" s="9" t="s">
        <v>1605</v>
      </c>
      <c r="L771" s="9" t="s">
        <v>1607</v>
      </c>
      <c r="M771" s="9" t="s">
        <v>1490</v>
      </c>
      <c r="N771" s="9" t="s">
        <v>910</v>
      </c>
      <c r="O771" s="20" t="str">
        <f>+"Población en Control del Programa de Salud Cardiovascular en "&amp;I771&amp;", "&amp;Agencia[[#This Row],[temporalidad]]</f>
        <v>Población en Control del Programa de Salud Cardiovascular en Chile, Año 2018</v>
      </c>
      <c r="P771" s="20"/>
      <c r="Q771" s="11" t="s">
        <v>584</v>
      </c>
      <c r="R771" s="20" t="str">
        <f>Agencia[[#This Row],[territorio]]&amp;" cardiovascular corazón hipertensión enfermedad renal dislipidemias infarto salud programa población control"</f>
        <v>Chile cardiovascular corazón hipertensión enfermedad renal dislipidemias infarto salud programa población control</v>
      </c>
      <c r="S771" s="22" t="s">
        <v>1608</v>
      </c>
      <c r="T771" s="68">
        <v>0</v>
      </c>
      <c r="U771" s="50" t="str">
        <f t="shared" si="1102"/>
        <v>#1774B9</v>
      </c>
      <c r="V771" s="118" t="str">
        <f>+Agencia[[#This Row],[idcoleccion]]&amp;"-"&amp;Agencia[[#This Row],[id]]</f>
        <v>990-0760</v>
      </c>
      <c r="W771" s="118">
        <f>+VLOOKUP(Agencia[[#This Row],[Filtro URL]],Estructura!$X$4:$Y$500,2,0)</f>
        <v>99100000</v>
      </c>
      <c r="X771" s="118" t="str">
        <f>+VLOOKUP(Agencia[[#This Row],[tema]],Estructura!$A$4:$C$500,3,0)</f>
        <v>T-1015</v>
      </c>
      <c r="Y771" s="118" t="str">
        <f>+VLOOKUP(Agencia[[#This Row],[contenido]],Estructura!$E$4:$G$500,3,0)</f>
        <v>C-1010</v>
      </c>
      <c r="Z771" s="118" t="str">
        <f>+VLOOKUP(Agencia[[#This Row],[Filtro Integrado]],Estructura!$I$4:$K$500,3,0)</f>
        <v>FI-1001</v>
      </c>
      <c r="AA771" s="118" t="str">
        <f>+VLOOKUP(Agencia[[#This Row],[Muestra]],Estructura!$M$4:$O$500,3,0)</f>
        <v>M-1058</v>
      </c>
    </row>
    <row r="772" spans="1:27" ht="61.2" x14ac:dyDescent="0.3">
      <c r="A772" s="21" t="s">
        <v>1364</v>
      </c>
      <c r="B772" s="24">
        <f t="shared" ref="B772:C772" si="1208">+B771</f>
        <v>990</v>
      </c>
      <c r="C772" s="25" t="str">
        <f t="shared" si="1208"/>
        <v>Agencia Información</v>
      </c>
      <c r="D772" s="25" t="s">
        <v>1030</v>
      </c>
      <c r="E772" s="14">
        <v>0</v>
      </c>
      <c r="F772" s="18" t="s">
        <v>1614</v>
      </c>
      <c r="G772" s="18" t="s">
        <v>3768</v>
      </c>
      <c r="H772" s="33" t="s">
        <v>20</v>
      </c>
      <c r="I772" s="34" t="s">
        <v>15</v>
      </c>
      <c r="J772" s="9" t="s">
        <v>404</v>
      </c>
      <c r="K772" s="9" t="s">
        <v>1618</v>
      </c>
      <c r="L772" s="9" t="s">
        <v>1609</v>
      </c>
      <c r="M772" s="9" t="s">
        <v>1610</v>
      </c>
      <c r="N772" s="9" t="s">
        <v>1612</v>
      </c>
      <c r="O772" s="20" t="str">
        <f>+"Mapa de Absorciones (kt) de CO2 por Región, "&amp;I772&amp;", "&amp;Agencia[[#This Row],[temporalidad]]</f>
        <v>Mapa de Absorciones (kt) de CO2 por Región, Chile, Periodo 1990-2018</v>
      </c>
      <c r="P772" s="20" t="s">
        <v>1613</v>
      </c>
      <c r="Q772" s="11" t="s">
        <v>831</v>
      </c>
      <c r="R772" s="20" t="str">
        <f>Agencia[[#This Row],[territorio]]&amp;" GEI absorciones CO2 dióxido carbono mapa regiones gas efecto invernadero"</f>
        <v>Chile GEI absorciones CO2 dióxido carbono mapa regiones gas efecto invernadero</v>
      </c>
      <c r="S772" s="22" t="s">
        <v>1611</v>
      </c>
      <c r="T772" s="68">
        <v>0</v>
      </c>
      <c r="U772" s="50" t="str">
        <f t="shared" si="1102"/>
        <v>#1774B9</v>
      </c>
      <c r="V772" s="118" t="str">
        <f>+Agencia[[#This Row],[idcoleccion]]&amp;"-"&amp;Agencia[[#This Row],[id]]</f>
        <v>990-0761</v>
      </c>
      <c r="W772" s="118">
        <f>+VLOOKUP(Agencia[[#This Row],[Filtro URL]],Estructura!$X$4:$Y$500,2,0)</f>
        <v>99100000</v>
      </c>
      <c r="X772" s="118" t="str">
        <f>+VLOOKUP(Agencia[[#This Row],[tema]],Estructura!$A$4:$C$500,3,0)</f>
        <v>T-1016</v>
      </c>
      <c r="Y772" s="118" t="str">
        <f>+VLOOKUP(Agencia[[#This Row],[contenido]],Estructura!$E$4:$G$500,3,0)</f>
        <v>C-1004</v>
      </c>
      <c r="Z772" s="118" t="str">
        <f>+VLOOKUP(Agencia[[#This Row],[Filtro Integrado]],Estructura!$I$4:$K$500,3,0)</f>
        <v>FI-993</v>
      </c>
      <c r="AA772" s="118" t="str">
        <f>+VLOOKUP(Agencia[[#This Row],[Muestra]],Estructura!$M$4:$O$500,3,0)</f>
        <v>M-1059</v>
      </c>
    </row>
    <row r="773" spans="1:27" ht="40.799999999999997" x14ac:dyDescent="0.3">
      <c r="A773" s="21" t="s">
        <v>1365</v>
      </c>
      <c r="B773" s="24">
        <f t="shared" ref="B773:C773" si="1209">+B772</f>
        <v>990</v>
      </c>
      <c r="C773" s="25" t="str">
        <f t="shared" si="1209"/>
        <v>Agencia Información</v>
      </c>
      <c r="D773" s="25" t="s">
        <v>1030</v>
      </c>
      <c r="E773" s="14">
        <v>0</v>
      </c>
      <c r="F773" s="18" t="s">
        <v>1615</v>
      </c>
      <c r="G773" s="18" t="s">
        <v>3768</v>
      </c>
      <c r="H773" s="33" t="s">
        <v>20</v>
      </c>
      <c r="I773" s="34" t="s">
        <v>15</v>
      </c>
      <c r="J773" s="9" t="str">
        <f t="shared" ref="J773" si="1210">+J772</f>
        <v>Ninguno</v>
      </c>
      <c r="K773" s="9" t="s">
        <v>1619</v>
      </c>
      <c r="L773" s="9" t="s">
        <v>1609</v>
      </c>
      <c r="M773" s="9" t="s">
        <v>1610</v>
      </c>
      <c r="N773" s="9" t="s">
        <v>1612</v>
      </c>
      <c r="O773" s="20" t="str">
        <f>+"Promedio de Emisiones Netas (kt) de CO2 equivalente, "&amp;I773&amp;", "&amp;Agencia[[#This Row],[temporalidad]]</f>
        <v>Promedio de Emisiones Netas (kt) de CO2 equivalente, Chile, Periodo 1990-2018</v>
      </c>
      <c r="P773" s="20" t="s">
        <v>1616</v>
      </c>
      <c r="Q773" s="11" t="s">
        <v>821</v>
      </c>
      <c r="R773" s="20" t="str">
        <f>Agencia[[#This Row],[territorio]]&amp;" GEI emisiones netas CO2 equivalente dióxido carbono gas efecto invernadero"</f>
        <v>Chile GEI emisiones netas CO2 equivalente dióxido carbono gas efecto invernadero</v>
      </c>
      <c r="S773" s="22" t="s">
        <v>1617</v>
      </c>
      <c r="T773" s="68">
        <v>0</v>
      </c>
      <c r="U773" s="50" t="str">
        <f t="shared" si="1102"/>
        <v>#1774B9</v>
      </c>
      <c r="V773" s="118" t="str">
        <f>+Agencia[[#This Row],[idcoleccion]]&amp;"-"&amp;Agencia[[#This Row],[id]]</f>
        <v>990-0762</v>
      </c>
      <c r="W773" s="118">
        <f>+VLOOKUP(Agencia[[#This Row],[Filtro URL]],Estructura!$X$4:$Y$500,2,0)</f>
        <v>99100000</v>
      </c>
      <c r="X773" s="118" t="str">
        <f>+VLOOKUP(Agencia[[#This Row],[tema]],Estructura!$A$4:$C$500,3,0)</f>
        <v>T-1017</v>
      </c>
      <c r="Y773" s="118" t="str">
        <f>+VLOOKUP(Agencia[[#This Row],[contenido]],Estructura!$E$4:$G$500,3,0)</f>
        <v>C-1004</v>
      </c>
      <c r="Z773" s="118" t="str">
        <f>+VLOOKUP(Agencia[[#This Row],[Filtro Integrado]],Estructura!$I$4:$K$500,3,0)</f>
        <v>FI-993</v>
      </c>
      <c r="AA773" s="118" t="str">
        <f>+VLOOKUP(Agencia[[#This Row],[Muestra]],Estructura!$M$4:$O$500,3,0)</f>
        <v>M-1060</v>
      </c>
    </row>
    <row r="774" spans="1:27" ht="81.599999999999994" x14ac:dyDescent="0.3">
      <c r="A774" s="21" t="s">
        <v>1366</v>
      </c>
      <c r="B774" s="24">
        <f t="shared" ref="B774:C774" si="1211">+B773</f>
        <v>990</v>
      </c>
      <c r="C774" s="25" t="str">
        <f t="shared" si="1211"/>
        <v>Agencia Información</v>
      </c>
      <c r="D774" s="25" t="s">
        <v>1030</v>
      </c>
      <c r="E774" s="14">
        <v>0</v>
      </c>
      <c r="F774" s="18" t="s">
        <v>1623</v>
      </c>
      <c r="G774" s="18" t="s">
        <v>3768</v>
      </c>
      <c r="H774" s="33" t="s">
        <v>20</v>
      </c>
      <c r="I774" s="34" t="s">
        <v>15</v>
      </c>
      <c r="J774" s="9" t="s">
        <v>404</v>
      </c>
      <c r="K774" s="9" t="s">
        <v>1622</v>
      </c>
      <c r="L774" s="9" t="s">
        <v>1609</v>
      </c>
      <c r="M774" s="9" t="s">
        <v>1610</v>
      </c>
      <c r="N774" s="9" t="s">
        <v>1612</v>
      </c>
      <c r="O774" s="20" t="str">
        <f>+"Emisiones (kt) de CO2 equivalente por Gas en "&amp;I774&amp;", durante el "&amp;Agencia[[#This Row],[temporalidad]]</f>
        <v>Emisiones (kt) de CO2 equivalente por Gas en Chile, durante el Periodo 1990-2018</v>
      </c>
      <c r="P774" s="20" t="s">
        <v>1620</v>
      </c>
      <c r="Q774" s="11" t="s">
        <v>821</v>
      </c>
      <c r="R774" s="20" t="str">
        <f>Agencia[[#This Row],[territorio]]&amp;" GEI emisiones CO2 equivalente dióxido carbono gas efecto invernadero metano óxido nitroso CH4 N2O HFC SF6"</f>
        <v>Chile GEI emisiones CO2 equivalente dióxido carbono gas efecto invernadero metano óxido nitroso CH4 N2O HFC SF6</v>
      </c>
      <c r="S774" s="22" t="s">
        <v>1621</v>
      </c>
      <c r="T774" s="68">
        <v>0</v>
      </c>
      <c r="U774" s="50" t="str">
        <f t="shared" si="1102"/>
        <v>#1774B9</v>
      </c>
      <c r="V774" s="118" t="str">
        <f>+Agencia[[#This Row],[idcoleccion]]&amp;"-"&amp;Agencia[[#This Row],[id]]</f>
        <v>990-0763</v>
      </c>
      <c r="W774" s="118">
        <f>+VLOOKUP(Agencia[[#This Row],[Filtro URL]],Estructura!$X$4:$Y$500,2,0)</f>
        <v>99100000</v>
      </c>
      <c r="X774" s="118" t="str">
        <f>+VLOOKUP(Agencia[[#This Row],[tema]],Estructura!$A$4:$C$500,3,0)</f>
        <v>T-1018</v>
      </c>
      <c r="Y774" s="118" t="str">
        <f>+VLOOKUP(Agencia[[#This Row],[contenido]],Estructura!$E$4:$G$500,3,0)</f>
        <v>C-1004</v>
      </c>
      <c r="Z774" s="118" t="str">
        <f>+VLOOKUP(Agencia[[#This Row],[Filtro Integrado]],Estructura!$I$4:$K$500,3,0)</f>
        <v>FI-993</v>
      </c>
      <c r="AA774" s="118" t="str">
        <f>+VLOOKUP(Agencia[[#This Row],[Muestra]],Estructura!$M$4:$O$500,3,0)</f>
        <v>M-1061</v>
      </c>
    </row>
    <row r="775" spans="1:27" ht="51" x14ac:dyDescent="0.3">
      <c r="A775" s="21" t="s">
        <v>1367</v>
      </c>
      <c r="B775" s="24">
        <f t="shared" ref="B775:C775" si="1212">+B774</f>
        <v>990</v>
      </c>
      <c r="C775" s="25" t="str">
        <f t="shared" si="1212"/>
        <v>Agencia Información</v>
      </c>
      <c r="D775" s="25" t="s">
        <v>1030</v>
      </c>
      <c r="E775" s="14">
        <v>0</v>
      </c>
      <c r="F775" s="18" t="s">
        <v>1624</v>
      </c>
      <c r="G775" s="18" t="s">
        <v>3768</v>
      </c>
      <c r="H775" s="33" t="s">
        <v>20</v>
      </c>
      <c r="I775" s="34" t="s">
        <v>15</v>
      </c>
      <c r="J775" s="9" t="s">
        <v>404</v>
      </c>
      <c r="K775" s="9" t="s">
        <v>1626</v>
      </c>
      <c r="L775" s="9" t="s">
        <v>1607</v>
      </c>
      <c r="M775" s="9" t="s">
        <v>1610</v>
      </c>
      <c r="N775" s="9" t="s">
        <v>1612</v>
      </c>
      <c r="O775" s="20" t="str">
        <f>+"Emisiones y Absorciones (kt) de CO2 equivalente por Subsector en "&amp;I775&amp;", para el "&amp;Agencia[[#This Row],[temporalidad]]</f>
        <v>Emisiones y Absorciones (kt) de CO2 equivalente por Subsector en Chile, para el Año 2018</v>
      </c>
      <c r="P775" s="20" t="s">
        <v>1625</v>
      </c>
      <c r="Q775" s="11" t="s">
        <v>584</v>
      </c>
      <c r="R775" s="20" t="str">
        <f>Agencia[[#This Row],[territorio]]&amp;" GEI emisiones absorciones CO2 equivalente dióxido carbono subsector gas efecto invernadero"</f>
        <v>Chile GEI emisiones absorciones CO2 equivalente dióxido carbono subsector gas efecto invernadero</v>
      </c>
      <c r="S775" s="22" t="s">
        <v>1627</v>
      </c>
      <c r="T775" s="68">
        <v>0</v>
      </c>
      <c r="U775" s="50" t="str">
        <f t="shared" si="1102"/>
        <v>#1774B9</v>
      </c>
      <c r="V775" s="118" t="str">
        <f>+Agencia[[#This Row],[idcoleccion]]&amp;"-"&amp;Agencia[[#This Row],[id]]</f>
        <v>990-0764</v>
      </c>
      <c r="W775" s="118">
        <f>+VLOOKUP(Agencia[[#This Row],[Filtro URL]],Estructura!$X$4:$Y$500,2,0)</f>
        <v>99100000</v>
      </c>
      <c r="X775" s="118" t="str">
        <f>+VLOOKUP(Agencia[[#This Row],[tema]],Estructura!$A$4:$C$500,3,0)</f>
        <v>T-1019</v>
      </c>
      <c r="Y775" s="118" t="str">
        <f>+VLOOKUP(Agencia[[#This Row],[contenido]],Estructura!$E$4:$G$500,3,0)</f>
        <v>C-1004</v>
      </c>
      <c r="Z775" s="118" t="str">
        <f>+VLOOKUP(Agencia[[#This Row],[Filtro Integrado]],Estructura!$I$4:$K$500,3,0)</f>
        <v>FI-993</v>
      </c>
      <c r="AA775" s="118" t="str">
        <f>+VLOOKUP(Agencia[[#This Row],[Muestra]],Estructura!$M$4:$O$500,3,0)</f>
        <v>M-1062</v>
      </c>
    </row>
    <row r="776" spans="1:27" ht="48" x14ac:dyDescent="0.3">
      <c r="A776" s="21" t="s">
        <v>1368</v>
      </c>
      <c r="B776" s="24">
        <f t="shared" ref="B776:C776" si="1213">+B775</f>
        <v>990</v>
      </c>
      <c r="C776" s="25" t="str">
        <f t="shared" si="1213"/>
        <v>Agencia Información</v>
      </c>
      <c r="D776" s="25" t="s">
        <v>881</v>
      </c>
      <c r="E776" s="14">
        <v>0</v>
      </c>
      <c r="F776" s="18" t="s">
        <v>1590</v>
      </c>
      <c r="G776" s="18" t="s">
        <v>1601</v>
      </c>
      <c r="H776" s="33" t="s">
        <v>20</v>
      </c>
      <c r="I776" s="34" t="s">
        <v>15</v>
      </c>
      <c r="J776" s="9" t="s">
        <v>16</v>
      </c>
      <c r="K776" s="9" t="s">
        <v>1630</v>
      </c>
      <c r="L776" s="9" t="s">
        <v>1489</v>
      </c>
      <c r="M776" s="9" t="s">
        <v>1490</v>
      </c>
      <c r="N776" s="9" t="s">
        <v>885</v>
      </c>
      <c r="O776" s="20" t="str">
        <f>+"Número de trabajadores dependientes por sexo, en el rubro B-Explotación minera y canteras, según año comercial y a nivel regional en "&amp;I776&amp;", "&amp;Agencia[[#This Row],[temporalidad]]</f>
        <v>Número de trabajadores dependientes por sexo, en el rubro B-Explotación minera y canteras, según año comercial y a nivel regional en Chile, Periodo 2005-2019</v>
      </c>
      <c r="P776" s="20"/>
      <c r="Q776" s="11" t="s">
        <v>584</v>
      </c>
      <c r="R776" s="20" t="str">
        <f>Agencia[[#This Row],[territorio]]&amp;" personas trabajadores género sexo mujeres hombres proporción explotación canteras mineras sii"</f>
        <v>Chile personas trabajadores género sexo mujeres hombres proporción explotación canteras mineras sii</v>
      </c>
      <c r="S776" s="22" t="s">
        <v>1629</v>
      </c>
      <c r="T776" s="68" t="s">
        <v>855</v>
      </c>
      <c r="U776" s="50" t="str">
        <f t="shared" si="1102"/>
        <v>#1774B9</v>
      </c>
      <c r="V776" s="118" t="str">
        <f>+Agencia[[#This Row],[idcoleccion]]&amp;"-"&amp;Agencia[[#This Row],[id]]</f>
        <v>990-0765</v>
      </c>
      <c r="W776" s="118">
        <f>+VLOOKUP(Agencia[[#This Row],[Filtro URL]],Estructura!$X$4:$Y$500,2,0)</f>
        <v>99100000</v>
      </c>
      <c r="X776" s="118" t="str">
        <f>+VLOOKUP(Agencia[[#This Row],[tema]],Estructura!$A$4:$C$500,3,0)</f>
        <v>T-1012</v>
      </c>
      <c r="Y776" s="118" t="str">
        <f>+VLOOKUP(Agencia[[#This Row],[contenido]],Estructura!$E$4:$G$500,3,0)</f>
        <v>C-993</v>
      </c>
      <c r="Z776" s="118" t="str">
        <f>+VLOOKUP(Agencia[[#This Row],[Filtro Integrado]],Estructura!$I$4:$K$500,3,0)</f>
        <v>FI-992</v>
      </c>
      <c r="AA776" s="118" t="str">
        <f>+VLOOKUP(Agencia[[#This Row],[Muestra]],Estructura!$M$4:$O$500,3,0)</f>
        <v>M-1063</v>
      </c>
    </row>
    <row r="777" spans="1:27" ht="57.6" x14ac:dyDescent="0.3">
      <c r="A777" s="21" t="s">
        <v>1369</v>
      </c>
      <c r="B777" s="24">
        <f t="shared" ref="B777:D777" si="1214">+B776</f>
        <v>990</v>
      </c>
      <c r="C777" s="25" t="str">
        <f t="shared" si="1214"/>
        <v>Agencia Información</v>
      </c>
      <c r="D777" s="25" t="str">
        <f t="shared" si="1214"/>
        <v>Economía</v>
      </c>
      <c r="E777" s="19">
        <v>1</v>
      </c>
      <c r="F777" s="18" t="s">
        <v>1590</v>
      </c>
      <c r="G777" s="18" t="s">
        <v>1601</v>
      </c>
      <c r="H777" s="35" t="s">
        <v>16</v>
      </c>
      <c r="I777" s="36" t="s">
        <v>368</v>
      </c>
      <c r="J777" s="9" t="s">
        <v>404</v>
      </c>
      <c r="K777" s="9" t="str">
        <f t="shared" ref="K777:N777" si="1215">+K776</f>
        <v>Trabajadores dependientes informados por sexo por región</v>
      </c>
      <c r="L777" s="9" t="str">
        <f t="shared" si="1215"/>
        <v>Periodo 2005-2019</v>
      </c>
      <c r="M777" s="9" t="str">
        <f t="shared" si="1215"/>
        <v>Personas</v>
      </c>
      <c r="N777" s="9" t="str">
        <f t="shared" si="1215"/>
        <v>Servicio de Impuestos Internos (SII)</v>
      </c>
      <c r="O777" s="20" t="str">
        <f>+"Número de trabajadores dependientes por sexo, en el rubro B-Explotación minera y canteras, según año comercial en la "&amp;I777&amp;", "&amp;Agencia[[#This Row],[temporalidad]]</f>
        <v>Número de trabajadores dependientes por sexo, en el rubro B-Explotación minera y canteras, según año comercial en la Región de Tarapacá, Periodo 2005-2019</v>
      </c>
      <c r="P777" s="20"/>
      <c r="Q777" s="11" t="str">
        <f t="shared" si="1101"/>
        <v>Gráfico</v>
      </c>
      <c r="R777" s="20" t="str">
        <f>Agencia[[#This Row],[territorio]]&amp;" personas trabajadores género sexo mujeres hombres proporción explotación canteras mineras sii"</f>
        <v>Región de Tarapacá personas trabajadores género sexo mujeres hombres proporción explotación canteras mineras sii</v>
      </c>
      <c r="S777" s="39" t="str">
        <f>HYPERLINK("https://analytics.zoho.com/open-view/2395394000008438205?ZOHO_CRITERIA=%22Rubros_Todo%22.%22Id_Regi%C3%B3n%22%3D"&amp;Agencia[[#This Row],[Filtro URL]])</f>
        <v>https://analytics.zoho.com/open-view/2395394000008438205?ZOHO_CRITERIA=%22Rubros_Todo%22.%22Id_Regi%C3%B3n%22%3D1</v>
      </c>
      <c r="T777" s="68" t="str">
        <f>"100-R-"&amp;Agencia[[#This Row],[Filtro URL]]</f>
        <v>100-R-1</v>
      </c>
      <c r="U777" s="50" t="str">
        <f t="shared" si="1102"/>
        <v>#1774B9</v>
      </c>
      <c r="V777" s="118" t="str">
        <f>+Agencia[[#This Row],[idcoleccion]]&amp;"-"&amp;Agencia[[#This Row],[id]]</f>
        <v>990-0766</v>
      </c>
      <c r="W777" s="118">
        <f>+VLOOKUP(Agencia[[#This Row],[Filtro URL]],Estructura!$X$4:$Y$500,2,0)</f>
        <v>99200001</v>
      </c>
      <c r="X777" s="118" t="str">
        <f>+VLOOKUP(Agencia[[#This Row],[tema]],Estructura!$A$4:$C$500,3,0)</f>
        <v>T-1012</v>
      </c>
      <c r="Y777" s="118" t="str">
        <f>+VLOOKUP(Agencia[[#This Row],[contenido]],Estructura!$E$4:$G$500,3,0)</f>
        <v>C-993</v>
      </c>
      <c r="Z777" s="118" t="str">
        <f>+VLOOKUP(Agencia[[#This Row],[Filtro Integrado]],Estructura!$I$4:$K$500,3,0)</f>
        <v>FI-993</v>
      </c>
      <c r="AA777" s="118" t="str">
        <f>+VLOOKUP(Agencia[[#This Row],[Muestra]],Estructura!$M$4:$O$500,3,0)</f>
        <v>M-1063</v>
      </c>
    </row>
    <row r="778" spans="1:27" ht="57.6" x14ac:dyDescent="0.3">
      <c r="A778" s="21" t="s">
        <v>1370</v>
      </c>
      <c r="B778" s="24">
        <f t="shared" ref="B778:D778" si="1216">+B777</f>
        <v>990</v>
      </c>
      <c r="C778" s="25" t="str">
        <f t="shared" si="1216"/>
        <v>Agencia Información</v>
      </c>
      <c r="D778" s="25" t="str">
        <f t="shared" si="1216"/>
        <v>Economía</v>
      </c>
      <c r="E778" s="19">
        <v>2</v>
      </c>
      <c r="F778" s="18" t="s">
        <v>1590</v>
      </c>
      <c r="G778" s="18" t="s">
        <v>1601</v>
      </c>
      <c r="H778" s="35" t="s">
        <v>16</v>
      </c>
      <c r="I778" s="36" t="s">
        <v>369</v>
      </c>
      <c r="J778" s="9" t="str">
        <f t="shared" ref="J778:N778" si="1217">+J777</f>
        <v>Ninguno</v>
      </c>
      <c r="K778" s="9" t="str">
        <f t="shared" si="1217"/>
        <v>Trabajadores dependientes informados por sexo por región</v>
      </c>
      <c r="L778" s="9" t="str">
        <f t="shared" si="1217"/>
        <v>Periodo 2005-2019</v>
      </c>
      <c r="M778" s="9" t="str">
        <f t="shared" si="1217"/>
        <v>Personas</v>
      </c>
      <c r="N778" s="9" t="str">
        <f t="shared" si="1217"/>
        <v>Servicio de Impuestos Internos (SII)</v>
      </c>
      <c r="O778" s="20" t="str">
        <f>+"Número de trabajadores dependientes por sexo, en el rubro B-Explotación minera y canteras, según año comercial en la "&amp;I778&amp;", "&amp;Agencia[[#This Row],[temporalidad]]</f>
        <v>Número de trabajadores dependientes por sexo, en el rubro B-Explotación minera y canteras, según año comercial en la Región de Antofagasta, Periodo 2005-2019</v>
      </c>
      <c r="P778" s="20"/>
      <c r="Q778" s="11" t="str">
        <f t="shared" si="1101"/>
        <v>Gráfico</v>
      </c>
      <c r="R778" s="20" t="str">
        <f>Agencia[[#This Row],[territorio]]&amp;" personas trabajadores género sexo mujeres hombres proporción explotación canteras mineras sii"</f>
        <v>Región de Antofagasta personas trabajadores género sexo mujeres hombres proporción explotación canteras mineras sii</v>
      </c>
      <c r="S778" s="39" t="str">
        <f>HYPERLINK("https://analytics.zoho.com/open-view/2395394000008438205?ZOHO_CRITERIA=%22Rubros_Todo%22.%22Id_Regi%C3%B3n%22%3D"&amp;Agencia[[#This Row],[Filtro URL]])</f>
        <v>https://analytics.zoho.com/open-view/2395394000008438205?ZOHO_CRITERIA=%22Rubros_Todo%22.%22Id_Regi%C3%B3n%22%3D2</v>
      </c>
      <c r="T778" s="68" t="str">
        <f>"100-R-"&amp;Agencia[[#This Row],[Filtro URL]]</f>
        <v>100-R-2</v>
      </c>
      <c r="U778" s="50" t="str">
        <f t="shared" si="1102"/>
        <v>#1774B9</v>
      </c>
      <c r="V778" s="118" t="str">
        <f>+Agencia[[#This Row],[idcoleccion]]&amp;"-"&amp;Agencia[[#This Row],[id]]</f>
        <v>990-0767</v>
      </c>
      <c r="W778" s="118">
        <f>+VLOOKUP(Agencia[[#This Row],[Filtro URL]],Estructura!$X$4:$Y$500,2,0)</f>
        <v>99200002</v>
      </c>
      <c r="X778" s="118" t="str">
        <f>+VLOOKUP(Agencia[[#This Row],[tema]],Estructura!$A$4:$C$500,3,0)</f>
        <v>T-1012</v>
      </c>
      <c r="Y778" s="118" t="str">
        <f>+VLOOKUP(Agencia[[#This Row],[contenido]],Estructura!$E$4:$G$500,3,0)</f>
        <v>C-993</v>
      </c>
      <c r="Z778" s="118" t="str">
        <f>+VLOOKUP(Agencia[[#This Row],[Filtro Integrado]],Estructura!$I$4:$K$500,3,0)</f>
        <v>FI-993</v>
      </c>
      <c r="AA778" s="118" t="str">
        <f>+VLOOKUP(Agencia[[#This Row],[Muestra]],Estructura!$M$4:$O$500,3,0)</f>
        <v>M-1063</v>
      </c>
    </row>
    <row r="779" spans="1:27" ht="57.6" x14ac:dyDescent="0.3">
      <c r="A779" s="21" t="s">
        <v>1371</v>
      </c>
      <c r="B779" s="24">
        <f t="shared" ref="B779:D779" si="1218">+B778</f>
        <v>990</v>
      </c>
      <c r="C779" s="25" t="str">
        <f t="shared" si="1218"/>
        <v>Agencia Información</v>
      </c>
      <c r="D779" s="25" t="str">
        <f t="shared" si="1218"/>
        <v>Economía</v>
      </c>
      <c r="E779" s="19">
        <v>3</v>
      </c>
      <c r="F779" s="18" t="s">
        <v>1590</v>
      </c>
      <c r="G779" s="18" t="s">
        <v>1601</v>
      </c>
      <c r="H779" s="35" t="s">
        <v>16</v>
      </c>
      <c r="I779" s="36" t="s">
        <v>370</v>
      </c>
      <c r="J779" s="9" t="str">
        <f t="shared" ref="J779:N779" si="1219">+J778</f>
        <v>Ninguno</v>
      </c>
      <c r="K779" s="9" t="str">
        <f t="shared" si="1219"/>
        <v>Trabajadores dependientes informados por sexo por región</v>
      </c>
      <c r="L779" s="9" t="str">
        <f t="shared" si="1219"/>
        <v>Periodo 2005-2019</v>
      </c>
      <c r="M779" s="9" t="str">
        <f t="shared" si="1219"/>
        <v>Personas</v>
      </c>
      <c r="N779" s="9" t="str">
        <f t="shared" si="1219"/>
        <v>Servicio de Impuestos Internos (SII)</v>
      </c>
      <c r="O779" s="20" t="str">
        <f>+"Número de trabajadores dependientes por sexo, en el rubro B-Explotación minera y canteras, según año comercial en la "&amp;I779&amp;", "&amp;Agencia[[#This Row],[temporalidad]]</f>
        <v>Número de trabajadores dependientes por sexo, en el rubro B-Explotación minera y canteras, según año comercial en la Región de Atacama, Periodo 2005-2019</v>
      </c>
      <c r="P779" s="20"/>
      <c r="Q779" s="11" t="str">
        <f t="shared" si="1101"/>
        <v>Gráfico</v>
      </c>
      <c r="R779" s="20" t="str">
        <f>Agencia[[#This Row],[territorio]]&amp;" personas trabajadores género sexo mujeres hombres proporción explotación canteras mineras sii"</f>
        <v>Región de Atacama personas trabajadores género sexo mujeres hombres proporción explotación canteras mineras sii</v>
      </c>
      <c r="S779" s="39" t="str">
        <f>HYPERLINK("https://analytics.zoho.com/open-view/2395394000008438205?ZOHO_CRITERIA=%22Rubros_Todo%22.%22Id_Regi%C3%B3n%22%3D"&amp;Agencia[[#This Row],[Filtro URL]])</f>
        <v>https://analytics.zoho.com/open-view/2395394000008438205?ZOHO_CRITERIA=%22Rubros_Todo%22.%22Id_Regi%C3%B3n%22%3D3</v>
      </c>
      <c r="T779" s="68" t="str">
        <f>"100-R-"&amp;Agencia[[#This Row],[Filtro URL]]</f>
        <v>100-R-3</v>
      </c>
      <c r="U779" s="50" t="str">
        <f t="shared" si="1102"/>
        <v>#1774B9</v>
      </c>
      <c r="V779" s="118" t="str">
        <f>+Agencia[[#This Row],[idcoleccion]]&amp;"-"&amp;Agencia[[#This Row],[id]]</f>
        <v>990-0768</v>
      </c>
      <c r="W779" s="118">
        <f>+VLOOKUP(Agencia[[#This Row],[Filtro URL]],Estructura!$X$4:$Y$500,2,0)</f>
        <v>99200003</v>
      </c>
      <c r="X779" s="118" t="str">
        <f>+VLOOKUP(Agencia[[#This Row],[tema]],Estructura!$A$4:$C$500,3,0)</f>
        <v>T-1012</v>
      </c>
      <c r="Y779" s="118" t="str">
        <f>+VLOOKUP(Agencia[[#This Row],[contenido]],Estructura!$E$4:$G$500,3,0)</f>
        <v>C-993</v>
      </c>
      <c r="Z779" s="118" t="str">
        <f>+VLOOKUP(Agencia[[#This Row],[Filtro Integrado]],Estructura!$I$4:$K$500,3,0)</f>
        <v>FI-993</v>
      </c>
      <c r="AA779" s="118" t="str">
        <f>+VLOOKUP(Agencia[[#This Row],[Muestra]],Estructura!$M$4:$O$500,3,0)</f>
        <v>M-1063</v>
      </c>
    </row>
    <row r="780" spans="1:27" ht="57.6" x14ac:dyDescent="0.3">
      <c r="A780" s="21" t="s">
        <v>1372</v>
      </c>
      <c r="B780" s="24">
        <f t="shared" ref="B780:D780" si="1220">+B779</f>
        <v>990</v>
      </c>
      <c r="C780" s="25" t="str">
        <f t="shared" si="1220"/>
        <v>Agencia Información</v>
      </c>
      <c r="D780" s="25" t="str">
        <f t="shared" si="1220"/>
        <v>Economía</v>
      </c>
      <c r="E780" s="19">
        <v>4</v>
      </c>
      <c r="F780" s="18" t="s">
        <v>1590</v>
      </c>
      <c r="G780" s="18" t="s">
        <v>1601</v>
      </c>
      <c r="H780" s="35" t="s">
        <v>16</v>
      </c>
      <c r="I780" s="36" t="s">
        <v>371</v>
      </c>
      <c r="J780" s="9" t="str">
        <f t="shared" ref="J780:N780" si="1221">+J779</f>
        <v>Ninguno</v>
      </c>
      <c r="K780" s="9" t="str">
        <f t="shared" si="1221"/>
        <v>Trabajadores dependientes informados por sexo por región</v>
      </c>
      <c r="L780" s="9" t="str">
        <f t="shared" si="1221"/>
        <v>Periodo 2005-2019</v>
      </c>
      <c r="M780" s="9" t="str">
        <f t="shared" si="1221"/>
        <v>Personas</v>
      </c>
      <c r="N780" s="9" t="str">
        <f t="shared" si="1221"/>
        <v>Servicio de Impuestos Internos (SII)</v>
      </c>
      <c r="O780" s="20" t="str">
        <f>+"Número de trabajadores dependientes por sexo, en el rubro B-Explotación minera y canteras, según año comercial en la "&amp;I780&amp;", "&amp;Agencia[[#This Row],[temporalidad]]</f>
        <v>Número de trabajadores dependientes por sexo, en el rubro B-Explotación minera y canteras, según año comercial en la Región de Coquimbo, Periodo 2005-2019</v>
      </c>
      <c r="P780" s="20"/>
      <c r="Q780" s="11" t="str">
        <f t="shared" ref="Q780:Q843" si="1222">+Q779</f>
        <v>Gráfico</v>
      </c>
      <c r="R780" s="20" t="str">
        <f>Agencia[[#This Row],[territorio]]&amp;" personas trabajadores género sexo mujeres hombres proporción explotación canteras mineras sii"</f>
        <v>Región de Coquimbo personas trabajadores género sexo mujeres hombres proporción explotación canteras mineras sii</v>
      </c>
      <c r="S780" s="39" t="str">
        <f>HYPERLINK("https://analytics.zoho.com/open-view/2395394000008438205?ZOHO_CRITERIA=%22Rubros_Todo%22.%22Id_Regi%C3%B3n%22%3D"&amp;Agencia[[#This Row],[Filtro URL]])</f>
        <v>https://analytics.zoho.com/open-view/2395394000008438205?ZOHO_CRITERIA=%22Rubros_Todo%22.%22Id_Regi%C3%B3n%22%3D4</v>
      </c>
      <c r="T780" s="68" t="str">
        <f>"100-R-"&amp;Agencia[[#This Row],[Filtro URL]]</f>
        <v>100-R-4</v>
      </c>
      <c r="U780" s="50" t="str">
        <f t="shared" ref="U780:U843" si="1223">+U779</f>
        <v>#1774B9</v>
      </c>
      <c r="V780" s="118" t="str">
        <f>+Agencia[[#This Row],[idcoleccion]]&amp;"-"&amp;Agencia[[#This Row],[id]]</f>
        <v>990-0769</v>
      </c>
      <c r="W780" s="118">
        <f>+VLOOKUP(Agencia[[#This Row],[Filtro URL]],Estructura!$X$4:$Y$500,2,0)</f>
        <v>99200004</v>
      </c>
      <c r="X780" s="118" t="str">
        <f>+VLOOKUP(Agencia[[#This Row],[tema]],Estructura!$A$4:$C$500,3,0)</f>
        <v>T-1012</v>
      </c>
      <c r="Y780" s="118" t="str">
        <f>+VLOOKUP(Agencia[[#This Row],[contenido]],Estructura!$E$4:$G$500,3,0)</f>
        <v>C-993</v>
      </c>
      <c r="Z780" s="118" t="str">
        <f>+VLOOKUP(Agencia[[#This Row],[Filtro Integrado]],Estructura!$I$4:$K$500,3,0)</f>
        <v>FI-993</v>
      </c>
      <c r="AA780" s="118" t="str">
        <f>+VLOOKUP(Agencia[[#This Row],[Muestra]],Estructura!$M$4:$O$500,3,0)</f>
        <v>M-1063</v>
      </c>
    </row>
    <row r="781" spans="1:27" ht="57.6" x14ac:dyDescent="0.3">
      <c r="A781" s="21" t="s">
        <v>1373</v>
      </c>
      <c r="B781" s="24">
        <f t="shared" ref="B781:D781" si="1224">+B780</f>
        <v>990</v>
      </c>
      <c r="C781" s="25" t="str">
        <f t="shared" si="1224"/>
        <v>Agencia Información</v>
      </c>
      <c r="D781" s="25" t="str">
        <f t="shared" si="1224"/>
        <v>Economía</v>
      </c>
      <c r="E781" s="19">
        <v>5</v>
      </c>
      <c r="F781" s="18" t="s">
        <v>1590</v>
      </c>
      <c r="G781" s="18" t="s">
        <v>1601</v>
      </c>
      <c r="H781" s="35" t="s">
        <v>16</v>
      </c>
      <c r="I781" s="36" t="s">
        <v>372</v>
      </c>
      <c r="J781" s="9" t="str">
        <f t="shared" ref="J781:N781" si="1225">+J780</f>
        <v>Ninguno</v>
      </c>
      <c r="K781" s="9" t="str">
        <f t="shared" si="1225"/>
        <v>Trabajadores dependientes informados por sexo por región</v>
      </c>
      <c r="L781" s="9" t="str">
        <f t="shared" si="1225"/>
        <v>Periodo 2005-2019</v>
      </c>
      <c r="M781" s="9" t="str">
        <f t="shared" si="1225"/>
        <v>Personas</v>
      </c>
      <c r="N781" s="9" t="str">
        <f t="shared" si="1225"/>
        <v>Servicio de Impuestos Internos (SII)</v>
      </c>
      <c r="O781" s="20" t="str">
        <f>+"Número de trabajadores dependientes por sexo, en el rubro B-Explotación minera y canteras, según año comercial en la "&amp;I781&amp;", "&amp;Agencia[[#This Row],[temporalidad]]</f>
        <v>Número de trabajadores dependientes por sexo, en el rubro B-Explotación minera y canteras, según año comercial en la Región de Valparaíso, Periodo 2005-2019</v>
      </c>
      <c r="P781" s="20"/>
      <c r="Q781" s="11" t="str">
        <f t="shared" si="1222"/>
        <v>Gráfico</v>
      </c>
      <c r="R781" s="20" t="str">
        <f>Agencia[[#This Row],[territorio]]&amp;" personas trabajadores género sexo mujeres hombres proporción explotación canteras mineras sii"</f>
        <v>Región de Valparaíso personas trabajadores género sexo mujeres hombres proporción explotación canteras mineras sii</v>
      </c>
      <c r="S781" s="39" t="str">
        <f>HYPERLINK("https://analytics.zoho.com/open-view/2395394000008438205?ZOHO_CRITERIA=%22Rubros_Todo%22.%22Id_Regi%C3%B3n%22%3D"&amp;Agencia[[#This Row],[Filtro URL]])</f>
        <v>https://analytics.zoho.com/open-view/2395394000008438205?ZOHO_CRITERIA=%22Rubros_Todo%22.%22Id_Regi%C3%B3n%22%3D5</v>
      </c>
      <c r="T781" s="68" t="str">
        <f>"100-R-"&amp;Agencia[[#This Row],[Filtro URL]]</f>
        <v>100-R-5</v>
      </c>
      <c r="U781" s="50" t="str">
        <f t="shared" si="1223"/>
        <v>#1774B9</v>
      </c>
      <c r="V781" s="118" t="str">
        <f>+Agencia[[#This Row],[idcoleccion]]&amp;"-"&amp;Agencia[[#This Row],[id]]</f>
        <v>990-0770</v>
      </c>
      <c r="W781" s="118">
        <f>+VLOOKUP(Agencia[[#This Row],[Filtro URL]],Estructura!$X$4:$Y$500,2,0)</f>
        <v>99200005</v>
      </c>
      <c r="X781" s="118" t="str">
        <f>+VLOOKUP(Agencia[[#This Row],[tema]],Estructura!$A$4:$C$500,3,0)</f>
        <v>T-1012</v>
      </c>
      <c r="Y781" s="118" t="str">
        <f>+VLOOKUP(Agencia[[#This Row],[contenido]],Estructura!$E$4:$G$500,3,0)</f>
        <v>C-993</v>
      </c>
      <c r="Z781" s="118" t="str">
        <f>+VLOOKUP(Agencia[[#This Row],[Filtro Integrado]],Estructura!$I$4:$K$500,3,0)</f>
        <v>FI-993</v>
      </c>
      <c r="AA781" s="118" t="str">
        <f>+VLOOKUP(Agencia[[#This Row],[Muestra]],Estructura!$M$4:$O$500,3,0)</f>
        <v>M-1063</v>
      </c>
    </row>
    <row r="782" spans="1:27" ht="57.6" x14ac:dyDescent="0.3">
      <c r="A782" s="21" t="s">
        <v>1374</v>
      </c>
      <c r="B782" s="24">
        <f t="shared" ref="B782:D782" si="1226">+B781</f>
        <v>990</v>
      </c>
      <c r="C782" s="25" t="str">
        <f t="shared" si="1226"/>
        <v>Agencia Información</v>
      </c>
      <c r="D782" s="25" t="str">
        <f t="shared" si="1226"/>
        <v>Economía</v>
      </c>
      <c r="E782" s="19">
        <v>6</v>
      </c>
      <c r="F782" s="18" t="s">
        <v>1590</v>
      </c>
      <c r="G782" s="18" t="s">
        <v>1601</v>
      </c>
      <c r="H782" s="35" t="s">
        <v>16</v>
      </c>
      <c r="I782" s="36" t="s">
        <v>373</v>
      </c>
      <c r="J782" s="9" t="str">
        <f t="shared" ref="J782:N782" si="1227">+J781</f>
        <v>Ninguno</v>
      </c>
      <c r="K782" s="9" t="str">
        <f t="shared" si="1227"/>
        <v>Trabajadores dependientes informados por sexo por región</v>
      </c>
      <c r="L782" s="9" t="str">
        <f t="shared" si="1227"/>
        <v>Periodo 2005-2019</v>
      </c>
      <c r="M782" s="9" t="str">
        <f t="shared" si="1227"/>
        <v>Personas</v>
      </c>
      <c r="N782" s="9" t="str">
        <f t="shared" si="1227"/>
        <v>Servicio de Impuestos Internos (SII)</v>
      </c>
      <c r="O782" s="20" t="str">
        <f>+"Número de trabajadores dependientes por sexo, en el rubro B-Explotación minera y canteras, según año comercial en la "&amp;I782&amp;", "&amp;Agencia[[#This Row],[temporalidad]]</f>
        <v>Número de trabajadores dependientes por sexo, en el rubro B-Explotación minera y canteras, según año comercial en la Región de O'Higgins, Periodo 2005-2019</v>
      </c>
      <c r="P782" s="20"/>
      <c r="Q782" s="11" t="str">
        <f t="shared" si="1222"/>
        <v>Gráfico</v>
      </c>
      <c r="R782" s="20" t="str">
        <f>Agencia[[#This Row],[territorio]]&amp;" personas trabajadores género sexo mujeres hombres proporción explotación canteras mineras sii"</f>
        <v>Región de O'Higgins personas trabajadores género sexo mujeres hombres proporción explotación canteras mineras sii</v>
      </c>
      <c r="S782" s="39" t="str">
        <f>HYPERLINK("https://analytics.zoho.com/open-view/2395394000008438205?ZOHO_CRITERIA=%22Rubros_Todo%22.%22Id_Regi%C3%B3n%22%3D"&amp;Agencia[[#This Row],[Filtro URL]])</f>
        <v>https://analytics.zoho.com/open-view/2395394000008438205?ZOHO_CRITERIA=%22Rubros_Todo%22.%22Id_Regi%C3%B3n%22%3D6</v>
      </c>
      <c r="T782" s="68" t="str">
        <f>"100-R-"&amp;Agencia[[#This Row],[Filtro URL]]</f>
        <v>100-R-6</v>
      </c>
      <c r="U782" s="50" t="str">
        <f t="shared" si="1223"/>
        <v>#1774B9</v>
      </c>
      <c r="V782" s="118" t="str">
        <f>+Agencia[[#This Row],[idcoleccion]]&amp;"-"&amp;Agencia[[#This Row],[id]]</f>
        <v>990-0771</v>
      </c>
      <c r="W782" s="118">
        <f>+VLOOKUP(Agencia[[#This Row],[Filtro URL]],Estructura!$X$4:$Y$500,2,0)</f>
        <v>99200006</v>
      </c>
      <c r="X782" s="118" t="str">
        <f>+VLOOKUP(Agencia[[#This Row],[tema]],Estructura!$A$4:$C$500,3,0)</f>
        <v>T-1012</v>
      </c>
      <c r="Y782" s="118" t="str">
        <f>+VLOOKUP(Agencia[[#This Row],[contenido]],Estructura!$E$4:$G$500,3,0)</f>
        <v>C-993</v>
      </c>
      <c r="Z782" s="118" t="str">
        <f>+VLOOKUP(Agencia[[#This Row],[Filtro Integrado]],Estructura!$I$4:$K$500,3,0)</f>
        <v>FI-993</v>
      </c>
      <c r="AA782" s="118" t="str">
        <f>+VLOOKUP(Agencia[[#This Row],[Muestra]],Estructura!$M$4:$O$500,3,0)</f>
        <v>M-1063</v>
      </c>
    </row>
    <row r="783" spans="1:27" ht="57.6" x14ac:dyDescent="0.3">
      <c r="A783" s="21" t="s">
        <v>1375</v>
      </c>
      <c r="B783" s="24">
        <f t="shared" ref="B783:D783" si="1228">+B782</f>
        <v>990</v>
      </c>
      <c r="C783" s="25" t="str">
        <f t="shared" si="1228"/>
        <v>Agencia Información</v>
      </c>
      <c r="D783" s="25" t="str">
        <f t="shared" si="1228"/>
        <v>Economía</v>
      </c>
      <c r="E783" s="19">
        <v>7</v>
      </c>
      <c r="F783" s="18" t="s">
        <v>1590</v>
      </c>
      <c r="G783" s="18" t="s">
        <v>1601</v>
      </c>
      <c r="H783" s="35" t="s">
        <v>16</v>
      </c>
      <c r="I783" s="36" t="s">
        <v>374</v>
      </c>
      <c r="J783" s="9" t="str">
        <f t="shared" ref="J783:N783" si="1229">+J782</f>
        <v>Ninguno</v>
      </c>
      <c r="K783" s="9" t="str">
        <f t="shared" si="1229"/>
        <v>Trabajadores dependientes informados por sexo por región</v>
      </c>
      <c r="L783" s="9" t="str">
        <f t="shared" si="1229"/>
        <v>Periodo 2005-2019</v>
      </c>
      <c r="M783" s="9" t="str">
        <f t="shared" si="1229"/>
        <v>Personas</v>
      </c>
      <c r="N783" s="9" t="str">
        <f t="shared" si="1229"/>
        <v>Servicio de Impuestos Internos (SII)</v>
      </c>
      <c r="O783" s="20" t="str">
        <f>+"Número de trabajadores dependientes por sexo, en el rubro B-Explotación minera y canteras, según año comercial en la "&amp;I783&amp;", "&amp;Agencia[[#This Row],[temporalidad]]</f>
        <v>Número de trabajadores dependientes por sexo, en el rubro B-Explotación minera y canteras, según año comercial en la Región de Maule, Periodo 2005-2019</v>
      </c>
      <c r="P783" s="20"/>
      <c r="Q783" s="11" t="str">
        <f t="shared" si="1222"/>
        <v>Gráfico</v>
      </c>
      <c r="R783" s="20" t="str">
        <f>Agencia[[#This Row],[territorio]]&amp;" personas trabajadores género sexo mujeres hombres proporción explotación canteras mineras sii"</f>
        <v>Región de Maule personas trabajadores género sexo mujeres hombres proporción explotación canteras mineras sii</v>
      </c>
      <c r="S783" s="39" t="str">
        <f>HYPERLINK("https://analytics.zoho.com/open-view/2395394000008438205?ZOHO_CRITERIA=%22Rubros_Todo%22.%22Id_Regi%C3%B3n%22%3D"&amp;Agencia[[#This Row],[Filtro URL]])</f>
        <v>https://analytics.zoho.com/open-view/2395394000008438205?ZOHO_CRITERIA=%22Rubros_Todo%22.%22Id_Regi%C3%B3n%22%3D7</v>
      </c>
      <c r="T783" s="68" t="str">
        <f>"100-R-"&amp;Agencia[[#This Row],[Filtro URL]]</f>
        <v>100-R-7</v>
      </c>
      <c r="U783" s="50" t="str">
        <f t="shared" si="1223"/>
        <v>#1774B9</v>
      </c>
      <c r="V783" s="118" t="str">
        <f>+Agencia[[#This Row],[idcoleccion]]&amp;"-"&amp;Agencia[[#This Row],[id]]</f>
        <v>990-0772</v>
      </c>
      <c r="W783" s="118">
        <f>+VLOOKUP(Agencia[[#This Row],[Filtro URL]],Estructura!$X$4:$Y$500,2,0)</f>
        <v>99200007</v>
      </c>
      <c r="X783" s="118" t="str">
        <f>+VLOOKUP(Agencia[[#This Row],[tema]],Estructura!$A$4:$C$500,3,0)</f>
        <v>T-1012</v>
      </c>
      <c r="Y783" s="118" t="str">
        <f>+VLOOKUP(Agencia[[#This Row],[contenido]],Estructura!$E$4:$G$500,3,0)</f>
        <v>C-993</v>
      </c>
      <c r="Z783" s="118" t="str">
        <f>+VLOOKUP(Agencia[[#This Row],[Filtro Integrado]],Estructura!$I$4:$K$500,3,0)</f>
        <v>FI-993</v>
      </c>
      <c r="AA783" s="118" t="str">
        <f>+VLOOKUP(Agencia[[#This Row],[Muestra]],Estructura!$M$4:$O$500,3,0)</f>
        <v>M-1063</v>
      </c>
    </row>
    <row r="784" spans="1:27" ht="57.6" x14ac:dyDescent="0.3">
      <c r="A784" s="21" t="s">
        <v>1376</v>
      </c>
      <c r="B784" s="24">
        <f t="shared" ref="B784:D784" si="1230">+B783</f>
        <v>990</v>
      </c>
      <c r="C784" s="25" t="str">
        <f t="shared" si="1230"/>
        <v>Agencia Información</v>
      </c>
      <c r="D784" s="25" t="str">
        <f t="shared" si="1230"/>
        <v>Economía</v>
      </c>
      <c r="E784" s="19">
        <v>8</v>
      </c>
      <c r="F784" s="18" t="s">
        <v>1590</v>
      </c>
      <c r="G784" s="18" t="s">
        <v>1601</v>
      </c>
      <c r="H784" s="35" t="s">
        <v>16</v>
      </c>
      <c r="I784" s="36" t="s">
        <v>375</v>
      </c>
      <c r="J784" s="9" t="str">
        <f t="shared" ref="J784:N784" si="1231">+J783</f>
        <v>Ninguno</v>
      </c>
      <c r="K784" s="9" t="str">
        <f t="shared" si="1231"/>
        <v>Trabajadores dependientes informados por sexo por región</v>
      </c>
      <c r="L784" s="9" t="str">
        <f t="shared" si="1231"/>
        <v>Periodo 2005-2019</v>
      </c>
      <c r="M784" s="9" t="str">
        <f t="shared" si="1231"/>
        <v>Personas</v>
      </c>
      <c r="N784" s="9" t="str">
        <f t="shared" si="1231"/>
        <v>Servicio de Impuestos Internos (SII)</v>
      </c>
      <c r="O784" s="20" t="str">
        <f>+"Número de trabajadores dependientes por sexo, en el rubro B-Explotación minera y canteras, según año comercial en la "&amp;I784&amp;", "&amp;Agencia[[#This Row],[temporalidad]]</f>
        <v>Número de trabajadores dependientes por sexo, en el rubro B-Explotación minera y canteras, según año comercial en la Región del Biobío, Periodo 2005-2019</v>
      </c>
      <c r="P784" s="20"/>
      <c r="Q784" s="11" t="str">
        <f t="shared" si="1222"/>
        <v>Gráfico</v>
      </c>
      <c r="R784" s="20" t="str">
        <f>Agencia[[#This Row],[territorio]]&amp;" personas trabajadores género sexo mujeres hombres proporción explotación canteras mineras sii"</f>
        <v>Región del Biobío personas trabajadores género sexo mujeres hombres proporción explotación canteras mineras sii</v>
      </c>
      <c r="S784" s="39" t="str">
        <f>HYPERLINK("https://analytics.zoho.com/open-view/2395394000008438205?ZOHO_CRITERIA=%22Rubros_Todo%22.%22Id_Regi%C3%B3n%22%3D"&amp;Agencia[[#This Row],[Filtro URL]])</f>
        <v>https://analytics.zoho.com/open-view/2395394000008438205?ZOHO_CRITERIA=%22Rubros_Todo%22.%22Id_Regi%C3%B3n%22%3D8</v>
      </c>
      <c r="T784" s="68" t="str">
        <f>"100-R-"&amp;Agencia[[#This Row],[Filtro URL]]</f>
        <v>100-R-8</v>
      </c>
      <c r="U784" s="50" t="str">
        <f t="shared" si="1223"/>
        <v>#1774B9</v>
      </c>
      <c r="V784" s="118" t="str">
        <f>+Agencia[[#This Row],[idcoleccion]]&amp;"-"&amp;Agencia[[#This Row],[id]]</f>
        <v>990-0773</v>
      </c>
      <c r="W784" s="118">
        <f>+VLOOKUP(Agencia[[#This Row],[Filtro URL]],Estructura!$X$4:$Y$500,2,0)</f>
        <v>99200008</v>
      </c>
      <c r="X784" s="118" t="str">
        <f>+VLOOKUP(Agencia[[#This Row],[tema]],Estructura!$A$4:$C$500,3,0)</f>
        <v>T-1012</v>
      </c>
      <c r="Y784" s="118" t="str">
        <f>+VLOOKUP(Agencia[[#This Row],[contenido]],Estructura!$E$4:$G$500,3,0)</f>
        <v>C-993</v>
      </c>
      <c r="Z784" s="118" t="str">
        <f>+VLOOKUP(Agencia[[#This Row],[Filtro Integrado]],Estructura!$I$4:$K$500,3,0)</f>
        <v>FI-993</v>
      </c>
      <c r="AA784" s="118" t="str">
        <f>+VLOOKUP(Agencia[[#This Row],[Muestra]],Estructura!$M$4:$O$500,3,0)</f>
        <v>M-1063</v>
      </c>
    </row>
    <row r="785" spans="1:27" ht="57.6" x14ac:dyDescent="0.3">
      <c r="A785" s="21" t="s">
        <v>1377</v>
      </c>
      <c r="B785" s="24">
        <f t="shared" ref="B785:D785" si="1232">+B784</f>
        <v>990</v>
      </c>
      <c r="C785" s="25" t="str">
        <f t="shared" si="1232"/>
        <v>Agencia Información</v>
      </c>
      <c r="D785" s="25" t="str">
        <f t="shared" si="1232"/>
        <v>Economía</v>
      </c>
      <c r="E785" s="19">
        <v>9</v>
      </c>
      <c r="F785" s="18" t="s">
        <v>1590</v>
      </c>
      <c r="G785" s="18" t="s">
        <v>1601</v>
      </c>
      <c r="H785" s="35" t="s">
        <v>16</v>
      </c>
      <c r="I785" s="36" t="s">
        <v>376</v>
      </c>
      <c r="J785" s="9" t="str">
        <f t="shared" ref="J785:N785" si="1233">+J784</f>
        <v>Ninguno</v>
      </c>
      <c r="K785" s="9" t="str">
        <f t="shared" si="1233"/>
        <v>Trabajadores dependientes informados por sexo por región</v>
      </c>
      <c r="L785" s="9" t="str">
        <f t="shared" si="1233"/>
        <v>Periodo 2005-2019</v>
      </c>
      <c r="M785" s="9" t="str">
        <f t="shared" si="1233"/>
        <v>Personas</v>
      </c>
      <c r="N785" s="9" t="str">
        <f t="shared" si="1233"/>
        <v>Servicio de Impuestos Internos (SII)</v>
      </c>
      <c r="O785" s="20" t="str">
        <f>+"Número de trabajadores dependientes por sexo, en el rubro B-Explotación minera y canteras, según año comercial en la "&amp;I785&amp;", "&amp;Agencia[[#This Row],[temporalidad]]</f>
        <v>Número de trabajadores dependientes por sexo, en el rubro B-Explotación minera y canteras, según año comercial en la Región de La Araucanía, Periodo 2005-2019</v>
      </c>
      <c r="P785" s="20"/>
      <c r="Q785" s="11" t="str">
        <f t="shared" si="1222"/>
        <v>Gráfico</v>
      </c>
      <c r="R785" s="20" t="str">
        <f>Agencia[[#This Row],[territorio]]&amp;" personas trabajadores género sexo mujeres hombres proporción explotación canteras mineras sii"</f>
        <v>Región de La Araucanía personas trabajadores género sexo mujeres hombres proporción explotación canteras mineras sii</v>
      </c>
      <c r="S785" s="39" t="str">
        <f>HYPERLINK("https://analytics.zoho.com/open-view/2395394000008438205?ZOHO_CRITERIA=%22Rubros_Todo%22.%22Id_Regi%C3%B3n%22%3D"&amp;Agencia[[#This Row],[Filtro URL]])</f>
        <v>https://analytics.zoho.com/open-view/2395394000008438205?ZOHO_CRITERIA=%22Rubros_Todo%22.%22Id_Regi%C3%B3n%22%3D9</v>
      </c>
      <c r="T785" s="68" t="str">
        <f>"100-R-"&amp;Agencia[[#This Row],[Filtro URL]]</f>
        <v>100-R-9</v>
      </c>
      <c r="U785" s="50" t="str">
        <f t="shared" si="1223"/>
        <v>#1774B9</v>
      </c>
      <c r="V785" s="118" t="str">
        <f>+Agencia[[#This Row],[idcoleccion]]&amp;"-"&amp;Agencia[[#This Row],[id]]</f>
        <v>990-0774</v>
      </c>
      <c r="W785" s="118">
        <f>+VLOOKUP(Agencia[[#This Row],[Filtro URL]],Estructura!$X$4:$Y$500,2,0)</f>
        <v>99200009</v>
      </c>
      <c r="X785" s="118" t="str">
        <f>+VLOOKUP(Agencia[[#This Row],[tema]],Estructura!$A$4:$C$500,3,0)</f>
        <v>T-1012</v>
      </c>
      <c r="Y785" s="118" t="str">
        <f>+VLOOKUP(Agencia[[#This Row],[contenido]],Estructura!$E$4:$G$500,3,0)</f>
        <v>C-993</v>
      </c>
      <c r="Z785" s="118" t="str">
        <f>+VLOOKUP(Agencia[[#This Row],[Filtro Integrado]],Estructura!$I$4:$K$500,3,0)</f>
        <v>FI-993</v>
      </c>
      <c r="AA785" s="118" t="str">
        <f>+VLOOKUP(Agencia[[#This Row],[Muestra]],Estructura!$M$4:$O$500,3,0)</f>
        <v>M-1063</v>
      </c>
    </row>
    <row r="786" spans="1:27" ht="57.6" x14ac:dyDescent="0.3">
      <c r="A786" s="21" t="s">
        <v>1378</v>
      </c>
      <c r="B786" s="24">
        <f t="shared" ref="B786:D786" si="1234">+B785</f>
        <v>990</v>
      </c>
      <c r="C786" s="25" t="str">
        <f t="shared" si="1234"/>
        <v>Agencia Información</v>
      </c>
      <c r="D786" s="25" t="str">
        <f t="shared" si="1234"/>
        <v>Economía</v>
      </c>
      <c r="E786" s="19">
        <v>10</v>
      </c>
      <c r="F786" s="18" t="s">
        <v>1590</v>
      </c>
      <c r="G786" s="18" t="s">
        <v>1601</v>
      </c>
      <c r="H786" s="35" t="s">
        <v>16</v>
      </c>
      <c r="I786" s="36" t="s">
        <v>377</v>
      </c>
      <c r="J786" s="9" t="str">
        <f t="shared" ref="J786:N786" si="1235">+J785</f>
        <v>Ninguno</v>
      </c>
      <c r="K786" s="9" t="str">
        <f t="shared" si="1235"/>
        <v>Trabajadores dependientes informados por sexo por región</v>
      </c>
      <c r="L786" s="9" t="str">
        <f t="shared" si="1235"/>
        <v>Periodo 2005-2019</v>
      </c>
      <c r="M786" s="9" t="str">
        <f t="shared" si="1235"/>
        <v>Personas</v>
      </c>
      <c r="N786" s="9" t="str">
        <f t="shared" si="1235"/>
        <v>Servicio de Impuestos Internos (SII)</v>
      </c>
      <c r="O786" s="20" t="str">
        <f>+"Número de trabajadores dependientes por sexo, en el rubro B-Explotación minera y canteras, según año comercial en la "&amp;I786&amp;", "&amp;Agencia[[#This Row],[temporalidad]]</f>
        <v>Número de trabajadores dependientes por sexo, en el rubro B-Explotación minera y canteras, según año comercial en la Región de Los Lagos, Periodo 2005-2019</v>
      </c>
      <c r="P786" s="20"/>
      <c r="Q786" s="11" t="str">
        <f t="shared" si="1222"/>
        <v>Gráfico</v>
      </c>
      <c r="R786" s="20" t="str">
        <f>Agencia[[#This Row],[territorio]]&amp;" personas trabajadores género sexo mujeres hombres proporción explotación canteras mineras sii"</f>
        <v>Región de Los Lagos personas trabajadores género sexo mujeres hombres proporción explotación canteras mineras sii</v>
      </c>
      <c r="S786" s="39" t="str">
        <f>HYPERLINK("https://analytics.zoho.com/open-view/2395394000008438205?ZOHO_CRITERIA=%22Rubros_Todo%22.%22Id_Regi%C3%B3n%22%3D"&amp;Agencia[[#This Row],[Filtro URL]])</f>
        <v>https://analytics.zoho.com/open-view/2395394000008438205?ZOHO_CRITERIA=%22Rubros_Todo%22.%22Id_Regi%C3%B3n%22%3D10</v>
      </c>
      <c r="T786" s="68" t="str">
        <f>"100-R-"&amp;Agencia[[#This Row],[Filtro URL]]</f>
        <v>100-R-10</v>
      </c>
      <c r="U786" s="50" t="str">
        <f t="shared" si="1223"/>
        <v>#1774B9</v>
      </c>
      <c r="V786" s="118" t="str">
        <f>+Agencia[[#This Row],[idcoleccion]]&amp;"-"&amp;Agencia[[#This Row],[id]]</f>
        <v>990-0775</v>
      </c>
      <c r="W786" s="118">
        <f>+VLOOKUP(Agencia[[#This Row],[Filtro URL]],Estructura!$X$4:$Y$500,2,0)</f>
        <v>99200010</v>
      </c>
      <c r="X786" s="118" t="str">
        <f>+VLOOKUP(Agencia[[#This Row],[tema]],Estructura!$A$4:$C$500,3,0)</f>
        <v>T-1012</v>
      </c>
      <c r="Y786" s="118" t="str">
        <f>+VLOOKUP(Agencia[[#This Row],[contenido]],Estructura!$E$4:$G$500,3,0)</f>
        <v>C-993</v>
      </c>
      <c r="Z786" s="118" t="str">
        <f>+VLOOKUP(Agencia[[#This Row],[Filtro Integrado]],Estructura!$I$4:$K$500,3,0)</f>
        <v>FI-993</v>
      </c>
      <c r="AA786" s="118" t="str">
        <f>+VLOOKUP(Agencia[[#This Row],[Muestra]],Estructura!$M$4:$O$500,3,0)</f>
        <v>M-1063</v>
      </c>
    </row>
    <row r="787" spans="1:27" ht="57.6" x14ac:dyDescent="0.3">
      <c r="A787" s="21" t="s">
        <v>1379</v>
      </c>
      <c r="B787" s="24">
        <f t="shared" ref="B787:D787" si="1236">+B786</f>
        <v>990</v>
      </c>
      <c r="C787" s="25" t="str">
        <f t="shared" si="1236"/>
        <v>Agencia Información</v>
      </c>
      <c r="D787" s="25" t="str">
        <f t="shared" si="1236"/>
        <v>Economía</v>
      </c>
      <c r="E787" s="19">
        <v>11</v>
      </c>
      <c r="F787" s="18" t="s">
        <v>1590</v>
      </c>
      <c r="G787" s="18" t="s">
        <v>1601</v>
      </c>
      <c r="H787" s="35" t="s">
        <v>16</v>
      </c>
      <c r="I787" s="36" t="s">
        <v>378</v>
      </c>
      <c r="J787" s="9" t="str">
        <f t="shared" ref="J787:N787" si="1237">+J786</f>
        <v>Ninguno</v>
      </c>
      <c r="K787" s="9" t="str">
        <f t="shared" si="1237"/>
        <v>Trabajadores dependientes informados por sexo por región</v>
      </c>
      <c r="L787" s="9" t="str">
        <f t="shared" si="1237"/>
        <v>Periodo 2005-2019</v>
      </c>
      <c r="M787" s="9" t="str">
        <f t="shared" si="1237"/>
        <v>Personas</v>
      </c>
      <c r="N787" s="9" t="str">
        <f t="shared" si="1237"/>
        <v>Servicio de Impuestos Internos (SII)</v>
      </c>
      <c r="O787" s="20" t="str">
        <f>+"Número de trabajadores dependientes por sexo, en el rubro B-Explotación minera y canteras, según año comercial en la "&amp;I787&amp;", "&amp;Agencia[[#This Row],[temporalidad]]</f>
        <v>Número de trabajadores dependientes por sexo, en el rubro B-Explotación minera y canteras, según año comercial en la Región de Aysén, Periodo 2005-2019</v>
      </c>
      <c r="P787" s="20"/>
      <c r="Q787" s="11" t="str">
        <f t="shared" si="1222"/>
        <v>Gráfico</v>
      </c>
      <c r="R787" s="20" t="str">
        <f>Agencia[[#This Row],[territorio]]&amp;" personas trabajadores género sexo mujeres hombres proporción explotación canteras mineras sii"</f>
        <v>Región de Aysén personas trabajadores género sexo mujeres hombres proporción explotación canteras mineras sii</v>
      </c>
      <c r="S787" s="39" t="str">
        <f>HYPERLINK("https://analytics.zoho.com/open-view/2395394000008438205?ZOHO_CRITERIA=%22Rubros_Todo%22.%22Id_Regi%C3%B3n%22%3D"&amp;Agencia[[#This Row],[Filtro URL]])</f>
        <v>https://analytics.zoho.com/open-view/2395394000008438205?ZOHO_CRITERIA=%22Rubros_Todo%22.%22Id_Regi%C3%B3n%22%3D11</v>
      </c>
      <c r="T787" s="68" t="str">
        <f>"100-R-"&amp;Agencia[[#This Row],[Filtro URL]]</f>
        <v>100-R-11</v>
      </c>
      <c r="U787" s="50" t="str">
        <f t="shared" si="1223"/>
        <v>#1774B9</v>
      </c>
      <c r="V787" s="118" t="str">
        <f>+Agencia[[#This Row],[idcoleccion]]&amp;"-"&amp;Agencia[[#This Row],[id]]</f>
        <v>990-0776</v>
      </c>
      <c r="W787" s="118">
        <f>+VLOOKUP(Agencia[[#This Row],[Filtro URL]],Estructura!$X$4:$Y$500,2,0)</f>
        <v>99200011</v>
      </c>
      <c r="X787" s="118" t="str">
        <f>+VLOOKUP(Agencia[[#This Row],[tema]],Estructura!$A$4:$C$500,3,0)</f>
        <v>T-1012</v>
      </c>
      <c r="Y787" s="118" t="str">
        <f>+VLOOKUP(Agencia[[#This Row],[contenido]],Estructura!$E$4:$G$500,3,0)</f>
        <v>C-993</v>
      </c>
      <c r="Z787" s="118" t="str">
        <f>+VLOOKUP(Agencia[[#This Row],[Filtro Integrado]],Estructura!$I$4:$K$500,3,0)</f>
        <v>FI-993</v>
      </c>
      <c r="AA787" s="118" t="str">
        <f>+VLOOKUP(Agencia[[#This Row],[Muestra]],Estructura!$M$4:$O$500,3,0)</f>
        <v>M-1063</v>
      </c>
    </row>
    <row r="788" spans="1:27" ht="57.6" x14ac:dyDescent="0.3">
      <c r="A788" s="21" t="s">
        <v>1380</v>
      </c>
      <c r="B788" s="24">
        <f t="shared" ref="B788:D788" si="1238">+B787</f>
        <v>990</v>
      </c>
      <c r="C788" s="25" t="str">
        <f t="shared" si="1238"/>
        <v>Agencia Información</v>
      </c>
      <c r="D788" s="25" t="str">
        <f t="shared" si="1238"/>
        <v>Economía</v>
      </c>
      <c r="E788" s="19">
        <v>12</v>
      </c>
      <c r="F788" s="18" t="s">
        <v>1590</v>
      </c>
      <c r="G788" s="18" t="s">
        <v>1601</v>
      </c>
      <c r="H788" s="35" t="s">
        <v>16</v>
      </c>
      <c r="I788" s="36" t="s">
        <v>379</v>
      </c>
      <c r="J788" s="9" t="str">
        <f t="shared" ref="J788:N788" si="1239">+J787</f>
        <v>Ninguno</v>
      </c>
      <c r="K788" s="9" t="str">
        <f t="shared" si="1239"/>
        <v>Trabajadores dependientes informados por sexo por región</v>
      </c>
      <c r="L788" s="9" t="str">
        <f t="shared" si="1239"/>
        <v>Periodo 2005-2019</v>
      </c>
      <c r="M788" s="9" t="str">
        <f t="shared" si="1239"/>
        <v>Personas</v>
      </c>
      <c r="N788" s="9" t="str">
        <f t="shared" si="1239"/>
        <v>Servicio de Impuestos Internos (SII)</v>
      </c>
      <c r="O788" s="20" t="str">
        <f>+"Número de trabajadores dependientes por sexo, en el rubro B-Explotación minera y canteras, según año comercial en la "&amp;I788&amp;", "&amp;Agencia[[#This Row],[temporalidad]]</f>
        <v>Número de trabajadores dependientes por sexo, en el rubro B-Explotación minera y canteras, según año comercial en la Región de Magallanes, Periodo 2005-2019</v>
      </c>
      <c r="P788" s="20" t="s">
        <v>1628</v>
      </c>
      <c r="Q788" s="11" t="str">
        <f t="shared" si="1222"/>
        <v>Gráfico</v>
      </c>
      <c r="R788" s="20" t="str">
        <f>Agencia[[#This Row],[territorio]]&amp;" personas trabajadores género sexo mujeres hombres proporción explotación canteras mineras sii"</f>
        <v>Región de Magallanes personas trabajadores género sexo mujeres hombres proporción explotación canteras mineras sii</v>
      </c>
      <c r="S788" s="39" t="str">
        <f>HYPERLINK("https://analytics.zoho.com/open-view/2395394000008438205?ZOHO_CRITERIA=%22Rubros_Todo%22.%22Id_Regi%C3%B3n%22%3D"&amp;Agencia[[#This Row],[Filtro URL]])</f>
        <v>https://analytics.zoho.com/open-view/2395394000008438205?ZOHO_CRITERIA=%22Rubros_Todo%22.%22Id_Regi%C3%B3n%22%3D12</v>
      </c>
      <c r="T788" s="68" t="str">
        <f>"100-R-"&amp;Agencia[[#This Row],[Filtro URL]]</f>
        <v>100-R-12</v>
      </c>
      <c r="U788" s="50" t="str">
        <f t="shared" si="1223"/>
        <v>#1774B9</v>
      </c>
      <c r="V788" s="118" t="str">
        <f>+Agencia[[#This Row],[idcoleccion]]&amp;"-"&amp;Agencia[[#This Row],[id]]</f>
        <v>990-0777</v>
      </c>
      <c r="W788" s="118">
        <f>+VLOOKUP(Agencia[[#This Row],[Filtro URL]],Estructura!$X$4:$Y$500,2,0)</f>
        <v>99200012</v>
      </c>
      <c r="X788" s="118" t="str">
        <f>+VLOOKUP(Agencia[[#This Row],[tema]],Estructura!$A$4:$C$500,3,0)</f>
        <v>T-1012</v>
      </c>
      <c r="Y788" s="118" t="str">
        <f>+VLOOKUP(Agencia[[#This Row],[contenido]],Estructura!$E$4:$G$500,3,0)</f>
        <v>C-993</v>
      </c>
      <c r="Z788" s="118" t="str">
        <f>+VLOOKUP(Agencia[[#This Row],[Filtro Integrado]],Estructura!$I$4:$K$500,3,0)</f>
        <v>FI-993</v>
      </c>
      <c r="AA788" s="118" t="str">
        <f>+VLOOKUP(Agencia[[#This Row],[Muestra]],Estructura!$M$4:$O$500,3,0)</f>
        <v>M-1063</v>
      </c>
    </row>
    <row r="789" spans="1:27" ht="57.6" x14ac:dyDescent="0.3">
      <c r="A789" s="21" t="s">
        <v>1381</v>
      </c>
      <c r="B789" s="24">
        <f t="shared" ref="B789:D789" si="1240">+B788</f>
        <v>990</v>
      </c>
      <c r="C789" s="25" t="str">
        <f t="shared" si="1240"/>
        <v>Agencia Información</v>
      </c>
      <c r="D789" s="25" t="str">
        <f t="shared" si="1240"/>
        <v>Economía</v>
      </c>
      <c r="E789" s="19">
        <v>13</v>
      </c>
      <c r="F789" s="18" t="s">
        <v>1590</v>
      </c>
      <c r="G789" s="18" t="s">
        <v>1601</v>
      </c>
      <c r="H789" s="35" t="s">
        <v>16</v>
      </c>
      <c r="I789" s="36" t="s">
        <v>380</v>
      </c>
      <c r="J789" s="9" t="str">
        <f t="shared" ref="J789:N789" si="1241">+J788</f>
        <v>Ninguno</v>
      </c>
      <c r="K789" s="9" t="str">
        <f t="shared" si="1241"/>
        <v>Trabajadores dependientes informados por sexo por región</v>
      </c>
      <c r="L789" s="9" t="str">
        <f t="shared" si="1241"/>
        <v>Periodo 2005-2019</v>
      </c>
      <c r="M789" s="9" t="str">
        <f t="shared" si="1241"/>
        <v>Personas</v>
      </c>
      <c r="N789" s="9" t="str">
        <f t="shared" si="1241"/>
        <v>Servicio de Impuestos Internos (SII)</v>
      </c>
      <c r="O789" s="20" t="str">
        <f>+"Número de trabajadores dependientes por sexo, en el rubro B-Explotación minera y canteras, según año comercial en la "&amp;I789&amp;", "&amp;Agencia[[#This Row],[temporalidad]]</f>
        <v>Número de trabajadores dependientes por sexo, en el rubro B-Explotación minera y canteras, según año comercial en la Región Metropolitana, Periodo 2005-2019</v>
      </c>
      <c r="P789" s="20"/>
      <c r="Q789" s="11" t="str">
        <f t="shared" si="1222"/>
        <v>Gráfico</v>
      </c>
      <c r="R789" s="20" t="str">
        <f>Agencia[[#This Row],[territorio]]&amp;" personas trabajadores género sexo mujeres hombres proporción explotación canteras mineras sii"</f>
        <v>Región Metropolitana personas trabajadores género sexo mujeres hombres proporción explotación canteras mineras sii</v>
      </c>
      <c r="S789" s="39" t="str">
        <f>HYPERLINK("https://analytics.zoho.com/open-view/2395394000008438205?ZOHO_CRITERIA=%22Rubros_Todo%22.%22Id_Regi%C3%B3n%22%3D"&amp;Agencia[[#This Row],[Filtro URL]])</f>
        <v>https://analytics.zoho.com/open-view/2395394000008438205?ZOHO_CRITERIA=%22Rubros_Todo%22.%22Id_Regi%C3%B3n%22%3D13</v>
      </c>
      <c r="T789" s="68" t="str">
        <f>"200-R-"&amp;Agencia[[#This Row],[Filtro URL]]</f>
        <v>200-R-13</v>
      </c>
      <c r="U789" s="50" t="str">
        <f t="shared" si="1223"/>
        <v>#1774B9</v>
      </c>
      <c r="V789" s="118" t="str">
        <f>+Agencia[[#This Row],[idcoleccion]]&amp;"-"&amp;Agencia[[#This Row],[id]]</f>
        <v>990-0778</v>
      </c>
      <c r="W789" s="118">
        <f>+VLOOKUP(Agencia[[#This Row],[Filtro URL]],Estructura!$X$4:$Y$500,2,0)</f>
        <v>99200013</v>
      </c>
      <c r="X789" s="118" t="str">
        <f>+VLOOKUP(Agencia[[#This Row],[tema]],Estructura!$A$4:$C$500,3,0)</f>
        <v>T-1012</v>
      </c>
      <c r="Y789" s="118" t="str">
        <f>+VLOOKUP(Agencia[[#This Row],[contenido]],Estructura!$E$4:$G$500,3,0)</f>
        <v>C-993</v>
      </c>
      <c r="Z789" s="118" t="str">
        <f>+VLOOKUP(Agencia[[#This Row],[Filtro Integrado]],Estructura!$I$4:$K$500,3,0)</f>
        <v>FI-993</v>
      </c>
      <c r="AA789" s="118" t="str">
        <f>+VLOOKUP(Agencia[[#This Row],[Muestra]],Estructura!$M$4:$O$500,3,0)</f>
        <v>M-1063</v>
      </c>
    </row>
    <row r="790" spans="1:27" ht="57.6" x14ac:dyDescent="0.3">
      <c r="A790" s="21" t="s">
        <v>1382</v>
      </c>
      <c r="B790" s="24">
        <f t="shared" ref="B790:D790" si="1242">+B789</f>
        <v>990</v>
      </c>
      <c r="C790" s="25" t="str">
        <f t="shared" si="1242"/>
        <v>Agencia Información</v>
      </c>
      <c r="D790" s="25" t="str">
        <f t="shared" si="1242"/>
        <v>Economía</v>
      </c>
      <c r="E790" s="19">
        <v>14</v>
      </c>
      <c r="F790" s="18" t="s">
        <v>1590</v>
      </c>
      <c r="G790" s="18" t="s">
        <v>1601</v>
      </c>
      <c r="H790" s="35" t="s">
        <v>16</v>
      </c>
      <c r="I790" s="36" t="s">
        <v>381</v>
      </c>
      <c r="J790" s="9" t="str">
        <f t="shared" ref="J790:N790" si="1243">+J789</f>
        <v>Ninguno</v>
      </c>
      <c r="K790" s="9" t="str">
        <f t="shared" si="1243"/>
        <v>Trabajadores dependientes informados por sexo por región</v>
      </c>
      <c r="L790" s="9" t="str">
        <f t="shared" si="1243"/>
        <v>Periodo 2005-2019</v>
      </c>
      <c r="M790" s="9" t="str">
        <f t="shared" si="1243"/>
        <v>Personas</v>
      </c>
      <c r="N790" s="9" t="str">
        <f t="shared" si="1243"/>
        <v>Servicio de Impuestos Internos (SII)</v>
      </c>
      <c r="O790" s="20" t="str">
        <f>+"Número de trabajadores dependientes por sexo, en el rubro B-Explotación minera y canteras, según año comercial en la "&amp;I790&amp;", "&amp;Agencia[[#This Row],[temporalidad]]</f>
        <v>Número de trabajadores dependientes por sexo, en el rubro B-Explotación minera y canteras, según año comercial en la Región de Los Ríos, Periodo 2005-2019</v>
      </c>
      <c r="P790" s="20"/>
      <c r="Q790" s="11" t="str">
        <f t="shared" si="1222"/>
        <v>Gráfico</v>
      </c>
      <c r="R790" s="20" t="str">
        <f>Agencia[[#This Row],[territorio]]&amp;" personas trabajadores género sexo mujeres hombres proporción explotación canteras mineras sii"</f>
        <v>Región de Los Ríos personas trabajadores género sexo mujeres hombres proporción explotación canteras mineras sii</v>
      </c>
      <c r="S790" s="39" t="str">
        <f>HYPERLINK("https://analytics.zoho.com/open-view/2395394000008438205?ZOHO_CRITERIA=%22Rubros_Todo%22.%22Id_Regi%C3%B3n%22%3D"&amp;Agencia[[#This Row],[Filtro URL]])</f>
        <v>https://analytics.zoho.com/open-view/2395394000008438205?ZOHO_CRITERIA=%22Rubros_Todo%22.%22Id_Regi%C3%B3n%22%3D14</v>
      </c>
      <c r="T790" s="68" t="str">
        <f>"100-R-"&amp;Agencia[[#This Row],[Filtro URL]]</f>
        <v>100-R-14</v>
      </c>
      <c r="U790" s="50" t="str">
        <f t="shared" si="1223"/>
        <v>#1774B9</v>
      </c>
      <c r="V790" s="118" t="str">
        <f>+Agencia[[#This Row],[idcoleccion]]&amp;"-"&amp;Agencia[[#This Row],[id]]</f>
        <v>990-0779</v>
      </c>
      <c r="W790" s="118">
        <f>+VLOOKUP(Agencia[[#This Row],[Filtro URL]],Estructura!$X$4:$Y$500,2,0)</f>
        <v>99200014</v>
      </c>
      <c r="X790" s="118" t="str">
        <f>+VLOOKUP(Agencia[[#This Row],[tema]],Estructura!$A$4:$C$500,3,0)</f>
        <v>T-1012</v>
      </c>
      <c r="Y790" s="118" t="str">
        <f>+VLOOKUP(Agencia[[#This Row],[contenido]],Estructura!$E$4:$G$500,3,0)</f>
        <v>C-993</v>
      </c>
      <c r="Z790" s="118" t="str">
        <f>+VLOOKUP(Agencia[[#This Row],[Filtro Integrado]],Estructura!$I$4:$K$500,3,0)</f>
        <v>FI-993</v>
      </c>
      <c r="AA790" s="118" t="str">
        <f>+VLOOKUP(Agencia[[#This Row],[Muestra]],Estructura!$M$4:$O$500,3,0)</f>
        <v>M-1063</v>
      </c>
    </row>
    <row r="791" spans="1:27" ht="57.6" x14ac:dyDescent="0.3">
      <c r="A791" s="21" t="s">
        <v>1383</v>
      </c>
      <c r="B791" s="24">
        <f t="shared" ref="B791:D791" si="1244">+B790</f>
        <v>990</v>
      </c>
      <c r="C791" s="25" t="str">
        <f t="shared" si="1244"/>
        <v>Agencia Información</v>
      </c>
      <c r="D791" s="25" t="str">
        <f t="shared" si="1244"/>
        <v>Economía</v>
      </c>
      <c r="E791" s="19">
        <v>15</v>
      </c>
      <c r="F791" s="18" t="s">
        <v>1590</v>
      </c>
      <c r="G791" s="18" t="s">
        <v>1601</v>
      </c>
      <c r="H791" s="35" t="s">
        <v>16</v>
      </c>
      <c r="I791" s="36" t="s">
        <v>382</v>
      </c>
      <c r="J791" s="9" t="str">
        <f t="shared" ref="J791:N791" si="1245">+J790</f>
        <v>Ninguno</v>
      </c>
      <c r="K791" s="9" t="str">
        <f t="shared" si="1245"/>
        <v>Trabajadores dependientes informados por sexo por región</v>
      </c>
      <c r="L791" s="9" t="str">
        <f t="shared" si="1245"/>
        <v>Periodo 2005-2019</v>
      </c>
      <c r="M791" s="9" t="str">
        <f t="shared" si="1245"/>
        <v>Personas</v>
      </c>
      <c r="N791" s="9" t="str">
        <f t="shared" si="1245"/>
        <v>Servicio de Impuestos Internos (SII)</v>
      </c>
      <c r="O791" s="20" t="str">
        <f>+"Número de trabajadores dependientes por sexo, en el rubro B-Explotación minera y canteras, según año comercial en la "&amp;I791&amp;", "&amp;Agencia[[#This Row],[temporalidad]]</f>
        <v>Número de trabajadores dependientes por sexo, en el rubro B-Explotación minera y canteras, según año comercial en la Región de Arica y Parinacota, Periodo 2005-2019</v>
      </c>
      <c r="P791" s="20"/>
      <c r="Q791" s="11" t="str">
        <f t="shared" si="1222"/>
        <v>Gráfico</v>
      </c>
      <c r="R791" s="20" t="str">
        <f>Agencia[[#This Row],[territorio]]&amp;" personas trabajadores género sexo mujeres hombres proporción explotación canteras mineras sii"</f>
        <v>Región de Arica y Parinacota personas trabajadores género sexo mujeres hombres proporción explotación canteras mineras sii</v>
      </c>
      <c r="S791" s="39" t="str">
        <f>HYPERLINK("https://analytics.zoho.com/open-view/2395394000008438205?ZOHO_CRITERIA=%22Rubros_Todo%22.%22Id_Regi%C3%B3n%22%3D"&amp;Agencia[[#This Row],[Filtro URL]])</f>
        <v>https://analytics.zoho.com/open-view/2395394000008438205?ZOHO_CRITERIA=%22Rubros_Todo%22.%22Id_Regi%C3%B3n%22%3D15</v>
      </c>
      <c r="T791" s="68" t="str">
        <f>"100-R-"&amp;Agencia[[#This Row],[Filtro URL]]</f>
        <v>100-R-15</v>
      </c>
      <c r="U791" s="50" t="str">
        <f t="shared" si="1223"/>
        <v>#1774B9</v>
      </c>
      <c r="V791" s="118" t="str">
        <f>+Agencia[[#This Row],[idcoleccion]]&amp;"-"&amp;Agencia[[#This Row],[id]]</f>
        <v>990-0780</v>
      </c>
      <c r="W791" s="118">
        <f>+VLOOKUP(Agencia[[#This Row],[Filtro URL]],Estructura!$X$4:$Y$500,2,0)</f>
        <v>99200015</v>
      </c>
      <c r="X791" s="118" t="str">
        <f>+VLOOKUP(Agencia[[#This Row],[tema]],Estructura!$A$4:$C$500,3,0)</f>
        <v>T-1012</v>
      </c>
      <c r="Y791" s="118" t="str">
        <f>+VLOOKUP(Agencia[[#This Row],[contenido]],Estructura!$E$4:$G$500,3,0)</f>
        <v>C-993</v>
      </c>
      <c r="Z791" s="118" t="str">
        <f>+VLOOKUP(Agencia[[#This Row],[Filtro Integrado]],Estructura!$I$4:$K$500,3,0)</f>
        <v>FI-993</v>
      </c>
      <c r="AA791" s="118" t="str">
        <f>+VLOOKUP(Agencia[[#This Row],[Muestra]],Estructura!$M$4:$O$500,3,0)</f>
        <v>M-1063</v>
      </c>
    </row>
    <row r="792" spans="1:27" ht="57.6" x14ac:dyDescent="0.3">
      <c r="A792" s="21" t="s">
        <v>1384</v>
      </c>
      <c r="B792" s="24">
        <f t="shared" ref="B792:D792" si="1246">+B791</f>
        <v>990</v>
      </c>
      <c r="C792" s="25" t="str">
        <f t="shared" si="1246"/>
        <v>Agencia Información</v>
      </c>
      <c r="D792" s="25" t="str">
        <f t="shared" si="1246"/>
        <v>Economía</v>
      </c>
      <c r="E792" s="19">
        <v>16</v>
      </c>
      <c r="F792" s="18" t="s">
        <v>1590</v>
      </c>
      <c r="G792" s="18" t="s">
        <v>1601</v>
      </c>
      <c r="H792" s="35" t="s">
        <v>16</v>
      </c>
      <c r="I792" s="36" t="s">
        <v>383</v>
      </c>
      <c r="J792" s="9" t="str">
        <f t="shared" ref="J792:N792" si="1247">+J791</f>
        <v>Ninguno</v>
      </c>
      <c r="K792" s="9" t="str">
        <f t="shared" si="1247"/>
        <v>Trabajadores dependientes informados por sexo por región</v>
      </c>
      <c r="L792" s="9" t="str">
        <f t="shared" si="1247"/>
        <v>Periodo 2005-2019</v>
      </c>
      <c r="M792" s="9" t="str">
        <f t="shared" si="1247"/>
        <v>Personas</v>
      </c>
      <c r="N792" s="9" t="str">
        <f t="shared" si="1247"/>
        <v>Servicio de Impuestos Internos (SII)</v>
      </c>
      <c r="O792" s="20" t="str">
        <f>+"Número de trabajadores dependientes por sexo, en el rubro B-Explotación minera y canteras, según año comercial en la "&amp;I792&amp;", "&amp;Agencia[[#This Row],[temporalidad]]</f>
        <v>Número de trabajadores dependientes por sexo, en el rubro B-Explotación minera y canteras, según año comercial en la Región de Ñuble, Periodo 2005-2019</v>
      </c>
      <c r="P792" s="20"/>
      <c r="Q792" s="11" t="str">
        <f t="shared" si="1222"/>
        <v>Gráfico</v>
      </c>
      <c r="R792" s="20" t="str">
        <f>Agencia[[#This Row],[territorio]]&amp;" personas trabajadores género sexo mujeres hombres proporción explotación canteras mineras sii"</f>
        <v>Región de Ñuble personas trabajadores género sexo mujeres hombres proporción explotación canteras mineras sii</v>
      </c>
      <c r="S792" s="39" t="str">
        <f>HYPERLINK("https://analytics.zoho.com/open-view/2395394000008438205?ZOHO_CRITERIA=%22Rubros_Todo%22.%22Id_Regi%C3%B3n%22%3D"&amp;Agencia[[#This Row],[Filtro URL]])</f>
        <v>https://analytics.zoho.com/open-view/2395394000008438205?ZOHO_CRITERIA=%22Rubros_Todo%22.%22Id_Regi%C3%B3n%22%3D16</v>
      </c>
      <c r="T792" s="68" t="str">
        <f>"100-R-"&amp;Agencia[[#This Row],[Filtro URL]]</f>
        <v>100-R-16</v>
      </c>
      <c r="U792" s="50" t="str">
        <f t="shared" si="1223"/>
        <v>#1774B9</v>
      </c>
      <c r="V792" s="118" t="str">
        <f>+Agencia[[#This Row],[idcoleccion]]&amp;"-"&amp;Agencia[[#This Row],[id]]</f>
        <v>990-0781</v>
      </c>
      <c r="W792" s="118">
        <f>+VLOOKUP(Agencia[[#This Row],[Filtro URL]],Estructura!$X$4:$Y$500,2,0)</f>
        <v>99200016</v>
      </c>
      <c r="X792" s="118" t="str">
        <f>+VLOOKUP(Agencia[[#This Row],[tema]],Estructura!$A$4:$C$500,3,0)</f>
        <v>T-1012</v>
      </c>
      <c r="Y792" s="118" t="str">
        <f>+VLOOKUP(Agencia[[#This Row],[contenido]],Estructura!$E$4:$G$500,3,0)</f>
        <v>C-993</v>
      </c>
      <c r="Z792" s="118" t="str">
        <f>+VLOOKUP(Agencia[[#This Row],[Filtro Integrado]],Estructura!$I$4:$K$500,3,0)</f>
        <v>FI-993</v>
      </c>
      <c r="AA792" s="118" t="str">
        <f>+VLOOKUP(Agencia[[#This Row],[Muestra]],Estructura!$M$4:$O$500,3,0)</f>
        <v>M-1063</v>
      </c>
    </row>
    <row r="793" spans="1:27" ht="40.799999999999997" x14ac:dyDescent="0.3">
      <c r="A793" s="21" t="s">
        <v>1385</v>
      </c>
      <c r="B793" s="24">
        <f t="shared" ref="B793:C793" si="1248">+B792</f>
        <v>990</v>
      </c>
      <c r="C793" s="25" t="str">
        <f t="shared" si="1248"/>
        <v>Agencia Información</v>
      </c>
      <c r="D793" s="25" t="s">
        <v>881</v>
      </c>
      <c r="E793" s="14">
        <v>0</v>
      </c>
      <c r="F793" s="18" t="s">
        <v>883</v>
      </c>
      <c r="G793" s="18" t="s">
        <v>1601</v>
      </c>
      <c r="H793" s="33" t="s">
        <v>20</v>
      </c>
      <c r="I793" s="34" t="s">
        <v>15</v>
      </c>
      <c r="J793" s="9" t="s">
        <v>404</v>
      </c>
      <c r="K793" s="9" t="s">
        <v>1632</v>
      </c>
      <c r="L793" s="9" t="s">
        <v>1489</v>
      </c>
      <c r="M793" s="9" t="s">
        <v>880</v>
      </c>
      <c r="N793" s="9" t="s">
        <v>885</v>
      </c>
      <c r="O793" s="20" t="str">
        <f>+"Evolución de las Ventas Anuales en UF para el rubro L-Actividades Inmobiliarias en "&amp;I793&amp;", "&amp;Agencia[[#This Row],[temporalidad]]</f>
        <v>Evolución de las Ventas Anuales en UF para el rubro L-Actividades Inmobiliarias en Chile, Periodo 2005-2019</v>
      </c>
      <c r="P793" s="20" t="s">
        <v>1631</v>
      </c>
      <c r="Q793" s="11" t="s">
        <v>821</v>
      </c>
      <c r="R793" s="20" t="str">
        <f>Agencia[[#This Row],[territorio]]&amp;" evolución anual ventas uf unidad fomento rubro actividades inmobiliarias nivel nacional"</f>
        <v>Chile evolución anual ventas uf unidad fomento rubro actividades inmobiliarias nivel nacional</v>
      </c>
      <c r="S793" s="22" t="s">
        <v>1633</v>
      </c>
      <c r="T793" s="68">
        <v>0</v>
      </c>
      <c r="U793" s="50" t="str">
        <f t="shared" si="1223"/>
        <v>#1774B9</v>
      </c>
      <c r="V793" s="118" t="str">
        <f>+Agencia[[#This Row],[idcoleccion]]&amp;"-"&amp;Agencia[[#This Row],[id]]</f>
        <v>990-0782</v>
      </c>
      <c r="W793" s="118">
        <f>+VLOOKUP(Agencia[[#This Row],[Filtro URL]],Estructura!$X$4:$Y$500,2,0)</f>
        <v>99100000</v>
      </c>
      <c r="X793" s="118" t="str">
        <f>+VLOOKUP(Agencia[[#This Row],[tema]],Estructura!$A$4:$C$500,3,0)</f>
        <v>T-998</v>
      </c>
      <c r="Y793" s="118" t="str">
        <f>+VLOOKUP(Agencia[[#This Row],[contenido]],Estructura!$E$4:$G$500,3,0)</f>
        <v>C-993</v>
      </c>
      <c r="Z793" s="118" t="str">
        <f>+VLOOKUP(Agencia[[#This Row],[Filtro Integrado]],Estructura!$I$4:$K$500,3,0)</f>
        <v>FI-993</v>
      </c>
      <c r="AA793" s="118" t="str">
        <f>+VLOOKUP(Agencia[[#This Row],[Muestra]],Estructura!$M$4:$O$500,3,0)</f>
        <v>M-1064</v>
      </c>
    </row>
    <row r="794" spans="1:27" ht="51" x14ac:dyDescent="0.3">
      <c r="A794" s="21" t="s">
        <v>1386</v>
      </c>
      <c r="B794" s="24">
        <f t="shared" ref="B794:C794" si="1249">+B793</f>
        <v>990</v>
      </c>
      <c r="C794" s="25" t="str">
        <f t="shared" si="1249"/>
        <v>Agencia Información</v>
      </c>
      <c r="D794" s="25" t="s">
        <v>462</v>
      </c>
      <c r="E794" s="14">
        <v>0</v>
      </c>
      <c r="F794" s="18" t="s">
        <v>1018</v>
      </c>
      <c r="G794" s="18" t="s">
        <v>3783</v>
      </c>
      <c r="H794" s="33" t="s">
        <v>20</v>
      </c>
      <c r="I794" s="34" t="s">
        <v>15</v>
      </c>
      <c r="J794" s="9" t="s">
        <v>5301</v>
      </c>
      <c r="K794" s="9" t="s">
        <v>1636</v>
      </c>
      <c r="L794" s="9" t="s">
        <v>1016</v>
      </c>
      <c r="M794" s="9" t="s">
        <v>592</v>
      </c>
      <c r="N794" s="9" t="s">
        <v>910</v>
      </c>
      <c r="O794" s="20" t="str">
        <f>+"Evolución Casos de Cáncer de Cuello Uterino por Comuna en "&amp;I794&amp;", "&amp;Agencia[[#This Row],[temporalidad]]</f>
        <v>Evolución Casos de Cáncer de Cuello Uterino por Comuna en Chile, Periodo 2011-2018</v>
      </c>
      <c r="P794" s="20" t="s">
        <v>1634</v>
      </c>
      <c r="Q794" s="11" t="s">
        <v>821</v>
      </c>
      <c r="R794" s="20" t="str">
        <f>Agencia[[#This Row],[territorio]]&amp;" salud cáncer cérvico uterino cuello útero casos tumor servicio nacional programa"</f>
        <v>Chile salud cáncer cérvico uterino cuello útero casos tumor servicio nacional programa</v>
      </c>
      <c r="S794" s="39" t="s">
        <v>1635</v>
      </c>
      <c r="T794" s="68" t="s">
        <v>855</v>
      </c>
      <c r="U794" s="50" t="str">
        <f t="shared" si="1223"/>
        <v>#1774B9</v>
      </c>
      <c r="V794" s="118" t="str">
        <f>+Agencia[[#This Row],[idcoleccion]]&amp;"-"&amp;Agencia[[#This Row],[id]]</f>
        <v>990-0783</v>
      </c>
      <c r="W794" s="118">
        <f>+VLOOKUP(Agencia[[#This Row],[Filtro URL]],Estructura!$X$4:$Y$500,2,0)</f>
        <v>99100000</v>
      </c>
      <c r="X794" s="118" t="str">
        <f>+VLOOKUP(Agencia[[#This Row],[tema]],Estructura!$A$4:$C$500,3,0)</f>
        <v>T-999</v>
      </c>
      <c r="Y794" s="118" t="str">
        <f>+VLOOKUP(Agencia[[#This Row],[contenido]],Estructura!$E$4:$G$500,3,0)</f>
        <v>C-1009</v>
      </c>
      <c r="Z794" s="118" t="str">
        <f>+VLOOKUP(Agencia[[#This Row],[Filtro Integrado]],Estructura!$I$4:$K$500,3,0)</f>
        <v>FI-1008</v>
      </c>
      <c r="AA794" s="118" t="str">
        <f>+VLOOKUP(Agencia[[#This Row],[Muestra]],Estructura!$M$4:$O$500,3,0)</f>
        <v>M-1065</v>
      </c>
    </row>
    <row r="795" spans="1:27" ht="57.6" x14ac:dyDescent="0.3">
      <c r="A795" s="21" t="s">
        <v>1387</v>
      </c>
      <c r="B795" s="24">
        <f t="shared" ref="B795:D795" si="1250">+B794</f>
        <v>990</v>
      </c>
      <c r="C795" s="25" t="str">
        <f t="shared" si="1250"/>
        <v>Agencia Información</v>
      </c>
      <c r="D795" s="25" t="str">
        <f t="shared" si="1250"/>
        <v>Mujeres</v>
      </c>
      <c r="E795" s="19">
        <v>1</v>
      </c>
      <c r="F795" s="18" t="s">
        <v>1018</v>
      </c>
      <c r="G795" s="18" t="s">
        <v>3783</v>
      </c>
      <c r="H795" s="35" t="s">
        <v>16</v>
      </c>
      <c r="I795" s="36" t="s">
        <v>368</v>
      </c>
      <c r="J795" s="9" t="s">
        <v>1637</v>
      </c>
      <c r="K795" s="9" t="str">
        <f t="shared" ref="K795:N795" si="1251">+K794</f>
        <v>Casos de cáncer por comuna</v>
      </c>
      <c r="L795" s="9" t="str">
        <f t="shared" si="1251"/>
        <v>Periodo 2011-2018</v>
      </c>
      <c r="M795" s="9" t="str">
        <f t="shared" si="1251"/>
        <v>Número de Casos</v>
      </c>
      <c r="N795" s="9" t="str">
        <f t="shared" si="1251"/>
        <v>Departamento de Estadísticas e Información de la Salud (DEIS) - Ministerio de Salud</v>
      </c>
      <c r="O795" s="20" t="str">
        <f>+"Evolución Casos de Cáncer de Cuello Uterino por Comuna en la "&amp;I795&amp;", "&amp;Agencia[[#This Row],[temporalidad]]</f>
        <v>Evolución Casos de Cáncer de Cuello Uterino por Comuna en la Región de Tarapacá, Periodo 2011-2018</v>
      </c>
      <c r="P795" s="20"/>
      <c r="Q795" s="11" t="str">
        <f t="shared" si="1222"/>
        <v>Gráfico de Evolución</v>
      </c>
      <c r="R795" s="20" t="str">
        <f>Agencia[[#This Row],[territorio]]&amp;" salud cáncer cérvico uterino cuello útero casos tumor servicio nacional programa"</f>
        <v>Región de Tarapacá salud cáncer cérvico uterino cuello útero casos tumor servicio nacional programa</v>
      </c>
      <c r="S795" s="39" t="str">
        <f>HYPERLINK("https://analytics.zoho.com/open-view/2395394000008389657?ZOHO_CRITERIA=%22Localiza%20CL%22.%22Codreg%22%20%3D%20"&amp;Agencia[[#This Row],[Filtro URL]])</f>
        <v>https://analytics.zoho.com/open-view/2395394000008389657?ZOHO_CRITERIA=%22Localiza%20CL%22.%22Codreg%22%20%3D%201</v>
      </c>
      <c r="T795" s="68" t="str">
        <f>"100-R-"&amp;Agencia[[#This Row],[Filtro URL]]</f>
        <v>100-R-1</v>
      </c>
      <c r="U795" s="50" t="str">
        <f t="shared" si="1223"/>
        <v>#1774B9</v>
      </c>
      <c r="V795" s="118" t="str">
        <f>+Agencia[[#This Row],[idcoleccion]]&amp;"-"&amp;Agencia[[#This Row],[id]]</f>
        <v>990-0784</v>
      </c>
      <c r="W795" s="118">
        <f>+VLOOKUP(Agencia[[#This Row],[Filtro URL]],Estructura!$X$4:$Y$500,2,0)</f>
        <v>99200001</v>
      </c>
      <c r="X795" s="118" t="str">
        <f>+VLOOKUP(Agencia[[#This Row],[tema]],Estructura!$A$4:$C$500,3,0)</f>
        <v>T-999</v>
      </c>
      <c r="Y795" s="118" t="str">
        <f>+VLOOKUP(Agencia[[#This Row],[contenido]],Estructura!$E$4:$G$500,3,0)</f>
        <v>C-1009</v>
      </c>
      <c r="Z795" s="118" t="str">
        <f>+VLOOKUP(Agencia[[#This Row],[Filtro Integrado]],Estructura!$I$4:$K$500,3,0)</f>
        <v>FI-1002</v>
      </c>
      <c r="AA795" s="118" t="str">
        <f>+VLOOKUP(Agencia[[#This Row],[Muestra]],Estructura!$M$4:$O$500,3,0)</f>
        <v>M-1065</v>
      </c>
    </row>
    <row r="796" spans="1:27" ht="57.6" x14ac:dyDescent="0.3">
      <c r="A796" s="21" t="s">
        <v>1388</v>
      </c>
      <c r="B796" s="24">
        <f t="shared" ref="B796:D796" si="1252">+B795</f>
        <v>990</v>
      </c>
      <c r="C796" s="25" t="str">
        <f t="shared" si="1252"/>
        <v>Agencia Información</v>
      </c>
      <c r="D796" s="25" t="str">
        <f t="shared" si="1252"/>
        <v>Mujeres</v>
      </c>
      <c r="E796" s="19">
        <v>2</v>
      </c>
      <c r="F796" s="18" t="s">
        <v>1018</v>
      </c>
      <c r="G796" s="18" t="s">
        <v>3783</v>
      </c>
      <c r="H796" s="35" t="s">
        <v>16</v>
      </c>
      <c r="I796" s="36" t="s">
        <v>369</v>
      </c>
      <c r="J796" s="9" t="str">
        <f t="shared" ref="J796:N796" si="1253">+J795</f>
        <v>Servicio de Salud</v>
      </c>
      <c r="K796" s="9" t="str">
        <f t="shared" si="1253"/>
        <v>Casos de cáncer por comuna</v>
      </c>
      <c r="L796" s="9" t="str">
        <f t="shared" si="1253"/>
        <v>Periodo 2011-2018</v>
      </c>
      <c r="M796" s="9" t="str">
        <f t="shared" si="1253"/>
        <v>Número de Casos</v>
      </c>
      <c r="N796" s="9" t="str">
        <f t="shared" si="1253"/>
        <v>Departamento de Estadísticas e Información de la Salud (DEIS) - Ministerio de Salud</v>
      </c>
      <c r="O796" s="20" t="str">
        <f>+"Evolución Casos de Cáncer de Cuello Uterino por Comuna en la "&amp;I796&amp;", "&amp;Agencia[[#This Row],[temporalidad]]</f>
        <v>Evolución Casos de Cáncer de Cuello Uterino por Comuna en la Región de Antofagasta, Periodo 2011-2018</v>
      </c>
      <c r="P796" s="20"/>
      <c r="Q796" s="11" t="str">
        <f t="shared" si="1222"/>
        <v>Gráfico de Evolución</v>
      </c>
      <c r="R796" s="20" t="str">
        <f>Agencia[[#This Row],[territorio]]&amp;" salud cáncer cérvico uterino cuello útero casos tumor servicio nacional programa"</f>
        <v>Región de Antofagasta salud cáncer cérvico uterino cuello útero casos tumor servicio nacional programa</v>
      </c>
      <c r="S796" s="39" t="str">
        <f>HYPERLINK("https://analytics.zoho.com/open-view/2395394000008389657?ZOHO_CRITERIA=%22Localiza%20CL%22.%22Codreg%22%20%3D%20"&amp;Agencia[[#This Row],[Filtro URL]])</f>
        <v>https://analytics.zoho.com/open-view/2395394000008389657?ZOHO_CRITERIA=%22Localiza%20CL%22.%22Codreg%22%20%3D%202</v>
      </c>
      <c r="T796" s="68" t="str">
        <f>"100-R-"&amp;Agencia[[#This Row],[Filtro URL]]</f>
        <v>100-R-2</v>
      </c>
      <c r="U796" s="50" t="str">
        <f t="shared" si="1223"/>
        <v>#1774B9</v>
      </c>
      <c r="V796" s="118" t="str">
        <f>+Agencia[[#This Row],[idcoleccion]]&amp;"-"&amp;Agencia[[#This Row],[id]]</f>
        <v>990-0785</v>
      </c>
      <c r="W796" s="118">
        <f>+VLOOKUP(Agencia[[#This Row],[Filtro URL]],Estructura!$X$4:$Y$500,2,0)</f>
        <v>99200002</v>
      </c>
      <c r="X796" s="118" t="str">
        <f>+VLOOKUP(Agencia[[#This Row],[tema]],Estructura!$A$4:$C$500,3,0)</f>
        <v>T-999</v>
      </c>
      <c r="Y796" s="118" t="str">
        <f>+VLOOKUP(Agencia[[#This Row],[contenido]],Estructura!$E$4:$G$500,3,0)</f>
        <v>C-1009</v>
      </c>
      <c r="Z796" s="118" t="str">
        <f>+VLOOKUP(Agencia[[#This Row],[Filtro Integrado]],Estructura!$I$4:$K$500,3,0)</f>
        <v>FI-1002</v>
      </c>
      <c r="AA796" s="118" t="str">
        <f>+VLOOKUP(Agencia[[#This Row],[Muestra]],Estructura!$M$4:$O$500,3,0)</f>
        <v>M-1065</v>
      </c>
    </row>
    <row r="797" spans="1:27" ht="57.6" x14ac:dyDescent="0.3">
      <c r="A797" s="21" t="s">
        <v>1389</v>
      </c>
      <c r="B797" s="24">
        <f t="shared" ref="B797:D797" si="1254">+B796</f>
        <v>990</v>
      </c>
      <c r="C797" s="25" t="str">
        <f t="shared" si="1254"/>
        <v>Agencia Información</v>
      </c>
      <c r="D797" s="25" t="str">
        <f t="shared" si="1254"/>
        <v>Mujeres</v>
      </c>
      <c r="E797" s="19">
        <v>3</v>
      </c>
      <c r="F797" s="18" t="s">
        <v>1018</v>
      </c>
      <c r="G797" s="18" t="s">
        <v>3783</v>
      </c>
      <c r="H797" s="35" t="s">
        <v>16</v>
      </c>
      <c r="I797" s="36" t="s">
        <v>370</v>
      </c>
      <c r="J797" s="9" t="str">
        <f t="shared" ref="J797:N797" si="1255">+J796</f>
        <v>Servicio de Salud</v>
      </c>
      <c r="K797" s="9" t="str">
        <f t="shared" si="1255"/>
        <v>Casos de cáncer por comuna</v>
      </c>
      <c r="L797" s="9" t="str">
        <f t="shared" si="1255"/>
        <v>Periodo 2011-2018</v>
      </c>
      <c r="M797" s="9" t="str">
        <f t="shared" si="1255"/>
        <v>Número de Casos</v>
      </c>
      <c r="N797" s="9" t="str">
        <f t="shared" si="1255"/>
        <v>Departamento de Estadísticas e Información de la Salud (DEIS) - Ministerio de Salud</v>
      </c>
      <c r="O797" s="20" t="str">
        <f>+"Evolución Casos de Cáncer de Cuello Uterino por Comuna en la "&amp;I797&amp;", "&amp;Agencia[[#This Row],[temporalidad]]</f>
        <v>Evolución Casos de Cáncer de Cuello Uterino por Comuna en la Región de Atacama, Periodo 2011-2018</v>
      </c>
      <c r="P797" s="20"/>
      <c r="Q797" s="11" t="str">
        <f t="shared" si="1222"/>
        <v>Gráfico de Evolución</v>
      </c>
      <c r="R797" s="20" t="str">
        <f>Agencia[[#This Row],[territorio]]&amp;" salud cáncer cérvico uterino cuello útero casos tumor servicio nacional programa"</f>
        <v>Región de Atacama salud cáncer cérvico uterino cuello útero casos tumor servicio nacional programa</v>
      </c>
      <c r="S797" s="39" t="str">
        <f>HYPERLINK("https://analytics.zoho.com/open-view/2395394000008389657?ZOHO_CRITERIA=%22Localiza%20CL%22.%22Codreg%22%20%3D%20"&amp;Agencia[[#This Row],[Filtro URL]])</f>
        <v>https://analytics.zoho.com/open-view/2395394000008389657?ZOHO_CRITERIA=%22Localiza%20CL%22.%22Codreg%22%20%3D%203</v>
      </c>
      <c r="T797" s="68" t="str">
        <f>"100-R-"&amp;Agencia[[#This Row],[Filtro URL]]</f>
        <v>100-R-3</v>
      </c>
      <c r="U797" s="50" t="str">
        <f t="shared" si="1223"/>
        <v>#1774B9</v>
      </c>
      <c r="V797" s="118" t="str">
        <f>+Agencia[[#This Row],[idcoleccion]]&amp;"-"&amp;Agencia[[#This Row],[id]]</f>
        <v>990-0786</v>
      </c>
      <c r="W797" s="118">
        <f>+VLOOKUP(Agencia[[#This Row],[Filtro URL]],Estructura!$X$4:$Y$500,2,0)</f>
        <v>99200003</v>
      </c>
      <c r="X797" s="118" t="str">
        <f>+VLOOKUP(Agencia[[#This Row],[tema]],Estructura!$A$4:$C$500,3,0)</f>
        <v>T-999</v>
      </c>
      <c r="Y797" s="118" t="str">
        <f>+VLOOKUP(Agencia[[#This Row],[contenido]],Estructura!$E$4:$G$500,3,0)</f>
        <v>C-1009</v>
      </c>
      <c r="Z797" s="118" t="str">
        <f>+VLOOKUP(Agencia[[#This Row],[Filtro Integrado]],Estructura!$I$4:$K$500,3,0)</f>
        <v>FI-1002</v>
      </c>
      <c r="AA797" s="118" t="str">
        <f>+VLOOKUP(Agencia[[#This Row],[Muestra]],Estructura!$M$4:$O$500,3,0)</f>
        <v>M-1065</v>
      </c>
    </row>
    <row r="798" spans="1:27" ht="57.6" x14ac:dyDescent="0.3">
      <c r="A798" s="21" t="s">
        <v>1390</v>
      </c>
      <c r="B798" s="24">
        <f t="shared" ref="B798:D798" si="1256">+B797</f>
        <v>990</v>
      </c>
      <c r="C798" s="25" t="str">
        <f t="shared" si="1256"/>
        <v>Agencia Información</v>
      </c>
      <c r="D798" s="25" t="str">
        <f t="shared" si="1256"/>
        <v>Mujeres</v>
      </c>
      <c r="E798" s="19">
        <v>4</v>
      </c>
      <c r="F798" s="18" t="s">
        <v>1018</v>
      </c>
      <c r="G798" s="18" t="s">
        <v>3783</v>
      </c>
      <c r="H798" s="35" t="s">
        <v>16</v>
      </c>
      <c r="I798" s="36" t="s">
        <v>371</v>
      </c>
      <c r="J798" s="9" t="str">
        <f t="shared" ref="J798:N798" si="1257">+J797</f>
        <v>Servicio de Salud</v>
      </c>
      <c r="K798" s="9" t="str">
        <f t="shared" si="1257"/>
        <v>Casos de cáncer por comuna</v>
      </c>
      <c r="L798" s="9" t="str">
        <f t="shared" si="1257"/>
        <v>Periodo 2011-2018</v>
      </c>
      <c r="M798" s="9" t="str">
        <f t="shared" si="1257"/>
        <v>Número de Casos</v>
      </c>
      <c r="N798" s="9" t="str">
        <f t="shared" si="1257"/>
        <v>Departamento de Estadísticas e Información de la Salud (DEIS) - Ministerio de Salud</v>
      </c>
      <c r="O798" s="20" t="str">
        <f>+"Evolución Casos de Cáncer de Cuello Uterino por Comuna en la "&amp;I798&amp;", "&amp;Agencia[[#This Row],[temporalidad]]</f>
        <v>Evolución Casos de Cáncer de Cuello Uterino por Comuna en la Región de Coquimbo, Periodo 2011-2018</v>
      </c>
      <c r="P798" s="20"/>
      <c r="Q798" s="11" t="str">
        <f t="shared" si="1222"/>
        <v>Gráfico de Evolución</v>
      </c>
      <c r="R798" s="20" t="str">
        <f>Agencia[[#This Row],[territorio]]&amp;" salud cáncer cérvico uterino cuello útero casos tumor servicio nacional programa"</f>
        <v>Región de Coquimbo salud cáncer cérvico uterino cuello útero casos tumor servicio nacional programa</v>
      </c>
      <c r="S798" s="39" t="str">
        <f>HYPERLINK("https://analytics.zoho.com/open-view/2395394000008389657?ZOHO_CRITERIA=%22Localiza%20CL%22.%22Codreg%22%20%3D%20"&amp;Agencia[[#This Row],[Filtro URL]])</f>
        <v>https://analytics.zoho.com/open-view/2395394000008389657?ZOHO_CRITERIA=%22Localiza%20CL%22.%22Codreg%22%20%3D%204</v>
      </c>
      <c r="T798" s="68" t="str">
        <f>"100-R-"&amp;Agencia[[#This Row],[Filtro URL]]</f>
        <v>100-R-4</v>
      </c>
      <c r="U798" s="50" t="str">
        <f t="shared" si="1223"/>
        <v>#1774B9</v>
      </c>
      <c r="V798" s="118" t="str">
        <f>+Agencia[[#This Row],[idcoleccion]]&amp;"-"&amp;Agencia[[#This Row],[id]]</f>
        <v>990-0787</v>
      </c>
      <c r="W798" s="118">
        <f>+VLOOKUP(Agencia[[#This Row],[Filtro URL]],Estructura!$X$4:$Y$500,2,0)</f>
        <v>99200004</v>
      </c>
      <c r="X798" s="118" t="str">
        <f>+VLOOKUP(Agencia[[#This Row],[tema]],Estructura!$A$4:$C$500,3,0)</f>
        <v>T-999</v>
      </c>
      <c r="Y798" s="118" t="str">
        <f>+VLOOKUP(Agencia[[#This Row],[contenido]],Estructura!$E$4:$G$500,3,0)</f>
        <v>C-1009</v>
      </c>
      <c r="Z798" s="118" t="str">
        <f>+VLOOKUP(Agencia[[#This Row],[Filtro Integrado]],Estructura!$I$4:$K$500,3,0)</f>
        <v>FI-1002</v>
      </c>
      <c r="AA798" s="118" t="str">
        <f>+VLOOKUP(Agencia[[#This Row],[Muestra]],Estructura!$M$4:$O$500,3,0)</f>
        <v>M-1065</v>
      </c>
    </row>
    <row r="799" spans="1:27" ht="57.6" x14ac:dyDescent="0.3">
      <c r="A799" s="21" t="s">
        <v>1391</v>
      </c>
      <c r="B799" s="24">
        <f t="shared" ref="B799:D799" si="1258">+B798</f>
        <v>990</v>
      </c>
      <c r="C799" s="25" t="str">
        <f t="shared" si="1258"/>
        <v>Agencia Información</v>
      </c>
      <c r="D799" s="25" t="str">
        <f t="shared" si="1258"/>
        <v>Mujeres</v>
      </c>
      <c r="E799" s="19">
        <v>5</v>
      </c>
      <c r="F799" s="18" t="s">
        <v>1018</v>
      </c>
      <c r="G799" s="18" t="s">
        <v>3783</v>
      </c>
      <c r="H799" s="35" t="s">
        <v>16</v>
      </c>
      <c r="I799" s="36" t="s">
        <v>372</v>
      </c>
      <c r="J799" s="9" t="str">
        <f t="shared" ref="J799:N799" si="1259">+J798</f>
        <v>Servicio de Salud</v>
      </c>
      <c r="K799" s="9" t="str">
        <f t="shared" si="1259"/>
        <v>Casos de cáncer por comuna</v>
      </c>
      <c r="L799" s="9" t="str">
        <f t="shared" si="1259"/>
        <v>Periodo 2011-2018</v>
      </c>
      <c r="M799" s="9" t="str">
        <f t="shared" si="1259"/>
        <v>Número de Casos</v>
      </c>
      <c r="N799" s="9" t="str">
        <f t="shared" si="1259"/>
        <v>Departamento de Estadísticas e Información de la Salud (DEIS) - Ministerio de Salud</v>
      </c>
      <c r="O799" s="20" t="str">
        <f>+"Evolución Casos de Cáncer de Cuello Uterino por Comuna en la "&amp;I799&amp;", "&amp;Agencia[[#This Row],[temporalidad]]</f>
        <v>Evolución Casos de Cáncer de Cuello Uterino por Comuna en la Región de Valparaíso, Periodo 2011-2018</v>
      </c>
      <c r="P799" s="20"/>
      <c r="Q799" s="11" t="str">
        <f t="shared" si="1222"/>
        <v>Gráfico de Evolución</v>
      </c>
      <c r="R799" s="20" t="str">
        <f>Agencia[[#This Row],[territorio]]&amp;" salud cáncer cérvico uterino cuello útero casos tumor servicio nacional programa"</f>
        <v>Región de Valparaíso salud cáncer cérvico uterino cuello útero casos tumor servicio nacional programa</v>
      </c>
      <c r="S799" s="39" t="str">
        <f>HYPERLINK("https://analytics.zoho.com/open-view/2395394000008389657?ZOHO_CRITERIA=%22Localiza%20CL%22.%22Codreg%22%20%3D%20"&amp;Agencia[[#This Row],[Filtro URL]])</f>
        <v>https://analytics.zoho.com/open-view/2395394000008389657?ZOHO_CRITERIA=%22Localiza%20CL%22.%22Codreg%22%20%3D%205</v>
      </c>
      <c r="T799" s="68" t="str">
        <f>"100-R-"&amp;Agencia[[#This Row],[Filtro URL]]</f>
        <v>100-R-5</v>
      </c>
      <c r="U799" s="50" t="str">
        <f t="shared" si="1223"/>
        <v>#1774B9</v>
      </c>
      <c r="V799" s="118" t="str">
        <f>+Agencia[[#This Row],[idcoleccion]]&amp;"-"&amp;Agencia[[#This Row],[id]]</f>
        <v>990-0788</v>
      </c>
      <c r="W799" s="118">
        <f>+VLOOKUP(Agencia[[#This Row],[Filtro URL]],Estructura!$X$4:$Y$500,2,0)</f>
        <v>99200005</v>
      </c>
      <c r="X799" s="118" t="str">
        <f>+VLOOKUP(Agencia[[#This Row],[tema]],Estructura!$A$4:$C$500,3,0)</f>
        <v>T-999</v>
      </c>
      <c r="Y799" s="118" t="str">
        <f>+VLOOKUP(Agencia[[#This Row],[contenido]],Estructura!$E$4:$G$500,3,0)</f>
        <v>C-1009</v>
      </c>
      <c r="Z799" s="118" t="str">
        <f>+VLOOKUP(Agencia[[#This Row],[Filtro Integrado]],Estructura!$I$4:$K$500,3,0)</f>
        <v>FI-1002</v>
      </c>
      <c r="AA799" s="118" t="str">
        <f>+VLOOKUP(Agencia[[#This Row],[Muestra]],Estructura!$M$4:$O$500,3,0)</f>
        <v>M-1065</v>
      </c>
    </row>
    <row r="800" spans="1:27" ht="57.6" x14ac:dyDescent="0.3">
      <c r="A800" s="21" t="s">
        <v>1392</v>
      </c>
      <c r="B800" s="24">
        <f t="shared" ref="B800:D800" si="1260">+B799</f>
        <v>990</v>
      </c>
      <c r="C800" s="25" t="str">
        <f t="shared" si="1260"/>
        <v>Agencia Información</v>
      </c>
      <c r="D800" s="25" t="str">
        <f t="shared" si="1260"/>
        <v>Mujeres</v>
      </c>
      <c r="E800" s="19">
        <v>6</v>
      </c>
      <c r="F800" s="18" t="s">
        <v>1018</v>
      </c>
      <c r="G800" s="18" t="s">
        <v>3783</v>
      </c>
      <c r="H800" s="35" t="s">
        <v>16</v>
      </c>
      <c r="I800" s="36" t="s">
        <v>373</v>
      </c>
      <c r="J800" s="9" t="str">
        <f t="shared" ref="J800:N800" si="1261">+J799</f>
        <v>Servicio de Salud</v>
      </c>
      <c r="K800" s="9" t="str">
        <f t="shared" si="1261"/>
        <v>Casos de cáncer por comuna</v>
      </c>
      <c r="L800" s="9" t="str">
        <f t="shared" si="1261"/>
        <v>Periodo 2011-2018</v>
      </c>
      <c r="M800" s="9" t="str">
        <f t="shared" si="1261"/>
        <v>Número de Casos</v>
      </c>
      <c r="N800" s="9" t="str">
        <f t="shared" si="1261"/>
        <v>Departamento de Estadísticas e Información de la Salud (DEIS) - Ministerio de Salud</v>
      </c>
      <c r="O800" s="20" t="str">
        <f>+"Evolución Casos de Cáncer de Cuello Uterino por Comuna en la "&amp;I800&amp;", "&amp;Agencia[[#This Row],[temporalidad]]</f>
        <v>Evolución Casos de Cáncer de Cuello Uterino por Comuna en la Región de O'Higgins, Periodo 2011-2018</v>
      </c>
      <c r="P800" s="20"/>
      <c r="Q800" s="11" t="str">
        <f t="shared" si="1222"/>
        <v>Gráfico de Evolución</v>
      </c>
      <c r="R800" s="20" t="str">
        <f>Agencia[[#This Row],[territorio]]&amp;" salud cáncer cérvico uterino cuello útero casos tumor servicio nacional programa"</f>
        <v>Región de O'Higgins salud cáncer cérvico uterino cuello útero casos tumor servicio nacional programa</v>
      </c>
      <c r="S800" s="39" t="str">
        <f>HYPERLINK("https://analytics.zoho.com/open-view/2395394000008389657?ZOHO_CRITERIA=%22Localiza%20CL%22.%22Codreg%22%20%3D%20"&amp;Agencia[[#This Row],[Filtro URL]])</f>
        <v>https://analytics.zoho.com/open-view/2395394000008389657?ZOHO_CRITERIA=%22Localiza%20CL%22.%22Codreg%22%20%3D%206</v>
      </c>
      <c r="T800" s="68" t="str">
        <f>"100-R-"&amp;Agencia[[#This Row],[Filtro URL]]</f>
        <v>100-R-6</v>
      </c>
      <c r="U800" s="50" t="str">
        <f t="shared" si="1223"/>
        <v>#1774B9</v>
      </c>
      <c r="V800" s="118" t="str">
        <f>+Agencia[[#This Row],[idcoleccion]]&amp;"-"&amp;Agencia[[#This Row],[id]]</f>
        <v>990-0789</v>
      </c>
      <c r="W800" s="118">
        <f>+VLOOKUP(Agencia[[#This Row],[Filtro URL]],Estructura!$X$4:$Y$500,2,0)</f>
        <v>99200006</v>
      </c>
      <c r="X800" s="118" t="str">
        <f>+VLOOKUP(Agencia[[#This Row],[tema]],Estructura!$A$4:$C$500,3,0)</f>
        <v>T-999</v>
      </c>
      <c r="Y800" s="118" t="str">
        <f>+VLOOKUP(Agencia[[#This Row],[contenido]],Estructura!$E$4:$G$500,3,0)</f>
        <v>C-1009</v>
      </c>
      <c r="Z800" s="118" t="str">
        <f>+VLOOKUP(Agencia[[#This Row],[Filtro Integrado]],Estructura!$I$4:$K$500,3,0)</f>
        <v>FI-1002</v>
      </c>
      <c r="AA800" s="118" t="str">
        <f>+VLOOKUP(Agencia[[#This Row],[Muestra]],Estructura!$M$4:$O$500,3,0)</f>
        <v>M-1065</v>
      </c>
    </row>
    <row r="801" spans="1:27" ht="57.6" x14ac:dyDescent="0.3">
      <c r="A801" s="21" t="s">
        <v>1393</v>
      </c>
      <c r="B801" s="24">
        <f t="shared" ref="B801:D801" si="1262">+B800</f>
        <v>990</v>
      </c>
      <c r="C801" s="25" t="str">
        <f t="shared" si="1262"/>
        <v>Agencia Información</v>
      </c>
      <c r="D801" s="25" t="str">
        <f t="shared" si="1262"/>
        <v>Mujeres</v>
      </c>
      <c r="E801" s="19">
        <v>7</v>
      </c>
      <c r="F801" s="18" t="s">
        <v>1018</v>
      </c>
      <c r="G801" s="18" t="s">
        <v>3783</v>
      </c>
      <c r="H801" s="35" t="s">
        <v>16</v>
      </c>
      <c r="I801" s="36" t="s">
        <v>374</v>
      </c>
      <c r="J801" s="9" t="str">
        <f t="shared" ref="J801:N801" si="1263">+J800</f>
        <v>Servicio de Salud</v>
      </c>
      <c r="K801" s="9" t="str">
        <f t="shared" si="1263"/>
        <v>Casos de cáncer por comuna</v>
      </c>
      <c r="L801" s="9" t="str">
        <f t="shared" si="1263"/>
        <v>Periodo 2011-2018</v>
      </c>
      <c r="M801" s="9" t="str">
        <f t="shared" si="1263"/>
        <v>Número de Casos</v>
      </c>
      <c r="N801" s="9" t="str">
        <f t="shared" si="1263"/>
        <v>Departamento de Estadísticas e Información de la Salud (DEIS) - Ministerio de Salud</v>
      </c>
      <c r="O801" s="20" t="str">
        <f>+"Evolución Casos de Cáncer de Cuello Uterino por Comuna en la "&amp;I801&amp;", "&amp;Agencia[[#This Row],[temporalidad]]</f>
        <v>Evolución Casos de Cáncer de Cuello Uterino por Comuna en la Región de Maule, Periodo 2011-2018</v>
      </c>
      <c r="P801" s="20"/>
      <c r="Q801" s="11" t="str">
        <f t="shared" si="1222"/>
        <v>Gráfico de Evolución</v>
      </c>
      <c r="R801" s="20" t="str">
        <f>Agencia[[#This Row],[territorio]]&amp;" salud cáncer cérvico uterino cuello útero casos tumor servicio nacional programa"</f>
        <v>Región de Maule salud cáncer cérvico uterino cuello útero casos tumor servicio nacional programa</v>
      </c>
      <c r="S801" s="39" t="str">
        <f>HYPERLINK("https://analytics.zoho.com/open-view/2395394000008389657?ZOHO_CRITERIA=%22Localiza%20CL%22.%22Codreg%22%20%3D%20"&amp;Agencia[[#This Row],[Filtro URL]])</f>
        <v>https://analytics.zoho.com/open-view/2395394000008389657?ZOHO_CRITERIA=%22Localiza%20CL%22.%22Codreg%22%20%3D%207</v>
      </c>
      <c r="T801" s="68" t="str">
        <f>"100-R-"&amp;Agencia[[#This Row],[Filtro URL]]</f>
        <v>100-R-7</v>
      </c>
      <c r="U801" s="50" t="str">
        <f t="shared" si="1223"/>
        <v>#1774B9</v>
      </c>
      <c r="V801" s="118" t="str">
        <f>+Agencia[[#This Row],[idcoleccion]]&amp;"-"&amp;Agencia[[#This Row],[id]]</f>
        <v>990-0790</v>
      </c>
      <c r="W801" s="118">
        <f>+VLOOKUP(Agencia[[#This Row],[Filtro URL]],Estructura!$X$4:$Y$500,2,0)</f>
        <v>99200007</v>
      </c>
      <c r="X801" s="118" t="str">
        <f>+VLOOKUP(Agencia[[#This Row],[tema]],Estructura!$A$4:$C$500,3,0)</f>
        <v>T-999</v>
      </c>
      <c r="Y801" s="118" t="str">
        <f>+VLOOKUP(Agencia[[#This Row],[contenido]],Estructura!$E$4:$G$500,3,0)</f>
        <v>C-1009</v>
      </c>
      <c r="Z801" s="118" t="str">
        <f>+VLOOKUP(Agencia[[#This Row],[Filtro Integrado]],Estructura!$I$4:$K$500,3,0)</f>
        <v>FI-1002</v>
      </c>
      <c r="AA801" s="118" t="str">
        <f>+VLOOKUP(Agencia[[#This Row],[Muestra]],Estructura!$M$4:$O$500,3,0)</f>
        <v>M-1065</v>
      </c>
    </row>
    <row r="802" spans="1:27" ht="57.6" x14ac:dyDescent="0.3">
      <c r="A802" s="21" t="s">
        <v>1394</v>
      </c>
      <c r="B802" s="24">
        <f t="shared" ref="B802:D802" si="1264">+B801</f>
        <v>990</v>
      </c>
      <c r="C802" s="25" t="str">
        <f t="shared" si="1264"/>
        <v>Agencia Información</v>
      </c>
      <c r="D802" s="25" t="str">
        <f t="shared" si="1264"/>
        <v>Mujeres</v>
      </c>
      <c r="E802" s="19">
        <v>8</v>
      </c>
      <c r="F802" s="18" t="s">
        <v>1018</v>
      </c>
      <c r="G802" s="18" t="s">
        <v>3783</v>
      </c>
      <c r="H802" s="35" t="s">
        <v>16</v>
      </c>
      <c r="I802" s="36" t="s">
        <v>375</v>
      </c>
      <c r="J802" s="9" t="str">
        <f t="shared" ref="J802:N802" si="1265">+J801</f>
        <v>Servicio de Salud</v>
      </c>
      <c r="K802" s="9" t="str">
        <f t="shared" si="1265"/>
        <v>Casos de cáncer por comuna</v>
      </c>
      <c r="L802" s="9" t="str">
        <f t="shared" si="1265"/>
        <v>Periodo 2011-2018</v>
      </c>
      <c r="M802" s="9" t="str">
        <f t="shared" si="1265"/>
        <v>Número de Casos</v>
      </c>
      <c r="N802" s="9" t="str">
        <f t="shared" si="1265"/>
        <v>Departamento de Estadísticas e Información de la Salud (DEIS) - Ministerio de Salud</v>
      </c>
      <c r="O802" s="20" t="str">
        <f>+"Evolución Casos de Cáncer de Cuello Uterino por Comuna en la "&amp;I802&amp;", "&amp;Agencia[[#This Row],[temporalidad]]</f>
        <v>Evolución Casos de Cáncer de Cuello Uterino por Comuna en la Región del Biobío, Periodo 2011-2018</v>
      </c>
      <c r="P802" s="20"/>
      <c r="Q802" s="11" t="str">
        <f t="shared" si="1222"/>
        <v>Gráfico de Evolución</v>
      </c>
      <c r="R802" s="20" t="str">
        <f>Agencia[[#This Row],[territorio]]&amp;" salud cáncer cérvico uterino cuello útero casos tumor servicio nacional programa"</f>
        <v>Región del Biobío salud cáncer cérvico uterino cuello útero casos tumor servicio nacional programa</v>
      </c>
      <c r="S802" s="39" t="str">
        <f>HYPERLINK("https://analytics.zoho.com/open-view/2395394000008389657?ZOHO_CRITERIA=%22Localiza%20CL%22.%22Codreg%22%20%3D%20"&amp;Agencia[[#This Row],[Filtro URL]])</f>
        <v>https://analytics.zoho.com/open-view/2395394000008389657?ZOHO_CRITERIA=%22Localiza%20CL%22.%22Codreg%22%20%3D%208</v>
      </c>
      <c r="T802" s="68" t="str">
        <f>"100-R-"&amp;Agencia[[#This Row],[Filtro URL]]</f>
        <v>100-R-8</v>
      </c>
      <c r="U802" s="50" t="str">
        <f t="shared" si="1223"/>
        <v>#1774B9</v>
      </c>
      <c r="V802" s="118" t="str">
        <f>+Agencia[[#This Row],[idcoleccion]]&amp;"-"&amp;Agencia[[#This Row],[id]]</f>
        <v>990-0791</v>
      </c>
      <c r="W802" s="118">
        <f>+VLOOKUP(Agencia[[#This Row],[Filtro URL]],Estructura!$X$4:$Y$500,2,0)</f>
        <v>99200008</v>
      </c>
      <c r="X802" s="118" t="str">
        <f>+VLOOKUP(Agencia[[#This Row],[tema]],Estructura!$A$4:$C$500,3,0)</f>
        <v>T-999</v>
      </c>
      <c r="Y802" s="118" t="str">
        <f>+VLOOKUP(Agencia[[#This Row],[contenido]],Estructura!$E$4:$G$500,3,0)</f>
        <v>C-1009</v>
      </c>
      <c r="Z802" s="118" t="str">
        <f>+VLOOKUP(Agencia[[#This Row],[Filtro Integrado]],Estructura!$I$4:$K$500,3,0)</f>
        <v>FI-1002</v>
      </c>
      <c r="AA802" s="118" t="str">
        <f>+VLOOKUP(Agencia[[#This Row],[Muestra]],Estructura!$M$4:$O$500,3,0)</f>
        <v>M-1065</v>
      </c>
    </row>
    <row r="803" spans="1:27" ht="57.6" x14ac:dyDescent="0.3">
      <c r="A803" s="21" t="s">
        <v>1395</v>
      </c>
      <c r="B803" s="24">
        <f t="shared" ref="B803:D803" si="1266">+B802</f>
        <v>990</v>
      </c>
      <c r="C803" s="25" t="str">
        <f t="shared" si="1266"/>
        <v>Agencia Información</v>
      </c>
      <c r="D803" s="25" t="str">
        <f t="shared" si="1266"/>
        <v>Mujeres</v>
      </c>
      <c r="E803" s="19">
        <v>9</v>
      </c>
      <c r="F803" s="18" t="s">
        <v>1018</v>
      </c>
      <c r="G803" s="18" t="s">
        <v>3783</v>
      </c>
      <c r="H803" s="35" t="s">
        <v>16</v>
      </c>
      <c r="I803" s="36" t="s">
        <v>376</v>
      </c>
      <c r="J803" s="9" t="str">
        <f t="shared" ref="J803:N803" si="1267">+J802</f>
        <v>Servicio de Salud</v>
      </c>
      <c r="K803" s="9" t="str">
        <f t="shared" si="1267"/>
        <v>Casos de cáncer por comuna</v>
      </c>
      <c r="L803" s="9" t="str">
        <f t="shared" si="1267"/>
        <v>Periodo 2011-2018</v>
      </c>
      <c r="M803" s="9" t="str">
        <f t="shared" si="1267"/>
        <v>Número de Casos</v>
      </c>
      <c r="N803" s="9" t="str">
        <f t="shared" si="1267"/>
        <v>Departamento de Estadísticas e Información de la Salud (DEIS) - Ministerio de Salud</v>
      </c>
      <c r="O803" s="20" t="str">
        <f>+"Evolución Casos de Cáncer de Cuello Uterino por Comuna en la "&amp;I803&amp;", "&amp;Agencia[[#This Row],[temporalidad]]</f>
        <v>Evolución Casos de Cáncer de Cuello Uterino por Comuna en la Región de La Araucanía, Periodo 2011-2018</v>
      </c>
      <c r="P803" s="20"/>
      <c r="Q803" s="11" t="str">
        <f t="shared" si="1222"/>
        <v>Gráfico de Evolución</v>
      </c>
      <c r="R803" s="20" t="str">
        <f>Agencia[[#This Row],[territorio]]&amp;" salud cáncer cérvico uterino cuello útero casos tumor servicio nacional programa"</f>
        <v>Región de La Araucanía salud cáncer cérvico uterino cuello útero casos tumor servicio nacional programa</v>
      </c>
      <c r="S803" s="39" t="str">
        <f>HYPERLINK("https://analytics.zoho.com/open-view/2395394000008389657?ZOHO_CRITERIA=%22Localiza%20CL%22.%22Codreg%22%20%3D%20"&amp;Agencia[[#This Row],[Filtro URL]])</f>
        <v>https://analytics.zoho.com/open-view/2395394000008389657?ZOHO_CRITERIA=%22Localiza%20CL%22.%22Codreg%22%20%3D%209</v>
      </c>
      <c r="T803" s="68" t="str">
        <f>"100-R-"&amp;Agencia[[#This Row],[Filtro URL]]</f>
        <v>100-R-9</v>
      </c>
      <c r="U803" s="50" t="str">
        <f t="shared" si="1223"/>
        <v>#1774B9</v>
      </c>
      <c r="V803" s="118" t="str">
        <f>+Agencia[[#This Row],[idcoleccion]]&amp;"-"&amp;Agencia[[#This Row],[id]]</f>
        <v>990-0792</v>
      </c>
      <c r="W803" s="118">
        <f>+VLOOKUP(Agencia[[#This Row],[Filtro URL]],Estructura!$X$4:$Y$500,2,0)</f>
        <v>99200009</v>
      </c>
      <c r="X803" s="118" t="str">
        <f>+VLOOKUP(Agencia[[#This Row],[tema]],Estructura!$A$4:$C$500,3,0)</f>
        <v>T-999</v>
      </c>
      <c r="Y803" s="118" t="str">
        <f>+VLOOKUP(Agencia[[#This Row],[contenido]],Estructura!$E$4:$G$500,3,0)</f>
        <v>C-1009</v>
      </c>
      <c r="Z803" s="118" t="str">
        <f>+VLOOKUP(Agencia[[#This Row],[Filtro Integrado]],Estructura!$I$4:$K$500,3,0)</f>
        <v>FI-1002</v>
      </c>
      <c r="AA803" s="118" t="str">
        <f>+VLOOKUP(Agencia[[#This Row],[Muestra]],Estructura!$M$4:$O$500,3,0)</f>
        <v>M-1065</v>
      </c>
    </row>
    <row r="804" spans="1:27" ht="57.6" x14ac:dyDescent="0.3">
      <c r="A804" s="21" t="s">
        <v>1396</v>
      </c>
      <c r="B804" s="24">
        <f t="shared" ref="B804:D804" si="1268">+B803</f>
        <v>990</v>
      </c>
      <c r="C804" s="25" t="str">
        <f t="shared" si="1268"/>
        <v>Agencia Información</v>
      </c>
      <c r="D804" s="25" t="str">
        <f t="shared" si="1268"/>
        <v>Mujeres</v>
      </c>
      <c r="E804" s="19">
        <v>10</v>
      </c>
      <c r="F804" s="18" t="s">
        <v>1018</v>
      </c>
      <c r="G804" s="18" t="s">
        <v>3783</v>
      </c>
      <c r="H804" s="35" t="s">
        <v>16</v>
      </c>
      <c r="I804" s="36" t="s">
        <v>377</v>
      </c>
      <c r="J804" s="9" t="str">
        <f t="shared" ref="J804:N804" si="1269">+J803</f>
        <v>Servicio de Salud</v>
      </c>
      <c r="K804" s="9" t="str">
        <f t="shared" si="1269"/>
        <v>Casos de cáncer por comuna</v>
      </c>
      <c r="L804" s="9" t="str">
        <f t="shared" si="1269"/>
        <v>Periodo 2011-2018</v>
      </c>
      <c r="M804" s="9" t="str">
        <f t="shared" si="1269"/>
        <v>Número de Casos</v>
      </c>
      <c r="N804" s="9" t="str">
        <f t="shared" si="1269"/>
        <v>Departamento de Estadísticas e Información de la Salud (DEIS) - Ministerio de Salud</v>
      </c>
      <c r="O804" s="20" t="str">
        <f>+"Evolución Casos de Cáncer de Cuello Uterino por Comuna en la "&amp;I804&amp;", "&amp;Agencia[[#This Row],[temporalidad]]</f>
        <v>Evolución Casos de Cáncer de Cuello Uterino por Comuna en la Región de Los Lagos, Periodo 2011-2018</v>
      </c>
      <c r="P804" s="20"/>
      <c r="Q804" s="11" t="str">
        <f t="shared" si="1222"/>
        <v>Gráfico de Evolución</v>
      </c>
      <c r="R804" s="20" t="str">
        <f>Agencia[[#This Row],[territorio]]&amp;" salud cáncer cérvico uterino cuello útero casos tumor servicio nacional programa"</f>
        <v>Región de Los Lagos salud cáncer cérvico uterino cuello útero casos tumor servicio nacional programa</v>
      </c>
      <c r="S804" s="39" t="str">
        <f>HYPERLINK("https://analytics.zoho.com/open-view/2395394000008389657?ZOHO_CRITERIA=%22Localiza%20CL%22.%22Codreg%22%20%3D%20"&amp;Agencia[[#This Row],[Filtro URL]])</f>
        <v>https://analytics.zoho.com/open-view/2395394000008389657?ZOHO_CRITERIA=%22Localiza%20CL%22.%22Codreg%22%20%3D%2010</v>
      </c>
      <c r="T804" s="68" t="str">
        <f>"100-R-"&amp;Agencia[[#This Row],[Filtro URL]]</f>
        <v>100-R-10</v>
      </c>
      <c r="U804" s="50" t="str">
        <f t="shared" si="1223"/>
        <v>#1774B9</v>
      </c>
      <c r="V804" s="118" t="str">
        <f>+Agencia[[#This Row],[idcoleccion]]&amp;"-"&amp;Agencia[[#This Row],[id]]</f>
        <v>990-0793</v>
      </c>
      <c r="W804" s="118">
        <f>+VLOOKUP(Agencia[[#This Row],[Filtro URL]],Estructura!$X$4:$Y$500,2,0)</f>
        <v>99200010</v>
      </c>
      <c r="X804" s="118" t="str">
        <f>+VLOOKUP(Agencia[[#This Row],[tema]],Estructura!$A$4:$C$500,3,0)</f>
        <v>T-999</v>
      </c>
      <c r="Y804" s="118" t="str">
        <f>+VLOOKUP(Agencia[[#This Row],[contenido]],Estructura!$E$4:$G$500,3,0)</f>
        <v>C-1009</v>
      </c>
      <c r="Z804" s="118" t="str">
        <f>+VLOOKUP(Agencia[[#This Row],[Filtro Integrado]],Estructura!$I$4:$K$500,3,0)</f>
        <v>FI-1002</v>
      </c>
      <c r="AA804" s="118" t="str">
        <f>+VLOOKUP(Agencia[[#This Row],[Muestra]],Estructura!$M$4:$O$500,3,0)</f>
        <v>M-1065</v>
      </c>
    </row>
    <row r="805" spans="1:27" ht="57.6" x14ac:dyDescent="0.3">
      <c r="A805" s="21" t="s">
        <v>1397</v>
      </c>
      <c r="B805" s="24">
        <f t="shared" ref="B805:D805" si="1270">+B804</f>
        <v>990</v>
      </c>
      <c r="C805" s="25" t="str">
        <f t="shared" si="1270"/>
        <v>Agencia Información</v>
      </c>
      <c r="D805" s="25" t="str">
        <f t="shared" si="1270"/>
        <v>Mujeres</v>
      </c>
      <c r="E805" s="19">
        <v>11</v>
      </c>
      <c r="F805" s="18" t="s">
        <v>1018</v>
      </c>
      <c r="G805" s="18" t="s">
        <v>3783</v>
      </c>
      <c r="H805" s="35" t="s">
        <v>16</v>
      </c>
      <c r="I805" s="36" t="s">
        <v>378</v>
      </c>
      <c r="J805" s="9" t="str">
        <f t="shared" ref="J805:N805" si="1271">+J804</f>
        <v>Servicio de Salud</v>
      </c>
      <c r="K805" s="9" t="str">
        <f t="shared" si="1271"/>
        <v>Casos de cáncer por comuna</v>
      </c>
      <c r="L805" s="9" t="str">
        <f t="shared" si="1271"/>
        <v>Periodo 2011-2018</v>
      </c>
      <c r="M805" s="9" t="str">
        <f t="shared" si="1271"/>
        <v>Número de Casos</v>
      </c>
      <c r="N805" s="9" t="str">
        <f t="shared" si="1271"/>
        <v>Departamento de Estadísticas e Información de la Salud (DEIS) - Ministerio de Salud</v>
      </c>
      <c r="O805" s="20" t="str">
        <f>+"Evolución Casos de Cáncer de Cuello Uterino por Comuna en la "&amp;I805&amp;", "&amp;Agencia[[#This Row],[temporalidad]]</f>
        <v>Evolución Casos de Cáncer de Cuello Uterino por Comuna en la Región de Aysén, Periodo 2011-2018</v>
      </c>
      <c r="P805" s="20"/>
      <c r="Q805" s="11" t="str">
        <f t="shared" si="1222"/>
        <v>Gráfico de Evolución</v>
      </c>
      <c r="R805" s="20" t="str">
        <f>Agencia[[#This Row],[territorio]]&amp;" salud cáncer cérvico uterino cuello útero casos tumor servicio nacional programa"</f>
        <v>Región de Aysén salud cáncer cérvico uterino cuello útero casos tumor servicio nacional programa</v>
      </c>
      <c r="S805" s="39" t="str">
        <f>HYPERLINK("https://analytics.zoho.com/open-view/2395394000008389657?ZOHO_CRITERIA=%22Localiza%20CL%22.%22Codreg%22%20%3D%20"&amp;Agencia[[#This Row],[Filtro URL]])</f>
        <v>https://analytics.zoho.com/open-view/2395394000008389657?ZOHO_CRITERIA=%22Localiza%20CL%22.%22Codreg%22%20%3D%2011</v>
      </c>
      <c r="T805" s="68" t="str">
        <f>"100-R-"&amp;Agencia[[#This Row],[Filtro URL]]</f>
        <v>100-R-11</v>
      </c>
      <c r="U805" s="50" t="str">
        <f t="shared" si="1223"/>
        <v>#1774B9</v>
      </c>
      <c r="V805" s="118" t="str">
        <f>+Agencia[[#This Row],[idcoleccion]]&amp;"-"&amp;Agencia[[#This Row],[id]]</f>
        <v>990-0794</v>
      </c>
      <c r="W805" s="118">
        <f>+VLOOKUP(Agencia[[#This Row],[Filtro URL]],Estructura!$X$4:$Y$500,2,0)</f>
        <v>99200011</v>
      </c>
      <c r="X805" s="118" t="str">
        <f>+VLOOKUP(Agencia[[#This Row],[tema]],Estructura!$A$4:$C$500,3,0)</f>
        <v>T-999</v>
      </c>
      <c r="Y805" s="118" t="str">
        <f>+VLOOKUP(Agencia[[#This Row],[contenido]],Estructura!$E$4:$G$500,3,0)</f>
        <v>C-1009</v>
      </c>
      <c r="Z805" s="118" t="str">
        <f>+VLOOKUP(Agencia[[#This Row],[Filtro Integrado]],Estructura!$I$4:$K$500,3,0)</f>
        <v>FI-1002</v>
      </c>
      <c r="AA805" s="118" t="str">
        <f>+VLOOKUP(Agencia[[#This Row],[Muestra]],Estructura!$M$4:$O$500,3,0)</f>
        <v>M-1065</v>
      </c>
    </row>
    <row r="806" spans="1:27" ht="57.6" x14ac:dyDescent="0.3">
      <c r="A806" s="21" t="s">
        <v>1398</v>
      </c>
      <c r="B806" s="24">
        <f t="shared" ref="B806:D806" si="1272">+B805</f>
        <v>990</v>
      </c>
      <c r="C806" s="25" t="str">
        <f t="shared" si="1272"/>
        <v>Agencia Información</v>
      </c>
      <c r="D806" s="25" t="str">
        <f t="shared" si="1272"/>
        <v>Mujeres</v>
      </c>
      <c r="E806" s="19">
        <v>12</v>
      </c>
      <c r="F806" s="18" t="s">
        <v>1018</v>
      </c>
      <c r="G806" s="18" t="s">
        <v>3783</v>
      </c>
      <c r="H806" s="35" t="s">
        <v>16</v>
      </c>
      <c r="I806" s="36" t="s">
        <v>379</v>
      </c>
      <c r="J806" s="9" t="str">
        <f t="shared" ref="J806:N806" si="1273">+J805</f>
        <v>Servicio de Salud</v>
      </c>
      <c r="K806" s="9" t="str">
        <f t="shared" si="1273"/>
        <v>Casos de cáncer por comuna</v>
      </c>
      <c r="L806" s="9" t="str">
        <f t="shared" si="1273"/>
        <v>Periodo 2011-2018</v>
      </c>
      <c r="M806" s="9" t="str">
        <f t="shared" si="1273"/>
        <v>Número de Casos</v>
      </c>
      <c r="N806" s="9" t="str">
        <f t="shared" si="1273"/>
        <v>Departamento de Estadísticas e Información de la Salud (DEIS) - Ministerio de Salud</v>
      </c>
      <c r="O806" s="20" t="str">
        <f>+"Evolución Casos de Cáncer de Cuello Uterino por Comuna en la "&amp;I806&amp;", "&amp;Agencia[[#This Row],[temporalidad]]</f>
        <v>Evolución Casos de Cáncer de Cuello Uterino por Comuna en la Región de Magallanes, Periodo 2011-2018</v>
      </c>
      <c r="P806" s="20"/>
      <c r="Q806" s="11" t="str">
        <f t="shared" si="1222"/>
        <v>Gráfico de Evolución</v>
      </c>
      <c r="R806" s="20" t="str">
        <f>Agencia[[#This Row],[territorio]]&amp;" salud cáncer cérvico uterino cuello útero casos tumor servicio nacional programa"</f>
        <v>Región de Magallanes salud cáncer cérvico uterino cuello útero casos tumor servicio nacional programa</v>
      </c>
      <c r="S806" s="39" t="str">
        <f>HYPERLINK("https://analytics.zoho.com/open-view/2395394000008389657?ZOHO_CRITERIA=%22Localiza%20CL%22.%22Codreg%22%20%3D%20"&amp;Agencia[[#This Row],[Filtro URL]])</f>
        <v>https://analytics.zoho.com/open-view/2395394000008389657?ZOHO_CRITERIA=%22Localiza%20CL%22.%22Codreg%22%20%3D%2012</v>
      </c>
      <c r="T806" s="68" t="str">
        <f>"100-R-"&amp;Agencia[[#This Row],[Filtro URL]]</f>
        <v>100-R-12</v>
      </c>
      <c r="U806" s="50" t="str">
        <f t="shared" si="1223"/>
        <v>#1774B9</v>
      </c>
      <c r="V806" s="118" t="str">
        <f>+Agencia[[#This Row],[idcoleccion]]&amp;"-"&amp;Agencia[[#This Row],[id]]</f>
        <v>990-0795</v>
      </c>
      <c r="W806" s="118">
        <f>+VLOOKUP(Agencia[[#This Row],[Filtro URL]],Estructura!$X$4:$Y$500,2,0)</f>
        <v>99200012</v>
      </c>
      <c r="X806" s="118" t="str">
        <f>+VLOOKUP(Agencia[[#This Row],[tema]],Estructura!$A$4:$C$500,3,0)</f>
        <v>T-999</v>
      </c>
      <c r="Y806" s="118" t="str">
        <f>+VLOOKUP(Agencia[[#This Row],[contenido]],Estructura!$E$4:$G$500,3,0)</f>
        <v>C-1009</v>
      </c>
      <c r="Z806" s="118" t="str">
        <f>+VLOOKUP(Agencia[[#This Row],[Filtro Integrado]],Estructura!$I$4:$K$500,3,0)</f>
        <v>FI-1002</v>
      </c>
      <c r="AA806" s="118" t="str">
        <f>+VLOOKUP(Agencia[[#This Row],[Muestra]],Estructura!$M$4:$O$500,3,0)</f>
        <v>M-1065</v>
      </c>
    </row>
    <row r="807" spans="1:27" ht="57.6" x14ac:dyDescent="0.3">
      <c r="A807" s="21" t="s">
        <v>1399</v>
      </c>
      <c r="B807" s="24">
        <f t="shared" ref="B807:D807" si="1274">+B806</f>
        <v>990</v>
      </c>
      <c r="C807" s="25" t="str">
        <f t="shared" si="1274"/>
        <v>Agencia Información</v>
      </c>
      <c r="D807" s="25" t="str">
        <f t="shared" si="1274"/>
        <v>Mujeres</v>
      </c>
      <c r="E807" s="19">
        <v>13</v>
      </c>
      <c r="F807" s="18" t="s">
        <v>1018</v>
      </c>
      <c r="G807" s="18" t="s">
        <v>3783</v>
      </c>
      <c r="H807" s="35" t="s">
        <v>16</v>
      </c>
      <c r="I807" s="36" t="s">
        <v>380</v>
      </c>
      <c r="J807" s="9" t="str">
        <f t="shared" ref="J807:N807" si="1275">+J806</f>
        <v>Servicio de Salud</v>
      </c>
      <c r="K807" s="9" t="str">
        <f t="shared" si="1275"/>
        <v>Casos de cáncer por comuna</v>
      </c>
      <c r="L807" s="9" t="str">
        <f t="shared" si="1275"/>
        <v>Periodo 2011-2018</v>
      </c>
      <c r="M807" s="9" t="str">
        <f t="shared" si="1275"/>
        <v>Número de Casos</v>
      </c>
      <c r="N807" s="9" t="str">
        <f t="shared" si="1275"/>
        <v>Departamento de Estadísticas e Información de la Salud (DEIS) - Ministerio de Salud</v>
      </c>
      <c r="O807" s="20" t="str">
        <f>+"Evolución Casos de Cáncer de Cuello Uterino por Comuna en la "&amp;I807&amp;", "&amp;Agencia[[#This Row],[temporalidad]]</f>
        <v>Evolución Casos de Cáncer de Cuello Uterino por Comuna en la Región Metropolitana, Periodo 2011-2018</v>
      </c>
      <c r="P807" s="20"/>
      <c r="Q807" s="11" t="str">
        <f t="shared" si="1222"/>
        <v>Gráfico de Evolución</v>
      </c>
      <c r="R807" s="20" t="str">
        <f>Agencia[[#This Row],[territorio]]&amp;" salud cáncer cérvico uterino cuello útero casos tumor servicio nacional programa"</f>
        <v>Región Metropolitana salud cáncer cérvico uterino cuello útero casos tumor servicio nacional programa</v>
      </c>
      <c r="S807" s="39" t="str">
        <f>HYPERLINK("https://analytics.zoho.com/open-view/2395394000008389657?ZOHO_CRITERIA=%22Localiza%20CL%22.%22Codreg%22%20%3D%20"&amp;Agencia[[#This Row],[Filtro URL]])</f>
        <v>https://analytics.zoho.com/open-view/2395394000008389657?ZOHO_CRITERIA=%22Localiza%20CL%22.%22Codreg%22%20%3D%2013</v>
      </c>
      <c r="T807" s="68" t="str">
        <f>"200-R-"&amp;Agencia[[#This Row],[Filtro URL]]</f>
        <v>200-R-13</v>
      </c>
      <c r="U807" s="50" t="str">
        <f t="shared" si="1223"/>
        <v>#1774B9</v>
      </c>
      <c r="V807" s="118" t="str">
        <f>+Agencia[[#This Row],[idcoleccion]]&amp;"-"&amp;Agencia[[#This Row],[id]]</f>
        <v>990-0796</v>
      </c>
      <c r="W807" s="118">
        <f>+VLOOKUP(Agencia[[#This Row],[Filtro URL]],Estructura!$X$4:$Y$500,2,0)</f>
        <v>99200013</v>
      </c>
      <c r="X807" s="118" t="str">
        <f>+VLOOKUP(Agencia[[#This Row],[tema]],Estructura!$A$4:$C$500,3,0)</f>
        <v>T-999</v>
      </c>
      <c r="Y807" s="118" t="str">
        <f>+VLOOKUP(Agencia[[#This Row],[contenido]],Estructura!$E$4:$G$500,3,0)</f>
        <v>C-1009</v>
      </c>
      <c r="Z807" s="118" t="str">
        <f>+VLOOKUP(Agencia[[#This Row],[Filtro Integrado]],Estructura!$I$4:$K$500,3,0)</f>
        <v>FI-1002</v>
      </c>
      <c r="AA807" s="118" t="str">
        <f>+VLOOKUP(Agencia[[#This Row],[Muestra]],Estructura!$M$4:$O$500,3,0)</f>
        <v>M-1065</v>
      </c>
    </row>
    <row r="808" spans="1:27" ht="57.6" x14ac:dyDescent="0.3">
      <c r="A808" s="21" t="s">
        <v>1400</v>
      </c>
      <c r="B808" s="24">
        <f t="shared" ref="B808:D808" si="1276">+B807</f>
        <v>990</v>
      </c>
      <c r="C808" s="25" t="str">
        <f t="shared" si="1276"/>
        <v>Agencia Información</v>
      </c>
      <c r="D808" s="25" t="str">
        <f t="shared" si="1276"/>
        <v>Mujeres</v>
      </c>
      <c r="E808" s="19">
        <v>14</v>
      </c>
      <c r="F808" s="18" t="s">
        <v>1018</v>
      </c>
      <c r="G808" s="18" t="s">
        <v>3783</v>
      </c>
      <c r="H808" s="35" t="s">
        <v>16</v>
      </c>
      <c r="I808" s="36" t="s">
        <v>381</v>
      </c>
      <c r="J808" s="9" t="str">
        <f t="shared" ref="J808:N808" si="1277">+J807</f>
        <v>Servicio de Salud</v>
      </c>
      <c r="K808" s="9" t="str">
        <f t="shared" si="1277"/>
        <v>Casos de cáncer por comuna</v>
      </c>
      <c r="L808" s="9" t="str">
        <f t="shared" si="1277"/>
        <v>Periodo 2011-2018</v>
      </c>
      <c r="M808" s="9" t="str">
        <f t="shared" si="1277"/>
        <v>Número de Casos</v>
      </c>
      <c r="N808" s="9" t="str">
        <f t="shared" si="1277"/>
        <v>Departamento de Estadísticas e Información de la Salud (DEIS) - Ministerio de Salud</v>
      </c>
      <c r="O808" s="20" t="str">
        <f>+"Evolución Casos de Cáncer de Cuello Uterino por Comuna en la "&amp;I808&amp;", "&amp;Agencia[[#This Row],[temporalidad]]</f>
        <v>Evolución Casos de Cáncer de Cuello Uterino por Comuna en la Región de Los Ríos, Periodo 2011-2018</v>
      </c>
      <c r="P808" s="20"/>
      <c r="Q808" s="11" t="str">
        <f t="shared" si="1222"/>
        <v>Gráfico de Evolución</v>
      </c>
      <c r="R808" s="20" t="str">
        <f>Agencia[[#This Row],[territorio]]&amp;" salud cáncer cérvico uterino cuello útero casos tumor servicio nacional programa"</f>
        <v>Región de Los Ríos salud cáncer cérvico uterino cuello útero casos tumor servicio nacional programa</v>
      </c>
      <c r="S808" s="39" t="str">
        <f>HYPERLINK("https://analytics.zoho.com/open-view/2395394000008389657?ZOHO_CRITERIA=%22Localiza%20CL%22.%22Codreg%22%20%3D%20"&amp;Agencia[[#This Row],[Filtro URL]])</f>
        <v>https://analytics.zoho.com/open-view/2395394000008389657?ZOHO_CRITERIA=%22Localiza%20CL%22.%22Codreg%22%20%3D%2014</v>
      </c>
      <c r="T808" s="68" t="str">
        <f>"100-R-"&amp;Agencia[[#This Row],[Filtro URL]]</f>
        <v>100-R-14</v>
      </c>
      <c r="U808" s="50" t="str">
        <f t="shared" si="1223"/>
        <v>#1774B9</v>
      </c>
      <c r="V808" s="118" t="str">
        <f>+Agencia[[#This Row],[idcoleccion]]&amp;"-"&amp;Agencia[[#This Row],[id]]</f>
        <v>990-0797</v>
      </c>
      <c r="W808" s="118">
        <f>+VLOOKUP(Agencia[[#This Row],[Filtro URL]],Estructura!$X$4:$Y$500,2,0)</f>
        <v>99200014</v>
      </c>
      <c r="X808" s="118" t="str">
        <f>+VLOOKUP(Agencia[[#This Row],[tema]],Estructura!$A$4:$C$500,3,0)</f>
        <v>T-999</v>
      </c>
      <c r="Y808" s="118" t="str">
        <f>+VLOOKUP(Agencia[[#This Row],[contenido]],Estructura!$E$4:$G$500,3,0)</f>
        <v>C-1009</v>
      </c>
      <c r="Z808" s="118" t="str">
        <f>+VLOOKUP(Agencia[[#This Row],[Filtro Integrado]],Estructura!$I$4:$K$500,3,0)</f>
        <v>FI-1002</v>
      </c>
      <c r="AA808" s="118" t="str">
        <f>+VLOOKUP(Agencia[[#This Row],[Muestra]],Estructura!$M$4:$O$500,3,0)</f>
        <v>M-1065</v>
      </c>
    </row>
    <row r="809" spans="1:27" ht="57.6" x14ac:dyDescent="0.3">
      <c r="A809" s="21" t="s">
        <v>1401</v>
      </c>
      <c r="B809" s="24">
        <f t="shared" ref="B809:D809" si="1278">+B808</f>
        <v>990</v>
      </c>
      <c r="C809" s="25" t="str">
        <f t="shared" si="1278"/>
        <v>Agencia Información</v>
      </c>
      <c r="D809" s="25" t="str">
        <f t="shared" si="1278"/>
        <v>Mujeres</v>
      </c>
      <c r="E809" s="19">
        <v>15</v>
      </c>
      <c r="F809" s="18" t="s">
        <v>1018</v>
      </c>
      <c r="G809" s="18" t="s">
        <v>3783</v>
      </c>
      <c r="H809" s="35" t="s">
        <v>16</v>
      </c>
      <c r="I809" s="36" t="s">
        <v>382</v>
      </c>
      <c r="J809" s="9" t="str">
        <f t="shared" ref="J809:N809" si="1279">+J808</f>
        <v>Servicio de Salud</v>
      </c>
      <c r="K809" s="9" t="str">
        <f t="shared" si="1279"/>
        <v>Casos de cáncer por comuna</v>
      </c>
      <c r="L809" s="9" t="str">
        <f t="shared" si="1279"/>
        <v>Periodo 2011-2018</v>
      </c>
      <c r="M809" s="9" t="str">
        <f t="shared" si="1279"/>
        <v>Número de Casos</v>
      </c>
      <c r="N809" s="9" t="str">
        <f t="shared" si="1279"/>
        <v>Departamento de Estadísticas e Información de la Salud (DEIS) - Ministerio de Salud</v>
      </c>
      <c r="O809" s="20" t="str">
        <f>+"Evolución Casos de Cáncer de Cuello Uterino por Comuna en la "&amp;I809&amp;", "&amp;Agencia[[#This Row],[temporalidad]]</f>
        <v>Evolución Casos de Cáncer de Cuello Uterino por Comuna en la Región de Arica y Parinacota, Periodo 2011-2018</v>
      </c>
      <c r="P809" s="20"/>
      <c r="Q809" s="11" t="str">
        <f t="shared" si="1222"/>
        <v>Gráfico de Evolución</v>
      </c>
      <c r="R809" s="20" t="str">
        <f>Agencia[[#This Row],[territorio]]&amp;" salud cáncer cérvico uterino cuello útero casos tumor servicio nacional programa"</f>
        <v>Región de Arica y Parinacota salud cáncer cérvico uterino cuello útero casos tumor servicio nacional programa</v>
      </c>
      <c r="S809" s="39" t="str">
        <f>HYPERLINK("https://analytics.zoho.com/open-view/2395394000008389657?ZOHO_CRITERIA=%22Localiza%20CL%22.%22Codreg%22%20%3D%20"&amp;Agencia[[#This Row],[Filtro URL]])</f>
        <v>https://analytics.zoho.com/open-view/2395394000008389657?ZOHO_CRITERIA=%22Localiza%20CL%22.%22Codreg%22%20%3D%2015</v>
      </c>
      <c r="T809" s="68" t="str">
        <f>"100-R-"&amp;Agencia[[#This Row],[Filtro URL]]</f>
        <v>100-R-15</v>
      </c>
      <c r="U809" s="50" t="str">
        <f t="shared" si="1223"/>
        <v>#1774B9</v>
      </c>
      <c r="V809" s="118" t="str">
        <f>+Agencia[[#This Row],[idcoleccion]]&amp;"-"&amp;Agencia[[#This Row],[id]]</f>
        <v>990-0798</v>
      </c>
      <c r="W809" s="118">
        <f>+VLOOKUP(Agencia[[#This Row],[Filtro URL]],Estructura!$X$4:$Y$500,2,0)</f>
        <v>99200015</v>
      </c>
      <c r="X809" s="118" t="str">
        <f>+VLOOKUP(Agencia[[#This Row],[tema]],Estructura!$A$4:$C$500,3,0)</f>
        <v>T-999</v>
      </c>
      <c r="Y809" s="118" t="str">
        <f>+VLOOKUP(Agencia[[#This Row],[contenido]],Estructura!$E$4:$G$500,3,0)</f>
        <v>C-1009</v>
      </c>
      <c r="Z809" s="118" t="str">
        <f>+VLOOKUP(Agencia[[#This Row],[Filtro Integrado]],Estructura!$I$4:$K$500,3,0)</f>
        <v>FI-1002</v>
      </c>
      <c r="AA809" s="118" t="str">
        <f>+VLOOKUP(Agencia[[#This Row],[Muestra]],Estructura!$M$4:$O$500,3,0)</f>
        <v>M-1065</v>
      </c>
    </row>
    <row r="810" spans="1:27" ht="57.6" x14ac:dyDescent="0.3">
      <c r="A810" s="21" t="s">
        <v>1402</v>
      </c>
      <c r="B810" s="24">
        <f t="shared" ref="B810:D810" si="1280">+B809</f>
        <v>990</v>
      </c>
      <c r="C810" s="25" t="str">
        <f t="shared" si="1280"/>
        <v>Agencia Información</v>
      </c>
      <c r="D810" s="25" t="str">
        <f t="shared" si="1280"/>
        <v>Mujeres</v>
      </c>
      <c r="E810" s="19">
        <v>16</v>
      </c>
      <c r="F810" s="18" t="s">
        <v>1018</v>
      </c>
      <c r="G810" s="18" t="s">
        <v>3783</v>
      </c>
      <c r="H810" s="35" t="s">
        <v>16</v>
      </c>
      <c r="I810" s="36" t="s">
        <v>383</v>
      </c>
      <c r="J810" s="9" t="str">
        <f t="shared" ref="J810:N810" si="1281">+J809</f>
        <v>Servicio de Salud</v>
      </c>
      <c r="K810" s="9" t="str">
        <f t="shared" si="1281"/>
        <v>Casos de cáncer por comuna</v>
      </c>
      <c r="L810" s="9" t="str">
        <f t="shared" si="1281"/>
        <v>Periodo 2011-2018</v>
      </c>
      <c r="M810" s="9" t="str">
        <f t="shared" si="1281"/>
        <v>Número de Casos</v>
      </c>
      <c r="N810" s="9" t="str">
        <f t="shared" si="1281"/>
        <v>Departamento de Estadísticas e Información de la Salud (DEIS) - Ministerio de Salud</v>
      </c>
      <c r="O810" s="20" t="str">
        <f>+"Evolución Casos de Cáncer de Cuello Uterino por Comuna en la "&amp;I810&amp;", "&amp;Agencia[[#This Row],[temporalidad]]</f>
        <v>Evolución Casos de Cáncer de Cuello Uterino por Comuna en la Región de Ñuble, Periodo 2011-2018</v>
      </c>
      <c r="P810" s="20"/>
      <c r="Q810" s="11" t="str">
        <f t="shared" si="1222"/>
        <v>Gráfico de Evolución</v>
      </c>
      <c r="R810" s="20" t="str">
        <f>Agencia[[#This Row],[territorio]]&amp;" salud cáncer cérvico uterino cuello útero casos tumor servicio nacional programa"</f>
        <v>Región de Ñuble salud cáncer cérvico uterino cuello útero casos tumor servicio nacional programa</v>
      </c>
      <c r="S810" s="39" t="str">
        <f>HYPERLINK("https://analytics.zoho.com/open-view/2395394000008389657?ZOHO_CRITERIA=%22Localiza%20CL%22.%22Codreg%22%20%3D%20"&amp;Agencia[[#This Row],[Filtro URL]])</f>
        <v>https://analytics.zoho.com/open-view/2395394000008389657?ZOHO_CRITERIA=%22Localiza%20CL%22.%22Codreg%22%20%3D%2016</v>
      </c>
      <c r="T810" s="68" t="str">
        <f>"100-R-"&amp;Agencia[[#This Row],[Filtro URL]]</f>
        <v>100-R-16</v>
      </c>
      <c r="U810" s="50" t="str">
        <f t="shared" si="1223"/>
        <v>#1774B9</v>
      </c>
      <c r="V810" s="118" t="str">
        <f>+Agencia[[#This Row],[idcoleccion]]&amp;"-"&amp;Agencia[[#This Row],[id]]</f>
        <v>990-0799</v>
      </c>
      <c r="W810" s="118">
        <f>+VLOOKUP(Agencia[[#This Row],[Filtro URL]],Estructura!$X$4:$Y$500,2,0)</f>
        <v>99200016</v>
      </c>
      <c r="X810" s="118" t="str">
        <f>+VLOOKUP(Agencia[[#This Row],[tema]],Estructura!$A$4:$C$500,3,0)</f>
        <v>T-999</v>
      </c>
      <c r="Y810" s="118" t="str">
        <f>+VLOOKUP(Agencia[[#This Row],[contenido]],Estructura!$E$4:$G$500,3,0)</f>
        <v>C-1009</v>
      </c>
      <c r="Z810" s="118" t="str">
        <f>+VLOOKUP(Agencia[[#This Row],[Filtro Integrado]],Estructura!$I$4:$K$500,3,0)</f>
        <v>FI-1002</v>
      </c>
      <c r="AA810" s="118" t="str">
        <f>+VLOOKUP(Agencia[[#This Row],[Muestra]],Estructura!$M$4:$O$500,3,0)</f>
        <v>M-1065</v>
      </c>
    </row>
    <row r="811" spans="1:27" ht="61.2" x14ac:dyDescent="0.3">
      <c r="A811" s="21" t="s">
        <v>1403</v>
      </c>
      <c r="B811" s="24">
        <f t="shared" ref="B811:C811" si="1282">+B810</f>
        <v>990</v>
      </c>
      <c r="C811" s="25" t="str">
        <f t="shared" si="1282"/>
        <v>Agencia Información</v>
      </c>
      <c r="D811" s="25" t="s">
        <v>1030</v>
      </c>
      <c r="E811" s="14">
        <v>0</v>
      </c>
      <c r="F811" s="18" t="s">
        <v>1615</v>
      </c>
      <c r="G811" s="18" t="s">
        <v>3768</v>
      </c>
      <c r="H811" s="33" t="s">
        <v>20</v>
      </c>
      <c r="I811" s="34" t="s">
        <v>15</v>
      </c>
      <c r="J811" s="9" t="s">
        <v>404</v>
      </c>
      <c r="K811" s="9" t="s">
        <v>1638</v>
      </c>
      <c r="L811" s="9" t="s">
        <v>1607</v>
      </c>
      <c r="M811" s="9" t="s">
        <v>1610</v>
      </c>
      <c r="N811" s="9" t="s">
        <v>1612</v>
      </c>
      <c r="O811" s="20" t="str">
        <f>+"Emisiones Netas (kt) de CO2 equivalente por Región en "&amp;I811&amp;", "&amp;Agencia[[#This Row],[temporalidad]]</f>
        <v>Emisiones Netas (kt) de CO2 equivalente por Región en Chile, Año 2018</v>
      </c>
      <c r="P811" s="20" t="s">
        <v>1640</v>
      </c>
      <c r="Q811" s="11" t="s">
        <v>584</v>
      </c>
      <c r="R811" s="20" t="str">
        <f>Agencia[[#This Row],[territorio]]&amp;" GEI emisiones netas CO2 equivalente dióxido carbono regiones gas efecto invernadero"</f>
        <v>Chile GEI emisiones netas CO2 equivalente dióxido carbono regiones gas efecto invernadero</v>
      </c>
      <c r="S811" s="22" t="s">
        <v>1639</v>
      </c>
      <c r="T811" s="68">
        <v>0</v>
      </c>
      <c r="U811" s="50" t="str">
        <f t="shared" si="1223"/>
        <v>#1774B9</v>
      </c>
      <c r="V811" s="118" t="str">
        <f>+Agencia[[#This Row],[idcoleccion]]&amp;"-"&amp;Agencia[[#This Row],[id]]</f>
        <v>990-0800</v>
      </c>
      <c r="W811" s="118">
        <f>+VLOOKUP(Agencia[[#This Row],[Filtro URL]],Estructura!$X$4:$Y$500,2,0)</f>
        <v>99100000</v>
      </c>
      <c r="X811" s="118" t="str">
        <f>+VLOOKUP(Agencia[[#This Row],[tema]],Estructura!$A$4:$C$500,3,0)</f>
        <v>T-1017</v>
      </c>
      <c r="Y811" s="118" t="str">
        <f>+VLOOKUP(Agencia[[#This Row],[contenido]],Estructura!$E$4:$G$500,3,0)</f>
        <v>C-1004</v>
      </c>
      <c r="Z811" s="118" t="str">
        <f>+VLOOKUP(Agencia[[#This Row],[Filtro Integrado]],Estructura!$I$4:$K$500,3,0)</f>
        <v>FI-993</v>
      </c>
      <c r="AA811" s="118" t="str">
        <f>+VLOOKUP(Agencia[[#This Row],[Muestra]],Estructura!$M$4:$O$500,3,0)</f>
        <v>M-1066</v>
      </c>
    </row>
    <row r="812" spans="1:27" ht="36" x14ac:dyDescent="0.3">
      <c r="A812" s="21" t="s">
        <v>1404</v>
      </c>
      <c r="B812" s="24">
        <f t="shared" ref="B812:C812" si="1283">+B811</f>
        <v>990</v>
      </c>
      <c r="C812" s="25" t="str">
        <f t="shared" si="1283"/>
        <v>Agencia Información</v>
      </c>
      <c r="D812" s="25" t="s">
        <v>578</v>
      </c>
      <c r="E812" s="14">
        <v>0</v>
      </c>
      <c r="F812" s="18" t="s">
        <v>1641</v>
      </c>
      <c r="G812" s="18" t="s">
        <v>3785</v>
      </c>
      <c r="H812" s="33" t="s">
        <v>20</v>
      </c>
      <c r="I812" s="34" t="s">
        <v>15</v>
      </c>
      <c r="J812" s="9" t="s">
        <v>404</v>
      </c>
      <c r="K812" s="9" t="s">
        <v>1645</v>
      </c>
      <c r="L812" s="9" t="s">
        <v>610</v>
      </c>
      <c r="M812" s="9" t="s">
        <v>612</v>
      </c>
      <c r="N812" s="9" t="s">
        <v>609</v>
      </c>
      <c r="O812" s="20" t="str">
        <f>+"Superficie de Incendios Forestales por Comuna en "&amp;I812&amp;", "&amp;Agencia[[#This Row],[temporalidad]]</f>
        <v>Superficie de Incendios Forestales por Comuna en Chile, Periodo 2010-2020</v>
      </c>
      <c r="P812" s="20"/>
      <c r="Q812" s="11" t="s">
        <v>611</v>
      </c>
      <c r="R812" s="20" t="str">
        <f>Agencia[[#This Row],[territorio]]&amp;" incendios forestales hectáreas superficie comunas"</f>
        <v>Chile incendios forestales hectáreas superficie comunas</v>
      </c>
      <c r="S812" s="22" t="s">
        <v>423</v>
      </c>
      <c r="T812" s="68" t="s">
        <v>1033</v>
      </c>
      <c r="U812" s="50" t="str">
        <f t="shared" si="1223"/>
        <v>#1774B9</v>
      </c>
      <c r="V812" s="118" t="str">
        <f>+Agencia[[#This Row],[idcoleccion]]&amp;"-"&amp;Agencia[[#This Row],[id]]</f>
        <v>990-0801</v>
      </c>
      <c r="W812" s="118">
        <f>+VLOOKUP(Agencia[[#This Row],[Filtro URL]],Estructura!$X$4:$Y$500,2,0)</f>
        <v>99100000</v>
      </c>
      <c r="X812" s="118" t="str">
        <f>+VLOOKUP(Agencia[[#This Row],[tema]],Estructura!$A$4:$C$500,3,0)</f>
        <v>T-1046</v>
      </c>
      <c r="Y812" s="118" t="str">
        <f>+VLOOKUP(Agencia[[#This Row],[contenido]],Estructura!$E$4:$G$500,3,0)</f>
        <v>C-1007</v>
      </c>
      <c r="Z812" s="118" t="str">
        <f>+VLOOKUP(Agencia[[#This Row],[Filtro Integrado]],Estructura!$I$4:$K$500,3,0)</f>
        <v>FI-993</v>
      </c>
      <c r="AA812" s="118" t="str">
        <f>+VLOOKUP(Agencia[[#This Row],[Muestra]],Estructura!$M$4:$O$500,3,0)</f>
        <v>M-1067</v>
      </c>
    </row>
    <row r="813" spans="1:27" ht="48" x14ac:dyDescent="0.3">
      <c r="A813" s="21" t="s">
        <v>1405</v>
      </c>
      <c r="B813" s="24">
        <f t="shared" ref="B813:D813" si="1284">+B812</f>
        <v>990</v>
      </c>
      <c r="C813" s="25" t="str">
        <f t="shared" si="1284"/>
        <v>Agencia Información</v>
      </c>
      <c r="D813" s="25" t="str">
        <f t="shared" si="1284"/>
        <v>Agropecuario y Forestal</v>
      </c>
      <c r="E813" s="19">
        <v>1</v>
      </c>
      <c r="F813" s="18" t="s">
        <v>1641</v>
      </c>
      <c r="G813" s="18" t="s">
        <v>3785</v>
      </c>
      <c r="H813" s="35" t="s">
        <v>16</v>
      </c>
      <c r="I813" s="36" t="s">
        <v>368</v>
      </c>
      <c r="J813" s="9" t="str">
        <f t="shared" ref="J813:N813" si="1285">+J812</f>
        <v>Ninguno</v>
      </c>
      <c r="K813" s="9" t="s">
        <v>1644</v>
      </c>
      <c r="L813" s="9" t="str">
        <f t="shared" si="1285"/>
        <v>Periodo 2010-2020</v>
      </c>
      <c r="M813" s="9" t="str">
        <f t="shared" si="1285"/>
        <v>Hectáreas</v>
      </c>
      <c r="N813" s="9" t="str">
        <f t="shared" si="1285"/>
        <v>Corporación Nacional Forestal (CONAF)</v>
      </c>
      <c r="O813" s="20" t="str">
        <f>+"Superficie de Incendios Forestales por Comuna en la "&amp;I813&amp;", "&amp;Agencia[[#This Row],[temporalidad]]</f>
        <v>Superficie de Incendios Forestales por Comuna en la Región de Tarapacá, Periodo 2010-2020</v>
      </c>
      <c r="P813" s="20"/>
      <c r="Q813" s="11" t="str">
        <f t="shared" si="1222"/>
        <v>Gráfico animado</v>
      </c>
      <c r="R813" s="20" t="str">
        <f>Agencia[[#This Row],[territorio]]&amp;" incendios forestales hectáreas superficie comunas"</f>
        <v>Región de Tarapacá incendios forestales hectáreas superficie comunas</v>
      </c>
      <c r="S813" s="22" t="s">
        <v>423</v>
      </c>
      <c r="T813" s="69" t="str">
        <f>"100-C-"&amp;Agencia[[#This Row],[Filtro URL]]</f>
        <v>100-C-1</v>
      </c>
      <c r="U813" s="50" t="str">
        <f t="shared" si="1223"/>
        <v>#1774B9</v>
      </c>
      <c r="V813" s="118" t="str">
        <f>+Agencia[[#This Row],[idcoleccion]]&amp;"-"&amp;Agencia[[#This Row],[id]]</f>
        <v>990-0802</v>
      </c>
      <c r="W813" s="118">
        <f>+VLOOKUP(Agencia[[#This Row],[Filtro URL]],Estructura!$X$4:$Y$500,2,0)</f>
        <v>99200001</v>
      </c>
      <c r="X813" s="118" t="str">
        <f>+VLOOKUP(Agencia[[#This Row],[tema]],Estructura!$A$4:$C$500,3,0)</f>
        <v>T-1046</v>
      </c>
      <c r="Y813" s="118" t="str">
        <f>+VLOOKUP(Agencia[[#This Row],[contenido]],Estructura!$E$4:$G$500,3,0)</f>
        <v>C-1007</v>
      </c>
      <c r="Z813" s="118" t="str">
        <f>+VLOOKUP(Agencia[[#This Row],[Filtro Integrado]],Estructura!$I$4:$K$500,3,0)</f>
        <v>FI-993</v>
      </c>
      <c r="AA813" s="118" t="str">
        <f>+VLOOKUP(Agencia[[#This Row],[Muestra]],Estructura!$M$4:$O$500,3,0)</f>
        <v>M-1068</v>
      </c>
    </row>
    <row r="814" spans="1:27" ht="48" x14ac:dyDescent="0.3">
      <c r="A814" s="21" t="s">
        <v>1406</v>
      </c>
      <c r="B814" s="24">
        <f t="shared" ref="B814:D814" si="1286">+B813</f>
        <v>990</v>
      </c>
      <c r="C814" s="25" t="str">
        <f t="shared" si="1286"/>
        <v>Agencia Información</v>
      </c>
      <c r="D814" s="25" t="str">
        <f t="shared" si="1286"/>
        <v>Agropecuario y Forestal</v>
      </c>
      <c r="E814" s="19">
        <v>2</v>
      </c>
      <c r="F814" s="18" t="s">
        <v>1641</v>
      </c>
      <c r="G814" s="18" t="s">
        <v>3785</v>
      </c>
      <c r="H814" s="35" t="s">
        <v>16</v>
      </c>
      <c r="I814" s="36" t="s">
        <v>369</v>
      </c>
      <c r="J814" s="9" t="str">
        <f t="shared" ref="J814:N814" si="1287">+J813</f>
        <v>Ninguno</v>
      </c>
      <c r="K814" s="9" t="str">
        <f t="shared" si="1287"/>
        <v>Superficie quemada por incendios forestales por región</v>
      </c>
      <c r="L814" s="9" t="str">
        <f t="shared" si="1287"/>
        <v>Periodo 2010-2020</v>
      </c>
      <c r="M814" s="9" t="str">
        <f t="shared" si="1287"/>
        <v>Hectáreas</v>
      </c>
      <c r="N814" s="9" t="str">
        <f t="shared" si="1287"/>
        <v>Corporación Nacional Forestal (CONAF)</v>
      </c>
      <c r="O814" s="20" t="str">
        <f>+"Superficie de Incendios Forestales por Comuna en la "&amp;I814&amp;", "&amp;Agencia[[#This Row],[temporalidad]]</f>
        <v>Superficie de Incendios Forestales por Comuna en la Región de Antofagasta, Periodo 2010-2020</v>
      </c>
      <c r="P814" s="20"/>
      <c r="Q814" s="11" t="str">
        <f t="shared" si="1222"/>
        <v>Gráfico animado</v>
      </c>
      <c r="R814" s="20" t="str">
        <f>Agencia[[#This Row],[territorio]]&amp;" incendios forestales hectáreas superficie comunas"</f>
        <v>Región de Antofagasta incendios forestales hectáreas superficie comunas</v>
      </c>
      <c r="S814" s="22" t="s">
        <v>423</v>
      </c>
      <c r="T814" s="69" t="str">
        <f>"100-C-"&amp;Agencia[[#This Row],[Filtro URL]]</f>
        <v>100-C-2</v>
      </c>
      <c r="U814" s="50" t="str">
        <f t="shared" si="1223"/>
        <v>#1774B9</v>
      </c>
      <c r="V814" s="118" t="str">
        <f>+Agencia[[#This Row],[idcoleccion]]&amp;"-"&amp;Agencia[[#This Row],[id]]</f>
        <v>990-0803</v>
      </c>
      <c r="W814" s="118">
        <f>+VLOOKUP(Agencia[[#This Row],[Filtro URL]],Estructura!$X$4:$Y$500,2,0)</f>
        <v>99200002</v>
      </c>
      <c r="X814" s="118" t="str">
        <f>+VLOOKUP(Agencia[[#This Row],[tema]],Estructura!$A$4:$C$500,3,0)</f>
        <v>T-1046</v>
      </c>
      <c r="Y814" s="118" t="str">
        <f>+VLOOKUP(Agencia[[#This Row],[contenido]],Estructura!$E$4:$G$500,3,0)</f>
        <v>C-1007</v>
      </c>
      <c r="Z814" s="118" t="str">
        <f>+VLOOKUP(Agencia[[#This Row],[Filtro Integrado]],Estructura!$I$4:$K$500,3,0)</f>
        <v>FI-993</v>
      </c>
      <c r="AA814" s="118" t="str">
        <f>+VLOOKUP(Agencia[[#This Row],[Muestra]],Estructura!$M$4:$O$500,3,0)</f>
        <v>M-1068</v>
      </c>
    </row>
    <row r="815" spans="1:27" ht="48" x14ac:dyDescent="0.3">
      <c r="A815" s="21" t="s">
        <v>1407</v>
      </c>
      <c r="B815" s="24">
        <f t="shared" ref="B815:D815" si="1288">+B814</f>
        <v>990</v>
      </c>
      <c r="C815" s="25" t="str">
        <f t="shared" si="1288"/>
        <v>Agencia Información</v>
      </c>
      <c r="D815" s="25" t="str">
        <f t="shared" si="1288"/>
        <v>Agropecuario y Forestal</v>
      </c>
      <c r="E815" s="19">
        <v>3</v>
      </c>
      <c r="F815" s="18" t="s">
        <v>1641</v>
      </c>
      <c r="G815" s="18" t="s">
        <v>3785</v>
      </c>
      <c r="H815" s="35" t="s">
        <v>16</v>
      </c>
      <c r="I815" s="36" t="s">
        <v>370</v>
      </c>
      <c r="J815" s="9" t="str">
        <f t="shared" ref="J815:N815" si="1289">+J814</f>
        <v>Ninguno</v>
      </c>
      <c r="K815" s="9" t="str">
        <f t="shared" si="1289"/>
        <v>Superficie quemada por incendios forestales por región</v>
      </c>
      <c r="L815" s="9" t="str">
        <f t="shared" si="1289"/>
        <v>Periodo 2010-2020</v>
      </c>
      <c r="M815" s="9" t="str">
        <f t="shared" si="1289"/>
        <v>Hectáreas</v>
      </c>
      <c r="N815" s="9" t="str">
        <f t="shared" si="1289"/>
        <v>Corporación Nacional Forestal (CONAF)</v>
      </c>
      <c r="O815" s="20" t="str">
        <f>+"Superficie de Incendios Forestales por Comuna en la "&amp;I815&amp;", "&amp;Agencia[[#This Row],[temporalidad]]</f>
        <v>Superficie de Incendios Forestales por Comuna en la Región de Atacama, Periodo 2010-2020</v>
      </c>
      <c r="P815" s="20"/>
      <c r="Q815" s="11" t="str">
        <f t="shared" si="1222"/>
        <v>Gráfico animado</v>
      </c>
      <c r="R815" s="20" t="str">
        <f>Agencia[[#This Row],[territorio]]&amp;" incendios forestales hectáreas superficie comunas"</f>
        <v>Región de Atacama incendios forestales hectáreas superficie comunas</v>
      </c>
      <c r="S815" s="22" t="s">
        <v>423</v>
      </c>
      <c r="T815" s="69" t="str">
        <f>"100-C-"&amp;Agencia[[#This Row],[Filtro URL]]</f>
        <v>100-C-3</v>
      </c>
      <c r="U815" s="50" t="str">
        <f t="shared" si="1223"/>
        <v>#1774B9</v>
      </c>
      <c r="V815" s="118" t="str">
        <f>+Agencia[[#This Row],[idcoleccion]]&amp;"-"&amp;Agencia[[#This Row],[id]]</f>
        <v>990-0804</v>
      </c>
      <c r="W815" s="118">
        <f>+VLOOKUP(Agencia[[#This Row],[Filtro URL]],Estructura!$X$4:$Y$500,2,0)</f>
        <v>99200003</v>
      </c>
      <c r="X815" s="118" t="str">
        <f>+VLOOKUP(Agencia[[#This Row],[tema]],Estructura!$A$4:$C$500,3,0)</f>
        <v>T-1046</v>
      </c>
      <c r="Y815" s="118" t="str">
        <f>+VLOOKUP(Agencia[[#This Row],[contenido]],Estructura!$E$4:$G$500,3,0)</f>
        <v>C-1007</v>
      </c>
      <c r="Z815" s="118" t="str">
        <f>+VLOOKUP(Agencia[[#This Row],[Filtro Integrado]],Estructura!$I$4:$K$500,3,0)</f>
        <v>FI-993</v>
      </c>
      <c r="AA815" s="118" t="str">
        <f>+VLOOKUP(Agencia[[#This Row],[Muestra]],Estructura!$M$4:$O$500,3,0)</f>
        <v>M-1068</v>
      </c>
    </row>
    <row r="816" spans="1:27" ht="48" x14ac:dyDescent="0.3">
      <c r="A816" s="21" t="s">
        <v>1408</v>
      </c>
      <c r="B816" s="24">
        <f t="shared" ref="B816:D816" si="1290">+B815</f>
        <v>990</v>
      </c>
      <c r="C816" s="25" t="str">
        <f t="shared" si="1290"/>
        <v>Agencia Información</v>
      </c>
      <c r="D816" s="25" t="str">
        <f t="shared" si="1290"/>
        <v>Agropecuario y Forestal</v>
      </c>
      <c r="E816" s="19">
        <v>4</v>
      </c>
      <c r="F816" s="18" t="s">
        <v>1641</v>
      </c>
      <c r="G816" s="18" t="s">
        <v>3785</v>
      </c>
      <c r="H816" s="35" t="s">
        <v>16</v>
      </c>
      <c r="I816" s="36" t="s">
        <v>371</v>
      </c>
      <c r="J816" s="9" t="str">
        <f t="shared" ref="J816:N816" si="1291">+J815</f>
        <v>Ninguno</v>
      </c>
      <c r="K816" s="9" t="str">
        <f t="shared" si="1291"/>
        <v>Superficie quemada por incendios forestales por región</v>
      </c>
      <c r="L816" s="9" t="str">
        <f t="shared" si="1291"/>
        <v>Periodo 2010-2020</v>
      </c>
      <c r="M816" s="9" t="str">
        <f t="shared" si="1291"/>
        <v>Hectáreas</v>
      </c>
      <c r="N816" s="9" t="str">
        <f t="shared" si="1291"/>
        <v>Corporación Nacional Forestal (CONAF)</v>
      </c>
      <c r="O816" s="20" t="str">
        <f>+"Superficie de Incendios Forestales por Comuna en la "&amp;I816&amp;", "&amp;Agencia[[#This Row],[temporalidad]]</f>
        <v>Superficie de Incendios Forestales por Comuna en la Región de Coquimbo, Periodo 2010-2020</v>
      </c>
      <c r="P816" s="20"/>
      <c r="Q816" s="11" t="str">
        <f t="shared" si="1222"/>
        <v>Gráfico animado</v>
      </c>
      <c r="R816" s="20" t="str">
        <f>Agencia[[#This Row],[territorio]]&amp;" incendios forestales hectáreas superficie comunas"</f>
        <v>Región de Coquimbo incendios forestales hectáreas superficie comunas</v>
      </c>
      <c r="S816" s="22" t="s">
        <v>423</v>
      </c>
      <c r="T816" s="69" t="str">
        <f>"100-C-"&amp;Agencia[[#This Row],[Filtro URL]]</f>
        <v>100-C-4</v>
      </c>
      <c r="U816" s="50" t="str">
        <f t="shared" si="1223"/>
        <v>#1774B9</v>
      </c>
      <c r="V816" s="118" t="str">
        <f>+Agencia[[#This Row],[idcoleccion]]&amp;"-"&amp;Agencia[[#This Row],[id]]</f>
        <v>990-0805</v>
      </c>
      <c r="W816" s="118">
        <f>+VLOOKUP(Agencia[[#This Row],[Filtro URL]],Estructura!$X$4:$Y$500,2,0)</f>
        <v>99200004</v>
      </c>
      <c r="X816" s="118" t="str">
        <f>+VLOOKUP(Agencia[[#This Row],[tema]],Estructura!$A$4:$C$500,3,0)</f>
        <v>T-1046</v>
      </c>
      <c r="Y816" s="118" t="str">
        <f>+VLOOKUP(Agencia[[#This Row],[contenido]],Estructura!$E$4:$G$500,3,0)</f>
        <v>C-1007</v>
      </c>
      <c r="Z816" s="118" t="str">
        <f>+VLOOKUP(Agencia[[#This Row],[Filtro Integrado]],Estructura!$I$4:$K$500,3,0)</f>
        <v>FI-993</v>
      </c>
      <c r="AA816" s="118" t="str">
        <f>+VLOOKUP(Agencia[[#This Row],[Muestra]],Estructura!$M$4:$O$500,3,0)</f>
        <v>M-1068</v>
      </c>
    </row>
    <row r="817" spans="1:27" ht="48" x14ac:dyDescent="0.3">
      <c r="A817" s="21" t="s">
        <v>1409</v>
      </c>
      <c r="B817" s="24">
        <f t="shared" ref="B817:D817" si="1292">+B816</f>
        <v>990</v>
      </c>
      <c r="C817" s="25" t="str">
        <f t="shared" si="1292"/>
        <v>Agencia Información</v>
      </c>
      <c r="D817" s="25" t="str">
        <f t="shared" si="1292"/>
        <v>Agropecuario y Forestal</v>
      </c>
      <c r="E817" s="19">
        <v>5</v>
      </c>
      <c r="F817" s="18" t="s">
        <v>1641</v>
      </c>
      <c r="G817" s="18" t="s">
        <v>3785</v>
      </c>
      <c r="H817" s="35" t="s">
        <v>16</v>
      </c>
      <c r="I817" s="36" t="s">
        <v>372</v>
      </c>
      <c r="J817" s="9" t="str">
        <f t="shared" ref="J817:N817" si="1293">+J816</f>
        <v>Ninguno</v>
      </c>
      <c r="K817" s="9" t="str">
        <f t="shared" si="1293"/>
        <v>Superficie quemada por incendios forestales por región</v>
      </c>
      <c r="L817" s="9" t="str">
        <f t="shared" si="1293"/>
        <v>Periodo 2010-2020</v>
      </c>
      <c r="M817" s="9" t="str">
        <f t="shared" si="1293"/>
        <v>Hectáreas</v>
      </c>
      <c r="N817" s="9" t="str">
        <f t="shared" si="1293"/>
        <v>Corporación Nacional Forestal (CONAF)</v>
      </c>
      <c r="O817" s="20" t="str">
        <f>+"Superficie de Incendios Forestales por Comuna en la "&amp;I817&amp;", "&amp;Agencia[[#This Row],[temporalidad]]</f>
        <v>Superficie de Incendios Forestales por Comuna en la Región de Valparaíso, Periodo 2010-2020</v>
      </c>
      <c r="P817" s="20"/>
      <c r="Q817" s="11" t="str">
        <f t="shared" si="1222"/>
        <v>Gráfico animado</v>
      </c>
      <c r="R817" s="20" t="str">
        <f>Agencia[[#This Row],[territorio]]&amp;" incendios forestales hectáreas superficie comunas"</f>
        <v>Región de Valparaíso incendios forestales hectáreas superficie comunas</v>
      </c>
      <c r="S817" s="22" t="s">
        <v>423</v>
      </c>
      <c r="T817" s="69" t="str">
        <f>"100-C-"&amp;Agencia[[#This Row],[Filtro URL]]</f>
        <v>100-C-5</v>
      </c>
      <c r="U817" s="50" t="str">
        <f t="shared" si="1223"/>
        <v>#1774B9</v>
      </c>
      <c r="V817" s="118" t="str">
        <f>+Agencia[[#This Row],[idcoleccion]]&amp;"-"&amp;Agencia[[#This Row],[id]]</f>
        <v>990-0806</v>
      </c>
      <c r="W817" s="118">
        <f>+VLOOKUP(Agencia[[#This Row],[Filtro URL]],Estructura!$X$4:$Y$500,2,0)</f>
        <v>99200005</v>
      </c>
      <c r="X817" s="118" t="str">
        <f>+VLOOKUP(Agencia[[#This Row],[tema]],Estructura!$A$4:$C$500,3,0)</f>
        <v>T-1046</v>
      </c>
      <c r="Y817" s="118" t="str">
        <f>+VLOOKUP(Agencia[[#This Row],[contenido]],Estructura!$E$4:$G$500,3,0)</f>
        <v>C-1007</v>
      </c>
      <c r="Z817" s="118" t="str">
        <f>+VLOOKUP(Agencia[[#This Row],[Filtro Integrado]],Estructura!$I$4:$K$500,3,0)</f>
        <v>FI-993</v>
      </c>
      <c r="AA817" s="118" t="str">
        <f>+VLOOKUP(Agencia[[#This Row],[Muestra]],Estructura!$M$4:$O$500,3,0)</f>
        <v>M-1068</v>
      </c>
    </row>
    <row r="818" spans="1:27" ht="48" x14ac:dyDescent="0.3">
      <c r="A818" s="21" t="s">
        <v>1410</v>
      </c>
      <c r="B818" s="24">
        <f t="shared" ref="B818:D818" si="1294">+B817</f>
        <v>990</v>
      </c>
      <c r="C818" s="25" t="str">
        <f t="shared" si="1294"/>
        <v>Agencia Información</v>
      </c>
      <c r="D818" s="25" t="str">
        <f t="shared" si="1294"/>
        <v>Agropecuario y Forestal</v>
      </c>
      <c r="E818" s="19">
        <v>6</v>
      </c>
      <c r="F818" s="18" t="s">
        <v>1641</v>
      </c>
      <c r="G818" s="18" t="s">
        <v>3785</v>
      </c>
      <c r="H818" s="35" t="s">
        <v>16</v>
      </c>
      <c r="I818" s="36" t="s">
        <v>373</v>
      </c>
      <c r="J818" s="9" t="str">
        <f t="shared" ref="J818:N818" si="1295">+J817</f>
        <v>Ninguno</v>
      </c>
      <c r="K818" s="9" t="str">
        <f t="shared" si="1295"/>
        <v>Superficie quemada por incendios forestales por región</v>
      </c>
      <c r="L818" s="9" t="str">
        <f t="shared" si="1295"/>
        <v>Periodo 2010-2020</v>
      </c>
      <c r="M818" s="9" t="str">
        <f t="shared" si="1295"/>
        <v>Hectáreas</v>
      </c>
      <c r="N818" s="9" t="str">
        <f t="shared" si="1295"/>
        <v>Corporación Nacional Forestal (CONAF)</v>
      </c>
      <c r="O818" s="20" t="str">
        <f>+"Superficie de Incendios Forestales por Comuna en la "&amp;I818&amp;", "&amp;Agencia[[#This Row],[temporalidad]]</f>
        <v>Superficie de Incendios Forestales por Comuna en la Región de O'Higgins, Periodo 2010-2020</v>
      </c>
      <c r="P818" s="20"/>
      <c r="Q818" s="11" t="str">
        <f t="shared" si="1222"/>
        <v>Gráfico animado</v>
      </c>
      <c r="R818" s="20" t="str">
        <f>Agencia[[#This Row],[territorio]]&amp;" incendios forestales hectáreas superficie comunas"</f>
        <v>Región de O'Higgins incendios forestales hectáreas superficie comunas</v>
      </c>
      <c r="S818" s="22" t="s">
        <v>423</v>
      </c>
      <c r="T818" s="69" t="str">
        <f>"100-C-"&amp;Agencia[[#This Row],[Filtro URL]]</f>
        <v>100-C-6</v>
      </c>
      <c r="U818" s="50" t="str">
        <f t="shared" si="1223"/>
        <v>#1774B9</v>
      </c>
      <c r="V818" s="118" t="str">
        <f>+Agencia[[#This Row],[idcoleccion]]&amp;"-"&amp;Agencia[[#This Row],[id]]</f>
        <v>990-0807</v>
      </c>
      <c r="W818" s="118">
        <f>+VLOOKUP(Agencia[[#This Row],[Filtro URL]],Estructura!$X$4:$Y$500,2,0)</f>
        <v>99200006</v>
      </c>
      <c r="X818" s="118" t="str">
        <f>+VLOOKUP(Agencia[[#This Row],[tema]],Estructura!$A$4:$C$500,3,0)</f>
        <v>T-1046</v>
      </c>
      <c r="Y818" s="118" t="str">
        <f>+VLOOKUP(Agencia[[#This Row],[contenido]],Estructura!$E$4:$G$500,3,0)</f>
        <v>C-1007</v>
      </c>
      <c r="Z818" s="118" t="str">
        <f>+VLOOKUP(Agencia[[#This Row],[Filtro Integrado]],Estructura!$I$4:$K$500,3,0)</f>
        <v>FI-993</v>
      </c>
      <c r="AA818" s="118" t="str">
        <f>+VLOOKUP(Agencia[[#This Row],[Muestra]],Estructura!$M$4:$O$500,3,0)</f>
        <v>M-1068</v>
      </c>
    </row>
    <row r="819" spans="1:27" ht="48" x14ac:dyDescent="0.3">
      <c r="A819" s="21" t="s">
        <v>1411</v>
      </c>
      <c r="B819" s="24">
        <f t="shared" ref="B819:D819" si="1296">+B818</f>
        <v>990</v>
      </c>
      <c r="C819" s="25" t="str">
        <f t="shared" si="1296"/>
        <v>Agencia Información</v>
      </c>
      <c r="D819" s="25" t="str">
        <f t="shared" si="1296"/>
        <v>Agropecuario y Forestal</v>
      </c>
      <c r="E819" s="19">
        <v>7</v>
      </c>
      <c r="F819" s="18" t="s">
        <v>1641</v>
      </c>
      <c r="G819" s="18" t="s">
        <v>3785</v>
      </c>
      <c r="H819" s="35" t="s">
        <v>16</v>
      </c>
      <c r="I819" s="36" t="s">
        <v>374</v>
      </c>
      <c r="J819" s="9" t="str">
        <f t="shared" ref="J819:N819" si="1297">+J818</f>
        <v>Ninguno</v>
      </c>
      <c r="K819" s="9" t="str">
        <f t="shared" si="1297"/>
        <v>Superficie quemada por incendios forestales por región</v>
      </c>
      <c r="L819" s="9" t="str">
        <f t="shared" si="1297"/>
        <v>Periodo 2010-2020</v>
      </c>
      <c r="M819" s="9" t="str">
        <f t="shared" si="1297"/>
        <v>Hectáreas</v>
      </c>
      <c r="N819" s="9" t="str">
        <f t="shared" si="1297"/>
        <v>Corporación Nacional Forestal (CONAF)</v>
      </c>
      <c r="O819" s="20" t="str">
        <f>+"Superficie de Incendios Forestales por Comuna en la "&amp;I819&amp;", "&amp;Agencia[[#This Row],[temporalidad]]</f>
        <v>Superficie de Incendios Forestales por Comuna en la Región de Maule, Periodo 2010-2020</v>
      </c>
      <c r="P819" s="20"/>
      <c r="Q819" s="11" t="str">
        <f t="shared" si="1222"/>
        <v>Gráfico animado</v>
      </c>
      <c r="R819" s="20" t="str">
        <f>Agencia[[#This Row],[territorio]]&amp;" incendios forestales hectáreas superficie comunas"</f>
        <v>Región de Maule incendios forestales hectáreas superficie comunas</v>
      </c>
      <c r="S819" s="22" t="s">
        <v>423</v>
      </c>
      <c r="T819" s="69" t="str">
        <f>"100-C-"&amp;Agencia[[#This Row],[Filtro URL]]</f>
        <v>100-C-7</v>
      </c>
      <c r="U819" s="50" t="str">
        <f t="shared" si="1223"/>
        <v>#1774B9</v>
      </c>
      <c r="V819" s="118" t="str">
        <f>+Agencia[[#This Row],[idcoleccion]]&amp;"-"&amp;Agencia[[#This Row],[id]]</f>
        <v>990-0808</v>
      </c>
      <c r="W819" s="118">
        <f>+VLOOKUP(Agencia[[#This Row],[Filtro URL]],Estructura!$X$4:$Y$500,2,0)</f>
        <v>99200007</v>
      </c>
      <c r="X819" s="118" t="str">
        <f>+VLOOKUP(Agencia[[#This Row],[tema]],Estructura!$A$4:$C$500,3,0)</f>
        <v>T-1046</v>
      </c>
      <c r="Y819" s="118" t="str">
        <f>+VLOOKUP(Agencia[[#This Row],[contenido]],Estructura!$E$4:$G$500,3,0)</f>
        <v>C-1007</v>
      </c>
      <c r="Z819" s="118" t="str">
        <f>+VLOOKUP(Agencia[[#This Row],[Filtro Integrado]],Estructura!$I$4:$K$500,3,0)</f>
        <v>FI-993</v>
      </c>
      <c r="AA819" s="118" t="str">
        <f>+VLOOKUP(Agencia[[#This Row],[Muestra]],Estructura!$M$4:$O$500,3,0)</f>
        <v>M-1068</v>
      </c>
    </row>
    <row r="820" spans="1:27" ht="48" x14ac:dyDescent="0.3">
      <c r="A820" s="21" t="s">
        <v>1412</v>
      </c>
      <c r="B820" s="24">
        <f t="shared" ref="B820:D820" si="1298">+B819</f>
        <v>990</v>
      </c>
      <c r="C820" s="25" t="str">
        <f t="shared" si="1298"/>
        <v>Agencia Información</v>
      </c>
      <c r="D820" s="25" t="str">
        <f t="shared" si="1298"/>
        <v>Agropecuario y Forestal</v>
      </c>
      <c r="E820" s="19">
        <v>8</v>
      </c>
      <c r="F820" s="18" t="s">
        <v>1641</v>
      </c>
      <c r="G820" s="18" t="s">
        <v>3785</v>
      </c>
      <c r="H820" s="35" t="s">
        <v>16</v>
      </c>
      <c r="I820" s="36" t="s">
        <v>375</v>
      </c>
      <c r="J820" s="9" t="str">
        <f t="shared" ref="J820:N820" si="1299">+J819</f>
        <v>Ninguno</v>
      </c>
      <c r="K820" s="9" t="str">
        <f t="shared" si="1299"/>
        <v>Superficie quemada por incendios forestales por región</v>
      </c>
      <c r="L820" s="9" t="str">
        <f t="shared" si="1299"/>
        <v>Periodo 2010-2020</v>
      </c>
      <c r="M820" s="9" t="str">
        <f t="shared" si="1299"/>
        <v>Hectáreas</v>
      </c>
      <c r="N820" s="9" t="str">
        <f t="shared" si="1299"/>
        <v>Corporación Nacional Forestal (CONAF)</v>
      </c>
      <c r="O820" s="20" t="str">
        <f>+"Superficie de Incendios Forestales por Comuna en la "&amp;I820&amp;", "&amp;Agencia[[#This Row],[temporalidad]]</f>
        <v>Superficie de Incendios Forestales por Comuna en la Región del Biobío, Periodo 2010-2020</v>
      </c>
      <c r="P820" s="20"/>
      <c r="Q820" s="11" t="str">
        <f t="shared" si="1222"/>
        <v>Gráfico animado</v>
      </c>
      <c r="R820" s="20" t="str">
        <f>Agencia[[#This Row],[territorio]]&amp;" incendios forestales hectáreas superficie comunas"</f>
        <v>Región del Biobío incendios forestales hectáreas superficie comunas</v>
      </c>
      <c r="S820" s="22" t="s">
        <v>423</v>
      </c>
      <c r="T820" s="69" t="str">
        <f>"100-C-"&amp;Agencia[[#This Row],[Filtro URL]]</f>
        <v>100-C-8</v>
      </c>
      <c r="U820" s="50" t="str">
        <f t="shared" si="1223"/>
        <v>#1774B9</v>
      </c>
      <c r="V820" s="118" t="str">
        <f>+Agencia[[#This Row],[idcoleccion]]&amp;"-"&amp;Agencia[[#This Row],[id]]</f>
        <v>990-0809</v>
      </c>
      <c r="W820" s="118">
        <f>+VLOOKUP(Agencia[[#This Row],[Filtro URL]],Estructura!$X$4:$Y$500,2,0)</f>
        <v>99200008</v>
      </c>
      <c r="X820" s="118" t="str">
        <f>+VLOOKUP(Agencia[[#This Row],[tema]],Estructura!$A$4:$C$500,3,0)</f>
        <v>T-1046</v>
      </c>
      <c r="Y820" s="118" t="str">
        <f>+VLOOKUP(Agencia[[#This Row],[contenido]],Estructura!$E$4:$G$500,3,0)</f>
        <v>C-1007</v>
      </c>
      <c r="Z820" s="118" t="str">
        <f>+VLOOKUP(Agencia[[#This Row],[Filtro Integrado]],Estructura!$I$4:$K$500,3,0)</f>
        <v>FI-993</v>
      </c>
      <c r="AA820" s="118" t="str">
        <f>+VLOOKUP(Agencia[[#This Row],[Muestra]],Estructura!$M$4:$O$500,3,0)</f>
        <v>M-1068</v>
      </c>
    </row>
    <row r="821" spans="1:27" ht="48" x14ac:dyDescent="0.3">
      <c r="A821" s="21" t="s">
        <v>1413</v>
      </c>
      <c r="B821" s="24">
        <f t="shared" ref="B821:D821" si="1300">+B820</f>
        <v>990</v>
      </c>
      <c r="C821" s="25" t="str">
        <f t="shared" si="1300"/>
        <v>Agencia Información</v>
      </c>
      <c r="D821" s="25" t="str">
        <f t="shared" si="1300"/>
        <v>Agropecuario y Forestal</v>
      </c>
      <c r="E821" s="19">
        <v>9</v>
      </c>
      <c r="F821" s="18" t="s">
        <v>1641</v>
      </c>
      <c r="G821" s="18" t="s">
        <v>3785</v>
      </c>
      <c r="H821" s="35" t="s">
        <v>16</v>
      </c>
      <c r="I821" s="36" t="s">
        <v>376</v>
      </c>
      <c r="J821" s="9" t="str">
        <f t="shared" ref="J821:N821" si="1301">+J820</f>
        <v>Ninguno</v>
      </c>
      <c r="K821" s="9" t="str">
        <f t="shared" si="1301"/>
        <v>Superficie quemada por incendios forestales por región</v>
      </c>
      <c r="L821" s="9" t="str">
        <f t="shared" si="1301"/>
        <v>Periodo 2010-2020</v>
      </c>
      <c r="M821" s="9" t="str">
        <f t="shared" si="1301"/>
        <v>Hectáreas</v>
      </c>
      <c r="N821" s="9" t="str">
        <f t="shared" si="1301"/>
        <v>Corporación Nacional Forestal (CONAF)</v>
      </c>
      <c r="O821" s="20" t="str">
        <f>+"Superficie de Incendios Forestales por Comuna en la "&amp;I821&amp;", "&amp;Agencia[[#This Row],[temporalidad]]</f>
        <v>Superficie de Incendios Forestales por Comuna en la Región de La Araucanía, Periodo 2010-2020</v>
      </c>
      <c r="P821" s="20" t="s">
        <v>1642</v>
      </c>
      <c r="Q821" s="11" t="str">
        <f t="shared" si="1222"/>
        <v>Gráfico animado</v>
      </c>
      <c r="R821" s="20" t="str">
        <f>Agencia[[#This Row],[territorio]]&amp;" incendios forestales hectáreas superficie comunas"</f>
        <v>Región de La Araucanía incendios forestales hectáreas superficie comunas</v>
      </c>
      <c r="S821" s="39" t="s">
        <v>1643</v>
      </c>
      <c r="T821" s="69" t="str">
        <f>"100-C-"&amp;Agencia[[#This Row],[Filtro URL]]</f>
        <v>100-C-9</v>
      </c>
      <c r="U821" s="50" t="str">
        <f t="shared" si="1223"/>
        <v>#1774B9</v>
      </c>
      <c r="V821" s="118" t="str">
        <f>+Agencia[[#This Row],[idcoleccion]]&amp;"-"&amp;Agencia[[#This Row],[id]]</f>
        <v>990-0810</v>
      </c>
      <c r="W821" s="118">
        <f>+VLOOKUP(Agencia[[#This Row],[Filtro URL]],Estructura!$X$4:$Y$500,2,0)</f>
        <v>99200009</v>
      </c>
      <c r="X821" s="118" t="str">
        <f>+VLOOKUP(Agencia[[#This Row],[tema]],Estructura!$A$4:$C$500,3,0)</f>
        <v>T-1046</v>
      </c>
      <c r="Y821" s="118" t="str">
        <f>+VLOOKUP(Agencia[[#This Row],[contenido]],Estructura!$E$4:$G$500,3,0)</f>
        <v>C-1007</v>
      </c>
      <c r="Z821" s="118" t="str">
        <f>+VLOOKUP(Agencia[[#This Row],[Filtro Integrado]],Estructura!$I$4:$K$500,3,0)</f>
        <v>FI-993</v>
      </c>
      <c r="AA821" s="118" t="str">
        <f>+VLOOKUP(Agencia[[#This Row],[Muestra]],Estructura!$M$4:$O$500,3,0)</f>
        <v>M-1068</v>
      </c>
    </row>
    <row r="822" spans="1:27" ht="48" x14ac:dyDescent="0.3">
      <c r="A822" s="21" t="s">
        <v>1414</v>
      </c>
      <c r="B822" s="24">
        <f t="shared" ref="B822:D822" si="1302">+B821</f>
        <v>990</v>
      </c>
      <c r="C822" s="25" t="str">
        <f t="shared" si="1302"/>
        <v>Agencia Información</v>
      </c>
      <c r="D822" s="25" t="str">
        <f t="shared" si="1302"/>
        <v>Agropecuario y Forestal</v>
      </c>
      <c r="E822" s="19">
        <v>10</v>
      </c>
      <c r="F822" s="18" t="s">
        <v>1641</v>
      </c>
      <c r="G822" s="18" t="s">
        <v>3785</v>
      </c>
      <c r="H822" s="35" t="s">
        <v>16</v>
      </c>
      <c r="I822" s="36" t="s">
        <v>377</v>
      </c>
      <c r="J822" s="9" t="str">
        <f t="shared" ref="J822:N822" si="1303">+J821</f>
        <v>Ninguno</v>
      </c>
      <c r="K822" s="9" t="str">
        <f t="shared" si="1303"/>
        <v>Superficie quemada por incendios forestales por región</v>
      </c>
      <c r="L822" s="9" t="str">
        <f t="shared" si="1303"/>
        <v>Periodo 2010-2020</v>
      </c>
      <c r="M822" s="9" t="str">
        <f t="shared" si="1303"/>
        <v>Hectáreas</v>
      </c>
      <c r="N822" s="9" t="str">
        <f t="shared" si="1303"/>
        <v>Corporación Nacional Forestal (CONAF)</v>
      </c>
      <c r="O822" s="20" t="str">
        <f>+"Superficie de Incendios Forestales por Comuna en la "&amp;I822&amp;", "&amp;Agencia[[#This Row],[temporalidad]]</f>
        <v>Superficie de Incendios Forestales por Comuna en la Región de Los Lagos, Periodo 2010-2020</v>
      </c>
      <c r="P822" s="20"/>
      <c r="Q822" s="11" t="str">
        <f t="shared" si="1222"/>
        <v>Gráfico animado</v>
      </c>
      <c r="R822" s="20" t="str">
        <f>Agencia[[#This Row],[territorio]]&amp;" incendios forestales hectáreas superficie comunas"</f>
        <v>Región de Los Lagos incendios forestales hectáreas superficie comunas</v>
      </c>
      <c r="S822" s="22" t="s">
        <v>423</v>
      </c>
      <c r="T822" s="69" t="str">
        <f>"100-C-"&amp;Agencia[[#This Row],[Filtro URL]]</f>
        <v>100-C-10</v>
      </c>
      <c r="U822" s="50" t="str">
        <f t="shared" si="1223"/>
        <v>#1774B9</v>
      </c>
      <c r="V822" s="118" t="str">
        <f>+Agencia[[#This Row],[idcoleccion]]&amp;"-"&amp;Agencia[[#This Row],[id]]</f>
        <v>990-0811</v>
      </c>
      <c r="W822" s="118">
        <f>+VLOOKUP(Agencia[[#This Row],[Filtro URL]],Estructura!$X$4:$Y$500,2,0)</f>
        <v>99200010</v>
      </c>
      <c r="X822" s="118" t="str">
        <f>+VLOOKUP(Agencia[[#This Row],[tema]],Estructura!$A$4:$C$500,3,0)</f>
        <v>T-1046</v>
      </c>
      <c r="Y822" s="118" t="str">
        <f>+VLOOKUP(Agencia[[#This Row],[contenido]],Estructura!$E$4:$G$500,3,0)</f>
        <v>C-1007</v>
      </c>
      <c r="Z822" s="118" t="str">
        <f>+VLOOKUP(Agencia[[#This Row],[Filtro Integrado]],Estructura!$I$4:$K$500,3,0)</f>
        <v>FI-993</v>
      </c>
      <c r="AA822" s="118" t="str">
        <f>+VLOOKUP(Agencia[[#This Row],[Muestra]],Estructura!$M$4:$O$500,3,0)</f>
        <v>M-1068</v>
      </c>
    </row>
    <row r="823" spans="1:27" ht="48" x14ac:dyDescent="0.3">
      <c r="A823" s="21" t="s">
        <v>1415</v>
      </c>
      <c r="B823" s="24">
        <f t="shared" ref="B823:D823" si="1304">+B822</f>
        <v>990</v>
      </c>
      <c r="C823" s="25" t="str">
        <f t="shared" si="1304"/>
        <v>Agencia Información</v>
      </c>
      <c r="D823" s="25" t="str">
        <f t="shared" si="1304"/>
        <v>Agropecuario y Forestal</v>
      </c>
      <c r="E823" s="19">
        <v>11</v>
      </c>
      <c r="F823" s="18" t="s">
        <v>1641</v>
      </c>
      <c r="G823" s="18" t="s">
        <v>3785</v>
      </c>
      <c r="H823" s="35" t="s">
        <v>16</v>
      </c>
      <c r="I823" s="36" t="s">
        <v>378</v>
      </c>
      <c r="J823" s="9" t="str">
        <f t="shared" ref="J823:N823" si="1305">+J822</f>
        <v>Ninguno</v>
      </c>
      <c r="K823" s="9" t="str">
        <f t="shared" si="1305"/>
        <v>Superficie quemada por incendios forestales por región</v>
      </c>
      <c r="L823" s="9" t="str">
        <f t="shared" si="1305"/>
        <v>Periodo 2010-2020</v>
      </c>
      <c r="M823" s="9" t="str">
        <f t="shared" si="1305"/>
        <v>Hectáreas</v>
      </c>
      <c r="N823" s="9" t="str">
        <f t="shared" si="1305"/>
        <v>Corporación Nacional Forestal (CONAF)</v>
      </c>
      <c r="O823" s="20" t="str">
        <f>+"Superficie de Incendios Forestales por Comuna en la "&amp;I823&amp;", "&amp;Agencia[[#This Row],[temporalidad]]</f>
        <v>Superficie de Incendios Forestales por Comuna en la Región de Aysén, Periodo 2010-2020</v>
      </c>
      <c r="P823" s="20"/>
      <c r="Q823" s="11" t="str">
        <f t="shared" si="1222"/>
        <v>Gráfico animado</v>
      </c>
      <c r="R823" s="20" t="str">
        <f>Agencia[[#This Row],[territorio]]&amp;" incendios forestales hectáreas superficie comunas"</f>
        <v>Región de Aysén incendios forestales hectáreas superficie comunas</v>
      </c>
      <c r="S823" s="22" t="s">
        <v>423</v>
      </c>
      <c r="T823" s="69" t="str">
        <f>"100-C-"&amp;Agencia[[#This Row],[Filtro URL]]</f>
        <v>100-C-11</v>
      </c>
      <c r="U823" s="50" t="str">
        <f t="shared" si="1223"/>
        <v>#1774B9</v>
      </c>
      <c r="V823" s="118" t="str">
        <f>+Agencia[[#This Row],[idcoleccion]]&amp;"-"&amp;Agencia[[#This Row],[id]]</f>
        <v>990-0812</v>
      </c>
      <c r="W823" s="118">
        <f>+VLOOKUP(Agencia[[#This Row],[Filtro URL]],Estructura!$X$4:$Y$500,2,0)</f>
        <v>99200011</v>
      </c>
      <c r="X823" s="118" t="str">
        <f>+VLOOKUP(Agencia[[#This Row],[tema]],Estructura!$A$4:$C$500,3,0)</f>
        <v>T-1046</v>
      </c>
      <c r="Y823" s="118" t="str">
        <f>+VLOOKUP(Agencia[[#This Row],[contenido]],Estructura!$E$4:$G$500,3,0)</f>
        <v>C-1007</v>
      </c>
      <c r="Z823" s="118" t="str">
        <f>+VLOOKUP(Agencia[[#This Row],[Filtro Integrado]],Estructura!$I$4:$K$500,3,0)</f>
        <v>FI-993</v>
      </c>
      <c r="AA823" s="118" t="str">
        <f>+VLOOKUP(Agencia[[#This Row],[Muestra]],Estructura!$M$4:$O$500,3,0)</f>
        <v>M-1068</v>
      </c>
    </row>
    <row r="824" spans="1:27" ht="48" x14ac:dyDescent="0.3">
      <c r="A824" s="21" t="s">
        <v>1416</v>
      </c>
      <c r="B824" s="24">
        <f t="shared" ref="B824:D824" si="1306">+B823</f>
        <v>990</v>
      </c>
      <c r="C824" s="25" t="str">
        <f t="shared" si="1306"/>
        <v>Agencia Información</v>
      </c>
      <c r="D824" s="25" t="str">
        <f t="shared" si="1306"/>
        <v>Agropecuario y Forestal</v>
      </c>
      <c r="E824" s="19">
        <v>12</v>
      </c>
      <c r="F824" s="18" t="s">
        <v>1641</v>
      </c>
      <c r="G824" s="18" t="s">
        <v>3785</v>
      </c>
      <c r="H824" s="35" t="s">
        <v>16</v>
      </c>
      <c r="I824" s="36" t="s">
        <v>379</v>
      </c>
      <c r="J824" s="9" t="str">
        <f t="shared" ref="J824:N824" si="1307">+J823</f>
        <v>Ninguno</v>
      </c>
      <c r="K824" s="9" t="str">
        <f t="shared" si="1307"/>
        <v>Superficie quemada por incendios forestales por región</v>
      </c>
      <c r="L824" s="9" t="str">
        <f t="shared" si="1307"/>
        <v>Periodo 2010-2020</v>
      </c>
      <c r="M824" s="9" t="str">
        <f t="shared" si="1307"/>
        <v>Hectáreas</v>
      </c>
      <c r="N824" s="9" t="str">
        <f t="shared" si="1307"/>
        <v>Corporación Nacional Forestal (CONAF)</v>
      </c>
      <c r="O824" s="20" t="str">
        <f>+"Superficie de Incendios Forestales por Comuna en la "&amp;I824&amp;", "&amp;Agencia[[#This Row],[temporalidad]]</f>
        <v>Superficie de Incendios Forestales por Comuna en la Región de Magallanes, Periodo 2010-2020</v>
      </c>
      <c r="P824" s="20"/>
      <c r="Q824" s="11" t="str">
        <f t="shared" si="1222"/>
        <v>Gráfico animado</v>
      </c>
      <c r="R824" s="20" t="str">
        <f>Agencia[[#This Row],[territorio]]&amp;" incendios forestales hectáreas superficie comunas"</f>
        <v>Región de Magallanes incendios forestales hectáreas superficie comunas</v>
      </c>
      <c r="S824" s="22" t="s">
        <v>423</v>
      </c>
      <c r="T824" s="69" t="str">
        <f>"100-C-"&amp;Agencia[[#This Row],[Filtro URL]]</f>
        <v>100-C-12</v>
      </c>
      <c r="U824" s="50" t="str">
        <f t="shared" si="1223"/>
        <v>#1774B9</v>
      </c>
      <c r="V824" s="118" t="str">
        <f>+Agencia[[#This Row],[idcoleccion]]&amp;"-"&amp;Agencia[[#This Row],[id]]</f>
        <v>990-0813</v>
      </c>
      <c r="W824" s="118">
        <f>+VLOOKUP(Agencia[[#This Row],[Filtro URL]],Estructura!$X$4:$Y$500,2,0)</f>
        <v>99200012</v>
      </c>
      <c r="X824" s="118" t="str">
        <f>+VLOOKUP(Agencia[[#This Row],[tema]],Estructura!$A$4:$C$500,3,0)</f>
        <v>T-1046</v>
      </c>
      <c r="Y824" s="118" t="str">
        <f>+VLOOKUP(Agencia[[#This Row],[contenido]],Estructura!$E$4:$G$500,3,0)</f>
        <v>C-1007</v>
      </c>
      <c r="Z824" s="118" t="str">
        <f>+VLOOKUP(Agencia[[#This Row],[Filtro Integrado]],Estructura!$I$4:$K$500,3,0)</f>
        <v>FI-993</v>
      </c>
      <c r="AA824" s="118" t="str">
        <f>+VLOOKUP(Agencia[[#This Row],[Muestra]],Estructura!$M$4:$O$500,3,0)</f>
        <v>M-1068</v>
      </c>
    </row>
    <row r="825" spans="1:27" ht="48" x14ac:dyDescent="0.3">
      <c r="A825" s="21" t="s">
        <v>1417</v>
      </c>
      <c r="B825" s="24">
        <f t="shared" ref="B825:D825" si="1308">+B824</f>
        <v>990</v>
      </c>
      <c r="C825" s="25" t="str">
        <f t="shared" si="1308"/>
        <v>Agencia Información</v>
      </c>
      <c r="D825" s="25" t="str">
        <f t="shared" si="1308"/>
        <v>Agropecuario y Forestal</v>
      </c>
      <c r="E825" s="19">
        <v>13</v>
      </c>
      <c r="F825" s="18" t="s">
        <v>1641</v>
      </c>
      <c r="G825" s="18" t="s">
        <v>3785</v>
      </c>
      <c r="H825" s="35" t="s">
        <v>16</v>
      </c>
      <c r="I825" s="36" t="s">
        <v>380</v>
      </c>
      <c r="J825" s="9" t="str">
        <f t="shared" ref="J825:N825" si="1309">+J824</f>
        <v>Ninguno</v>
      </c>
      <c r="K825" s="9" t="str">
        <f t="shared" si="1309"/>
        <v>Superficie quemada por incendios forestales por región</v>
      </c>
      <c r="L825" s="9" t="str">
        <f t="shared" si="1309"/>
        <v>Periodo 2010-2020</v>
      </c>
      <c r="M825" s="9" t="str">
        <f t="shared" si="1309"/>
        <v>Hectáreas</v>
      </c>
      <c r="N825" s="9" t="str">
        <f t="shared" si="1309"/>
        <v>Corporación Nacional Forestal (CONAF)</v>
      </c>
      <c r="O825" s="20" t="str">
        <f>+"Superficie de Incendios Forestales por Comuna en la "&amp;I825&amp;", "&amp;Agencia[[#This Row],[temporalidad]]</f>
        <v>Superficie de Incendios Forestales por Comuna en la Región Metropolitana, Periodo 2010-2020</v>
      </c>
      <c r="P825" s="20"/>
      <c r="Q825" s="11" t="str">
        <f t="shared" si="1222"/>
        <v>Gráfico animado</v>
      </c>
      <c r="R825" s="20" t="str">
        <f>Agencia[[#This Row],[territorio]]&amp;" incendios forestales hectáreas superficie comunas"</f>
        <v>Región Metropolitana incendios forestales hectáreas superficie comunas</v>
      </c>
      <c r="S825" s="22" t="s">
        <v>423</v>
      </c>
      <c r="T825" s="69" t="str">
        <f>"200-C-"&amp;Agencia[[#This Row],[Filtro URL]]</f>
        <v>200-C-13</v>
      </c>
      <c r="U825" s="50" t="str">
        <f t="shared" si="1223"/>
        <v>#1774B9</v>
      </c>
      <c r="V825" s="118" t="str">
        <f>+Agencia[[#This Row],[idcoleccion]]&amp;"-"&amp;Agencia[[#This Row],[id]]</f>
        <v>990-0814</v>
      </c>
      <c r="W825" s="118">
        <f>+VLOOKUP(Agencia[[#This Row],[Filtro URL]],Estructura!$X$4:$Y$500,2,0)</f>
        <v>99200013</v>
      </c>
      <c r="X825" s="118" t="str">
        <f>+VLOOKUP(Agencia[[#This Row],[tema]],Estructura!$A$4:$C$500,3,0)</f>
        <v>T-1046</v>
      </c>
      <c r="Y825" s="118" t="str">
        <f>+VLOOKUP(Agencia[[#This Row],[contenido]],Estructura!$E$4:$G$500,3,0)</f>
        <v>C-1007</v>
      </c>
      <c r="Z825" s="118" t="str">
        <f>+VLOOKUP(Agencia[[#This Row],[Filtro Integrado]],Estructura!$I$4:$K$500,3,0)</f>
        <v>FI-993</v>
      </c>
      <c r="AA825" s="118" t="str">
        <f>+VLOOKUP(Agencia[[#This Row],[Muestra]],Estructura!$M$4:$O$500,3,0)</f>
        <v>M-1068</v>
      </c>
    </row>
    <row r="826" spans="1:27" ht="48" x14ac:dyDescent="0.3">
      <c r="A826" s="21" t="s">
        <v>1418</v>
      </c>
      <c r="B826" s="24">
        <f t="shared" ref="B826:D826" si="1310">+B825</f>
        <v>990</v>
      </c>
      <c r="C826" s="25" t="str">
        <f t="shared" si="1310"/>
        <v>Agencia Información</v>
      </c>
      <c r="D826" s="25" t="str">
        <f t="shared" si="1310"/>
        <v>Agropecuario y Forestal</v>
      </c>
      <c r="E826" s="19">
        <v>14</v>
      </c>
      <c r="F826" s="18" t="s">
        <v>1641</v>
      </c>
      <c r="G826" s="18" t="s">
        <v>3785</v>
      </c>
      <c r="H826" s="35" t="s">
        <v>16</v>
      </c>
      <c r="I826" s="36" t="s">
        <v>381</v>
      </c>
      <c r="J826" s="9" t="str">
        <f t="shared" ref="J826:N826" si="1311">+J825</f>
        <v>Ninguno</v>
      </c>
      <c r="K826" s="9" t="str">
        <f t="shared" si="1311"/>
        <v>Superficie quemada por incendios forestales por región</v>
      </c>
      <c r="L826" s="9" t="str">
        <f t="shared" si="1311"/>
        <v>Periodo 2010-2020</v>
      </c>
      <c r="M826" s="9" t="str">
        <f t="shared" si="1311"/>
        <v>Hectáreas</v>
      </c>
      <c r="N826" s="9" t="str">
        <f t="shared" si="1311"/>
        <v>Corporación Nacional Forestal (CONAF)</v>
      </c>
      <c r="O826" s="20" t="str">
        <f>+"Superficie de Incendios Forestales por Comuna en la "&amp;I826&amp;", "&amp;Agencia[[#This Row],[temporalidad]]</f>
        <v>Superficie de Incendios Forestales por Comuna en la Región de Los Ríos, Periodo 2010-2020</v>
      </c>
      <c r="P826" s="20"/>
      <c r="Q826" s="11" t="str">
        <f t="shared" si="1222"/>
        <v>Gráfico animado</v>
      </c>
      <c r="R826" s="20" t="str">
        <f>Agencia[[#This Row],[territorio]]&amp;" incendios forestales hectáreas superficie comunas"</f>
        <v>Región de Los Ríos incendios forestales hectáreas superficie comunas</v>
      </c>
      <c r="S826" s="22" t="s">
        <v>423</v>
      </c>
      <c r="T826" s="69" t="str">
        <f>"100-C-"&amp;Agencia[[#This Row],[Filtro URL]]</f>
        <v>100-C-14</v>
      </c>
      <c r="U826" s="50" t="str">
        <f t="shared" si="1223"/>
        <v>#1774B9</v>
      </c>
      <c r="V826" s="118" t="str">
        <f>+Agencia[[#This Row],[idcoleccion]]&amp;"-"&amp;Agencia[[#This Row],[id]]</f>
        <v>990-0815</v>
      </c>
      <c r="W826" s="118">
        <f>+VLOOKUP(Agencia[[#This Row],[Filtro URL]],Estructura!$X$4:$Y$500,2,0)</f>
        <v>99200014</v>
      </c>
      <c r="X826" s="118" t="str">
        <f>+VLOOKUP(Agencia[[#This Row],[tema]],Estructura!$A$4:$C$500,3,0)</f>
        <v>T-1046</v>
      </c>
      <c r="Y826" s="118" t="str">
        <f>+VLOOKUP(Agencia[[#This Row],[contenido]],Estructura!$E$4:$G$500,3,0)</f>
        <v>C-1007</v>
      </c>
      <c r="Z826" s="118" t="str">
        <f>+VLOOKUP(Agencia[[#This Row],[Filtro Integrado]],Estructura!$I$4:$K$500,3,0)</f>
        <v>FI-993</v>
      </c>
      <c r="AA826" s="118" t="str">
        <f>+VLOOKUP(Agencia[[#This Row],[Muestra]],Estructura!$M$4:$O$500,3,0)</f>
        <v>M-1068</v>
      </c>
    </row>
    <row r="827" spans="1:27" ht="48" x14ac:dyDescent="0.3">
      <c r="A827" s="21" t="s">
        <v>1419</v>
      </c>
      <c r="B827" s="24">
        <f t="shared" ref="B827:D827" si="1312">+B826</f>
        <v>990</v>
      </c>
      <c r="C827" s="25" t="str">
        <f t="shared" si="1312"/>
        <v>Agencia Información</v>
      </c>
      <c r="D827" s="25" t="str">
        <f t="shared" si="1312"/>
        <v>Agropecuario y Forestal</v>
      </c>
      <c r="E827" s="19">
        <v>15</v>
      </c>
      <c r="F827" s="18" t="s">
        <v>1641</v>
      </c>
      <c r="G827" s="18" t="s">
        <v>3785</v>
      </c>
      <c r="H827" s="35" t="s">
        <v>16</v>
      </c>
      <c r="I827" s="36" t="s">
        <v>382</v>
      </c>
      <c r="J827" s="9" t="str">
        <f t="shared" ref="J827:N827" si="1313">+J826</f>
        <v>Ninguno</v>
      </c>
      <c r="K827" s="9" t="str">
        <f t="shared" si="1313"/>
        <v>Superficie quemada por incendios forestales por región</v>
      </c>
      <c r="L827" s="9" t="str">
        <f t="shared" si="1313"/>
        <v>Periodo 2010-2020</v>
      </c>
      <c r="M827" s="9" t="str">
        <f t="shared" si="1313"/>
        <v>Hectáreas</v>
      </c>
      <c r="N827" s="9" t="str">
        <f t="shared" si="1313"/>
        <v>Corporación Nacional Forestal (CONAF)</v>
      </c>
      <c r="O827" s="20" t="str">
        <f>+"Superficie de Incendios Forestales por Comuna en la "&amp;I827&amp;", "&amp;Agencia[[#This Row],[temporalidad]]</f>
        <v>Superficie de Incendios Forestales por Comuna en la Región de Arica y Parinacota, Periodo 2010-2020</v>
      </c>
      <c r="P827" s="20"/>
      <c r="Q827" s="11" t="str">
        <f t="shared" si="1222"/>
        <v>Gráfico animado</v>
      </c>
      <c r="R827" s="20" t="str">
        <f>Agencia[[#This Row],[territorio]]&amp;" incendios forestales hectáreas superficie comunas"</f>
        <v>Región de Arica y Parinacota incendios forestales hectáreas superficie comunas</v>
      </c>
      <c r="S827" s="22" t="s">
        <v>423</v>
      </c>
      <c r="T827" s="69" t="str">
        <f>"100-C-"&amp;Agencia[[#This Row],[Filtro URL]]</f>
        <v>100-C-15</v>
      </c>
      <c r="U827" s="50" t="str">
        <f t="shared" si="1223"/>
        <v>#1774B9</v>
      </c>
      <c r="V827" s="118" t="str">
        <f>+Agencia[[#This Row],[idcoleccion]]&amp;"-"&amp;Agencia[[#This Row],[id]]</f>
        <v>990-0816</v>
      </c>
      <c r="W827" s="118">
        <f>+VLOOKUP(Agencia[[#This Row],[Filtro URL]],Estructura!$X$4:$Y$500,2,0)</f>
        <v>99200015</v>
      </c>
      <c r="X827" s="118" t="str">
        <f>+VLOOKUP(Agencia[[#This Row],[tema]],Estructura!$A$4:$C$500,3,0)</f>
        <v>T-1046</v>
      </c>
      <c r="Y827" s="118" t="str">
        <f>+VLOOKUP(Agencia[[#This Row],[contenido]],Estructura!$E$4:$G$500,3,0)</f>
        <v>C-1007</v>
      </c>
      <c r="Z827" s="118" t="str">
        <f>+VLOOKUP(Agencia[[#This Row],[Filtro Integrado]],Estructura!$I$4:$K$500,3,0)</f>
        <v>FI-993</v>
      </c>
      <c r="AA827" s="118" t="str">
        <f>+VLOOKUP(Agencia[[#This Row],[Muestra]],Estructura!$M$4:$O$500,3,0)</f>
        <v>M-1068</v>
      </c>
    </row>
    <row r="828" spans="1:27" ht="48" x14ac:dyDescent="0.3">
      <c r="A828" s="21" t="s">
        <v>1420</v>
      </c>
      <c r="B828" s="24">
        <f t="shared" ref="B828:D828" si="1314">+B827</f>
        <v>990</v>
      </c>
      <c r="C828" s="25" t="str">
        <f t="shared" si="1314"/>
        <v>Agencia Información</v>
      </c>
      <c r="D828" s="25" t="str">
        <f t="shared" si="1314"/>
        <v>Agropecuario y Forestal</v>
      </c>
      <c r="E828" s="19">
        <v>16</v>
      </c>
      <c r="F828" s="18" t="s">
        <v>1641</v>
      </c>
      <c r="G828" s="18" t="s">
        <v>3785</v>
      </c>
      <c r="H828" s="35" t="s">
        <v>16</v>
      </c>
      <c r="I828" s="36" t="s">
        <v>383</v>
      </c>
      <c r="J828" s="9" t="str">
        <f t="shared" ref="J828:N828" si="1315">+J827</f>
        <v>Ninguno</v>
      </c>
      <c r="K828" s="9" t="str">
        <f t="shared" si="1315"/>
        <v>Superficie quemada por incendios forestales por región</v>
      </c>
      <c r="L828" s="9" t="str">
        <f t="shared" si="1315"/>
        <v>Periodo 2010-2020</v>
      </c>
      <c r="M828" s="9" t="str">
        <f t="shared" si="1315"/>
        <v>Hectáreas</v>
      </c>
      <c r="N828" s="9" t="str">
        <f t="shared" si="1315"/>
        <v>Corporación Nacional Forestal (CONAF)</v>
      </c>
      <c r="O828" s="20" t="str">
        <f>+"Superficie de Incendios Forestales por Comuna en la "&amp;I828&amp;", "&amp;Agencia[[#This Row],[temporalidad]]</f>
        <v>Superficie de Incendios Forestales por Comuna en la Región de Ñuble, Periodo 2010-2020</v>
      </c>
      <c r="P828" s="20"/>
      <c r="Q828" s="11" t="str">
        <f t="shared" si="1222"/>
        <v>Gráfico animado</v>
      </c>
      <c r="R828" s="20" t="str">
        <f>Agencia[[#This Row],[territorio]]&amp;" incendios forestales hectáreas superficie comunas"</f>
        <v>Región de Ñuble incendios forestales hectáreas superficie comunas</v>
      </c>
      <c r="S828" s="22" t="s">
        <v>423</v>
      </c>
      <c r="T828" s="69" t="str">
        <f>"100-C-"&amp;Agencia[[#This Row],[Filtro URL]]</f>
        <v>100-C-16</v>
      </c>
      <c r="U828" s="50" t="str">
        <f t="shared" si="1223"/>
        <v>#1774B9</v>
      </c>
      <c r="V828" s="118" t="str">
        <f>+Agencia[[#This Row],[idcoleccion]]&amp;"-"&amp;Agencia[[#This Row],[id]]</f>
        <v>990-0817</v>
      </c>
      <c r="W828" s="118">
        <f>+VLOOKUP(Agencia[[#This Row],[Filtro URL]],Estructura!$X$4:$Y$500,2,0)</f>
        <v>99200016</v>
      </c>
      <c r="X828" s="118" t="str">
        <f>+VLOOKUP(Agencia[[#This Row],[tema]],Estructura!$A$4:$C$500,3,0)</f>
        <v>T-1046</v>
      </c>
      <c r="Y828" s="118" t="str">
        <f>+VLOOKUP(Agencia[[#This Row],[contenido]],Estructura!$E$4:$G$500,3,0)</f>
        <v>C-1007</v>
      </c>
      <c r="Z828" s="118" t="str">
        <f>+VLOOKUP(Agencia[[#This Row],[Filtro Integrado]],Estructura!$I$4:$K$500,3,0)</f>
        <v>FI-993</v>
      </c>
      <c r="AA828" s="118" t="str">
        <f>+VLOOKUP(Agencia[[#This Row],[Muestra]],Estructura!$M$4:$O$500,3,0)</f>
        <v>M-1068</v>
      </c>
    </row>
    <row r="829" spans="1:27" ht="36" x14ac:dyDescent="0.3">
      <c r="A829" s="21" t="s">
        <v>1421</v>
      </c>
      <c r="B829" s="24">
        <f t="shared" ref="B829:C829" si="1316">+B828</f>
        <v>990</v>
      </c>
      <c r="C829" s="25" t="str">
        <f t="shared" si="1316"/>
        <v>Agencia Información</v>
      </c>
      <c r="D829" s="25" t="s">
        <v>578</v>
      </c>
      <c r="E829" s="14">
        <v>0</v>
      </c>
      <c r="F829" s="18" t="s">
        <v>1641</v>
      </c>
      <c r="G829" s="18" t="s">
        <v>3785</v>
      </c>
      <c r="H829" s="33" t="s">
        <v>20</v>
      </c>
      <c r="I829" s="34" t="s">
        <v>15</v>
      </c>
      <c r="J829" s="9" t="s">
        <v>404</v>
      </c>
      <c r="K829" s="9" t="s">
        <v>1645</v>
      </c>
      <c r="L829" s="9" t="s">
        <v>610</v>
      </c>
      <c r="M829" s="9" t="s">
        <v>612</v>
      </c>
      <c r="N829" s="9" t="s">
        <v>609</v>
      </c>
      <c r="O829" s="20" t="str">
        <f>+"Evolución Anual de la superficie afectada por Incendios Forestales en "&amp;I829&amp;", "&amp;Agencia[[#This Row],[temporalidad]]</f>
        <v>Evolución Anual de la superficie afectada por Incendios Forestales en Chile, Periodo 2010-2020</v>
      </c>
      <c r="P829" s="20"/>
      <c r="Q829" s="11" t="s">
        <v>606</v>
      </c>
      <c r="R829" s="20" t="str">
        <f>Agencia[[#This Row],[territorio]]&amp;" incendios forestales hectáreas superficie vegetación natural plantaciones temporada"</f>
        <v>Chile incendios forestales hectáreas superficie vegetación natural plantaciones temporada</v>
      </c>
      <c r="S829" s="22" t="s">
        <v>423</v>
      </c>
      <c r="T829" s="68" t="s">
        <v>1033</v>
      </c>
      <c r="U829" s="50" t="str">
        <f t="shared" si="1223"/>
        <v>#1774B9</v>
      </c>
      <c r="V829" s="118" t="str">
        <f>+Agencia[[#This Row],[idcoleccion]]&amp;"-"&amp;Agencia[[#This Row],[id]]</f>
        <v>990-0818</v>
      </c>
      <c r="W829" s="118">
        <f>+VLOOKUP(Agencia[[#This Row],[Filtro URL]],Estructura!$X$4:$Y$500,2,0)</f>
        <v>99100000</v>
      </c>
      <c r="X829" s="118" t="str">
        <f>+VLOOKUP(Agencia[[#This Row],[tema]],Estructura!$A$4:$C$500,3,0)</f>
        <v>T-1046</v>
      </c>
      <c r="Y829" s="118" t="str">
        <f>+VLOOKUP(Agencia[[#This Row],[contenido]],Estructura!$E$4:$G$500,3,0)</f>
        <v>C-1007</v>
      </c>
      <c r="Z829" s="118" t="str">
        <f>+VLOOKUP(Agencia[[#This Row],[Filtro Integrado]],Estructura!$I$4:$K$500,3,0)</f>
        <v>FI-993</v>
      </c>
      <c r="AA829" s="118" t="str">
        <f>+VLOOKUP(Agencia[[#This Row],[Muestra]],Estructura!$M$4:$O$500,3,0)</f>
        <v>M-1067</v>
      </c>
    </row>
    <row r="830" spans="1:27" ht="48" x14ac:dyDescent="0.3">
      <c r="A830" s="21" t="s">
        <v>1422</v>
      </c>
      <c r="B830" s="24">
        <f t="shared" ref="B830:D830" si="1317">+B829</f>
        <v>990</v>
      </c>
      <c r="C830" s="25" t="str">
        <f t="shared" si="1317"/>
        <v>Agencia Información</v>
      </c>
      <c r="D830" s="25" t="str">
        <f t="shared" si="1317"/>
        <v>Agropecuario y Forestal</v>
      </c>
      <c r="E830" s="19">
        <v>1</v>
      </c>
      <c r="F830" s="18" t="s">
        <v>1641</v>
      </c>
      <c r="G830" s="18" t="s">
        <v>3785</v>
      </c>
      <c r="H830" s="35" t="s">
        <v>16</v>
      </c>
      <c r="I830" s="36" t="s">
        <v>368</v>
      </c>
      <c r="J830" s="9" t="str">
        <f t="shared" ref="J830" si="1318">+J829</f>
        <v>Ninguno</v>
      </c>
      <c r="K830" s="9" t="s">
        <v>1644</v>
      </c>
      <c r="L830" s="9" t="str">
        <f t="shared" ref="L830:N830" si="1319">+L829</f>
        <v>Periodo 2010-2020</v>
      </c>
      <c r="M830" s="9" t="str">
        <f t="shared" si="1319"/>
        <v>Hectáreas</v>
      </c>
      <c r="N830" s="9" t="str">
        <f t="shared" si="1319"/>
        <v>Corporación Nacional Forestal (CONAF)</v>
      </c>
      <c r="O830" s="20" t="str">
        <f>+"Evolución Anual de la superficie afectada por Incendios Forestales en la "&amp;I830&amp;", "&amp;Agencia[[#This Row],[temporalidad]]</f>
        <v>Evolución Anual de la superficie afectada por Incendios Forestales en la Región de Tarapacá, Periodo 2010-2020</v>
      </c>
      <c r="P830" s="20"/>
      <c r="Q830" s="11" t="str">
        <f t="shared" si="1222"/>
        <v>Dashboard</v>
      </c>
      <c r="R830" s="20" t="str">
        <f>Agencia[[#This Row],[territorio]]&amp;" incendios forestales hectáreas superficie vegetación natural plantaciones temporada"</f>
        <v>Región de Tarapacá incendios forestales hectáreas superficie vegetación natural plantaciones temporada</v>
      </c>
      <c r="S830" s="22" t="s">
        <v>423</v>
      </c>
      <c r="T830" s="69" t="str">
        <f>"100-C-"&amp;Agencia[[#This Row],[Filtro URL]]</f>
        <v>100-C-1</v>
      </c>
      <c r="U830" s="50" t="str">
        <f t="shared" si="1223"/>
        <v>#1774B9</v>
      </c>
      <c r="V830" s="118" t="str">
        <f>+Agencia[[#This Row],[idcoleccion]]&amp;"-"&amp;Agencia[[#This Row],[id]]</f>
        <v>990-0819</v>
      </c>
      <c r="W830" s="118">
        <f>+VLOOKUP(Agencia[[#This Row],[Filtro URL]],Estructura!$X$4:$Y$500,2,0)</f>
        <v>99200001</v>
      </c>
      <c r="X830" s="118" t="str">
        <f>+VLOOKUP(Agencia[[#This Row],[tema]],Estructura!$A$4:$C$500,3,0)</f>
        <v>T-1046</v>
      </c>
      <c r="Y830" s="118" t="str">
        <f>+VLOOKUP(Agencia[[#This Row],[contenido]],Estructura!$E$4:$G$500,3,0)</f>
        <v>C-1007</v>
      </c>
      <c r="Z830" s="118" t="str">
        <f>+VLOOKUP(Agencia[[#This Row],[Filtro Integrado]],Estructura!$I$4:$K$500,3,0)</f>
        <v>FI-993</v>
      </c>
      <c r="AA830" s="118" t="str">
        <f>+VLOOKUP(Agencia[[#This Row],[Muestra]],Estructura!$M$4:$O$500,3,0)</f>
        <v>M-1068</v>
      </c>
    </row>
    <row r="831" spans="1:27" ht="48" x14ac:dyDescent="0.3">
      <c r="A831" s="21" t="s">
        <v>1423</v>
      </c>
      <c r="B831" s="24">
        <f t="shared" ref="B831:D831" si="1320">+B830</f>
        <v>990</v>
      </c>
      <c r="C831" s="25" t="str">
        <f t="shared" si="1320"/>
        <v>Agencia Información</v>
      </c>
      <c r="D831" s="25" t="str">
        <f t="shared" si="1320"/>
        <v>Agropecuario y Forestal</v>
      </c>
      <c r="E831" s="19">
        <v>2</v>
      </c>
      <c r="F831" s="18" t="s">
        <v>1641</v>
      </c>
      <c r="G831" s="18" t="s">
        <v>3785</v>
      </c>
      <c r="H831" s="35" t="s">
        <v>16</v>
      </c>
      <c r="I831" s="36" t="s">
        <v>369</v>
      </c>
      <c r="J831" s="9" t="str">
        <f t="shared" ref="J831:N831" si="1321">+J830</f>
        <v>Ninguno</v>
      </c>
      <c r="K831" s="9" t="str">
        <f t="shared" si="1321"/>
        <v>Superficie quemada por incendios forestales por región</v>
      </c>
      <c r="L831" s="9" t="str">
        <f t="shared" si="1321"/>
        <v>Periodo 2010-2020</v>
      </c>
      <c r="M831" s="9" t="str">
        <f t="shared" si="1321"/>
        <v>Hectáreas</v>
      </c>
      <c r="N831" s="9" t="str">
        <f t="shared" si="1321"/>
        <v>Corporación Nacional Forestal (CONAF)</v>
      </c>
      <c r="O831" s="20" t="str">
        <f>+"Evolución Anual de la superficie afectada por Incendios Forestales en la "&amp;I831&amp;", "&amp;Agencia[[#This Row],[temporalidad]]</f>
        <v>Evolución Anual de la superficie afectada por Incendios Forestales en la Región de Antofagasta, Periodo 2010-2020</v>
      </c>
      <c r="P831" s="20"/>
      <c r="Q831" s="11" t="str">
        <f t="shared" si="1222"/>
        <v>Dashboard</v>
      </c>
      <c r="R831" s="20" t="str">
        <f>Agencia[[#This Row],[territorio]]&amp;" incendios forestales hectáreas superficie vegetación natural plantaciones temporada"</f>
        <v>Región de Antofagasta incendios forestales hectáreas superficie vegetación natural plantaciones temporada</v>
      </c>
      <c r="S831" s="22" t="s">
        <v>423</v>
      </c>
      <c r="T831" s="69" t="str">
        <f>"100-C-"&amp;Agencia[[#This Row],[Filtro URL]]</f>
        <v>100-C-2</v>
      </c>
      <c r="U831" s="50" t="str">
        <f t="shared" si="1223"/>
        <v>#1774B9</v>
      </c>
      <c r="V831" s="118" t="str">
        <f>+Agencia[[#This Row],[idcoleccion]]&amp;"-"&amp;Agencia[[#This Row],[id]]</f>
        <v>990-0820</v>
      </c>
      <c r="W831" s="118">
        <f>+VLOOKUP(Agencia[[#This Row],[Filtro URL]],Estructura!$X$4:$Y$500,2,0)</f>
        <v>99200002</v>
      </c>
      <c r="X831" s="118" t="str">
        <f>+VLOOKUP(Agencia[[#This Row],[tema]],Estructura!$A$4:$C$500,3,0)</f>
        <v>T-1046</v>
      </c>
      <c r="Y831" s="118" t="str">
        <f>+VLOOKUP(Agencia[[#This Row],[contenido]],Estructura!$E$4:$G$500,3,0)</f>
        <v>C-1007</v>
      </c>
      <c r="Z831" s="118" t="str">
        <f>+VLOOKUP(Agencia[[#This Row],[Filtro Integrado]],Estructura!$I$4:$K$500,3,0)</f>
        <v>FI-993</v>
      </c>
      <c r="AA831" s="118" t="str">
        <f>+VLOOKUP(Agencia[[#This Row],[Muestra]],Estructura!$M$4:$O$500,3,0)</f>
        <v>M-1068</v>
      </c>
    </row>
    <row r="832" spans="1:27" ht="48" x14ac:dyDescent="0.3">
      <c r="A832" s="21" t="s">
        <v>1424</v>
      </c>
      <c r="B832" s="24">
        <f t="shared" ref="B832:D832" si="1322">+B831</f>
        <v>990</v>
      </c>
      <c r="C832" s="25" t="str">
        <f t="shared" si="1322"/>
        <v>Agencia Información</v>
      </c>
      <c r="D832" s="25" t="str">
        <f t="shared" si="1322"/>
        <v>Agropecuario y Forestal</v>
      </c>
      <c r="E832" s="19">
        <v>3</v>
      </c>
      <c r="F832" s="18" t="s">
        <v>1641</v>
      </c>
      <c r="G832" s="18" t="s">
        <v>3785</v>
      </c>
      <c r="H832" s="35" t="s">
        <v>16</v>
      </c>
      <c r="I832" s="36" t="s">
        <v>370</v>
      </c>
      <c r="J832" s="9" t="str">
        <f t="shared" ref="J832:N832" si="1323">+J831</f>
        <v>Ninguno</v>
      </c>
      <c r="K832" s="9" t="str">
        <f t="shared" si="1323"/>
        <v>Superficie quemada por incendios forestales por región</v>
      </c>
      <c r="L832" s="9" t="str">
        <f t="shared" si="1323"/>
        <v>Periodo 2010-2020</v>
      </c>
      <c r="M832" s="9" t="str">
        <f t="shared" si="1323"/>
        <v>Hectáreas</v>
      </c>
      <c r="N832" s="9" t="str">
        <f t="shared" si="1323"/>
        <v>Corporación Nacional Forestal (CONAF)</v>
      </c>
      <c r="O832" s="20" t="str">
        <f>+"Evolución Anual de la superficie afectada por Incendios Forestales en la "&amp;I832&amp;", "&amp;Agencia[[#This Row],[temporalidad]]</f>
        <v>Evolución Anual de la superficie afectada por Incendios Forestales en la Región de Atacama, Periodo 2010-2020</v>
      </c>
      <c r="P832" s="20"/>
      <c r="Q832" s="11" t="str">
        <f t="shared" si="1222"/>
        <v>Dashboard</v>
      </c>
      <c r="R832" s="20" t="str">
        <f>Agencia[[#This Row],[territorio]]&amp;" incendios forestales hectáreas superficie vegetación natural plantaciones temporada"</f>
        <v>Región de Atacama incendios forestales hectáreas superficie vegetación natural plantaciones temporada</v>
      </c>
      <c r="S832" s="22" t="s">
        <v>423</v>
      </c>
      <c r="T832" s="69" t="str">
        <f>"100-C-"&amp;Agencia[[#This Row],[Filtro URL]]</f>
        <v>100-C-3</v>
      </c>
      <c r="U832" s="50" t="str">
        <f t="shared" si="1223"/>
        <v>#1774B9</v>
      </c>
      <c r="V832" s="118" t="str">
        <f>+Agencia[[#This Row],[idcoleccion]]&amp;"-"&amp;Agencia[[#This Row],[id]]</f>
        <v>990-0821</v>
      </c>
      <c r="W832" s="118">
        <f>+VLOOKUP(Agencia[[#This Row],[Filtro URL]],Estructura!$X$4:$Y$500,2,0)</f>
        <v>99200003</v>
      </c>
      <c r="X832" s="118" t="str">
        <f>+VLOOKUP(Agencia[[#This Row],[tema]],Estructura!$A$4:$C$500,3,0)</f>
        <v>T-1046</v>
      </c>
      <c r="Y832" s="118" t="str">
        <f>+VLOOKUP(Agencia[[#This Row],[contenido]],Estructura!$E$4:$G$500,3,0)</f>
        <v>C-1007</v>
      </c>
      <c r="Z832" s="118" t="str">
        <f>+VLOOKUP(Agencia[[#This Row],[Filtro Integrado]],Estructura!$I$4:$K$500,3,0)</f>
        <v>FI-993</v>
      </c>
      <c r="AA832" s="118" t="str">
        <f>+VLOOKUP(Agencia[[#This Row],[Muestra]],Estructura!$M$4:$O$500,3,0)</f>
        <v>M-1068</v>
      </c>
    </row>
    <row r="833" spans="1:27" ht="48" x14ac:dyDescent="0.3">
      <c r="A833" s="21" t="s">
        <v>1425</v>
      </c>
      <c r="B833" s="24">
        <f t="shared" ref="B833:D833" si="1324">+B832</f>
        <v>990</v>
      </c>
      <c r="C833" s="25" t="str">
        <f t="shared" si="1324"/>
        <v>Agencia Información</v>
      </c>
      <c r="D833" s="25" t="str">
        <f t="shared" si="1324"/>
        <v>Agropecuario y Forestal</v>
      </c>
      <c r="E833" s="19">
        <v>4</v>
      </c>
      <c r="F833" s="18" t="s">
        <v>1641</v>
      </c>
      <c r="G833" s="18" t="s">
        <v>3785</v>
      </c>
      <c r="H833" s="35" t="s">
        <v>16</v>
      </c>
      <c r="I833" s="36" t="s">
        <v>371</v>
      </c>
      <c r="J833" s="9" t="str">
        <f t="shared" ref="J833:N833" si="1325">+J832</f>
        <v>Ninguno</v>
      </c>
      <c r="K833" s="9" t="str">
        <f t="shared" si="1325"/>
        <v>Superficie quemada por incendios forestales por región</v>
      </c>
      <c r="L833" s="9" t="str">
        <f t="shared" si="1325"/>
        <v>Periodo 2010-2020</v>
      </c>
      <c r="M833" s="9" t="str">
        <f t="shared" si="1325"/>
        <v>Hectáreas</v>
      </c>
      <c r="N833" s="9" t="str">
        <f t="shared" si="1325"/>
        <v>Corporación Nacional Forestal (CONAF)</v>
      </c>
      <c r="O833" s="20" t="str">
        <f>+"Evolución Anual de la superficie afectada por Incendios Forestales en la "&amp;I833&amp;", "&amp;Agencia[[#This Row],[temporalidad]]</f>
        <v>Evolución Anual de la superficie afectada por Incendios Forestales en la Región de Coquimbo, Periodo 2010-2020</v>
      </c>
      <c r="P833" s="20"/>
      <c r="Q833" s="11" t="str">
        <f t="shared" si="1222"/>
        <v>Dashboard</v>
      </c>
      <c r="R833" s="20" t="str">
        <f>Agencia[[#This Row],[territorio]]&amp;" incendios forestales hectáreas superficie vegetación natural plantaciones temporada"</f>
        <v>Región de Coquimbo incendios forestales hectáreas superficie vegetación natural plantaciones temporada</v>
      </c>
      <c r="S833" s="22" t="s">
        <v>423</v>
      </c>
      <c r="T833" s="69" t="str">
        <f>"100-C-"&amp;Agencia[[#This Row],[Filtro URL]]</f>
        <v>100-C-4</v>
      </c>
      <c r="U833" s="50" t="str">
        <f t="shared" si="1223"/>
        <v>#1774B9</v>
      </c>
      <c r="V833" s="118" t="str">
        <f>+Agencia[[#This Row],[idcoleccion]]&amp;"-"&amp;Agencia[[#This Row],[id]]</f>
        <v>990-0822</v>
      </c>
      <c r="W833" s="118">
        <f>+VLOOKUP(Agencia[[#This Row],[Filtro URL]],Estructura!$X$4:$Y$500,2,0)</f>
        <v>99200004</v>
      </c>
      <c r="X833" s="118" t="str">
        <f>+VLOOKUP(Agencia[[#This Row],[tema]],Estructura!$A$4:$C$500,3,0)</f>
        <v>T-1046</v>
      </c>
      <c r="Y833" s="118" t="str">
        <f>+VLOOKUP(Agencia[[#This Row],[contenido]],Estructura!$E$4:$G$500,3,0)</f>
        <v>C-1007</v>
      </c>
      <c r="Z833" s="118" t="str">
        <f>+VLOOKUP(Agencia[[#This Row],[Filtro Integrado]],Estructura!$I$4:$K$500,3,0)</f>
        <v>FI-993</v>
      </c>
      <c r="AA833" s="118" t="str">
        <f>+VLOOKUP(Agencia[[#This Row],[Muestra]],Estructura!$M$4:$O$500,3,0)</f>
        <v>M-1068</v>
      </c>
    </row>
    <row r="834" spans="1:27" ht="48" x14ac:dyDescent="0.3">
      <c r="A834" s="21" t="s">
        <v>1426</v>
      </c>
      <c r="B834" s="24">
        <f t="shared" ref="B834:D834" si="1326">+B833</f>
        <v>990</v>
      </c>
      <c r="C834" s="25" t="str">
        <f t="shared" si="1326"/>
        <v>Agencia Información</v>
      </c>
      <c r="D834" s="25" t="str">
        <f t="shared" si="1326"/>
        <v>Agropecuario y Forestal</v>
      </c>
      <c r="E834" s="19">
        <v>5</v>
      </c>
      <c r="F834" s="18" t="s">
        <v>1641</v>
      </c>
      <c r="G834" s="18" t="s">
        <v>3785</v>
      </c>
      <c r="H834" s="35" t="s">
        <v>16</v>
      </c>
      <c r="I834" s="36" t="s">
        <v>372</v>
      </c>
      <c r="J834" s="9" t="str">
        <f t="shared" ref="J834:N834" si="1327">+J833</f>
        <v>Ninguno</v>
      </c>
      <c r="K834" s="9" t="str">
        <f t="shared" si="1327"/>
        <v>Superficie quemada por incendios forestales por región</v>
      </c>
      <c r="L834" s="9" t="str">
        <f t="shared" si="1327"/>
        <v>Periodo 2010-2020</v>
      </c>
      <c r="M834" s="9" t="str">
        <f t="shared" si="1327"/>
        <v>Hectáreas</v>
      </c>
      <c r="N834" s="9" t="str">
        <f t="shared" si="1327"/>
        <v>Corporación Nacional Forestal (CONAF)</v>
      </c>
      <c r="O834" s="20" t="str">
        <f>+"Evolución Anual de la superficie afectada por Incendios Forestales en la "&amp;I834&amp;", "&amp;Agencia[[#This Row],[temporalidad]]</f>
        <v>Evolución Anual de la superficie afectada por Incendios Forestales en la Región de Valparaíso, Periodo 2010-2020</v>
      </c>
      <c r="P834" s="20"/>
      <c r="Q834" s="11" t="str">
        <f t="shared" si="1222"/>
        <v>Dashboard</v>
      </c>
      <c r="R834" s="20" t="str">
        <f>Agencia[[#This Row],[territorio]]&amp;" incendios forestales hectáreas superficie vegetación natural plantaciones temporada"</f>
        <v>Región de Valparaíso incendios forestales hectáreas superficie vegetación natural plantaciones temporada</v>
      </c>
      <c r="S834" s="22" t="s">
        <v>423</v>
      </c>
      <c r="T834" s="69" t="str">
        <f>"100-C-"&amp;Agencia[[#This Row],[Filtro URL]]</f>
        <v>100-C-5</v>
      </c>
      <c r="U834" s="50" t="str">
        <f t="shared" si="1223"/>
        <v>#1774B9</v>
      </c>
      <c r="V834" s="118" t="str">
        <f>+Agencia[[#This Row],[idcoleccion]]&amp;"-"&amp;Agencia[[#This Row],[id]]</f>
        <v>990-0823</v>
      </c>
      <c r="W834" s="118">
        <f>+VLOOKUP(Agencia[[#This Row],[Filtro URL]],Estructura!$X$4:$Y$500,2,0)</f>
        <v>99200005</v>
      </c>
      <c r="X834" s="118" t="str">
        <f>+VLOOKUP(Agencia[[#This Row],[tema]],Estructura!$A$4:$C$500,3,0)</f>
        <v>T-1046</v>
      </c>
      <c r="Y834" s="118" t="str">
        <f>+VLOOKUP(Agencia[[#This Row],[contenido]],Estructura!$E$4:$G$500,3,0)</f>
        <v>C-1007</v>
      </c>
      <c r="Z834" s="118" t="str">
        <f>+VLOOKUP(Agencia[[#This Row],[Filtro Integrado]],Estructura!$I$4:$K$500,3,0)</f>
        <v>FI-993</v>
      </c>
      <c r="AA834" s="118" t="str">
        <f>+VLOOKUP(Agencia[[#This Row],[Muestra]],Estructura!$M$4:$O$500,3,0)</f>
        <v>M-1068</v>
      </c>
    </row>
    <row r="835" spans="1:27" ht="48" x14ac:dyDescent="0.3">
      <c r="A835" s="21" t="s">
        <v>1427</v>
      </c>
      <c r="B835" s="24">
        <f t="shared" ref="B835:D835" si="1328">+B834</f>
        <v>990</v>
      </c>
      <c r="C835" s="25" t="str">
        <f t="shared" si="1328"/>
        <v>Agencia Información</v>
      </c>
      <c r="D835" s="25" t="str">
        <f t="shared" si="1328"/>
        <v>Agropecuario y Forestal</v>
      </c>
      <c r="E835" s="19">
        <v>6</v>
      </c>
      <c r="F835" s="18" t="s">
        <v>1641</v>
      </c>
      <c r="G835" s="18" t="s">
        <v>3785</v>
      </c>
      <c r="H835" s="35" t="s">
        <v>16</v>
      </c>
      <c r="I835" s="36" t="s">
        <v>373</v>
      </c>
      <c r="J835" s="9" t="str">
        <f t="shared" ref="J835:N835" si="1329">+J834</f>
        <v>Ninguno</v>
      </c>
      <c r="K835" s="9" t="str">
        <f t="shared" si="1329"/>
        <v>Superficie quemada por incendios forestales por región</v>
      </c>
      <c r="L835" s="9" t="str">
        <f t="shared" si="1329"/>
        <v>Periodo 2010-2020</v>
      </c>
      <c r="M835" s="9" t="str">
        <f t="shared" si="1329"/>
        <v>Hectáreas</v>
      </c>
      <c r="N835" s="9" t="str">
        <f t="shared" si="1329"/>
        <v>Corporación Nacional Forestal (CONAF)</v>
      </c>
      <c r="O835" s="20" t="str">
        <f>+"Evolución Anual de la superficie afectada por Incendios Forestales en la "&amp;I835&amp;", "&amp;Agencia[[#This Row],[temporalidad]]</f>
        <v>Evolución Anual de la superficie afectada por Incendios Forestales en la Región de O'Higgins, Periodo 2010-2020</v>
      </c>
      <c r="P835" s="20"/>
      <c r="Q835" s="11" t="str">
        <f t="shared" si="1222"/>
        <v>Dashboard</v>
      </c>
      <c r="R835" s="20" t="str">
        <f>Agencia[[#This Row],[territorio]]&amp;" incendios forestales hectáreas superficie vegetación natural plantaciones temporada"</f>
        <v>Región de O'Higgins incendios forestales hectáreas superficie vegetación natural plantaciones temporada</v>
      </c>
      <c r="S835" s="22" t="s">
        <v>423</v>
      </c>
      <c r="T835" s="69" t="str">
        <f>"100-C-"&amp;Agencia[[#This Row],[Filtro URL]]</f>
        <v>100-C-6</v>
      </c>
      <c r="U835" s="50" t="str">
        <f t="shared" si="1223"/>
        <v>#1774B9</v>
      </c>
      <c r="V835" s="118" t="str">
        <f>+Agencia[[#This Row],[idcoleccion]]&amp;"-"&amp;Agencia[[#This Row],[id]]</f>
        <v>990-0824</v>
      </c>
      <c r="W835" s="118">
        <f>+VLOOKUP(Agencia[[#This Row],[Filtro URL]],Estructura!$X$4:$Y$500,2,0)</f>
        <v>99200006</v>
      </c>
      <c r="X835" s="118" t="str">
        <f>+VLOOKUP(Agencia[[#This Row],[tema]],Estructura!$A$4:$C$500,3,0)</f>
        <v>T-1046</v>
      </c>
      <c r="Y835" s="118" t="str">
        <f>+VLOOKUP(Agencia[[#This Row],[contenido]],Estructura!$E$4:$G$500,3,0)</f>
        <v>C-1007</v>
      </c>
      <c r="Z835" s="118" t="str">
        <f>+VLOOKUP(Agencia[[#This Row],[Filtro Integrado]],Estructura!$I$4:$K$500,3,0)</f>
        <v>FI-993</v>
      </c>
      <c r="AA835" s="118" t="str">
        <f>+VLOOKUP(Agencia[[#This Row],[Muestra]],Estructura!$M$4:$O$500,3,0)</f>
        <v>M-1068</v>
      </c>
    </row>
    <row r="836" spans="1:27" ht="48" x14ac:dyDescent="0.3">
      <c r="A836" s="21" t="s">
        <v>1428</v>
      </c>
      <c r="B836" s="24">
        <f t="shared" ref="B836:D836" si="1330">+B835</f>
        <v>990</v>
      </c>
      <c r="C836" s="25" t="str">
        <f t="shared" si="1330"/>
        <v>Agencia Información</v>
      </c>
      <c r="D836" s="25" t="str">
        <f t="shared" si="1330"/>
        <v>Agropecuario y Forestal</v>
      </c>
      <c r="E836" s="19">
        <v>7</v>
      </c>
      <c r="F836" s="18" t="s">
        <v>1641</v>
      </c>
      <c r="G836" s="18" t="s">
        <v>3785</v>
      </c>
      <c r="H836" s="35" t="s">
        <v>16</v>
      </c>
      <c r="I836" s="36" t="s">
        <v>374</v>
      </c>
      <c r="J836" s="9" t="str">
        <f t="shared" ref="J836:N836" si="1331">+J835</f>
        <v>Ninguno</v>
      </c>
      <c r="K836" s="9" t="str">
        <f t="shared" si="1331"/>
        <v>Superficie quemada por incendios forestales por región</v>
      </c>
      <c r="L836" s="9" t="str">
        <f t="shared" si="1331"/>
        <v>Periodo 2010-2020</v>
      </c>
      <c r="M836" s="9" t="str">
        <f t="shared" si="1331"/>
        <v>Hectáreas</v>
      </c>
      <c r="N836" s="9" t="str">
        <f t="shared" si="1331"/>
        <v>Corporación Nacional Forestal (CONAF)</v>
      </c>
      <c r="O836" s="20" t="str">
        <f>+"Evolución Anual de la superficie afectada por Incendios Forestales en la "&amp;I836&amp;", "&amp;Agencia[[#This Row],[temporalidad]]</f>
        <v>Evolución Anual de la superficie afectada por Incendios Forestales en la Región de Maule, Periodo 2010-2020</v>
      </c>
      <c r="P836" s="20"/>
      <c r="Q836" s="11" t="str">
        <f t="shared" si="1222"/>
        <v>Dashboard</v>
      </c>
      <c r="R836" s="20" t="str">
        <f>Agencia[[#This Row],[territorio]]&amp;" incendios forestales hectáreas superficie vegetación natural plantaciones temporada"</f>
        <v>Región de Maule incendios forestales hectáreas superficie vegetación natural plantaciones temporada</v>
      </c>
      <c r="S836" s="22" t="s">
        <v>423</v>
      </c>
      <c r="T836" s="69" t="str">
        <f>"100-C-"&amp;Agencia[[#This Row],[Filtro URL]]</f>
        <v>100-C-7</v>
      </c>
      <c r="U836" s="50" t="str">
        <f t="shared" si="1223"/>
        <v>#1774B9</v>
      </c>
      <c r="V836" s="118" t="str">
        <f>+Agencia[[#This Row],[idcoleccion]]&amp;"-"&amp;Agencia[[#This Row],[id]]</f>
        <v>990-0825</v>
      </c>
      <c r="W836" s="118">
        <f>+VLOOKUP(Agencia[[#This Row],[Filtro URL]],Estructura!$X$4:$Y$500,2,0)</f>
        <v>99200007</v>
      </c>
      <c r="X836" s="118" t="str">
        <f>+VLOOKUP(Agencia[[#This Row],[tema]],Estructura!$A$4:$C$500,3,0)</f>
        <v>T-1046</v>
      </c>
      <c r="Y836" s="118" t="str">
        <f>+VLOOKUP(Agencia[[#This Row],[contenido]],Estructura!$E$4:$G$500,3,0)</f>
        <v>C-1007</v>
      </c>
      <c r="Z836" s="118" t="str">
        <f>+VLOOKUP(Agencia[[#This Row],[Filtro Integrado]],Estructura!$I$4:$K$500,3,0)</f>
        <v>FI-993</v>
      </c>
      <c r="AA836" s="118" t="str">
        <f>+VLOOKUP(Agencia[[#This Row],[Muestra]],Estructura!$M$4:$O$500,3,0)</f>
        <v>M-1068</v>
      </c>
    </row>
    <row r="837" spans="1:27" ht="48" x14ac:dyDescent="0.3">
      <c r="A837" s="21" t="s">
        <v>1429</v>
      </c>
      <c r="B837" s="24">
        <f t="shared" ref="B837:D837" si="1332">+B836</f>
        <v>990</v>
      </c>
      <c r="C837" s="25" t="str">
        <f t="shared" si="1332"/>
        <v>Agencia Información</v>
      </c>
      <c r="D837" s="25" t="str">
        <f t="shared" si="1332"/>
        <v>Agropecuario y Forestal</v>
      </c>
      <c r="E837" s="19">
        <v>8</v>
      </c>
      <c r="F837" s="18" t="s">
        <v>1641</v>
      </c>
      <c r="G837" s="18" t="s">
        <v>3785</v>
      </c>
      <c r="H837" s="35" t="s">
        <v>16</v>
      </c>
      <c r="I837" s="36" t="s">
        <v>375</v>
      </c>
      <c r="J837" s="9" t="str">
        <f t="shared" ref="J837:N837" si="1333">+J836</f>
        <v>Ninguno</v>
      </c>
      <c r="K837" s="9" t="str">
        <f t="shared" si="1333"/>
        <v>Superficie quemada por incendios forestales por región</v>
      </c>
      <c r="L837" s="9" t="str">
        <f t="shared" si="1333"/>
        <v>Periodo 2010-2020</v>
      </c>
      <c r="M837" s="9" t="str">
        <f t="shared" si="1333"/>
        <v>Hectáreas</v>
      </c>
      <c r="N837" s="9" t="str">
        <f t="shared" si="1333"/>
        <v>Corporación Nacional Forestal (CONAF)</v>
      </c>
      <c r="O837" s="20" t="str">
        <f>+"Evolución Anual de la superficie afectada por Incendios Forestales en la "&amp;I837&amp;", "&amp;Agencia[[#This Row],[temporalidad]]</f>
        <v>Evolución Anual de la superficie afectada por Incendios Forestales en la Región del Biobío, Periodo 2010-2020</v>
      </c>
      <c r="P837" s="20"/>
      <c r="Q837" s="11" t="str">
        <f t="shared" si="1222"/>
        <v>Dashboard</v>
      </c>
      <c r="R837" s="20" t="str">
        <f>Agencia[[#This Row],[territorio]]&amp;" incendios forestales hectáreas superficie vegetación natural plantaciones temporada"</f>
        <v>Región del Biobío incendios forestales hectáreas superficie vegetación natural plantaciones temporada</v>
      </c>
      <c r="S837" s="22" t="s">
        <v>423</v>
      </c>
      <c r="T837" s="69" t="str">
        <f>"100-C-"&amp;Agencia[[#This Row],[Filtro URL]]</f>
        <v>100-C-8</v>
      </c>
      <c r="U837" s="50" t="str">
        <f t="shared" si="1223"/>
        <v>#1774B9</v>
      </c>
      <c r="V837" s="118" t="str">
        <f>+Agencia[[#This Row],[idcoleccion]]&amp;"-"&amp;Agencia[[#This Row],[id]]</f>
        <v>990-0826</v>
      </c>
      <c r="W837" s="118">
        <f>+VLOOKUP(Agencia[[#This Row],[Filtro URL]],Estructura!$X$4:$Y$500,2,0)</f>
        <v>99200008</v>
      </c>
      <c r="X837" s="118" t="str">
        <f>+VLOOKUP(Agencia[[#This Row],[tema]],Estructura!$A$4:$C$500,3,0)</f>
        <v>T-1046</v>
      </c>
      <c r="Y837" s="118" t="str">
        <f>+VLOOKUP(Agencia[[#This Row],[contenido]],Estructura!$E$4:$G$500,3,0)</f>
        <v>C-1007</v>
      </c>
      <c r="Z837" s="118" t="str">
        <f>+VLOOKUP(Agencia[[#This Row],[Filtro Integrado]],Estructura!$I$4:$K$500,3,0)</f>
        <v>FI-993</v>
      </c>
      <c r="AA837" s="118" t="str">
        <f>+VLOOKUP(Agencia[[#This Row],[Muestra]],Estructura!$M$4:$O$500,3,0)</f>
        <v>M-1068</v>
      </c>
    </row>
    <row r="838" spans="1:27" ht="48" x14ac:dyDescent="0.3">
      <c r="A838" s="21" t="s">
        <v>1430</v>
      </c>
      <c r="B838" s="24">
        <f t="shared" ref="B838:D838" si="1334">+B837</f>
        <v>990</v>
      </c>
      <c r="C838" s="25" t="str">
        <f t="shared" si="1334"/>
        <v>Agencia Información</v>
      </c>
      <c r="D838" s="25" t="str">
        <f t="shared" si="1334"/>
        <v>Agropecuario y Forestal</v>
      </c>
      <c r="E838" s="19">
        <v>9</v>
      </c>
      <c r="F838" s="18" t="s">
        <v>1641</v>
      </c>
      <c r="G838" s="18" t="s">
        <v>3785</v>
      </c>
      <c r="H838" s="35" t="s">
        <v>16</v>
      </c>
      <c r="I838" s="36" t="s">
        <v>376</v>
      </c>
      <c r="J838" s="9" t="str">
        <f t="shared" ref="J838:N838" si="1335">+J837</f>
        <v>Ninguno</v>
      </c>
      <c r="K838" s="9" t="str">
        <f t="shared" si="1335"/>
        <v>Superficie quemada por incendios forestales por región</v>
      </c>
      <c r="L838" s="9" t="str">
        <f t="shared" si="1335"/>
        <v>Periodo 2010-2020</v>
      </c>
      <c r="M838" s="9" t="str">
        <f t="shared" si="1335"/>
        <v>Hectáreas</v>
      </c>
      <c r="N838" s="9" t="str">
        <f t="shared" si="1335"/>
        <v>Corporación Nacional Forestal (CONAF)</v>
      </c>
      <c r="O838" s="20" t="str">
        <f>+"Evolución Anual de la superficie afectada por Incendios Forestales en la "&amp;I838&amp;", "&amp;Agencia[[#This Row],[temporalidad]]</f>
        <v>Evolución Anual de la superficie afectada por Incendios Forestales en la Región de La Araucanía, Periodo 2010-2020</v>
      </c>
      <c r="P838" s="20"/>
      <c r="Q838" s="11" t="str">
        <f t="shared" si="1222"/>
        <v>Dashboard</v>
      </c>
      <c r="R838" s="20" t="str">
        <f>Agencia[[#This Row],[territorio]]&amp;" incendios forestales hectáreas superficie vegetación natural plantaciones temporada"</f>
        <v>Región de La Araucanía incendios forestales hectáreas superficie vegetación natural plantaciones temporada</v>
      </c>
      <c r="S838" s="22" t="s">
        <v>423</v>
      </c>
      <c r="T838" s="69" t="str">
        <f>"100-C-"&amp;Agencia[[#This Row],[Filtro URL]]</f>
        <v>100-C-9</v>
      </c>
      <c r="U838" s="50" t="str">
        <f t="shared" si="1223"/>
        <v>#1774B9</v>
      </c>
      <c r="V838" s="118" t="str">
        <f>+Agencia[[#This Row],[idcoleccion]]&amp;"-"&amp;Agencia[[#This Row],[id]]</f>
        <v>990-0827</v>
      </c>
      <c r="W838" s="118">
        <f>+VLOOKUP(Agencia[[#This Row],[Filtro URL]],Estructura!$X$4:$Y$500,2,0)</f>
        <v>99200009</v>
      </c>
      <c r="X838" s="118" t="str">
        <f>+VLOOKUP(Agencia[[#This Row],[tema]],Estructura!$A$4:$C$500,3,0)</f>
        <v>T-1046</v>
      </c>
      <c r="Y838" s="118" t="str">
        <f>+VLOOKUP(Agencia[[#This Row],[contenido]],Estructura!$E$4:$G$500,3,0)</f>
        <v>C-1007</v>
      </c>
      <c r="Z838" s="118" t="str">
        <f>+VLOOKUP(Agencia[[#This Row],[Filtro Integrado]],Estructura!$I$4:$K$500,3,0)</f>
        <v>FI-993</v>
      </c>
      <c r="AA838" s="118" t="str">
        <f>+VLOOKUP(Agencia[[#This Row],[Muestra]],Estructura!$M$4:$O$500,3,0)</f>
        <v>M-1068</v>
      </c>
    </row>
    <row r="839" spans="1:27" ht="81.599999999999994" x14ac:dyDescent="0.3">
      <c r="A839" s="21" t="s">
        <v>1431</v>
      </c>
      <c r="B839" s="24">
        <f t="shared" ref="B839:D839" si="1336">+B838</f>
        <v>990</v>
      </c>
      <c r="C839" s="25" t="str">
        <f t="shared" si="1336"/>
        <v>Agencia Información</v>
      </c>
      <c r="D839" s="25" t="str">
        <f t="shared" si="1336"/>
        <v>Agropecuario y Forestal</v>
      </c>
      <c r="E839" s="19">
        <v>10</v>
      </c>
      <c r="F839" s="18" t="s">
        <v>1641</v>
      </c>
      <c r="G839" s="18" t="s">
        <v>3785</v>
      </c>
      <c r="H839" s="35" t="s">
        <v>16</v>
      </c>
      <c r="I839" s="36" t="s">
        <v>377</v>
      </c>
      <c r="J839" s="9" t="str">
        <f t="shared" ref="J839:N839" si="1337">+J838</f>
        <v>Ninguno</v>
      </c>
      <c r="K839" s="9" t="str">
        <f t="shared" si="1337"/>
        <v>Superficie quemada por incendios forestales por región</v>
      </c>
      <c r="L839" s="9" t="str">
        <f t="shared" si="1337"/>
        <v>Periodo 2010-2020</v>
      </c>
      <c r="M839" s="9" t="str">
        <f t="shared" si="1337"/>
        <v>Hectáreas</v>
      </c>
      <c r="N839" s="9" t="str">
        <f t="shared" si="1337"/>
        <v>Corporación Nacional Forestal (CONAF)</v>
      </c>
      <c r="O839" s="20" t="str">
        <f>+"Evolución Anual de la superficie afectada por Incendios Forestales en la "&amp;I839&amp;", "&amp;Agencia[[#This Row],[temporalidad]]</f>
        <v>Evolución Anual de la superficie afectada por Incendios Forestales en la Región de Los Lagos, Periodo 2010-2020</v>
      </c>
      <c r="P839" s="20" t="s">
        <v>1646</v>
      </c>
      <c r="Q839" s="11" t="str">
        <f t="shared" si="1222"/>
        <v>Dashboard</v>
      </c>
      <c r="R839" s="20" t="str">
        <f>Agencia[[#This Row],[territorio]]&amp;" incendios forestales hectáreas superficie vegetación natural plantaciones temporada"</f>
        <v>Región de Los Lagos incendios forestales hectáreas superficie vegetación natural plantaciones temporada</v>
      </c>
      <c r="S839" s="22" t="s">
        <v>1647</v>
      </c>
      <c r="T839" s="69" t="str">
        <f>"100-C-"&amp;Agencia[[#This Row],[Filtro URL]]</f>
        <v>100-C-10</v>
      </c>
      <c r="U839" s="50" t="str">
        <f t="shared" si="1223"/>
        <v>#1774B9</v>
      </c>
      <c r="V839" s="118" t="str">
        <f>+Agencia[[#This Row],[idcoleccion]]&amp;"-"&amp;Agencia[[#This Row],[id]]</f>
        <v>990-0828</v>
      </c>
      <c r="W839" s="118">
        <f>+VLOOKUP(Agencia[[#This Row],[Filtro URL]],Estructura!$X$4:$Y$500,2,0)</f>
        <v>99200010</v>
      </c>
      <c r="X839" s="118" t="str">
        <f>+VLOOKUP(Agencia[[#This Row],[tema]],Estructura!$A$4:$C$500,3,0)</f>
        <v>T-1046</v>
      </c>
      <c r="Y839" s="118" t="str">
        <f>+VLOOKUP(Agencia[[#This Row],[contenido]],Estructura!$E$4:$G$500,3,0)</f>
        <v>C-1007</v>
      </c>
      <c r="Z839" s="118" t="str">
        <f>+VLOOKUP(Agencia[[#This Row],[Filtro Integrado]],Estructura!$I$4:$K$500,3,0)</f>
        <v>FI-993</v>
      </c>
      <c r="AA839" s="118" t="str">
        <f>+VLOOKUP(Agencia[[#This Row],[Muestra]],Estructura!$M$4:$O$500,3,0)</f>
        <v>M-1068</v>
      </c>
    </row>
    <row r="840" spans="1:27" ht="48" x14ac:dyDescent="0.3">
      <c r="A840" s="21" t="s">
        <v>1432</v>
      </c>
      <c r="B840" s="24">
        <f t="shared" ref="B840:D840" si="1338">+B839</f>
        <v>990</v>
      </c>
      <c r="C840" s="25" t="str">
        <f t="shared" si="1338"/>
        <v>Agencia Información</v>
      </c>
      <c r="D840" s="25" t="str">
        <f t="shared" si="1338"/>
        <v>Agropecuario y Forestal</v>
      </c>
      <c r="E840" s="19">
        <v>11</v>
      </c>
      <c r="F840" s="18" t="s">
        <v>1641</v>
      </c>
      <c r="G840" s="18" t="s">
        <v>3785</v>
      </c>
      <c r="H840" s="35" t="s">
        <v>16</v>
      </c>
      <c r="I840" s="36" t="s">
        <v>378</v>
      </c>
      <c r="J840" s="9" t="str">
        <f t="shared" ref="J840:N840" si="1339">+J839</f>
        <v>Ninguno</v>
      </c>
      <c r="K840" s="9" t="str">
        <f t="shared" si="1339"/>
        <v>Superficie quemada por incendios forestales por región</v>
      </c>
      <c r="L840" s="9" t="str">
        <f t="shared" si="1339"/>
        <v>Periodo 2010-2020</v>
      </c>
      <c r="M840" s="9" t="str">
        <f t="shared" si="1339"/>
        <v>Hectáreas</v>
      </c>
      <c r="N840" s="9" t="str">
        <f t="shared" si="1339"/>
        <v>Corporación Nacional Forestal (CONAF)</v>
      </c>
      <c r="O840" s="20" t="str">
        <f>+"Evolución Anual de la superficie afectada por Incendios Forestales en la "&amp;I840&amp;", "&amp;Agencia[[#This Row],[temporalidad]]</f>
        <v>Evolución Anual de la superficie afectada por Incendios Forestales en la Región de Aysén, Periodo 2010-2020</v>
      </c>
      <c r="P840" s="20"/>
      <c r="Q840" s="11" t="str">
        <f t="shared" si="1222"/>
        <v>Dashboard</v>
      </c>
      <c r="R840" s="20" t="str">
        <f>Agencia[[#This Row],[territorio]]&amp;" incendios forestales hectáreas superficie vegetación natural plantaciones temporada"</f>
        <v>Región de Aysén incendios forestales hectáreas superficie vegetación natural plantaciones temporada</v>
      </c>
      <c r="S840" s="22" t="s">
        <v>423</v>
      </c>
      <c r="T840" s="69" t="str">
        <f>"100-C-"&amp;Agencia[[#This Row],[Filtro URL]]</f>
        <v>100-C-11</v>
      </c>
      <c r="U840" s="50" t="str">
        <f t="shared" si="1223"/>
        <v>#1774B9</v>
      </c>
      <c r="V840" s="118" t="str">
        <f>+Agencia[[#This Row],[idcoleccion]]&amp;"-"&amp;Agencia[[#This Row],[id]]</f>
        <v>990-0829</v>
      </c>
      <c r="W840" s="118">
        <f>+VLOOKUP(Agencia[[#This Row],[Filtro URL]],Estructura!$X$4:$Y$500,2,0)</f>
        <v>99200011</v>
      </c>
      <c r="X840" s="118" t="str">
        <f>+VLOOKUP(Agencia[[#This Row],[tema]],Estructura!$A$4:$C$500,3,0)</f>
        <v>T-1046</v>
      </c>
      <c r="Y840" s="118" t="str">
        <f>+VLOOKUP(Agencia[[#This Row],[contenido]],Estructura!$E$4:$G$500,3,0)</f>
        <v>C-1007</v>
      </c>
      <c r="Z840" s="118" t="str">
        <f>+VLOOKUP(Agencia[[#This Row],[Filtro Integrado]],Estructura!$I$4:$K$500,3,0)</f>
        <v>FI-993</v>
      </c>
      <c r="AA840" s="118" t="str">
        <f>+VLOOKUP(Agencia[[#This Row],[Muestra]],Estructura!$M$4:$O$500,3,0)</f>
        <v>M-1068</v>
      </c>
    </row>
    <row r="841" spans="1:27" ht="48" x14ac:dyDescent="0.3">
      <c r="A841" s="21" t="s">
        <v>1433</v>
      </c>
      <c r="B841" s="24">
        <f t="shared" ref="B841:D841" si="1340">+B840</f>
        <v>990</v>
      </c>
      <c r="C841" s="25" t="str">
        <f t="shared" si="1340"/>
        <v>Agencia Información</v>
      </c>
      <c r="D841" s="25" t="str">
        <f t="shared" si="1340"/>
        <v>Agropecuario y Forestal</v>
      </c>
      <c r="E841" s="19">
        <v>12</v>
      </c>
      <c r="F841" s="18" t="s">
        <v>1641</v>
      </c>
      <c r="G841" s="18" t="s">
        <v>3785</v>
      </c>
      <c r="H841" s="35" t="s">
        <v>16</v>
      </c>
      <c r="I841" s="36" t="s">
        <v>379</v>
      </c>
      <c r="J841" s="9" t="str">
        <f t="shared" ref="J841:N841" si="1341">+J840</f>
        <v>Ninguno</v>
      </c>
      <c r="K841" s="9" t="str">
        <f t="shared" si="1341"/>
        <v>Superficie quemada por incendios forestales por región</v>
      </c>
      <c r="L841" s="9" t="str">
        <f t="shared" si="1341"/>
        <v>Periodo 2010-2020</v>
      </c>
      <c r="M841" s="9" t="str">
        <f t="shared" si="1341"/>
        <v>Hectáreas</v>
      </c>
      <c r="N841" s="9" t="str">
        <f t="shared" si="1341"/>
        <v>Corporación Nacional Forestal (CONAF)</v>
      </c>
      <c r="O841" s="20" t="str">
        <f>+"Evolución Anual de la superficie afectada por Incendios Forestales en la "&amp;I841&amp;", "&amp;Agencia[[#This Row],[temporalidad]]</f>
        <v>Evolución Anual de la superficie afectada por Incendios Forestales en la Región de Magallanes, Periodo 2010-2020</v>
      </c>
      <c r="P841" s="20"/>
      <c r="Q841" s="11" t="str">
        <f t="shared" si="1222"/>
        <v>Dashboard</v>
      </c>
      <c r="R841" s="20" t="str">
        <f>Agencia[[#This Row],[territorio]]&amp;" incendios forestales hectáreas superficie vegetación natural plantaciones temporada"</f>
        <v>Región de Magallanes incendios forestales hectáreas superficie vegetación natural plantaciones temporada</v>
      </c>
      <c r="S841" s="22" t="s">
        <v>423</v>
      </c>
      <c r="T841" s="69" t="str">
        <f>"100-C-"&amp;Agencia[[#This Row],[Filtro URL]]</f>
        <v>100-C-12</v>
      </c>
      <c r="U841" s="50" t="str">
        <f t="shared" si="1223"/>
        <v>#1774B9</v>
      </c>
      <c r="V841" s="118" t="str">
        <f>+Agencia[[#This Row],[idcoleccion]]&amp;"-"&amp;Agencia[[#This Row],[id]]</f>
        <v>990-0830</v>
      </c>
      <c r="W841" s="118">
        <f>+VLOOKUP(Agencia[[#This Row],[Filtro URL]],Estructura!$X$4:$Y$500,2,0)</f>
        <v>99200012</v>
      </c>
      <c r="X841" s="118" t="str">
        <f>+VLOOKUP(Agencia[[#This Row],[tema]],Estructura!$A$4:$C$500,3,0)</f>
        <v>T-1046</v>
      </c>
      <c r="Y841" s="118" t="str">
        <f>+VLOOKUP(Agencia[[#This Row],[contenido]],Estructura!$E$4:$G$500,3,0)</f>
        <v>C-1007</v>
      </c>
      <c r="Z841" s="118" t="str">
        <f>+VLOOKUP(Agencia[[#This Row],[Filtro Integrado]],Estructura!$I$4:$K$500,3,0)</f>
        <v>FI-993</v>
      </c>
      <c r="AA841" s="118" t="str">
        <f>+VLOOKUP(Agencia[[#This Row],[Muestra]],Estructura!$M$4:$O$500,3,0)</f>
        <v>M-1068</v>
      </c>
    </row>
    <row r="842" spans="1:27" ht="48" x14ac:dyDescent="0.3">
      <c r="A842" s="21" t="s">
        <v>1434</v>
      </c>
      <c r="B842" s="24">
        <f t="shared" ref="B842:D842" si="1342">+B841</f>
        <v>990</v>
      </c>
      <c r="C842" s="25" t="str">
        <f t="shared" si="1342"/>
        <v>Agencia Información</v>
      </c>
      <c r="D842" s="25" t="str">
        <f t="shared" si="1342"/>
        <v>Agropecuario y Forestal</v>
      </c>
      <c r="E842" s="19">
        <v>13</v>
      </c>
      <c r="F842" s="18" t="s">
        <v>1641</v>
      </c>
      <c r="G842" s="18" t="s">
        <v>3785</v>
      </c>
      <c r="H842" s="35" t="s">
        <v>16</v>
      </c>
      <c r="I842" s="36" t="s">
        <v>380</v>
      </c>
      <c r="J842" s="9" t="str">
        <f t="shared" ref="J842:N842" si="1343">+J841</f>
        <v>Ninguno</v>
      </c>
      <c r="K842" s="9" t="str">
        <f t="shared" si="1343"/>
        <v>Superficie quemada por incendios forestales por región</v>
      </c>
      <c r="L842" s="9" t="str">
        <f t="shared" si="1343"/>
        <v>Periodo 2010-2020</v>
      </c>
      <c r="M842" s="9" t="str">
        <f t="shared" si="1343"/>
        <v>Hectáreas</v>
      </c>
      <c r="N842" s="9" t="str">
        <f t="shared" si="1343"/>
        <v>Corporación Nacional Forestal (CONAF)</v>
      </c>
      <c r="O842" s="20" t="str">
        <f>+"Evolución Anual de la superficie afectada por Incendios Forestales en la "&amp;I842&amp;", "&amp;Agencia[[#This Row],[temporalidad]]</f>
        <v>Evolución Anual de la superficie afectada por Incendios Forestales en la Región Metropolitana, Periodo 2010-2020</v>
      </c>
      <c r="P842" s="20"/>
      <c r="Q842" s="11" t="str">
        <f t="shared" si="1222"/>
        <v>Dashboard</v>
      </c>
      <c r="R842" s="20" t="str">
        <f>Agencia[[#This Row],[territorio]]&amp;" incendios forestales hectáreas superficie vegetación natural plantaciones temporada"</f>
        <v>Región Metropolitana incendios forestales hectáreas superficie vegetación natural plantaciones temporada</v>
      </c>
      <c r="S842" s="22" t="s">
        <v>423</v>
      </c>
      <c r="T842" s="69" t="str">
        <f>"200-C-"&amp;Agencia[[#This Row],[Filtro URL]]</f>
        <v>200-C-13</v>
      </c>
      <c r="U842" s="50" t="str">
        <f t="shared" si="1223"/>
        <v>#1774B9</v>
      </c>
      <c r="V842" s="118" t="str">
        <f>+Agencia[[#This Row],[idcoleccion]]&amp;"-"&amp;Agencia[[#This Row],[id]]</f>
        <v>990-0831</v>
      </c>
      <c r="W842" s="118">
        <f>+VLOOKUP(Agencia[[#This Row],[Filtro URL]],Estructura!$X$4:$Y$500,2,0)</f>
        <v>99200013</v>
      </c>
      <c r="X842" s="118" t="str">
        <f>+VLOOKUP(Agencia[[#This Row],[tema]],Estructura!$A$4:$C$500,3,0)</f>
        <v>T-1046</v>
      </c>
      <c r="Y842" s="118" t="str">
        <f>+VLOOKUP(Agencia[[#This Row],[contenido]],Estructura!$E$4:$G$500,3,0)</f>
        <v>C-1007</v>
      </c>
      <c r="Z842" s="118" t="str">
        <f>+VLOOKUP(Agencia[[#This Row],[Filtro Integrado]],Estructura!$I$4:$K$500,3,0)</f>
        <v>FI-993</v>
      </c>
      <c r="AA842" s="118" t="str">
        <f>+VLOOKUP(Agencia[[#This Row],[Muestra]],Estructura!$M$4:$O$500,3,0)</f>
        <v>M-1068</v>
      </c>
    </row>
    <row r="843" spans="1:27" ht="48" x14ac:dyDescent="0.3">
      <c r="A843" s="21" t="s">
        <v>1435</v>
      </c>
      <c r="B843" s="24">
        <f t="shared" ref="B843:D843" si="1344">+B842</f>
        <v>990</v>
      </c>
      <c r="C843" s="25" t="str">
        <f t="shared" si="1344"/>
        <v>Agencia Información</v>
      </c>
      <c r="D843" s="25" t="str">
        <f t="shared" si="1344"/>
        <v>Agropecuario y Forestal</v>
      </c>
      <c r="E843" s="19">
        <v>14</v>
      </c>
      <c r="F843" s="18" t="s">
        <v>1641</v>
      </c>
      <c r="G843" s="18" t="s">
        <v>3785</v>
      </c>
      <c r="H843" s="35" t="s">
        <v>16</v>
      </c>
      <c r="I843" s="36" t="s">
        <v>381</v>
      </c>
      <c r="J843" s="9" t="str">
        <f t="shared" ref="J843:N843" si="1345">+J842</f>
        <v>Ninguno</v>
      </c>
      <c r="K843" s="9" t="str">
        <f t="shared" si="1345"/>
        <v>Superficie quemada por incendios forestales por región</v>
      </c>
      <c r="L843" s="9" t="str">
        <f t="shared" si="1345"/>
        <v>Periodo 2010-2020</v>
      </c>
      <c r="M843" s="9" t="str">
        <f t="shared" si="1345"/>
        <v>Hectáreas</v>
      </c>
      <c r="N843" s="9" t="str">
        <f t="shared" si="1345"/>
        <v>Corporación Nacional Forestal (CONAF)</v>
      </c>
      <c r="O843" s="20" t="str">
        <f>+"Evolución Anual de la superficie afectada por Incendios Forestales en la "&amp;I843&amp;", "&amp;Agencia[[#This Row],[temporalidad]]</f>
        <v>Evolución Anual de la superficie afectada por Incendios Forestales en la Región de Los Ríos, Periodo 2010-2020</v>
      </c>
      <c r="P843" s="20"/>
      <c r="Q843" s="11" t="str">
        <f t="shared" si="1222"/>
        <v>Dashboard</v>
      </c>
      <c r="R843" s="20" t="str">
        <f>Agencia[[#This Row],[territorio]]&amp;" incendios forestales hectáreas superficie vegetación natural plantaciones temporada"</f>
        <v>Región de Los Ríos incendios forestales hectáreas superficie vegetación natural plantaciones temporada</v>
      </c>
      <c r="S843" s="22" t="s">
        <v>423</v>
      </c>
      <c r="T843" s="69" t="str">
        <f>"100-C-"&amp;Agencia[[#This Row],[Filtro URL]]</f>
        <v>100-C-14</v>
      </c>
      <c r="U843" s="50" t="str">
        <f t="shared" si="1223"/>
        <v>#1774B9</v>
      </c>
      <c r="V843" s="118" t="str">
        <f>+Agencia[[#This Row],[idcoleccion]]&amp;"-"&amp;Agencia[[#This Row],[id]]</f>
        <v>990-0832</v>
      </c>
      <c r="W843" s="118">
        <f>+VLOOKUP(Agencia[[#This Row],[Filtro URL]],Estructura!$X$4:$Y$500,2,0)</f>
        <v>99200014</v>
      </c>
      <c r="X843" s="118" t="str">
        <f>+VLOOKUP(Agencia[[#This Row],[tema]],Estructura!$A$4:$C$500,3,0)</f>
        <v>T-1046</v>
      </c>
      <c r="Y843" s="118" t="str">
        <f>+VLOOKUP(Agencia[[#This Row],[contenido]],Estructura!$E$4:$G$500,3,0)</f>
        <v>C-1007</v>
      </c>
      <c r="Z843" s="118" t="str">
        <f>+VLOOKUP(Agencia[[#This Row],[Filtro Integrado]],Estructura!$I$4:$K$500,3,0)</f>
        <v>FI-993</v>
      </c>
      <c r="AA843" s="118" t="str">
        <f>+VLOOKUP(Agencia[[#This Row],[Muestra]],Estructura!$M$4:$O$500,3,0)</f>
        <v>M-1068</v>
      </c>
    </row>
    <row r="844" spans="1:27" ht="48" x14ac:dyDescent="0.3">
      <c r="A844" s="21" t="s">
        <v>1436</v>
      </c>
      <c r="B844" s="24">
        <f t="shared" ref="B844:D844" si="1346">+B843</f>
        <v>990</v>
      </c>
      <c r="C844" s="25" t="str">
        <f t="shared" si="1346"/>
        <v>Agencia Información</v>
      </c>
      <c r="D844" s="25" t="str">
        <f t="shared" si="1346"/>
        <v>Agropecuario y Forestal</v>
      </c>
      <c r="E844" s="19">
        <v>15</v>
      </c>
      <c r="F844" s="18" t="s">
        <v>1641</v>
      </c>
      <c r="G844" s="18" t="s">
        <v>3785</v>
      </c>
      <c r="H844" s="35" t="s">
        <v>16</v>
      </c>
      <c r="I844" s="36" t="s">
        <v>382</v>
      </c>
      <c r="J844" s="9" t="str">
        <f t="shared" ref="J844:N844" si="1347">+J843</f>
        <v>Ninguno</v>
      </c>
      <c r="K844" s="9" t="str">
        <f t="shared" si="1347"/>
        <v>Superficie quemada por incendios forestales por región</v>
      </c>
      <c r="L844" s="9" t="str">
        <f t="shared" si="1347"/>
        <v>Periodo 2010-2020</v>
      </c>
      <c r="M844" s="9" t="str">
        <f t="shared" si="1347"/>
        <v>Hectáreas</v>
      </c>
      <c r="N844" s="9" t="str">
        <f t="shared" si="1347"/>
        <v>Corporación Nacional Forestal (CONAF)</v>
      </c>
      <c r="O844" s="20" t="str">
        <f>+"Evolución Anual de la superficie afectada por Incendios Forestales en la "&amp;I844&amp;", "&amp;Agencia[[#This Row],[temporalidad]]</f>
        <v>Evolución Anual de la superficie afectada por Incendios Forestales en la Región de Arica y Parinacota, Periodo 2010-2020</v>
      </c>
      <c r="P844" s="20"/>
      <c r="Q844" s="11" t="str">
        <f t="shared" ref="Q844:Q845" si="1348">+Q843</f>
        <v>Dashboard</v>
      </c>
      <c r="R844" s="20" t="str">
        <f>Agencia[[#This Row],[territorio]]&amp;" incendios forestales hectáreas superficie vegetación natural plantaciones temporada"</f>
        <v>Región de Arica y Parinacota incendios forestales hectáreas superficie vegetación natural plantaciones temporada</v>
      </c>
      <c r="S844" s="22" t="s">
        <v>423</v>
      </c>
      <c r="T844" s="69" t="str">
        <f>"100-C-"&amp;Agencia[[#This Row],[Filtro URL]]</f>
        <v>100-C-15</v>
      </c>
      <c r="U844" s="50" t="str">
        <f t="shared" ref="U844:U907" si="1349">+U843</f>
        <v>#1774B9</v>
      </c>
      <c r="V844" s="118" t="str">
        <f>+Agencia[[#This Row],[idcoleccion]]&amp;"-"&amp;Agencia[[#This Row],[id]]</f>
        <v>990-0833</v>
      </c>
      <c r="W844" s="118">
        <f>+VLOOKUP(Agencia[[#This Row],[Filtro URL]],Estructura!$X$4:$Y$500,2,0)</f>
        <v>99200015</v>
      </c>
      <c r="X844" s="118" t="str">
        <f>+VLOOKUP(Agencia[[#This Row],[tema]],Estructura!$A$4:$C$500,3,0)</f>
        <v>T-1046</v>
      </c>
      <c r="Y844" s="118" t="str">
        <f>+VLOOKUP(Agencia[[#This Row],[contenido]],Estructura!$E$4:$G$500,3,0)</f>
        <v>C-1007</v>
      </c>
      <c r="Z844" s="118" t="str">
        <f>+VLOOKUP(Agencia[[#This Row],[Filtro Integrado]],Estructura!$I$4:$K$500,3,0)</f>
        <v>FI-993</v>
      </c>
      <c r="AA844" s="118" t="str">
        <f>+VLOOKUP(Agencia[[#This Row],[Muestra]],Estructura!$M$4:$O$500,3,0)</f>
        <v>M-1068</v>
      </c>
    </row>
    <row r="845" spans="1:27" ht="48" x14ac:dyDescent="0.3">
      <c r="A845" s="21" t="s">
        <v>1437</v>
      </c>
      <c r="B845" s="24">
        <f t="shared" ref="B845:D845" si="1350">+B844</f>
        <v>990</v>
      </c>
      <c r="C845" s="25" t="str">
        <f t="shared" si="1350"/>
        <v>Agencia Información</v>
      </c>
      <c r="D845" s="25" t="str">
        <f t="shared" si="1350"/>
        <v>Agropecuario y Forestal</v>
      </c>
      <c r="E845" s="19">
        <v>16</v>
      </c>
      <c r="F845" s="18" t="s">
        <v>1641</v>
      </c>
      <c r="G845" s="18" t="s">
        <v>3785</v>
      </c>
      <c r="H845" s="35" t="s">
        <v>16</v>
      </c>
      <c r="I845" s="36" t="s">
        <v>383</v>
      </c>
      <c r="J845" s="9" t="str">
        <f t="shared" ref="J845:N845" si="1351">+J844</f>
        <v>Ninguno</v>
      </c>
      <c r="K845" s="9" t="str">
        <f t="shared" si="1351"/>
        <v>Superficie quemada por incendios forestales por región</v>
      </c>
      <c r="L845" s="9" t="str">
        <f t="shared" si="1351"/>
        <v>Periodo 2010-2020</v>
      </c>
      <c r="M845" s="9" t="str">
        <f t="shared" si="1351"/>
        <v>Hectáreas</v>
      </c>
      <c r="N845" s="9" t="str">
        <f t="shared" si="1351"/>
        <v>Corporación Nacional Forestal (CONAF)</v>
      </c>
      <c r="O845" s="20" t="str">
        <f>+"Evolución Anual de la superficie afectada por Incendios Forestales en la "&amp;I845&amp;", "&amp;Agencia[[#This Row],[temporalidad]]</f>
        <v>Evolución Anual de la superficie afectada por Incendios Forestales en la Región de Ñuble, Periodo 2010-2020</v>
      </c>
      <c r="P845" s="20"/>
      <c r="Q845" s="11" t="str">
        <f t="shared" si="1348"/>
        <v>Dashboard</v>
      </c>
      <c r="R845" s="20" t="str">
        <f>Agencia[[#This Row],[territorio]]&amp;" incendios forestales hectáreas superficie vegetación natural plantaciones temporada"</f>
        <v>Región de Ñuble incendios forestales hectáreas superficie vegetación natural plantaciones temporada</v>
      </c>
      <c r="S845" s="22" t="s">
        <v>423</v>
      </c>
      <c r="T845" s="69" t="str">
        <f>"100-C-"&amp;Agencia[[#This Row],[Filtro URL]]</f>
        <v>100-C-16</v>
      </c>
      <c r="U845" s="50" t="str">
        <f t="shared" si="1349"/>
        <v>#1774B9</v>
      </c>
      <c r="V845" s="118" t="str">
        <f>+Agencia[[#This Row],[idcoleccion]]&amp;"-"&amp;Agencia[[#This Row],[id]]</f>
        <v>990-0834</v>
      </c>
      <c r="W845" s="118">
        <f>+VLOOKUP(Agencia[[#This Row],[Filtro URL]],Estructura!$X$4:$Y$500,2,0)</f>
        <v>99200016</v>
      </c>
      <c r="X845" s="118" t="str">
        <f>+VLOOKUP(Agencia[[#This Row],[tema]],Estructura!$A$4:$C$500,3,0)</f>
        <v>T-1046</v>
      </c>
      <c r="Y845" s="118" t="str">
        <f>+VLOOKUP(Agencia[[#This Row],[contenido]],Estructura!$E$4:$G$500,3,0)</f>
        <v>C-1007</v>
      </c>
      <c r="Z845" s="118" t="str">
        <f>+VLOOKUP(Agencia[[#This Row],[Filtro Integrado]],Estructura!$I$4:$K$500,3,0)</f>
        <v>FI-993</v>
      </c>
      <c r="AA845" s="118" t="str">
        <f>+VLOOKUP(Agencia[[#This Row],[Muestra]],Estructura!$M$4:$O$500,3,0)</f>
        <v>M-1068</v>
      </c>
    </row>
    <row r="846" spans="1:27" ht="36" x14ac:dyDescent="0.3">
      <c r="A846" s="21" t="s">
        <v>1438</v>
      </c>
      <c r="B846" s="24">
        <f t="shared" ref="B846:C846" si="1352">+B845</f>
        <v>990</v>
      </c>
      <c r="C846" s="25" t="str">
        <f t="shared" si="1352"/>
        <v>Agencia Información</v>
      </c>
      <c r="D846" s="25" t="s">
        <v>578</v>
      </c>
      <c r="E846" s="14">
        <v>0</v>
      </c>
      <c r="F846" s="18" t="s">
        <v>1641</v>
      </c>
      <c r="G846" s="18" t="s">
        <v>3785</v>
      </c>
      <c r="H846" s="33" t="s">
        <v>20</v>
      </c>
      <c r="I846" s="34" t="s">
        <v>15</v>
      </c>
      <c r="J846" s="9" t="s">
        <v>404</v>
      </c>
      <c r="K846" s="9" t="s">
        <v>1649</v>
      </c>
      <c r="L846" s="9" t="s">
        <v>610</v>
      </c>
      <c r="M846" s="9" t="s">
        <v>1650</v>
      </c>
      <c r="N846" s="9" t="s">
        <v>609</v>
      </c>
      <c r="O846" s="20" t="str">
        <f>+"Incendios y superficie afectada de plantaciones Forestales según causas específicas en "&amp;I846&amp;", "&amp;Agencia[[#This Row],[temporalidad]]</f>
        <v>Incendios y superficie afectada de plantaciones Forestales según causas específicas en Chile, Periodo 2010-2020</v>
      </c>
      <c r="P846" s="20"/>
      <c r="Q846" s="11" t="s">
        <v>606</v>
      </c>
      <c r="R846" s="20" t="str">
        <f>Agencia[[#This Row],[territorio]]&amp;" incendios forestales hectáreas superficie cantidad número causa plantaciones temporada fuego"</f>
        <v>Chile incendios forestales hectáreas superficie cantidad número causa plantaciones temporada fuego</v>
      </c>
      <c r="S846" s="22" t="s">
        <v>423</v>
      </c>
      <c r="T846" s="68" t="s">
        <v>855</v>
      </c>
      <c r="U846" s="50" t="str">
        <f t="shared" si="1349"/>
        <v>#1774B9</v>
      </c>
      <c r="V846" s="118" t="str">
        <f>+Agencia[[#This Row],[idcoleccion]]&amp;"-"&amp;Agencia[[#This Row],[id]]</f>
        <v>990-0835</v>
      </c>
      <c r="W846" s="118">
        <f>+VLOOKUP(Agencia[[#This Row],[Filtro URL]],Estructura!$X$4:$Y$500,2,0)</f>
        <v>99100000</v>
      </c>
      <c r="X846" s="118" t="str">
        <f>+VLOOKUP(Agencia[[#This Row],[tema]],Estructura!$A$4:$C$500,3,0)</f>
        <v>T-1046</v>
      </c>
      <c r="Y846" s="118" t="str">
        <f>+VLOOKUP(Agencia[[#This Row],[contenido]],Estructura!$E$4:$G$500,3,0)</f>
        <v>C-1007</v>
      </c>
      <c r="Z846" s="118" t="str">
        <f>+VLOOKUP(Agencia[[#This Row],[Filtro Integrado]],Estructura!$I$4:$K$500,3,0)</f>
        <v>FI-993</v>
      </c>
      <c r="AA846" s="118" t="str">
        <f>+VLOOKUP(Agencia[[#This Row],[Muestra]],Estructura!$M$4:$O$500,3,0)</f>
        <v>M-1069</v>
      </c>
    </row>
    <row r="847" spans="1:27" ht="36" x14ac:dyDescent="0.3">
      <c r="A847" s="21" t="s">
        <v>1439</v>
      </c>
      <c r="B847" s="24">
        <f t="shared" ref="B847:D847" si="1353">+B846</f>
        <v>990</v>
      </c>
      <c r="C847" s="25" t="str">
        <f t="shared" si="1353"/>
        <v>Agencia Información</v>
      </c>
      <c r="D847" s="25" t="str">
        <f t="shared" si="1353"/>
        <v>Agropecuario y Forestal</v>
      </c>
      <c r="E847" s="19">
        <v>1</v>
      </c>
      <c r="F847" s="18" t="s">
        <v>1641</v>
      </c>
      <c r="G847" s="18" t="s">
        <v>3785</v>
      </c>
      <c r="H847" s="35" t="s">
        <v>16</v>
      </c>
      <c r="I847" s="36" t="s">
        <v>368</v>
      </c>
      <c r="J847" s="9" t="str">
        <f t="shared" ref="J847" si="1354">+J846</f>
        <v>Ninguno</v>
      </c>
      <c r="K847" s="9" t="s">
        <v>1649</v>
      </c>
      <c r="L847" s="9" t="str">
        <f t="shared" ref="L847:N847" si="1355">+L846</f>
        <v>Periodo 2010-2020</v>
      </c>
      <c r="M847" s="9" t="str">
        <f t="shared" si="1355"/>
        <v>Número de incendios y Hectáreas</v>
      </c>
      <c r="N847" s="9" t="str">
        <f t="shared" si="1355"/>
        <v>Corporación Nacional Forestal (CONAF)</v>
      </c>
      <c r="O847" s="20" t="str">
        <f>+"Incendios y superficie afectada de plantaciones Forestales según causas específicas en la "&amp;I847&amp;", "&amp;Agencia[[#This Row],[temporalidad]]</f>
        <v>Incendios y superficie afectada de plantaciones Forestales según causas específicas en la Región de Tarapacá, Periodo 2010-2020</v>
      </c>
      <c r="P847" s="20"/>
      <c r="Q847" s="11" t="str">
        <f t="shared" ref="Q847:Q910" si="1356">+Q846</f>
        <v>Dashboard</v>
      </c>
      <c r="R847" s="20" t="str">
        <f>Agencia[[#This Row],[territorio]]&amp;" incendios forestales hectáreas superficie cantidad número causa plantaciones temporada fuego"</f>
        <v>Región de Tarapacá incendios forestales hectáreas superficie cantidad número causa plantaciones temporada fuego</v>
      </c>
      <c r="S847" s="22" t="s">
        <v>423</v>
      </c>
      <c r="T847" s="68" t="str">
        <f>"100-R-"&amp;Agencia[[#This Row],[Filtro URL]]</f>
        <v>100-R-1</v>
      </c>
      <c r="U847" s="50" t="str">
        <f t="shared" si="1349"/>
        <v>#1774B9</v>
      </c>
      <c r="V847" s="118" t="str">
        <f>+Agencia[[#This Row],[idcoleccion]]&amp;"-"&amp;Agencia[[#This Row],[id]]</f>
        <v>990-0836</v>
      </c>
      <c r="W847" s="118">
        <f>+VLOOKUP(Agencia[[#This Row],[Filtro URL]],Estructura!$X$4:$Y$500,2,0)</f>
        <v>99200001</v>
      </c>
      <c r="X847" s="118" t="str">
        <f>+VLOOKUP(Agencia[[#This Row],[tema]],Estructura!$A$4:$C$500,3,0)</f>
        <v>T-1046</v>
      </c>
      <c r="Y847" s="118" t="str">
        <f>+VLOOKUP(Agencia[[#This Row],[contenido]],Estructura!$E$4:$G$500,3,0)</f>
        <v>C-1007</v>
      </c>
      <c r="Z847" s="118" t="str">
        <f>+VLOOKUP(Agencia[[#This Row],[Filtro Integrado]],Estructura!$I$4:$K$500,3,0)</f>
        <v>FI-993</v>
      </c>
      <c r="AA847" s="118" t="str">
        <f>+VLOOKUP(Agencia[[#This Row],[Muestra]],Estructura!$M$4:$O$500,3,0)</f>
        <v>M-1069</v>
      </c>
    </row>
    <row r="848" spans="1:27" ht="36" x14ac:dyDescent="0.3">
      <c r="A848" s="21" t="s">
        <v>1440</v>
      </c>
      <c r="B848" s="24">
        <f t="shared" ref="B848:D848" si="1357">+B847</f>
        <v>990</v>
      </c>
      <c r="C848" s="25" t="str">
        <f t="shared" si="1357"/>
        <v>Agencia Información</v>
      </c>
      <c r="D848" s="25" t="str">
        <f t="shared" si="1357"/>
        <v>Agropecuario y Forestal</v>
      </c>
      <c r="E848" s="19">
        <v>2</v>
      </c>
      <c r="F848" s="18" t="s">
        <v>1641</v>
      </c>
      <c r="G848" s="18" t="s">
        <v>3785</v>
      </c>
      <c r="H848" s="35" t="s">
        <v>16</v>
      </c>
      <c r="I848" s="36" t="s">
        <v>369</v>
      </c>
      <c r="J848" s="9" t="str">
        <f t="shared" ref="J848:N848" si="1358">+J847</f>
        <v>Ninguno</v>
      </c>
      <c r="K848" s="9" t="str">
        <f t="shared" si="1358"/>
        <v>Número y Superficie de incendios por causa</v>
      </c>
      <c r="L848" s="9" t="str">
        <f t="shared" si="1358"/>
        <v>Periodo 2010-2020</v>
      </c>
      <c r="M848" s="9" t="str">
        <f t="shared" si="1358"/>
        <v>Número de incendios y Hectáreas</v>
      </c>
      <c r="N848" s="9" t="str">
        <f t="shared" si="1358"/>
        <v>Corporación Nacional Forestal (CONAF)</v>
      </c>
      <c r="O848" s="20" t="str">
        <f>+"Incendios y superficie afectada de plantaciones Forestales según causas específicas en la "&amp;I848&amp;", "&amp;Agencia[[#This Row],[temporalidad]]</f>
        <v>Incendios y superficie afectada de plantaciones Forestales según causas específicas en la Región de Antofagasta, Periodo 2010-2020</v>
      </c>
      <c r="P848" s="20"/>
      <c r="Q848" s="11" t="str">
        <f t="shared" si="1356"/>
        <v>Dashboard</v>
      </c>
      <c r="R848" s="20" t="str">
        <f>Agencia[[#This Row],[territorio]]&amp;" incendios forestales hectáreas superficie cantidad número causa plantaciones temporada fuego"</f>
        <v>Región de Antofagasta incendios forestales hectáreas superficie cantidad número causa plantaciones temporada fuego</v>
      </c>
      <c r="S848" s="22" t="s">
        <v>423</v>
      </c>
      <c r="T848" s="68" t="str">
        <f>"100-R-"&amp;Agencia[[#This Row],[Filtro URL]]</f>
        <v>100-R-2</v>
      </c>
      <c r="U848" s="50" t="str">
        <f t="shared" si="1349"/>
        <v>#1774B9</v>
      </c>
      <c r="V848" s="118" t="str">
        <f>+Agencia[[#This Row],[idcoleccion]]&amp;"-"&amp;Agencia[[#This Row],[id]]</f>
        <v>990-0837</v>
      </c>
      <c r="W848" s="118">
        <f>+VLOOKUP(Agencia[[#This Row],[Filtro URL]],Estructura!$X$4:$Y$500,2,0)</f>
        <v>99200002</v>
      </c>
      <c r="X848" s="118" t="str">
        <f>+VLOOKUP(Agencia[[#This Row],[tema]],Estructura!$A$4:$C$500,3,0)</f>
        <v>T-1046</v>
      </c>
      <c r="Y848" s="118" t="str">
        <f>+VLOOKUP(Agencia[[#This Row],[contenido]],Estructura!$E$4:$G$500,3,0)</f>
        <v>C-1007</v>
      </c>
      <c r="Z848" s="118" t="str">
        <f>+VLOOKUP(Agencia[[#This Row],[Filtro Integrado]],Estructura!$I$4:$K$500,3,0)</f>
        <v>FI-993</v>
      </c>
      <c r="AA848" s="118" t="str">
        <f>+VLOOKUP(Agencia[[#This Row],[Muestra]],Estructura!$M$4:$O$500,3,0)</f>
        <v>M-1069</v>
      </c>
    </row>
    <row r="849" spans="1:27" ht="36" x14ac:dyDescent="0.3">
      <c r="A849" s="21" t="s">
        <v>1441</v>
      </c>
      <c r="B849" s="24">
        <f t="shared" ref="B849:D849" si="1359">+B848</f>
        <v>990</v>
      </c>
      <c r="C849" s="25" t="str">
        <f t="shared" si="1359"/>
        <v>Agencia Información</v>
      </c>
      <c r="D849" s="25" t="str">
        <f t="shared" si="1359"/>
        <v>Agropecuario y Forestal</v>
      </c>
      <c r="E849" s="19">
        <v>3</v>
      </c>
      <c r="F849" s="18" t="s">
        <v>1641</v>
      </c>
      <c r="G849" s="18" t="s">
        <v>3785</v>
      </c>
      <c r="H849" s="35" t="s">
        <v>16</v>
      </c>
      <c r="I849" s="36" t="s">
        <v>370</v>
      </c>
      <c r="J849" s="9" t="str">
        <f t="shared" ref="J849:N849" si="1360">+J848</f>
        <v>Ninguno</v>
      </c>
      <c r="K849" s="9" t="str">
        <f t="shared" si="1360"/>
        <v>Número y Superficie de incendios por causa</v>
      </c>
      <c r="L849" s="9" t="str">
        <f t="shared" si="1360"/>
        <v>Periodo 2010-2020</v>
      </c>
      <c r="M849" s="9" t="str">
        <f t="shared" si="1360"/>
        <v>Número de incendios y Hectáreas</v>
      </c>
      <c r="N849" s="9" t="str">
        <f t="shared" si="1360"/>
        <v>Corporación Nacional Forestal (CONAF)</v>
      </c>
      <c r="O849" s="20" t="str">
        <f>+"Incendios y superficie afectada de plantaciones Forestales según causas específicas en la "&amp;I849&amp;", "&amp;Agencia[[#This Row],[temporalidad]]</f>
        <v>Incendios y superficie afectada de plantaciones Forestales según causas específicas en la Región de Atacama, Periodo 2010-2020</v>
      </c>
      <c r="P849" s="20"/>
      <c r="Q849" s="11" t="str">
        <f t="shared" si="1356"/>
        <v>Dashboard</v>
      </c>
      <c r="R849" s="20" t="str">
        <f>Agencia[[#This Row],[territorio]]&amp;" incendios forestales hectáreas superficie cantidad número causa plantaciones temporada fuego"</f>
        <v>Región de Atacama incendios forestales hectáreas superficie cantidad número causa plantaciones temporada fuego</v>
      </c>
      <c r="S849" s="22" t="s">
        <v>423</v>
      </c>
      <c r="T849" s="68" t="str">
        <f>"100-R-"&amp;Agencia[[#This Row],[Filtro URL]]</f>
        <v>100-R-3</v>
      </c>
      <c r="U849" s="50" t="str">
        <f t="shared" si="1349"/>
        <v>#1774B9</v>
      </c>
      <c r="V849" s="118" t="str">
        <f>+Agencia[[#This Row],[idcoleccion]]&amp;"-"&amp;Agencia[[#This Row],[id]]</f>
        <v>990-0838</v>
      </c>
      <c r="W849" s="118">
        <f>+VLOOKUP(Agencia[[#This Row],[Filtro URL]],Estructura!$X$4:$Y$500,2,0)</f>
        <v>99200003</v>
      </c>
      <c r="X849" s="118" t="str">
        <f>+VLOOKUP(Agencia[[#This Row],[tema]],Estructura!$A$4:$C$500,3,0)</f>
        <v>T-1046</v>
      </c>
      <c r="Y849" s="118" t="str">
        <f>+VLOOKUP(Agencia[[#This Row],[contenido]],Estructura!$E$4:$G$500,3,0)</f>
        <v>C-1007</v>
      </c>
      <c r="Z849" s="118" t="str">
        <f>+VLOOKUP(Agencia[[#This Row],[Filtro Integrado]],Estructura!$I$4:$K$500,3,0)</f>
        <v>FI-993</v>
      </c>
      <c r="AA849" s="118" t="str">
        <f>+VLOOKUP(Agencia[[#This Row],[Muestra]],Estructura!$M$4:$O$500,3,0)</f>
        <v>M-1069</v>
      </c>
    </row>
    <row r="850" spans="1:27" ht="36" x14ac:dyDescent="0.3">
      <c r="A850" s="21" t="s">
        <v>1442</v>
      </c>
      <c r="B850" s="24">
        <f t="shared" ref="B850:D850" si="1361">+B849</f>
        <v>990</v>
      </c>
      <c r="C850" s="25" t="str">
        <f t="shared" si="1361"/>
        <v>Agencia Información</v>
      </c>
      <c r="D850" s="25" t="str">
        <f t="shared" si="1361"/>
        <v>Agropecuario y Forestal</v>
      </c>
      <c r="E850" s="19">
        <v>4</v>
      </c>
      <c r="F850" s="18" t="s">
        <v>1641</v>
      </c>
      <c r="G850" s="18" t="s">
        <v>3785</v>
      </c>
      <c r="H850" s="35" t="s">
        <v>16</v>
      </c>
      <c r="I850" s="36" t="s">
        <v>371</v>
      </c>
      <c r="J850" s="9" t="str">
        <f t="shared" ref="J850:N850" si="1362">+J849</f>
        <v>Ninguno</v>
      </c>
      <c r="K850" s="9" t="str">
        <f t="shared" si="1362"/>
        <v>Número y Superficie de incendios por causa</v>
      </c>
      <c r="L850" s="9" t="str">
        <f t="shared" si="1362"/>
        <v>Periodo 2010-2020</v>
      </c>
      <c r="M850" s="9" t="str">
        <f t="shared" si="1362"/>
        <v>Número de incendios y Hectáreas</v>
      </c>
      <c r="N850" s="9" t="str">
        <f t="shared" si="1362"/>
        <v>Corporación Nacional Forestal (CONAF)</v>
      </c>
      <c r="O850" s="20" t="str">
        <f>+"Incendios y superficie afectada de plantaciones Forestales según causas específicas en la "&amp;I850&amp;", "&amp;Agencia[[#This Row],[temporalidad]]</f>
        <v>Incendios y superficie afectada de plantaciones Forestales según causas específicas en la Región de Coquimbo, Periodo 2010-2020</v>
      </c>
      <c r="P850" s="20"/>
      <c r="Q850" s="11" t="str">
        <f t="shared" si="1356"/>
        <v>Dashboard</v>
      </c>
      <c r="R850" s="20" t="str">
        <f>Agencia[[#This Row],[territorio]]&amp;" incendios forestales hectáreas superficie cantidad número causa plantaciones temporada fuego"</f>
        <v>Región de Coquimbo incendios forestales hectáreas superficie cantidad número causa plantaciones temporada fuego</v>
      </c>
      <c r="S850" s="22" t="s">
        <v>423</v>
      </c>
      <c r="T850" s="68" t="str">
        <f>"100-R-"&amp;Agencia[[#This Row],[Filtro URL]]</f>
        <v>100-R-4</v>
      </c>
      <c r="U850" s="50" t="str">
        <f t="shared" si="1349"/>
        <v>#1774B9</v>
      </c>
      <c r="V850" s="118" t="str">
        <f>+Agencia[[#This Row],[idcoleccion]]&amp;"-"&amp;Agencia[[#This Row],[id]]</f>
        <v>990-0839</v>
      </c>
      <c r="W850" s="118">
        <f>+VLOOKUP(Agencia[[#This Row],[Filtro URL]],Estructura!$X$4:$Y$500,2,0)</f>
        <v>99200004</v>
      </c>
      <c r="X850" s="118" t="str">
        <f>+VLOOKUP(Agencia[[#This Row],[tema]],Estructura!$A$4:$C$500,3,0)</f>
        <v>T-1046</v>
      </c>
      <c r="Y850" s="118" t="str">
        <f>+VLOOKUP(Agencia[[#This Row],[contenido]],Estructura!$E$4:$G$500,3,0)</f>
        <v>C-1007</v>
      </c>
      <c r="Z850" s="118" t="str">
        <f>+VLOOKUP(Agencia[[#This Row],[Filtro Integrado]],Estructura!$I$4:$K$500,3,0)</f>
        <v>FI-993</v>
      </c>
      <c r="AA850" s="118" t="str">
        <f>+VLOOKUP(Agencia[[#This Row],[Muestra]],Estructura!$M$4:$O$500,3,0)</f>
        <v>M-1069</v>
      </c>
    </row>
    <row r="851" spans="1:27" ht="36" x14ac:dyDescent="0.3">
      <c r="A851" s="21" t="s">
        <v>1443</v>
      </c>
      <c r="B851" s="24">
        <f t="shared" ref="B851:D851" si="1363">+B850</f>
        <v>990</v>
      </c>
      <c r="C851" s="25" t="str">
        <f t="shared" si="1363"/>
        <v>Agencia Información</v>
      </c>
      <c r="D851" s="25" t="str">
        <f t="shared" si="1363"/>
        <v>Agropecuario y Forestal</v>
      </c>
      <c r="E851" s="19">
        <v>5</v>
      </c>
      <c r="F851" s="18" t="s">
        <v>1641</v>
      </c>
      <c r="G851" s="18" t="s">
        <v>3785</v>
      </c>
      <c r="H851" s="35" t="s">
        <v>16</v>
      </c>
      <c r="I851" s="36" t="s">
        <v>372</v>
      </c>
      <c r="J851" s="9" t="str">
        <f t="shared" ref="J851:N851" si="1364">+J850</f>
        <v>Ninguno</v>
      </c>
      <c r="K851" s="9" t="str">
        <f t="shared" si="1364"/>
        <v>Número y Superficie de incendios por causa</v>
      </c>
      <c r="L851" s="9" t="str">
        <f t="shared" si="1364"/>
        <v>Periodo 2010-2020</v>
      </c>
      <c r="M851" s="9" t="str">
        <f t="shared" si="1364"/>
        <v>Número de incendios y Hectáreas</v>
      </c>
      <c r="N851" s="9" t="str">
        <f t="shared" si="1364"/>
        <v>Corporación Nacional Forestal (CONAF)</v>
      </c>
      <c r="O851" s="20" t="str">
        <f>+"Incendios y superficie afectada de plantaciones Forestales según causas específicas en la "&amp;I851&amp;", "&amp;Agencia[[#This Row],[temporalidad]]</f>
        <v>Incendios y superficie afectada de plantaciones Forestales según causas específicas en la Región de Valparaíso, Periodo 2010-2020</v>
      </c>
      <c r="P851" s="20"/>
      <c r="Q851" s="11" t="str">
        <f t="shared" si="1356"/>
        <v>Dashboard</v>
      </c>
      <c r="R851" s="20" t="str">
        <f>Agencia[[#This Row],[territorio]]&amp;" incendios forestales hectáreas superficie cantidad número causa plantaciones temporada fuego"</f>
        <v>Región de Valparaíso incendios forestales hectáreas superficie cantidad número causa plantaciones temporada fuego</v>
      </c>
      <c r="S851" s="22" t="s">
        <v>423</v>
      </c>
      <c r="T851" s="68" t="str">
        <f>"100-R-"&amp;Agencia[[#This Row],[Filtro URL]]</f>
        <v>100-R-5</v>
      </c>
      <c r="U851" s="50" t="str">
        <f t="shared" si="1349"/>
        <v>#1774B9</v>
      </c>
      <c r="V851" s="118" t="str">
        <f>+Agencia[[#This Row],[idcoleccion]]&amp;"-"&amp;Agencia[[#This Row],[id]]</f>
        <v>990-0840</v>
      </c>
      <c r="W851" s="118">
        <f>+VLOOKUP(Agencia[[#This Row],[Filtro URL]],Estructura!$X$4:$Y$500,2,0)</f>
        <v>99200005</v>
      </c>
      <c r="X851" s="118" t="str">
        <f>+VLOOKUP(Agencia[[#This Row],[tema]],Estructura!$A$4:$C$500,3,0)</f>
        <v>T-1046</v>
      </c>
      <c r="Y851" s="118" t="str">
        <f>+VLOOKUP(Agencia[[#This Row],[contenido]],Estructura!$E$4:$G$500,3,0)</f>
        <v>C-1007</v>
      </c>
      <c r="Z851" s="118" t="str">
        <f>+VLOOKUP(Agencia[[#This Row],[Filtro Integrado]],Estructura!$I$4:$K$500,3,0)</f>
        <v>FI-993</v>
      </c>
      <c r="AA851" s="118" t="str">
        <f>+VLOOKUP(Agencia[[#This Row],[Muestra]],Estructura!$M$4:$O$500,3,0)</f>
        <v>M-1069</v>
      </c>
    </row>
    <row r="852" spans="1:27" ht="36" x14ac:dyDescent="0.3">
      <c r="A852" s="21" t="s">
        <v>1444</v>
      </c>
      <c r="B852" s="24">
        <f t="shared" ref="B852:D852" si="1365">+B851</f>
        <v>990</v>
      </c>
      <c r="C852" s="25" t="str">
        <f t="shared" si="1365"/>
        <v>Agencia Información</v>
      </c>
      <c r="D852" s="25" t="str">
        <f t="shared" si="1365"/>
        <v>Agropecuario y Forestal</v>
      </c>
      <c r="E852" s="19">
        <v>6</v>
      </c>
      <c r="F852" s="18" t="s">
        <v>1641</v>
      </c>
      <c r="G852" s="18" t="s">
        <v>3785</v>
      </c>
      <c r="H852" s="35" t="s">
        <v>16</v>
      </c>
      <c r="I852" s="36" t="s">
        <v>373</v>
      </c>
      <c r="J852" s="9" t="str">
        <f t="shared" ref="J852:N852" si="1366">+J851</f>
        <v>Ninguno</v>
      </c>
      <c r="K852" s="9" t="str">
        <f t="shared" si="1366"/>
        <v>Número y Superficie de incendios por causa</v>
      </c>
      <c r="L852" s="9" t="str">
        <f t="shared" si="1366"/>
        <v>Periodo 2010-2020</v>
      </c>
      <c r="M852" s="9" t="str">
        <f t="shared" si="1366"/>
        <v>Número de incendios y Hectáreas</v>
      </c>
      <c r="N852" s="9" t="str">
        <f t="shared" si="1366"/>
        <v>Corporación Nacional Forestal (CONAF)</v>
      </c>
      <c r="O852" s="20" t="str">
        <f>+"Incendios y superficie afectada de plantaciones Forestales según causas específicas en la "&amp;I852&amp;", "&amp;Agencia[[#This Row],[temporalidad]]</f>
        <v>Incendios y superficie afectada de plantaciones Forestales según causas específicas en la Región de O'Higgins, Periodo 2010-2020</v>
      </c>
      <c r="P852" s="20"/>
      <c r="Q852" s="11" t="str">
        <f t="shared" si="1356"/>
        <v>Dashboard</v>
      </c>
      <c r="R852" s="20" t="str">
        <f>Agencia[[#This Row],[territorio]]&amp;" incendios forestales hectáreas superficie cantidad número causa plantaciones temporada fuego"</f>
        <v>Región de O'Higgins incendios forestales hectáreas superficie cantidad número causa plantaciones temporada fuego</v>
      </c>
      <c r="S852" s="22" t="s">
        <v>423</v>
      </c>
      <c r="T852" s="68" t="str">
        <f>"100-R-"&amp;Agencia[[#This Row],[Filtro URL]]</f>
        <v>100-R-6</v>
      </c>
      <c r="U852" s="50" t="str">
        <f t="shared" si="1349"/>
        <v>#1774B9</v>
      </c>
      <c r="V852" s="118" t="str">
        <f>+Agencia[[#This Row],[idcoleccion]]&amp;"-"&amp;Agencia[[#This Row],[id]]</f>
        <v>990-0841</v>
      </c>
      <c r="W852" s="118">
        <f>+VLOOKUP(Agencia[[#This Row],[Filtro URL]],Estructura!$X$4:$Y$500,2,0)</f>
        <v>99200006</v>
      </c>
      <c r="X852" s="118" t="str">
        <f>+VLOOKUP(Agencia[[#This Row],[tema]],Estructura!$A$4:$C$500,3,0)</f>
        <v>T-1046</v>
      </c>
      <c r="Y852" s="118" t="str">
        <f>+VLOOKUP(Agencia[[#This Row],[contenido]],Estructura!$E$4:$G$500,3,0)</f>
        <v>C-1007</v>
      </c>
      <c r="Z852" s="118" t="str">
        <f>+VLOOKUP(Agencia[[#This Row],[Filtro Integrado]],Estructura!$I$4:$K$500,3,0)</f>
        <v>FI-993</v>
      </c>
      <c r="AA852" s="118" t="str">
        <f>+VLOOKUP(Agencia[[#This Row],[Muestra]],Estructura!$M$4:$O$500,3,0)</f>
        <v>M-1069</v>
      </c>
    </row>
    <row r="853" spans="1:27" ht="36" x14ac:dyDescent="0.3">
      <c r="A853" s="21" t="s">
        <v>1445</v>
      </c>
      <c r="B853" s="24">
        <f t="shared" ref="B853:D853" si="1367">+B852</f>
        <v>990</v>
      </c>
      <c r="C853" s="25" t="str">
        <f t="shared" si="1367"/>
        <v>Agencia Información</v>
      </c>
      <c r="D853" s="25" t="str">
        <f t="shared" si="1367"/>
        <v>Agropecuario y Forestal</v>
      </c>
      <c r="E853" s="19">
        <v>7</v>
      </c>
      <c r="F853" s="18" t="s">
        <v>1641</v>
      </c>
      <c r="G853" s="18" t="s">
        <v>3785</v>
      </c>
      <c r="H853" s="35" t="s">
        <v>16</v>
      </c>
      <c r="I853" s="36" t="s">
        <v>374</v>
      </c>
      <c r="J853" s="9" t="str">
        <f t="shared" ref="J853:N853" si="1368">+J852</f>
        <v>Ninguno</v>
      </c>
      <c r="K853" s="9" t="str">
        <f t="shared" si="1368"/>
        <v>Número y Superficie de incendios por causa</v>
      </c>
      <c r="L853" s="9" t="str">
        <f t="shared" si="1368"/>
        <v>Periodo 2010-2020</v>
      </c>
      <c r="M853" s="9" t="str">
        <f t="shared" si="1368"/>
        <v>Número de incendios y Hectáreas</v>
      </c>
      <c r="N853" s="9" t="str">
        <f t="shared" si="1368"/>
        <v>Corporación Nacional Forestal (CONAF)</v>
      </c>
      <c r="O853" s="20" t="str">
        <f>+"Incendios y superficie afectada de plantaciones Forestales según causas específicas en la "&amp;I853&amp;", "&amp;Agencia[[#This Row],[temporalidad]]</f>
        <v>Incendios y superficie afectada de plantaciones Forestales según causas específicas en la Región de Maule, Periodo 2010-2020</v>
      </c>
      <c r="P853" s="20"/>
      <c r="Q853" s="11" t="str">
        <f t="shared" si="1356"/>
        <v>Dashboard</v>
      </c>
      <c r="R853" s="20" t="str">
        <f>Agencia[[#This Row],[territorio]]&amp;" incendios forestales hectáreas superficie cantidad número causa plantaciones temporada fuego"</f>
        <v>Región de Maule incendios forestales hectáreas superficie cantidad número causa plantaciones temporada fuego</v>
      </c>
      <c r="S853" s="22" t="s">
        <v>423</v>
      </c>
      <c r="T853" s="68" t="str">
        <f>"100-R-"&amp;Agencia[[#This Row],[Filtro URL]]</f>
        <v>100-R-7</v>
      </c>
      <c r="U853" s="50" t="str">
        <f t="shared" si="1349"/>
        <v>#1774B9</v>
      </c>
      <c r="V853" s="118" t="str">
        <f>+Agencia[[#This Row],[idcoleccion]]&amp;"-"&amp;Agencia[[#This Row],[id]]</f>
        <v>990-0842</v>
      </c>
      <c r="W853" s="118">
        <f>+VLOOKUP(Agencia[[#This Row],[Filtro URL]],Estructura!$X$4:$Y$500,2,0)</f>
        <v>99200007</v>
      </c>
      <c r="X853" s="118" t="str">
        <f>+VLOOKUP(Agencia[[#This Row],[tema]],Estructura!$A$4:$C$500,3,0)</f>
        <v>T-1046</v>
      </c>
      <c r="Y853" s="118" t="str">
        <f>+VLOOKUP(Agencia[[#This Row],[contenido]],Estructura!$E$4:$G$500,3,0)</f>
        <v>C-1007</v>
      </c>
      <c r="Z853" s="118" t="str">
        <f>+VLOOKUP(Agencia[[#This Row],[Filtro Integrado]],Estructura!$I$4:$K$500,3,0)</f>
        <v>FI-993</v>
      </c>
      <c r="AA853" s="118" t="str">
        <f>+VLOOKUP(Agencia[[#This Row],[Muestra]],Estructura!$M$4:$O$500,3,0)</f>
        <v>M-1069</v>
      </c>
    </row>
    <row r="854" spans="1:27" ht="40.799999999999997" x14ac:dyDescent="0.3">
      <c r="A854" s="21" t="s">
        <v>1446</v>
      </c>
      <c r="B854" s="24">
        <f t="shared" ref="B854:D854" si="1369">+B853</f>
        <v>990</v>
      </c>
      <c r="C854" s="25" t="str">
        <f t="shared" si="1369"/>
        <v>Agencia Información</v>
      </c>
      <c r="D854" s="25" t="str">
        <f t="shared" si="1369"/>
        <v>Agropecuario y Forestal</v>
      </c>
      <c r="E854" s="19">
        <v>8</v>
      </c>
      <c r="F854" s="18" t="s">
        <v>1641</v>
      </c>
      <c r="G854" s="18" t="s">
        <v>3785</v>
      </c>
      <c r="H854" s="35" t="s">
        <v>16</v>
      </c>
      <c r="I854" s="36" t="s">
        <v>375</v>
      </c>
      <c r="J854" s="9" t="str">
        <f t="shared" ref="J854:N854" si="1370">+J853</f>
        <v>Ninguno</v>
      </c>
      <c r="K854" s="9" t="str">
        <f t="shared" si="1370"/>
        <v>Número y Superficie de incendios por causa</v>
      </c>
      <c r="L854" s="9" t="str">
        <f t="shared" si="1370"/>
        <v>Periodo 2010-2020</v>
      </c>
      <c r="M854" s="9" t="str">
        <f t="shared" si="1370"/>
        <v>Número de incendios y Hectáreas</v>
      </c>
      <c r="N854" s="9" t="str">
        <f t="shared" si="1370"/>
        <v>Corporación Nacional Forestal (CONAF)</v>
      </c>
      <c r="O854" s="20" t="str">
        <f>+"Incendios y superficie afectada de plantaciones Forestales según causas específicas en la "&amp;I854&amp;", "&amp;Agencia[[#This Row],[temporalidad]]</f>
        <v>Incendios y superficie afectada de plantaciones Forestales según causas específicas en la Región del Biobío, Periodo 2010-2020</v>
      </c>
      <c r="P854" s="20"/>
      <c r="Q854" s="11" t="str">
        <f t="shared" si="1356"/>
        <v>Dashboard</v>
      </c>
      <c r="R854" s="20" t="str">
        <f>Agencia[[#This Row],[territorio]]&amp;" incendios forestales hectáreas superficie cantidad número causa plantaciones temporada fuego"</f>
        <v>Región del Biobío incendios forestales hectáreas superficie cantidad número causa plantaciones temporada fuego</v>
      </c>
      <c r="S854" s="22" t="s">
        <v>1648</v>
      </c>
      <c r="T854" s="68" t="str">
        <f>"100-R-"&amp;Agencia[[#This Row],[Filtro URL]]</f>
        <v>100-R-8</v>
      </c>
      <c r="U854" s="50" t="str">
        <f t="shared" si="1349"/>
        <v>#1774B9</v>
      </c>
      <c r="V854" s="118" t="str">
        <f>+Agencia[[#This Row],[idcoleccion]]&amp;"-"&amp;Agencia[[#This Row],[id]]</f>
        <v>990-0843</v>
      </c>
      <c r="W854" s="118">
        <f>+VLOOKUP(Agencia[[#This Row],[Filtro URL]],Estructura!$X$4:$Y$500,2,0)</f>
        <v>99200008</v>
      </c>
      <c r="X854" s="118" t="str">
        <f>+VLOOKUP(Agencia[[#This Row],[tema]],Estructura!$A$4:$C$500,3,0)</f>
        <v>T-1046</v>
      </c>
      <c r="Y854" s="118" t="str">
        <f>+VLOOKUP(Agencia[[#This Row],[contenido]],Estructura!$E$4:$G$500,3,0)</f>
        <v>C-1007</v>
      </c>
      <c r="Z854" s="118" t="str">
        <f>+VLOOKUP(Agencia[[#This Row],[Filtro Integrado]],Estructura!$I$4:$K$500,3,0)</f>
        <v>FI-993</v>
      </c>
      <c r="AA854" s="118" t="str">
        <f>+VLOOKUP(Agencia[[#This Row],[Muestra]],Estructura!$M$4:$O$500,3,0)</f>
        <v>M-1069</v>
      </c>
    </row>
    <row r="855" spans="1:27" ht="36" x14ac:dyDescent="0.3">
      <c r="A855" s="21" t="s">
        <v>1447</v>
      </c>
      <c r="B855" s="24">
        <f t="shared" ref="B855:D855" si="1371">+B854</f>
        <v>990</v>
      </c>
      <c r="C855" s="25" t="str">
        <f t="shared" si="1371"/>
        <v>Agencia Información</v>
      </c>
      <c r="D855" s="25" t="str">
        <f t="shared" si="1371"/>
        <v>Agropecuario y Forestal</v>
      </c>
      <c r="E855" s="19">
        <v>9</v>
      </c>
      <c r="F855" s="18" t="s">
        <v>1641</v>
      </c>
      <c r="G855" s="18" t="s">
        <v>3785</v>
      </c>
      <c r="H855" s="35" t="s">
        <v>16</v>
      </c>
      <c r="I855" s="36" t="s">
        <v>376</v>
      </c>
      <c r="J855" s="9" t="str">
        <f t="shared" ref="J855:N855" si="1372">+J854</f>
        <v>Ninguno</v>
      </c>
      <c r="K855" s="9" t="str">
        <f t="shared" si="1372"/>
        <v>Número y Superficie de incendios por causa</v>
      </c>
      <c r="L855" s="9" t="str">
        <f t="shared" si="1372"/>
        <v>Periodo 2010-2020</v>
      </c>
      <c r="M855" s="9" t="str">
        <f t="shared" si="1372"/>
        <v>Número de incendios y Hectáreas</v>
      </c>
      <c r="N855" s="9" t="str">
        <f t="shared" si="1372"/>
        <v>Corporación Nacional Forestal (CONAF)</v>
      </c>
      <c r="O855" s="20" t="str">
        <f>+"Incendios y superficie afectada de plantaciones Forestales según causas específicas en la "&amp;I855&amp;", "&amp;Agencia[[#This Row],[temporalidad]]</f>
        <v>Incendios y superficie afectada de plantaciones Forestales según causas específicas en la Región de La Araucanía, Periodo 2010-2020</v>
      </c>
      <c r="P855" s="20"/>
      <c r="Q855" s="11" t="str">
        <f t="shared" si="1356"/>
        <v>Dashboard</v>
      </c>
      <c r="R855" s="20" t="str">
        <f>Agencia[[#This Row],[territorio]]&amp;" incendios forestales hectáreas superficie cantidad número causa plantaciones temporada fuego"</f>
        <v>Región de La Araucanía incendios forestales hectáreas superficie cantidad número causa plantaciones temporada fuego</v>
      </c>
      <c r="S855" s="22" t="s">
        <v>423</v>
      </c>
      <c r="T855" s="68" t="str">
        <f>"100-R-"&amp;Agencia[[#This Row],[Filtro URL]]</f>
        <v>100-R-9</v>
      </c>
      <c r="U855" s="50" t="str">
        <f t="shared" si="1349"/>
        <v>#1774B9</v>
      </c>
      <c r="V855" s="118" t="str">
        <f>+Agencia[[#This Row],[idcoleccion]]&amp;"-"&amp;Agencia[[#This Row],[id]]</f>
        <v>990-0844</v>
      </c>
      <c r="W855" s="118">
        <f>+VLOOKUP(Agencia[[#This Row],[Filtro URL]],Estructura!$X$4:$Y$500,2,0)</f>
        <v>99200009</v>
      </c>
      <c r="X855" s="118" t="str">
        <f>+VLOOKUP(Agencia[[#This Row],[tema]],Estructura!$A$4:$C$500,3,0)</f>
        <v>T-1046</v>
      </c>
      <c r="Y855" s="118" t="str">
        <f>+VLOOKUP(Agencia[[#This Row],[contenido]],Estructura!$E$4:$G$500,3,0)</f>
        <v>C-1007</v>
      </c>
      <c r="Z855" s="118" t="str">
        <f>+VLOOKUP(Agencia[[#This Row],[Filtro Integrado]],Estructura!$I$4:$K$500,3,0)</f>
        <v>FI-993</v>
      </c>
      <c r="AA855" s="118" t="str">
        <f>+VLOOKUP(Agencia[[#This Row],[Muestra]],Estructura!$M$4:$O$500,3,0)</f>
        <v>M-1069</v>
      </c>
    </row>
    <row r="856" spans="1:27" ht="36" x14ac:dyDescent="0.3">
      <c r="A856" s="21" t="s">
        <v>1448</v>
      </c>
      <c r="B856" s="24">
        <f t="shared" ref="B856:D856" si="1373">+B855</f>
        <v>990</v>
      </c>
      <c r="C856" s="25" t="str">
        <f t="shared" si="1373"/>
        <v>Agencia Información</v>
      </c>
      <c r="D856" s="25" t="str">
        <f t="shared" si="1373"/>
        <v>Agropecuario y Forestal</v>
      </c>
      <c r="E856" s="19">
        <v>10</v>
      </c>
      <c r="F856" s="18" t="s">
        <v>1641</v>
      </c>
      <c r="G856" s="18" t="s">
        <v>3785</v>
      </c>
      <c r="H856" s="35" t="s">
        <v>16</v>
      </c>
      <c r="I856" s="36" t="s">
        <v>377</v>
      </c>
      <c r="J856" s="9" t="str">
        <f t="shared" ref="J856:N856" si="1374">+J855</f>
        <v>Ninguno</v>
      </c>
      <c r="K856" s="9" t="str">
        <f t="shared" si="1374"/>
        <v>Número y Superficie de incendios por causa</v>
      </c>
      <c r="L856" s="9" t="str">
        <f t="shared" si="1374"/>
        <v>Periodo 2010-2020</v>
      </c>
      <c r="M856" s="9" t="str">
        <f t="shared" si="1374"/>
        <v>Número de incendios y Hectáreas</v>
      </c>
      <c r="N856" s="9" t="str">
        <f t="shared" si="1374"/>
        <v>Corporación Nacional Forestal (CONAF)</v>
      </c>
      <c r="O856" s="20" t="str">
        <f>+"Incendios y superficie afectada de plantaciones Forestales según causas específicas en la "&amp;I856&amp;", "&amp;Agencia[[#This Row],[temporalidad]]</f>
        <v>Incendios y superficie afectada de plantaciones Forestales según causas específicas en la Región de Los Lagos, Periodo 2010-2020</v>
      </c>
      <c r="P856" s="20"/>
      <c r="Q856" s="11" t="str">
        <f t="shared" si="1356"/>
        <v>Dashboard</v>
      </c>
      <c r="R856" s="20" t="str">
        <f>Agencia[[#This Row],[territorio]]&amp;" incendios forestales hectáreas superficie cantidad número causa plantaciones temporada fuego"</f>
        <v>Región de Los Lagos incendios forestales hectáreas superficie cantidad número causa plantaciones temporada fuego</v>
      </c>
      <c r="S856" s="22" t="s">
        <v>423</v>
      </c>
      <c r="T856" s="68" t="str">
        <f>"100-R-"&amp;Agencia[[#This Row],[Filtro URL]]</f>
        <v>100-R-10</v>
      </c>
      <c r="U856" s="50" t="str">
        <f t="shared" si="1349"/>
        <v>#1774B9</v>
      </c>
      <c r="V856" s="118" t="str">
        <f>+Agencia[[#This Row],[idcoleccion]]&amp;"-"&amp;Agencia[[#This Row],[id]]</f>
        <v>990-0845</v>
      </c>
      <c r="W856" s="118">
        <f>+VLOOKUP(Agencia[[#This Row],[Filtro URL]],Estructura!$X$4:$Y$500,2,0)</f>
        <v>99200010</v>
      </c>
      <c r="X856" s="118" t="str">
        <f>+VLOOKUP(Agencia[[#This Row],[tema]],Estructura!$A$4:$C$500,3,0)</f>
        <v>T-1046</v>
      </c>
      <c r="Y856" s="118" t="str">
        <f>+VLOOKUP(Agencia[[#This Row],[contenido]],Estructura!$E$4:$G$500,3,0)</f>
        <v>C-1007</v>
      </c>
      <c r="Z856" s="118" t="str">
        <f>+VLOOKUP(Agencia[[#This Row],[Filtro Integrado]],Estructura!$I$4:$K$500,3,0)</f>
        <v>FI-993</v>
      </c>
      <c r="AA856" s="118" t="str">
        <f>+VLOOKUP(Agencia[[#This Row],[Muestra]],Estructura!$M$4:$O$500,3,0)</f>
        <v>M-1069</v>
      </c>
    </row>
    <row r="857" spans="1:27" ht="36" x14ac:dyDescent="0.3">
      <c r="A857" s="21" t="s">
        <v>1449</v>
      </c>
      <c r="B857" s="24">
        <f t="shared" ref="B857:D857" si="1375">+B856</f>
        <v>990</v>
      </c>
      <c r="C857" s="25" t="str">
        <f t="shared" si="1375"/>
        <v>Agencia Información</v>
      </c>
      <c r="D857" s="25" t="str">
        <f t="shared" si="1375"/>
        <v>Agropecuario y Forestal</v>
      </c>
      <c r="E857" s="19">
        <v>11</v>
      </c>
      <c r="F857" s="18" t="s">
        <v>1641</v>
      </c>
      <c r="G857" s="18" t="s">
        <v>3785</v>
      </c>
      <c r="H857" s="35" t="s">
        <v>16</v>
      </c>
      <c r="I857" s="36" t="s">
        <v>378</v>
      </c>
      <c r="J857" s="9" t="str">
        <f t="shared" ref="J857:N857" si="1376">+J856</f>
        <v>Ninguno</v>
      </c>
      <c r="K857" s="9" t="str">
        <f t="shared" si="1376"/>
        <v>Número y Superficie de incendios por causa</v>
      </c>
      <c r="L857" s="9" t="str">
        <f t="shared" si="1376"/>
        <v>Periodo 2010-2020</v>
      </c>
      <c r="M857" s="9" t="str">
        <f t="shared" si="1376"/>
        <v>Número de incendios y Hectáreas</v>
      </c>
      <c r="N857" s="9" t="str">
        <f t="shared" si="1376"/>
        <v>Corporación Nacional Forestal (CONAF)</v>
      </c>
      <c r="O857" s="20" t="str">
        <f>+"Incendios y superficie afectada de plantaciones Forestales según causas específicas en la "&amp;I857&amp;", "&amp;Agencia[[#This Row],[temporalidad]]</f>
        <v>Incendios y superficie afectada de plantaciones Forestales según causas específicas en la Región de Aysén, Periodo 2010-2020</v>
      </c>
      <c r="P857" s="20"/>
      <c r="Q857" s="11" t="str">
        <f t="shared" si="1356"/>
        <v>Dashboard</v>
      </c>
      <c r="R857" s="20" t="str">
        <f>Agencia[[#This Row],[territorio]]&amp;" incendios forestales hectáreas superficie cantidad número causa plantaciones temporada fuego"</f>
        <v>Región de Aysén incendios forestales hectáreas superficie cantidad número causa plantaciones temporada fuego</v>
      </c>
      <c r="S857" s="22" t="s">
        <v>423</v>
      </c>
      <c r="T857" s="68" t="str">
        <f>"100-R-"&amp;Agencia[[#This Row],[Filtro URL]]</f>
        <v>100-R-11</v>
      </c>
      <c r="U857" s="50" t="str">
        <f t="shared" si="1349"/>
        <v>#1774B9</v>
      </c>
      <c r="V857" s="118" t="str">
        <f>+Agencia[[#This Row],[idcoleccion]]&amp;"-"&amp;Agencia[[#This Row],[id]]</f>
        <v>990-0846</v>
      </c>
      <c r="W857" s="118">
        <f>+VLOOKUP(Agencia[[#This Row],[Filtro URL]],Estructura!$X$4:$Y$500,2,0)</f>
        <v>99200011</v>
      </c>
      <c r="X857" s="118" t="str">
        <f>+VLOOKUP(Agencia[[#This Row],[tema]],Estructura!$A$4:$C$500,3,0)</f>
        <v>T-1046</v>
      </c>
      <c r="Y857" s="118" t="str">
        <f>+VLOOKUP(Agencia[[#This Row],[contenido]],Estructura!$E$4:$G$500,3,0)</f>
        <v>C-1007</v>
      </c>
      <c r="Z857" s="118" t="str">
        <f>+VLOOKUP(Agencia[[#This Row],[Filtro Integrado]],Estructura!$I$4:$K$500,3,0)</f>
        <v>FI-993</v>
      </c>
      <c r="AA857" s="118" t="str">
        <f>+VLOOKUP(Agencia[[#This Row],[Muestra]],Estructura!$M$4:$O$500,3,0)</f>
        <v>M-1069</v>
      </c>
    </row>
    <row r="858" spans="1:27" ht="36" x14ac:dyDescent="0.3">
      <c r="A858" s="21" t="s">
        <v>1450</v>
      </c>
      <c r="B858" s="24">
        <f t="shared" ref="B858:D858" si="1377">+B857</f>
        <v>990</v>
      </c>
      <c r="C858" s="25" t="str">
        <f t="shared" si="1377"/>
        <v>Agencia Información</v>
      </c>
      <c r="D858" s="25" t="str">
        <f t="shared" si="1377"/>
        <v>Agropecuario y Forestal</v>
      </c>
      <c r="E858" s="19">
        <v>12</v>
      </c>
      <c r="F858" s="18" t="s">
        <v>1641</v>
      </c>
      <c r="G858" s="18" t="s">
        <v>3785</v>
      </c>
      <c r="H858" s="35" t="s">
        <v>16</v>
      </c>
      <c r="I858" s="36" t="s">
        <v>379</v>
      </c>
      <c r="J858" s="9" t="str">
        <f t="shared" ref="J858:N858" si="1378">+J857</f>
        <v>Ninguno</v>
      </c>
      <c r="K858" s="9" t="str">
        <f t="shared" si="1378"/>
        <v>Número y Superficie de incendios por causa</v>
      </c>
      <c r="L858" s="9" t="str">
        <f t="shared" si="1378"/>
        <v>Periodo 2010-2020</v>
      </c>
      <c r="M858" s="9" t="str">
        <f t="shared" si="1378"/>
        <v>Número de incendios y Hectáreas</v>
      </c>
      <c r="N858" s="9" t="str">
        <f t="shared" si="1378"/>
        <v>Corporación Nacional Forestal (CONAF)</v>
      </c>
      <c r="O858" s="20" t="str">
        <f>+"Incendios y superficie afectada de plantaciones Forestales según causas específicas en la "&amp;I858&amp;", "&amp;Agencia[[#This Row],[temporalidad]]</f>
        <v>Incendios y superficie afectada de plantaciones Forestales según causas específicas en la Región de Magallanes, Periodo 2010-2020</v>
      </c>
      <c r="P858" s="20"/>
      <c r="Q858" s="11" t="str">
        <f t="shared" si="1356"/>
        <v>Dashboard</v>
      </c>
      <c r="R858" s="20" t="str">
        <f>Agencia[[#This Row],[territorio]]&amp;" incendios forestales hectáreas superficie cantidad número causa plantaciones temporada fuego"</f>
        <v>Región de Magallanes incendios forestales hectáreas superficie cantidad número causa plantaciones temporada fuego</v>
      </c>
      <c r="S858" s="22" t="s">
        <v>423</v>
      </c>
      <c r="T858" s="68" t="str">
        <f>"100-R-"&amp;Agencia[[#This Row],[Filtro URL]]</f>
        <v>100-R-12</v>
      </c>
      <c r="U858" s="50" t="str">
        <f t="shared" si="1349"/>
        <v>#1774B9</v>
      </c>
      <c r="V858" s="118" t="str">
        <f>+Agencia[[#This Row],[idcoleccion]]&amp;"-"&amp;Agencia[[#This Row],[id]]</f>
        <v>990-0847</v>
      </c>
      <c r="W858" s="118">
        <f>+VLOOKUP(Agencia[[#This Row],[Filtro URL]],Estructura!$X$4:$Y$500,2,0)</f>
        <v>99200012</v>
      </c>
      <c r="X858" s="118" t="str">
        <f>+VLOOKUP(Agencia[[#This Row],[tema]],Estructura!$A$4:$C$500,3,0)</f>
        <v>T-1046</v>
      </c>
      <c r="Y858" s="118" t="str">
        <f>+VLOOKUP(Agencia[[#This Row],[contenido]],Estructura!$E$4:$G$500,3,0)</f>
        <v>C-1007</v>
      </c>
      <c r="Z858" s="118" t="str">
        <f>+VLOOKUP(Agencia[[#This Row],[Filtro Integrado]],Estructura!$I$4:$K$500,3,0)</f>
        <v>FI-993</v>
      </c>
      <c r="AA858" s="118" t="str">
        <f>+VLOOKUP(Agencia[[#This Row],[Muestra]],Estructura!$M$4:$O$500,3,0)</f>
        <v>M-1069</v>
      </c>
    </row>
    <row r="859" spans="1:27" ht="36" x14ac:dyDescent="0.3">
      <c r="A859" s="21" t="s">
        <v>1755</v>
      </c>
      <c r="B859" s="24">
        <f t="shared" ref="B859:D859" si="1379">+B858</f>
        <v>990</v>
      </c>
      <c r="C859" s="25" t="str">
        <f t="shared" si="1379"/>
        <v>Agencia Información</v>
      </c>
      <c r="D859" s="25" t="str">
        <f t="shared" si="1379"/>
        <v>Agropecuario y Forestal</v>
      </c>
      <c r="E859" s="19">
        <v>13</v>
      </c>
      <c r="F859" s="18" t="s">
        <v>1641</v>
      </c>
      <c r="G859" s="18" t="s">
        <v>3785</v>
      </c>
      <c r="H859" s="35" t="s">
        <v>16</v>
      </c>
      <c r="I859" s="36" t="s">
        <v>380</v>
      </c>
      <c r="J859" s="9" t="str">
        <f t="shared" ref="J859:N859" si="1380">+J858</f>
        <v>Ninguno</v>
      </c>
      <c r="K859" s="9" t="str">
        <f t="shared" si="1380"/>
        <v>Número y Superficie de incendios por causa</v>
      </c>
      <c r="L859" s="9" t="str">
        <f t="shared" si="1380"/>
        <v>Periodo 2010-2020</v>
      </c>
      <c r="M859" s="9" t="str">
        <f t="shared" si="1380"/>
        <v>Número de incendios y Hectáreas</v>
      </c>
      <c r="N859" s="9" t="str">
        <f t="shared" si="1380"/>
        <v>Corporación Nacional Forestal (CONAF)</v>
      </c>
      <c r="O859" s="20" t="str">
        <f>+"Incendios y superficie afectada de plantaciones Forestales según causas específicas en la "&amp;I859&amp;", "&amp;Agencia[[#This Row],[temporalidad]]</f>
        <v>Incendios y superficie afectada de plantaciones Forestales según causas específicas en la Región Metropolitana, Periodo 2010-2020</v>
      </c>
      <c r="P859" s="20"/>
      <c r="Q859" s="11" t="str">
        <f t="shared" si="1356"/>
        <v>Dashboard</v>
      </c>
      <c r="R859" s="20" t="str">
        <f>Agencia[[#This Row],[territorio]]&amp;" incendios forestales hectáreas superficie cantidad número causa plantaciones temporada fuego"</f>
        <v>Región Metropolitana incendios forestales hectáreas superficie cantidad número causa plantaciones temporada fuego</v>
      </c>
      <c r="S859" s="22" t="s">
        <v>423</v>
      </c>
      <c r="T859" s="68" t="str">
        <f>"200-R-"&amp;Agencia[[#This Row],[Filtro URL]]</f>
        <v>200-R-13</v>
      </c>
      <c r="U859" s="50" t="str">
        <f t="shared" si="1349"/>
        <v>#1774B9</v>
      </c>
      <c r="V859" s="118" t="str">
        <f>+Agencia[[#This Row],[idcoleccion]]&amp;"-"&amp;Agencia[[#This Row],[id]]</f>
        <v>990-0848</v>
      </c>
      <c r="W859" s="118">
        <f>+VLOOKUP(Agencia[[#This Row],[Filtro URL]],Estructura!$X$4:$Y$500,2,0)</f>
        <v>99200013</v>
      </c>
      <c r="X859" s="118" t="str">
        <f>+VLOOKUP(Agencia[[#This Row],[tema]],Estructura!$A$4:$C$500,3,0)</f>
        <v>T-1046</v>
      </c>
      <c r="Y859" s="118" t="str">
        <f>+VLOOKUP(Agencia[[#This Row],[contenido]],Estructura!$E$4:$G$500,3,0)</f>
        <v>C-1007</v>
      </c>
      <c r="Z859" s="118" t="str">
        <f>+VLOOKUP(Agencia[[#This Row],[Filtro Integrado]],Estructura!$I$4:$K$500,3,0)</f>
        <v>FI-993</v>
      </c>
      <c r="AA859" s="118" t="str">
        <f>+VLOOKUP(Agencia[[#This Row],[Muestra]],Estructura!$M$4:$O$500,3,0)</f>
        <v>M-1069</v>
      </c>
    </row>
    <row r="860" spans="1:27" ht="36" x14ac:dyDescent="0.3">
      <c r="A860" s="21" t="s">
        <v>1756</v>
      </c>
      <c r="B860" s="24">
        <f t="shared" ref="B860:D860" si="1381">+B859</f>
        <v>990</v>
      </c>
      <c r="C860" s="25" t="str">
        <f t="shared" si="1381"/>
        <v>Agencia Información</v>
      </c>
      <c r="D860" s="25" t="str">
        <f t="shared" si="1381"/>
        <v>Agropecuario y Forestal</v>
      </c>
      <c r="E860" s="19">
        <v>14</v>
      </c>
      <c r="F860" s="18" t="s">
        <v>1641</v>
      </c>
      <c r="G860" s="18" t="s">
        <v>3785</v>
      </c>
      <c r="H860" s="35" t="s">
        <v>16</v>
      </c>
      <c r="I860" s="36" t="s">
        <v>381</v>
      </c>
      <c r="J860" s="9" t="str">
        <f t="shared" ref="J860:N860" si="1382">+J859</f>
        <v>Ninguno</v>
      </c>
      <c r="K860" s="9" t="str">
        <f t="shared" si="1382"/>
        <v>Número y Superficie de incendios por causa</v>
      </c>
      <c r="L860" s="9" t="str">
        <f t="shared" si="1382"/>
        <v>Periodo 2010-2020</v>
      </c>
      <c r="M860" s="9" t="str">
        <f t="shared" si="1382"/>
        <v>Número de incendios y Hectáreas</v>
      </c>
      <c r="N860" s="9" t="str">
        <f t="shared" si="1382"/>
        <v>Corporación Nacional Forestal (CONAF)</v>
      </c>
      <c r="O860" s="20" t="str">
        <f>+"Incendios y superficie afectada de plantaciones Forestales según causas específicas en la "&amp;I860&amp;", "&amp;Agencia[[#This Row],[temporalidad]]</f>
        <v>Incendios y superficie afectada de plantaciones Forestales según causas específicas en la Región de Los Ríos, Periodo 2010-2020</v>
      </c>
      <c r="P860" s="20"/>
      <c r="Q860" s="11" t="str">
        <f t="shared" si="1356"/>
        <v>Dashboard</v>
      </c>
      <c r="R860" s="20" t="str">
        <f>Agencia[[#This Row],[territorio]]&amp;" incendios forestales hectáreas superficie cantidad número causa plantaciones temporada fuego"</f>
        <v>Región de Los Ríos incendios forestales hectáreas superficie cantidad número causa plantaciones temporada fuego</v>
      </c>
      <c r="S860" s="22" t="s">
        <v>423</v>
      </c>
      <c r="T860" s="68" t="str">
        <f>"100-R-"&amp;Agencia[[#This Row],[Filtro URL]]</f>
        <v>100-R-14</v>
      </c>
      <c r="U860" s="50" t="str">
        <f t="shared" si="1349"/>
        <v>#1774B9</v>
      </c>
      <c r="V860" s="118" t="str">
        <f>+Agencia[[#This Row],[idcoleccion]]&amp;"-"&amp;Agencia[[#This Row],[id]]</f>
        <v>990-0849</v>
      </c>
      <c r="W860" s="118">
        <f>+VLOOKUP(Agencia[[#This Row],[Filtro URL]],Estructura!$X$4:$Y$500,2,0)</f>
        <v>99200014</v>
      </c>
      <c r="X860" s="118" t="str">
        <f>+VLOOKUP(Agencia[[#This Row],[tema]],Estructura!$A$4:$C$500,3,0)</f>
        <v>T-1046</v>
      </c>
      <c r="Y860" s="118" t="str">
        <f>+VLOOKUP(Agencia[[#This Row],[contenido]],Estructura!$E$4:$G$500,3,0)</f>
        <v>C-1007</v>
      </c>
      <c r="Z860" s="118" t="str">
        <f>+VLOOKUP(Agencia[[#This Row],[Filtro Integrado]],Estructura!$I$4:$K$500,3,0)</f>
        <v>FI-993</v>
      </c>
      <c r="AA860" s="118" t="str">
        <f>+VLOOKUP(Agencia[[#This Row],[Muestra]],Estructura!$M$4:$O$500,3,0)</f>
        <v>M-1069</v>
      </c>
    </row>
    <row r="861" spans="1:27" ht="36" x14ac:dyDescent="0.3">
      <c r="A861" s="21" t="s">
        <v>1757</v>
      </c>
      <c r="B861" s="24">
        <f t="shared" ref="B861:D861" si="1383">+B860</f>
        <v>990</v>
      </c>
      <c r="C861" s="25" t="str">
        <f t="shared" si="1383"/>
        <v>Agencia Información</v>
      </c>
      <c r="D861" s="25" t="str">
        <f t="shared" si="1383"/>
        <v>Agropecuario y Forestal</v>
      </c>
      <c r="E861" s="19">
        <v>15</v>
      </c>
      <c r="F861" s="18" t="s">
        <v>1641</v>
      </c>
      <c r="G861" s="18" t="s">
        <v>3785</v>
      </c>
      <c r="H861" s="35" t="s">
        <v>16</v>
      </c>
      <c r="I861" s="36" t="s">
        <v>382</v>
      </c>
      <c r="J861" s="9" t="str">
        <f t="shared" ref="J861:N861" si="1384">+J860</f>
        <v>Ninguno</v>
      </c>
      <c r="K861" s="9" t="str">
        <f t="shared" si="1384"/>
        <v>Número y Superficie de incendios por causa</v>
      </c>
      <c r="L861" s="9" t="str">
        <f t="shared" si="1384"/>
        <v>Periodo 2010-2020</v>
      </c>
      <c r="M861" s="9" t="str">
        <f t="shared" si="1384"/>
        <v>Número de incendios y Hectáreas</v>
      </c>
      <c r="N861" s="9" t="str">
        <f t="shared" si="1384"/>
        <v>Corporación Nacional Forestal (CONAF)</v>
      </c>
      <c r="O861" s="20" t="str">
        <f>+"Incendios y superficie afectada de plantaciones Forestales según causas específicas en la "&amp;I861&amp;", "&amp;Agencia[[#This Row],[temporalidad]]</f>
        <v>Incendios y superficie afectada de plantaciones Forestales según causas específicas en la Región de Arica y Parinacota, Periodo 2010-2020</v>
      </c>
      <c r="P861" s="20"/>
      <c r="Q861" s="11" t="str">
        <f t="shared" si="1356"/>
        <v>Dashboard</v>
      </c>
      <c r="R861" s="20" t="str">
        <f>Agencia[[#This Row],[territorio]]&amp;" incendios forestales hectáreas superficie cantidad número causa plantaciones temporada fuego"</f>
        <v>Región de Arica y Parinacota incendios forestales hectáreas superficie cantidad número causa plantaciones temporada fuego</v>
      </c>
      <c r="S861" s="22" t="s">
        <v>423</v>
      </c>
      <c r="T861" s="68" t="str">
        <f>"100-R-"&amp;Agencia[[#This Row],[Filtro URL]]</f>
        <v>100-R-15</v>
      </c>
      <c r="U861" s="50" t="str">
        <f t="shared" si="1349"/>
        <v>#1774B9</v>
      </c>
      <c r="V861" s="118" t="str">
        <f>+Agencia[[#This Row],[idcoleccion]]&amp;"-"&amp;Agencia[[#This Row],[id]]</f>
        <v>990-0850</v>
      </c>
      <c r="W861" s="118">
        <f>+VLOOKUP(Agencia[[#This Row],[Filtro URL]],Estructura!$X$4:$Y$500,2,0)</f>
        <v>99200015</v>
      </c>
      <c r="X861" s="118" t="str">
        <f>+VLOOKUP(Agencia[[#This Row],[tema]],Estructura!$A$4:$C$500,3,0)</f>
        <v>T-1046</v>
      </c>
      <c r="Y861" s="118" t="str">
        <f>+VLOOKUP(Agencia[[#This Row],[contenido]],Estructura!$E$4:$G$500,3,0)</f>
        <v>C-1007</v>
      </c>
      <c r="Z861" s="118" t="str">
        <f>+VLOOKUP(Agencia[[#This Row],[Filtro Integrado]],Estructura!$I$4:$K$500,3,0)</f>
        <v>FI-993</v>
      </c>
      <c r="AA861" s="118" t="str">
        <f>+VLOOKUP(Agencia[[#This Row],[Muestra]],Estructura!$M$4:$O$500,3,0)</f>
        <v>M-1069</v>
      </c>
    </row>
    <row r="862" spans="1:27" ht="36" x14ac:dyDescent="0.3">
      <c r="A862" s="21" t="s">
        <v>1758</v>
      </c>
      <c r="B862" s="24">
        <f t="shared" ref="B862:D862" si="1385">+B861</f>
        <v>990</v>
      </c>
      <c r="C862" s="25" t="str">
        <f t="shared" si="1385"/>
        <v>Agencia Información</v>
      </c>
      <c r="D862" s="25" t="str">
        <f t="shared" si="1385"/>
        <v>Agropecuario y Forestal</v>
      </c>
      <c r="E862" s="19">
        <v>16</v>
      </c>
      <c r="F862" s="18" t="s">
        <v>1641</v>
      </c>
      <c r="G862" s="18" t="s">
        <v>3785</v>
      </c>
      <c r="H862" s="35" t="s">
        <v>16</v>
      </c>
      <c r="I862" s="36" t="s">
        <v>383</v>
      </c>
      <c r="J862" s="9" t="str">
        <f t="shared" ref="J862:N863" si="1386">+J861</f>
        <v>Ninguno</v>
      </c>
      <c r="K862" s="9" t="str">
        <f t="shared" si="1386"/>
        <v>Número y Superficie de incendios por causa</v>
      </c>
      <c r="L862" s="9" t="str">
        <f t="shared" si="1386"/>
        <v>Periodo 2010-2020</v>
      </c>
      <c r="M862" s="9" t="str">
        <f t="shared" si="1386"/>
        <v>Número de incendios y Hectáreas</v>
      </c>
      <c r="N862" s="9" t="str">
        <f t="shared" si="1386"/>
        <v>Corporación Nacional Forestal (CONAF)</v>
      </c>
      <c r="O862" s="20" t="str">
        <f>+"Incendios y superficie afectada de plantaciones Forestales según causas específicas en la "&amp;I862&amp;", "&amp;Agencia[[#This Row],[temporalidad]]</f>
        <v>Incendios y superficie afectada de plantaciones Forestales según causas específicas en la Región de Ñuble, Periodo 2010-2020</v>
      </c>
      <c r="P862" s="20"/>
      <c r="Q862" s="11" t="str">
        <f t="shared" si="1356"/>
        <v>Dashboard</v>
      </c>
      <c r="R862" s="20" t="str">
        <f>Agencia[[#This Row],[territorio]]&amp;" incendios forestales hectáreas superficie cantidad número causa plantaciones temporada fuego"</f>
        <v>Región de Ñuble incendios forestales hectáreas superficie cantidad número causa plantaciones temporada fuego</v>
      </c>
      <c r="S862" s="22" t="s">
        <v>423</v>
      </c>
      <c r="T862" s="68" t="str">
        <f>"100-R-"&amp;Agencia[[#This Row],[Filtro URL]]</f>
        <v>100-R-16</v>
      </c>
      <c r="U862" s="50" t="str">
        <f t="shared" si="1349"/>
        <v>#1774B9</v>
      </c>
      <c r="V862" s="118" t="str">
        <f>+Agencia[[#This Row],[idcoleccion]]&amp;"-"&amp;Agencia[[#This Row],[id]]</f>
        <v>990-0851</v>
      </c>
      <c r="W862" s="118">
        <f>+VLOOKUP(Agencia[[#This Row],[Filtro URL]],Estructura!$X$4:$Y$500,2,0)</f>
        <v>99200016</v>
      </c>
      <c r="X862" s="118" t="str">
        <f>+VLOOKUP(Agencia[[#This Row],[tema]],Estructura!$A$4:$C$500,3,0)</f>
        <v>T-1046</v>
      </c>
      <c r="Y862" s="118" t="str">
        <f>+VLOOKUP(Agencia[[#This Row],[contenido]],Estructura!$E$4:$G$500,3,0)</f>
        <v>C-1007</v>
      </c>
      <c r="Z862" s="118" t="str">
        <f>+VLOOKUP(Agencia[[#This Row],[Filtro Integrado]],Estructura!$I$4:$K$500,3,0)</f>
        <v>FI-993</v>
      </c>
      <c r="AA862" s="118" t="str">
        <f>+VLOOKUP(Agencia[[#This Row],[Muestra]],Estructura!$M$4:$O$500,3,0)</f>
        <v>M-1069</v>
      </c>
    </row>
    <row r="863" spans="1:27" ht="36" x14ac:dyDescent="0.3">
      <c r="A863" s="21" t="s">
        <v>1759</v>
      </c>
      <c r="B863" s="24">
        <f t="shared" ref="B863:C863" si="1387">+B862</f>
        <v>990</v>
      </c>
      <c r="C863" s="25" t="str">
        <f t="shared" si="1387"/>
        <v>Agencia Información</v>
      </c>
      <c r="D863" s="25" t="s">
        <v>578</v>
      </c>
      <c r="E863" s="14">
        <v>0</v>
      </c>
      <c r="F863" s="18" t="s">
        <v>1641</v>
      </c>
      <c r="G863" s="18" t="s">
        <v>3785</v>
      </c>
      <c r="H863" s="33" t="s">
        <v>20</v>
      </c>
      <c r="I863" s="34" t="s">
        <v>15</v>
      </c>
      <c r="J863" s="9" t="s">
        <v>404</v>
      </c>
      <c r="K863" s="9" t="s">
        <v>1649</v>
      </c>
      <c r="L863" s="9" t="s">
        <v>610</v>
      </c>
      <c r="M863" s="9" t="str">
        <f t="shared" si="1386"/>
        <v>Número de incendios y Hectáreas</v>
      </c>
      <c r="N863" s="9" t="s">
        <v>609</v>
      </c>
      <c r="O863" s="20" t="str">
        <f>+"Incendios y superficie afectada según causas generales y específicas en "&amp;I863&amp;", "&amp;Agencia[[#This Row],[temporalidad]]</f>
        <v>Incendios y superficie afectada según causas generales y específicas en Chile, Periodo 2010-2020</v>
      </c>
      <c r="P863" s="20"/>
      <c r="Q863" s="11" t="s">
        <v>606</v>
      </c>
      <c r="R863" s="20" t="str">
        <f>Agencia[[#This Row],[territorio]]&amp;" incendios forestales hectáreas superficie cantidad número causa general especifica plantaciones temporada fuego"</f>
        <v>Chile incendios forestales hectáreas superficie cantidad número causa general especifica plantaciones temporada fuego</v>
      </c>
      <c r="S863" s="22" t="s">
        <v>423</v>
      </c>
      <c r="T863" s="68" t="s">
        <v>855</v>
      </c>
      <c r="U863" s="50" t="str">
        <f t="shared" si="1349"/>
        <v>#1774B9</v>
      </c>
      <c r="V863" s="118" t="str">
        <f>+Agencia[[#This Row],[idcoleccion]]&amp;"-"&amp;Agencia[[#This Row],[id]]</f>
        <v>990-0852</v>
      </c>
      <c r="W863" s="118">
        <f>+VLOOKUP(Agencia[[#This Row],[Filtro URL]],Estructura!$X$4:$Y$500,2,0)</f>
        <v>99100000</v>
      </c>
      <c r="X863" s="118" t="str">
        <f>+VLOOKUP(Agencia[[#This Row],[tema]],Estructura!$A$4:$C$500,3,0)</f>
        <v>T-1046</v>
      </c>
      <c r="Y863" s="118" t="str">
        <f>+VLOOKUP(Agencia[[#This Row],[contenido]],Estructura!$E$4:$G$500,3,0)</f>
        <v>C-1007</v>
      </c>
      <c r="Z863" s="118" t="str">
        <f>+VLOOKUP(Agencia[[#This Row],[Filtro Integrado]],Estructura!$I$4:$K$500,3,0)</f>
        <v>FI-993</v>
      </c>
      <c r="AA863" s="118" t="str">
        <f>+VLOOKUP(Agencia[[#This Row],[Muestra]],Estructura!$M$4:$O$500,3,0)</f>
        <v>M-1069</v>
      </c>
    </row>
    <row r="864" spans="1:27" ht="40.799999999999997" x14ac:dyDescent="0.3">
      <c r="A864" s="21" t="s">
        <v>1760</v>
      </c>
      <c r="B864" s="24">
        <f t="shared" ref="B864:D864" si="1388">+B863</f>
        <v>990</v>
      </c>
      <c r="C864" s="25" t="str">
        <f t="shared" si="1388"/>
        <v>Agencia Información</v>
      </c>
      <c r="D864" s="25" t="str">
        <f t="shared" si="1388"/>
        <v>Agropecuario y Forestal</v>
      </c>
      <c r="E864" s="19">
        <v>1</v>
      </c>
      <c r="F864" s="18" t="s">
        <v>1641</v>
      </c>
      <c r="G864" s="18" t="s">
        <v>3785</v>
      </c>
      <c r="H864" s="35" t="s">
        <v>16</v>
      </c>
      <c r="I864" s="36" t="s">
        <v>368</v>
      </c>
      <c r="J864" s="9" t="str">
        <f t="shared" ref="J864" si="1389">+J863</f>
        <v>Ninguno</v>
      </c>
      <c r="K864" s="9" t="s">
        <v>1649</v>
      </c>
      <c r="L864" s="9" t="str">
        <f t="shared" ref="L864:N864" si="1390">+L863</f>
        <v>Periodo 2010-2020</v>
      </c>
      <c r="M864" s="9" t="str">
        <f t="shared" si="1390"/>
        <v>Número de incendios y Hectáreas</v>
      </c>
      <c r="N864" s="9" t="str">
        <f t="shared" si="1390"/>
        <v>Corporación Nacional Forestal (CONAF)</v>
      </c>
      <c r="O864" s="20" t="str">
        <f>+"Incendios y superficie afectada según causas generales y específicas en la "&amp;I864&amp;", "&amp;Agencia[[#This Row],[temporalidad]]</f>
        <v>Incendios y superficie afectada según causas generales y específicas en la Región de Tarapacá, Periodo 2010-2020</v>
      </c>
      <c r="P864" s="20"/>
      <c r="Q864" s="11" t="str">
        <f t="shared" si="1356"/>
        <v>Dashboard</v>
      </c>
      <c r="R864" s="20" t="str">
        <f>Agencia[[#This Row],[territorio]]&amp;" incendios forestales hectáreas superficie cantidad número causa general especifica plantaciones temporada fuego"</f>
        <v>Región de Tarapacá incendios forestales hectáreas superficie cantidad número causa general especifica plantaciones temporada fuego</v>
      </c>
      <c r="S864" s="22" t="s">
        <v>423</v>
      </c>
      <c r="T864" s="68" t="str">
        <f>"100-R-"&amp;Agencia[[#This Row],[Filtro URL]]</f>
        <v>100-R-1</v>
      </c>
      <c r="U864" s="50" t="str">
        <f t="shared" si="1349"/>
        <v>#1774B9</v>
      </c>
      <c r="V864" s="118" t="str">
        <f>+Agencia[[#This Row],[idcoleccion]]&amp;"-"&amp;Agencia[[#This Row],[id]]</f>
        <v>990-0853</v>
      </c>
      <c r="W864" s="118">
        <f>+VLOOKUP(Agencia[[#This Row],[Filtro URL]],Estructura!$X$4:$Y$500,2,0)</f>
        <v>99200001</v>
      </c>
      <c r="X864" s="118" t="str">
        <f>+VLOOKUP(Agencia[[#This Row],[tema]],Estructura!$A$4:$C$500,3,0)</f>
        <v>T-1046</v>
      </c>
      <c r="Y864" s="118" t="str">
        <f>+VLOOKUP(Agencia[[#This Row],[contenido]],Estructura!$E$4:$G$500,3,0)</f>
        <v>C-1007</v>
      </c>
      <c r="Z864" s="118" t="str">
        <f>+VLOOKUP(Agencia[[#This Row],[Filtro Integrado]],Estructura!$I$4:$K$500,3,0)</f>
        <v>FI-993</v>
      </c>
      <c r="AA864" s="118" t="str">
        <f>+VLOOKUP(Agencia[[#This Row],[Muestra]],Estructura!$M$4:$O$500,3,0)</f>
        <v>M-1069</v>
      </c>
    </row>
    <row r="865" spans="1:27" ht="40.799999999999997" x14ac:dyDescent="0.3">
      <c r="A865" s="21" t="s">
        <v>1761</v>
      </c>
      <c r="B865" s="24">
        <f t="shared" ref="B865:D865" si="1391">+B864</f>
        <v>990</v>
      </c>
      <c r="C865" s="25" t="str">
        <f t="shared" si="1391"/>
        <v>Agencia Información</v>
      </c>
      <c r="D865" s="25" t="str">
        <f t="shared" si="1391"/>
        <v>Agropecuario y Forestal</v>
      </c>
      <c r="E865" s="19">
        <v>2</v>
      </c>
      <c r="F865" s="18" t="s">
        <v>1641</v>
      </c>
      <c r="G865" s="18" t="s">
        <v>3785</v>
      </c>
      <c r="H865" s="35" t="s">
        <v>16</v>
      </c>
      <c r="I865" s="36" t="s">
        <v>369</v>
      </c>
      <c r="J865" s="9" t="str">
        <f t="shared" ref="J865:N865" si="1392">+J864</f>
        <v>Ninguno</v>
      </c>
      <c r="K865" s="9" t="str">
        <f t="shared" si="1392"/>
        <v>Número y Superficie de incendios por causa</v>
      </c>
      <c r="L865" s="9" t="str">
        <f t="shared" si="1392"/>
        <v>Periodo 2010-2020</v>
      </c>
      <c r="M865" s="9" t="str">
        <f t="shared" si="1392"/>
        <v>Número de incendios y Hectáreas</v>
      </c>
      <c r="N865" s="9" t="str">
        <f t="shared" si="1392"/>
        <v>Corporación Nacional Forestal (CONAF)</v>
      </c>
      <c r="O865" s="20" t="str">
        <f>+"Incendios y superficie afectada según causas generales y específicas en la "&amp;I865&amp;", "&amp;Agencia[[#This Row],[temporalidad]]</f>
        <v>Incendios y superficie afectada según causas generales y específicas en la Región de Antofagasta, Periodo 2010-2020</v>
      </c>
      <c r="P865" s="20"/>
      <c r="Q865" s="11" t="str">
        <f t="shared" si="1356"/>
        <v>Dashboard</v>
      </c>
      <c r="R865" s="20" t="str">
        <f>Agencia[[#This Row],[territorio]]&amp;" incendios forestales hectáreas superficie cantidad número causa general especifica plantaciones temporada fuego"</f>
        <v>Región de Antofagasta incendios forestales hectáreas superficie cantidad número causa general especifica plantaciones temporada fuego</v>
      </c>
      <c r="S865" s="22" t="s">
        <v>423</v>
      </c>
      <c r="T865" s="68" t="str">
        <f>"100-R-"&amp;Agencia[[#This Row],[Filtro URL]]</f>
        <v>100-R-2</v>
      </c>
      <c r="U865" s="50" t="str">
        <f t="shared" si="1349"/>
        <v>#1774B9</v>
      </c>
      <c r="V865" s="118" t="str">
        <f>+Agencia[[#This Row],[idcoleccion]]&amp;"-"&amp;Agencia[[#This Row],[id]]</f>
        <v>990-0854</v>
      </c>
      <c r="W865" s="118">
        <f>+VLOOKUP(Agencia[[#This Row],[Filtro URL]],Estructura!$X$4:$Y$500,2,0)</f>
        <v>99200002</v>
      </c>
      <c r="X865" s="118" t="str">
        <f>+VLOOKUP(Agencia[[#This Row],[tema]],Estructura!$A$4:$C$500,3,0)</f>
        <v>T-1046</v>
      </c>
      <c r="Y865" s="118" t="str">
        <f>+VLOOKUP(Agencia[[#This Row],[contenido]],Estructura!$E$4:$G$500,3,0)</f>
        <v>C-1007</v>
      </c>
      <c r="Z865" s="118" t="str">
        <f>+VLOOKUP(Agencia[[#This Row],[Filtro Integrado]],Estructura!$I$4:$K$500,3,0)</f>
        <v>FI-993</v>
      </c>
      <c r="AA865" s="118" t="str">
        <f>+VLOOKUP(Agencia[[#This Row],[Muestra]],Estructura!$M$4:$O$500,3,0)</f>
        <v>M-1069</v>
      </c>
    </row>
    <row r="866" spans="1:27" ht="40.799999999999997" x14ac:dyDescent="0.3">
      <c r="A866" s="21" t="s">
        <v>1762</v>
      </c>
      <c r="B866" s="24">
        <f t="shared" ref="B866:D866" si="1393">+B865</f>
        <v>990</v>
      </c>
      <c r="C866" s="25" t="str">
        <f t="shared" si="1393"/>
        <v>Agencia Información</v>
      </c>
      <c r="D866" s="25" t="str">
        <f t="shared" si="1393"/>
        <v>Agropecuario y Forestal</v>
      </c>
      <c r="E866" s="19">
        <v>3</v>
      </c>
      <c r="F866" s="18" t="s">
        <v>1641</v>
      </c>
      <c r="G866" s="18" t="s">
        <v>3785</v>
      </c>
      <c r="H866" s="35" t="s">
        <v>16</v>
      </c>
      <c r="I866" s="36" t="s">
        <v>370</v>
      </c>
      <c r="J866" s="9" t="str">
        <f t="shared" ref="J866:N866" si="1394">+J865</f>
        <v>Ninguno</v>
      </c>
      <c r="K866" s="9" t="str">
        <f t="shared" si="1394"/>
        <v>Número y Superficie de incendios por causa</v>
      </c>
      <c r="L866" s="9" t="str">
        <f t="shared" si="1394"/>
        <v>Periodo 2010-2020</v>
      </c>
      <c r="M866" s="9" t="str">
        <f t="shared" si="1394"/>
        <v>Número de incendios y Hectáreas</v>
      </c>
      <c r="N866" s="9" t="str">
        <f t="shared" si="1394"/>
        <v>Corporación Nacional Forestal (CONAF)</v>
      </c>
      <c r="O866" s="20" t="str">
        <f>+"Incendios y superficie afectada según causas generales y específicas en la "&amp;I866&amp;", "&amp;Agencia[[#This Row],[temporalidad]]</f>
        <v>Incendios y superficie afectada según causas generales y específicas en la Región de Atacama, Periodo 2010-2020</v>
      </c>
      <c r="P866" s="20"/>
      <c r="Q866" s="11" t="str">
        <f t="shared" si="1356"/>
        <v>Dashboard</v>
      </c>
      <c r="R866" s="20" t="str">
        <f>Agencia[[#This Row],[territorio]]&amp;" incendios forestales hectáreas superficie cantidad número causa general especifica plantaciones temporada fuego"</f>
        <v>Región de Atacama incendios forestales hectáreas superficie cantidad número causa general especifica plantaciones temporada fuego</v>
      </c>
      <c r="S866" s="22" t="s">
        <v>423</v>
      </c>
      <c r="T866" s="68" t="str">
        <f>"100-R-"&amp;Agencia[[#This Row],[Filtro URL]]</f>
        <v>100-R-3</v>
      </c>
      <c r="U866" s="50" t="str">
        <f t="shared" si="1349"/>
        <v>#1774B9</v>
      </c>
      <c r="V866" s="118" t="str">
        <f>+Agencia[[#This Row],[idcoleccion]]&amp;"-"&amp;Agencia[[#This Row],[id]]</f>
        <v>990-0855</v>
      </c>
      <c r="W866" s="118">
        <f>+VLOOKUP(Agencia[[#This Row],[Filtro URL]],Estructura!$X$4:$Y$500,2,0)</f>
        <v>99200003</v>
      </c>
      <c r="X866" s="118" t="str">
        <f>+VLOOKUP(Agencia[[#This Row],[tema]],Estructura!$A$4:$C$500,3,0)</f>
        <v>T-1046</v>
      </c>
      <c r="Y866" s="118" t="str">
        <f>+VLOOKUP(Agencia[[#This Row],[contenido]],Estructura!$E$4:$G$500,3,0)</f>
        <v>C-1007</v>
      </c>
      <c r="Z866" s="118" t="str">
        <f>+VLOOKUP(Agencia[[#This Row],[Filtro Integrado]],Estructura!$I$4:$K$500,3,0)</f>
        <v>FI-993</v>
      </c>
      <c r="AA866" s="118" t="str">
        <f>+VLOOKUP(Agencia[[#This Row],[Muestra]],Estructura!$M$4:$O$500,3,0)</f>
        <v>M-1069</v>
      </c>
    </row>
    <row r="867" spans="1:27" ht="40.799999999999997" x14ac:dyDescent="0.3">
      <c r="A867" s="21" t="s">
        <v>1763</v>
      </c>
      <c r="B867" s="24">
        <f t="shared" ref="B867:D867" si="1395">+B866</f>
        <v>990</v>
      </c>
      <c r="C867" s="25" t="str">
        <f t="shared" si="1395"/>
        <v>Agencia Información</v>
      </c>
      <c r="D867" s="25" t="str">
        <f t="shared" si="1395"/>
        <v>Agropecuario y Forestal</v>
      </c>
      <c r="E867" s="19">
        <v>4</v>
      </c>
      <c r="F867" s="18" t="s">
        <v>1641</v>
      </c>
      <c r="G867" s="18" t="s">
        <v>3785</v>
      </c>
      <c r="H867" s="35" t="s">
        <v>16</v>
      </c>
      <c r="I867" s="36" t="s">
        <v>371</v>
      </c>
      <c r="J867" s="9" t="str">
        <f t="shared" ref="J867:N867" si="1396">+J866</f>
        <v>Ninguno</v>
      </c>
      <c r="K867" s="9" t="str">
        <f t="shared" si="1396"/>
        <v>Número y Superficie de incendios por causa</v>
      </c>
      <c r="L867" s="9" t="str">
        <f t="shared" si="1396"/>
        <v>Periodo 2010-2020</v>
      </c>
      <c r="M867" s="9" t="str">
        <f t="shared" si="1396"/>
        <v>Número de incendios y Hectáreas</v>
      </c>
      <c r="N867" s="9" t="str">
        <f t="shared" si="1396"/>
        <v>Corporación Nacional Forestal (CONAF)</v>
      </c>
      <c r="O867" s="20" t="str">
        <f>+"Incendios y superficie afectada según causas generales y específicas en la "&amp;I867&amp;", "&amp;Agencia[[#This Row],[temporalidad]]</f>
        <v>Incendios y superficie afectada según causas generales y específicas en la Región de Coquimbo, Periodo 2010-2020</v>
      </c>
      <c r="P867" s="20"/>
      <c r="Q867" s="11" t="str">
        <f t="shared" si="1356"/>
        <v>Dashboard</v>
      </c>
      <c r="R867" s="20" t="str">
        <f>Agencia[[#This Row],[territorio]]&amp;" incendios forestales hectáreas superficie cantidad número causa general especifica plantaciones temporada fuego"</f>
        <v>Región de Coquimbo incendios forestales hectáreas superficie cantidad número causa general especifica plantaciones temporada fuego</v>
      </c>
      <c r="S867" s="22" t="s">
        <v>423</v>
      </c>
      <c r="T867" s="68" t="str">
        <f>"100-R-"&amp;Agencia[[#This Row],[Filtro URL]]</f>
        <v>100-R-4</v>
      </c>
      <c r="U867" s="50" t="str">
        <f t="shared" si="1349"/>
        <v>#1774B9</v>
      </c>
      <c r="V867" s="118" t="str">
        <f>+Agencia[[#This Row],[idcoleccion]]&amp;"-"&amp;Agencia[[#This Row],[id]]</f>
        <v>990-0856</v>
      </c>
      <c r="W867" s="118">
        <f>+VLOOKUP(Agencia[[#This Row],[Filtro URL]],Estructura!$X$4:$Y$500,2,0)</f>
        <v>99200004</v>
      </c>
      <c r="X867" s="118" t="str">
        <f>+VLOOKUP(Agencia[[#This Row],[tema]],Estructura!$A$4:$C$500,3,0)</f>
        <v>T-1046</v>
      </c>
      <c r="Y867" s="118" t="str">
        <f>+VLOOKUP(Agencia[[#This Row],[contenido]],Estructura!$E$4:$G$500,3,0)</f>
        <v>C-1007</v>
      </c>
      <c r="Z867" s="118" t="str">
        <f>+VLOOKUP(Agencia[[#This Row],[Filtro Integrado]],Estructura!$I$4:$K$500,3,0)</f>
        <v>FI-993</v>
      </c>
      <c r="AA867" s="118" t="str">
        <f>+VLOOKUP(Agencia[[#This Row],[Muestra]],Estructura!$M$4:$O$500,3,0)</f>
        <v>M-1069</v>
      </c>
    </row>
    <row r="868" spans="1:27" ht="102" x14ac:dyDescent="0.3">
      <c r="A868" s="21" t="s">
        <v>1764</v>
      </c>
      <c r="B868" s="24">
        <f t="shared" ref="B868:D868" si="1397">+B867</f>
        <v>990</v>
      </c>
      <c r="C868" s="25" t="str">
        <f t="shared" si="1397"/>
        <v>Agencia Información</v>
      </c>
      <c r="D868" s="25" t="str">
        <f t="shared" si="1397"/>
        <v>Agropecuario y Forestal</v>
      </c>
      <c r="E868" s="19">
        <v>5</v>
      </c>
      <c r="F868" s="18" t="s">
        <v>1641</v>
      </c>
      <c r="G868" s="18" t="s">
        <v>3785</v>
      </c>
      <c r="H868" s="35" t="s">
        <v>16</v>
      </c>
      <c r="I868" s="36" t="s">
        <v>372</v>
      </c>
      <c r="J868" s="9" t="str">
        <f t="shared" ref="J868:N868" si="1398">+J867</f>
        <v>Ninguno</v>
      </c>
      <c r="K868" s="9" t="str">
        <f t="shared" si="1398"/>
        <v>Número y Superficie de incendios por causa</v>
      </c>
      <c r="L868" s="9" t="str">
        <f t="shared" si="1398"/>
        <v>Periodo 2010-2020</v>
      </c>
      <c r="M868" s="9" t="str">
        <f t="shared" si="1398"/>
        <v>Número de incendios y Hectáreas</v>
      </c>
      <c r="N868" s="9" t="str">
        <f t="shared" si="1398"/>
        <v>Corporación Nacional Forestal (CONAF)</v>
      </c>
      <c r="O868" s="20" t="str">
        <f>+"Incendios y superficie afectada según causas generales y específicas en la "&amp;I868&amp;", "&amp;Agencia[[#This Row],[temporalidad]]</f>
        <v>Incendios y superficie afectada según causas generales y específicas en la Región de Valparaíso, Periodo 2010-2020</v>
      </c>
      <c r="P868" s="20" t="s">
        <v>1652</v>
      </c>
      <c r="Q868" s="11" t="str">
        <f t="shared" si="1356"/>
        <v>Dashboard</v>
      </c>
      <c r="R868" s="20" t="str">
        <f>Agencia[[#This Row],[territorio]]&amp;" incendios forestales hectáreas superficie cantidad número causa general especifica plantaciones temporada fuego"</f>
        <v>Región de Valparaíso incendios forestales hectáreas superficie cantidad número causa general especifica plantaciones temporada fuego</v>
      </c>
      <c r="S868" s="22" t="s">
        <v>1651</v>
      </c>
      <c r="T868" s="68" t="str">
        <f>"100-R-"&amp;Agencia[[#This Row],[Filtro URL]]</f>
        <v>100-R-5</v>
      </c>
      <c r="U868" s="50" t="str">
        <f t="shared" si="1349"/>
        <v>#1774B9</v>
      </c>
      <c r="V868" s="118" t="str">
        <f>+Agencia[[#This Row],[idcoleccion]]&amp;"-"&amp;Agencia[[#This Row],[id]]</f>
        <v>990-0857</v>
      </c>
      <c r="W868" s="118">
        <f>+VLOOKUP(Agencia[[#This Row],[Filtro URL]],Estructura!$X$4:$Y$500,2,0)</f>
        <v>99200005</v>
      </c>
      <c r="X868" s="118" t="str">
        <f>+VLOOKUP(Agencia[[#This Row],[tema]],Estructura!$A$4:$C$500,3,0)</f>
        <v>T-1046</v>
      </c>
      <c r="Y868" s="118" t="str">
        <f>+VLOOKUP(Agencia[[#This Row],[contenido]],Estructura!$E$4:$G$500,3,0)</f>
        <v>C-1007</v>
      </c>
      <c r="Z868" s="118" t="str">
        <f>+VLOOKUP(Agencia[[#This Row],[Filtro Integrado]],Estructura!$I$4:$K$500,3,0)</f>
        <v>FI-993</v>
      </c>
      <c r="AA868" s="118" t="str">
        <f>+VLOOKUP(Agencia[[#This Row],[Muestra]],Estructura!$M$4:$O$500,3,0)</f>
        <v>M-1069</v>
      </c>
    </row>
    <row r="869" spans="1:27" ht="40.799999999999997" x14ac:dyDescent="0.3">
      <c r="A869" s="21" t="s">
        <v>1765</v>
      </c>
      <c r="B869" s="24">
        <f t="shared" ref="B869:D869" si="1399">+B868</f>
        <v>990</v>
      </c>
      <c r="C869" s="25" t="str">
        <f t="shared" si="1399"/>
        <v>Agencia Información</v>
      </c>
      <c r="D869" s="25" t="str">
        <f t="shared" si="1399"/>
        <v>Agropecuario y Forestal</v>
      </c>
      <c r="E869" s="19">
        <v>6</v>
      </c>
      <c r="F869" s="18" t="s">
        <v>1641</v>
      </c>
      <c r="G869" s="18" t="s">
        <v>3785</v>
      </c>
      <c r="H869" s="35" t="s">
        <v>16</v>
      </c>
      <c r="I869" s="36" t="s">
        <v>373</v>
      </c>
      <c r="J869" s="9" t="str">
        <f t="shared" ref="J869:N869" si="1400">+J868</f>
        <v>Ninguno</v>
      </c>
      <c r="K869" s="9" t="str">
        <f t="shared" si="1400"/>
        <v>Número y Superficie de incendios por causa</v>
      </c>
      <c r="L869" s="9" t="str">
        <f t="shared" si="1400"/>
        <v>Periodo 2010-2020</v>
      </c>
      <c r="M869" s="9" t="str">
        <f t="shared" si="1400"/>
        <v>Número de incendios y Hectáreas</v>
      </c>
      <c r="N869" s="9" t="str">
        <f t="shared" si="1400"/>
        <v>Corporación Nacional Forestal (CONAF)</v>
      </c>
      <c r="O869" s="20" t="str">
        <f>+"Incendios y superficie afectada según causas generales y específicas en la "&amp;I869&amp;", "&amp;Agencia[[#This Row],[temporalidad]]</f>
        <v>Incendios y superficie afectada según causas generales y específicas en la Región de O'Higgins, Periodo 2010-2020</v>
      </c>
      <c r="P869" s="20"/>
      <c r="Q869" s="11" t="str">
        <f t="shared" si="1356"/>
        <v>Dashboard</v>
      </c>
      <c r="R869" s="20" t="str">
        <f>Agencia[[#This Row],[territorio]]&amp;" incendios forestales hectáreas superficie cantidad número causa general especifica plantaciones temporada fuego"</f>
        <v>Región de O'Higgins incendios forestales hectáreas superficie cantidad número causa general especifica plantaciones temporada fuego</v>
      </c>
      <c r="S869" s="22" t="s">
        <v>423</v>
      </c>
      <c r="T869" s="68" t="str">
        <f>"100-R-"&amp;Agencia[[#This Row],[Filtro URL]]</f>
        <v>100-R-6</v>
      </c>
      <c r="U869" s="50" t="str">
        <f t="shared" si="1349"/>
        <v>#1774B9</v>
      </c>
      <c r="V869" s="118" t="str">
        <f>+Agencia[[#This Row],[idcoleccion]]&amp;"-"&amp;Agencia[[#This Row],[id]]</f>
        <v>990-0858</v>
      </c>
      <c r="W869" s="118">
        <f>+VLOOKUP(Agencia[[#This Row],[Filtro URL]],Estructura!$X$4:$Y$500,2,0)</f>
        <v>99200006</v>
      </c>
      <c r="X869" s="118" t="str">
        <f>+VLOOKUP(Agencia[[#This Row],[tema]],Estructura!$A$4:$C$500,3,0)</f>
        <v>T-1046</v>
      </c>
      <c r="Y869" s="118" t="str">
        <f>+VLOOKUP(Agencia[[#This Row],[contenido]],Estructura!$E$4:$G$500,3,0)</f>
        <v>C-1007</v>
      </c>
      <c r="Z869" s="118" t="str">
        <f>+VLOOKUP(Agencia[[#This Row],[Filtro Integrado]],Estructura!$I$4:$K$500,3,0)</f>
        <v>FI-993</v>
      </c>
      <c r="AA869" s="118" t="str">
        <f>+VLOOKUP(Agencia[[#This Row],[Muestra]],Estructura!$M$4:$O$500,3,0)</f>
        <v>M-1069</v>
      </c>
    </row>
    <row r="870" spans="1:27" ht="36" x14ac:dyDescent="0.3">
      <c r="A870" s="21" t="s">
        <v>1766</v>
      </c>
      <c r="B870" s="24">
        <f t="shared" ref="B870:D870" si="1401">+B869</f>
        <v>990</v>
      </c>
      <c r="C870" s="25" t="str">
        <f t="shared" si="1401"/>
        <v>Agencia Información</v>
      </c>
      <c r="D870" s="25" t="str">
        <f t="shared" si="1401"/>
        <v>Agropecuario y Forestal</v>
      </c>
      <c r="E870" s="19">
        <v>7</v>
      </c>
      <c r="F870" s="18" t="s">
        <v>1641</v>
      </c>
      <c r="G870" s="18" t="s">
        <v>3785</v>
      </c>
      <c r="H870" s="35" t="s">
        <v>16</v>
      </c>
      <c r="I870" s="36" t="s">
        <v>374</v>
      </c>
      <c r="J870" s="9" t="str">
        <f t="shared" ref="J870:N870" si="1402">+J869</f>
        <v>Ninguno</v>
      </c>
      <c r="K870" s="9" t="str">
        <f t="shared" si="1402"/>
        <v>Número y Superficie de incendios por causa</v>
      </c>
      <c r="L870" s="9" t="str">
        <f t="shared" si="1402"/>
        <v>Periodo 2010-2020</v>
      </c>
      <c r="M870" s="9" t="str">
        <f t="shared" si="1402"/>
        <v>Número de incendios y Hectáreas</v>
      </c>
      <c r="N870" s="9" t="str">
        <f t="shared" si="1402"/>
        <v>Corporación Nacional Forestal (CONAF)</v>
      </c>
      <c r="O870" s="20" t="str">
        <f>+"Incendios y superficie afectada según causas generales y específicas en la "&amp;I870&amp;", "&amp;Agencia[[#This Row],[temporalidad]]</f>
        <v>Incendios y superficie afectada según causas generales y específicas en la Región de Maule, Periodo 2010-2020</v>
      </c>
      <c r="P870" s="20"/>
      <c r="Q870" s="11" t="str">
        <f t="shared" si="1356"/>
        <v>Dashboard</v>
      </c>
      <c r="R870" s="20" t="str">
        <f>Agencia[[#This Row],[territorio]]&amp;" incendios forestales hectáreas superficie cantidad número causa general especifica plantaciones temporada fuego"</f>
        <v>Región de Maule incendios forestales hectáreas superficie cantidad número causa general especifica plantaciones temporada fuego</v>
      </c>
      <c r="S870" s="22" t="s">
        <v>423</v>
      </c>
      <c r="T870" s="68" t="str">
        <f>"100-R-"&amp;Agencia[[#This Row],[Filtro URL]]</f>
        <v>100-R-7</v>
      </c>
      <c r="U870" s="50" t="str">
        <f t="shared" si="1349"/>
        <v>#1774B9</v>
      </c>
      <c r="V870" s="118" t="str">
        <f>+Agencia[[#This Row],[idcoleccion]]&amp;"-"&amp;Agencia[[#This Row],[id]]</f>
        <v>990-0859</v>
      </c>
      <c r="W870" s="118">
        <f>+VLOOKUP(Agencia[[#This Row],[Filtro URL]],Estructura!$X$4:$Y$500,2,0)</f>
        <v>99200007</v>
      </c>
      <c r="X870" s="118" t="str">
        <f>+VLOOKUP(Agencia[[#This Row],[tema]],Estructura!$A$4:$C$500,3,0)</f>
        <v>T-1046</v>
      </c>
      <c r="Y870" s="118" t="str">
        <f>+VLOOKUP(Agencia[[#This Row],[contenido]],Estructura!$E$4:$G$500,3,0)</f>
        <v>C-1007</v>
      </c>
      <c r="Z870" s="118" t="str">
        <f>+VLOOKUP(Agencia[[#This Row],[Filtro Integrado]],Estructura!$I$4:$K$500,3,0)</f>
        <v>FI-993</v>
      </c>
      <c r="AA870" s="118" t="str">
        <f>+VLOOKUP(Agencia[[#This Row],[Muestra]],Estructura!$M$4:$O$500,3,0)</f>
        <v>M-1069</v>
      </c>
    </row>
    <row r="871" spans="1:27" ht="36" x14ac:dyDescent="0.3">
      <c r="A871" s="21" t="s">
        <v>1767</v>
      </c>
      <c r="B871" s="24">
        <f t="shared" ref="B871:D871" si="1403">+B870</f>
        <v>990</v>
      </c>
      <c r="C871" s="25" t="str">
        <f t="shared" si="1403"/>
        <v>Agencia Información</v>
      </c>
      <c r="D871" s="25" t="str">
        <f t="shared" si="1403"/>
        <v>Agropecuario y Forestal</v>
      </c>
      <c r="E871" s="19">
        <v>8</v>
      </c>
      <c r="F871" s="18" t="s">
        <v>1641</v>
      </c>
      <c r="G871" s="18" t="s">
        <v>3785</v>
      </c>
      <c r="H871" s="35" t="s">
        <v>16</v>
      </c>
      <c r="I871" s="36" t="s">
        <v>375</v>
      </c>
      <c r="J871" s="9" t="str">
        <f t="shared" ref="J871:N871" si="1404">+J870</f>
        <v>Ninguno</v>
      </c>
      <c r="K871" s="9" t="str">
        <f t="shared" si="1404"/>
        <v>Número y Superficie de incendios por causa</v>
      </c>
      <c r="L871" s="9" t="str">
        <f t="shared" si="1404"/>
        <v>Periodo 2010-2020</v>
      </c>
      <c r="M871" s="9" t="str">
        <f t="shared" si="1404"/>
        <v>Número de incendios y Hectáreas</v>
      </c>
      <c r="N871" s="9" t="str">
        <f t="shared" si="1404"/>
        <v>Corporación Nacional Forestal (CONAF)</v>
      </c>
      <c r="O871" s="20" t="str">
        <f>+"Incendios y superficie afectada según causas generales y específicas en la "&amp;I871&amp;", "&amp;Agencia[[#This Row],[temporalidad]]</f>
        <v>Incendios y superficie afectada según causas generales y específicas en la Región del Biobío, Periodo 2010-2020</v>
      </c>
      <c r="P871" s="20"/>
      <c r="Q871" s="11" t="str">
        <f t="shared" si="1356"/>
        <v>Dashboard</v>
      </c>
      <c r="R871" s="20" t="str">
        <f>Agencia[[#This Row],[territorio]]&amp;" incendios forestales hectáreas superficie cantidad número causa general especifica plantaciones temporada fuego"</f>
        <v>Región del Biobío incendios forestales hectáreas superficie cantidad número causa general especifica plantaciones temporada fuego</v>
      </c>
      <c r="S871" s="22"/>
      <c r="T871" s="68" t="str">
        <f>"100-R-"&amp;Agencia[[#This Row],[Filtro URL]]</f>
        <v>100-R-8</v>
      </c>
      <c r="U871" s="50" t="str">
        <f t="shared" si="1349"/>
        <v>#1774B9</v>
      </c>
      <c r="V871" s="118" t="str">
        <f>+Agencia[[#This Row],[idcoleccion]]&amp;"-"&amp;Agencia[[#This Row],[id]]</f>
        <v>990-0860</v>
      </c>
      <c r="W871" s="118">
        <f>+VLOOKUP(Agencia[[#This Row],[Filtro URL]],Estructura!$X$4:$Y$500,2,0)</f>
        <v>99200008</v>
      </c>
      <c r="X871" s="118" t="str">
        <f>+VLOOKUP(Agencia[[#This Row],[tema]],Estructura!$A$4:$C$500,3,0)</f>
        <v>T-1046</v>
      </c>
      <c r="Y871" s="118" t="str">
        <f>+VLOOKUP(Agencia[[#This Row],[contenido]],Estructura!$E$4:$G$500,3,0)</f>
        <v>C-1007</v>
      </c>
      <c r="Z871" s="118" t="str">
        <f>+VLOOKUP(Agencia[[#This Row],[Filtro Integrado]],Estructura!$I$4:$K$500,3,0)</f>
        <v>FI-993</v>
      </c>
      <c r="AA871" s="118" t="str">
        <f>+VLOOKUP(Agencia[[#This Row],[Muestra]],Estructura!$M$4:$O$500,3,0)</f>
        <v>M-1069</v>
      </c>
    </row>
    <row r="872" spans="1:27" ht="40.799999999999997" x14ac:dyDescent="0.3">
      <c r="A872" s="21" t="s">
        <v>1768</v>
      </c>
      <c r="B872" s="24">
        <f t="shared" ref="B872:D872" si="1405">+B871</f>
        <v>990</v>
      </c>
      <c r="C872" s="25" t="str">
        <f t="shared" si="1405"/>
        <v>Agencia Información</v>
      </c>
      <c r="D872" s="25" t="str">
        <f t="shared" si="1405"/>
        <v>Agropecuario y Forestal</v>
      </c>
      <c r="E872" s="19">
        <v>9</v>
      </c>
      <c r="F872" s="18" t="s">
        <v>1641</v>
      </c>
      <c r="G872" s="18" t="s">
        <v>3785</v>
      </c>
      <c r="H872" s="35" t="s">
        <v>16</v>
      </c>
      <c r="I872" s="36" t="s">
        <v>376</v>
      </c>
      <c r="J872" s="9" t="str">
        <f t="shared" ref="J872:N872" si="1406">+J871</f>
        <v>Ninguno</v>
      </c>
      <c r="K872" s="9" t="str">
        <f t="shared" si="1406"/>
        <v>Número y Superficie de incendios por causa</v>
      </c>
      <c r="L872" s="9" t="str">
        <f t="shared" si="1406"/>
        <v>Periodo 2010-2020</v>
      </c>
      <c r="M872" s="9" t="str">
        <f t="shared" si="1406"/>
        <v>Número de incendios y Hectáreas</v>
      </c>
      <c r="N872" s="9" t="str">
        <f t="shared" si="1406"/>
        <v>Corporación Nacional Forestal (CONAF)</v>
      </c>
      <c r="O872" s="20" t="str">
        <f>+"Incendios y superficie afectada según causas generales y específicas en la "&amp;I872&amp;", "&amp;Agencia[[#This Row],[temporalidad]]</f>
        <v>Incendios y superficie afectada según causas generales y específicas en la Región de La Araucanía, Periodo 2010-2020</v>
      </c>
      <c r="P872" s="20"/>
      <c r="Q872" s="11" t="str">
        <f t="shared" si="1356"/>
        <v>Dashboard</v>
      </c>
      <c r="R872" s="20" t="str">
        <f>Agencia[[#This Row],[territorio]]&amp;" incendios forestales hectáreas superficie cantidad número causa general especifica plantaciones temporada fuego"</f>
        <v>Región de La Araucanía incendios forestales hectáreas superficie cantidad número causa general especifica plantaciones temporada fuego</v>
      </c>
      <c r="S872" s="22" t="s">
        <v>423</v>
      </c>
      <c r="T872" s="68" t="str">
        <f>"100-R-"&amp;Agencia[[#This Row],[Filtro URL]]</f>
        <v>100-R-9</v>
      </c>
      <c r="U872" s="50" t="str">
        <f t="shared" si="1349"/>
        <v>#1774B9</v>
      </c>
      <c r="V872" s="118" t="str">
        <f>+Agencia[[#This Row],[idcoleccion]]&amp;"-"&amp;Agencia[[#This Row],[id]]</f>
        <v>990-0861</v>
      </c>
      <c r="W872" s="118">
        <f>+VLOOKUP(Agencia[[#This Row],[Filtro URL]],Estructura!$X$4:$Y$500,2,0)</f>
        <v>99200009</v>
      </c>
      <c r="X872" s="118" t="str">
        <f>+VLOOKUP(Agencia[[#This Row],[tema]],Estructura!$A$4:$C$500,3,0)</f>
        <v>T-1046</v>
      </c>
      <c r="Y872" s="118" t="str">
        <f>+VLOOKUP(Agencia[[#This Row],[contenido]],Estructura!$E$4:$G$500,3,0)</f>
        <v>C-1007</v>
      </c>
      <c r="Z872" s="118" t="str">
        <f>+VLOOKUP(Agencia[[#This Row],[Filtro Integrado]],Estructura!$I$4:$K$500,3,0)</f>
        <v>FI-993</v>
      </c>
      <c r="AA872" s="118" t="str">
        <f>+VLOOKUP(Agencia[[#This Row],[Muestra]],Estructura!$M$4:$O$500,3,0)</f>
        <v>M-1069</v>
      </c>
    </row>
    <row r="873" spans="1:27" ht="40.799999999999997" x14ac:dyDescent="0.3">
      <c r="A873" s="21" t="s">
        <v>1769</v>
      </c>
      <c r="B873" s="24">
        <f t="shared" ref="B873:D873" si="1407">+B872</f>
        <v>990</v>
      </c>
      <c r="C873" s="25" t="str">
        <f t="shared" si="1407"/>
        <v>Agencia Información</v>
      </c>
      <c r="D873" s="25" t="str">
        <f t="shared" si="1407"/>
        <v>Agropecuario y Forestal</v>
      </c>
      <c r="E873" s="19">
        <v>10</v>
      </c>
      <c r="F873" s="18" t="s">
        <v>1641</v>
      </c>
      <c r="G873" s="18" t="s">
        <v>3785</v>
      </c>
      <c r="H873" s="35" t="s">
        <v>16</v>
      </c>
      <c r="I873" s="36" t="s">
        <v>377</v>
      </c>
      <c r="J873" s="9" t="str">
        <f t="shared" ref="J873:N873" si="1408">+J872</f>
        <v>Ninguno</v>
      </c>
      <c r="K873" s="9" t="str">
        <f t="shared" si="1408"/>
        <v>Número y Superficie de incendios por causa</v>
      </c>
      <c r="L873" s="9" t="str">
        <f t="shared" si="1408"/>
        <v>Periodo 2010-2020</v>
      </c>
      <c r="M873" s="9" t="str">
        <f t="shared" si="1408"/>
        <v>Número de incendios y Hectáreas</v>
      </c>
      <c r="N873" s="9" t="str">
        <f t="shared" si="1408"/>
        <v>Corporación Nacional Forestal (CONAF)</v>
      </c>
      <c r="O873" s="20" t="str">
        <f>+"Incendios y superficie afectada según causas generales y específicas en la "&amp;I873&amp;", "&amp;Agencia[[#This Row],[temporalidad]]</f>
        <v>Incendios y superficie afectada según causas generales y específicas en la Región de Los Lagos, Periodo 2010-2020</v>
      </c>
      <c r="P873" s="20"/>
      <c r="Q873" s="11" t="str">
        <f t="shared" si="1356"/>
        <v>Dashboard</v>
      </c>
      <c r="R873" s="20" t="str">
        <f>Agencia[[#This Row],[territorio]]&amp;" incendios forestales hectáreas superficie cantidad número causa general especifica plantaciones temporada fuego"</f>
        <v>Región de Los Lagos incendios forestales hectáreas superficie cantidad número causa general especifica plantaciones temporada fuego</v>
      </c>
      <c r="S873" s="22" t="s">
        <v>423</v>
      </c>
      <c r="T873" s="68" t="str">
        <f>"100-R-"&amp;Agencia[[#This Row],[Filtro URL]]</f>
        <v>100-R-10</v>
      </c>
      <c r="U873" s="50" t="str">
        <f t="shared" si="1349"/>
        <v>#1774B9</v>
      </c>
      <c r="V873" s="118" t="str">
        <f>+Agencia[[#This Row],[idcoleccion]]&amp;"-"&amp;Agencia[[#This Row],[id]]</f>
        <v>990-0862</v>
      </c>
      <c r="W873" s="118">
        <f>+VLOOKUP(Agencia[[#This Row],[Filtro URL]],Estructura!$X$4:$Y$500,2,0)</f>
        <v>99200010</v>
      </c>
      <c r="X873" s="118" t="str">
        <f>+VLOOKUP(Agencia[[#This Row],[tema]],Estructura!$A$4:$C$500,3,0)</f>
        <v>T-1046</v>
      </c>
      <c r="Y873" s="118" t="str">
        <f>+VLOOKUP(Agencia[[#This Row],[contenido]],Estructura!$E$4:$G$500,3,0)</f>
        <v>C-1007</v>
      </c>
      <c r="Z873" s="118" t="str">
        <f>+VLOOKUP(Agencia[[#This Row],[Filtro Integrado]],Estructura!$I$4:$K$500,3,0)</f>
        <v>FI-993</v>
      </c>
      <c r="AA873" s="118" t="str">
        <f>+VLOOKUP(Agencia[[#This Row],[Muestra]],Estructura!$M$4:$O$500,3,0)</f>
        <v>M-1069</v>
      </c>
    </row>
    <row r="874" spans="1:27" ht="36" x14ac:dyDescent="0.3">
      <c r="A874" s="21" t="s">
        <v>1770</v>
      </c>
      <c r="B874" s="24">
        <f t="shared" ref="B874:D874" si="1409">+B873</f>
        <v>990</v>
      </c>
      <c r="C874" s="25" t="str">
        <f t="shared" si="1409"/>
        <v>Agencia Información</v>
      </c>
      <c r="D874" s="25" t="str">
        <f t="shared" si="1409"/>
        <v>Agropecuario y Forestal</v>
      </c>
      <c r="E874" s="19">
        <v>11</v>
      </c>
      <c r="F874" s="18" t="s">
        <v>1641</v>
      </c>
      <c r="G874" s="18" t="s">
        <v>3785</v>
      </c>
      <c r="H874" s="35" t="s">
        <v>16</v>
      </c>
      <c r="I874" s="36" t="s">
        <v>378</v>
      </c>
      <c r="J874" s="9" t="str">
        <f t="shared" ref="J874:N874" si="1410">+J873</f>
        <v>Ninguno</v>
      </c>
      <c r="K874" s="9" t="str">
        <f t="shared" si="1410"/>
        <v>Número y Superficie de incendios por causa</v>
      </c>
      <c r="L874" s="9" t="str">
        <f t="shared" si="1410"/>
        <v>Periodo 2010-2020</v>
      </c>
      <c r="M874" s="9" t="str">
        <f t="shared" si="1410"/>
        <v>Número de incendios y Hectáreas</v>
      </c>
      <c r="N874" s="9" t="str">
        <f t="shared" si="1410"/>
        <v>Corporación Nacional Forestal (CONAF)</v>
      </c>
      <c r="O874" s="20" t="str">
        <f>+"Incendios y superficie afectada según causas generales y específicas en la "&amp;I874&amp;", "&amp;Agencia[[#This Row],[temporalidad]]</f>
        <v>Incendios y superficie afectada según causas generales y específicas en la Región de Aysén, Periodo 2010-2020</v>
      </c>
      <c r="P874" s="20"/>
      <c r="Q874" s="11" t="str">
        <f t="shared" si="1356"/>
        <v>Dashboard</v>
      </c>
      <c r="R874" s="20" t="str">
        <f>Agencia[[#This Row],[territorio]]&amp;" incendios forestales hectáreas superficie cantidad número causa general especifica plantaciones temporada fuego"</f>
        <v>Región de Aysén incendios forestales hectáreas superficie cantidad número causa general especifica plantaciones temporada fuego</v>
      </c>
      <c r="S874" s="22" t="s">
        <v>423</v>
      </c>
      <c r="T874" s="68" t="str">
        <f>"100-R-"&amp;Agencia[[#This Row],[Filtro URL]]</f>
        <v>100-R-11</v>
      </c>
      <c r="U874" s="50" t="str">
        <f t="shared" si="1349"/>
        <v>#1774B9</v>
      </c>
      <c r="V874" s="118" t="str">
        <f>+Agencia[[#This Row],[idcoleccion]]&amp;"-"&amp;Agencia[[#This Row],[id]]</f>
        <v>990-0863</v>
      </c>
      <c r="W874" s="118">
        <f>+VLOOKUP(Agencia[[#This Row],[Filtro URL]],Estructura!$X$4:$Y$500,2,0)</f>
        <v>99200011</v>
      </c>
      <c r="X874" s="118" t="str">
        <f>+VLOOKUP(Agencia[[#This Row],[tema]],Estructura!$A$4:$C$500,3,0)</f>
        <v>T-1046</v>
      </c>
      <c r="Y874" s="118" t="str">
        <f>+VLOOKUP(Agencia[[#This Row],[contenido]],Estructura!$E$4:$G$500,3,0)</f>
        <v>C-1007</v>
      </c>
      <c r="Z874" s="118" t="str">
        <f>+VLOOKUP(Agencia[[#This Row],[Filtro Integrado]],Estructura!$I$4:$K$500,3,0)</f>
        <v>FI-993</v>
      </c>
      <c r="AA874" s="118" t="str">
        <f>+VLOOKUP(Agencia[[#This Row],[Muestra]],Estructura!$M$4:$O$500,3,0)</f>
        <v>M-1069</v>
      </c>
    </row>
    <row r="875" spans="1:27" ht="40.799999999999997" x14ac:dyDescent="0.3">
      <c r="A875" s="21" t="s">
        <v>1771</v>
      </c>
      <c r="B875" s="24">
        <f t="shared" ref="B875:D875" si="1411">+B874</f>
        <v>990</v>
      </c>
      <c r="C875" s="25" t="str">
        <f t="shared" si="1411"/>
        <v>Agencia Información</v>
      </c>
      <c r="D875" s="25" t="str">
        <f t="shared" si="1411"/>
        <v>Agropecuario y Forestal</v>
      </c>
      <c r="E875" s="19">
        <v>12</v>
      </c>
      <c r="F875" s="18" t="s">
        <v>1641</v>
      </c>
      <c r="G875" s="18" t="s">
        <v>3785</v>
      </c>
      <c r="H875" s="35" t="s">
        <v>16</v>
      </c>
      <c r="I875" s="36" t="s">
        <v>379</v>
      </c>
      <c r="J875" s="9" t="str">
        <f t="shared" ref="J875:N875" si="1412">+J874</f>
        <v>Ninguno</v>
      </c>
      <c r="K875" s="9" t="str">
        <f t="shared" si="1412"/>
        <v>Número y Superficie de incendios por causa</v>
      </c>
      <c r="L875" s="9" t="str">
        <f t="shared" si="1412"/>
        <v>Periodo 2010-2020</v>
      </c>
      <c r="M875" s="9" t="str">
        <f t="shared" si="1412"/>
        <v>Número de incendios y Hectáreas</v>
      </c>
      <c r="N875" s="9" t="str">
        <f t="shared" si="1412"/>
        <v>Corporación Nacional Forestal (CONAF)</v>
      </c>
      <c r="O875" s="20" t="str">
        <f>+"Incendios y superficie afectada según causas generales y específicas en la "&amp;I875&amp;", "&amp;Agencia[[#This Row],[temporalidad]]</f>
        <v>Incendios y superficie afectada según causas generales y específicas en la Región de Magallanes, Periodo 2010-2020</v>
      </c>
      <c r="P875" s="20"/>
      <c r="Q875" s="11" t="str">
        <f t="shared" si="1356"/>
        <v>Dashboard</v>
      </c>
      <c r="R875" s="20" t="str">
        <f>Agencia[[#This Row],[territorio]]&amp;" incendios forestales hectáreas superficie cantidad número causa general especifica plantaciones temporada fuego"</f>
        <v>Región de Magallanes incendios forestales hectáreas superficie cantidad número causa general especifica plantaciones temporada fuego</v>
      </c>
      <c r="S875" s="22" t="s">
        <v>423</v>
      </c>
      <c r="T875" s="68" t="str">
        <f>"100-R-"&amp;Agencia[[#This Row],[Filtro URL]]</f>
        <v>100-R-12</v>
      </c>
      <c r="U875" s="50" t="str">
        <f t="shared" si="1349"/>
        <v>#1774B9</v>
      </c>
      <c r="V875" s="118" t="str">
        <f>+Agencia[[#This Row],[idcoleccion]]&amp;"-"&amp;Agencia[[#This Row],[id]]</f>
        <v>990-0864</v>
      </c>
      <c r="W875" s="118">
        <f>+VLOOKUP(Agencia[[#This Row],[Filtro URL]],Estructura!$X$4:$Y$500,2,0)</f>
        <v>99200012</v>
      </c>
      <c r="X875" s="118" t="str">
        <f>+VLOOKUP(Agencia[[#This Row],[tema]],Estructura!$A$4:$C$500,3,0)</f>
        <v>T-1046</v>
      </c>
      <c r="Y875" s="118" t="str">
        <f>+VLOOKUP(Agencia[[#This Row],[contenido]],Estructura!$E$4:$G$500,3,0)</f>
        <v>C-1007</v>
      </c>
      <c r="Z875" s="118" t="str">
        <f>+VLOOKUP(Agencia[[#This Row],[Filtro Integrado]],Estructura!$I$4:$K$500,3,0)</f>
        <v>FI-993</v>
      </c>
      <c r="AA875" s="118" t="str">
        <f>+VLOOKUP(Agencia[[#This Row],[Muestra]],Estructura!$M$4:$O$500,3,0)</f>
        <v>M-1069</v>
      </c>
    </row>
    <row r="876" spans="1:27" ht="40.799999999999997" x14ac:dyDescent="0.3">
      <c r="A876" s="21" t="s">
        <v>1772</v>
      </c>
      <c r="B876" s="24">
        <f t="shared" ref="B876:D876" si="1413">+B875</f>
        <v>990</v>
      </c>
      <c r="C876" s="25" t="str">
        <f t="shared" si="1413"/>
        <v>Agencia Información</v>
      </c>
      <c r="D876" s="25" t="str">
        <f t="shared" si="1413"/>
        <v>Agropecuario y Forestal</v>
      </c>
      <c r="E876" s="19">
        <v>13</v>
      </c>
      <c r="F876" s="18" t="s">
        <v>1641</v>
      </c>
      <c r="G876" s="18" t="s">
        <v>3785</v>
      </c>
      <c r="H876" s="35" t="s">
        <v>16</v>
      </c>
      <c r="I876" s="36" t="s">
        <v>380</v>
      </c>
      <c r="J876" s="9" t="str">
        <f t="shared" ref="J876:N876" si="1414">+J875</f>
        <v>Ninguno</v>
      </c>
      <c r="K876" s="9" t="str">
        <f t="shared" si="1414"/>
        <v>Número y Superficie de incendios por causa</v>
      </c>
      <c r="L876" s="9" t="str">
        <f t="shared" si="1414"/>
        <v>Periodo 2010-2020</v>
      </c>
      <c r="M876" s="9" t="str">
        <f t="shared" si="1414"/>
        <v>Número de incendios y Hectáreas</v>
      </c>
      <c r="N876" s="9" t="str">
        <f t="shared" si="1414"/>
        <v>Corporación Nacional Forestal (CONAF)</v>
      </c>
      <c r="O876" s="20" t="str">
        <f>+"Incendios y superficie afectada según causas generales y específicas en la "&amp;I876&amp;", "&amp;Agencia[[#This Row],[temporalidad]]</f>
        <v>Incendios y superficie afectada según causas generales y específicas en la Región Metropolitana, Periodo 2010-2020</v>
      </c>
      <c r="P876" s="20"/>
      <c r="Q876" s="11" t="str">
        <f t="shared" si="1356"/>
        <v>Dashboard</v>
      </c>
      <c r="R876" s="20" t="str">
        <f>Agencia[[#This Row],[territorio]]&amp;" incendios forestales hectáreas superficie cantidad número causa general especifica plantaciones temporada fuego"</f>
        <v>Región Metropolitana incendios forestales hectáreas superficie cantidad número causa general especifica plantaciones temporada fuego</v>
      </c>
      <c r="S876" s="22" t="s">
        <v>423</v>
      </c>
      <c r="T876" s="68" t="str">
        <f>"200-R-"&amp;Agencia[[#This Row],[Filtro URL]]</f>
        <v>200-R-13</v>
      </c>
      <c r="U876" s="50" t="str">
        <f t="shared" si="1349"/>
        <v>#1774B9</v>
      </c>
      <c r="V876" s="118" t="str">
        <f>+Agencia[[#This Row],[idcoleccion]]&amp;"-"&amp;Agencia[[#This Row],[id]]</f>
        <v>990-0865</v>
      </c>
      <c r="W876" s="118">
        <f>+VLOOKUP(Agencia[[#This Row],[Filtro URL]],Estructura!$X$4:$Y$500,2,0)</f>
        <v>99200013</v>
      </c>
      <c r="X876" s="118" t="str">
        <f>+VLOOKUP(Agencia[[#This Row],[tema]],Estructura!$A$4:$C$500,3,0)</f>
        <v>T-1046</v>
      </c>
      <c r="Y876" s="118" t="str">
        <f>+VLOOKUP(Agencia[[#This Row],[contenido]],Estructura!$E$4:$G$500,3,0)</f>
        <v>C-1007</v>
      </c>
      <c r="Z876" s="118" t="str">
        <f>+VLOOKUP(Agencia[[#This Row],[Filtro Integrado]],Estructura!$I$4:$K$500,3,0)</f>
        <v>FI-993</v>
      </c>
      <c r="AA876" s="118" t="str">
        <f>+VLOOKUP(Agencia[[#This Row],[Muestra]],Estructura!$M$4:$O$500,3,0)</f>
        <v>M-1069</v>
      </c>
    </row>
    <row r="877" spans="1:27" ht="40.799999999999997" x14ac:dyDescent="0.3">
      <c r="A877" s="21" t="s">
        <v>1773</v>
      </c>
      <c r="B877" s="24">
        <f t="shared" ref="B877:D877" si="1415">+B876</f>
        <v>990</v>
      </c>
      <c r="C877" s="25" t="str">
        <f t="shared" si="1415"/>
        <v>Agencia Información</v>
      </c>
      <c r="D877" s="25" t="str">
        <f t="shared" si="1415"/>
        <v>Agropecuario y Forestal</v>
      </c>
      <c r="E877" s="19">
        <v>14</v>
      </c>
      <c r="F877" s="18" t="s">
        <v>1641</v>
      </c>
      <c r="G877" s="18" t="s">
        <v>3785</v>
      </c>
      <c r="H877" s="35" t="s">
        <v>16</v>
      </c>
      <c r="I877" s="36" t="s">
        <v>381</v>
      </c>
      <c r="J877" s="9" t="str">
        <f t="shared" ref="J877:N877" si="1416">+J876</f>
        <v>Ninguno</v>
      </c>
      <c r="K877" s="9" t="str">
        <f t="shared" si="1416"/>
        <v>Número y Superficie de incendios por causa</v>
      </c>
      <c r="L877" s="9" t="str">
        <f t="shared" si="1416"/>
        <v>Periodo 2010-2020</v>
      </c>
      <c r="M877" s="9" t="str">
        <f t="shared" si="1416"/>
        <v>Número de incendios y Hectáreas</v>
      </c>
      <c r="N877" s="9" t="str">
        <f t="shared" si="1416"/>
        <v>Corporación Nacional Forestal (CONAF)</v>
      </c>
      <c r="O877" s="20" t="str">
        <f>+"Incendios y superficie afectada según causas generales y específicas en la "&amp;I877&amp;", "&amp;Agencia[[#This Row],[temporalidad]]</f>
        <v>Incendios y superficie afectada según causas generales y específicas en la Región de Los Ríos, Periodo 2010-2020</v>
      </c>
      <c r="P877" s="20"/>
      <c r="Q877" s="11" t="str">
        <f t="shared" si="1356"/>
        <v>Dashboard</v>
      </c>
      <c r="R877" s="20" t="str">
        <f>Agencia[[#This Row],[territorio]]&amp;" incendios forestales hectáreas superficie cantidad número causa general especifica plantaciones temporada fuego"</f>
        <v>Región de Los Ríos incendios forestales hectáreas superficie cantidad número causa general especifica plantaciones temporada fuego</v>
      </c>
      <c r="S877" s="22" t="s">
        <v>423</v>
      </c>
      <c r="T877" s="68" t="str">
        <f>"100-R-"&amp;Agencia[[#This Row],[Filtro URL]]</f>
        <v>100-R-14</v>
      </c>
      <c r="U877" s="50" t="str">
        <f t="shared" si="1349"/>
        <v>#1774B9</v>
      </c>
      <c r="V877" s="118" t="str">
        <f>+Agencia[[#This Row],[idcoleccion]]&amp;"-"&amp;Agencia[[#This Row],[id]]</f>
        <v>990-0866</v>
      </c>
      <c r="W877" s="118">
        <f>+VLOOKUP(Agencia[[#This Row],[Filtro URL]],Estructura!$X$4:$Y$500,2,0)</f>
        <v>99200014</v>
      </c>
      <c r="X877" s="118" t="str">
        <f>+VLOOKUP(Agencia[[#This Row],[tema]],Estructura!$A$4:$C$500,3,0)</f>
        <v>T-1046</v>
      </c>
      <c r="Y877" s="118" t="str">
        <f>+VLOOKUP(Agencia[[#This Row],[contenido]],Estructura!$E$4:$G$500,3,0)</f>
        <v>C-1007</v>
      </c>
      <c r="Z877" s="118" t="str">
        <f>+VLOOKUP(Agencia[[#This Row],[Filtro Integrado]],Estructura!$I$4:$K$500,3,0)</f>
        <v>FI-993</v>
      </c>
      <c r="AA877" s="118" t="str">
        <f>+VLOOKUP(Agencia[[#This Row],[Muestra]],Estructura!$M$4:$O$500,3,0)</f>
        <v>M-1069</v>
      </c>
    </row>
    <row r="878" spans="1:27" ht="40.799999999999997" x14ac:dyDescent="0.3">
      <c r="A878" s="21" t="s">
        <v>1774</v>
      </c>
      <c r="B878" s="24">
        <f t="shared" ref="B878:D878" si="1417">+B877</f>
        <v>990</v>
      </c>
      <c r="C878" s="25" t="str">
        <f t="shared" si="1417"/>
        <v>Agencia Información</v>
      </c>
      <c r="D878" s="25" t="str">
        <f t="shared" si="1417"/>
        <v>Agropecuario y Forestal</v>
      </c>
      <c r="E878" s="19">
        <v>15</v>
      </c>
      <c r="F878" s="18" t="s">
        <v>1641</v>
      </c>
      <c r="G878" s="18" t="s">
        <v>3785</v>
      </c>
      <c r="H878" s="35" t="s">
        <v>16</v>
      </c>
      <c r="I878" s="36" t="s">
        <v>382</v>
      </c>
      <c r="J878" s="9" t="str">
        <f t="shared" ref="J878:N878" si="1418">+J877</f>
        <v>Ninguno</v>
      </c>
      <c r="K878" s="9" t="str">
        <f t="shared" si="1418"/>
        <v>Número y Superficie de incendios por causa</v>
      </c>
      <c r="L878" s="9" t="str">
        <f t="shared" si="1418"/>
        <v>Periodo 2010-2020</v>
      </c>
      <c r="M878" s="9" t="str">
        <f t="shared" si="1418"/>
        <v>Número de incendios y Hectáreas</v>
      </c>
      <c r="N878" s="9" t="str">
        <f t="shared" si="1418"/>
        <v>Corporación Nacional Forestal (CONAF)</v>
      </c>
      <c r="O878" s="20" t="str">
        <f>+"Incendios y superficie afectada según causas generales y específicas en la "&amp;I878&amp;", "&amp;Agencia[[#This Row],[temporalidad]]</f>
        <v>Incendios y superficie afectada según causas generales y específicas en la Región de Arica y Parinacota, Periodo 2010-2020</v>
      </c>
      <c r="P878" s="20"/>
      <c r="Q878" s="11" t="str">
        <f t="shared" si="1356"/>
        <v>Dashboard</v>
      </c>
      <c r="R878" s="20" t="str">
        <f>Agencia[[#This Row],[territorio]]&amp;" incendios forestales hectáreas superficie cantidad número causa general especifica plantaciones temporada fuego"</f>
        <v>Región de Arica y Parinacota incendios forestales hectáreas superficie cantidad número causa general especifica plantaciones temporada fuego</v>
      </c>
      <c r="S878" s="22" t="s">
        <v>423</v>
      </c>
      <c r="T878" s="68" t="str">
        <f>"100-R-"&amp;Agencia[[#This Row],[Filtro URL]]</f>
        <v>100-R-15</v>
      </c>
      <c r="U878" s="50" t="str">
        <f t="shared" si="1349"/>
        <v>#1774B9</v>
      </c>
      <c r="V878" s="118" t="str">
        <f>+Agencia[[#This Row],[idcoleccion]]&amp;"-"&amp;Agencia[[#This Row],[id]]</f>
        <v>990-0867</v>
      </c>
      <c r="W878" s="118">
        <f>+VLOOKUP(Agencia[[#This Row],[Filtro URL]],Estructura!$X$4:$Y$500,2,0)</f>
        <v>99200015</v>
      </c>
      <c r="X878" s="118" t="str">
        <f>+VLOOKUP(Agencia[[#This Row],[tema]],Estructura!$A$4:$C$500,3,0)</f>
        <v>T-1046</v>
      </c>
      <c r="Y878" s="118" t="str">
        <f>+VLOOKUP(Agencia[[#This Row],[contenido]],Estructura!$E$4:$G$500,3,0)</f>
        <v>C-1007</v>
      </c>
      <c r="Z878" s="118" t="str">
        <f>+VLOOKUP(Agencia[[#This Row],[Filtro Integrado]],Estructura!$I$4:$K$500,3,0)</f>
        <v>FI-993</v>
      </c>
      <c r="AA878" s="118" t="str">
        <f>+VLOOKUP(Agencia[[#This Row],[Muestra]],Estructura!$M$4:$O$500,3,0)</f>
        <v>M-1069</v>
      </c>
    </row>
    <row r="879" spans="1:27" ht="36" x14ac:dyDescent="0.3">
      <c r="A879" s="21" t="s">
        <v>1775</v>
      </c>
      <c r="B879" s="24">
        <f t="shared" ref="B879:D879" si="1419">+B878</f>
        <v>990</v>
      </c>
      <c r="C879" s="25" t="str">
        <f t="shared" si="1419"/>
        <v>Agencia Información</v>
      </c>
      <c r="D879" s="25" t="str">
        <f t="shared" si="1419"/>
        <v>Agropecuario y Forestal</v>
      </c>
      <c r="E879" s="19">
        <v>16</v>
      </c>
      <c r="F879" s="18" t="s">
        <v>1641</v>
      </c>
      <c r="G879" s="18" t="s">
        <v>3785</v>
      </c>
      <c r="H879" s="35" t="s">
        <v>16</v>
      </c>
      <c r="I879" s="36" t="s">
        <v>383</v>
      </c>
      <c r="J879" s="9" t="str">
        <f t="shared" ref="J879:N879" si="1420">+J878</f>
        <v>Ninguno</v>
      </c>
      <c r="K879" s="9" t="str">
        <f t="shared" si="1420"/>
        <v>Número y Superficie de incendios por causa</v>
      </c>
      <c r="L879" s="9" t="str">
        <f t="shared" si="1420"/>
        <v>Periodo 2010-2020</v>
      </c>
      <c r="M879" s="9" t="str">
        <f t="shared" si="1420"/>
        <v>Número de incendios y Hectáreas</v>
      </c>
      <c r="N879" s="9" t="str">
        <f t="shared" si="1420"/>
        <v>Corporación Nacional Forestal (CONAF)</v>
      </c>
      <c r="O879" s="20" t="str">
        <f>+"Incendios y superficie afectada según causas generales y específicas en la "&amp;I879&amp;", "&amp;Agencia[[#This Row],[temporalidad]]</f>
        <v>Incendios y superficie afectada según causas generales y específicas en la Región de Ñuble, Periodo 2010-2020</v>
      </c>
      <c r="P879" s="20"/>
      <c r="Q879" s="11" t="str">
        <f t="shared" si="1356"/>
        <v>Dashboard</v>
      </c>
      <c r="R879" s="20" t="str">
        <f>Agencia[[#This Row],[territorio]]&amp;" incendios forestales hectáreas superficie cantidad número causa general especifica plantaciones temporada fuego"</f>
        <v>Región de Ñuble incendios forestales hectáreas superficie cantidad número causa general especifica plantaciones temporada fuego</v>
      </c>
      <c r="S879" s="22" t="s">
        <v>423</v>
      </c>
      <c r="T879" s="68" t="str">
        <f>"100-R-"&amp;Agencia[[#This Row],[Filtro URL]]</f>
        <v>100-R-16</v>
      </c>
      <c r="U879" s="50" t="str">
        <f t="shared" si="1349"/>
        <v>#1774B9</v>
      </c>
      <c r="V879" s="118" t="str">
        <f>+Agencia[[#This Row],[idcoleccion]]&amp;"-"&amp;Agencia[[#This Row],[id]]</f>
        <v>990-0868</v>
      </c>
      <c r="W879" s="118">
        <f>+VLOOKUP(Agencia[[#This Row],[Filtro URL]],Estructura!$X$4:$Y$500,2,0)</f>
        <v>99200016</v>
      </c>
      <c r="X879" s="118" t="str">
        <f>+VLOOKUP(Agencia[[#This Row],[tema]],Estructura!$A$4:$C$500,3,0)</f>
        <v>T-1046</v>
      </c>
      <c r="Y879" s="118" t="str">
        <f>+VLOOKUP(Agencia[[#This Row],[contenido]],Estructura!$E$4:$G$500,3,0)</f>
        <v>C-1007</v>
      </c>
      <c r="Z879" s="118" t="str">
        <f>+VLOOKUP(Agencia[[#This Row],[Filtro Integrado]],Estructura!$I$4:$K$500,3,0)</f>
        <v>FI-993</v>
      </c>
      <c r="AA879" s="118" t="str">
        <f>+VLOOKUP(Agencia[[#This Row],[Muestra]],Estructura!$M$4:$O$500,3,0)</f>
        <v>M-1069</v>
      </c>
    </row>
    <row r="880" spans="1:27" ht="30.6" x14ac:dyDescent="0.3">
      <c r="A880" s="21" t="s">
        <v>1776</v>
      </c>
      <c r="B880" s="24">
        <f t="shared" ref="B880:C880" si="1421">+B879</f>
        <v>990</v>
      </c>
      <c r="C880" s="25" t="str">
        <f t="shared" si="1421"/>
        <v>Agencia Información</v>
      </c>
      <c r="D880" s="25" t="s">
        <v>597</v>
      </c>
      <c r="E880" s="14">
        <v>0</v>
      </c>
      <c r="F880" s="18" t="s">
        <v>1663</v>
      </c>
      <c r="G880" s="18" t="s">
        <v>1653</v>
      </c>
      <c r="H880" s="33" t="s">
        <v>20</v>
      </c>
      <c r="I880" s="34" t="s">
        <v>15</v>
      </c>
      <c r="J880" s="9" t="s">
        <v>1032</v>
      </c>
      <c r="K880" s="9" t="s">
        <v>1657</v>
      </c>
      <c r="L880" s="9" t="s">
        <v>1659</v>
      </c>
      <c r="M880" s="9" t="s">
        <v>1656</v>
      </c>
      <c r="N880" s="9" t="s">
        <v>1658</v>
      </c>
      <c r="O880" s="32" t="str">
        <f>+"Candidatos electos, Lista-Partido y Votación Obtenida a los cargos de Elección Popular, para 7 comunas en "&amp;I880&amp;", "&amp;Agencia[[#This Row],[temporalidad]]</f>
        <v>Candidatos electos, Lista-Partido y Votación Obtenida a los cargos de Elección Popular, para 7 comunas en Chile, Periodo 1990-2020</v>
      </c>
      <c r="P880" s="20"/>
      <c r="Q880" s="11" t="s">
        <v>606</v>
      </c>
      <c r="R880" s="20" t="str">
        <f>Agencia[[#This Row],[territorio]]&amp;" elecciones candidatos electos consejeros regionales senadores diputados alcaldes concejales cargos votación"</f>
        <v>Chile elecciones candidatos electos consejeros regionales senadores diputados alcaldes concejales cargos votación</v>
      </c>
      <c r="S880" s="22" t="s">
        <v>423</v>
      </c>
      <c r="T880" s="68" t="s">
        <v>1033</v>
      </c>
      <c r="U880" s="50" t="str">
        <f t="shared" si="1349"/>
        <v>#1774B9</v>
      </c>
      <c r="V880" s="118" t="str">
        <f>+Agencia[[#This Row],[idcoleccion]]&amp;"-"&amp;Agencia[[#This Row],[id]]</f>
        <v>990-0869</v>
      </c>
      <c r="W880" s="118">
        <f>+VLOOKUP(Agencia[[#This Row],[Filtro URL]],Estructura!$X$4:$Y$500,2,0)</f>
        <v>99100000</v>
      </c>
      <c r="X880" s="118" t="str">
        <f>+VLOOKUP(Agencia[[#This Row],[tema]],Estructura!$A$4:$C$500,3,0)</f>
        <v>T-1020</v>
      </c>
      <c r="Y880" s="118" t="str">
        <f>+VLOOKUP(Agencia[[#This Row],[contenido]],Estructura!$E$4:$G$500,3,0)</f>
        <v>C-994</v>
      </c>
      <c r="Z880" s="118" t="str">
        <f>+VLOOKUP(Agencia[[#This Row],[Filtro Integrado]],Estructura!$I$4:$K$500,3,0)</f>
        <v>FI-994</v>
      </c>
      <c r="AA880" s="118" t="str">
        <f>+VLOOKUP(Agencia[[#This Row],[Muestra]],Estructura!$M$4:$O$500,3,0)</f>
        <v>M-1070</v>
      </c>
    </row>
    <row r="881" spans="1:27" ht="30.6" x14ac:dyDescent="0.3">
      <c r="A881" s="21" t="s">
        <v>1777</v>
      </c>
      <c r="B881" s="24">
        <f t="shared" ref="B881:D881" si="1422">+B880</f>
        <v>990</v>
      </c>
      <c r="C881" s="25" t="str">
        <f t="shared" si="1422"/>
        <v>Agencia Información</v>
      </c>
      <c r="D881" s="25" t="str">
        <f t="shared" si="1422"/>
        <v>Política y Gobierno</v>
      </c>
      <c r="E881" s="19">
        <v>1</v>
      </c>
      <c r="F881" s="18" t="s">
        <v>1663</v>
      </c>
      <c r="G881" s="18" t="s">
        <v>1653</v>
      </c>
      <c r="H881" s="35" t="s">
        <v>16</v>
      </c>
      <c r="I881" s="36" t="s">
        <v>368</v>
      </c>
      <c r="J881" s="9" t="s">
        <v>18</v>
      </c>
      <c r="K881" s="9" t="s">
        <v>1657</v>
      </c>
      <c r="L881" s="9" t="str">
        <f t="shared" ref="L881:N881" si="1423">+L880</f>
        <v>Periodo 1990-2020</v>
      </c>
      <c r="M881" s="9" t="str">
        <f t="shared" si="1423"/>
        <v>Número de candidatos</v>
      </c>
      <c r="N881" s="9" t="str">
        <f t="shared" si="1423"/>
        <v>Servicio Electoral (SERVEL)</v>
      </c>
      <c r="O881" s="32" t="str">
        <f>+"Candidatos electos, Lista-Partido y Votación Obtenida a los cargos de Elección Popular, para 7 comunas en la "&amp;I881&amp;", "&amp;Agencia[[#This Row],[temporalidad]]</f>
        <v>Candidatos electos, Lista-Partido y Votación Obtenida a los cargos de Elección Popular, para 7 comunas en la Región de Tarapacá, Periodo 1990-2020</v>
      </c>
      <c r="P881" s="20"/>
      <c r="Q881" s="11" t="str">
        <f t="shared" si="1356"/>
        <v>Dashboard</v>
      </c>
      <c r="R881" s="20" t="str">
        <f>Agencia[[#This Row],[territorio]]&amp;" elecciones candidatos electos consejeros regionales senadores diputados alcaldes concejales cargos votación"</f>
        <v>Región de Tarapacá elecciones candidatos electos consejeros regionales senadores diputados alcaldes concejales cargos votación</v>
      </c>
      <c r="S881" s="22" t="s">
        <v>423</v>
      </c>
      <c r="T881" s="69" t="str">
        <f>"100-C-"&amp;Agencia[[#This Row],[Filtro URL]]</f>
        <v>100-C-1</v>
      </c>
      <c r="U881" s="50" t="str">
        <f t="shared" si="1349"/>
        <v>#1774B9</v>
      </c>
      <c r="V881" s="118" t="str">
        <f>+Agencia[[#This Row],[idcoleccion]]&amp;"-"&amp;Agencia[[#This Row],[id]]</f>
        <v>990-0870</v>
      </c>
      <c r="W881" s="118">
        <f>+VLOOKUP(Agencia[[#This Row],[Filtro URL]],Estructura!$X$4:$Y$500,2,0)</f>
        <v>99200001</v>
      </c>
      <c r="X881" s="118" t="str">
        <f>+VLOOKUP(Agencia[[#This Row],[tema]],Estructura!$A$4:$C$500,3,0)</f>
        <v>T-1020</v>
      </c>
      <c r="Y881" s="118" t="str">
        <f>+VLOOKUP(Agencia[[#This Row],[contenido]],Estructura!$E$4:$G$500,3,0)</f>
        <v>C-994</v>
      </c>
      <c r="Z881" s="118" t="str">
        <f>+VLOOKUP(Agencia[[#This Row],[Filtro Integrado]],Estructura!$I$4:$K$500,3,0)</f>
        <v>FI-991</v>
      </c>
      <c r="AA881" s="118" t="str">
        <f>+VLOOKUP(Agencia[[#This Row],[Muestra]],Estructura!$M$4:$O$500,3,0)</f>
        <v>M-1070</v>
      </c>
    </row>
    <row r="882" spans="1:27" ht="30.6" x14ac:dyDescent="0.3">
      <c r="A882" s="21" t="s">
        <v>1778</v>
      </c>
      <c r="B882" s="24">
        <f t="shared" ref="B882:D882" si="1424">+B881</f>
        <v>990</v>
      </c>
      <c r="C882" s="25" t="str">
        <f t="shared" si="1424"/>
        <v>Agencia Información</v>
      </c>
      <c r="D882" s="25" t="str">
        <f t="shared" si="1424"/>
        <v>Política y Gobierno</v>
      </c>
      <c r="E882" s="19">
        <v>2</v>
      </c>
      <c r="F882" s="18" t="s">
        <v>1663</v>
      </c>
      <c r="G882" s="18" t="s">
        <v>1653</v>
      </c>
      <c r="H882" s="35" t="s">
        <v>16</v>
      </c>
      <c r="I882" s="36" t="s">
        <v>369</v>
      </c>
      <c r="J882" s="9" t="str">
        <f t="shared" ref="J882:N882" si="1425">+J881</f>
        <v>Comuna</v>
      </c>
      <c r="K882" s="9" t="str">
        <f t="shared" si="1425"/>
        <v>Candidatos electos por comuna</v>
      </c>
      <c r="L882" s="9" t="str">
        <f t="shared" si="1425"/>
        <v>Periodo 1990-2020</v>
      </c>
      <c r="M882" s="9" t="str">
        <f t="shared" si="1425"/>
        <v>Número de candidatos</v>
      </c>
      <c r="N882" s="9" t="str">
        <f t="shared" si="1425"/>
        <v>Servicio Electoral (SERVEL)</v>
      </c>
      <c r="O882" s="32" t="str">
        <f>+"Candidatos electos, Lista-Partido y Votación Obtenida a los cargos de Elección Popular, para 7 comunas en la "&amp;I882&amp;", "&amp;Agencia[[#This Row],[temporalidad]]</f>
        <v>Candidatos electos, Lista-Partido y Votación Obtenida a los cargos de Elección Popular, para 7 comunas en la Región de Antofagasta, Periodo 1990-2020</v>
      </c>
      <c r="P882" s="20"/>
      <c r="Q882" s="11" t="str">
        <f t="shared" si="1356"/>
        <v>Dashboard</v>
      </c>
      <c r="R882" s="20" t="str">
        <f>Agencia[[#This Row],[territorio]]&amp;" elecciones candidatos electos consejeros regionales senadores diputados alcaldes concejales cargos votación"</f>
        <v>Región de Antofagasta elecciones candidatos electos consejeros regionales senadores diputados alcaldes concejales cargos votación</v>
      </c>
      <c r="S882" s="22" t="s">
        <v>423</v>
      </c>
      <c r="T882" s="69" t="str">
        <f>"100-C-"&amp;Agencia[[#This Row],[Filtro URL]]</f>
        <v>100-C-2</v>
      </c>
      <c r="U882" s="50" t="str">
        <f t="shared" si="1349"/>
        <v>#1774B9</v>
      </c>
      <c r="V882" s="118" t="str">
        <f>+Agencia[[#This Row],[idcoleccion]]&amp;"-"&amp;Agencia[[#This Row],[id]]</f>
        <v>990-0871</v>
      </c>
      <c r="W882" s="118">
        <f>+VLOOKUP(Agencia[[#This Row],[Filtro URL]],Estructura!$X$4:$Y$500,2,0)</f>
        <v>99200002</v>
      </c>
      <c r="X882" s="118" t="str">
        <f>+VLOOKUP(Agencia[[#This Row],[tema]],Estructura!$A$4:$C$500,3,0)</f>
        <v>T-1020</v>
      </c>
      <c r="Y882" s="118" t="str">
        <f>+VLOOKUP(Agencia[[#This Row],[contenido]],Estructura!$E$4:$G$500,3,0)</f>
        <v>C-994</v>
      </c>
      <c r="Z882" s="118" t="str">
        <f>+VLOOKUP(Agencia[[#This Row],[Filtro Integrado]],Estructura!$I$4:$K$500,3,0)</f>
        <v>FI-991</v>
      </c>
      <c r="AA882" s="118" t="str">
        <f>+VLOOKUP(Agencia[[#This Row],[Muestra]],Estructura!$M$4:$O$500,3,0)</f>
        <v>M-1070</v>
      </c>
    </row>
    <row r="883" spans="1:27" ht="30.6" x14ac:dyDescent="0.3">
      <c r="A883" s="21" t="s">
        <v>1779</v>
      </c>
      <c r="B883" s="24">
        <f t="shared" ref="B883:D883" si="1426">+B882</f>
        <v>990</v>
      </c>
      <c r="C883" s="25" t="str">
        <f t="shared" si="1426"/>
        <v>Agencia Información</v>
      </c>
      <c r="D883" s="25" t="str">
        <f t="shared" si="1426"/>
        <v>Política y Gobierno</v>
      </c>
      <c r="E883" s="19">
        <v>3</v>
      </c>
      <c r="F883" s="18" t="s">
        <v>1663</v>
      </c>
      <c r="G883" s="18" t="s">
        <v>1653</v>
      </c>
      <c r="H883" s="35" t="s">
        <v>16</v>
      </c>
      <c r="I883" s="36" t="s">
        <v>370</v>
      </c>
      <c r="J883" s="9" t="str">
        <f t="shared" ref="J883:N883" si="1427">+J882</f>
        <v>Comuna</v>
      </c>
      <c r="K883" s="9" t="str">
        <f t="shared" si="1427"/>
        <v>Candidatos electos por comuna</v>
      </c>
      <c r="L883" s="9" t="str">
        <f t="shared" si="1427"/>
        <v>Periodo 1990-2020</v>
      </c>
      <c r="M883" s="9" t="str">
        <f t="shared" si="1427"/>
        <v>Número de candidatos</v>
      </c>
      <c r="N883" s="9" t="str">
        <f t="shared" si="1427"/>
        <v>Servicio Electoral (SERVEL)</v>
      </c>
      <c r="O883" s="32" t="str">
        <f>+"Candidatos electos, Lista-Partido y Votación Obtenida a los cargos de Elección Popular, para 7 comunas en la "&amp;I883&amp;", "&amp;Agencia[[#This Row],[temporalidad]]</f>
        <v>Candidatos electos, Lista-Partido y Votación Obtenida a los cargos de Elección Popular, para 7 comunas en la Región de Atacama, Periodo 1990-2020</v>
      </c>
      <c r="P883" s="20"/>
      <c r="Q883" s="11" t="str">
        <f t="shared" si="1356"/>
        <v>Dashboard</v>
      </c>
      <c r="R883" s="20" t="str">
        <f>Agencia[[#This Row],[territorio]]&amp;" elecciones candidatos electos consejeros regionales senadores diputados alcaldes concejales cargos votación"</f>
        <v>Región de Atacama elecciones candidatos electos consejeros regionales senadores diputados alcaldes concejales cargos votación</v>
      </c>
      <c r="S883" s="22" t="s">
        <v>423</v>
      </c>
      <c r="T883" s="69" t="str">
        <f>"100-C-"&amp;Agencia[[#This Row],[Filtro URL]]</f>
        <v>100-C-3</v>
      </c>
      <c r="U883" s="50" t="str">
        <f t="shared" si="1349"/>
        <v>#1774B9</v>
      </c>
      <c r="V883" s="118" t="str">
        <f>+Agencia[[#This Row],[idcoleccion]]&amp;"-"&amp;Agencia[[#This Row],[id]]</f>
        <v>990-0872</v>
      </c>
      <c r="W883" s="118">
        <f>+VLOOKUP(Agencia[[#This Row],[Filtro URL]],Estructura!$X$4:$Y$500,2,0)</f>
        <v>99200003</v>
      </c>
      <c r="X883" s="118" t="str">
        <f>+VLOOKUP(Agencia[[#This Row],[tema]],Estructura!$A$4:$C$500,3,0)</f>
        <v>T-1020</v>
      </c>
      <c r="Y883" s="118" t="str">
        <f>+VLOOKUP(Agencia[[#This Row],[contenido]],Estructura!$E$4:$G$500,3,0)</f>
        <v>C-994</v>
      </c>
      <c r="Z883" s="118" t="str">
        <f>+VLOOKUP(Agencia[[#This Row],[Filtro Integrado]],Estructura!$I$4:$K$500,3,0)</f>
        <v>FI-991</v>
      </c>
      <c r="AA883" s="118" t="str">
        <f>+VLOOKUP(Agencia[[#This Row],[Muestra]],Estructura!$M$4:$O$500,3,0)</f>
        <v>M-1070</v>
      </c>
    </row>
    <row r="884" spans="1:27" ht="30.6" x14ac:dyDescent="0.3">
      <c r="A884" s="21" t="s">
        <v>1780</v>
      </c>
      <c r="B884" s="24">
        <f t="shared" ref="B884:D884" si="1428">+B883</f>
        <v>990</v>
      </c>
      <c r="C884" s="25" t="str">
        <f t="shared" si="1428"/>
        <v>Agencia Información</v>
      </c>
      <c r="D884" s="25" t="str">
        <f t="shared" si="1428"/>
        <v>Política y Gobierno</v>
      </c>
      <c r="E884" s="19">
        <v>4</v>
      </c>
      <c r="F884" s="18" t="s">
        <v>1663</v>
      </c>
      <c r="G884" s="18" t="s">
        <v>1653</v>
      </c>
      <c r="H884" s="35" t="s">
        <v>16</v>
      </c>
      <c r="I884" s="36" t="s">
        <v>371</v>
      </c>
      <c r="J884" s="9" t="str">
        <f t="shared" ref="J884:N884" si="1429">+J883</f>
        <v>Comuna</v>
      </c>
      <c r="K884" s="9" t="str">
        <f t="shared" si="1429"/>
        <v>Candidatos electos por comuna</v>
      </c>
      <c r="L884" s="9" t="str">
        <f t="shared" si="1429"/>
        <v>Periodo 1990-2020</v>
      </c>
      <c r="M884" s="9" t="str">
        <f t="shared" si="1429"/>
        <v>Número de candidatos</v>
      </c>
      <c r="N884" s="9" t="str">
        <f t="shared" si="1429"/>
        <v>Servicio Electoral (SERVEL)</v>
      </c>
      <c r="O884" s="32" t="str">
        <f>+"Candidatos electos, Lista-Partido y Votación Obtenida a los cargos de Elección Popular, para 7 comunas en la "&amp;I884&amp;", "&amp;Agencia[[#This Row],[temporalidad]]</f>
        <v>Candidatos electos, Lista-Partido y Votación Obtenida a los cargos de Elección Popular, para 7 comunas en la Región de Coquimbo, Periodo 1990-2020</v>
      </c>
      <c r="P884" s="20"/>
      <c r="Q884" s="11" t="str">
        <f t="shared" si="1356"/>
        <v>Dashboard</v>
      </c>
      <c r="R884" s="20" t="str">
        <f>Agencia[[#This Row],[territorio]]&amp;" elecciones candidatos electos consejeros regionales senadores diputados alcaldes concejales cargos votación"</f>
        <v>Región de Coquimbo elecciones candidatos electos consejeros regionales senadores diputados alcaldes concejales cargos votación</v>
      </c>
      <c r="S884" s="22" t="s">
        <v>423</v>
      </c>
      <c r="T884" s="69" t="str">
        <f>"100-C-"&amp;Agencia[[#This Row],[Filtro URL]]</f>
        <v>100-C-4</v>
      </c>
      <c r="U884" s="50" t="str">
        <f t="shared" si="1349"/>
        <v>#1774B9</v>
      </c>
      <c r="V884" s="118" t="str">
        <f>+Agencia[[#This Row],[idcoleccion]]&amp;"-"&amp;Agencia[[#This Row],[id]]</f>
        <v>990-0873</v>
      </c>
      <c r="W884" s="118">
        <f>+VLOOKUP(Agencia[[#This Row],[Filtro URL]],Estructura!$X$4:$Y$500,2,0)</f>
        <v>99200004</v>
      </c>
      <c r="X884" s="118" t="str">
        <f>+VLOOKUP(Agencia[[#This Row],[tema]],Estructura!$A$4:$C$500,3,0)</f>
        <v>T-1020</v>
      </c>
      <c r="Y884" s="118" t="str">
        <f>+VLOOKUP(Agencia[[#This Row],[contenido]],Estructura!$E$4:$G$500,3,0)</f>
        <v>C-994</v>
      </c>
      <c r="Z884" s="118" t="str">
        <f>+VLOOKUP(Agencia[[#This Row],[Filtro Integrado]],Estructura!$I$4:$K$500,3,0)</f>
        <v>FI-991</v>
      </c>
      <c r="AA884" s="118" t="str">
        <f>+VLOOKUP(Agencia[[#This Row],[Muestra]],Estructura!$M$4:$O$500,3,0)</f>
        <v>M-1070</v>
      </c>
    </row>
    <row r="885" spans="1:27" ht="30.6" x14ac:dyDescent="0.3">
      <c r="A885" s="21" t="s">
        <v>1781</v>
      </c>
      <c r="B885" s="24">
        <f t="shared" ref="B885:D885" si="1430">+B884</f>
        <v>990</v>
      </c>
      <c r="C885" s="25" t="str">
        <f t="shared" si="1430"/>
        <v>Agencia Información</v>
      </c>
      <c r="D885" s="25" t="str">
        <f t="shared" si="1430"/>
        <v>Política y Gobierno</v>
      </c>
      <c r="E885" s="19">
        <v>5</v>
      </c>
      <c r="F885" s="18" t="s">
        <v>1663</v>
      </c>
      <c r="G885" s="18" t="s">
        <v>1653</v>
      </c>
      <c r="H885" s="35" t="s">
        <v>16</v>
      </c>
      <c r="I885" s="36" t="s">
        <v>372</v>
      </c>
      <c r="J885" s="9" t="str">
        <f t="shared" ref="J885:N885" si="1431">+J884</f>
        <v>Comuna</v>
      </c>
      <c r="K885" s="9" t="str">
        <f t="shared" si="1431"/>
        <v>Candidatos electos por comuna</v>
      </c>
      <c r="L885" s="9" t="str">
        <f t="shared" si="1431"/>
        <v>Periodo 1990-2020</v>
      </c>
      <c r="M885" s="9" t="str">
        <f t="shared" si="1431"/>
        <v>Número de candidatos</v>
      </c>
      <c r="N885" s="9" t="str">
        <f t="shared" si="1431"/>
        <v>Servicio Electoral (SERVEL)</v>
      </c>
      <c r="O885" s="32" t="str">
        <f>+"Candidatos electos, Lista-Partido y Votación Obtenida a los cargos de Elección Popular, para 7 comunas en la "&amp;I885&amp;", "&amp;Agencia[[#This Row],[temporalidad]]</f>
        <v>Candidatos electos, Lista-Partido y Votación Obtenida a los cargos de Elección Popular, para 7 comunas en la Región de Valparaíso, Periodo 1990-2020</v>
      </c>
      <c r="P885" s="20"/>
      <c r="Q885" s="11" t="str">
        <f t="shared" si="1356"/>
        <v>Dashboard</v>
      </c>
      <c r="R885" s="20" t="str">
        <f>Agencia[[#This Row],[territorio]]&amp;" elecciones candidatos electos consejeros regionales senadores diputados alcaldes concejales cargos votación"</f>
        <v>Región de Valparaíso elecciones candidatos electos consejeros regionales senadores diputados alcaldes concejales cargos votación</v>
      </c>
      <c r="S885" s="22" t="s">
        <v>423</v>
      </c>
      <c r="T885" s="69" t="str">
        <f>"100-C-"&amp;Agencia[[#This Row],[Filtro URL]]</f>
        <v>100-C-5</v>
      </c>
      <c r="U885" s="50" t="str">
        <f t="shared" si="1349"/>
        <v>#1774B9</v>
      </c>
      <c r="V885" s="118" t="str">
        <f>+Agencia[[#This Row],[idcoleccion]]&amp;"-"&amp;Agencia[[#This Row],[id]]</f>
        <v>990-0874</v>
      </c>
      <c r="W885" s="118">
        <f>+VLOOKUP(Agencia[[#This Row],[Filtro URL]],Estructura!$X$4:$Y$500,2,0)</f>
        <v>99200005</v>
      </c>
      <c r="X885" s="118" t="str">
        <f>+VLOOKUP(Agencia[[#This Row],[tema]],Estructura!$A$4:$C$500,3,0)</f>
        <v>T-1020</v>
      </c>
      <c r="Y885" s="118" t="str">
        <f>+VLOOKUP(Agencia[[#This Row],[contenido]],Estructura!$E$4:$G$500,3,0)</f>
        <v>C-994</v>
      </c>
      <c r="Z885" s="118" t="str">
        <f>+VLOOKUP(Agencia[[#This Row],[Filtro Integrado]],Estructura!$I$4:$K$500,3,0)</f>
        <v>FI-991</v>
      </c>
      <c r="AA885" s="118" t="str">
        <f>+VLOOKUP(Agencia[[#This Row],[Muestra]],Estructura!$M$4:$O$500,3,0)</f>
        <v>M-1070</v>
      </c>
    </row>
    <row r="886" spans="1:27" ht="30.6" x14ac:dyDescent="0.3">
      <c r="A886" s="21" t="s">
        <v>1782</v>
      </c>
      <c r="B886" s="24">
        <f t="shared" ref="B886:D886" si="1432">+B885</f>
        <v>990</v>
      </c>
      <c r="C886" s="25" t="str">
        <f t="shared" si="1432"/>
        <v>Agencia Información</v>
      </c>
      <c r="D886" s="25" t="str">
        <f t="shared" si="1432"/>
        <v>Política y Gobierno</v>
      </c>
      <c r="E886" s="19">
        <v>6</v>
      </c>
      <c r="F886" s="18" t="s">
        <v>1663</v>
      </c>
      <c r="G886" s="18" t="s">
        <v>1653</v>
      </c>
      <c r="H886" s="35" t="s">
        <v>16</v>
      </c>
      <c r="I886" s="36" t="s">
        <v>373</v>
      </c>
      <c r="J886" s="9" t="str">
        <f t="shared" ref="J886:N886" si="1433">+J885</f>
        <v>Comuna</v>
      </c>
      <c r="K886" s="9" t="str">
        <f t="shared" si="1433"/>
        <v>Candidatos electos por comuna</v>
      </c>
      <c r="L886" s="9" t="str">
        <f t="shared" si="1433"/>
        <v>Periodo 1990-2020</v>
      </c>
      <c r="M886" s="9" t="str">
        <f t="shared" si="1433"/>
        <v>Número de candidatos</v>
      </c>
      <c r="N886" s="9" t="str">
        <f t="shared" si="1433"/>
        <v>Servicio Electoral (SERVEL)</v>
      </c>
      <c r="O886" s="32" t="str">
        <f>+"Candidatos electos, Lista-Partido y Votación Obtenida a los cargos de Elección Popular, para 7 comunas en la "&amp;I886&amp;", "&amp;Agencia[[#This Row],[temporalidad]]</f>
        <v>Candidatos electos, Lista-Partido y Votación Obtenida a los cargos de Elección Popular, para 7 comunas en la Región de O'Higgins, Periodo 1990-2020</v>
      </c>
      <c r="P886" s="20"/>
      <c r="Q886" s="11" t="str">
        <f t="shared" si="1356"/>
        <v>Dashboard</v>
      </c>
      <c r="R886" s="20" t="str">
        <f>Agencia[[#This Row],[territorio]]&amp;" elecciones candidatos electos consejeros regionales senadores diputados alcaldes concejales cargos votación"</f>
        <v>Región de O'Higgins elecciones candidatos electos consejeros regionales senadores diputados alcaldes concejales cargos votación</v>
      </c>
      <c r="S886" s="22" t="s">
        <v>423</v>
      </c>
      <c r="T886" s="69" t="str">
        <f>"100-C-"&amp;Agencia[[#This Row],[Filtro URL]]</f>
        <v>100-C-6</v>
      </c>
      <c r="U886" s="50" t="str">
        <f t="shared" si="1349"/>
        <v>#1774B9</v>
      </c>
      <c r="V886" s="118" t="str">
        <f>+Agencia[[#This Row],[idcoleccion]]&amp;"-"&amp;Agencia[[#This Row],[id]]</f>
        <v>990-0875</v>
      </c>
      <c r="W886" s="118">
        <f>+VLOOKUP(Agencia[[#This Row],[Filtro URL]],Estructura!$X$4:$Y$500,2,0)</f>
        <v>99200006</v>
      </c>
      <c r="X886" s="118" t="str">
        <f>+VLOOKUP(Agencia[[#This Row],[tema]],Estructura!$A$4:$C$500,3,0)</f>
        <v>T-1020</v>
      </c>
      <c r="Y886" s="118" t="str">
        <f>+VLOOKUP(Agencia[[#This Row],[contenido]],Estructura!$E$4:$G$500,3,0)</f>
        <v>C-994</v>
      </c>
      <c r="Z886" s="118" t="str">
        <f>+VLOOKUP(Agencia[[#This Row],[Filtro Integrado]],Estructura!$I$4:$K$500,3,0)</f>
        <v>FI-991</v>
      </c>
      <c r="AA886" s="118" t="str">
        <f>+VLOOKUP(Agencia[[#This Row],[Muestra]],Estructura!$M$4:$O$500,3,0)</f>
        <v>M-1070</v>
      </c>
    </row>
    <row r="887" spans="1:27" ht="30.6" x14ac:dyDescent="0.3">
      <c r="A887" s="21" t="s">
        <v>1783</v>
      </c>
      <c r="B887" s="24">
        <f t="shared" ref="B887:D887" si="1434">+B886</f>
        <v>990</v>
      </c>
      <c r="C887" s="25" t="str">
        <f t="shared" si="1434"/>
        <v>Agencia Información</v>
      </c>
      <c r="D887" s="25" t="str">
        <f t="shared" si="1434"/>
        <v>Política y Gobierno</v>
      </c>
      <c r="E887" s="19">
        <v>7</v>
      </c>
      <c r="F887" s="18" t="s">
        <v>1663</v>
      </c>
      <c r="G887" s="18" t="s">
        <v>1653</v>
      </c>
      <c r="H887" s="35" t="s">
        <v>16</v>
      </c>
      <c r="I887" s="36" t="s">
        <v>374</v>
      </c>
      <c r="J887" s="9" t="str">
        <f t="shared" ref="J887:N887" si="1435">+J886</f>
        <v>Comuna</v>
      </c>
      <c r="K887" s="9" t="str">
        <f t="shared" si="1435"/>
        <v>Candidatos electos por comuna</v>
      </c>
      <c r="L887" s="9" t="str">
        <f t="shared" si="1435"/>
        <v>Periodo 1990-2020</v>
      </c>
      <c r="M887" s="9" t="str">
        <f t="shared" si="1435"/>
        <v>Número de candidatos</v>
      </c>
      <c r="N887" s="9" t="str">
        <f t="shared" si="1435"/>
        <v>Servicio Electoral (SERVEL)</v>
      </c>
      <c r="O887" s="32" t="str">
        <f>+"Candidatos electos, Lista-Partido y Votación Obtenida a los cargos de Elección Popular, para 7 comunas en la "&amp;I887&amp;", "&amp;Agencia[[#This Row],[temporalidad]]</f>
        <v>Candidatos electos, Lista-Partido y Votación Obtenida a los cargos de Elección Popular, para 7 comunas en la Región de Maule, Periodo 1990-2020</v>
      </c>
      <c r="P887" s="20"/>
      <c r="Q887" s="11" t="str">
        <f t="shared" si="1356"/>
        <v>Dashboard</v>
      </c>
      <c r="R887" s="20" t="str">
        <f>Agencia[[#This Row],[territorio]]&amp;" elecciones candidatos electos consejeros regionales senadores diputados alcaldes concejales cargos votación"</f>
        <v>Región de Maule elecciones candidatos electos consejeros regionales senadores diputados alcaldes concejales cargos votación</v>
      </c>
      <c r="S887" s="22" t="s">
        <v>423</v>
      </c>
      <c r="T887" s="69" t="str">
        <f>"100-C-"&amp;Agencia[[#This Row],[Filtro URL]]</f>
        <v>100-C-7</v>
      </c>
      <c r="U887" s="50" t="str">
        <f t="shared" si="1349"/>
        <v>#1774B9</v>
      </c>
      <c r="V887" s="118" t="str">
        <f>+Agencia[[#This Row],[idcoleccion]]&amp;"-"&amp;Agencia[[#This Row],[id]]</f>
        <v>990-0876</v>
      </c>
      <c r="W887" s="118">
        <f>+VLOOKUP(Agencia[[#This Row],[Filtro URL]],Estructura!$X$4:$Y$500,2,0)</f>
        <v>99200007</v>
      </c>
      <c r="X887" s="118" t="str">
        <f>+VLOOKUP(Agencia[[#This Row],[tema]],Estructura!$A$4:$C$500,3,0)</f>
        <v>T-1020</v>
      </c>
      <c r="Y887" s="118" t="str">
        <f>+VLOOKUP(Agencia[[#This Row],[contenido]],Estructura!$E$4:$G$500,3,0)</f>
        <v>C-994</v>
      </c>
      <c r="Z887" s="118" t="str">
        <f>+VLOOKUP(Agencia[[#This Row],[Filtro Integrado]],Estructura!$I$4:$K$500,3,0)</f>
        <v>FI-991</v>
      </c>
      <c r="AA887" s="118" t="str">
        <f>+VLOOKUP(Agencia[[#This Row],[Muestra]],Estructura!$M$4:$O$500,3,0)</f>
        <v>M-1070</v>
      </c>
    </row>
    <row r="888" spans="1:27" ht="30.6" x14ac:dyDescent="0.3">
      <c r="A888" s="21" t="s">
        <v>1784</v>
      </c>
      <c r="B888" s="24">
        <f t="shared" ref="B888:D888" si="1436">+B887</f>
        <v>990</v>
      </c>
      <c r="C888" s="25" t="str">
        <f t="shared" si="1436"/>
        <v>Agencia Información</v>
      </c>
      <c r="D888" s="25" t="str">
        <f t="shared" si="1436"/>
        <v>Política y Gobierno</v>
      </c>
      <c r="E888" s="19">
        <v>8</v>
      </c>
      <c r="F888" s="18" t="s">
        <v>1663</v>
      </c>
      <c r="G888" s="18" t="s">
        <v>1653</v>
      </c>
      <c r="H888" s="35" t="s">
        <v>16</v>
      </c>
      <c r="I888" s="36" t="s">
        <v>375</v>
      </c>
      <c r="J888" s="9" t="str">
        <f t="shared" ref="J888:N888" si="1437">+J887</f>
        <v>Comuna</v>
      </c>
      <c r="K888" s="9" t="str">
        <f t="shared" si="1437"/>
        <v>Candidatos electos por comuna</v>
      </c>
      <c r="L888" s="9" t="str">
        <f t="shared" si="1437"/>
        <v>Periodo 1990-2020</v>
      </c>
      <c r="M888" s="9" t="str">
        <f t="shared" si="1437"/>
        <v>Número de candidatos</v>
      </c>
      <c r="N888" s="9" t="str">
        <f t="shared" si="1437"/>
        <v>Servicio Electoral (SERVEL)</v>
      </c>
      <c r="O888" s="32" t="str">
        <f>+"Candidatos electos, Lista-Partido y Votación Obtenida a los cargos de Elección Popular, para 7 comunas en la "&amp;I888&amp;", "&amp;Agencia[[#This Row],[temporalidad]]</f>
        <v>Candidatos electos, Lista-Partido y Votación Obtenida a los cargos de Elección Popular, para 7 comunas en la Región del Biobío, Periodo 1990-2020</v>
      </c>
      <c r="P888" s="20"/>
      <c r="Q888" s="11" t="str">
        <f t="shared" si="1356"/>
        <v>Dashboard</v>
      </c>
      <c r="R888" s="20" t="str">
        <f>Agencia[[#This Row],[territorio]]&amp;" elecciones candidatos electos consejeros regionales senadores diputados alcaldes concejales cargos votación"</f>
        <v>Región del Biobío elecciones candidatos electos consejeros regionales senadores diputados alcaldes concejales cargos votación</v>
      </c>
      <c r="S888" s="22" t="s">
        <v>423</v>
      </c>
      <c r="T888" s="69" t="str">
        <f>"100-C-"&amp;Agencia[[#This Row],[Filtro URL]]</f>
        <v>100-C-8</v>
      </c>
      <c r="U888" s="50" t="str">
        <f t="shared" si="1349"/>
        <v>#1774B9</v>
      </c>
      <c r="V888" s="118" t="str">
        <f>+Agencia[[#This Row],[idcoleccion]]&amp;"-"&amp;Agencia[[#This Row],[id]]</f>
        <v>990-0877</v>
      </c>
      <c r="W888" s="118">
        <f>+VLOOKUP(Agencia[[#This Row],[Filtro URL]],Estructura!$X$4:$Y$500,2,0)</f>
        <v>99200008</v>
      </c>
      <c r="X888" s="118" t="str">
        <f>+VLOOKUP(Agencia[[#This Row],[tema]],Estructura!$A$4:$C$500,3,0)</f>
        <v>T-1020</v>
      </c>
      <c r="Y888" s="118" t="str">
        <f>+VLOOKUP(Agencia[[#This Row],[contenido]],Estructura!$E$4:$G$500,3,0)</f>
        <v>C-994</v>
      </c>
      <c r="Z888" s="118" t="str">
        <f>+VLOOKUP(Agencia[[#This Row],[Filtro Integrado]],Estructura!$I$4:$K$500,3,0)</f>
        <v>FI-991</v>
      </c>
      <c r="AA888" s="118" t="str">
        <f>+VLOOKUP(Agencia[[#This Row],[Muestra]],Estructura!$M$4:$O$500,3,0)</f>
        <v>M-1070</v>
      </c>
    </row>
    <row r="889" spans="1:27" ht="30.6" x14ac:dyDescent="0.3">
      <c r="A889" s="21" t="s">
        <v>1785</v>
      </c>
      <c r="B889" s="24">
        <f t="shared" ref="B889:D889" si="1438">+B888</f>
        <v>990</v>
      </c>
      <c r="C889" s="25" t="str">
        <f t="shared" si="1438"/>
        <v>Agencia Información</v>
      </c>
      <c r="D889" s="25" t="str">
        <f t="shared" si="1438"/>
        <v>Política y Gobierno</v>
      </c>
      <c r="E889" s="19">
        <v>9</v>
      </c>
      <c r="F889" s="18" t="s">
        <v>1663</v>
      </c>
      <c r="G889" s="18" t="s">
        <v>1653</v>
      </c>
      <c r="H889" s="35" t="s">
        <v>16</v>
      </c>
      <c r="I889" s="36" t="s">
        <v>376</v>
      </c>
      <c r="J889" s="9" t="str">
        <f t="shared" ref="J889:N889" si="1439">+J888</f>
        <v>Comuna</v>
      </c>
      <c r="K889" s="9" t="str">
        <f t="shared" si="1439"/>
        <v>Candidatos electos por comuna</v>
      </c>
      <c r="L889" s="9" t="str">
        <f t="shared" si="1439"/>
        <v>Periodo 1990-2020</v>
      </c>
      <c r="M889" s="9" t="str">
        <f t="shared" si="1439"/>
        <v>Número de candidatos</v>
      </c>
      <c r="N889" s="9" t="str">
        <f t="shared" si="1439"/>
        <v>Servicio Electoral (SERVEL)</v>
      </c>
      <c r="O889" s="32" t="str">
        <f>+"Candidatos electos, Lista-Partido y Votación Obtenida a los cargos de Elección Popular, para 7 comunas en la "&amp;I889&amp;", "&amp;Agencia[[#This Row],[temporalidad]]</f>
        <v>Candidatos electos, Lista-Partido y Votación Obtenida a los cargos de Elección Popular, para 7 comunas en la Región de La Araucanía, Periodo 1990-2020</v>
      </c>
      <c r="P889" s="20"/>
      <c r="Q889" s="11" t="str">
        <f t="shared" si="1356"/>
        <v>Dashboard</v>
      </c>
      <c r="R889" s="20" t="str">
        <f>Agencia[[#This Row],[territorio]]&amp;" elecciones candidatos electos consejeros regionales senadores diputados alcaldes concejales cargos votación"</f>
        <v>Región de La Araucanía elecciones candidatos electos consejeros regionales senadores diputados alcaldes concejales cargos votación</v>
      </c>
      <c r="S889" s="22" t="s">
        <v>423</v>
      </c>
      <c r="T889" s="69" t="str">
        <f>"100-C-"&amp;Agencia[[#This Row],[Filtro URL]]</f>
        <v>100-C-9</v>
      </c>
      <c r="U889" s="50" t="str">
        <f t="shared" si="1349"/>
        <v>#1774B9</v>
      </c>
      <c r="V889" s="118" t="str">
        <f>+Agencia[[#This Row],[idcoleccion]]&amp;"-"&amp;Agencia[[#This Row],[id]]</f>
        <v>990-0878</v>
      </c>
      <c r="W889" s="118">
        <f>+VLOOKUP(Agencia[[#This Row],[Filtro URL]],Estructura!$X$4:$Y$500,2,0)</f>
        <v>99200009</v>
      </c>
      <c r="X889" s="118" t="str">
        <f>+VLOOKUP(Agencia[[#This Row],[tema]],Estructura!$A$4:$C$500,3,0)</f>
        <v>T-1020</v>
      </c>
      <c r="Y889" s="118" t="str">
        <f>+VLOOKUP(Agencia[[#This Row],[contenido]],Estructura!$E$4:$G$500,3,0)</f>
        <v>C-994</v>
      </c>
      <c r="Z889" s="118" t="str">
        <f>+VLOOKUP(Agencia[[#This Row],[Filtro Integrado]],Estructura!$I$4:$K$500,3,0)</f>
        <v>FI-991</v>
      </c>
      <c r="AA889" s="118" t="str">
        <f>+VLOOKUP(Agencia[[#This Row],[Muestra]],Estructura!$M$4:$O$500,3,0)</f>
        <v>M-1070</v>
      </c>
    </row>
    <row r="890" spans="1:27" ht="30.6" x14ac:dyDescent="0.3">
      <c r="A890" s="21" t="s">
        <v>1786</v>
      </c>
      <c r="B890" s="24">
        <f t="shared" ref="B890:D890" si="1440">+B889</f>
        <v>990</v>
      </c>
      <c r="C890" s="25" t="str">
        <f t="shared" si="1440"/>
        <v>Agencia Información</v>
      </c>
      <c r="D890" s="25" t="str">
        <f t="shared" si="1440"/>
        <v>Política y Gobierno</v>
      </c>
      <c r="E890" s="19">
        <v>10</v>
      </c>
      <c r="F890" s="18" t="s">
        <v>1663</v>
      </c>
      <c r="G890" s="18" t="s">
        <v>1653</v>
      </c>
      <c r="H890" s="35" t="s">
        <v>16</v>
      </c>
      <c r="I890" s="36" t="s">
        <v>377</v>
      </c>
      <c r="J890" s="9" t="str">
        <f t="shared" ref="J890:N890" si="1441">+J889</f>
        <v>Comuna</v>
      </c>
      <c r="K890" s="9" t="str">
        <f t="shared" si="1441"/>
        <v>Candidatos electos por comuna</v>
      </c>
      <c r="L890" s="9" t="str">
        <f t="shared" si="1441"/>
        <v>Periodo 1990-2020</v>
      </c>
      <c r="M890" s="9" t="str">
        <f t="shared" si="1441"/>
        <v>Número de candidatos</v>
      </c>
      <c r="N890" s="9" t="str">
        <f t="shared" si="1441"/>
        <v>Servicio Electoral (SERVEL)</v>
      </c>
      <c r="O890" s="32" t="str">
        <f>+"Candidatos electos, Lista-Partido y Votación Obtenida a los cargos de Elección Popular, para 7 comunas en la "&amp;I890&amp;", "&amp;Agencia[[#This Row],[temporalidad]]</f>
        <v>Candidatos electos, Lista-Partido y Votación Obtenida a los cargos de Elección Popular, para 7 comunas en la Región de Los Lagos, Periodo 1990-2020</v>
      </c>
      <c r="P890" s="20"/>
      <c r="Q890" s="11" t="str">
        <f t="shared" si="1356"/>
        <v>Dashboard</v>
      </c>
      <c r="R890" s="20" t="str">
        <f>Agencia[[#This Row],[territorio]]&amp;" elecciones candidatos electos consejeros regionales senadores diputados alcaldes concejales cargos votación"</f>
        <v>Región de Los Lagos elecciones candidatos electos consejeros regionales senadores diputados alcaldes concejales cargos votación</v>
      </c>
      <c r="S890" s="22" t="s">
        <v>423</v>
      </c>
      <c r="T890" s="69" t="str">
        <f>"100-C-"&amp;Agencia[[#This Row],[Filtro URL]]</f>
        <v>100-C-10</v>
      </c>
      <c r="U890" s="50" t="str">
        <f t="shared" si="1349"/>
        <v>#1774B9</v>
      </c>
      <c r="V890" s="118" t="str">
        <f>+Agencia[[#This Row],[idcoleccion]]&amp;"-"&amp;Agencia[[#This Row],[id]]</f>
        <v>990-0879</v>
      </c>
      <c r="W890" s="118">
        <f>+VLOOKUP(Agencia[[#This Row],[Filtro URL]],Estructura!$X$4:$Y$500,2,0)</f>
        <v>99200010</v>
      </c>
      <c r="X890" s="118" t="str">
        <f>+VLOOKUP(Agencia[[#This Row],[tema]],Estructura!$A$4:$C$500,3,0)</f>
        <v>T-1020</v>
      </c>
      <c r="Y890" s="118" t="str">
        <f>+VLOOKUP(Agencia[[#This Row],[contenido]],Estructura!$E$4:$G$500,3,0)</f>
        <v>C-994</v>
      </c>
      <c r="Z890" s="118" t="str">
        <f>+VLOOKUP(Agencia[[#This Row],[Filtro Integrado]],Estructura!$I$4:$K$500,3,0)</f>
        <v>FI-991</v>
      </c>
      <c r="AA890" s="118" t="str">
        <f>+VLOOKUP(Agencia[[#This Row],[Muestra]],Estructura!$M$4:$O$500,3,0)</f>
        <v>M-1070</v>
      </c>
    </row>
    <row r="891" spans="1:27" ht="30.6" x14ac:dyDescent="0.3">
      <c r="A891" s="21" t="s">
        <v>1787</v>
      </c>
      <c r="B891" s="24">
        <f t="shared" ref="B891:D891" si="1442">+B890</f>
        <v>990</v>
      </c>
      <c r="C891" s="25" t="str">
        <f t="shared" si="1442"/>
        <v>Agencia Información</v>
      </c>
      <c r="D891" s="25" t="str">
        <f t="shared" si="1442"/>
        <v>Política y Gobierno</v>
      </c>
      <c r="E891" s="19">
        <v>11</v>
      </c>
      <c r="F891" s="18" t="s">
        <v>1663</v>
      </c>
      <c r="G891" s="18" t="s">
        <v>1653</v>
      </c>
      <c r="H891" s="35" t="s">
        <v>16</v>
      </c>
      <c r="I891" s="36" t="s">
        <v>378</v>
      </c>
      <c r="J891" s="9" t="str">
        <f t="shared" ref="J891:N891" si="1443">+J890</f>
        <v>Comuna</v>
      </c>
      <c r="K891" s="9" t="str">
        <f t="shared" si="1443"/>
        <v>Candidatos electos por comuna</v>
      </c>
      <c r="L891" s="9" t="str">
        <f t="shared" si="1443"/>
        <v>Periodo 1990-2020</v>
      </c>
      <c r="M891" s="9" t="str">
        <f t="shared" si="1443"/>
        <v>Número de candidatos</v>
      </c>
      <c r="N891" s="9" t="str">
        <f t="shared" si="1443"/>
        <v>Servicio Electoral (SERVEL)</v>
      </c>
      <c r="O891" s="32" t="str">
        <f>+"Candidatos electos, Lista-Partido y Votación Obtenida a los cargos de Elección Popular, para 7 comunas en la "&amp;I891&amp;", "&amp;Agencia[[#This Row],[temporalidad]]</f>
        <v>Candidatos electos, Lista-Partido y Votación Obtenida a los cargos de Elección Popular, para 7 comunas en la Región de Aysén, Periodo 1990-2020</v>
      </c>
      <c r="P891" s="20"/>
      <c r="Q891" s="11" t="str">
        <f t="shared" si="1356"/>
        <v>Dashboard</v>
      </c>
      <c r="R891" s="20" t="str">
        <f>Agencia[[#This Row],[territorio]]&amp;" elecciones candidatos electos consejeros regionales senadores diputados alcaldes concejales cargos votación"</f>
        <v>Región de Aysén elecciones candidatos electos consejeros regionales senadores diputados alcaldes concejales cargos votación</v>
      </c>
      <c r="S891" s="22" t="s">
        <v>423</v>
      </c>
      <c r="T891" s="69" t="str">
        <f>"100-C-"&amp;Agencia[[#This Row],[Filtro URL]]</f>
        <v>100-C-11</v>
      </c>
      <c r="U891" s="50" t="str">
        <f t="shared" si="1349"/>
        <v>#1774B9</v>
      </c>
      <c r="V891" s="118" t="str">
        <f>+Agencia[[#This Row],[idcoleccion]]&amp;"-"&amp;Agencia[[#This Row],[id]]</f>
        <v>990-0880</v>
      </c>
      <c r="W891" s="118">
        <f>+VLOOKUP(Agencia[[#This Row],[Filtro URL]],Estructura!$X$4:$Y$500,2,0)</f>
        <v>99200011</v>
      </c>
      <c r="X891" s="118" t="str">
        <f>+VLOOKUP(Agencia[[#This Row],[tema]],Estructura!$A$4:$C$500,3,0)</f>
        <v>T-1020</v>
      </c>
      <c r="Y891" s="118" t="str">
        <f>+VLOOKUP(Agencia[[#This Row],[contenido]],Estructura!$E$4:$G$500,3,0)</f>
        <v>C-994</v>
      </c>
      <c r="Z891" s="118" t="str">
        <f>+VLOOKUP(Agencia[[#This Row],[Filtro Integrado]],Estructura!$I$4:$K$500,3,0)</f>
        <v>FI-991</v>
      </c>
      <c r="AA891" s="118" t="str">
        <f>+VLOOKUP(Agencia[[#This Row],[Muestra]],Estructura!$M$4:$O$500,3,0)</f>
        <v>M-1070</v>
      </c>
    </row>
    <row r="892" spans="1:27" ht="30.6" x14ac:dyDescent="0.3">
      <c r="A892" s="21" t="s">
        <v>1788</v>
      </c>
      <c r="B892" s="24">
        <f t="shared" ref="B892:D892" si="1444">+B891</f>
        <v>990</v>
      </c>
      <c r="C892" s="25" t="str">
        <f t="shared" si="1444"/>
        <v>Agencia Información</v>
      </c>
      <c r="D892" s="25" t="str">
        <f t="shared" si="1444"/>
        <v>Política y Gobierno</v>
      </c>
      <c r="E892" s="19">
        <v>12</v>
      </c>
      <c r="F892" s="18" t="s">
        <v>1663</v>
      </c>
      <c r="G892" s="18" t="s">
        <v>1653</v>
      </c>
      <c r="H892" s="35" t="s">
        <v>16</v>
      </c>
      <c r="I892" s="36" t="s">
        <v>379</v>
      </c>
      <c r="J892" s="9" t="str">
        <f t="shared" ref="J892:N892" si="1445">+J891</f>
        <v>Comuna</v>
      </c>
      <c r="K892" s="9" t="str">
        <f t="shared" si="1445"/>
        <v>Candidatos electos por comuna</v>
      </c>
      <c r="L892" s="9" t="str">
        <f t="shared" si="1445"/>
        <v>Periodo 1990-2020</v>
      </c>
      <c r="M892" s="9" t="str">
        <f t="shared" si="1445"/>
        <v>Número de candidatos</v>
      </c>
      <c r="N892" s="9" t="str">
        <f t="shared" si="1445"/>
        <v>Servicio Electoral (SERVEL)</v>
      </c>
      <c r="O892" s="32" t="str">
        <f>+"Candidatos electos, Lista-Partido y Votación Obtenida a los cargos de Elección Popular, para 7 comunas en la "&amp;I892&amp;", "&amp;Agencia[[#This Row],[temporalidad]]</f>
        <v>Candidatos electos, Lista-Partido y Votación Obtenida a los cargos de Elección Popular, para 7 comunas en la Región de Magallanes, Periodo 1990-2020</v>
      </c>
      <c r="P892" s="20"/>
      <c r="Q892" s="11" t="str">
        <f t="shared" si="1356"/>
        <v>Dashboard</v>
      </c>
      <c r="R892" s="20" t="str">
        <f>Agencia[[#This Row],[territorio]]&amp;" elecciones candidatos electos consejeros regionales senadores diputados alcaldes concejales cargos votación"</f>
        <v>Región de Magallanes elecciones candidatos electos consejeros regionales senadores diputados alcaldes concejales cargos votación</v>
      </c>
      <c r="S892" s="22" t="s">
        <v>423</v>
      </c>
      <c r="T892" s="69" t="str">
        <f>"100-C-"&amp;Agencia[[#This Row],[Filtro URL]]</f>
        <v>100-C-12</v>
      </c>
      <c r="U892" s="50" t="str">
        <f t="shared" si="1349"/>
        <v>#1774B9</v>
      </c>
      <c r="V892" s="118" t="str">
        <f>+Agencia[[#This Row],[idcoleccion]]&amp;"-"&amp;Agencia[[#This Row],[id]]</f>
        <v>990-0881</v>
      </c>
      <c r="W892" s="118">
        <f>+VLOOKUP(Agencia[[#This Row],[Filtro URL]],Estructura!$X$4:$Y$500,2,0)</f>
        <v>99200012</v>
      </c>
      <c r="X892" s="118" t="str">
        <f>+VLOOKUP(Agencia[[#This Row],[tema]],Estructura!$A$4:$C$500,3,0)</f>
        <v>T-1020</v>
      </c>
      <c r="Y892" s="118" t="str">
        <f>+VLOOKUP(Agencia[[#This Row],[contenido]],Estructura!$E$4:$G$500,3,0)</f>
        <v>C-994</v>
      </c>
      <c r="Z892" s="118" t="str">
        <f>+VLOOKUP(Agencia[[#This Row],[Filtro Integrado]],Estructura!$I$4:$K$500,3,0)</f>
        <v>FI-991</v>
      </c>
      <c r="AA892" s="118" t="str">
        <f>+VLOOKUP(Agencia[[#This Row],[Muestra]],Estructura!$M$4:$O$500,3,0)</f>
        <v>M-1070</v>
      </c>
    </row>
    <row r="893" spans="1:27" ht="40.799999999999997" x14ac:dyDescent="0.3">
      <c r="A893" s="21" t="s">
        <v>1789</v>
      </c>
      <c r="B893" s="24">
        <f t="shared" ref="B893:D893" si="1446">+B892</f>
        <v>990</v>
      </c>
      <c r="C893" s="25" t="str">
        <f t="shared" si="1446"/>
        <v>Agencia Información</v>
      </c>
      <c r="D893" s="25" t="str">
        <f t="shared" si="1446"/>
        <v>Política y Gobierno</v>
      </c>
      <c r="E893" s="19">
        <v>13</v>
      </c>
      <c r="F893" s="18" t="s">
        <v>1663</v>
      </c>
      <c r="G893" s="18" t="s">
        <v>1653</v>
      </c>
      <c r="H893" s="35" t="s">
        <v>16</v>
      </c>
      <c r="I893" s="36" t="s">
        <v>380</v>
      </c>
      <c r="J893" s="9" t="str">
        <f t="shared" ref="J893:N893" si="1447">+J892</f>
        <v>Comuna</v>
      </c>
      <c r="K893" s="9" t="str">
        <f t="shared" si="1447"/>
        <v>Candidatos electos por comuna</v>
      </c>
      <c r="L893" s="9" t="str">
        <f t="shared" si="1447"/>
        <v>Periodo 1990-2020</v>
      </c>
      <c r="M893" s="9" t="str">
        <f t="shared" si="1447"/>
        <v>Número de candidatos</v>
      </c>
      <c r="N893" s="9" t="str">
        <f t="shared" si="1447"/>
        <v>Servicio Electoral (SERVEL)</v>
      </c>
      <c r="O893" s="45" t="str">
        <f>+"Candidatos electos, Lista-Partido y Votación Obtenida a los cargos de Elección Popular, para 7 comunas en la "&amp;I893&amp;", "&amp;Agencia[[#This Row],[temporalidad]]</f>
        <v>Candidatos electos, Lista-Partido y Votación Obtenida a los cargos de Elección Popular, para 7 comunas en la Región Metropolitana, Periodo 1990-2020</v>
      </c>
      <c r="P893" s="20" t="s">
        <v>1654</v>
      </c>
      <c r="Q893" s="11" t="str">
        <f t="shared" si="1356"/>
        <v>Dashboard</v>
      </c>
      <c r="R893" s="20" t="str">
        <f>Agencia[[#This Row],[territorio]]&amp;" elecciones candidatos electos consejeros regionales senadores diputados alcaldes concejales cargos votación"</f>
        <v>Región Metropolitana elecciones candidatos electos consejeros regionales senadores diputados alcaldes concejales cargos votación</v>
      </c>
      <c r="S893" s="22" t="s">
        <v>1655</v>
      </c>
      <c r="T893" s="69" t="str">
        <f>"200-C-"&amp;Agencia[[#This Row],[Filtro URL]]</f>
        <v>200-C-13</v>
      </c>
      <c r="U893" s="50" t="str">
        <f t="shared" si="1349"/>
        <v>#1774B9</v>
      </c>
      <c r="V893" s="118" t="str">
        <f>+Agencia[[#This Row],[idcoleccion]]&amp;"-"&amp;Agencia[[#This Row],[id]]</f>
        <v>990-0882</v>
      </c>
      <c r="W893" s="118">
        <f>+VLOOKUP(Agencia[[#This Row],[Filtro URL]],Estructura!$X$4:$Y$500,2,0)</f>
        <v>99200013</v>
      </c>
      <c r="X893" s="118" t="str">
        <f>+VLOOKUP(Agencia[[#This Row],[tema]],Estructura!$A$4:$C$500,3,0)</f>
        <v>T-1020</v>
      </c>
      <c r="Y893" s="118" t="str">
        <f>+VLOOKUP(Agencia[[#This Row],[contenido]],Estructura!$E$4:$G$500,3,0)</f>
        <v>C-994</v>
      </c>
      <c r="Z893" s="118" t="str">
        <f>+VLOOKUP(Agencia[[#This Row],[Filtro Integrado]],Estructura!$I$4:$K$500,3,0)</f>
        <v>FI-991</v>
      </c>
      <c r="AA893" s="118" t="str">
        <f>+VLOOKUP(Agencia[[#This Row],[Muestra]],Estructura!$M$4:$O$500,3,0)</f>
        <v>M-1070</v>
      </c>
    </row>
    <row r="894" spans="1:27" ht="30.6" x14ac:dyDescent="0.3">
      <c r="A894" s="21" t="s">
        <v>1790</v>
      </c>
      <c r="B894" s="24">
        <f t="shared" ref="B894:D894" si="1448">+B893</f>
        <v>990</v>
      </c>
      <c r="C894" s="25" t="str">
        <f t="shared" si="1448"/>
        <v>Agencia Información</v>
      </c>
      <c r="D894" s="25" t="str">
        <f t="shared" si="1448"/>
        <v>Política y Gobierno</v>
      </c>
      <c r="E894" s="19">
        <v>14</v>
      </c>
      <c r="F894" s="18" t="s">
        <v>1663</v>
      </c>
      <c r="G894" s="18" t="s">
        <v>1653</v>
      </c>
      <c r="H894" s="35" t="s">
        <v>16</v>
      </c>
      <c r="I894" s="36" t="s">
        <v>381</v>
      </c>
      <c r="J894" s="9" t="str">
        <f t="shared" ref="J894:N894" si="1449">+J893</f>
        <v>Comuna</v>
      </c>
      <c r="K894" s="9" t="str">
        <f t="shared" si="1449"/>
        <v>Candidatos electos por comuna</v>
      </c>
      <c r="L894" s="9" t="str">
        <f t="shared" si="1449"/>
        <v>Periodo 1990-2020</v>
      </c>
      <c r="M894" s="9" t="str">
        <f t="shared" si="1449"/>
        <v>Número de candidatos</v>
      </c>
      <c r="N894" s="9" t="str">
        <f t="shared" si="1449"/>
        <v>Servicio Electoral (SERVEL)</v>
      </c>
      <c r="O894" s="32" t="str">
        <f>+"Candidatos electos, Lista-Partido y Votación Obtenida a los cargos de Elección Popular, para 7 comunas en la "&amp;I894&amp;", "&amp;Agencia[[#This Row],[temporalidad]]</f>
        <v>Candidatos electos, Lista-Partido y Votación Obtenida a los cargos de Elección Popular, para 7 comunas en la Región de Los Ríos, Periodo 1990-2020</v>
      </c>
      <c r="P894" s="20"/>
      <c r="Q894" s="11" t="str">
        <f t="shared" si="1356"/>
        <v>Dashboard</v>
      </c>
      <c r="R894" s="20" t="str">
        <f>Agencia[[#This Row],[territorio]]&amp;" elecciones candidatos electos consejeros regionales senadores diputados alcaldes concejales cargos votación"</f>
        <v>Región de Los Ríos elecciones candidatos electos consejeros regionales senadores diputados alcaldes concejales cargos votación</v>
      </c>
      <c r="S894" s="22" t="s">
        <v>423</v>
      </c>
      <c r="T894" s="69" t="str">
        <f>"100-C-"&amp;Agencia[[#This Row],[Filtro URL]]</f>
        <v>100-C-14</v>
      </c>
      <c r="U894" s="50" t="str">
        <f t="shared" si="1349"/>
        <v>#1774B9</v>
      </c>
      <c r="V894" s="118" t="str">
        <f>+Agencia[[#This Row],[idcoleccion]]&amp;"-"&amp;Agencia[[#This Row],[id]]</f>
        <v>990-0883</v>
      </c>
      <c r="W894" s="118">
        <f>+VLOOKUP(Agencia[[#This Row],[Filtro URL]],Estructura!$X$4:$Y$500,2,0)</f>
        <v>99200014</v>
      </c>
      <c r="X894" s="118" t="str">
        <f>+VLOOKUP(Agencia[[#This Row],[tema]],Estructura!$A$4:$C$500,3,0)</f>
        <v>T-1020</v>
      </c>
      <c r="Y894" s="118" t="str">
        <f>+VLOOKUP(Agencia[[#This Row],[contenido]],Estructura!$E$4:$G$500,3,0)</f>
        <v>C-994</v>
      </c>
      <c r="Z894" s="118" t="str">
        <f>+VLOOKUP(Agencia[[#This Row],[Filtro Integrado]],Estructura!$I$4:$K$500,3,0)</f>
        <v>FI-991</v>
      </c>
      <c r="AA894" s="118" t="str">
        <f>+VLOOKUP(Agencia[[#This Row],[Muestra]],Estructura!$M$4:$O$500,3,0)</f>
        <v>M-1070</v>
      </c>
    </row>
    <row r="895" spans="1:27" ht="40.799999999999997" x14ac:dyDescent="0.3">
      <c r="A895" s="21" t="s">
        <v>1791</v>
      </c>
      <c r="B895" s="24">
        <f t="shared" ref="B895:D895" si="1450">+B894</f>
        <v>990</v>
      </c>
      <c r="C895" s="25" t="str">
        <f t="shared" si="1450"/>
        <v>Agencia Información</v>
      </c>
      <c r="D895" s="25" t="str">
        <f t="shared" si="1450"/>
        <v>Política y Gobierno</v>
      </c>
      <c r="E895" s="19">
        <v>15</v>
      </c>
      <c r="F895" s="18" t="s">
        <v>1663</v>
      </c>
      <c r="G895" s="18" t="s">
        <v>1653</v>
      </c>
      <c r="H895" s="35" t="s">
        <v>16</v>
      </c>
      <c r="I895" s="36" t="s">
        <v>382</v>
      </c>
      <c r="J895" s="9" t="str">
        <f t="shared" ref="J895:N895" si="1451">+J894</f>
        <v>Comuna</v>
      </c>
      <c r="K895" s="9" t="str">
        <f t="shared" si="1451"/>
        <v>Candidatos electos por comuna</v>
      </c>
      <c r="L895" s="9" t="str">
        <f t="shared" si="1451"/>
        <v>Periodo 1990-2020</v>
      </c>
      <c r="M895" s="9" t="str">
        <f t="shared" si="1451"/>
        <v>Número de candidatos</v>
      </c>
      <c r="N895" s="9" t="str">
        <f t="shared" si="1451"/>
        <v>Servicio Electoral (SERVEL)</v>
      </c>
      <c r="O895" s="32" t="str">
        <f>+"Candidatos electos, Lista-Partido y Votación Obtenida a los cargos de Elección Popular, para 7 comunas en la "&amp;I895&amp;", "&amp;Agencia[[#This Row],[temporalidad]]</f>
        <v>Candidatos electos, Lista-Partido y Votación Obtenida a los cargos de Elección Popular, para 7 comunas en la Región de Arica y Parinacota, Periodo 1990-2020</v>
      </c>
      <c r="P895" s="20"/>
      <c r="Q895" s="11" t="str">
        <f t="shared" si="1356"/>
        <v>Dashboard</v>
      </c>
      <c r="R895" s="20" t="str">
        <f>Agencia[[#This Row],[territorio]]&amp;" elecciones candidatos electos consejeros regionales senadores diputados alcaldes concejales cargos votación"</f>
        <v>Región de Arica y Parinacota elecciones candidatos electos consejeros regionales senadores diputados alcaldes concejales cargos votación</v>
      </c>
      <c r="S895" s="22" t="s">
        <v>423</v>
      </c>
      <c r="T895" s="69" t="str">
        <f>"100-C-"&amp;Agencia[[#This Row],[Filtro URL]]</f>
        <v>100-C-15</v>
      </c>
      <c r="U895" s="50" t="str">
        <f t="shared" si="1349"/>
        <v>#1774B9</v>
      </c>
      <c r="V895" s="118" t="str">
        <f>+Agencia[[#This Row],[idcoleccion]]&amp;"-"&amp;Agencia[[#This Row],[id]]</f>
        <v>990-0884</v>
      </c>
      <c r="W895" s="118">
        <f>+VLOOKUP(Agencia[[#This Row],[Filtro URL]],Estructura!$X$4:$Y$500,2,0)</f>
        <v>99200015</v>
      </c>
      <c r="X895" s="118" t="str">
        <f>+VLOOKUP(Agencia[[#This Row],[tema]],Estructura!$A$4:$C$500,3,0)</f>
        <v>T-1020</v>
      </c>
      <c r="Y895" s="118" t="str">
        <f>+VLOOKUP(Agencia[[#This Row],[contenido]],Estructura!$E$4:$G$500,3,0)</f>
        <v>C-994</v>
      </c>
      <c r="Z895" s="118" t="str">
        <f>+VLOOKUP(Agencia[[#This Row],[Filtro Integrado]],Estructura!$I$4:$K$500,3,0)</f>
        <v>FI-991</v>
      </c>
      <c r="AA895" s="118" t="str">
        <f>+VLOOKUP(Agencia[[#This Row],[Muestra]],Estructura!$M$4:$O$500,3,0)</f>
        <v>M-1070</v>
      </c>
    </row>
    <row r="896" spans="1:27" ht="30.6" x14ac:dyDescent="0.3">
      <c r="A896" s="21" t="s">
        <v>1792</v>
      </c>
      <c r="B896" s="24">
        <f t="shared" ref="B896:D896" si="1452">+B895</f>
        <v>990</v>
      </c>
      <c r="C896" s="25" t="str">
        <f t="shared" si="1452"/>
        <v>Agencia Información</v>
      </c>
      <c r="D896" s="25" t="str">
        <f t="shared" si="1452"/>
        <v>Política y Gobierno</v>
      </c>
      <c r="E896" s="19">
        <v>16</v>
      </c>
      <c r="F896" s="18" t="s">
        <v>1663</v>
      </c>
      <c r="G896" s="18" t="s">
        <v>1653</v>
      </c>
      <c r="H896" s="35" t="s">
        <v>16</v>
      </c>
      <c r="I896" s="36" t="s">
        <v>383</v>
      </c>
      <c r="J896" s="9" t="str">
        <f t="shared" ref="J896:N896" si="1453">+J895</f>
        <v>Comuna</v>
      </c>
      <c r="K896" s="9" t="str">
        <f t="shared" si="1453"/>
        <v>Candidatos electos por comuna</v>
      </c>
      <c r="L896" s="9" t="str">
        <f t="shared" si="1453"/>
        <v>Periodo 1990-2020</v>
      </c>
      <c r="M896" s="9" t="str">
        <f t="shared" si="1453"/>
        <v>Número de candidatos</v>
      </c>
      <c r="N896" s="9" t="str">
        <f t="shared" si="1453"/>
        <v>Servicio Electoral (SERVEL)</v>
      </c>
      <c r="O896" s="32" t="str">
        <f>+"Candidatos electos, Lista-Partido y Votación Obtenida a los cargos de Elección Popular, para 7 comunas en la "&amp;I896&amp;", "&amp;Agencia[[#This Row],[temporalidad]]</f>
        <v>Candidatos electos, Lista-Partido y Votación Obtenida a los cargos de Elección Popular, para 7 comunas en la Región de Ñuble, Periodo 1990-2020</v>
      </c>
      <c r="P896" s="20"/>
      <c r="Q896" s="11" t="str">
        <f t="shared" si="1356"/>
        <v>Dashboard</v>
      </c>
      <c r="R896" s="20" t="str">
        <f>Agencia[[#This Row],[territorio]]&amp;" elecciones candidatos electos consejeros regionales senadores diputados alcaldes concejales cargos votación"</f>
        <v>Región de Ñuble elecciones candidatos electos consejeros regionales senadores diputados alcaldes concejales cargos votación</v>
      </c>
      <c r="S896" s="22" t="s">
        <v>423</v>
      </c>
      <c r="T896" s="69" t="str">
        <f>"100-C-"&amp;Agencia[[#This Row],[Filtro URL]]</f>
        <v>100-C-16</v>
      </c>
      <c r="U896" s="50" t="str">
        <f t="shared" si="1349"/>
        <v>#1774B9</v>
      </c>
      <c r="V896" s="118" t="str">
        <f>+Agencia[[#This Row],[idcoleccion]]&amp;"-"&amp;Agencia[[#This Row],[id]]</f>
        <v>990-0885</v>
      </c>
      <c r="W896" s="118">
        <f>+VLOOKUP(Agencia[[#This Row],[Filtro URL]],Estructura!$X$4:$Y$500,2,0)</f>
        <v>99200016</v>
      </c>
      <c r="X896" s="118" t="str">
        <f>+VLOOKUP(Agencia[[#This Row],[tema]],Estructura!$A$4:$C$500,3,0)</f>
        <v>T-1020</v>
      </c>
      <c r="Y896" s="118" t="str">
        <f>+VLOOKUP(Agencia[[#This Row],[contenido]],Estructura!$E$4:$G$500,3,0)</f>
        <v>C-994</v>
      </c>
      <c r="Z896" s="118" t="str">
        <f>+VLOOKUP(Agencia[[#This Row],[Filtro Integrado]],Estructura!$I$4:$K$500,3,0)</f>
        <v>FI-991</v>
      </c>
      <c r="AA896" s="118" t="str">
        <f>+VLOOKUP(Agencia[[#This Row],[Muestra]],Estructura!$M$4:$O$500,3,0)</f>
        <v>M-1070</v>
      </c>
    </row>
    <row r="897" spans="1:27" ht="51" x14ac:dyDescent="0.3">
      <c r="A897" s="21" t="s">
        <v>1793</v>
      </c>
      <c r="B897" s="24">
        <f t="shared" ref="B897:C897" si="1454">+B896</f>
        <v>990</v>
      </c>
      <c r="C897" s="25" t="str">
        <f t="shared" si="1454"/>
        <v>Agencia Información</v>
      </c>
      <c r="D897" s="25" t="s">
        <v>597</v>
      </c>
      <c r="E897" s="14">
        <v>0</v>
      </c>
      <c r="F897" s="18" t="s">
        <v>1664</v>
      </c>
      <c r="G897" s="18" t="s">
        <v>1653</v>
      </c>
      <c r="H897" s="33" t="s">
        <v>20</v>
      </c>
      <c r="I897" s="34" t="s">
        <v>15</v>
      </c>
      <c r="J897" s="9" t="s">
        <v>1032</v>
      </c>
      <c r="K897" s="9" t="s">
        <v>1662</v>
      </c>
      <c r="L897" s="40"/>
      <c r="M897" s="9" t="s">
        <v>1661</v>
      </c>
      <c r="N897" s="9" t="s">
        <v>1658</v>
      </c>
      <c r="O897" s="45" t="str">
        <f>+"Cupos para cargos de Elección Popular, a nivel regional y comunal en "&amp;I897</f>
        <v>Cupos para cargos de Elección Popular, a nivel regional y comunal en Chile</v>
      </c>
      <c r="P897" s="20" t="s">
        <v>1665</v>
      </c>
      <c r="Q897" s="11" t="s">
        <v>606</v>
      </c>
      <c r="R897" s="20" t="str">
        <f>Agencia[[#This Row],[territorio]]&amp;" elecciones candidatos consejeros regionales senadores diputados alcaldes concejales municipal municipio comuna distrito cargos circunscripción"</f>
        <v>Chile elecciones candidatos consejeros regionales senadores diputados alcaldes concejales municipal municipio comuna distrito cargos circunscripción</v>
      </c>
      <c r="S897" s="22" t="s">
        <v>1660</v>
      </c>
      <c r="T897" s="68" t="s">
        <v>1033</v>
      </c>
      <c r="U897" s="50" t="str">
        <f t="shared" si="1349"/>
        <v>#1774B9</v>
      </c>
      <c r="V897" s="118" t="str">
        <f>+Agencia[[#This Row],[idcoleccion]]&amp;"-"&amp;Agencia[[#This Row],[id]]</f>
        <v>990-0886</v>
      </c>
      <c r="W897" s="118">
        <f>+VLOOKUP(Agencia[[#This Row],[Filtro URL]],Estructura!$X$4:$Y$500,2,0)</f>
        <v>99100000</v>
      </c>
      <c r="X897" s="118" t="str">
        <f>+VLOOKUP(Agencia[[#This Row],[tema]],Estructura!$A$4:$C$500,3,0)</f>
        <v>T-1021</v>
      </c>
      <c r="Y897" s="118" t="str">
        <f>+VLOOKUP(Agencia[[#This Row],[contenido]],Estructura!$E$4:$G$500,3,0)</f>
        <v>C-994</v>
      </c>
      <c r="Z897" s="118" t="str">
        <f>+VLOOKUP(Agencia[[#This Row],[Filtro Integrado]],Estructura!$I$4:$K$500,3,0)</f>
        <v>FI-994</v>
      </c>
      <c r="AA897" s="118" t="str">
        <f>+VLOOKUP(Agencia[[#This Row],[Muestra]],Estructura!$M$4:$O$500,3,0)</f>
        <v>M-1071</v>
      </c>
    </row>
    <row r="898" spans="1:27" ht="40.799999999999997" x14ac:dyDescent="0.3">
      <c r="A898" s="21" t="s">
        <v>1794</v>
      </c>
      <c r="B898" s="24">
        <f t="shared" ref="B898:D898" si="1455">+B897</f>
        <v>990</v>
      </c>
      <c r="C898" s="25" t="str">
        <f t="shared" si="1455"/>
        <v>Agencia Información</v>
      </c>
      <c r="D898" s="25" t="str">
        <f t="shared" si="1455"/>
        <v>Política y Gobierno</v>
      </c>
      <c r="E898" s="19">
        <v>1</v>
      </c>
      <c r="F898" s="18" t="s">
        <v>1664</v>
      </c>
      <c r="G898" s="18" t="s">
        <v>1653</v>
      </c>
      <c r="H898" s="35" t="s">
        <v>16</v>
      </c>
      <c r="I898" s="36" t="s">
        <v>368</v>
      </c>
      <c r="J898" s="9" t="s">
        <v>18</v>
      </c>
      <c r="K898" s="9" t="s">
        <v>1662</v>
      </c>
      <c r="L898" s="40">
        <f t="shared" ref="L898:N898" si="1456">+L897</f>
        <v>0</v>
      </c>
      <c r="M898" s="9" t="str">
        <f t="shared" si="1456"/>
        <v>Número de cupos</v>
      </c>
      <c r="N898" s="9" t="str">
        <f t="shared" si="1456"/>
        <v>Servicio Electoral (SERVEL)</v>
      </c>
      <c r="O898" s="45" t="str">
        <f>+"Cupos para cargos de Elección Popular, a nivel regional y comunal en la "&amp;I898</f>
        <v>Cupos para cargos de Elección Popular, a nivel regional y comunal en la Región de Tarapacá</v>
      </c>
      <c r="P898" s="20"/>
      <c r="Q898" s="11" t="str">
        <f t="shared" si="1356"/>
        <v>Dashboard</v>
      </c>
      <c r="R898" s="20" t="str">
        <f>Agencia[[#This Row],[territorio]]&amp;" elecciones candidatos consejeros regionales senadores diputados alcaldes concejales municipal municipio comuna distrito cargos circunscripción"</f>
        <v>Región de Tarapacá elecciones candidatos consejeros regionales senadores diputados alcaldes concejales municipal municipio comuna distrito cargos circunscripción</v>
      </c>
      <c r="S898" s="22" t="s">
        <v>423</v>
      </c>
      <c r="T898" s="69" t="str">
        <f>"100-C-"&amp;Agencia[[#This Row],[Filtro URL]]</f>
        <v>100-C-1</v>
      </c>
      <c r="U898" s="50" t="str">
        <f t="shared" si="1349"/>
        <v>#1774B9</v>
      </c>
      <c r="V898" s="118" t="str">
        <f>+Agencia[[#This Row],[idcoleccion]]&amp;"-"&amp;Agencia[[#This Row],[id]]</f>
        <v>990-0887</v>
      </c>
      <c r="W898" s="118">
        <f>+VLOOKUP(Agencia[[#This Row],[Filtro URL]],Estructura!$X$4:$Y$500,2,0)</f>
        <v>99200001</v>
      </c>
      <c r="X898" s="118" t="str">
        <f>+VLOOKUP(Agencia[[#This Row],[tema]],Estructura!$A$4:$C$500,3,0)</f>
        <v>T-1021</v>
      </c>
      <c r="Y898" s="118" t="str">
        <f>+VLOOKUP(Agencia[[#This Row],[contenido]],Estructura!$E$4:$G$500,3,0)</f>
        <v>C-994</v>
      </c>
      <c r="Z898" s="118" t="str">
        <f>+VLOOKUP(Agencia[[#This Row],[Filtro Integrado]],Estructura!$I$4:$K$500,3,0)</f>
        <v>FI-991</v>
      </c>
      <c r="AA898" s="118" t="str">
        <f>+VLOOKUP(Agencia[[#This Row],[Muestra]],Estructura!$M$4:$O$500,3,0)</f>
        <v>M-1071</v>
      </c>
    </row>
    <row r="899" spans="1:27" ht="40.799999999999997" x14ac:dyDescent="0.3">
      <c r="A899" s="21" t="s">
        <v>1795</v>
      </c>
      <c r="B899" s="24">
        <f t="shared" ref="B899:D899" si="1457">+B898</f>
        <v>990</v>
      </c>
      <c r="C899" s="25" t="str">
        <f t="shared" si="1457"/>
        <v>Agencia Información</v>
      </c>
      <c r="D899" s="25" t="str">
        <f t="shared" si="1457"/>
        <v>Política y Gobierno</v>
      </c>
      <c r="E899" s="19">
        <v>2</v>
      </c>
      <c r="F899" s="18" t="s">
        <v>1664</v>
      </c>
      <c r="G899" s="18" t="s">
        <v>1653</v>
      </c>
      <c r="H899" s="35" t="s">
        <v>16</v>
      </c>
      <c r="I899" s="36" t="s">
        <v>369</v>
      </c>
      <c r="J899" s="9" t="str">
        <f t="shared" ref="J899:N899" si="1458">+J898</f>
        <v>Comuna</v>
      </c>
      <c r="K899" s="9" t="str">
        <f t="shared" si="1458"/>
        <v>Cupos de elección popular por comuna</v>
      </c>
      <c r="L899" s="40">
        <f t="shared" si="1458"/>
        <v>0</v>
      </c>
      <c r="M899" s="9" t="str">
        <f t="shared" si="1458"/>
        <v>Número de cupos</v>
      </c>
      <c r="N899" s="9" t="str">
        <f t="shared" si="1458"/>
        <v>Servicio Electoral (SERVEL)</v>
      </c>
      <c r="O899" s="45" t="str">
        <f t="shared" ref="O899:O913" si="1459">+"Cupos para cargos de Elección Popular, a nivel regional y comunal en la "&amp;I899</f>
        <v>Cupos para cargos de Elección Popular, a nivel regional y comunal en la Región de Antofagasta</v>
      </c>
      <c r="P899" s="20"/>
      <c r="Q899" s="11" t="str">
        <f t="shared" si="1356"/>
        <v>Dashboard</v>
      </c>
      <c r="R899" s="20" t="str">
        <f>Agencia[[#This Row],[territorio]]&amp;" elecciones candidatos consejeros regionales senadores diputados alcaldes concejales municipal municipio comuna distrito cargos circunscripción"</f>
        <v>Región de Antofagasta elecciones candidatos consejeros regionales senadores diputados alcaldes concejales municipal municipio comuna distrito cargos circunscripción</v>
      </c>
      <c r="S899" s="22" t="s">
        <v>423</v>
      </c>
      <c r="T899" s="69" t="str">
        <f>"100-C-"&amp;Agencia[[#This Row],[Filtro URL]]</f>
        <v>100-C-2</v>
      </c>
      <c r="U899" s="50" t="str">
        <f t="shared" si="1349"/>
        <v>#1774B9</v>
      </c>
      <c r="V899" s="118" t="str">
        <f>+Agencia[[#This Row],[idcoleccion]]&amp;"-"&amp;Agencia[[#This Row],[id]]</f>
        <v>990-0888</v>
      </c>
      <c r="W899" s="118">
        <f>+VLOOKUP(Agencia[[#This Row],[Filtro URL]],Estructura!$X$4:$Y$500,2,0)</f>
        <v>99200002</v>
      </c>
      <c r="X899" s="118" t="str">
        <f>+VLOOKUP(Agencia[[#This Row],[tema]],Estructura!$A$4:$C$500,3,0)</f>
        <v>T-1021</v>
      </c>
      <c r="Y899" s="118" t="str">
        <f>+VLOOKUP(Agencia[[#This Row],[contenido]],Estructura!$E$4:$G$500,3,0)</f>
        <v>C-994</v>
      </c>
      <c r="Z899" s="118" t="str">
        <f>+VLOOKUP(Agencia[[#This Row],[Filtro Integrado]],Estructura!$I$4:$K$500,3,0)</f>
        <v>FI-991</v>
      </c>
      <c r="AA899" s="118" t="str">
        <f>+VLOOKUP(Agencia[[#This Row],[Muestra]],Estructura!$M$4:$O$500,3,0)</f>
        <v>M-1071</v>
      </c>
    </row>
    <row r="900" spans="1:27" ht="40.799999999999997" x14ac:dyDescent="0.3">
      <c r="A900" s="21" t="s">
        <v>1796</v>
      </c>
      <c r="B900" s="24">
        <f t="shared" ref="B900:D900" si="1460">+B899</f>
        <v>990</v>
      </c>
      <c r="C900" s="25" t="str">
        <f t="shared" si="1460"/>
        <v>Agencia Información</v>
      </c>
      <c r="D900" s="25" t="str">
        <f t="shared" si="1460"/>
        <v>Política y Gobierno</v>
      </c>
      <c r="E900" s="19">
        <v>3</v>
      </c>
      <c r="F900" s="18" t="s">
        <v>1664</v>
      </c>
      <c r="G900" s="18" t="s">
        <v>1653</v>
      </c>
      <c r="H900" s="35" t="s">
        <v>16</v>
      </c>
      <c r="I900" s="36" t="s">
        <v>370</v>
      </c>
      <c r="J900" s="9" t="str">
        <f t="shared" ref="J900:N900" si="1461">+J899</f>
        <v>Comuna</v>
      </c>
      <c r="K900" s="9" t="str">
        <f t="shared" si="1461"/>
        <v>Cupos de elección popular por comuna</v>
      </c>
      <c r="L900" s="40">
        <f t="shared" si="1461"/>
        <v>0</v>
      </c>
      <c r="M900" s="9" t="str">
        <f t="shared" si="1461"/>
        <v>Número de cupos</v>
      </c>
      <c r="N900" s="9" t="str">
        <f t="shared" si="1461"/>
        <v>Servicio Electoral (SERVEL)</v>
      </c>
      <c r="O900" s="45" t="str">
        <f t="shared" si="1459"/>
        <v>Cupos para cargos de Elección Popular, a nivel regional y comunal en la Región de Atacama</v>
      </c>
      <c r="P900" s="20"/>
      <c r="Q900" s="11" t="str">
        <f t="shared" si="1356"/>
        <v>Dashboard</v>
      </c>
      <c r="R900" s="20" t="str">
        <f>Agencia[[#This Row],[territorio]]&amp;" elecciones candidatos consejeros regionales senadores diputados alcaldes concejales municipal municipio comuna distrito cargos circunscripción"</f>
        <v>Región de Atacama elecciones candidatos consejeros regionales senadores diputados alcaldes concejales municipal municipio comuna distrito cargos circunscripción</v>
      </c>
      <c r="S900" s="22" t="s">
        <v>423</v>
      </c>
      <c r="T900" s="69" t="str">
        <f>"100-C-"&amp;Agencia[[#This Row],[Filtro URL]]</f>
        <v>100-C-3</v>
      </c>
      <c r="U900" s="50" t="str">
        <f t="shared" si="1349"/>
        <v>#1774B9</v>
      </c>
      <c r="V900" s="118" t="str">
        <f>+Agencia[[#This Row],[idcoleccion]]&amp;"-"&amp;Agencia[[#This Row],[id]]</f>
        <v>990-0889</v>
      </c>
      <c r="W900" s="118">
        <f>+VLOOKUP(Agencia[[#This Row],[Filtro URL]],Estructura!$X$4:$Y$500,2,0)</f>
        <v>99200003</v>
      </c>
      <c r="X900" s="118" t="str">
        <f>+VLOOKUP(Agencia[[#This Row],[tema]],Estructura!$A$4:$C$500,3,0)</f>
        <v>T-1021</v>
      </c>
      <c r="Y900" s="118" t="str">
        <f>+VLOOKUP(Agencia[[#This Row],[contenido]],Estructura!$E$4:$G$500,3,0)</f>
        <v>C-994</v>
      </c>
      <c r="Z900" s="118" t="str">
        <f>+VLOOKUP(Agencia[[#This Row],[Filtro Integrado]],Estructura!$I$4:$K$500,3,0)</f>
        <v>FI-991</v>
      </c>
      <c r="AA900" s="118" t="str">
        <f>+VLOOKUP(Agencia[[#This Row],[Muestra]],Estructura!$M$4:$O$500,3,0)</f>
        <v>M-1071</v>
      </c>
    </row>
    <row r="901" spans="1:27" ht="40.799999999999997" x14ac:dyDescent="0.3">
      <c r="A901" s="21" t="s">
        <v>1797</v>
      </c>
      <c r="B901" s="24">
        <f t="shared" ref="B901:D901" si="1462">+B900</f>
        <v>990</v>
      </c>
      <c r="C901" s="25" t="str">
        <f t="shared" si="1462"/>
        <v>Agencia Información</v>
      </c>
      <c r="D901" s="25" t="str">
        <f t="shared" si="1462"/>
        <v>Política y Gobierno</v>
      </c>
      <c r="E901" s="19">
        <v>4</v>
      </c>
      <c r="F901" s="18" t="s">
        <v>1664</v>
      </c>
      <c r="G901" s="18" t="s">
        <v>1653</v>
      </c>
      <c r="H901" s="35" t="s">
        <v>16</v>
      </c>
      <c r="I901" s="36" t="s">
        <v>371</v>
      </c>
      <c r="J901" s="9" t="str">
        <f t="shared" ref="J901:N901" si="1463">+J900</f>
        <v>Comuna</v>
      </c>
      <c r="K901" s="9" t="str">
        <f t="shared" si="1463"/>
        <v>Cupos de elección popular por comuna</v>
      </c>
      <c r="L901" s="40">
        <f t="shared" si="1463"/>
        <v>0</v>
      </c>
      <c r="M901" s="9" t="str">
        <f t="shared" si="1463"/>
        <v>Número de cupos</v>
      </c>
      <c r="N901" s="9" t="str">
        <f t="shared" si="1463"/>
        <v>Servicio Electoral (SERVEL)</v>
      </c>
      <c r="O901" s="45" t="str">
        <f t="shared" si="1459"/>
        <v>Cupos para cargos de Elección Popular, a nivel regional y comunal en la Región de Coquimbo</v>
      </c>
      <c r="P901" s="20"/>
      <c r="Q901" s="11" t="str">
        <f t="shared" si="1356"/>
        <v>Dashboard</v>
      </c>
      <c r="R901" s="20" t="str">
        <f>Agencia[[#This Row],[territorio]]&amp;" elecciones candidatos consejeros regionales senadores diputados alcaldes concejales municipal municipio comuna distrito cargos circunscripción"</f>
        <v>Región de Coquimbo elecciones candidatos consejeros regionales senadores diputados alcaldes concejales municipal municipio comuna distrito cargos circunscripción</v>
      </c>
      <c r="S901" s="22" t="s">
        <v>423</v>
      </c>
      <c r="T901" s="69" t="str">
        <f>"100-C-"&amp;Agencia[[#This Row],[Filtro URL]]</f>
        <v>100-C-4</v>
      </c>
      <c r="U901" s="50" t="str">
        <f t="shared" si="1349"/>
        <v>#1774B9</v>
      </c>
      <c r="V901" s="118" t="str">
        <f>+Agencia[[#This Row],[idcoleccion]]&amp;"-"&amp;Agencia[[#This Row],[id]]</f>
        <v>990-0890</v>
      </c>
      <c r="W901" s="118">
        <f>+VLOOKUP(Agencia[[#This Row],[Filtro URL]],Estructura!$X$4:$Y$500,2,0)</f>
        <v>99200004</v>
      </c>
      <c r="X901" s="118" t="str">
        <f>+VLOOKUP(Agencia[[#This Row],[tema]],Estructura!$A$4:$C$500,3,0)</f>
        <v>T-1021</v>
      </c>
      <c r="Y901" s="118" t="str">
        <f>+VLOOKUP(Agencia[[#This Row],[contenido]],Estructura!$E$4:$G$500,3,0)</f>
        <v>C-994</v>
      </c>
      <c r="Z901" s="118" t="str">
        <f>+VLOOKUP(Agencia[[#This Row],[Filtro Integrado]],Estructura!$I$4:$K$500,3,0)</f>
        <v>FI-991</v>
      </c>
      <c r="AA901" s="118" t="str">
        <f>+VLOOKUP(Agencia[[#This Row],[Muestra]],Estructura!$M$4:$O$500,3,0)</f>
        <v>M-1071</v>
      </c>
    </row>
    <row r="902" spans="1:27" ht="40.799999999999997" x14ac:dyDescent="0.3">
      <c r="A902" s="21" t="s">
        <v>1798</v>
      </c>
      <c r="B902" s="24">
        <f t="shared" ref="B902:D902" si="1464">+B901</f>
        <v>990</v>
      </c>
      <c r="C902" s="25" t="str">
        <f t="shared" si="1464"/>
        <v>Agencia Información</v>
      </c>
      <c r="D902" s="25" t="str">
        <f t="shared" si="1464"/>
        <v>Política y Gobierno</v>
      </c>
      <c r="E902" s="19">
        <v>5</v>
      </c>
      <c r="F902" s="18" t="s">
        <v>1664</v>
      </c>
      <c r="G902" s="18" t="s">
        <v>1653</v>
      </c>
      <c r="H902" s="35" t="s">
        <v>16</v>
      </c>
      <c r="I902" s="36" t="s">
        <v>372</v>
      </c>
      <c r="J902" s="9" t="str">
        <f t="shared" ref="J902:N902" si="1465">+J901</f>
        <v>Comuna</v>
      </c>
      <c r="K902" s="9" t="str">
        <f t="shared" si="1465"/>
        <v>Cupos de elección popular por comuna</v>
      </c>
      <c r="L902" s="40">
        <f t="shared" si="1465"/>
        <v>0</v>
      </c>
      <c r="M902" s="9" t="str">
        <f t="shared" si="1465"/>
        <v>Número de cupos</v>
      </c>
      <c r="N902" s="9" t="str">
        <f t="shared" si="1465"/>
        <v>Servicio Electoral (SERVEL)</v>
      </c>
      <c r="O902" s="45" t="str">
        <f t="shared" si="1459"/>
        <v>Cupos para cargos de Elección Popular, a nivel regional y comunal en la Región de Valparaíso</v>
      </c>
      <c r="P902" s="20"/>
      <c r="Q902" s="11" t="str">
        <f t="shared" si="1356"/>
        <v>Dashboard</v>
      </c>
      <c r="R902" s="20" t="str">
        <f>Agencia[[#This Row],[territorio]]&amp;" elecciones candidatos consejeros regionales senadores diputados alcaldes concejales municipal municipio comuna distrito cargos circunscripción"</f>
        <v>Región de Valparaíso elecciones candidatos consejeros regionales senadores diputados alcaldes concejales municipal municipio comuna distrito cargos circunscripción</v>
      </c>
      <c r="S902" s="22" t="s">
        <v>423</v>
      </c>
      <c r="T902" s="69" t="str">
        <f>"100-C-"&amp;Agencia[[#This Row],[Filtro URL]]</f>
        <v>100-C-5</v>
      </c>
      <c r="U902" s="50" t="str">
        <f t="shared" si="1349"/>
        <v>#1774B9</v>
      </c>
      <c r="V902" s="118" t="str">
        <f>+Agencia[[#This Row],[idcoleccion]]&amp;"-"&amp;Agencia[[#This Row],[id]]</f>
        <v>990-0891</v>
      </c>
      <c r="W902" s="118">
        <f>+VLOOKUP(Agencia[[#This Row],[Filtro URL]],Estructura!$X$4:$Y$500,2,0)</f>
        <v>99200005</v>
      </c>
      <c r="X902" s="118" t="str">
        <f>+VLOOKUP(Agencia[[#This Row],[tema]],Estructura!$A$4:$C$500,3,0)</f>
        <v>T-1021</v>
      </c>
      <c r="Y902" s="118" t="str">
        <f>+VLOOKUP(Agencia[[#This Row],[contenido]],Estructura!$E$4:$G$500,3,0)</f>
        <v>C-994</v>
      </c>
      <c r="Z902" s="118" t="str">
        <f>+VLOOKUP(Agencia[[#This Row],[Filtro Integrado]],Estructura!$I$4:$K$500,3,0)</f>
        <v>FI-991</v>
      </c>
      <c r="AA902" s="118" t="str">
        <f>+VLOOKUP(Agencia[[#This Row],[Muestra]],Estructura!$M$4:$O$500,3,0)</f>
        <v>M-1071</v>
      </c>
    </row>
    <row r="903" spans="1:27" ht="40.799999999999997" x14ac:dyDescent="0.3">
      <c r="A903" s="21" t="s">
        <v>1799</v>
      </c>
      <c r="B903" s="24">
        <f t="shared" ref="B903:D903" si="1466">+B902</f>
        <v>990</v>
      </c>
      <c r="C903" s="25" t="str">
        <f t="shared" si="1466"/>
        <v>Agencia Información</v>
      </c>
      <c r="D903" s="25" t="str">
        <f t="shared" si="1466"/>
        <v>Política y Gobierno</v>
      </c>
      <c r="E903" s="19">
        <v>6</v>
      </c>
      <c r="F903" s="18" t="s">
        <v>1664</v>
      </c>
      <c r="G903" s="18" t="s">
        <v>1653</v>
      </c>
      <c r="H903" s="35" t="s">
        <v>16</v>
      </c>
      <c r="I903" s="36" t="s">
        <v>373</v>
      </c>
      <c r="J903" s="9" t="str">
        <f t="shared" ref="J903:N903" si="1467">+J902</f>
        <v>Comuna</v>
      </c>
      <c r="K903" s="9" t="str">
        <f t="shared" si="1467"/>
        <v>Cupos de elección popular por comuna</v>
      </c>
      <c r="L903" s="40">
        <f t="shared" si="1467"/>
        <v>0</v>
      </c>
      <c r="M903" s="9" t="str">
        <f t="shared" si="1467"/>
        <v>Número de cupos</v>
      </c>
      <c r="N903" s="9" t="str">
        <f t="shared" si="1467"/>
        <v>Servicio Electoral (SERVEL)</v>
      </c>
      <c r="O903" s="45" t="str">
        <f t="shared" si="1459"/>
        <v>Cupos para cargos de Elección Popular, a nivel regional y comunal en la Región de O'Higgins</v>
      </c>
      <c r="P903" s="20"/>
      <c r="Q903" s="11" t="str">
        <f t="shared" si="1356"/>
        <v>Dashboard</v>
      </c>
      <c r="R903" s="20" t="str">
        <f>Agencia[[#This Row],[territorio]]&amp;" elecciones candidatos consejeros regionales senadores diputados alcaldes concejales municipal municipio comuna distrito cargos circunscripción"</f>
        <v>Región de O'Higgins elecciones candidatos consejeros regionales senadores diputados alcaldes concejales municipal municipio comuna distrito cargos circunscripción</v>
      </c>
      <c r="S903" s="22" t="s">
        <v>423</v>
      </c>
      <c r="T903" s="69" t="str">
        <f>"100-C-"&amp;Agencia[[#This Row],[Filtro URL]]</f>
        <v>100-C-6</v>
      </c>
      <c r="U903" s="50" t="str">
        <f t="shared" si="1349"/>
        <v>#1774B9</v>
      </c>
      <c r="V903" s="118" t="str">
        <f>+Agencia[[#This Row],[idcoleccion]]&amp;"-"&amp;Agencia[[#This Row],[id]]</f>
        <v>990-0892</v>
      </c>
      <c r="W903" s="118">
        <f>+VLOOKUP(Agencia[[#This Row],[Filtro URL]],Estructura!$X$4:$Y$500,2,0)</f>
        <v>99200006</v>
      </c>
      <c r="X903" s="118" t="str">
        <f>+VLOOKUP(Agencia[[#This Row],[tema]],Estructura!$A$4:$C$500,3,0)</f>
        <v>T-1021</v>
      </c>
      <c r="Y903" s="118" t="str">
        <f>+VLOOKUP(Agencia[[#This Row],[contenido]],Estructura!$E$4:$G$500,3,0)</f>
        <v>C-994</v>
      </c>
      <c r="Z903" s="118" t="str">
        <f>+VLOOKUP(Agencia[[#This Row],[Filtro Integrado]],Estructura!$I$4:$K$500,3,0)</f>
        <v>FI-991</v>
      </c>
      <c r="AA903" s="118" t="str">
        <f>+VLOOKUP(Agencia[[#This Row],[Muestra]],Estructura!$M$4:$O$500,3,0)</f>
        <v>M-1071</v>
      </c>
    </row>
    <row r="904" spans="1:27" ht="40.799999999999997" x14ac:dyDescent="0.3">
      <c r="A904" s="21" t="s">
        <v>1800</v>
      </c>
      <c r="B904" s="24">
        <f t="shared" ref="B904:D904" si="1468">+B903</f>
        <v>990</v>
      </c>
      <c r="C904" s="25" t="str">
        <f t="shared" si="1468"/>
        <v>Agencia Información</v>
      </c>
      <c r="D904" s="25" t="str">
        <f t="shared" si="1468"/>
        <v>Política y Gobierno</v>
      </c>
      <c r="E904" s="19">
        <v>7</v>
      </c>
      <c r="F904" s="18" t="s">
        <v>1664</v>
      </c>
      <c r="G904" s="18" t="s">
        <v>1653</v>
      </c>
      <c r="H904" s="35" t="s">
        <v>16</v>
      </c>
      <c r="I904" s="36" t="s">
        <v>374</v>
      </c>
      <c r="J904" s="9" t="str">
        <f t="shared" ref="J904:N904" si="1469">+J903</f>
        <v>Comuna</v>
      </c>
      <c r="K904" s="9" t="str">
        <f t="shared" si="1469"/>
        <v>Cupos de elección popular por comuna</v>
      </c>
      <c r="L904" s="40">
        <f t="shared" si="1469"/>
        <v>0</v>
      </c>
      <c r="M904" s="9" t="str">
        <f t="shared" si="1469"/>
        <v>Número de cupos</v>
      </c>
      <c r="N904" s="9" t="str">
        <f t="shared" si="1469"/>
        <v>Servicio Electoral (SERVEL)</v>
      </c>
      <c r="O904" s="45" t="str">
        <f t="shared" si="1459"/>
        <v>Cupos para cargos de Elección Popular, a nivel regional y comunal en la Región de Maule</v>
      </c>
      <c r="P904" s="20"/>
      <c r="Q904" s="11" t="str">
        <f t="shared" si="1356"/>
        <v>Dashboard</v>
      </c>
      <c r="R904" s="20" t="str">
        <f>Agencia[[#This Row],[territorio]]&amp;" elecciones candidatos consejeros regionales senadores diputados alcaldes concejales municipal municipio comuna distrito cargos circunscripción"</f>
        <v>Región de Maule elecciones candidatos consejeros regionales senadores diputados alcaldes concejales municipal municipio comuna distrito cargos circunscripción</v>
      </c>
      <c r="S904" s="22" t="s">
        <v>423</v>
      </c>
      <c r="T904" s="69" t="str">
        <f>"100-C-"&amp;Agencia[[#This Row],[Filtro URL]]</f>
        <v>100-C-7</v>
      </c>
      <c r="U904" s="50" t="str">
        <f t="shared" si="1349"/>
        <v>#1774B9</v>
      </c>
      <c r="V904" s="118" t="str">
        <f>+Agencia[[#This Row],[idcoleccion]]&amp;"-"&amp;Agencia[[#This Row],[id]]</f>
        <v>990-0893</v>
      </c>
      <c r="W904" s="118">
        <f>+VLOOKUP(Agencia[[#This Row],[Filtro URL]],Estructura!$X$4:$Y$500,2,0)</f>
        <v>99200007</v>
      </c>
      <c r="X904" s="118" t="str">
        <f>+VLOOKUP(Agencia[[#This Row],[tema]],Estructura!$A$4:$C$500,3,0)</f>
        <v>T-1021</v>
      </c>
      <c r="Y904" s="118" t="str">
        <f>+VLOOKUP(Agencia[[#This Row],[contenido]],Estructura!$E$4:$G$500,3,0)</f>
        <v>C-994</v>
      </c>
      <c r="Z904" s="118" t="str">
        <f>+VLOOKUP(Agencia[[#This Row],[Filtro Integrado]],Estructura!$I$4:$K$500,3,0)</f>
        <v>FI-991</v>
      </c>
      <c r="AA904" s="118" t="str">
        <f>+VLOOKUP(Agencia[[#This Row],[Muestra]],Estructura!$M$4:$O$500,3,0)</f>
        <v>M-1071</v>
      </c>
    </row>
    <row r="905" spans="1:27" ht="40.799999999999997" x14ac:dyDescent="0.3">
      <c r="A905" s="21" t="s">
        <v>1801</v>
      </c>
      <c r="B905" s="24">
        <f t="shared" ref="B905:D905" si="1470">+B904</f>
        <v>990</v>
      </c>
      <c r="C905" s="25" t="str">
        <f t="shared" si="1470"/>
        <v>Agencia Información</v>
      </c>
      <c r="D905" s="25" t="str">
        <f t="shared" si="1470"/>
        <v>Política y Gobierno</v>
      </c>
      <c r="E905" s="19">
        <v>8</v>
      </c>
      <c r="F905" s="18" t="s">
        <v>1664</v>
      </c>
      <c r="G905" s="18" t="s">
        <v>1653</v>
      </c>
      <c r="H905" s="35" t="s">
        <v>16</v>
      </c>
      <c r="I905" s="36" t="s">
        <v>375</v>
      </c>
      <c r="J905" s="9" t="str">
        <f t="shared" ref="J905:N905" si="1471">+J904</f>
        <v>Comuna</v>
      </c>
      <c r="K905" s="9" t="str">
        <f t="shared" si="1471"/>
        <v>Cupos de elección popular por comuna</v>
      </c>
      <c r="L905" s="40">
        <f t="shared" si="1471"/>
        <v>0</v>
      </c>
      <c r="M905" s="9" t="str">
        <f t="shared" si="1471"/>
        <v>Número de cupos</v>
      </c>
      <c r="N905" s="9" t="str">
        <f t="shared" si="1471"/>
        <v>Servicio Electoral (SERVEL)</v>
      </c>
      <c r="O905" s="45" t="str">
        <f t="shared" si="1459"/>
        <v>Cupos para cargos de Elección Popular, a nivel regional y comunal en la Región del Biobío</v>
      </c>
      <c r="P905" s="20"/>
      <c r="Q905" s="11" t="str">
        <f t="shared" si="1356"/>
        <v>Dashboard</v>
      </c>
      <c r="R905" s="20" t="str">
        <f>Agencia[[#This Row],[territorio]]&amp;" elecciones candidatos consejeros regionales senadores diputados alcaldes concejales municipal municipio comuna distrito cargos circunscripción"</f>
        <v>Región del Biobío elecciones candidatos consejeros regionales senadores diputados alcaldes concejales municipal municipio comuna distrito cargos circunscripción</v>
      </c>
      <c r="S905" s="22"/>
      <c r="T905" s="69" t="str">
        <f>"100-C-"&amp;Agencia[[#This Row],[Filtro URL]]</f>
        <v>100-C-8</v>
      </c>
      <c r="U905" s="50" t="str">
        <f t="shared" si="1349"/>
        <v>#1774B9</v>
      </c>
      <c r="V905" s="118" t="str">
        <f>+Agencia[[#This Row],[idcoleccion]]&amp;"-"&amp;Agencia[[#This Row],[id]]</f>
        <v>990-0894</v>
      </c>
      <c r="W905" s="118">
        <f>+VLOOKUP(Agencia[[#This Row],[Filtro URL]],Estructura!$X$4:$Y$500,2,0)</f>
        <v>99200008</v>
      </c>
      <c r="X905" s="118" t="str">
        <f>+VLOOKUP(Agencia[[#This Row],[tema]],Estructura!$A$4:$C$500,3,0)</f>
        <v>T-1021</v>
      </c>
      <c r="Y905" s="118" t="str">
        <f>+VLOOKUP(Agencia[[#This Row],[contenido]],Estructura!$E$4:$G$500,3,0)</f>
        <v>C-994</v>
      </c>
      <c r="Z905" s="118" t="str">
        <f>+VLOOKUP(Agencia[[#This Row],[Filtro Integrado]],Estructura!$I$4:$K$500,3,0)</f>
        <v>FI-991</v>
      </c>
      <c r="AA905" s="118" t="str">
        <f>+VLOOKUP(Agencia[[#This Row],[Muestra]],Estructura!$M$4:$O$500,3,0)</f>
        <v>M-1071</v>
      </c>
    </row>
    <row r="906" spans="1:27" ht="40.799999999999997" x14ac:dyDescent="0.3">
      <c r="A906" s="21" t="s">
        <v>1802</v>
      </c>
      <c r="B906" s="24">
        <f t="shared" ref="B906:D906" si="1472">+B905</f>
        <v>990</v>
      </c>
      <c r="C906" s="25" t="str">
        <f t="shared" si="1472"/>
        <v>Agencia Información</v>
      </c>
      <c r="D906" s="25" t="str">
        <f t="shared" si="1472"/>
        <v>Política y Gobierno</v>
      </c>
      <c r="E906" s="19">
        <v>9</v>
      </c>
      <c r="F906" s="18" t="s">
        <v>1664</v>
      </c>
      <c r="G906" s="18" t="s">
        <v>1653</v>
      </c>
      <c r="H906" s="35" t="s">
        <v>16</v>
      </c>
      <c r="I906" s="36" t="s">
        <v>376</v>
      </c>
      <c r="J906" s="9" t="str">
        <f t="shared" ref="J906:N906" si="1473">+J905</f>
        <v>Comuna</v>
      </c>
      <c r="K906" s="9" t="str">
        <f t="shared" si="1473"/>
        <v>Cupos de elección popular por comuna</v>
      </c>
      <c r="L906" s="40">
        <f t="shared" si="1473"/>
        <v>0</v>
      </c>
      <c r="M906" s="9" t="str">
        <f t="shared" si="1473"/>
        <v>Número de cupos</v>
      </c>
      <c r="N906" s="9" t="str">
        <f t="shared" si="1473"/>
        <v>Servicio Electoral (SERVEL)</v>
      </c>
      <c r="O906" s="45" t="str">
        <f t="shared" si="1459"/>
        <v>Cupos para cargos de Elección Popular, a nivel regional y comunal en la Región de La Araucanía</v>
      </c>
      <c r="P906" s="20"/>
      <c r="Q906" s="11" t="str">
        <f t="shared" si="1356"/>
        <v>Dashboard</v>
      </c>
      <c r="R906" s="20" t="str">
        <f>Agencia[[#This Row],[territorio]]&amp;" elecciones candidatos consejeros regionales senadores diputados alcaldes concejales municipal municipio comuna distrito cargos circunscripción"</f>
        <v>Región de La Araucanía elecciones candidatos consejeros regionales senadores diputados alcaldes concejales municipal municipio comuna distrito cargos circunscripción</v>
      </c>
      <c r="S906" s="22" t="s">
        <v>423</v>
      </c>
      <c r="T906" s="69" t="str">
        <f>"100-C-"&amp;Agencia[[#This Row],[Filtro URL]]</f>
        <v>100-C-9</v>
      </c>
      <c r="U906" s="50" t="str">
        <f t="shared" si="1349"/>
        <v>#1774B9</v>
      </c>
      <c r="V906" s="118" t="str">
        <f>+Agencia[[#This Row],[idcoleccion]]&amp;"-"&amp;Agencia[[#This Row],[id]]</f>
        <v>990-0895</v>
      </c>
      <c r="W906" s="118">
        <f>+VLOOKUP(Agencia[[#This Row],[Filtro URL]],Estructura!$X$4:$Y$500,2,0)</f>
        <v>99200009</v>
      </c>
      <c r="X906" s="118" t="str">
        <f>+VLOOKUP(Agencia[[#This Row],[tema]],Estructura!$A$4:$C$500,3,0)</f>
        <v>T-1021</v>
      </c>
      <c r="Y906" s="118" t="str">
        <f>+VLOOKUP(Agencia[[#This Row],[contenido]],Estructura!$E$4:$G$500,3,0)</f>
        <v>C-994</v>
      </c>
      <c r="Z906" s="118" t="str">
        <f>+VLOOKUP(Agencia[[#This Row],[Filtro Integrado]],Estructura!$I$4:$K$500,3,0)</f>
        <v>FI-991</v>
      </c>
      <c r="AA906" s="118" t="str">
        <f>+VLOOKUP(Agencia[[#This Row],[Muestra]],Estructura!$M$4:$O$500,3,0)</f>
        <v>M-1071</v>
      </c>
    </row>
    <row r="907" spans="1:27" ht="40.799999999999997" x14ac:dyDescent="0.3">
      <c r="A907" s="21" t="s">
        <v>1803</v>
      </c>
      <c r="B907" s="24">
        <f t="shared" ref="B907:D907" si="1474">+B906</f>
        <v>990</v>
      </c>
      <c r="C907" s="25" t="str">
        <f t="shared" si="1474"/>
        <v>Agencia Información</v>
      </c>
      <c r="D907" s="25" t="str">
        <f t="shared" si="1474"/>
        <v>Política y Gobierno</v>
      </c>
      <c r="E907" s="19">
        <v>10</v>
      </c>
      <c r="F907" s="18" t="s">
        <v>1664</v>
      </c>
      <c r="G907" s="18" t="s">
        <v>1653</v>
      </c>
      <c r="H907" s="35" t="s">
        <v>16</v>
      </c>
      <c r="I907" s="36" t="s">
        <v>377</v>
      </c>
      <c r="J907" s="9" t="str">
        <f t="shared" ref="J907:N907" si="1475">+J906</f>
        <v>Comuna</v>
      </c>
      <c r="K907" s="9" t="str">
        <f t="shared" si="1475"/>
        <v>Cupos de elección popular por comuna</v>
      </c>
      <c r="L907" s="40">
        <f t="shared" si="1475"/>
        <v>0</v>
      </c>
      <c r="M907" s="9" t="str">
        <f t="shared" si="1475"/>
        <v>Número de cupos</v>
      </c>
      <c r="N907" s="9" t="str">
        <f t="shared" si="1475"/>
        <v>Servicio Electoral (SERVEL)</v>
      </c>
      <c r="O907" s="45" t="str">
        <f t="shared" si="1459"/>
        <v>Cupos para cargos de Elección Popular, a nivel regional y comunal en la Región de Los Lagos</v>
      </c>
      <c r="P907" s="20"/>
      <c r="Q907" s="11" t="str">
        <f t="shared" si="1356"/>
        <v>Dashboard</v>
      </c>
      <c r="R907" s="20" t="str">
        <f>Agencia[[#This Row],[territorio]]&amp;" elecciones candidatos consejeros regionales senadores diputados alcaldes concejales municipal municipio comuna distrito cargos circunscripción"</f>
        <v>Región de Los Lagos elecciones candidatos consejeros regionales senadores diputados alcaldes concejales municipal municipio comuna distrito cargos circunscripción</v>
      </c>
      <c r="S907" s="22" t="s">
        <v>423</v>
      </c>
      <c r="T907" s="69" t="str">
        <f>"100-C-"&amp;Agencia[[#This Row],[Filtro URL]]</f>
        <v>100-C-10</v>
      </c>
      <c r="U907" s="50" t="str">
        <f t="shared" si="1349"/>
        <v>#1774B9</v>
      </c>
      <c r="V907" s="118" t="str">
        <f>+Agencia[[#This Row],[idcoleccion]]&amp;"-"&amp;Agencia[[#This Row],[id]]</f>
        <v>990-0896</v>
      </c>
      <c r="W907" s="118">
        <f>+VLOOKUP(Agencia[[#This Row],[Filtro URL]],Estructura!$X$4:$Y$500,2,0)</f>
        <v>99200010</v>
      </c>
      <c r="X907" s="118" t="str">
        <f>+VLOOKUP(Agencia[[#This Row],[tema]],Estructura!$A$4:$C$500,3,0)</f>
        <v>T-1021</v>
      </c>
      <c r="Y907" s="118" t="str">
        <f>+VLOOKUP(Agencia[[#This Row],[contenido]],Estructura!$E$4:$G$500,3,0)</f>
        <v>C-994</v>
      </c>
      <c r="Z907" s="118" t="str">
        <f>+VLOOKUP(Agencia[[#This Row],[Filtro Integrado]],Estructura!$I$4:$K$500,3,0)</f>
        <v>FI-991</v>
      </c>
      <c r="AA907" s="118" t="str">
        <f>+VLOOKUP(Agencia[[#This Row],[Muestra]],Estructura!$M$4:$O$500,3,0)</f>
        <v>M-1071</v>
      </c>
    </row>
    <row r="908" spans="1:27" ht="40.799999999999997" x14ac:dyDescent="0.3">
      <c r="A908" s="21" t="s">
        <v>1804</v>
      </c>
      <c r="B908" s="24">
        <f t="shared" ref="B908:D908" si="1476">+B907</f>
        <v>990</v>
      </c>
      <c r="C908" s="25" t="str">
        <f t="shared" si="1476"/>
        <v>Agencia Información</v>
      </c>
      <c r="D908" s="25" t="str">
        <f t="shared" si="1476"/>
        <v>Política y Gobierno</v>
      </c>
      <c r="E908" s="19">
        <v>11</v>
      </c>
      <c r="F908" s="18" t="s">
        <v>1664</v>
      </c>
      <c r="G908" s="18" t="s">
        <v>1653</v>
      </c>
      <c r="H908" s="35" t="s">
        <v>16</v>
      </c>
      <c r="I908" s="36" t="s">
        <v>378</v>
      </c>
      <c r="J908" s="9" t="str">
        <f t="shared" ref="J908:N908" si="1477">+J907</f>
        <v>Comuna</v>
      </c>
      <c r="K908" s="9" t="str">
        <f t="shared" si="1477"/>
        <v>Cupos de elección popular por comuna</v>
      </c>
      <c r="L908" s="40">
        <f t="shared" si="1477"/>
        <v>0</v>
      </c>
      <c r="M908" s="9" t="str">
        <f t="shared" si="1477"/>
        <v>Número de cupos</v>
      </c>
      <c r="N908" s="9" t="str">
        <f t="shared" si="1477"/>
        <v>Servicio Electoral (SERVEL)</v>
      </c>
      <c r="O908" s="45" t="str">
        <f t="shared" si="1459"/>
        <v>Cupos para cargos de Elección Popular, a nivel regional y comunal en la Región de Aysén</v>
      </c>
      <c r="P908" s="20"/>
      <c r="Q908" s="11" t="str">
        <f t="shared" si="1356"/>
        <v>Dashboard</v>
      </c>
      <c r="R908" s="20" t="str">
        <f>Agencia[[#This Row],[territorio]]&amp;" elecciones candidatos consejeros regionales senadores diputados alcaldes concejales municipal municipio comuna distrito cargos circunscripción"</f>
        <v>Región de Aysén elecciones candidatos consejeros regionales senadores diputados alcaldes concejales municipal municipio comuna distrito cargos circunscripción</v>
      </c>
      <c r="S908" s="22" t="s">
        <v>423</v>
      </c>
      <c r="T908" s="69" t="str">
        <f>"100-C-"&amp;Agencia[[#This Row],[Filtro URL]]</f>
        <v>100-C-11</v>
      </c>
      <c r="U908" s="50" t="str">
        <f t="shared" ref="U908:U971" si="1478">+U907</f>
        <v>#1774B9</v>
      </c>
      <c r="V908" s="118" t="str">
        <f>+Agencia[[#This Row],[idcoleccion]]&amp;"-"&amp;Agencia[[#This Row],[id]]</f>
        <v>990-0897</v>
      </c>
      <c r="W908" s="118">
        <f>+VLOOKUP(Agencia[[#This Row],[Filtro URL]],Estructura!$X$4:$Y$500,2,0)</f>
        <v>99200011</v>
      </c>
      <c r="X908" s="118" t="str">
        <f>+VLOOKUP(Agencia[[#This Row],[tema]],Estructura!$A$4:$C$500,3,0)</f>
        <v>T-1021</v>
      </c>
      <c r="Y908" s="118" t="str">
        <f>+VLOOKUP(Agencia[[#This Row],[contenido]],Estructura!$E$4:$G$500,3,0)</f>
        <v>C-994</v>
      </c>
      <c r="Z908" s="118" t="str">
        <f>+VLOOKUP(Agencia[[#This Row],[Filtro Integrado]],Estructura!$I$4:$K$500,3,0)</f>
        <v>FI-991</v>
      </c>
      <c r="AA908" s="118" t="str">
        <f>+VLOOKUP(Agencia[[#This Row],[Muestra]],Estructura!$M$4:$O$500,3,0)</f>
        <v>M-1071</v>
      </c>
    </row>
    <row r="909" spans="1:27" ht="40.799999999999997" x14ac:dyDescent="0.3">
      <c r="A909" s="21" t="s">
        <v>1805</v>
      </c>
      <c r="B909" s="24">
        <f t="shared" ref="B909:D909" si="1479">+B908</f>
        <v>990</v>
      </c>
      <c r="C909" s="25" t="str">
        <f t="shared" si="1479"/>
        <v>Agencia Información</v>
      </c>
      <c r="D909" s="25" t="str">
        <f t="shared" si="1479"/>
        <v>Política y Gobierno</v>
      </c>
      <c r="E909" s="19">
        <v>12</v>
      </c>
      <c r="F909" s="18" t="s">
        <v>1664</v>
      </c>
      <c r="G909" s="18" t="s">
        <v>1653</v>
      </c>
      <c r="H909" s="35" t="s">
        <v>16</v>
      </c>
      <c r="I909" s="36" t="s">
        <v>379</v>
      </c>
      <c r="J909" s="9" t="str">
        <f t="shared" ref="J909:N909" si="1480">+J908</f>
        <v>Comuna</v>
      </c>
      <c r="K909" s="9" t="str">
        <f t="shared" si="1480"/>
        <v>Cupos de elección popular por comuna</v>
      </c>
      <c r="L909" s="40">
        <f t="shared" si="1480"/>
        <v>0</v>
      </c>
      <c r="M909" s="9" t="str">
        <f t="shared" si="1480"/>
        <v>Número de cupos</v>
      </c>
      <c r="N909" s="9" t="str">
        <f t="shared" si="1480"/>
        <v>Servicio Electoral (SERVEL)</v>
      </c>
      <c r="O909" s="45" t="str">
        <f t="shared" si="1459"/>
        <v>Cupos para cargos de Elección Popular, a nivel regional y comunal en la Región de Magallanes</v>
      </c>
      <c r="P909" s="20"/>
      <c r="Q909" s="11" t="str">
        <f t="shared" si="1356"/>
        <v>Dashboard</v>
      </c>
      <c r="R909" s="20" t="str">
        <f>Agencia[[#This Row],[territorio]]&amp;" elecciones candidatos consejeros regionales senadores diputados alcaldes concejales municipal municipio comuna distrito cargos circunscripción"</f>
        <v>Región de Magallanes elecciones candidatos consejeros regionales senadores diputados alcaldes concejales municipal municipio comuna distrito cargos circunscripción</v>
      </c>
      <c r="S909" s="22" t="s">
        <v>423</v>
      </c>
      <c r="T909" s="69" t="str">
        <f>"100-C-"&amp;Agencia[[#This Row],[Filtro URL]]</f>
        <v>100-C-12</v>
      </c>
      <c r="U909" s="50" t="str">
        <f t="shared" si="1478"/>
        <v>#1774B9</v>
      </c>
      <c r="V909" s="118" t="str">
        <f>+Agencia[[#This Row],[idcoleccion]]&amp;"-"&amp;Agencia[[#This Row],[id]]</f>
        <v>990-0898</v>
      </c>
      <c r="W909" s="118">
        <f>+VLOOKUP(Agencia[[#This Row],[Filtro URL]],Estructura!$X$4:$Y$500,2,0)</f>
        <v>99200012</v>
      </c>
      <c r="X909" s="118" t="str">
        <f>+VLOOKUP(Agencia[[#This Row],[tema]],Estructura!$A$4:$C$500,3,0)</f>
        <v>T-1021</v>
      </c>
      <c r="Y909" s="118" t="str">
        <f>+VLOOKUP(Agencia[[#This Row],[contenido]],Estructura!$E$4:$G$500,3,0)</f>
        <v>C-994</v>
      </c>
      <c r="Z909" s="118" t="str">
        <f>+VLOOKUP(Agencia[[#This Row],[Filtro Integrado]],Estructura!$I$4:$K$500,3,0)</f>
        <v>FI-991</v>
      </c>
      <c r="AA909" s="118" t="str">
        <f>+VLOOKUP(Agencia[[#This Row],[Muestra]],Estructura!$M$4:$O$500,3,0)</f>
        <v>M-1071</v>
      </c>
    </row>
    <row r="910" spans="1:27" ht="40.799999999999997" x14ac:dyDescent="0.3">
      <c r="A910" s="21" t="s">
        <v>1806</v>
      </c>
      <c r="B910" s="24">
        <f t="shared" ref="B910:D910" si="1481">+B909</f>
        <v>990</v>
      </c>
      <c r="C910" s="25" t="str">
        <f t="shared" si="1481"/>
        <v>Agencia Información</v>
      </c>
      <c r="D910" s="25" t="str">
        <f t="shared" si="1481"/>
        <v>Política y Gobierno</v>
      </c>
      <c r="E910" s="19">
        <v>13</v>
      </c>
      <c r="F910" s="18" t="s">
        <v>1664</v>
      </c>
      <c r="G910" s="18" t="s">
        <v>1653</v>
      </c>
      <c r="H910" s="35" t="s">
        <v>16</v>
      </c>
      <c r="I910" s="36" t="s">
        <v>380</v>
      </c>
      <c r="J910" s="9" t="str">
        <f t="shared" ref="J910:N910" si="1482">+J909</f>
        <v>Comuna</v>
      </c>
      <c r="K910" s="9" t="str">
        <f t="shared" si="1482"/>
        <v>Cupos de elección popular por comuna</v>
      </c>
      <c r="L910" s="40">
        <f t="shared" si="1482"/>
        <v>0</v>
      </c>
      <c r="M910" s="9" t="str">
        <f t="shared" si="1482"/>
        <v>Número de cupos</v>
      </c>
      <c r="N910" s="9" t="str">
        <f t="shared" si="1482"/>
        <v>Servicio Electoral (SERVEL)</v>
      </c>
      <c r="O910" s="45" t="str">
        <f t="shared" si="1459"/>
        <v>Cupos para cargos de Elección Popular, a nivel regional y comunal en la Región Metropolitana</v>
      </c>
      <c r="P910" s="20"/>
      <c r="Q910" s="11" t="str">
        <f t="shared" si="1356"/>
        <v>Dashboard</v>
      </c>
      <c r="R910" s="20" t="str">
        <f>Agencia[[#This Row],[territorio]]&amp;" elecciones candidatos consejeros regionales senadores diputados alcaldes concejales municipal municipio comuna distrito cargos circunscripción"</f>
        <v>Región Metropolitana elecciones candidatos consejeros regionales senadores diputados alcaldes concejales municipal municipio comuna distrito cargos circunscripción</v>
      </c>
      <c r="S910" s="22" t="s">
        <v>423</v>
      </c>
      <c r="T910" s="69" t="str">
        <f>"200-C-"&amp;Agencia[[#This Row],[Filtro URL]]</f>
        <v>200-C-13</v>
      </c>
      <c r="U910" s="50" t="str">
        <f t="shared" si="1478"/>
        <v>#1774B9</v>
      </c>
      <c r="V910" s="118" t="str">
        <f>+Agencia[[#This Row],[idcoleccion]]&amp;"-"&amp;Agencia[[#This Row],[id]]</f>
        <v>990-0899</v>
      </c>
      <c r="W910" s="118">
        <f>+VLOOKUP(Agencia[[#This Row],[Filtro URL]],Estructura!$X$4:$Y$500,2,0)</f>
        <v>99200013</v>
      </c>
      <c r="X910" s="118" t="str">
        <f>+VLOOKUP(Agencia[[#This Row],[tema]],Estructura!$A$4:$C$500,3,0)</f>
        <v>T-1021</v>
      </c>
      <c r="Y910" s="118" t="str">
        <f>+VLOOKUP(Agencia[[#This Row],[contenido]],Estructura!$E$4:$G$500,3,0)</f>
        <v>C-994</v>
      </c>
      <c r="Z910" s="118" t="str">
        <f>+VLOOKUP(Agencia[[#This Row],[Filtro Integrado]],Estructura!$I$4:$K$500,3,0)</f>
        <v>FI-991</v>
      </c>
      <c r="AA910" s="118" t="str">
        <f>+VLOOKUP(Agencia[[#This Row],[Muestra]],Estructura!$M$4:$O$500,3,0)</f>
        <v>M-1071</v>
      </c>
    </row>
    <row r="911" spans="1:27" ht="40.799999999999997" x14ac:dyDescent="0.3">
      <c r="A911" s="21" t="s">
        <v>1807</v>
      </c>
      <c r="B911" s="24">
        <f t="shared" ref="B911:D911" si="1483">+B910</f>
        <v>990</v>
      </c>
      <c r="C911" s="25" t="str">
        <f t="shared" si="1483"/>
        <v>Agencia Información</v>
      </c>
      <c r="D911" s="25" t="str">
        <f t="shared" si="1483"/>
        <v>Política y Gobierno</v>
      </c>
      <c r="E911" s="19">
        <v>14</v>
      </c>
      <c r="F911" s="18" t="s">
        <v>1664</v>
      </c>
      <c r="G911" s="18" t="s">
        <v>1653</v>
      </c>
      <c r="H911" s="35" t="s">
        <v>16</v>
      </c>
      <c r="I911" s="36" t="s">
        <v>381</v>
      </c>
      <c r="J911" s="9" t="str">
        <f t="shared" ref="J911:N911" si="1484">+J910</f>
        <v>Comuna</v>
      </c>
      <c r="K911" s="9" t="str">
        <f t="shared" si="1484"/>
        <v>Cupos de elección popular por comuna</v>
      </c>
      <c r="L911" s="40">
        <f t="shared" si="1484"/>
        <v>0</v>
      </c>
      <c r="M911" s="9" t="str">
        <f t="shared" si="1484"/>
        <v>Número de cupos</v>
      </c>
      <c r="N911" s="9" t="str">
        <f t="shared" si="1484"/>
        <v>Servicio Electoral (SERVEL)</v>
      </c>
      <c r="O911" s="45" t="str">
        <f t="shared" si="1459"/>
        <v>Cupos para cargos de Elección Popular, a nivel regional y comunal en la Región de Los Ríos</v>
      </c>
      <c r="P911" s="20"/>
      <c r="Q911" s="11" t="str">
        <f t="shared" ref="Q911:Q913" si="1485">+Q910</f>
        <v>Dashboard</v>
      </c>
      <c r="R911" s="20" t="str">
        <f>Agencia[[#This Row],[territorio]]&amp;" elecciones candidatos consejeros regionales senadores diputados alcaldes concejales municipal municipio comuna distrito cargos circunscripción"</f>
        <v>Región de Los Ríos elecciones candidatos consejeros regionales senadores diputados alcaldes concejales municipal municipio comuna distrito cargos circunscripción</v>
      </c>
      <c r="S911" s="22" t="s">
        <v>423</v>
      </c>
      <c r="T911" s="69" t="str">
        <f>"100-C-"&amp;Agencia[[#This Row],[Filtro URL]]</f>
        <v>100-C-14</v>
      </c>
      <c r="U911" s="50" t="str">
        <f t="shared" si="1478"/>
        <v>#1774B9</v>
      </c>
      <c r="V911" s="118" t="str">
        <f>+Agencia[[#This Row],[idcoleccion]]&amp;"-"&amp;Agencia[[#This Row],[id]]</f>
        <v>990-0900</v>
      </c>
      <c r="W911" s="118">
        <f>+VLOOKUP(Agencia[[#This Row],[Filtro URL]],Estructura!$X$4:$Y$500,2,0)</f>
        <v>99200014</v>
      </c>
      <c r="X911" s="118" t="str">
        <f>+VLOOKUP(Agencia[[#This Row],[tema]],Estructura!$A$4:$C$500,3,0)</f>
        <v>T-1021</v>
      </c>
      <c r="Y911" s="118" t="str">
        <f>+VLOOKUP(Agencia[[#This Row],[contenido]],Estructura!$E$4:$G$500,3,0)</f>
        <v>C-994</v>
      </c>
      <c r="Z911" s="118" t="str">
        <f>+VLOOKUP(Agencia[[#This Row],[Filtro Integrado]],Estructura!$I$4:$K$500,3,0)</f>
        <v>FI-991</v>
      </c>
      <c r="AA911" s="118" t="str">
        <f>+VLOOKUP(Agencia[[#This Row],[Muestra]],Estructura!$M$4:$O$500,3,0)</f>
        <v>M-1071</v>
      </c>
    </row>
    <row r="912" spans="1:27" ht="51" x14ac:dyDescent="0.3">
      <c r="A912" s="21" t="s">
        <v>1808</v>
      </c>
      <c r="B912" s="24">
        <f t="shared" ref="B912:D912" si="1486">+B911</f>
        <v>990</v>
      </c>
      <c r="C912" s="25" t="str">
        <f t="shared" si="1486"/>
        <v>Agencia Información</v>
      </c>
      <c r="D912" s="25" t="str">
        <f t="shared" si="1486"/>
        <v>Política y Gobierno</v>
      </c>
      <c r="E912" s="19">
        <v>15</v>
      </c>
      <c r="F912" s="18" t="s">
        <v>1664</v>
      </c>
      <c r="G912" s="18" t="s">
        <v>1653</v>
      </c>
      <c r="H912" s="35" t="s">
        <v>16</v>
      </c>
      <c r="I912" s="36" t="s">
        <v>382</v>
      </c>
      <c r="J912" s="9" t="str">
        <f t="shared" ref="J912:N912" si="1487">+J911</f>
        <v>Comuna</v>
      </c>
      <c r="K912" s="9" t="str">
        <f t="shared" si="1487"/>
        <v>Cupos de elección popular por comuna</v>
      </c>
      <c r="L912" s="40">
        <f t="shared" si="1487"/>
        <v>0</v>
      </c>
      <c r="M912" s="9" t="str">
        <f t="shared" si="1487"/>
        <v>Número de cupos</v>
      </c>
      <c r="N912" s="9" t="str">
        <f t="shared" si="1487"/>
        <v>Servicio Electoral (SERVEL)</v>
      </c>
      <c r="O912" s="45" t="str">
        <f t="shared" si="1459"/>
        <v>Cupos para cargos de Elección Popular, a nivel regional y comunal en la Región de Arica y Parinacota</v>
      </c>
      <c r="P912" s="20"/>
      <c r="Q912" s="11" t="str">
        <f t="shared" si="1485"/>
        <v>Dashboard</v>
      </c>
      <c r="R912" s="20" t="str">
        <f>Agencia[[#This Row],[territorio]]&amp;" elecciones candidatos consejeros regionales senadores diputados alcaldes concejales municipal municipio comuna distrito cargos circunscripción"</f>
        <v>Región de Arica y Parinacota elecciones candidatos consejeros regionales senadores diputados alcaldes concejales municipal municipio comuna distrito cargos circunscripción</v>
      </c>
      <c r="S912" s="22" t="s">
        <v>423</v>
      </c>
      <c r="T912" s="69" t="str">
        <f>"100-C-"&amp;Agencia[[#This Row],[Filtro URL]]</f>
        <v>100-C-15</v>
      </c>
      <c r="U912" s="50" t="str">
        <f t="shared" si="1478"/>
        <v>#1774B9</v>
      </c>
      <c r="V912" s="118" t="str">
        <f>+Agencia[[#This Row],[idcoleccion]]&amp;"-"&amp;Agencia[[#This Row],[id]]</f>
        <v>990-0901</v>
      </c>
      <c r="W912" s="118">
        <f>+VLOOKUP(Agencia[[#This Row],[Filtro URL]],Estructura!$X$4:$Y$500,2,0)</f>
        <v>99200015</v>
      </c>
      <c r="X912" s="118" t="str">
        <f>+VLOOKUP(Agencia[[#This Row],[tema]],Estructura!$A$4:$C$500,3,0)</f>
        <v>T-1021</v>
      </c>
      <c r="Y912" s="118" t="str">
        <f>+VLOOKUP(Agencia[[#This Row],[contenido]],Estructura!$E$4:$G$500,3,0)</f>
        <v>C-994</v>
      </c>
      <c r="Z912" s="118" t="str">
        <f>+VLOOKUP(Agencia[[#This Row],[Filtro Integrado]],Estructura!$I$4:$K$500,3,0)</f>
        <v>FI-991</v>
      </c>
      <c r="AA912" s="118" t="str">
        <f>+VLOOKUP(Agencia[[#This Row],[Muestra]],Estructura!$M$4:$O$500,3,0)</f>
        <v>M-1071</v>
      </c>
    </row>
    <row r="913" spans="1:27" ht="40.799999999999997" x14ac:dyDescent="0.3">
      <c r="A913" s="21" t="s">
        <v>1809</v>
      </c>
      <c r="B913" s="24">
        <f t="shared" ref="B913:D913" si="1488">+B912</f>
        <v>990</v>
      </c>
      <c r="C913" s="25" t="str">
        <f t="shared" si="1488"/>
        <v>Agencia Información</v>
      </c>
      <c r="D913" s="25" t="str">
        <f t="shared" si="1488"/>
        <v>Política y Gobierno</v>
      </c>
      <c r="E913" s="19">
        <v>16</v>
      </c>
      <c r="F913" s="18" t="s">
        <v>1664</v>
      </c>
      <c r="G913" s="18" t="s">
        <v>1653</v>
      </c>
      <c r="H913" s="35" t="s">
        <v>16</v>
      </c>
      <c r="I913" s="36" t="s">
        <v>383</v>
      </c>
      <c r="J913" s="9" t="str">
        <f t="shared" ref="J913:N913" si="1489">+J912</f>
        <v>Comuna</v>
      </c>
      <c r="K913" s="9" t="str">
        <f t="shared" si="1489"/>
        <v>Cupos de elección popular por comuna</v>
      </c>
      <c r="L913" s="40">
        <f t="shared" si="1489"/>
        <v>0</v>
      </c>
      <c r="M913" s="9" t="str">
        <f t="shared" si="1489"/>
        <v>Número de cupos</v>
      </c>
      <c r="N913" s="9" t="str">
        <f t="shared" si="1489"/>
        <v>Servicio Electoral (SERVEL)</v>
      </c>
      <c r="O913" s="45" t="str">
        <f t="shared" si="1459"/>
        <v>Cupos para cargos de Elección Popular, a nivel regional y comunal en la Región de Ñuble</v>
      </c>
      <c r="P913" s="20"/>
      <c r="Q913" s="11" t="str">
        <f t="shared" si="1485"/>
        <v>Dashboard</v>
      </c>
      <c r="R913" s="20" t="str">
        <f>Agencia[[#This Row],[territorio]]&amp;" elecciones candidatos consejeros regionales senadores diputados alcaldes concejales municipal municipio comuna distrito cargos circunscripción"</f>
        <v>Región de Ñuble elecciones candidatos consejeros regionales senadores diputados alcaldes concejales municipal municipio comuna distrito cargos circunscripción</v>
      </c>
      <c r="S913" s="22" t="s">
        <v>423</v>
      </c>
      <c r="T913" s="69" t="str">
        <f>"100-C-"&amp;Agencia[[#This Row],[Filtro URL]]</f>
        <v>100-C-16</v>
      </c>
      <c r="U913" s="50" t="str">
        <f t="shared" si="1478"/>
        <v>#1774B9</v>
      </c>
      <c r="V913" s="118" t="str">
        <f>+Agencia[[#This Row],[idcoleccion]]&amp;"-"&amp;Agencia[[#This Row],[id]]</f>
        <v>990-0902</v>
      </c>
      <c r="W913" s="118">
        <f>+VLOOKUP(Agencia[[#This Row],[Filtro URL]],Estructura!$X$4:$Y$500,2,0)</f>
        <v>99200016</v>
      </c>
      <c r="X913" s="118" t="str">
        <f>+VLOOKUP(Agencia[[#This Row],[tema]],Estructura!$A$4:$C$500,3,0)</f>
        <v>T-1021</v>
      </c>
      <c r="Y913" s="118" t="str">
        <f>+VLOOKUP(Agencia[[#This Row],[contenido]],Estructura!$E$4:$G$500,3,0)</f>
        <v>C-994</v>
      </c>
      <c r="Z913" s="118" t="str">
        <f>+VLOOKUP(Agencia[[#This Row],[Filtro Integrado]],Estructura!$I$4:$K$500,3,0)</f>
        <v>FI-991</v>
      </c>
      <c r="AA913" s="118" t="str">
        <f>+VLOOKUP(Agencia[[#This Row],[Muestra]],Estructura!$M$4:$O$500,3,0)</f>
        <v>M-1071</v>
      </c>
    </row>
    <row r="914" spans="1:27" ht="36" x14ac:dyDescent="0.3">
      <c r="A914" s="21" t="s">
        <v>1810</v>
      </c>
      <c r="B914" s="24">
        <f t="shared" ref="B914:C914" si="1490">+B913</f>
        <v>990</v>
      </c>
      <c r="C914" s="25" t="str">
        <f t="shared" si="1490"/>
        <v>Agencia Información</v>
      </c>
      <c r="D914" s="25" t="s">
        <v>881</v>
      </c>
      <c r="E914" s="14">
        <v>0</v>
      </c>
      <c r="F914" s="18" t="s">
        <v>1669</v>
      </c>
      <c r="G914" s="18" t="s">
        <v>1601</v>
      </c>
      <c r="H914" s="33" t="s">
        <v>20</v>
      </c>
      <c r="I914" s="34" t="s">
        <v>15</v>
      </c>
      <c r="J914" s="9" t="s">
        <v>1032</v>
      </c>
      <c r="K914" s="9" t="s">
        <v>1672</v>
      </c>
      <c r="L914" s="38" t="s">
        <v>1666</v>
      </c>
      <c r="M914" s="9" t="s">
        <v>1599</v>
      </c>
      <c r="N914" s="9" t="s">
        <v>885</v>
      </c>
      <c r="O914" s="45" t="str">
        <f>+"Número de empresas vigentes según año de inicio de actividades y tipo de contribuyente en "&amp;I914&amp;", "&amp;Agencia[[#This Row],[temporalidad]]</f>
        <v>Número de empresas vigentes según año de inicio de actividades y tipo de contribuyente en Chile, Periodo 1993-2019</v>
      </c>
      <c r="P914" s="20"/>
      <c r="Q914" s="11" t="s">
        <v>821</v>
      </c>
      <c r="R914" s="20" t="str">
        <f>Agencia[[#This Row],[territorio]]&amp;" evolución anual cantidad número empresas tipo contribuyente SII regional activas año tributario fiscal inicio actividades"</f>
        <v>Chile evolución anual cantidad número empresas tipo contribuyente SII regional activas año tributario fiscal inicio actividades</v>
      </c>
      <c r="S914" s="39" t="s">
        <v>1668</v>
      </c>
      <c r="T914" s="68" t="s">
        <v>1033</v>
      </c>
      <c r="U914" s="50" t="str">
        <f t="shared" si="1478"/>
        <v>#1774B9</v>
      </c>
      <c r="V914" s="118" t="str">
        <f>+Agencia[[#This Row],[idcoleccion]]&amp;"-"&amp;Agencia[[#This Row],[id]]</f>
        <v>990-0903</v>
      </c>
      <c r="W914" s="118">
        <f>+VLOOKUP(Agencia[[#This Row],[Filtro URL]],Estructura!$X$4:$Y$500,2,0)</f>
        <v>99100000</v>
      </c>
      <c r="X914" s="118" t="str">
        <f>+VLOOKUP(Agencia[[#This Row],[tema]],Estructura!$A$4:$C$500,3,0)</f>
        <v>T-1022</v>
      </c>
      <c r="Y914" s="118" t="str">
        <f>+VLOOKUP(Agencia[[#This Row],[contenido]],Estructura!$E$4:$G$500,3,0)</f>
        <v>C-993</v>
      </c>
      <c r="Z914" s="118" t="str">
        <f>+VLOOKUP(Agencia[[#This Row],[Filtro Integrado]],Estructura!$I$4:$K$500,3,0)</f>
        <v>FI-994</v>
      </c>
      <c r="AA914" s="118" t="str">
        <f>+VLOOKUP(Agencia[[#This Row],[Muestra]],Estructura!$M$4:$O$500,3,0)</f>
        <v>M-1072</v>
      </c>
    </row>
    <row r="915" spans="1:27" ht="57.6" x14ac:dyDescent="0.3">
      <c r="A915" s="21" t="s">
        <v>1811</v>
      </c>
      <c r="B915" s="24">
        <f t="shared" ref="B915:D915" si="1491">+B914</f>
        <v>990</v>
      </c>
      <c r="C915" s="25" t="str">
        <f t="shared" si="1491"/>
        <v>Agencia Información</v>
      </c>
      <c r="D915" s="25" t="str">
        <f t="shared" si="1491"/>
        <v>Economía</v>
      </c>
      <c r="E915" s="19">
        <v>1</v>
      </c>
      <c r="F915" s="18" t="s">
        <v>1669</v>
      </c>
      <c r="G915" s="18" t="s">
        <v>1601</v>
      </c>
      <c r="H915" s="35" t="s">
        <v>16</v>
      </c>
      <c r="I915" s="36" t="s">
        <v>368</v>
      </c>
      <c r="J915" s="9" t="s">
        <v>18</v>
      </c>
      <c r="K915" s="9" t="s">
        <v>1662</v>
      </c>
      <c r="L915" s="38" t="str">
        <f t="shared" ref="L915:N915" si="1492">+L914</f>
        <v>Periodo 1993-2019</v>
      </c>
      <c r="M915" s="9" t="str">
        <f t="shared" si="1492"/>
        <v>Número de empresas</v>
      </c>
      <c r="N915" s="9" t="str">
        <f t="shared" si="1492"/>
        <v>Servicio de Impuestos Internos (SII)</v>
      </c>
      <c r="O915" s="45" t="str">
        <f>+"Número de empresas vigentes según año de inicio de actividades y tipo de contribuyente en la "&amp;I915&amp;", "&amp;Agencia[[#This Row],[temporalidad]]</f>
        <v>Número de empresas vigentes según año de inicio de actividades y tipo de contribuyente en la Región de Tarapacá, Periodo 1993-2019</v>
      </c>
      <c r="P915" s="20"/>
      <c r="Q915" s="11" t="str">
        <f t="shared" ref="Q915:Q978" si="1493">+Q914</f>
        <v>Gráfico de Evolución</v>
      </c>
      <c r="R915" s="20" t="str">
        <f>Agencia[[#This Row],[territorio]]&amp;" evolución anual cantidad número empresas tipo contribuyente SII regional activas año tributario fiscal inicio actividades"</f>
        <v>Región de Tarapacá evolución anual cantidad número empresas tipo contribuyente SII regional activas año tributario fiscal inicio actividades</v>
      </c>
      <c r="S915" s="39" t="str">
        <f>HYPERLINK("https://analytics.zoho.com/open-view/2395394000008062255?ZOHO_CRITERIA=%22Directorio_Todo%22.%22Cod_Regi%C3%B3n%22%3D"&amp;Agencia[[#This Row],[Filtro URL]])</f>
        <v>https://analytics.zoho.com/open-view/2395394000008062255?ZOHO_CRITERIA=%22Directorio_Todo%22.%22Cod_Regi%C3%B3n%22%3D1</v>
      </c>
      <c r="T915" s="69" t="str">
        <f>"100-C-"&amp;Agencia[[#This Row],[Filtro URL]]</f>
        <v>100-C-1</v>
      </c>
      <c r="U915" s="50" t="str">
        <f t="shared" si="1478"/>
        <v>#1774B9</v>
      </c>
      <c r="V915" s="118" t="str">
        <f>+Agencia[[#This Row],[idcoleccion]]&amp;"-"&amp;Agencia[[#This Row],[id]]</f>
        <v>990-0904</v>
      </c>
      <c r="W915" s="118">
        <f>+VLOOKUP(Agencia[[#This Row],[Filtro URL]],Estructura!$X$4:$Y$500,2,0)</f>
        <v>99200001</v>
      </c>
      <c r="X915" s="118" t="str">
        <f>+VLOOKUP(Agencia[[#This Row],[tema]],Estructura!$A$4:$C$500,3,0)</f>
        <v>T-1022</v>
      </c>
      <c r="Y915" s="118" t="str">
        <f>+VLOOKUP(Agencia[[#This Row],[contenido]],Estructura!$E$4:$G$500,3,0)</f>
        <v>C-993</v>
      </c>
      <c r="Z915" s="118" t="str">
        <f>+VLOOKUP(Agencia[[#This Row],[Filtro Integrado]],Estructura!$I$4:$K$500,3,0)</f>
        <v>FI-991</v>
      </c>
      <c r="AA915" s="118" t="str">
        <f>+VLOOKUP(Agencia[[#This Row],[Muestra]],Estructura!$M$4:$O$500,3,0)</f>
        <v>M-1071</v>
      </c>
    </row>
    <row r="916" spans="1:27" ht="91.8" x14ac:dyDescent="0.3">
      <c r="A916" s="21" t="s">
        <v>1812</v>
      </c>
      <c r="B916" s="24">
        <f t="shared" ref="B916:D916" si="1494">+B915</f>
        <v>990</v>
      </c>
      <c r="C916" s="25" t="str">
        <f t="shared" si="1494"/>
        <v>Agencia Información</v>
      </c>
      <c r="D916" s="25" t="str">
        <f t="shared" si="1494"/>
        <v>Economía</v>
      </c>
      <c r="E916" s="19">
        <v>2</v>
      </c>
      <c r="F916" s="18" t="s">
        <v>1669</v>
      </c>
      <c r="G916" s="18" t="s">
        <v>1601</v>
      </c>
      <c r="H916" s="35" t="s">
        <v>16</v>
      </c>
      <c r="I916" s="36" t="s">
        <v>369</v>
      </c>
      <c r="J916" s="9" t="str">
        <f t="shared" ref="J916:N916" si="1495">+J915</f>
        <v>Comuna</v>
      </c>
      <c r="K916" s="9" t="str">
        <f t="shared" si="1495"/>
        <v>Cupos de elección popular por comuna</v>
      </c>
      <c r="L916" s="38" t="str">
        <f t="shared" si="1495"/>
        <v>Periodo 1993-2019</v>
      </c>
      <c r="M916" s="9" t="str">
        <f t="shared" si="1495"/>
        <v>Número de empresas</v>
      </c>
      <c r="N916" s="9" t="str">
        <f t="shared" si="1495"/>
        <v>Servicio de Impuestos Internos (SII)</v>
      </c>
      <c r="O916" s="45" t="str">
        <f>+"Número de empresas vigentes según año de inicio de actividades y tipo de contribuyente en la "&amp;I916&amp;", "&amp;Agencia[[#This Row],[temporalidad]]</f>
        <v>Número de empresas vigentes según año de inicio de actividades y tipo de contribuyente en la Región de Antofagasta, Periodo 1993-2019</v>
      </c>
      <c r="P916" s="20" t="s">
        <v>1667</v>
      </c>
      <c r="Q916" s="11" t="str">
        <f t="shared" si="1493"/>
        <v>Gráfico de Evolución</v>
      </c>
      <c r="R916" s="20" t="str">
        <f>Agencia[[#This Row],[territorio]]&amp;" evolución anual cantidad número empresas tipo contribuyente SII regional activas año tributario fiscal inicio actividades"</f>
        <v>Región de Antofagasta evolución anual cantidad número empresas tipo contribuyente SII regional activas año tributario fiscal inicio actividades</v>
      </c>
      <c r="S916" s="39" t="str">
        <f>HYPERLINK("https://analytics.zoho.com/open-view/2395394000008062255?ZOHO_CRITERIA=%22Directorio_Todo%22.%22Cod_Regi%C3%B3n%22%3D"&amp;Agencia[[#This Row],[Filtro URL]])</f>
        <v>https://analytics.zoho.com/open-view/2395394000008062255?ZOHO_CRITERIA=%22Directorio_Todo%22.%22Cod_Regi%C3%B3n%22%3D2</v>
      </c>
      <c r="T916" s="69" t="str">
        <f>"100-C-"&amp;Agencia[[#This Row],[Filtro URL]]</f>
        <v>100-C-2</v>
      </c>
      <c r="U916" s="50" t="str">
        <f t="shared" si="1478"/>
        <v>#1774B9</v>
      </c>
      <c r="V916" s="118" t="str">
        <f>+Agencia[[#This Row],[idcoleccion]]&amp;"-"&amp;Agencia[[#This Row],[id]]</f>
        <v>990-0905</v>
      </c>
      <c r="W916" s="118">
        <f>+VLOOKUP(Agencia[[#This Row],[Filtro URL]],Estructura!$X$4:$Y$500,2,0)</f>
        <v>99200002</v>
      </c>
      <c r="X916" s="118" t="str">
        <f>+VLOOKUP(Agencia[[#This Row],[tema]],Estructura!$A$4:$C$500,3,0)</f>
        <v>T-1022</v>
      </c>
      <c r="Y916" s="118" t="str">
        <f>+VLOOKUP(Agencia[[#This Row],[contenido]],Estructura!$E$4:$G$500,3,0)</f>
        <v>C-993</v>
      </c>
      <c r="Z916" s="118" t="str">
        <f>+VLOOKUP(Agencia[[#This Row],[Filtro Integrado]],Estructura!$I$4:$K$500,3,0)</f>
        <v>FI-991</v>
      </c>
      <c r="AA916" s="118" t="str">
        <f>+VLOOKUP(Agencia[[#This Row],[Muestra]],Estructura!$M$4:$O$500,3,0)</f>
        <v>M-1071</v>
      </c>
    </row>
    <row r="917" spans="1:27" ht="57.6" x14ac:dyDescent="0.3">
      <c r="A917" s="21" t="s">
        <v>1813</v>
      </c>
      <c r="B917" s="24">
        <f t="shared" ref="B917:D917" si="1496">+B916</f>
        <v>990</v>
      </c>
      <c r="C917" s="25" t="str">
        <f t="shared" si="1496"/>
        <v>Agencia Información</v>
      </c>
      <c r="D917" s="25" t="str">
        <f t="shared" si="1496"/>
        <v>Economía</v>
      </c>
      <c r="E917" s="19">
        <v>3</v>
      </c>
      <c r="F917" s="18" t="s">
        <v>1669</v>
      </c>
      <c r="G917" s="18" t="s">
        <v>1601</v>
      </c>
      <c r="H917" s="35" t="s">
        <v>16</v>
      </c>
      <c r="I917" s="36" t="s">
        <v>370</v>
      </c>
      <c r="J917" s="9" t="str">
        <f t="shared" ref="J917:N917" si="1497">+J916</f>
        <v>Comuna</v>
      </c>
      <c r="K917" s="9" t="str">
        <f t="shared" si="1497"/>
        <v>Cupos de elección popular por comuna</v>
      </c>
      <c r="L917" s="38" t="str">
        <f t="shared" si="1497"/>
        <v>Periodo 1993-2019</v>
      </c>
      <c r="M917" s="9" t="str">
        <f t="shared" si="1497"/>
        <v>Número de empresas</v>
      </c>
      <c r="N917" s="9" t="str">
        <f t="shared" si="1497"/>
        <v>Servicio de Impuestos Internos (SII)</v>
      </c>
      <c r="O917" s="45" t="str">
        <f>+"Número de empresas vigentes según año de inicio de actividades y tipo de contribuyente en la "&amp;I917&amp;", "&amp;Agencia[[#This Row],[temporalidad]]</f>
        <v>Número de empresas vigentes según año de inicio de actividades y tipo de contribuyente en la Región de Atacama, Periodo 1993-2019</v>
      </c>
      <c r="P917" s="20"/>
      <c r="Q917" s="11" t="str">
        <f t="shared" si="1493"/>
        <v>Gráfico de Evolución</v>
      </c>
      <c r="R917" s="20" t="str">
        <f>Agencia[[#This Row],[territorio]]&amp;" evolución anual cantidad número empresas tipo contribuyente SII regional activas año tributario fiscal inicio actividades"</f>
        <v>Región de Atacama evolución anual cantidad número empresas tipo contribuyente SII regional activas año tributario fiscal inicio actividades</v>
      </c>
      <c r="S917" s="39" t="str">
        <f>HYPERLINK("https://analytics.zoho.com/open-view/2395394000008062255?ZOHO_CRITERIA=%22Directorio_Todo%22.%22Cod_Regi%C3%B3n%22%3D"&amp;Agencia[[#This Row],[Filtro URL]])</f>
        <v>https://analytics.zoho.com/open-view/2395394000008062255?ZOHO_CRITERIA=%22Directorio_Todo%22.%22Cod_Regi%C3%B3n%22%3D3</v>
      </c>
      <c r="T917" s="69" t="str">
        <f>"100-C-"&amp;Agencia[[#This Row],[Filtro URL]]</f>
        <v>100-C-3</v>
      </c>
      <c r="U917" s="50" t="str">
        <f t="shared" si="1478"/>
        <v>#1774B9</v>
      </c>
      <c r="V917" s="118" t="str">
        <f>+Agencia[[#This Row],[idcoleccion]]&amp;"-"&amp;Agencia[[#This Row],[id]]</f>
        <v>990-0906</v>
      </c>
      <c r="W917" s="118">
        <f>+VLOOKUP(Agencia[[#This Row],[Filtro URL]],Estructura!$X$4:$Y$500,2,0)</f>
        <v>99200003</v>
      </c>
      <c r="X917" s="118" t="str">
        <f>+VLOOKUP(Agencia[[#This Row],[tema]],Estructura!$A$4:$C$500,3,0)</f>
        <v>T-1022</v>
      </c>
      <c r="Y917" s="118" t="str">
        <f>+VLOOKUP(Agencia[[#This Row],[contenido]],Estructura!$E$4:$G$500,3,0)</f>
        <v>C-993</v>
      </c>
      <c r="Z917" s="118" t="str">
        <f>+VLOOKUP(Agencia[[#This Row],[Filtro Integrado]],Estructura!$I$4:$K$500,3,0)</f>
        <v>FI-991</v>
      </c>
      <c r="AA917" s="118" t="str">
        <f>+VLOOKUP(Agencia[[#This Row],[Muestra]],Estructura!$M$4:$O$500,3,0)</f>
        <v>M-1071</v>
      </c>
    </row>
    <row r="918" spans="1:27" ht="57.6" x14ac:dyDescent="0.3">
      <c r="A918" s="21" t="s">
        <v>1814</v>
      </c>
      <c r="B918" s="24">
        <f t="shared" ref="B918:D918" si="1498">+B917</f>
        <v>990</v>
      </c>
      <c r="C918" s="25" t="str">
        <f t="shared" si="1498"/>
        <v>Agencia Información</v>
      </c>
      <c r="D918" s="25" t="str">
        <f t="shared" si="1498"/>
        <v>Economía</v>
      </c>
      <c r="E918" s="19">
        <v>4</v>
      </c>
      <c r="F918" s="18" t="s">
        <v>1669</v>
      </c>
      <c r="G918" s="18" t="s">
        <v>1601</v>
      </c>
      <c r="H918" s="35" t="s">
        <v>16</v>
      </c>
      <c r="I918" s="36" t="s">
        <v>371</v>
      </c>
      <c r="J918" s="9" t="str">
        <f t="shared" ref="J918:N918" si="1499">+J917</f>
        <v>Comuna</v>
      </c>
      <c r="K918" s="9" t="str">
        <f t="shared" si="1499"/>
        <v>Cupos de elección popular por comuna</v>
      </c>
      <c r="L918" s="38" t="str">
        <f t="shared" si="1499"/>
        <v>Periodo 1993-2019</v>
      </c>
      <c r="M918" s="9" t="str">
        <f t="shared" si="1499"/>
        <v>Número de empresas</v>
      </c>
      <c r="N918" s="9" t="str">
        <f t="shared" si="1499"/>
        <v>Servicio de Impuestos Internos (SII)</v>
      </c>
      <c r="O918" s="45" t="str">
        <f>+"Número de empresas vigentes según año de inicio de actividades y tipo de contribuyente en la "&amp;I918&amp;", "&amp;Agencia[[#This Row],[temporalidad]]</f>
        <v>Número de empresas vigentes según año de inicio de actividades y tipo de contribuyente en la Región de Coquimbo, Periodo 1993-2019</v>
      </c>
      <c r="P918" s="20"/>
      <c r="Q918" s="11" t="str">
        <f t="shared" si="1493"/>
        <v>Gráfico de Evolución</v>
      </c>
      <c r="R918" s="20" t="str">
        <f>Agencia[[#This Row],[territorio]]&amp;" evolución anual cantidad número empresas tipo contribuyente SII regional activas año tributario fiscal inicio actividades"</f>
        <v>Región de Coquimbo evolución anual cantidad número empresas tipo contribuyente SII regional activas año tributario fiscal inicio actividades</v>
      </c>
      <c r="S918" s="39" t="str">
        <f>HYPERLINK("https://analytics.zoho.com/open-view/2395394000008062255?ZOHO_CRITERIA=%22Directorio_Todo%22.%22Cod_Regi%C3%B3n%22%3D"&amp;Agencia[[#This Row],[Filtro URL]])</f>
        <v>https://analytics.zoho.com/open-view/2395394000008062255?ZOHO_CRITERIA=%22Directorio_Todo%22.%22Cod_Regi%C3%B3n%22%3D4</v>
      </c>
      <c r="T918" s="69" t="str">
        <f>"100-C-"&amp;Agencia[[#This Row],[Filtro URL]]</f>
        <v>100-C-4</v>
      </c>
      <c r="U918" s="50" t="str">
        <f t="shared" si="1478"/>
        <v>#1774B9</v>
      </c>
      <c r="V918" s="118" t="str">
        <f>+Agencia[[#This Row],[idcoleccion]]&amp;"-"&amp;Agencia[[#This Row],[id]]</f>
        <v>990-0907</v>
      </c>
      <c r="W918" s="118">
        <f>+VLOOKUP(Agencia[[#This Row],[Filtro URL]],Estructura!$X$4:$Y$500,2,0)</f>
        <v>99200004</v>
      </c>
      <c r="X918" s="118" t="str">
        <f>+VLOOKUP(Agencia[[#This Row],[tema]],Estructura!$A$4:$C$500,3,0)</f>
        <v>T-1022</v>
      </c>
      <c r="Y918" s="118" t="str">
        <f>+VLOOKUP(Agencia[[#This Row],[contenido]],Estructura!$E$4:$G$500,3,0)</f>
        <v>C-993</v>
      </c>
      <c r="Z918" s="118" t="str">
        <f>+VLOOKUP(Agencia[[#This Row],[Filtro Integrado]],Estructura!$I$4:$K$500,3,0)</f>
        <v>FI-991</v>
      </c>
      <c r="AA918" s="118" t="str">
        <f>+VLOOKUP(Agencia[[#This Row],[Muestra]],Estructura!$M$4:$O$500,3,0)</f>
        <v>M-1071</v>
      </c>
    </row>
    <row r="919" spans="1:27" ht="57.6" x14ac:dyDescent="0.3">
      <c r="A919" s="21" t="s">
        <v>1815</v>
      </c>
      <c r="B919" s="24">
        <f t="shared" ref="B919:D919" si="1500">+B918</f>
        <v>990</v>
      </c>
      <c r="C919" s="25" t="str">
        <f t="shared" si="1500"/>
        <v>Agencia Información</v>
      </c>
      <c r="D919" s="25" t="str">
        <f t="shared" si="1500"/>
        <v>Economía</v>
      </c>
      <c r="E919" s="19">
        <v>5</v>
      </c>
      <c r="F919" s="18" t="s">
        <v>1669</v>
      </c>
      <c r="G919" s="18" t="s">
        <v>1601</v>
      </c>
      <c r="H919" s="35" t="s">
        <v>16</v>
      </c>
      <c r="I919" s="36" t="s">
        <v>372</v>
      </c>
      <c r="J919" s="9" t="str">
        <f t="shared" ref="J919:N919" si="1501">+J918</f>
        <v>Comuna</v>
      </c>
      <c r="K919" s="9" t="str">
        <f t="shared" si="1501"/>
        <v>Cupos de elección popular por comuna</v>
      </c>
      <c r="L919" s="38" t="str">
        <f t="shared" si="1501"/>
        <v>Periodo 1993-2019</v>
      </c>
      <c r="M919" s="9" t="str">
        <f t="shared" si="1501"/>
        <v>Número de empresas</v>
      </c>
      <c r="N919" s="9" t="str">
        <f t="shared" si="1501"/>
        <v>Servicio de Impuestos Internos (SII)</v>
      </c>
      <c r="O919" s="45" t="str">
        <f>+"Número de empresas vigentes según año de inicio de actividades y tipo de contribuyente en la "&amp;I919&amp;", "&amp;Agencia[[#This Row],[temporalidad]]</f>
        <v>Número de empresas vigentes según año de inicio de actividades y tipo de contribuyente en la Región de Valparaíso, Periodo 1993-2019</v>
      </c>
      <c r="P919" s="20"/>
      <c r="Q919" s="11" t="str">
        <f t="shared" si="1493"/>
        <v>Gráfico de Evolución</v>
      </c>
      <c r="R919" s="20" t="str">
        <f>Agencia[[#This Row],[territorio]]&amp;" evolución anual cantidad número empresas tipo contribuyente SII regional activas año tributario fiscal inicio actividades"</f>
        <v>Región de Valparaíso evolución anual cantidad número empresas tipo contribuyente SII regional activas año tributario fiscal inicio actividades</v>
      </c>
      <c r="S919" s="39" t="str">
        <f>HYPERLINK("https://analytics.zoho.com/open-view/2395394000008062255?ZOHO_CRITERIA=%22Directorio_Todo%22.%22Cod_Regi%C3%B3n%22%3D"&amp;Agencia[[#This Row],[Filtro URL]])</f>
        <v>https://analytics.zoho.com/open-view/2395394000008062255?ZOHO_CRITERIA=%22Directorio_Todo%22.%22Cod_Regi%C3%B3n%22%3D5</v>
      </c>
      <c r="T919" s="69" t="str">
        <f>"100-C-"&amp;Agencia[[#This Row],[Filtro URL]]</f>
        <v>100-C-5</v>
      </c>
      <c r="U919" s="50" t="str">
        <f t="shared" si="1478"/>
        <v>#1774B9</v>
      </c>
      <c r="V919" s="118" t="str">
        <f>+Agencia[[#This Row],[idcoleccion]]&amp;"-"&amp;Agencia[[#This Row],[id]]</f>
        <v>990-0908</v>
      </c>
      <c r="W919" s="118">
        <f>+VLOOKUP(Agencia[[#This Row],[Filtro URL]],Estructura!$X$4:$Y$500,2,0)</f>
        <v>99200005</v>
      </c>
      <c r="X919" s="118" t="str">
        <f>+VLOOKUP(Agencia[[#This Row],[tema]],Estructura!$A$4:$C$500,3,0)</f>
        <v>T-1022</v>
      </c>
      <c r="Y919" s="118" t="str">
        <f>+VLOOKUP(Agencia[[#This Row],[contenido]],Estructura!$E$4:$G$500,3,0)</f>
        <v>C-993</v>
      </c>
      <c r="Z919" s="118" t="str">
        <f>+VLOOKUP(Agencia[[#This Row],[Filtro Integrado]],Estructura!$I$4:$K$500,3,0)</f>
        <v>FI-991</v>
      </c>
      <c r="AA919" s="118" t="str">
        <f>+VLOOKUP(Agencia[[#This Row],[Muestra]],Estructura!$M$4:$O$500,3,0)</f>
        <v>M-1071</v>
      </c>
    </row>
    <row r="920" spans="1:27" ht="57.6" x14ac:dyDescent="0.3">
      <c r="A920" s="21" t="s">
        <v>1816</v>
      </c>
      <c r="B920" s="24">
        <f t="shared" ref="B920:D920" si="1502">+B919</f>
        <v>990</v>
      </c>
      <c r="C920" s="25" t="str">
        <f t="shared" si="1502"/>
        <v>Agencia Información</v>
      </c>
      <c r="D920" s="25" t="str">
        <f t="shared" si="1502"/>
        <v>Economía</v>
      </c>
      <c r="E920" s="19">
        <v>6</v>
      </c>
      <c r="F920" s="18" t="s">
        <v>1669</v>
      </c>
      <c r="G920" s="18" t="s">
        <v>1601</v>
      </c>
      <c r="H920" s="35" t="s">
        <v>16</v>
      </c>
      <c r="I920" s="36" t="s">
        <v>373</v>
      </c>
      <c r="J920" s="9" t="str">
        <f t="shared" ref="J920:N920" si="1503">+J919</f>
        <v>Comuna</v>
      </c>
      <c r="K920" s="9" t="str">
        <f t="shared" si="1503"/>
        <v>Cupos de elección popular por comuna</v>
      </c>
      <c r="L920" s="38" t="str">
        <f t="shared" si="1503"/>
        <v>Periodo 1993-2019</v>
      </c>
      <c r="M920" s="9" t="str">
        <f t="shared" si="1503"/>
        <v>Número de empresas</v>
      </c>
      <c r="N920" s="9" t="str">
        <f t="shared" si="1503"/>
        <v>Servicio de Impuestos Internos (SII)</v>
      </c>
      <c r="O920" s="45" t="str">
        <f>+"Número de empresas vigentes según año de inicio de actividades y tipo de contribuyente en la "&amp;I920&amp;", "&amp;Agencia[[#This Row],[temporalidad]]</f>
        <v>Número de empresas vigentes según año de inicio de actividades y tipo de contribuyente en la Región de O'Higgins, Periodo 1993-2019</v>
      </c>
      <c r="P920" s="20"/>
      <c r="Q920" s="11" t="str">
        <f t="shared" si="1493"/>
        <v>Gráfico de Evolución</v>
      </c>
      <c r="R920" s="20" t="str">
        <f>Agencia[[#This Row],[territorio]]&amp;" evolución anual cantidad número empresas tipo contribuyente SII regional activas año tributario fiscal inicio actividades"</f>
        <v>Región de O'Higgins evolución anual cantidad número empresas tipo contribuyente SII regional activas año tributario fiscal inicio actividades</v>
      </c>
      <c r="S920" s="39" t="str">
        <f>HYPERLINK("https://analytics.zoho.com/open-view/2395394000008062255?ZOHO_CRITERIA=%22Directorio_Todo%22.%22Cod_Regi%C3%B3n%22%3D"&amp;Agencia[[#This Row],[Filtro URL]])</f>
        <v>https://analytics.zoho.com/open-view/2395394000008062255?ZOHO_CRITERIA=%22Directorio_Todo%22.%22Cod_Regi%C3%B3n%22%3D6</v>
      </c>
      <c r="T920" s="69" t="str">
        <f>"100-C-"&amp;Agencia[[#This Row],[Filtro URL]]</f>
        <v>100-C-6</v>
      </c>
      <c r="U920" s="50" t="str">
        <f t="shared" si="1478"/>
        <v>#1774B9</v>
      </c>
      <c r="V920" s="118" t="str">
        <f>+Agencia[[#This Row],[idcoleccion]]&amp;"-"&amp;Agencia[[#This Row],[id]]</f>
        <v>990-0909</v>
      </c>
      <c r="W920" s="118">
        <f>+VLOOKUP(Agencia[[#This Row],[Filtro URL]],Estructura!$X$4:$Y$500,2,0)</f>
        <v>99200006</v>
      </c>
      <c r="X920" s="118" t="str">
        <f>+VLOOKUP(Agencia[[#This Row],[tema]],Estructura!$A$4:$C$500,3,0)</f>
        <v>T-1022</v>
      </c>
      <c r="Y920" s="118" t="str">
        <f>+VLOOKUP(Agencia[[#This Row],[contenido]],Estructura!$E$4:$G$500,3,0)</f>
        <v>C-993</v>
      </c>
      <c r="Z920" s="118" t="str">
        <f>+VLOOKUP(Agencia[[#This Row],[Filtro Integrado]],Estructura!$I$4:$K$500,3,0)</f>
        <v>FI-991</v>
      </c>
      <c r="AA920" s="118" t="str">
        <f>+VLOOKUP(Agencia[[#This Row],[Muestra]],Estructura!$M$4:$O$500,3,0)</f>
        <v>M-1071</v>
      </c>
    </row>
    <row r="921" spans="1:27" ht="57.6" x14ac:dyDescent="0.3">
      <c r="A921" s="21" t="s">
        <v>1817</v>
      </c>
      <c r="B921" s="24">
        <f t="shared" ref="B921:D921" si="1504">+B920</f>
        <v>990</v>
      </c>
      <c r="C921" s="25" t="str">
        <f t="shared" si="1504"/>
        <v>Agencia Información</v>
      </c>
      <c r="D921" s="25" t="str">
        <f t="shared" si="1504"/>
        <v>Economía</v>
      </c>
      <c r="E921" s="19">
        <v>7</v>
      </c>
      <c r="F921" s="18" t="s">
        <v>1669</v>
      </c>
      <c r="G921" s="18" t="s">
        <v>1601</v>
      </c>
      <c r="H921" s="35" t="s">
        <v>16</v>
      </c>
      <c r="I921" s="36" t="s">
        <v>374</v>
      </c>
      <c r="J921" s="9" t="str">
        <f t="shared" ref="J921:N921" si="1505">+J920</f>
        <v>Comuna</v>
      </c>
      <c r="K921" s="9" t="str">
        <f t="shared" si="1505"/>
        <v>Cupos de elección popular por comuna</v>
      </c>
      <c r="L921" s="38" t="str">
        <f t="shared" si="1505"/>
        <v>Periodo 1993-2019</v>
      </c>
      <c r="M921" s="9" t="str">
        <f t="shared" si="1505"/>
        <v>Número de empresas</v>
      </c>
      <c r="N921" s="9" t="str">
        <f t="shared" si="1505"/>
        <v>Servicio de Impuestos Internos (SII)</v>
      </c>
      <c r="O921" s="45" t="str">
        <f>+"Número de empresas vigentes según año de inicio de actividades y tipo de contribuyente en la "&amp;I921&amp;", "&amp;Agencia[[#This Row],[temporalidad]]</f>
        <v>Número de empresas vigentes según año de inicio de actividades y tipo de contribuyente en la Región de Maule, Periodo 1993-2019</v>
      </c>
      <c r="P921" s="20"/>
      <c r="Q921" s="11" t="str">
        <f t="shared" si="1493"/>
        <v>Gráfico de Evolución</v>
      </c>
      <c r="R921" s="20" t="str">
        <f>Agencia[[#This Row],[territorio]]&amp;" evolución anual cantidad número empresas tipo contribuyente SII regional activas año tributario fiscal inicio actividades"</f>
        <v>Región de Maule evolución anual cantidad número empresas tipo contribuyente SII regional activas año tributario fiscal inicio actividades</v>
      </c>
      <c r="S921" s="39" t="str">
        <f>HYPERLINK("https://analytics.zoho.com/open-view/2395394000008062255?ZOHO_CRITERIA=%22Directorio_Todo%22.%22Cod_Regi%C3%B3n%22%3D"&amp;Agencia[[#This Row],[Filtro URL]])</f>
        <v>https://analytics.zoho.com/open-view/2395394000008062255?ZOHO_CRITERIA=%22Directorio_Todo%22.%22Cod_Regi%C3%B3n%22%3D7</v>
      </c>
      <c r="T921" s="69" t="str">
        <f>"100-C-"&amp;Agencia[[#This Row],[Filtro URL]]</f>
        <v>100-C-7</v>
      </c>
      <c r="U921" s="50" t="str">
        <f t="shared" si="1478"/>
        <v>#1774B9</v>
      </c>
      <c r="V921" s="118" t="str">
        <f>+Agencia[[#This Row],[idcoleccion]]&amp;"-"&amp;Agencia[[#This Row],[id]]</f>
        <v>990-0910</v>
      </c>
      <c r="W921" s="118">
        <f>+VLOOKUP(Agencia[[#This Row],[Filtro URL]],Estructura!$X$4:$Y$500,2,0)</f>
        <v>99200007</v>
      </c>
      <c r="X921" s="118" t="str">
        <f>+VLOOKUP(Agencia[[#This Row],[tema]],Estructura!$A$4:$C$500,3,0)</f>
        <v>T-1022</v>
      </c>
      <c r="Y921" s="118" t="str">
        <f>+VLOOKUP(Agencia[[#This Row],[contenido]],Estructura!$E$4:$G$500,3,0)</f>
        <v>C-993</v>
      </c>
      <c r="Z921" s="118" t="str">
        <f>+VLOOKUP(Agencia[[#This Row],[Filtro Integrado]],Estructura!$I$4:$K$500,3,0)</f>
        <v>FI-991</v>
      </c>
      <c r="AA921" s="118" t="str">
        <f>+VLOOKUP(Agencia[[#This Row],[Muestra]],Estructura!$M$4:$O$500,3,0)</f>
        <v>M-1071</v>
      </c>
    </row>
    <row r="922" spans="1:27" ht="57.6" x14ac:dyDescent="0.3">
      <c r="A922" s="21" t="s">
        <v>1818</v>
      </c>
      <c r="B922" s="24">
        <f t="shared" ref="B922:D922" si="1506">+B921</f>
        <v>990</v>
      </c>
      <c r="C922" s="25" t="str">
        <f t="shared" si="1506"/>
        <v>Agencia Información</v>
      </c>
      <c r="D922" s="25" t="str">
        <f t="shared" si="1506"/>
        <v>Economía</v>
      </c>
      <c r="E922" s="19">
        <v>8</v>
      </c>
      <c r="F922" s="18" t="s">
        <v>1669</v>
      </c>
      <c r="G922" s="18" t="s">
        <v>1601</v>
      </c>
      <c r="H922" s="35" t="s">
        <v>16</v>
      </c>
      <c r="I922" s="36" t="s">
        <v>375</v>
      </c>
      <c r="J922" s="9" t="str">
        <f t="shared" ref="J922:N922" si="1507">+J921</f>
        <v>Comuna</v>
      </c>
      <c r="K922" s="9" t="str">
        <f t="shared" si="1507"/>
        <v>Cupos de elección popular por comuna</v>
      </c>
      <c r="L922" s="38" t="str">
        <f t="shared" si="1507"/>
        <v>Periodo 1993-2019</v>
      </c>
      <c r="M922" s="9" t="str">
        <f t="shared" si="1507"/>
        <v>Número de empresas</v>
      </c>
      <c r="N922" s="9" t="str">
        <f t="shared" si="1507"/>
        <v>Servicio de Impuestos Internos (SII)</v>
      </c>
      <c r="O922" s="45" t="str">
        <f>+"Número de empresas vigentes según año de inicio de actividades y tipo de contribuyente en la "&amp;I922&amp;", "&amp;Agencia[[#This Row],[temporalidad]]</f>
        <v>Número de empresas vigentes según año de inicio de actividades y tipo de contribuyente en la Región del Biobío, Periodo 1993-2019</v>
      </c>
      <c r="P922" s="20"/>
      <c r="Q922" s="11" t="str">
        <f t="shared" si="1493"/>
        <v>Gráfico de Evolución</v>
      </c>
      <c r="R922" s="20" t="str">
        <f>Agencia[[#This Row],[territorio]]&amp;" evolución anual cantidad número empresas tipo contribuyente SII regional activas año tributario fiscal inicio actividades"</f>
        <v>Región del Biobío evolución anual cantidad número empresas tipo contribuyente SII regional activas año tributario fiscal inicio actividades</v>
      </c>
      <c r="S922" s="39" t="str">
        <f>HYPERLINK("https://analytics.zoho.com/open-view/2395394000008062255?ZOHO_CRITERIA=%22Directorio_Todo%22.%22Cod_Regi%C3%B3n%22%3D"&amp;Agencia[[#This Row],[Filtro URL]])</f>
        <v>https://analytics.zoho.com/open-view/2395394000008062255?ZOHO_CRITERIA=%22Directorio_Todo%22.%22Cod_Regi%C3%B3n%22%3D8</v>
      </c>
      <c r="T922" s="69" t="str">
        <f>"100-C-"&amp;Agencia[[#This Row],[Filtro URL]]</f>
        <v>100-C-8</v>
      </c>
      <c r="U922" s="50" t="str">
        <f t="shared" si="1478"/>
        <v>#1774B9</v>
      </c>
      <c r="V922" s="118" t="str">
        <f>+Agencia[[#This Row],[idcoleccion]]&amp;"-"&amp;Agencia[[#This Row],[id]]</f>
        <v>990-0911</v>
      </c>
      <c r="W922" s="118">
        <f>+VLOOKUP(Agencia[[#This Row],[Filtro URL]],Estructura!$X$4:$Y$500,2,0)</f>
        <v>99200008</v>
      </c>
      <c r="X922" s="118" t="str">
        <f>+VLOOKUP(Agencia[[#This Row],[tema]],Estructura!$A$4:$C$500,3,0)</f>
        <v>T-1022</v>
      </c>
      <c r="Y922" s="118" t="str">
        <f>+VLOOKUP(Agencia[[#This Row],[contenido]],Estructura!$E$4:$G$500,3,0)</f>
        <v>C-993</v>
      </c>
      <c r="Z922" s="118" t="str">
        <f>+VLOOKUP(Agencia[[#This Row],[Filtro Integrado]],Estructura!$I$4:$K$500,3,0)</f>
        <v>FI-991</v>
      </c>
      <c r="AA922" s="118" t="str">
        <f>+VLOOKUP(Agencia[[#This Row],[Muestra]],Estructura!$M$4:$O$500,3,0)</f>
        <v>M-1071</v>
      </c>
    </row>
    <row r="923" spans="1:27" ht="57.6" x14ac:dyDescent="0.3">
      <c r="A923" s="21" t="s">
        <v>1819</v>
      </c>
      <c r="B923" s="24">
        <f t="shared" ref="B923:D923" si="1508">+B922</f>
        <v>990</v>
      </c>
      <c r="C923" s="25" t="str">
        <f t="shared" si="1508"/>
        <v>Agencia Información</v>
      </c>
      <c r="D923" s="25" t="str">
        <f t="shared" si="1508"/>
        <v>Economía</v>
      </c>
      <c r="E923" s="19">
        <v>9</v>
      </c>
      <c r="F923" s="18" t="s">
        <v>1669</v>
      </c>
      <c r="G923" s="18" t="s">
        <v>1601</v>
      </c>
      <c r="H923" s="35" t="s">
        <v>16</v>
      </c>
      <c r="I923" s="36" t="s">
        <v>376</v>
      </c>
      <c r="J923" s="9" t="str">
        <f t="shared" ref="J923:N923" si="1509">+J922</f>
        <v>Comuna</v>
      </c>
      <c r="K923" s="9" t="str">
        <f t="shared" si="1509"/>
        <v>Cupos de elección popular por comuna</v>
      </c>
      <c r="L923" s="38" t="str">
        <f t="shared" si="1509"/>
        <v>Periodo 1993-2019</v>
      </c>
      <c r="M923" s="9" t="str">
        <f t="shared" si="1509"/>
        <v>Número de empresas</v>
      </c>
      <c r="N923" s="9" t="str">
        <f t="shared" si="1509"/>
        <v>Servicio de Impuestos Internos (SII)</v>
      </c>
      <c r="O923" s="45" t="str">
        <f>+"Número de empresas vigentes según año de inicio de actividades y tipo de contribuyente en la "&amp;I923&amp;", "&amp;Agencia[[#This Row],[temporalidad]]</f>
        <v>Número de empresas vigentes según año de inicio de actividades y tipo de contribuyente en la Región de La Araucanía, Periodo 1993-2019</v>
      </c>
      <c r="P923" s="20"/>
      <c r="Q923" s="11" t="str">
        <f t="shared" si="1493"/>
        <v>Gráfico de Evolución</v>
      </c>
      <c r="R923" s="20" t="str">
        <f>Agencia[[#This Row],[territorio]]&amp;" evolución anual cantidad número empresas tipo contribuyente SII regional activas año tributario fiscal inicio actividades"</f>
        <v>Región de La Araucanía evolución anual cantidad número empresas tipo contribuyente SII regional activas año tributario fiscal inicio actividades</v>
      </c>
      <c r="S923" s="39" t="str">
        <f>HYPERLINK("https://analytics.zoho.com/open-view/2395394000008062255?ZOHO_CRITERIA=%22Directorio_Todo%22.%22Cod_Regi%C3%B3n%22%3D"&amp;Agencia[[#This Row],[Filtro URL]])</f>
        <v>https://analytics.zoho.com/open-view/2395394000008062255?ZOHO_CRITERIA=%22Directorio_Todo%22.%22Cod_Regi%C3%B3n%22%3D9</v>
      </c>
      <c r="T923" s="69" t="str">
        <f>"100-C-"&amp;Agencia[[#This Row],[Filtro URL]]</f>
        <v>100-C-9</v>
      </c>
      <c r="U923" s="50" t="str">
        <f t="shared" si="1478"/>
        <v>#1774B9</v>
      </c>
      <c r="V923" s="118" t="str">
        <f>+Agencia[[#This Row],[idcoleccion]]&amp;"-"&amp;Agencia[[#This Row],[id]]</f>
        <v>990-0912</v>
      </c>
      <c r="W923" s="118">
        <f>+VLOOKUP(Agencia[[#This Row],[Filtro URL]],Estructura!$X$4:$Y$500,2,0)</f>
        <v>99200009</v>
      </c>
      <c r="X923" s="118" t="str">
        <f>+VLOOKUP(Agencia[[#This Row],[tema]],Estructura!$A$4:$C$500,3,0)</f>
        <v>T-1022</v>
      </c>
      <c r="Y923" s="118" t="str">
        <f>+VLOOKUP(Agencia[[#This Row],[contenido]],Estructura!$E$4:$G$500,3,0)</f>
        <v>C-993</v>
      </c>
      <c r="Z923" s="118" t="str">
        <f>+VLOOKUP(Agencia[[#This Row],[Filtro Integrado]],Estructura!$I$4:$K$500,3,0)</f>
        <v>FI-991</v>
      </c>
      <c r="AA923" s="118" t="str">
        <f>+VLOOKUP(Agencia[[#This Row],[Muestra]],Estructura!$M$4:$O$500,3,0)</f>
        <v>M-1071</v>
      </c>
    </row>
    <row r="924" spans="1:27" ht="57.6" x14ac:dyDescent="0.3">
      <c r="A924" s="21" t="s">
        <v>1820</v>
      </c>
      <c r="B924" s="24">
        <f t="shared" ref="B924:D924" si="1510">+B923</f>
        <v>990</v>
      </c>
      <c r="C924" s="25" t="str">
        <f t="shared" si="1510"/>
        <v>Agencia Información</v>
      </c>
      <c r="D924" s="25" t="str">
        <f t="shared" si="1510"/>
        <v>Economía</v>
      </c>
      <c r="E924" s="19">
        <v>10</v>
      </c>
      <c r="F924" s="18" t="s">
        <v>1669</v>
      </c>
      <c r="G924" s="18" t="s">
        <v>1601</v>
      </c>
      <c r="H924" s="35" t="s">
        <v>16</v>
      </c>
      <c r="I924" s="36" t="s">
        <v>377</v>
      </c>
      <c r="J924" s="9" t="str">
        <f t="shared" ref="J924:N924" si="1511">+J923</f>
        <v>Comuna</v>
      </c>
      <c r="K924" s="9" t="str">
        <f t="shared" si="1511"/>
        <v>Cupos de elección popular por comuna</v>
      </c>
      <c r="L924" s="38" t="str">
        <f t="shared" si="1511"/>
        <v>Periodo 1993-2019</v>
      </c>
      <c r="M924" s="9" t="str">
        <f t="shared" si="1511"/>
        <v>Número de empresas</v>
      </c>
      <c r="N924" s="9" t="str">
        <f t="shared" si="1511"/>
        <v>Servicio de Impuestos Internos (SII)</v>
      </c>
      <c r="O924" s="45" t="str">
        <f>+"Número de empresas vigentes según año de inicio de actividades y tipo de contribuyente en la "&amp;I924&amp;", "&amp;Agencia[[#This Row],[temporalidad]]</f>
        <v>Número de empresas vigentes según año de inicio de actividades y tipo de contribuyente en la Región de Los Lagos, Periodo 1993-2019</v>
      </c>
      <c r="P924" s="20"/>
      <c r="Q924" s="11" t="str">
        <f t="shared" si="1493"/>
        <v>Gráfico de Evolución</v>
      </c>
      <c r="R924" s="20" t="str">
        <f>Agencia[[#This Row],[territorio]]&amp;" evolución anual cantidad número empresas tipo contribuyente SII regional activas año tributario fiscal inicio actividades"</f>
        <v>Región de Los Lagos evolución anual cantidad número empresas tipo contribuyente SII regional activas año tributario fiscal inicio actividades</v>
      </c>
      <c r="S924" s="39" t="str">
        <f>HYPERLINK("https://analytics.zoho.com/open-view/2395394000008062255?ZOHO_CRITERIA=%22Directorio_Todo%22.%22Cod_Regi%C3%B3n%22%3D"&amp;Agencia[[#This Row],[Filtro URL]])</f>
        <v>https://analytics.zoho.com/open-view/2395394000008062255?ZOHO_CRITERIA=%22Directorio_Todo%22.%22Cod_Regi%C3%B3n%22%3D10</v>
      </c>
      <c r="T924" s="69" t="str">
        <f>"100-C-"&amp;Agencia[[#This Row],[Filtro URL]]</f>
        <v>100-C-10</v>
      </c>
      <c r="U924" s="50" t="str">
        <f t="shared" si="1478"/>
        <v>#1774B9</v>
      </c>
      <c r="V924" s="118" t="str">
        <f>+Agencia[[#This Row],[idcoleccion]]&amp;"-"&amp;Agencia[[#This Row],[id]]</f>
        <v>990-0913</v>
      </c>
      <c r="W924" s="118">
        <f>+VLOOKUP(Agencia[[#This Row],[Filtro URL]],Estructura!$X$4:$Y$500,2,0)</f>
        <v>99200010</v>
      </c>
      <c r="X924" s="118" t="str">
        <f>+VLOOKUP(Agencia[[#This Row],[tema]],Estructura!$A$4:$C$500,3,0)</f>
        <v>T-1022</v>
      </c>
      <c r="Y924" s="118" t="str">
        <f>+VLOOKUP(Agencia[[#This Row],[contenido]],Estructura!$E$4:$G$500,3,0)</f>
        <v>C-993</v>
      </c>
      <c r="Z924" s="118" t="str">
        <f>+VLOOKUP(Agencia[[#This Row],[Filtro Integrado]],Estructura!$I$4:$K$500,3,0)</f>
        <v>FI-991</v>
      </c>
      <c r="AA924" s="118" t="str">
        <f>+VLOOKUP(Agencia[[#This Row],[Muestra]],Estructura!$M$4:$O$500,3,0)</f>
        <v>M-1071</v>
      </c>
    </row>
    <row r="925" spans="1:27" ht="57.6" x14ac:dyDescent="0.3">
      <c r="A925" s="21" t="s">
        <v>1821</v>
      </c>
      <c r="B925" s="24">
        <f t="shared" ref="B925:D925" si="1512">+B924</f>
        <v>990</v>
      </c>
      <c r="C925" s="25" t="str">
        <f t="shared" si="1512"/>
        <v>Agencia Información</v>
      </c>
      <c r="D925" s="25" t="str">
        <f t="shared" si="1512"/>
        <v>Economía</v>
      </c>
      <c r="E925" s="19">
        <v>11</v>
      </c>
      <c r="F925" s="18" t="s">
        <v>1669</v>
      </c>
      <c r="G925" s="18" t="s">
        <v>1601</v>
      </c>
      <c r="H925" s="35" t="s">
        <v>16</v>
      </c>
      <c r="I925" s="36" t="s">
        <v>378</v>
      </c>
      <c r="J925" s="9" t="str">
        <f t="shared" ref="J925:N925" si="1513">+J924</f>
        <v>Comuna</v>
      </c>
      <c r="K925" s="9" t="str">
        <f t="shared" si="1513"/>
        <v>Cupos de elección popular por comuna</v>
      </c>
      <c r="L925" s="38" t="str">
        <f t="shared" si="1513"/>
        <v>Periodo 1993-2019</v>
      </c>
      <c r="M925" s="9" t="str">
        <f t="shared" si="1513"/>
        <v>Número de empresas</v>
      </c>
      <c r="N925" s="9" t="str">
        <f t="shared" si="1513"/>
        <v>Servicio de Impuestos Internos (SII)</v>
      </c>
      <c r="O925" s="45" t="str">
        <f>+"Número de empresas vigentes según año de inicio de actividades y tipo de contribuyente en la "&amp;I925&amp;", "&amp;Agencia[[#This Row],[temporalidad]]</f>
        <v>Número de empresas vigentes según año de inicio de actividades y tipo de contribuyente en la Región de Aysén, Periodo 1993-2019</v>
      </c>
      <c r="P925" s="20"/>
      <c r="Q925" s="11" t="str">
        <f t="shared" si="1493"/>
        <v>Gráfico de Evolución</v>
      </c>
      <c r="R925" s="20" t="str">
        <f>Agencia[[#This Row],[territorio]]&amp;" evolución anual cantidad número empresas tipo contribuyente SII regional activas año tributario fiscal inicio actividades"</f>
        <v>Región de Aysén evolución anual cantidad número empresas tipo contribuyente SII regional activas año tributario fiscal inicio actividades</v>
      </c>
      <c r="S925" s="39" t="str">
        <f>HYPERLINK("https://analytics.zoho.com/open-view/2395394000008062255?ZOHO_CRITERIA=%22Directorio_Todo%22.%22Cod_Regi%C3%B3n%22%3D"&amp;Agencia[[#This Row],[Filtro URL]])</f>
        <v>https://analytics.zoho.com/open-view/2395394000008062255?ZOHO_CRITERIA=%22Directorio_Todo%22.%22Cod_Regi%C3%B3n%22%3D11</v>
      </c>
      <c r="T925" s="69" t="str">
        <f>"100-C-"&amp;Agencia[[#This Row],[Filtro URL]]</f>
        <v>100-C-11</v>
      </c>
      <c r="U925" s="50" t="str">
        <f t="shared" si="1478"/>
        <v>#1774B9</v>
      </c>
      <c r="V925" s="118" t="str">
        <f>+Agencia[[#This Row],[idcoleccion]]&amp;"-"&amp;Agencia[[#This Row],[id]]</f>
        <v>990-0914</v>
      </c>
      <c r="W925" s="118">
        <f>+VLOOKUP(Agencia[[#This Row],[Filtro URL]],Estructura!$X$4:$Y$500,2,0)</f>
        <v>99200011</v>
      </c>
      <c r="X925" s="118" t="str">
        <f>+VLOOKUP(Agencia[[#This Row],[tema]],Estructura!$A$4:$C$500,3,0)</f>
        <v>T-1022</v>
      </c>
      <c r="Y925" s="118" t="str">
        <f>+VLOOKUP(Agencia[[#This Row],[contenido]],Estructura!$E$4:$G$500,3,0)</f>
        <v>C-993</v>
      </c>
      <c r="Z925" s="118" t="str">
        <f>+VLOOKUP(Agencia[[#This Row],[Filtro Integrado]],Estructura!$I$4:$K$500,3,0)</f>
        <v>FI-991</v>
      </c>
      <c r="AA925" s="118" t="str">
        <f>+VLOOKUP(Agencia[[#This Row],[Muestra]],Estructura!$M$4:$O$500,3,0)</f>
        <v>M-1071</v>
      </c>
    </row>
    <row r="926" spans="1:27" ht="57.6" x14ac:dyDescent="0.3">
      <c r="A926" s="21" t="s">
        <v>1822</v>
      </c>
      <c r="B926" s="24">
        <f t="shared" ref="B926:D926" si="1514">+B925</f>
        <v>990</v>
      </c>
      <c r="C926" s="25" t="str">
        <f t="shared" si="1514"/>
        <v>Agencia Información</v>
      </c>
      <c r="D926" s="25" t="str">
        <f t="shared" si="1514"/>
        <v>Economía</v>
      </c>
      <c r="E926" s="19">
        <v>12</v>
      </c>
      <c r="F926" s="18" t="s">
        <v>1669</v>
      </c>
      <c r="G926" s="18" t="s">
        <v>1601</v>
      </c>
      <c r="H926" s="35" t="s">
        <v>16</v>
      </c>
      <c r="I926" s="36" t="s">
        <v>379</v>
      </c>
      <c r="J926" s="9" t="str">
        <f t="shared" ref="J926:N926" si="1515">+J925</f>
        <v>Comuna</v>
      </c>
      <c r="K926" s="9" t="str">
        <f t="shared" si="1515"/>
        <v>Cupos de elección popular por comuna</v>
      </c>
      <c r="L926" s="38" t="str">
        <f t="shared" si="1515"/>
        <v>Periodo 1993-2019</v>
      </c>
      <c r="M926" s="9" t="str">
        <f t="shared" si="1515"/>
        <v>Número de empresas</v>
      </c>
      <c r="N926" s="9" t="str">
        <f t="shared" si="1515"/>
        <v>Servicio de Impuestos Internos (SII)</v>
      </c>
      <c r="O926" s="45" t="str">
        <f>+"Número de empresas vigentes según año de inicio de actividades y tipo de contribuyente en la "&amp;I926&amp;", "&amp;Agencia[[#This Row],[temporalidad]]</f>
        <v>Número de empresas vigentes según año de inicio de actividades y tipo de contribuyente en la Región de Magallanes, Periodo 1993-2019</v>
      </c>
      <c r="P926" s="20"/>
      <c r="Q926" s="11" t="str">
        <f t="shared" si="1493"/>
        <v>Gráfico de Evolución</v>
      </c>
      <c r="R926" s="20" t="str">
        <f>Agencia[[#This Row],[territorio]]&amp;" evolución anual cantidad número empresas tipo contribuyente SII regional activas año tributario fiscal inicio actividades"</f>
        <v>Región de Magallanes evolución anual cantidad número empresas tipo contribuyente SII regional activas año tributario fiscal inicio actividades</v>
      </c>
      <c r="S926" s="39" t="str">
        <f>HYPERLINK("https://analytics.zoho.com/open-view/2395394000008062255?ZOHO_CRITERIA=%22Directorio_Todo%22.%22Cod_Regi%C3%B3n%22%3D"&amp;Agencia[[#This Row],[Filtro URL]])</f>
        <v>https://analytics.zoho.com/open-view/2395394000008062255?ZOHO_CRITERIA=%22Directorio_Todo%22.%22Cod_Regi%C3%B3n%22%3D12</v>
      </c>
      <c r="T926" s="69" t="str">
        <f>"100-C-"&amp;Agencia[[#This Row],[Filtro URL]]</f>
        <v>100-C-12</v>
      </c>
      <c r="U926" s="50" t="str">
        <f t="shared" si="1478"/>
        <v>#1774B9</v>
      </c>
      <c r="V926" s="118" t="str">
        <f>+Agencia[[#This Row],[idcoleccion]]&amp;"-"&amp;Agencia[[#This Row],[id]]</f>
        <v>990-0915</v>
      </c>
      <c r="W926" s="118">
        <f>+VLOOKUP(Agencia[[#This Row],[Filtro URL]],Estructura!$X$4:$Y$500,2,0)</f>
        <v>99200012</v>
      </c>
      <c r="X926" s="118" t="str">
        <f>+VLOOKUP(Agencia[[#This Row],[tema]],Estructura!$A$4:$C$500,3,0)</f>
        <v>T-1022</v>
      </c>
      <c r="Y926" s="118" t="str">
        <f>+VLOOKUP(Agencia[[#This Row],[contenido]],Estructura!$E$4:$G$500,3,0)</f>
        <v>C-993</v>
      </c>
      <c r="Z926" s="118" t="str">
        <f>+VLOOKUP(Agencia[[#This Row],[Filtro Integrado]],Estructura!$I$4:$K$500,3,0)</f>
        <v>FI-991</v>
      </c>
      <c r="AA926" s="118" t="str">
        <f>+VLOOKUP(Agencia[[#This Row],[Muestra]],Estructura!$M$4:$O$500,3,0)</f>
        <v>M-1071</v>
      </c>
    </row>
    <row r="927" spans="1:27" ht="57.6" x14ac:dyDescent="0.3">
      <c r="A927" s="21" t="s">
        <v>1823</v>
      </c>
      <c r="B927" s="24">
        <f t="shared" ref="B927:D927" si="1516">+B926</f>
        <v>990</v>
      </c>
      <c r="C927" s="25" t="str">
        <f t="shared" si="1516"/>
        <v>Agencia Información</v>
      </c>
      <c r="D927" s="25" t="str">
        <f t="shared" si="1516"/>
        <v>Economía</v>
      </c>
      <c r="E927" s="19">
        <v>13</v>
      </c>
      <c r="F927" s="18" t="s">
        <v>1669</v>
      </c>
      <c r="G927" s="18" t="s">
        <v>1601</v>
      </c>
      <c r="H927" s="35" t="s">
        <v>16</v>
      </c>
      <c r="I927" s="36" t="s">
        <v>380</v>
      </c>
      <c r="J927" s="9" t="str">
        <f t="shared" ref="J927:N927" si="1517">+J926</f>
        <v>Comuna</v>
      </c>
      <c r="K927" s="9" t="str">
        <f t="shared" si="1517"/>
        <v>Cupos de elección popular por comuna</v>
      </c>
      <c r="L927" s="38" t="str">
        <f t="shared" si="1517"/>
        <v>Periodo 1993-2019</v>
      </c>
      <c r="M927" s="9" t="str">
        <f t="shared" si="1517"/>
        <v>Número de empresas</v>
      </c>
      <c r="N927" s="9" t="str">
        <f t="shared" si="1517"/>
        <v>Servicio de Impuestos Internos (SII)</v>
      </c>
      <c r="O927" s="45" t="str">
        <f>+"Número de empresas vigentes según año de inicio de actividades y tipo de contribuyente en la "&amp;I927&amp;", "&amp;Agencia[[#This Row],[temporalidad]]</f>
        <v>Número de empresas vigentes según año de inicio de actividades y tipo de contribuyente en la Región Metropolitana, Periodo 1993-2019</v>
      </c>
      <c r="P927" s="20"/>
      <c r="Q927" s="11" t="str">
        <f t="shared" si="1493"/>
        <v>Gráfico de Evolución</v>
      </c>
      <c r="R927" s="20" t="str">
        <f>Agencia[[#This Row],[territorio]]&amp;" evolución anual cantidad número empresas tipo contribuyente SII regional activas año tributario fiscal inicio actividades"</f>
        <v>Región Metropolitana evolución anual cantidad número empresas tipo contribuyente SII regional activas año tributario fiscal inicio actividades</v>
      </c>
      <c r="S927" s="39" t="str">
        <f>HYPERLINK("https://analytics.zoho.com/open-view/2395394000008062255?ZOHO_CRITERIA=%22Directorio_Todo%22.%22Cod_Regi%C3%B3n%22%3D"&amp;Agencia[[#This Row],[Filtro URL]])</f>
        <v>https://analytics.zoho.com/open-view/2395394000008062255?ZOHO_CRITERIA=%22Directorio_Todo%22.%22Cod_Regi%C3%B3n%22%3D13</v>
      </c>
      <c r="T927" s="69" t="str">
        <f>"200-C-"&amp;Agencia[[#This Row],[Filtro URL]]</f>
        <v>200-C-13</v>
      </c>
      <c r="U927" s="50" t="str">
        <f t="shared" si="1478"/>
        <v>#1774B9</v>
      </c>
      <c r="V927" s="118" t="str">
        <f>+Agencia[[#This Row],[idcoleccion]]&amp;"-"&amp;Agencia[[#This Row],[id]]</f>
        <v>990-0916</v>
      </c>
      <c r="W927" s="118">
        <f>+VLOOKUP(Agencia[[#This Row],[Filtro URL]],Estructura!$X$4:$Y$500,2,0)</f>
        <v>99200013</v>
      </c>
      <c r="X927" s="118" t="str">
        <f>+VLOOKUP(Agencia[[#This Row],[tema]],Estructura!$A$4:$C$500,3,0)</f>
        <v>T-1022</v>
      </c>
      <c r="Y927" s="118" t="str">
        <f>+VLOOKUP(Agencia[[#This Row],[contenido]],Estructura!$E$4:$G$500,3,0)</f>
        <v>C-993</v>
      </c>
      <c r="Z927" s="118" t="str">
        <f>+VLOOKUP(Agencia[[#This Row],[Filtro Integrado]],Estructura!$I$4:$K$500,3,0)</f>
        <v>FI-991</v>
      </c>
      <c r="AA927" s="118" t="str">
        <f>+VLOOKUP(Agencia[[#This Row],[Muestra]],Estructura!$M$4:$O$500,3,0)</f>
        <v>M-1071</v>
      </c>
    </row>
    <row r="928" spans="1:27" ht="57.6" x14ac:dyDescent="0.3">
      <c r="A928" s="21" t="s">
        <v>1824</v>
      </c>
      <c r="B928" s="24">
        <f t="shared" ref="B928:D928" si="1518">+B927</f>
        <v>990</v>
      </c>
      <c r="C928" s="25" t="str">
        <f t="shared" si="1518"/>
        <v>Agencia Información</v>
      </c>
      <c r="D928" s="25" t="str">
        <f t="shared" si="1518"/>
        <v>Economía</v>
      </c>
      <c r="E928" s="19">
        <v>14</v>
      </c>
      <c r="F928" s="18" t="s">
        <v>1669</v>
      </c>
      <c r="G928" s="18" t="s">
        <v>1601</v>
      </c>
      <c r="H928" s="35" t="s">
        <v>16</v>
      </c>
      <c r="I928" s="36" t="s">
        <v>381</v>
      </c>
      <c r="J928" s="9" t="str">
        <f t="shared" ref="J928:N928" si="1519">+J927</f>
        <v>Comuna</v>
      </c>
      <c r="K928" s="9" t="str">
        <f t="shared" si="1519"/>
        <v>Cupos de elección popular por comuna</v>
      </c>
      <c r="L928" s="38" t="str">
        <f t="shared" si="1519"/>
        <v>Periodo 1993-2019</v>
      </c>
      <c r="M928" s="9" t="str">
        <f t="shared" si="1519"/>
        <v>Número de empresas</v>
      </c>
      <c r="N928" s="9" t="str">
        <f t="shared" si="1519"/>
        <v>Servicio de Impuestos Internos (SII)</v>
      </c>
      <c r="O928" s="45" t="str">
        <f>+"Número de empresas vigentes según año de inicio de actividades y tipo de contribuyente en la "&amp;I928&amp;", "&amp;Agencia[[#This Row],[temporalidad]]</f>
        <v>Número de empresas vigentes según año de inicio de actividades y tipo de contribuyente en la Región de Los Ríos, Periodo 1993-2019</v>
      </c>
      <c r="P928" s="20"/>
      <c r="Q928" s="11" t="str">
        <f t="shared" si="1493"/>
        <v>Gráfico de Evolución</v>
      </c>
      <c r="R928" s="20" t="str">
        <f>Agencia[[#This Row],[territorio]]&amp;" evolución anual cantidad número empresas tipo contribuyente SII regional activas año tributario fiscal inicio actividades"</f>
        <v>Región de Los Ríos evolución anual cantidad número empresas tipo contribuyente SII regional activas año tributario fiscal inicio actividades</v>
      </c>
      <c r="S928" s="39" t="str">
        <f>HYPERLINK("https://analytics.zoho.com/open-view/2395394000008062255?ZOHO_CRITERIA=%22Directorio_Todo%22.%22Cod_Regi%C3%B3n%22%3D"&amp;Agencia[[#This Row],[Filtro URL]])</f>
        <v>https://analytics.zoho.com/open-view/2395394000008062255?ZOHO_CRITERIA=%22Directorio_Todo%22.%22Cod_Regi%C3%B3n%22%3D14</v>
      </c>
      <c r="T928" s="69" t="str">
        <f>"100-C-"&amp;Agencia[[#This Row],[Filtro URL]]</f>
        <v>100-C-14</v>
      </c>
      <c r="U928" s="50" t="str">
        <f t="shared" si="1478"/>
        <v>#1774B9</v>
      </c>
      <c r="V928" s="118" t="str">
        <f>+Agencia[[#This Row],[idcoleccion]]&amp;"-"&amp;Agencia[[#This Row],[id]]</f>
        <v>990-0917</v>
      </c>
      <c r="W928" s="118">
        <f>+VLOOKUP(Agencia[[#This Row],[Filtro URL]],Estructura!$X$4:$Y$500,2,0)</f>
        <v>99200014</v>
      </c>
      <c r="X928" s="118" t="str">
        <f>+VLOOKUP(Agencia[[#This Row],[tema]],Estructura!$A$4:$C$500,3,0)</f>
        <v>T-1022</v>
      </c>
      <c r="Y928" s="118" t="str">
        <f>+VLOOKUP(Agencia[[#This Row],[contenido]],Estructura!$E$4:$G$500,3,0)</f>
        <v>C-993</v>
      </c>
      <c r="Z928" s="118" t="str">
        <f>+VLOOKUP(Agencia[[#This Row],[Filtro Integrado]],Estructura!$I$4:$K$500,3,0)</f>
        <v>FI-991</v>
      </c>
      <c r="AA928" s="118" t="str">
        <f>+VLOOKUP(Agencia[[#This Row],[Muestra]],Estructura!$M$4:$O$500,3,0)</f>
        <v>M-1071</v>
      </c>
    </row>
    <row r="929" spans="1:27" ht="57.6" x14ac:dyDescent="0.3">
      <c r="A929" s="21" t="s">
        <v>1825</v>
      </c>
      <c r="B929" s="24">
        <f t="shared" ref="B929:D929" si="1520">+B928</f>
        <v>990</v>
      </c>
      <c r="C929" s="25" t="str">
        <f t="shared" si="1520"/>
        <v>Agencia Información</v>
      </c>
      <c r="D929" s="25" t="str">
        <f t="shared" si="1520"/>
        <v>Economía</v>
      </c>
      <c r="E929" s="19">
        <v>15</v>
      </c>
      <c r="F929" s="18" t="s">
        <v>1669</v>
      </c>
      <c r="G929" s="18" t="s">
        <v>1601</v>
      </c>
      <c r="H929" s="35" t="s">
        <v>16</v>
      </c>
      <c r="I929" s="36" t="s">
        <v>382</v>
      </c>
      <c r="J929" s="9" t="str">
        <f t="shared" ref="J929:N929" si="1521">+J928</f>
        <v>Comuna</v>
      </c>
      <c r="K929" s="9" t="str">
        <f t="shared" si="1521"/>
        <v>Cupos de elección popular por comuna</v>
      </c>
      <c r="L929" s="38" t="str">
        <f t="shared" si="1521"/>
        <v>Periodo 1993-2019</v>
      </c>
      <c r="M929" s="9" t="str">
        <f t="shared" si="1521"/>
        <v>Número de empresas</v>
      </c>
      <c r="N929" s="9" t="str">
        <f t="shared" si="1521"/>
        <v>Servicio de Impuestos Internos (SII)</v>
      </c>
      <c r="O929" s="45" t="str">
        <f>+"Número de empresas vigentes según año de inicio de actividades y tipo de contribuyente en la "&amp;I929&amp;", "&amp;Agencia[[#This Row],[temporalidad]]</f>
        <v>Número de empresas vigentes según año de inicio de actividades y tipo de contribuyente en la Región de Arica y Parinacota, Periodo 1993-2019</v>
      </c>
      <c r="P929" s="20"/>
      <c r="Q929" s="11" t="str">
        <f t="shared" si="1493"/>
        <v>Gráfico de Evolución</v>
      </c>
      <c r="R929" s="20" t="str">
        <f>Agencia[[#This Row],[territorio]]&amp;" evolución anual cantidad número empresas tipo contribuyente SII regional activas año tributario fiscal inicio actividades"</f>
        <v>Región de Arica y Parinacota evolución anual cantidad número empresas tipo contribuyente SII regional activas año tributario fiscal inicio actividades</v>
      </c>
      <c r="S929" s="39" t="str">
        <f>HYPERLINK("https://analytics.zoho.com/open-view/2395394000008062255?ZOHO_CRITERIA=%22Directorio_Todo%22.%22Cod_Regi%C3%B3n%22%3D"&amp;Agencia[[#This Row],[Filtro URL]])</f>
        <v>https://analytics.zoho.com/open-view/2395394000008062255?ZOHO_CRITERIA=%22Directorio_Todo%22.%22Cod_Regi%C3%B3n%22%3D15</v>
      </c>
      <c r="T929" s="69" t="str">
        <f>"100-C-"&amp;Agencia[[#This Row],[Filtro URL]]</f>
        <v>100-C-15</v>
      </c>
      <c r="U929" s="50" t="str">
        <f t="shared" si="1478"/>
        <v>#1774B9</v>
      </c>
      <c r="V929" s="118" t="str">
        <f>+Agencia[[#This Row],[idcoleccion]]&amp;"-"&amp;Agencia[[#This Row],[id]]</f>
        <v>990-0918</v>
      </c>
      <c r="W929" s="118">
        <f>+VLOOKUP(Agencia[[#This Row],[Filtro URL]],Estructura!$X$4:$Y$500,2,0)</f>
        <v>99200015</v>
      </c>
      <c r="X929" s="118" t="str">
        <f>+VLOOKUP(Agencia[[#This Row],[tema]],Estructura!$A$4:$C$500,3,0)</f>
        <v>T-1022</v>
      </c>
      <c r="Y929" s="118" t="str">
        <f>+VLOOKUP(Agencia[[#This Row],[contenido]],Estructura!$E$4:$G$500,3,0)</f>
        <v>C-993</v>
      </c>
      <c r="Z929" s="118" t="str">
        <f>+VLOOKUP(Agencia[[#This Row],[Filtro Integrado]],Estructura!$I$4:$K$500,3,0)</f>
        <v>FI-991</v>
      </c>
      <c r="AA929" s="118" t="str">
        <f>+VLOOKUP(Agencia[[#This Row],[Muestra]],Estructura!$M$4:$O$500,3,0)</f>
        <v>M-1071</v>
      </c>
    </row>
    <row r="930" spans="1:27" ht="57.6" x14ac:dyDescent="0.3">
      <c r="A930" s="21" t="s">
        <v>1826</v>
      </c>
      <c r="B930" s="24">
        <f t="shared" ref="B930:D930" si="1522">+B929</f>
        <v>990</v>
      </c>
      <c r="C930" s="25" t="str">
        <f t="shared" si="1522"/>
        <v>Agencia Información</v>
      </c>
      <c r="D930" s="25" t="str">
        <f t="shared" si="1522"/>
        <v>Economía</v>
      </c>
      <c r="E930" s="19">
        <v>16</v>
      </c>
      <c r="F930" s="18" t="s">
        <v>1669</v>
      </c>
      <c r="G930" s="18" t="s">
        <v>1601</v>
      </c>
      <c r="H930" s="35" t="s">
        <v>16</v>
      </c>
      <c r="I930" s="36" t="s">
        <v>383</v>
      </c>
      <c r="J930" s="9" t="str">
        <f t="shared" ref="J930:N930" si="1523">+J929</f>
        <v>Comuna</v>
      </c>
      <c r="K930" s="9" t="str">
        <f t="shared" si="1523"/>
        <v>Cupos de elección popular por comuna</v>
      </c>
      <c r="L930" s="38" t="str">
        <f t="shared" si="1523"/>
        <v>Periodo 1993-2019</v>
      </c>
      <c r="M930" s="9" t="str">
        <f t="shared" si="1523"/>
        <v>Número de empresas</v>
      </c>
      <c r="N930" s="9" t="str">
        <f t="shared" si="1523"/>
        <v>Servicio de Impuestos Internos (SII)</v>
      </c>
      <c r="O930" s="45" t="str">
        <f>+"Número de empresas vigentes según año de inicio de actividades y tipo de contribuyente en la "&amp;I930&amp;", "&amp;Agencia[[#This Row],[temporalidad]]</f>
        <v>Número de empresas vigentes según año de inicio de actividades y tipo de contribuyente en la Región de Ñuble, Periodo 1993-2019</v>
      </c>
      <c r="P930" s="20"/>
      <c r="Q930" s="11" t="str">
        <f t="shared" si="1493"/>
        <v>Gráfico de Evolución</v>
      </c>
      <c r="R930" s="20" t="str">
        <f>Agencia[[#This Row],[territorio]]&amp;" evolución anual cantidad número empresas tipo contribuyente SII regional activas año tributario fiscal inicio actividades"</f>
        <v>Región de Ñuble evolución anual cantidad número empresas tipo contribuyente SII regional activas año tributario fiscal inicio actividades</v>
      </c>
      <c r="S930" s="39" t="str">
        <f>HYPERLINK("https://analytics.zoho.com/open-view/2395394000008062255?ZOHO_CRITERIA=%22Directorio_Todo%22.%22Cod_Regi%C3%B3n%22%3D"&amp;Agencia[[#This Row],[Filtro URL]])</f>
        <v>https://analytics.zoho.com/open-view/2395394000008062255?ZOHO_CRITERIA=%22Directorio_Todo%22.%22Cod_Regi%C3%B3n%22%3D16</v>
      </c>
      <c r="T930" s="69" t="str">
        <f>"100-C-"&amp;Agencia[[#This Row],[Filtro URL]]</f>
        <v>100-C-16</v>
      </c>
      <c r="U930" s="50" t="str">
        <f t="shared" si="1478"/>
        <v>#1774B9</v>
      </c>
      <c r="V930" s="118" t="str">
        <f>+Agencia[[#This Row],[idcoleccion]]&amp;"-"&amp;Agencia[[#This Row],[id]]</f>
        <v>990-0919</v>
      </c>
      <c r="W930" s="118">
        <f>+VLOOKUP(Agencia[[#This Row],[Filtro URL]],Estructura!$X$4:$Y$500,2,0)</f>
        <v>99200016</v>
      </c>
      <c r="X930" s="118" t="str">
        <f>+VLOOKUP(Agencia[[#This Row],[tema]],Estructura!$A$4:$C$500,3,0)</f>
        <v>T-1022</v>
      </c>
      <c r="Y930" s="118" t="str">
        <f>+VLOOKUP(Agencia[[#This Row],[contenido]],Estructura!$E$4:$G$500,3,0)</f>
        <v>C-993</v>
      </c>
      <c r="Z930" s="118" t="str">
        <f>+VLOOKUP(Agencia[[#This Row],[Filtro Integrado]],Estructura!$I$4:$K$500,3,0)</f>
        <v>FI-991</v>
      </c>
      <c r="AA930" s="118" t="str">
        <f>+VLOOKUP(Agencia[[#This Row],[Muestra]],Estructura!$M$4:$O$500,3,0)</f>
        <v>M-1071</v>
      </c>
    </row>
    <row r="931" spans="1:27" ht="36" x14ac:dyDescent="0.3">
      <c r="A931" s="21" t="s">
        <v>1827</v>
      </c>
      <c r="B931" s="24">
        <f t="shared" ref="B931:C931" si="1524">+B930</f>
        <v>990</v>
      </c>
      <c r="C931" s="25" t="str">
        <f t="shared" si="1524"/>
        <v>Agencia Información</v>
      </c>
      <c r="D931" s="25" t="s">
        <v>881</v>
      </c>
      <c r="E931" s="14">
        <v>0</v>
      </c>
      <c r="F931" s="18" t="s">
        <v>1670</v>
      </c>
      <c r="G931" s="18" t="s">
        <v>1601</v>
      </c>
      <c r="H931" s="33" t="s">
        <v>20</v>
      </c>
      <c r="I931" s="34" t="s">
        <v>15</v>
      </c>
      <c r="J931" s="9" t="s">
        <v>1032</v>
      </c>
      <c r="K931" s="9" t="s">
        <v>1673</v>
      </c>
      <c r="L931" s="38" t="s">
        <v>1666</v>
      </c>
      <c r="M931" s="9" t="s">
        <v>1671</v>
      </c>
      <c r="N931" s="9" t="s">
        <v>885</v>
      </c>
      <c r="O931" s="45" t="str">
        <f>+"Número de trabajadores de empresas vigentes, por año de inicio de actividades y tipo de contribuyentes en "&amp;I931&amp;", "&amp;Agencia[[#This Row],[temporalidad]]</f>
        <v>Número de trabajadores de empresas vigentes, por año de inicio de actividades y tipo de contribuyentes en Chile, Periodo 1993-2019</v>
      </c>
      <c r="P931" s="20" t="s">
        <v>423</v>
      </c>
      <c r="Q931" s="11" t="s">
        <v>821</v>
      </c>
      <c r="R931" s="20" t="str">
        <f>Agencia[[#This Row],[territorio]]&amp;" evolución anual trabajadores tipo contribuyente empresas activas vigente SII año tributario fiscal"</f>
        <v>Chile evolución anual trabajadores tipo contribuyente empresas activas vigente SII año tributario fiscal</v>
      </c>
      <c r="S931" s="22" t="s">
        <v>1674</v>
      </c>
      <c r="T931" s="68" t="s">
        <v>1033</v>
      </c>
      <c r="U931" s="50" t="str">
        <f t="shared" si="1478"/>
        <v>#1774B9</v>
      </c>
      <c r="V931" s="118" t="str">
        <f>+Agencia[[#This Row],[idcoleccion]]&amp;"-"&amp;Agencia[[#This Row],[id]]</f>
        <v>990-0920</v>
      </c>
      <c r="W931" s="118">
        <f>+VLOOKUP(Agencia[[#This Row],[Filtro URL]],Estructura!$X$4:$Y$500,2,0)</f>
        <v>99100000</v>
      </c>
      <c r="X931" s="118" t="str">
        <f>+VLOOKUP(Agencia[[#This Row],[tema]],Estructura!$A$4:$C$500,3,0)</f>
        <v>T-1023</v>
      </c>
      <c r="Y931" s="118" t="str">
        <f>+VLOOKUP(Agencia[[#This Row],[contenido]],Estructura!$E$4:$G$500,3,0)</f>
        <v>C-993</v>
      </c>
      <c r="Z931" s="118" t="str">
        <f>+VLOOKUP(Agencia[[#This Row],[Filtro Integrado]],Estructura!$I$4:$K$500,3,0)</f>
        <v>FI-994</v>
      </c>
      <c r="AA931" s="118" t="str">
        <f>+VLOOKUP(Agencia[[#This Row],[Muestra]],Estructura!$M$4:$O$500,3,0)</f>
        <v>M-1073</v>
      </c>
    </row>
    <row r="932" spans="1:27" ht="57.6" x14ac:dyDescent="0.3">
      <c r="A932" s="21" t="s">
        <v>1828</v>
      </c>
      <c r="B932" s="24">
        <f t="shared" ref="B932:D932" si="1525">+B931</f>
        <v>990</v>
      </c>
      <c r="C932" s="25" t="str">
        <f t="shared" si="1525"/>
        <v>Agencia Información</v>
      </c>
      <c r="D932" s="25" t="str">
        <f t="shared" si="1525"/>
        <v>Economía</v>
      </c>
      <c r="E932" s="19">
        <v>1</v>
      </c>
      <c r="F932" s="18" t="s">
        <v>1670</v>
      </c>
      <c r="G932" s="18" t="s">
        <v>1601</v>
      </c>
      <c r="H932" s="35" t="s">
        <v>16</v>
      </c>
      <c r="I932" s="36" t="s">
        <v>368</v>
      </c>
      <c r="J932" s="9" t="s">
        <v>18</v>
      </c>
      <c r="K932" s="9" t="s">
        <v>1673</v>
      </c>
      <c r="L932" s="38" t="str">
        <f>+L931</f>
        <v>Periodo 1993-2019</v>
      </c>
      <c r="M932" s="9" t="str">
        <f t="shared" ref="M932:N932" si="1526">+M931</f>
        <v>Número de trabajadores</v>
      </c>
      <c r="N932" s="9" t="str">
        <f t="shared" si="1526"/>
        <v>Servicio de Impuestos Internos (SII)</v>
      </c>
      <c r="O932" s="45" t="str">
        <f>+"Número de trabajadores de empresas vigentes, por año de inicio de actividades y tipo de contribuyentes en la "&amp;I932&amp;", "&amp;Agencia[[#This Row],[temporalidad]]</f>
        <v>Número de trabajadores de empresas vigentes, por año de inicio de actividades y tipo de contribuyentes en la Región de Tarapacá, Periodo 1993-2019</v>
      </c>
      <c r="P932" s="20"/>
      <c r="Q932" s="11" t="str">
        <f t="shared" si="1493"/>
        <v>Gráfico de Evolución</v>
      </c>
      <c r="R932" s="20" t="str">
        <f>Agencia[[#This Row],[territorio]]&amp;" evolución anual trabajadores tipo contribuyente empresas activas vigente SII año tributario fiscal"</f>
        <v>Región de Tarapacá evolución anual trabajadores tipo contribuyente empresas activas vigente SII año tributario fiscal</v>
      </c>
      <c r="S932" s="39" t="str">
        <f>HYPERLINK("https://analytics.zoho.com/open-view/2395394000008062434?ZOHO_CRITERIA=%22Directorio_Todo%22.%22Cod_Regi%C3%B3n%22%3D"&amp;Agencia[[#This Row],[Filtro URL]])</f>
        <v>https://analytics.zoho.com/open-view/2395394000008062434?ZOHO_CRITERIA=%22Directorio_Todo%22.%22Cod_Regi%C3%B3n%22%3D1</v>
      </c>
      <c r="T932" s="69" t="str">
        <f>"100-C-"&amp;Agencia[[#This Row],[Filtro URL]]</f>
        <v>100-C-1</v>
      </c>
      <c r="U932" s="50" t="str">
        <f t="shared" si="1478"/>
        <v>#1774B9</v>
      </c>
      <c r="V932" s="118" t="str">
        <f>+Agencia[[#This Row],[idcoleccion]]&amp;"-"&amp;Agencia[[#This Row],[id]]</f>
        <v>990-0921</v>
      </c>
      <c r="W932" s="118">
        <f>+VLOOKUP(Agencia[[#This Row],[Filtro URL]],Estructura!$X$4:$Y$500,2,0)</f>
        <v>99200001</v>
      </c>
      <c r="X932" s="118" t="str">
        <f>+VLOOKUP(Agencia[[#This Row],[tema]],Estructura!$A$4:$C$500,3,0)</f>
        <v>T-1023</v>
      </c>
      <c r="Y932" s="118" t="str">
        <f>+VLOOKUP(Agencia[[#This Row],[contenido]],Estructura!$E$4:$G$500,3,0)</f>
        <v>C-993</v>
      </c>
      <c r="Z932" s="118" t="str">
        <f>+VLOOKUP(Agencia[[#This Row],[Filtro Integrado]],Estructura!$I$4:$K$500,3,0)</f>
        <v>FI-991</v>
      </c>
      <c r="AA932" s="118" t="str">
        <f>+VLOOKUP(Agencia[[#This Row],[Muestra]],Estructura!$M$4:$O$500,3,0)</f>
        <v>M-1073</v>
      </c>
    </row>
    <row r="933" spans="1:27" ht="57.6" x14ac:dyDescent="0.3">
      <c r="A933" s="21" t="s">
        <v>1829</v>
      </c>
      <c r="B933" s="24">
        <f t="shared" ref="B933:D933" si="1527">+B932</f>
        <v>990</v>
      </c>
      <c r="C933" s="25" t="str">
        <f t="shared" si="1527"/>
        <v>Agencia Información</v>
      </c>
      <c r="D933" s="25" t="str">
        <f t="shared" si="1527"/>
        <v>Economía</v>
      </c>
      <c r="E933" s="19">
        <v>2</v>
      </c>
      <c r="F933" s="18" t="s">
        <v>1670</v>
      </c>
      <c r="G933" s="18" t="s">
        <v>1601</v>
      </c>
      <c r="H933" s="35" t="s">
        <v>16</v>
      </c>
      <c r="I933" s="36" t="s">
        <v>369</v>
      </c>
      <c r="J933" s="9" t="str">
        <f t="shared" ref="J933:N933" si="1528">+J932</f>
        <v>Comuna</v>
      </c>
      <c r="K933" s="9" t="s">
        <v>1673</v>
      </c>
      <c r="L933" s="38" t="str">
        <f t="shared" si="1528"/>
        <v>Periodo 1993-2019</v>
      </c>
      <c r="M933" s="9" t="str">
        <f t="shared" si="1528"/>
        <v>Número de trabajadores</v>
      </c>
      <c r="N933" s="9" t="str">
        <f t="shared" si="1528"/>
        <v>Servicio de Impuestos Internos (SII)</v>
      </c>
      <c r="O933" s="45" t="str">
        <f>+"Número de trabajadores de empresas vigentes, por año de inicio de actividades y tipo de contribuyentes en la "&amp;I933&amp;", "&amp;Agencia[[#This Row],[temporalidad]]</f>
        <v>Número de trabajadores de empresas vigentes, por año de inicio de actividades y tipo de contribuyentes en la Región de Antofagasta, Periodo 1993-2019</v>
      </c>
      <c r="P933" s="20"/>
      <c r="Q933" s="11" t="str">
        <f t="shared" si="1493"/>
        <v>Gráfico de Evolución</v>
      </c>
      <c r="R933" s="20" t="str">
        <f>Agencia[[#This Row],[territorio]]&amp;" evolución anual trabajadores tipo contribuyente empresas activas vigente SII año tributario fiscal"</f>
        <v>Región de Antofagasta evolución anual trabajadores tipo contribuyente empresas activas vigente SII año tributario fiscal</v>
      </c>
      <c r="S933" s="39" t="str">
        <f>HYPERLINK("https://analytics.zoho.com/open-view/2395394000008062434?ZOHO_CRITERIA=%22Directorio_Todo%22.%22Cod_Regi%C3%B3n%22%3D"&amp;Agencia[[#This Row],[Filtro URL]])</f>
        <v>https://analytics.zoho.com/open-view/2395394000008062434?ZOHO_CRITERIA=%22Directorio_Todo%22.%22Cod_Regi%C3%B3n%22%3D2</v>
      </c>
      <c r="T933" s="69" t="str">
        <f>"100-C-"&amp;Agencia[[#This Row],[Filtro URL]]</f>
        <v>100-C-2</v>
      </c>
      <c r="U933" s="50" t="str">
        <f t="shared" si="1478"/>
        <v>#1774B9</v>
      </c>
      <c r="V933" s="118" t="str">
        <f>+Agencia[[#This Row],[idcoleccion]]&amp;"-"&amp;Agencia[[#This Row],[id]]</f>
        <v>990-0922</v>
      </c>
      <c r="W933" s="118">
        <f>+VLOOKUP(Agencia[[#This Row],[Filtro URL]],Estructura!$X$4:$Y$500,2,0)</f>
        <v>99200002</v>
      </c>
      <c r="X933" s="118" t="str">
        <f>+VLOOKUP(Agencia[[#This Row],[tema]],Estructura!$A$4:$C$500,3,0)</f>
        <v>T-1023</v>
      </c>
      <c r="Y933" s="118" t="str">
        <f>+VLOOKUP(Agencia[[#This Row],[contenido]],Estructura!$E$4:$G$500,3,0)</f>
        <v>C-993</v>
      </c>
      <c r="Z933" s="118" t="str">
        <f>+VLOOKUP(Agencia[[#This Row],[Filtro Integrado]],Estructura!$I$4:$K$500,3,0)</f>
        <v>FI-991</v>
      </c>
      <c r="AA933" s="118" t="str">
        <f>+VLOOKUP(Agencia[[#This Row],[Muestra]],Estructura!$M$4:$O$500,3,0)</f>
        <v>M-1073</v>
      </c>
    </row>
    <row r="934" spans="1:27" ht="57.6" x14ac:dyDescent="0.3">
      <c r="A934" s="21" t="s">
        <v>1830</v>
      </c>
      <c r="B934" s="24">
        <f t="shared" ref="B934:D934" si="1529">+B933</f>
        <v>990</v>
      </c>
      <c r="C934" s="25" t="str">
        <f t="shared" si="1529"/>
        <v>Agencia Información</v>
      </c>
      <c r="D934" s="25" t="str">
        <f t="shared" si="1529"/>
        <v>Economía</v>
      </c>
      <c r="E934" s="19">
        <v>3</v>
      </c>
      <c r="F934" s="18" t="s">
        <v>1670</v>
      </c>
      <c r="G934" s="18" t="s">
        <v>1601</v>
      </c>
      <c r="H934" s="35" t="s">
        <v>16</v>
      </c>
      <c r="I934" s="36" t="s">
        <v>370</v>
      </c>
      <c r="J934" s="9" t="str">
        <f t="shared" ref="J934:N934" si="1530">+J933</f>
        <v>Comuna</v>
      </c>
      <c r="K934" s="9" t="s">
        <v>1673</v>
      </c>
      <c r="L934" s="38" t="str">
        <f t="shared" si="1530"/>
        <v>Periodo 1993-2019</v>
      </c>
      <c r="M934" s="9" t="str">
        <f t="shared" si="1530"/>
        <v>Número de trabajadores</v>
      </c>
      <c r="N934" s="9" t="str">
        <f t="shared" si="1530"/>
        <v>Servicio de Impuestos Internos (SII)</v>
      </c>
      <c r="O934" s="45" t="str">
        <f>+"Número de trabajadores de empresas vigentes, por año de inicio de actividades y tipo de contribuyentes en la "&amp;I934&amp;", "&amp;Agencia[[#This Row],[temporalidad]]</f>
        <v>Número de trabajadores de empresas vigentes, por año de inicio de actividades y tipo de contribuyentes en la Región de Atacama, Periodo 1993-2019</v>
      </c>
      <c r="P934" s="20"/>
      <c r="Q934" s="11" t="str">
        <f t="shared" si="1493"/>
        <v>Gráfico de Evolución</v>
      </c>
      <c r="R934" s="20" t="str">
        <f>Agencia[[#This Row],[territorio]]&amp;" evolución anual trabajadores tipo contribuyente empresas activas vigente SII año tributario fiscal"</f>
        <v>Región de Atacama evolución anual trabajadores tipo contribuyente empresas activas vigente SII año tributario fiscal</v>
      </c>
      <c r="S934" s="39" t="str">
        <f>HYPERLINK("https://analytics.zoho.com/open-view/2395394000008062434?ZOHO_CRITERIA=%22Directorio_Todo%22.%22Cod_Regi%C3%B3n%22%3D"&amp;Agencia[[#This Row],[Filtro URL]])</f>
        <v>https://analytics.zoho.com/open-view/2395394000008062434?ZOHO_CRITERIA=%22Directorio_Todo%22.%22Cod_Regi%C3%B3n%22%3D3</v>
      </c>
      <c r="T934" s="69" t="str">
        <f>"100-C-"&amp;Agencia[[#This Row],[Filtro URL]]</f>
        <v>100-C-3</v>
      </c>
      <c r="U934" s="50" t="str">
        <f t="shared" si="1478"/>
        <v>#1774B9</v>
      </c>
      <c r="V934" s="118" t="str">
        <f>+Agencia[[#This Row],[idcoleccion]]&amp;"-"&amp;Agencia[[#This Row],[id]]</f>
        <v>990-0923</v>
      </c>
      <c r="W934" s="118">
        <f>+VLOOKUP(Agencia[[#This Row],[Filtro URL]],Estructura!$X$4:$Y$500,2,0)</f>
        <v>99200003</v>
      </c>
      <c r="X934" s="118" t="str">
        <f>+VLOOKUP(Agencia[[#This Row],[tema]],Estructura!$A$4:$C$500,3,0)</f>
        <v>T-1023</v>
      </c>
      <c r="Y934" s="118" t="str">
        <f>+VLOOKUP(Agencia[[#This Row],[contenido]],Estructura!$E$4:$G$500,3,0)</f>
        <v>C-993</v>
      </c>
      <c r="Z934" s="118" t="str">
        <f>+VLOOKUP(Agencia[[#This Row],[Filtro Integrado]],Estructura!$I$4:$K$500,3,0)</f>
        <v>FI-991</v>
      </c>
      <c r="AA934" s="118" t="str">
        <f>+VLOOKUP(Agencia[[#This Row],[Muestra]],Estructura!$M$4:$O$500,3,0)</f>
        <v>M-1073</v>
      </c>
    </row>
    <row r="935" spans="1:27" ht="57.6" x14ac:dyDescent="0.3">
      <c r="A935" s="21" t="s">
        <v>1831</v>
      </c>
      <c r="B935" s="24">
        <f t="shared" ref="B935:D935" si="1531">+B934</f>
        <v>990</v>
      </c>
      <c r="C935" s="25" t="str">
        <f t="shared" si="1531"/>
        <v>Agencia Información</v>
      </c>
      <c r="D935" s="25" t="str">
        <f t="shared" si="1531"/>
        <v>Economía</v>
      </c>
      <c r="E935" s="19">
        <v>4</v>
      </c>
      <c r="F935" s="18" t="s">
        <v>1670</v>
      </c>
      <c r="G935" s="18" t="s">
        <v>1601</v>
      </c>
      <c r="H935" s="35" t="s">
        <v>16</v>
      </c>
      <c r="I935" s="36" t="s">
        <v>371</v>
      </c>
      <c r="J935" s="9" t="str">
        <f t="shared" ref="J935:N935" si="1532">+J934</f>
        <v>Comuna</v>
      </c>
      <c r="K935" s="9" t="s">
        <v>1673</v>
      </c>
      <c r="L935" s="38" t="str">
        <f t="shared" si="1532"/>
        <v>Periodo 1993-2019</v>
      </c>
      <c r="M935" s="9" t="str">
        <f t="shared" si="1532"/>
        <v>Número de trabajadores</v>
      </c>
      <c r="N935" s="9" t="str">
        <f t="shared" si="1532"/>
        <v>Servicio de Impuestos Internos (SII)</v>
      </c>
      <c r="O935" s="45" t="str">
        <f>+"Número de trabajadores de empresas vigentes, por año de inicio de actividades y tipo de contribuyentes en la "&amp;I935&amp;", "&amp;Agencia[[#This Row],[temporalidad]]</f>
        <v>Número de trabajadores de empresas vigentes, por año de inicio de actividades y tipo de contribuyentes en la Región de Coquimbo, Periodo 1993-2019</v>
      </c>
      <c r="P935" s="20"/>
      <c r="Q935" s="11" t="str">
        <f t="shared" si="1493"/>
        <v>Gráfico de Evolución</v>
      </c>
      <c r="R935" s="20" t="str">
        <f>Agencia[[#This Row],[territorio]]&amp;" evolución anual trabajadores tipo contribuyente empresas activas vigente SII año tributario fiscal"</f>
        <v>Región de Coquimbo evolución anual trabajadores tipo contribuyente empresas activas vigente SII año tributario fiscal</v>
      </c>
      <c r="S935" s="39" t="str">
        <f>HYPERLINK("https://analytics.zoho.com/open-view/2395394000008062434?ZOHO_CRITERIA=%22Directorio_Todo%22.%22Cod_Regi%C3%B3n%22%3D"&amp;Agencia[[#This Row],[Filtro URL]])</f>
        <v>https://analytics.zoho.com/open-view/2395394000008062434?ZOHO_CRITERIA=%22Directorio_Todo%22.%22Cod_Regi%C3%B3n%22%3D4</v>
      </c>
      <c r="T935" s="69" t="str">
        <f>"100-C-"&amp;Agencia[[#This Row],[Filtro URL]]</f>
        <v>100-C-4</v>
      </c>
      <c r="U935" s="50" t="str">
        <f t="shared" si="1478"/>
        <v>#1774B9</v>
      </c>
      <c r="V935" s="118" t="str">
        <f>+Agencia[[#This Row],[idcoleccion]]&amp;"-"&amp;Agencia[[#This Row],[id]]</f>
        <v>990-0924</v>
      </c>
      <c r="W935" s="118">
        <f>+VLOOKUP(Agencia[[#This Row],[Filtro URL]],Estructura!$X$4:$Y$500,2,0)</f>
        <v>99200004</v>
      </c>
      <c r="X935" s="118" t="str">
        <f>+VLOOKUP(Agencia[[#This Row],[tema]],Estructura!$A$4:$C$500,3,0)</f>
        <v>T-1023</v>
      </c>
      <c r="Y935" s="118" t="str">
        <f>+VLOOKUP(Agencia[[#This Row],[contenido]],Estructura!$E$4:$G$500,3,0)</f>
        <v>C-993</v>
      </c>
      <c r="Z935" s="118" t="str">
        <f>+VLOOKUP(Agencia[[#This Row],[Filtro Integrado]],Estructura!$I$4:$K$500,3,0)</f>
        <v>FI-991</v>
      </c>
      <c r="AA935" s="118" t="str">
        <f>+VLOOKUP(Agencia[[#This Row],[Muestra]],Estructura!$M$4:$O$500,3,0)</f>
        <v>M-1073</v>
      </c>
    </row>
    <row r="936" spans="1:27" ht="57.6" x14ac:dyDescent="0.3">
      <c r="A936" s="21" t="s">
        <v>1832</v>
      </c>
      <c r="B936" s="24">
        <f t="shared" ref="B936:D936" si="1533">+B935</f>
        <v>990</v>
      </c>
      <c r="C936" s="25" t="str">
        <f t="shared" si="1533"/>
        <v>Agencia Información</v>
      </c>
      <c r="D936" s="25" t="str">
        <f t="shared" si="1533"/>
        <v>Economía</v>
      </c>
      <c r="E936" s="19">
        <v>5</v>
      </c>
      <c r="F936" s="18" t="s">
        <v>1670</v>
      </c>
      <c r="G936" s="18" t="s">
        <v>1601</v>
      </c>
      <c r="H936" s="35" t="s">
        <v>16</v>
      </c>
      <c r="I936" s="36" t="s">
        <v>372</v>
      </c>
      <c r="J936" s="9" t="str">
        <f t="shared" ref="J936:N936" si="1534">+J935</f>
        <v>Comuna</v>
      </c>
      <c r="K936" s="9" t="s">
        <v>1673</v>
      </c>
      <c r="L936" s="38" t="str">
        <f t="shared" si="1534"/>
        <v>Periodo 1993-2019</v>
      </c>
      <c r="M936" s="9" t="str">
        <f t="shared" si="1534"/>
        <v>Número de trabajadores</v>
      </c>
      <c r="N936" s="9" t="str">
        <f t="shared" si="1534"/>
        <v>Servicio de Impuestos Internos (SII)</v>
      </c>
      <c r="O936" s="45" t="str">
        <f>+"Número de trabajadores de empresas vigentes, por año de inicio de actividades y tipo de contribuyentes en la "&amp;I936&amp;", "&amp;Agencia[[#This Row],[temporalidad]]</f>
        <v>Número de trabajadores de empresas vigentes, por año de inicio de actividades y tipo de contribuyentes en la Región de Valparaíso, Periodo 1993-2019</v>
      </c>
      <c r="P936" s="20"/>
      <c r="Q936" s="11" t="str">
        <f t="shared" si="1493"/>
        <v>Gráfico de Evolución</v>
      </c>
      <c r="R936" s="20" t="str">
        <f>Agencia[[#This Row],[territorio]]&amp;" evolución anual trabajadores tipo contribuyente empresas activas vigente SII año tributario fiscal"</f>
        <v>Región de Valparaíso evolución anual trabajadores tipo contribuyente empresas activas vigente SII año tributario fiscal</v>
      </c>
      <c r="S936" s="39" t="str">
        <f>HYPERLINK("https://analytics.zoho.com/open-view/2395394000008062434?ZOHO_CRITERIA=%22Directorio_Todo%22.%22Cod_Regi%C3%B3n%22%3D"&amp;Agencia[[#This Row],[Filtro URL]])</f>
        <v>https://analytics.zoho.com/open-view/2395394000008062434?ZOHO_CRITERIA=%22Directorio_Todo%22.%22Cod_Regi%C3%B3n%22%3D5</v>
      </c>
      <c r="T936" s="69" t="str">
        <f>"100-C-"&amp;Agencia[[#This Row],[Filtro URL]]</f>
        <v>100-C-5</v>
      </c>
      <c r="U936" s="50" t="str">
        <f t="shared" si="1478"/>
        <v>#1774B9</v>
      </c>
      <c r="V936" s="118" t="str">
        <f>+Agencia[[#This Row],[idcoleccion]]&amp;"-"&amp;Agencia[[#This Row],[id]]</f>
        <v>990-0925</v>
      </c>
      <c r="W936" s="118">
        <f>+VLOOKUP(Agencia[[#This Row],[Filtro URL]],Estructura!$X$4:$Y$500,2,0)</f>
        <v>99200005</v>
      </c>
      <c r="X936" s="118" t="str">
        <f>+VLOOKUP(Agencia[[#This Row],[tema]],Estructura!$A$4:$C$500,3,0)</f>
        <v>T-1023</v>
      </c>
      <c r="Y936" s="118" t="str">
        <f>+VLOOKUP(Agencia[[#This Row],[contenido]],Estructura!$E$4:$G$500,3,0)</f>
        <v>C-993</v>
      </c>
      <c r="Z936" s="118" t="str">
        <f>+VLOOKUP(Agencia[[#This Row],[Filtro Integrado]],Estructura!$I$4:$K$500,3,0)</f>
        <v>FI-991</v>
      </c>
      <c r="AA936" s="118" t="str">
        <f>+VLOOKUP(Agencia[[#This Row],[Muestra]],Estructura!$M$4:$O$500,3,0)</f>
        <v>M-1073</v>
      </c>
    </row>
    <row r="937" spans="1:27" ht="57.6" x14ac:dyDescent="0.3">
      <c r="A937" s="21" t="s">
        <v>1833</v>
      </c>
      <c r="B937" s="24">
        <f t="shared" ref="B937:D937" si="1535">+B936</f>
        <v>990</v>
      </c>
      <c r="C937" s="25" t="str">
        <f t="shared" si="1535"/>
        <v>Agencia Información</v>
      </c>
      <c r="D937" s="25" t="str">
        <f t="shared" si="1535"/>
        <v>Economía</v>
      </c>
      <c r="E937" s="19">
        <v>6</v>
      </c>
      <c r="F937" s="18" t="s">
        <v>1670</v>
      </c>
      <c r="G937" s="18" t="s">
        <v>1601</v>
      </c>
      <c r="H937" s="35" t="s">
        <v>16</v>
      </c>
      <c r="I937" s="36" t="s">
        <v>373</v>
      </c>
      <c r="J937" s="9" t="str">
        <f t="shared" ref="J937:N937" si="1536">+J936</f>
        <v>Comuna</v>
      </c>
      <c r="K937" s="9" t="s">
        <v>1673</v>
      </c>
      <c r="L937" s="38" t="str">
        <f t="shared" si="1536"/>
        <v>Periodo 1993-2019</v>
      </c>
      <c r="M937" s="9" t="str">
        <f t="shared" si="1536"/>
        <v>Número de trabajadores</v>
      </c>
      <c r="N937" s="9" t="str">
        <f t="shared" si="1536"/>
        <v>Servicio de Impuestos Internos (SII)</v>
      </c>
      <c r="O937" s="45" t="str">
        <f>+"Número de trabajadores de empresas vigentes, por año de inicio de actividades y tipo de contribuyentes en la "&amp;I937&amp;", "&amp;Agencia[[#This Row],[temporalidad]]</f>
        <v>Número de trabajadores de empresas vigentes, por año de inicio de actividades y tipo de contribuyentes en la Región de O'Higgins, Periodo 1993-2019</v>
      </c>
      <c r="P937" s="20"/>
      <c r="Q937" s="11" t="str">
        <f t="shared" si="1493"/>
        <v>Gráfico de Evolución</v>
      </c>
      <c r="R937" s="20" t="str">
        <f>Agencia[[#This Row],[territorio]]&amp;" evolución anual trabajadores tipo contribuyente empresas activas vigente SII año tributario fiscal"</f>
        <v>Región de O'Higgins evolución anual trabajadores tipo contribuyente empresas activas vigente SII año tributario fiscal</v>
      </c>
      <c r="S937" s="39" t="str">
        <f>HYPERLINK("https://analytics.zoho.com/open-view/2395394000008062434?ZOHO_CRITERIA=%22Directorio_Todo%22.%22Cod_Regi%C3%B3n%22%3D"&amp;Agencia[[#This Row],[Filtro URL]])</f>
        <v>https://analytics.zoho.com/open-view/2395394000008062434?ZOHO_CRITERIA=%22Directorio_Todo%22.%22Cod_Regi%C3%B3n%22%3D6</v>
      </c>
      <c r="T937" s="69" t="str">
        <f>"100-C-"&amp;Agencia[[#This Row],[Filtro URL]]</f>
        <v>100-C-6</v>
      </c>
      <c r="U937" s="50" t="str">
        <f t="shared" si="1478"/>
        <v>#1774B9</v>
      </c>
      <c r="V937" s="118" t="str">
        <f>+Agencia[[#This Row],[idcoleccion]]&amp;"-"&amp;Agencia[[#This Row],[id]]</f>
        <v>990-0926</v>
      </c>
      <c r="W937" s="118">
        <f>+VLOOKUP(Agencia[[#This Row],[Filtro URL]],Estructura!$X$4:$Y$500,2,0)</f>
        <v>99200006</v>
      </c>
      <c r="X937" s="118" t="str">
        <f>+VLOOKUP(Agencia[[#This Row],[tema]],Estructura!$A$4:$C$500,3,0)</f>
        <v>T-1023</v>
      </c>
      <c r="Y937" s="118" t="str">
        <f>+VLOOKUP(Agencia[[#This Row],[contenido]],Estructura!$E$4:$G$500,3,0)</f>
        <v>C-993</v>
      </c>
      <c r="Z937" s="118" t="str">
        <f>+VLOOKUP(Agencia[[#This Row],[Filtro Integrado]],Estructura!$I$4:$K$500,3,0)</f>
        <v>FI-991</v>
      </c>
      <c r="AA937" s="118" t="str">
        <f>+VLOOKUP(Agencia[[#This Row],[Muestra]],Estructura!$M$4:$O$500,3,0)</f>
        <v>M-1073</v>
      </c>
    </row>
    <row r="938" spans="1:27" ht="57.6" x14ac:dyDescent="0.3">
      <c r="A938" s="21" t="s">
        <v>1834</v>
      </c>
      <c r="B938" s="24">
        <f t="shared" ref="B938:D938" si="1537">+B937</f>
        <v>990</v>
      </c>
      <c r="C938" s="25" t="str">
        <f t="shared" si="1537"/>
        <v>Agencia Información</v>
      </c>
      <c r="D938" s="25" t="str">
        <f t="shared" si="1537"/>
        <v>Economía</v>
      </c>
      <c r="E938" s="19">
        <v>7</v>
      </c>
      <c r="F938" s="18" t="s">
        <v>1670</v>
      </c>
      <c r="G938" s="18" t="s">
        <v>1601</v>
      </c>
      <c r="H938" s="35" t="s">
        <v>16</v>
      </c>
      <c r="I938" s="36" t="s">
        <v>374</v>
      </c>
      <c r="J938" s="9" t="str">
        <f t="shared" ref="J938:N938" si="1538">+J937</f>
        <v>Comuna</v>
      </c>
      <c r="K938" s="9" t="s">
        <v>1673</v>
      </c>
      <c r="L938" s="38" t="str">
        <f t="shared" si="1538"/>
        <v>Periodo 1993-2019</v>
      </c>
      <c r="M938" s="9" t="str">
        <f t="shared" si="1538"/>
        <v>Número de trabajadores</v>
      </c>
      <c r="N938" s="9" t="str">
        <f t="shared" si="1538"/>
        <v>Servicio de Impuestos Internos (SII)</v>
      </c>
      <c r="O938" s="45" t="str">
        <f>+"Número de trabajadores de empresas vigentes, por año de inicio de actividades y tipo de contribuyentes en la "&amp;I938&amp;", "&amp;Agencia[[#This Row],[temporalidad]]</f>
        <v>Número de trabajadores de empresas vigentes, por año de inicio de actividades y tipo de contribuyentes en la Región de Maule, Periodo 1993-2019</v>
      </c>
      <c r="P938" s="20"/>
      <c r="Q938" s="11" t="str">
        <f t="shared" si="1493"/>
        <v>Gráfico de Evolución</v>
      </c>
      <c r="R938" s="20" t="str">
        <f>Agencia[[#This Row],[territorio]]&amp;" evolución anual trabajadores tipo contribuyente empresas activas vigente SII año tributario fiscal"</f>
        <v>Región de Maule evolución anual trabajadores tipo contribuyente empresas activas vigente SII año tributario fiscal</v>
      </c>
      <c r="S938" s="39" t="str">
        <f>HYPERLINK("https://analytics.zoho.com/open-view/2395394000008062434?ZOHO_CRITERIA=%22Directorio_Todo%22.%22Cod_Regi%C3%B3n%22%3D"&amp;Agencia[[#This Row],[Filtro URL]])</f>
        <v>https://analytics.zoho.com/open-view/2395394000008062434?ZOHO_CRITERIA=%22Directorio_Todo%22.%22Cod_Regi%C3%B3n%22%3D7</v>
      </c>
      <c r="T938" s="69" t="str">
        <f>"100-C-"&amp;Agencia[[#This Row],[Filtro URL]]</f>
        <v>100-C-7</v>
      </c>
      <c r="U938" s="50" t="str">
        <f t="shared" si="1478"/>
        <v>#1774B9</v>
      </c>
      <c r="V938" s="118" t="str">
        <f>+Agencia[[#This Row],[idcoleccion]]&amp;"-"&amp;Agencia[[#This Row],[id]]</f>
        <v>990-0927</v>
      </c>
      <c r="W938" s="118">
        <f>+VLOOKUP(Agencia[[#This Row],[Filtro URL]],Estructura!$X$4:$Y$500,2,0)</f>
        <v>99200007</v>
      </c>
      <c r="X938" s="118" t="str">
        <f>+VLOOKUP(Agencia[[#This Row],[tema]],Estructura!$A$4:$C$500,3,0)</f>
        <v>T-1023</v>
      </c>
      <c r="Y938" s="118" t="str">
        <f>+VLOOKUP(Agencia[[#This Row],[contenido]],Estructura!$E$4:$G$500,3,0)</f>
        <v>C-993</v>
      </c>
      <c r="Z938" s="118" t="str">
        <f>+VLOOKUP(Agencia[[#This Row],[Filtro Integrado]],Estructura!$I$4:$K$500,3,0)</f>
        <v>FI-991</v>
      </c>
      <c r="AA938" s="118" t="str">
        <f>+VLOOKUP(Agencia[[#This Row],[Muestra]],Estructura!$M$4:$O$500,3,0)</f>
        <v>M-1073</v>
      </c>
    </row>
    <row r="939" spans="1:27" ht="57.6" x14ac:dyDescent="0.3">
      <c r="A939" s="21" t="s">
        <v>1835</v>
      </c>
      <c r="B939" s="24">
        <f t="shared" ref="B939:D939" si="1539">+B938</f>
        <v>990</v>
      </c>
      <c r="C939" s="25" t="str">
        <f t="shared" si="1539"/>
        <v>Agencia Información</v>
      </c>
      <c r="D939" s="25" t="str">
        <f t="shared" si="1539"/>
        <v>Economía</v>
      </c>
      <c r="E939" s="19">
        <v>8</v>
      </c>
      <c r="F939" s="18" t="s">
        <v>1670</v>
      </c>
      <c r="G939" s="18" t="s">
        <v>1601</v>
      </c>
      <c r="H939" s="35" t="s">
        <v>16</v>
      </c>
      <c r="I939" s="36" t="s">
        <v>375</v>
      </c>
      <c r="J939" s="9" t="str">
        <f t="shared" ref="J939:N939" si="1540">+J938</f>
        <v>Comuna</v>
      </c>
      <c r="K939" s="9" t="s">
        <v>1673</v>
      </c>
      <c r="L939" s="38" t="str">
        <f t="shared" si="1540"/>
        <v>Periodo 1993-2019</v>
      </c>
      <c r="M939" s="9" t="str">
        <f t="shared" si="1540"/>
        <v>Número de trabajadores</v>
      </c>
      <c r="N939" s="9" t="str">
        <f t="shared" si="1540"/>
        <v>Servicio de Impuestos Internos (SII)</v>
      </c>
      <c r="O939" s="45" t="str">
        <f>+"Número de trabajadores de empresas vigentes, por año de inicio de actividades y tipo de contribuyentes en la "&amp;I939&amp;", "&amp;Agencia[[#This Row],[temporalidad]]</f>
        <v>Número de trabajadores de empresas vigentes, por año de inicio de actividades y tipo de contribuyentes en la Región del Biobío, Periodo 1993-2019</v>
      </c>
      <c r="P939" s="20"/>
      <c r="Q939" s="11" t="str">
        <f t="shared" si="1493"/>
        <v>Gráfico de Evolución</v>
      </c>
      <c r="R939" s="20" t="str">
        <f>Agencia[[#This Row],[territorio]]&amp;" evolución anual trabajadores tipo contribuyente empresas activas vigente SII año tributario fiscal"</f>
        <v>Región del Biobío evolución anual trabajadores tipo contribuyente empresas activas vigente SII año tributario fiscal</v>
      </c>
      <c r="S939" s="39" t="str">
        <f>HYPERLINK("https://analytics.zoho.com/open-view/2395394000008062434?ZOHO_CRITERIA=%22Directorio_Todo%22.%22Cod_Regi%C3%B3n%22%3D"&amp;Agencia[[#This Row],[Filtro URL]])</f>
        <v>https://analytics.zoho.com/open-view/2395394000008062434?ZOHO_CRITERIA=%22Directorio_Todo%22.%22Cod_Regi%C3%B3n%22%3D8</v>
      </c>
      <c r="T939" s="69" t="str">
        <f>"100-C-"&amp;Agencia[[#This Row],[Filtro URL]]</f>
        <v>100-C-8</v>
      </c>
      <c r="U939" s="50" t="str">
        <f t="shared" si="1478"/>
        <v>#1774B9</v>
      </c>
      <c r="V939" s="118" t="str">
        <f>+Agencia[[#This Row],[idcoleccion]]&amp;"-"&amp;Agencia[[#This Row],[id]]</f>
        <v>990-0928</v>
      </c>
      <c r="W939" s="118">
        <f>+VLOOKUP(Agencia[[#This Row],[Filtro URL]],Estructura!$X$4:$Y$500,2,0)</f>
        <v>99200008</v>
      </c>
      <c r="X939" s="118" t="str">
        <f>+VLOOKUP(Agencia[[#This Row],[tema]],Estructura!$A$4:$C$500,3,0)</f>
        <v>T-1023</v>
      </c>
      <c r="Y939" s="118" t="str">
        <f>+VLOOKUP(Agencia[[#This Row],[contenido]],Estructura!$E$4:$G$500,3,0)</f>
        <v>C-993</v>
      </c>
      <c r="Z939" s="118" t="str">
        <f>+VLOOKUP(Agencia[[#This Row],[Filtro Integrado]],Estructura!$I$4:$K$500,3,0)</f>
        <v>FI-991</v>
      </c>
      <c r="AA939" s="118" t="str">
        <f>+VLOOKUP(Agencia[[#This Row],[Muestra]],Estructura!$M$4:$O$500,3,0)</f>
        <v>M-1073</v>
      </c>
    </row>
    <row r="940" spans="1:27" ht="57.6" x14ac:dyDescent="0.3">
      <c r="A940" s="21" t="s">
        <v>1836</v>
      </c>
      <c r="B940" s="24">
        <f t="shared" ref="B940:D940" si="1541">+B939</f>
        <v>990</v>
      </c>
      <c r="C940" s="25" t="str">
        <f t="shared" si="1541"/>
        <v>Agencia Información</v>
      </c>
      <c r="D940" s="25" t="str">
        <f t="shared" si="1541"/>
        <v>Economía</v>
      </c>
      <c r="E940" s="19">
        <v>9</v>
      </c>
      <c r="F940" s="18" t="s">
        <v>1670</v>
      </c>
      <c r="G940" s="18" t="s">
        <v>1601</v>
      </c>
      <c r="H940" s="35" t="s">
        <v>16</v>
      </c>
      <c r="I940" s="36" t="s">
        <v>376</v>
      </c>
      <c r="J940" s="9" t="str">
        <f t="shared" ref="J940:N940" si="1542">+J939</f>
        <v>Comuna</v>
      </c>
      <c r="K940" s="9" t="s">
        <v>1673</v>
      </c>
      <c r="L940" s="38" t="str">
        <f t="shared" si="1542"/>
        <v>Periodo 1993-2019</v>
      </c>
      <c r="M940" s="9" t="str">
        <f t="shared" si="1542"/>
        <v>Número de trabajadores</v>
      </c>
      <c r="N940" s="9" t="str">
        <f t="shared" si="1542"/>
        <v>Servicio de Impuestos Internos (SII)</v>
      </c>
      <c r="O940" s="45" t="str">
        <f>+"Número de trabajadores de empresas vigentes, por año de inicio de actividades y tipo de contribuyentes en la "&amp;I940&amp;", "&amp;Agencia[[#This Row],[temporalidad]]</f>
        <v>Número de trabajadores de empresas vigentes, por año de inicio de actividades y tipo de contribuyentes en la Región de La Araucanía, Periodo 1993-2019</v>
      </c>
      <c r="P940" s="20"/>
      <c r="Q940" s="11" t="str">
        <f t="shared" si="1493"/>
        <v>Gráfico de Evolución</v>
      </c>
      <c r="R940" s="20" t="str">
        <f>Agencia[[#This Row],[territorio]]&amp;" evolución anual trabajadores tipo contribuyente empresas activas vigente SII año tributario fiscal"</f>
        <v>Región de La Araucanía evolución anual trabajadores tipo contribuyente empresas activas vigente SII año tributario fiscal</v>
      </c>
      <c r="S940" s="39" t="str">
        <f>HYPERLINK("https://analytics.zoho.com/open-view/2395394000008062434?ZOHO_CRITERIA=%22Directorio_Todo%22.%22Cod_Regi%C3%B3n%22%3D"&amp;Agencia[[#This Row],[Filtro URL]])</f>
        <v>https://analytics.zoho.com/open-view/2395394000008062434?ZOHO_CRITERIA=%22Directorio_Todo%22.%22Cod_Regi%C3%B3n%22%3D9</v>
      </c>
      <c r="T940" s="69" t="str">
        <f>"100-C-"&amp;Agencia[[#This Row],[Filtro URL]]</f>
        <v>100-C-9</v>
      </c>
      <c r="U940" s="50" t="str">
        <f t="shared" si="1478"/>
        <v>#1774B9</v>
      </c>
      <c r="V940" s="118" t="str">
        <f>+Agencia[[#This Row],[idcoleccion]]&amp;"-"&amp;Agencia[[#This Row],[id]]</f>
        <v>990-0929</v>
      </c>
      <c r="W940" s="118">
        <f>+VLOOKUP(Agencia[[#This Row],[Filtro URL]],Estructura!$X$4:$Y$500,2,0)</f>
        <v>99200009</v>
      </c>
      <c r="X940" s="118" t="str">
        <f>+VLOOKUP(Agencia[[#This Row],[tema]],Estructura!$A$4:$C$500,3,0)</f>
        <v>T-1023</v>
      </c>
      <c r="Y940" s="118" t="str">
        <f>+VLOOKUP(Agencia[[#This Row],[contenido]],Estructura!$E$4:$G$500,3,0)</f>
        <v>C-993</v>
      </c>
      <c r="Z940" s="118" t="str">
        <f>+VLOOKUP(Agencia[[#This Row],[Filtro Integrado]],Estructura!$I$4:$K$500,3,0)</f>
        <v>FI-991</v>
      </c>
      <c r="AA940" s="118" t="str">
        <f>+VLOOKUP(Agencia[[#This Row],[Muestra]],Estructura!$M$4:$O$500,3,0)</f>
        <v>M-1073</v>
      </c>
    </row>
    <row r="941" spans="1:27" ht="57.6" x14ac:dyDescent="0.3">
      <c r="A941" s="21" t="s">
        <v>1837</v>
      </c>
      <c r="B941" s="24">
        <f t="shared" ref="B941:D941" si="1543">+B940</f>
        <v>990</v>
      </c>
      <c r="C941" s="25" t="str">
        <f t="shared" si="1543"/>
        <v>Agencia Información</v>
      </c>
      <c r="D941" s="25" t="str">
        <f t="shared" si="1543"/>
        <v>Economía</v>
      </c>
      <c r="E941" s="19">
        <v>10</v>
      </c>
      <c r="F941" s="18" t="s">
        <v>1670</v>
      </c>
      <c r="G941" s="18" t="s">
        <v>1601</v>
      </c>
      <c r="H941" s="35" t="s">
        <v>16</v>
      </c>
      <c r="I941" s="36" t="s">
        <v>377</v>
      </c>
      <c r="J941" s="9" t="str">
        <f t="shared" ref="J941:N941" si="1544">+J940</f>
        <v>Comuna</v>
      </c>
      <c r="K941" s="9" t="s">
        <v>1673</v>
      </c>
      <c r="L941" s="38" t="str">
        <f t="shared" si="1544"/>
        <v>Periodo 1993-2019</v>
      </c>
      <c r="M941" s="9" t="str">
        <f t="shared" si="1544"/>
        <v>Número de trabajadores</v>
      </c>
      <c r="N941" s="9" t="str">
        <f t="shared" si="1544"/>
        <v>Servicio de Impuestos Internos (SII)</v>
      </c>
      <c r="O941" s="45" t="str">
        <f>+"Número de trabajadores de empresas vigentes, por año de inicio de actividades y tipo de contribuyentes en la "&amp;I941&amp;", "&amp;Agencia[[#This Row],[temporalidad]]</f>
        <v>Número de trabajadores de empresas vigentes, por año de inicio de actividades y tipo de contribuyentes en la Región de Los Lagos, Periodo 1993-2019</v>
      </c>
      <c r="P941" s="20"/>
      <c r="Q941" s="11" t="str">
        <f t="shared" si="1493"/>
        <v>Gráfico de Evolución</v>
      </c>
      <c r="R941" s="20" t="str">
        <f>Agencia[[#This Row],[territorio]]&amp;" evolución anual trabajadores tipo contribuyente empresas activas vigente SII año tributario fiscal"</f>
        <v>Región de Los Lagos evolución anual trabajadores tipo contribuyente empresas activas vigente SII año tributario fiscal</v>
      </c>
      <c r="S941" s="39" t="str">
        <f>HYPERLINK("https://analytics.zoho.com/open-view/2395394000008062434?ZOHO_CRITERIA=%22Directorio_Todo%22.%22Cod_Regi%C3%B3n%22%3D"&amp;Agencia[[#This Row],[Filtro URL]])</f>
        <v>https://analytics.zoho.com/open-view/2395394000008062434?ZOHO_CRITERIA=%22Directorio_Todo%22.%22Cod_Regi%C3%B3n%22%3D10</v>
      </c>
      <c r="T941" s="69" t="str">
        <f>"100-C-"&amp;Agencia[[#This Row],[Filtro URL]]</f>
        <v>100-C-10</v>
      </c>
      <c r="U941" s="50" t="str">
        <f t="shared" si="1478"/>
        <v>#1774B9</v>
      </c>
      <c r="V941" s="118" t="str">
        <f>+Agencia[[#This Row],[idcoleccion]]&amp;"-"&amp;Agencia[[#This Row],[id]]</f>
        <v>990-0930</v>
      </c>
      <c r="W941" s="118">
        <f>+VLOOKUP(Agencia[[#This Row],[Filtro URL]],Estructura!$X$4:$Y$500,2,0)</f>
        <v>99200010</v>
      </c>
      <c r="X941" s="118" t="str">
        <f>+VLOOKUP(Agencia[[#This Row],[tema]],Estructura!$A$4:$C$500,3,0)</f>
        <v>T-1023</v>
      </c>
      <c r="Y941" s="118" t="str">
        <f>+VLOOKUP(Agencia[[#This Row],[contenido]],Estructura!$E$4:$G$500,3,0)</f>
        <v>C-993</v>
      </c>
      <c r="Z941" s="118" t="str">
        <f>+VLOOKUP(Agencia[[#This Row],[Filtro Integrado]],Estructura!$I$4:$K$500,3,0)</f>
        <v>FI-991</v>
      </c>
      <c r="AA941" s="118" t="str">
        <f>+VLOOKUP(Agencia[[#This Row],[Muestra]],Estructura!$M$4:$O$500,3,0)</f>
        <v>M-1073</v>
      </c>
    </row>
    <row r="942" spans="1:27" ht="57.6" x14ac:dyDescent="0.3">
      <c r="A942" s="21" t="s">
        <v>1838</v>
      </c>
      <c r="B942" s="24">
        <f t="shared" ref="B942:D942" si="1545">+B941</f>
        <v>990</v>
      </c>
      <c r="C942" s="25" t="str">
        <f t="shared" si="1545"/>
        <v>Agencia Información</v>
      </c>
      <c r="D942" s="25" t="str">
        <f t="shared" si="1545"/>
        <v>Economía</v>
      </c>
      <c r="E942" s="19">
        <v>11</v>
      </c>
      <c r="F942" s="18" t="s">
        <v>1670</v>
      </c>
      <c r="G942" s="18" t="s">
        <v>1601</v>
      </c>
      <c r="H942" s="35" t="s">
        <v>16</v>
      </c>
      <c r="I942" s="36" t="s">
        <v>378</v>
      </c>
      <c r="J942" s="9" t="str">
        <f t="shared" ref="J942:N942" si="1546">+J941</f>
        <v>Comuna</v>
      </c>
      <c r="K942" s="9" t="s">
        <v>1673</v>
      </c>
      <c r="L942" s="38" t="str">
        <f t="shared" si="1546"/>
        <v>Periodo 1993-2019</v>
      </c>
      <c r="M942" s="9" t="str">
        <f t="shared" si="1546"/>
        <v>Número de trabajadores</v>
      </c>
      <c r="N942" s="9" t="str">
        <f t="shared" si="1546"/>
        <v>Servicio de Impuestos Internos (SII)</v>
      </c>
      <c r="O942" s="45" t="str">
        <f>+"Número de trabajadores de empresas vigentes, por año de inicio de actividades y tipo de contribuyentes en la "&amp;I942&amp;", "&amp;Agencia[[#This Row],[temporalidad]]</f>
        <v>Número de trabajadores de empresas vigentes, por año de inicio de actividades y tipo de contribuyentes en la Región de Aysén, Periodo 1993-2019</v>
      </c>
      <c r="P942" s="20"/>
      <c r="Q942" s="11" t="str">
        <f t="shared" si="1493"/>
        <v>Gráfico de Evolución</v>
      </c>
      <c r="R942" s="20" t="str">
        <f>Agencia[[#This Row],[territorio]]&amp;" evolución anual trabajadores tipo contribuyente empresas activas vigente SII año tributario fiscal"</f>
        <v>Región de Aysén evolución anual trabajadores tipo contribuyente empresas activas vigente SII año tributario fiscal</v>
      </c>
      <c r="S942" s="39" t="str">
        <f>HYPERLINK("https://analytics.zoho.com/open-view/2395394000008062434?ZOHO_CRITERIA=%22Directorio_Todo%22.%22Cod_Regi%C3%B3n%22%3D"&amp;Agencia[[#This Row],[Filtro URL]])</f>
        <v>https://analytics.zoho.com/open-view/2395394000008062434?ZOHO_CRITERIA=%22Directorio_Todo%22.%22Cod_Regi%C3%B3n%22%3D11</v>
      </c>
      <c r="T942" s="69" t="str">
        <f>"100-C-"&amp;Agencia[[#This Row],[Filtro URL]]</f>
        <v>100-C-11</v>
      </c>
      <c r="U942" s="50" t="str">
        <f t="shared" si="1478"/>
        <v>#1774B9</v>
      </c>
      <c r="V942" s="118" t="str">
        <f>+Agencia[[#This Row],[idcoleccion]]&amp;"-"&amp;Agencia[[#This Row],[id]]</f>
        <v>990-0931</v>
      </c>
      <c r="W942" s="118">
        <f>+VLOOKUP(Agencia[[#This Row],[Filtro URL]],Estructura!$X$4:$Y$500,2,0)</f>
        <v>99200011</v>
      </c>
      <c r="X942" s="118" t="str">
        <f>+VLOOKUP(Agencia[[#This Row],[tema]],Estructura!$A$4:$C$500,3,0)</f>
        <v>T-1023</v>
      </c>
      <c r="Y942" s="118" t="str">
        <f>+VLOOKUP(Agencia[[#This Row],[contenido]],Estructura!$E$4:$G$500,3,0)</f>
        <v>C-993</v>
      </c>
      <c r="Z942" s="118" t="str">
        <f>+VLOOKUP(Agencia[[#This Row],[Filtro Integrado]],Estructura!$I$4:$K$500,3,0)</f>
        <v>FI-991</v>
      </c>
      <c r="AA942" s="118" t="str">
        <f>+VLOOKUP(Agencia[[#This Row],[Muestra]],Estructura!$M$4:$O$500,3,0)</f>
        <v>M-1073</v>
      </c>
    </row>
    <row r="943" spans="1:27" ht="57.6" x14ac:dyDescent="0.3">
      <c r="A943" s="21" t="s">
        <v>1839</v>
      </c>
      <c r="B943" s="24">
        <f t="shared" ref="B943:D943" si="1547">+B942</f>
        <v>990</v>
      </c>
      <c r="C943" s="25" t="str">
        <f t="shared" si="1547"/>
        <v>Agencia Información</v>
      </c>
      <c r="D943" s="25" t="str">
        <f t="shared" si="1547"/>
        <v>Economía</v>
      </c>
      <c r="E943" s="19">
        <v>12</v>
      </c>
      <c r="F943" s="18" t="s">
        <v>1670</v>
      </c>
      <c r="G943" s="18" t="s">
        <v>1601</v>
      </c>
      <c r="H943" s="35" t="s">
        <v>16</v>
      </c>
      <c r="I943" s="36" t="s">
        <v>379</v>
      </c>
      <c r="J943" s="9" t="str">
        <f t="shared" ref="J943:N943" si="1548">+J942</f>
        <v>Comuna</v>
      </c>
      <c r="K943" s="9" t="s">
        <v>1673</v>
      </c>
      <c r="L943" s="38" t="str">
        <f t="shared" si="1548"/>
        <v>Periodo 1993-2019</v>
      </c>
      <c r="M943" s="9" t="str">
        <f t="shared" si="1548"/>
        <v>Número de trabajadores</v>
      </c>
      <c r="N943" s="9" t="str">
        <f t="shared" si="1548"/>
        <v>Servicio de Impuestos Internos (SII)</v>
      </c>
      <c r="O943" s="45" t="str">
        <f>+"Número de trabajadores de empresas vigentes, por año de inicio de actividades y tipo de contribuyentes en la "&amp;I943&amp;", "&amp;Agencia[[#This Row],[temporalidad]]</f>
        <v>Número de trabajadores de empresas vigentes, por año de inicio de actividades y tipo de contribuyentes en la Región de Magallanes, Periodo 1993-2019</v>
      </c>
      <c r="P943" s="20"/>
      <c r="Q943" s="11" t="str">
        <f t="shared" si="1493"/>
        <v>Gráfico de Evolución</v>
      </c>
      <c r="R943" s="20" t="str">
        <f>Agencia[[#This Row],[territorio]]&amp;" evolución anual trabajadores tipo contribuyente empresas activas vigente SII año tributario fiscal"</f>
        <v>Región de Magallanes evolución anual trabajadores tipo contribuyente empresas activas vigente SII año tributario fiscal</v>
      </c>
      <c r="S943" s="39" t="str">
        <f>HYPERLINK("https://analytics.zoho.com/open-view/2395394000008062434?ZOHO_CRITERIA=%22Directorio_Todo%22.%22Cod_Regi%C3%B3n%22%3D"&amp;Agencia[[#This Row],[Filtro URL]])</f>
        <v>https://analytics.zoho.com/open-view/2395394000008062434?ZOHO_CRITERIA=%22Directorio_Todo%22.%22Cod_Regi%C3%B3n%22%3D12</v>
      </c>
      <c r="T943" s="69" t="str">
        <f>"100-C-"&amp;Agencia[[#This Row],[Filtro URL]]</f>
        <v>100-C-12</v>
      </c>
      <c r="U943" s="50" t="str">
        <f t="shared" si="1478"/>
        <v>#1774B9</v>
      </c>
      <c r="V943" s="118" t="str">
        <f>+Agencia[[#This Row],[idcoleccion]]&amp;"-"&amp;Agencia[[#This Row],[id]]</f>
        <v>990-0932</v>
      </c>
      <c r="W943" s="118">
        <f>+VLOOKUP(Agencia[[#This Row],[Filtro URL]],Estructura!$X$4:$Y$500,2,0)</f>
        <v>99200012</v>
      </c>
      <c r="X943" s="118" t="str">
        <f>+VLOOKUP(Agencia[[#This Row],[tema]],Estructura!$A$4:$C$500,3,0)</f>
        <v>T-1023</v>
      </c>
      <c r="Y943" s="118" t="str">
        <f>+VLOOKUP(Agencia[[#This Row],[contenido]],Estructura!$E$4:$G$500,3,0)</f>
        <v>C-993</v>
      </c>
      <c r="Z943" s="118" t="str">
        <f>+VLOOKUP(Agencia[[#This Row],[Filtro Integrado]],Estructura!$I$4:$K$500,3,0)</f>
        <v>FI-991</v>
      </c>
      <c r="AA943" s="118" t="str">
        <f>+VLOOKUP(Agencia[[#This Row],[Muestra]],Estructura!$M$4:$O$500,3,0)</f>
        <v>M-1073</v>
      </c>
    </row>
    <row r="944" spans="1:27" ht="57.6" x14ac:dyDescent="0.3">
      <c r="A944" s="21" t="s">
        <v>1840</v>
      </c>
      <c r="B944" s="24">
        <f t="shared" ref="B944:D944" si="1549">+B943</f>
        <v>990</v>
      </c>
      <c r="C944" s="25" t="str">
        <f t="shared" si="1549"/>
        <v>Agencia Información</v>
      </c>
      <c r="D944" s="25" t="str">
        <f t="shared" si="1549"/>
        <v>Economía</v>
      </c>
      <c r="E944" s="19">
        <v>13</v>
      </c>
      <c r="F944" s="18" t="s">
        <v>1670</v>
      </c>
      <c r="G944" s="18" t="s">
        <v>1601</v>
      </c>
      <c r="H944" s="35" t="s">
        <v>16</v>
      </c>
      <c r="I944" s="36" t="s">
        <v>380</v>
      </c>
      <c r="J944" s="9" t="str">
        <f t="shared" ref="J944:N944" si="1550">+J943</f>
        <v>Comuna</v>
      </c>
      <c r="K944" s="9" t="s">
        <v>1673</v>
      </c>
      <c r="L944" s="38" t="str">
        <f t="shared" si="1550"/>
        <v>Periodo 1993-2019</v>
      </c>
      <c r="M944" s="9" t="str">
        <f t="shared" si="1550"/>
        <v>Número de trabajadores</v>
      </c>
      <c r="N944" s="9" t="str">
        <f t="shared" si="1550"/>
        <v>Servicio de Impuestos Internos (SII)</v>
      </c>
      <c r="O944" s="45" t="str">
        <f>+"Número de trabajadores de empresas vigentes, por año de inicio de actividades y tipo de contribuyentes en la "&amp;I944&amp;", "&amp;Agencia[[#This Row],[temporalidad]]</f>
        <v>Número de trabajadores de empresas vigentes, por año de inicio de actividades y tipo de contribuyentes en la Región Metropolitana, Periodo 1993-2019</v>
      </c>
      <c r="P944" s="20"/>
      <c r="Q944" s="11" t="str">
        <f t="shared" si="1493"/>
        <v>Gráfico de Evolución</v>
      </c>
      <c r="R944" s="20" t="str">
        <f>Agencia[[#This Row],[territorio]]&amp;" evolución anual trabajadores tipo contribuyente empresas activas vigente SII año tributario fiscal"</f>
        <v>Región Metropolitana evolución anual trabajadores tipo contribuyente empresas activas vigente SII año tributario fiscal</v>
      </c>
      <c r="S944" s="39" t="str">
        <f>HYPERLINK("https://analytics.zoho.com/open-view/2395394000008062434?ZOHO_CRITERIA=%22Directorio_Todo%22.%22Cod_Regi%C3%B3n%22%3D"&amp;Agencia[[#This Row],[Filtro URL]])</f>
        <v>https://analytics.zoho.com/open-view/2395394000008062434?ZOHO_CRITERIA=%22Directorio_Todo%22.%22Cod_Regi%C3%B3n%22%3D13</v>
      </c>
      <c r="T944" s="69" t="str">
        <f>"200-C-"&amp;Agencia[[#This Row],[Filtro URL]]</f>
        <v>200-C-13</v>
      </c>
      <c r="U944" s="50" t="str">
        <f t="shared" si="1478"/>
        <v>#1774B9</v>
      </c>
      <c r="V944" s="118" t="str">
        <f>+Agencia[[#This Row],[idcoleccion]]&amp;"-"&amp;Agencia[[#This Row],[id]]</f>
        <v>990-0933</v>
      </c>
      <c r="W944" s="118">
        <f>+VLOOKUP(Agencia[[#This Row],[Filtro URL]],Estructura!$X$4:$Y$500,2,0)</f>
        <v>99200013</v>
      </c>
      <c r="X944" s="118" t="str">
        <f>+VLOOKUP(Agencia[[#This Row],[tema]],Estructura!$A$4:$C$500,3,0)</f>
        <v>T-1023</v>
      </c>
      <c r="Y944" s="118" t="str">
        <f>+VLOOKUP(Agencia[[#This Row],[contenido]],Estructura!$E$4:$G$500,3,0)</f>
        <v>C-993</v>
      </c>
      <c r="Z944" s="118" t="str">
        <f>+VLOOKUP(Agencia[[#This Row],[Filtro Integrado]],Estructura!$I$4:$K$500,3,0)</f>
        <v>FI-991</v>
      </c>
      <c r="AA944" s="118" t="str">
        <f>+VLOOKUP(Agencia[[#This Row],[Muestra]],Estructura!$M$4:$O$500,3,0)</f>
        <v>M-1073</v>
      </c>
    </row>
    <row r="945" spans="1:27" ht="57.6" x14ac:dyDescent="0.3">
      <c r="A945" s="21" t="s">
        <v>1841</v>
      </c>
      <c r="B945" s="24">
        <f t="shared" ref="B945:D945" si="1551">+B944</f>
        <v>990</v>
      </c>
      <c r="C945" s="25" t="str">
        <f t="shared" si="1551"/>
        <v>Agencia Información</v>
      </c>
      <c r="D945" s="25" t="str">
        <f t="shared" si="1551"/>
        <v>Economía</v>
      </c>
      <c r="E945" s="19">
        <v>14</v>
      </c>
      <c r="F945" s="18" t="s">
        <v>1670</v>
      </c>
      <c r="G945" s="18" t="s">
        <v>1601</v>
      </c>
      <c r="H945" s="35" t="s">
        <v>16</v>
      </c>
      <c r="I945" s="36" t="s">
        <v>381</v>
      </c>
      <c r="J945" s="9" t="str">
        <f t="shared" ref="J945:N945" si="1552">+J944</f>
        <v>Comuna</v>
      </c>
      <c r="K945" s="9" t="s">
        <v>1673</v>
      </c>
      <c r="L945" s="38" t="str">
        <f t="shared" si="1552"/>
        <v>Periodo 1993-2019</v>
      </c>
      <c r="M945" s="9" t="str">
        <f t="shared" si="1552"/>
        <v>Número de trabajadores</v>
      </c>
      <c r="N945" s="9" t="str">
        <f t="shared" si="1552"/>
        <v>Servicio de Impuestos Internos (SII)</v>
      </c>
      <c r="O945" s="45" t="str">
        <f>+"Número de trabajadores de empresas vigentes, por año de inicio de actividades y tipo de contribuyentes en la "&amp;I945&amp;", "&amp;Agencia[[#This Row],[temporalidad]]</f>
        <v>Número de trabajadores de empresas vigentes, por año de inicio de actividades y tipo de contribuyentes en la Región de Los Ríos, Periodo 1993-2019</v>
      </c>
      <c r="P945" s="20"/>
      <c r="Q945" s="11" t="str">
        <f t="shared" si="1493"/>
        <v>Gráfico de Evolución</v>
      </c>
      <c r="R945" s="20" t="str">
        <f>Agencia[[#This Row],[territorio]]&amp;" evolución anual trabajadores tipo contribuyente empresas activas vigente SII año tributario fiscal"</f>
        <v>Región de Los Ríos evolución anual trabajadores tipo contribuyente empresas activas vigente SII año tributario fiscal</v>
      </c>
      <c r="S945" s="39" t="str">
        <f>HYPERLINK("https://analytics.zoho.com/open-view/2395394000008062434?ZOHO_CRITERIA=%22Directorio_Todo%22.%22Cod_Regi%C3%B3n%22%3D"&amp;Agencia[[#This Row],[Filtro URL]])</f>
        <v>https://analytics.zoho.com/open-view/2395394000008062434?ZOHO_CRITERIA=%22Directorio_Todo%22.%22Cod_Regi%C3%B3n%22%3D14</v>
      </c>
      <c r="T945" s="69" t="str">
        <f>"100-C-"&amp;Agencia[[#This Row],[Filtro URL]]</f>
        <v>100-C-14</v>
      </c>
      <c r="U945" s="50" t="str">
        <f t="shared" si="1478"/>
        <v>#1774B9</v>
      </c>
      <c r="V945" s="118" t="str">
        <f>+Agencia[[#This Row],[idcoleccion]]&amp;"-"&amp;Agencia[[#This Row],[id]]</f>
        <v>990-0934</v>
      </c>
      <c r="W945" s="118">
        <f>+VLOOKUP(Agencia[[#This Row],[Filtro URL]],Estructura!$X$4:$Y$500,2,0)</f>
        <v>99200014</v>
      </c>
      <c r="X945" s="118" t="str">
        <f>+VLOOKUP(Agencia[[#This Row],[tema]],Estructura!$A$4:$C$500,3,0)</f>
        <v>T-1023</v>
      </c>
      <c r="Y945" s="118" t="str">
        <f>+VLOOKUP(Agencia[[#This Row],[contenido]],Estructura!$E$4:$G$500,3,0)</f>
        <v>C-993</v>
      </c>
      <c r="Z945" s="118" t="str">
        <f>+VLOOKUP(Agencia[[#This Row],[Filtro Integrado]],Estructura!$I$4:$K$500,3,0)</f>
        <v>FI-991</v>
      </c>
      <c r="AA945" s="118" t="str">
        <f>+VLOOKUP(Agencia[[#This Row],[Muestra]],Estructura!$M$4:$O$500,3,0)</f>
        <v>M-1073</v>
      </c>
    </row>
    <row r="946" spans="1:27" ht="57.6" x14ac:dyDescent="0.3">
      <c r="A946" s="21" t="s">
        <v>1842</v>
      </c>
      <c r="B946" s="24">
        <f t="shared" ref="B946:D946" si="1553">+B945</f>
        <v>990</v>
      </c>
      <c r="C946" s="25" t="str">
        <f t="shared" si="1553"/>
        <v>Agencia Información</v>
      </c>
      <c r="D946" s="25" t="str">
        <f t="shared" si="1553"/>
        <v>Economía</v>
      </c>
      <c r="E946" s="19">
        <v>15</v>
      </c>
      <c r="F946" s="18" t="s">
        <v>1670</v>
      </c>
      <c r="G946" s="18" t="s">
        <v>1601</v>
      </c>
      <c r="H946" s="35" t="s">
        <v>16</v>
      </c>
      <c r="I946" s="36" t="s">
        <v>382</v>
      </c>
      <c r="J946" s="9" t="str">
        <f t="shared" ref="J946:N946" si="1554">+J945</f>
        <v>Comuna</v>
      </c>
      <c r="K946" s="9" t="s">
        <v>1673</v>
      </c>
      <c r="L946" s="38" t="str">
        <f t="shared" si="1554"/>
        <v>Periodo 1993-2019</v>
      </c>
      <c r="M946" s="9" t="str">
        <f t="shared" si="1554"/>
        <v>Número de trabajadores</v>
      </c>
      <c r="N946" s="9" t="str">
        <f t="shared" si="1554"/>
        <v>Servicio de Impuestos Internos (SII)</v>
      </c>
      <c r="O946" s="45" t="str">
        <f>+"Número de trabajadores de empresas vigentes, por año de inicio de actividades y tipo de contribuyentes en la "&amp;I946&amp;", "&amp;Agencia[[#This Row],[temporalidad]]</f>
        <v>Número de trabajadores de empresas vigentes, por año de inicio de actividades y tipo de contribuyentes en la Región de Arica y Parinacota, Periodo 1993-2019</v>
      </c>
      <c r="P946" s="20"/>
      <c r="Q946" s="11" t="str">
        <f t="shared" si="1493"/>
        <v>Gráfico de Evolución</v>
      </c>
      <c r="R946" s="20" t="str">
        <f>Agencia[[#This Row],[territorio]]&amp;" evolución anual trabajadores tipo contribuyente empresas activas vigente SII año tributario fiscal"</f>
        <v>Región de Arica y Parinacota evolución anual trabajadores tipo contribuyente empresas activas vigente SII año tributario fiscal</v>
      </c>
      <c r="S946" s="39" t="str">
        <f>HYPERLINK("https://analytics.zoho.com/open-view/2395394000008062434?ZOHO_CRITERIA=%22Directorio_Todo%22.%22Cod_Regi%C3%B3n%22%3D"&amp;Agencia[[#This Row],[Filtro URL]])</f>
        <v>https://analytics.zoho.com/open-view/2395394000008062434?ZOHO_CRITERIA=%22Directorio_Todo%22.%22Cod_Regi%C3%B3n%22%3D15</v>
      </c>
      <c r="T946" s="69" t="str">
        <f>"100-C-"&amp;Agencia[[#This Row],[Filtro URL]]</f>
        <v>100-C-15</v>
      </c>
      <c r="U946" s="50" t="str">
        <f t="shared" si="1478"/>
        <v>#1774B9</v>
      </c>
      <c r="V946" s="118" t="str">
        <f>+Agencia[[#This Row],[idcoleccion]]&amp;"-"&amp;Agencia[[#This Row],[id]]</f>
        <v>990-0935</v>
      </c>
      <c r="W946" s="118">
        <f>+VLOOKUP(Agencia[[#This Row],[Filtro URL]],Estructura!$X$4:$Y$500,2,0)</f>
        <v>99200015</v>
      </c>
      <c r="X946" s="118" t="str">
        <f>+VLOOKUP(Agencia[[#This Row],[tema]],Estructura!$A$4:$C$500,3,0)</f>
        <v>T-1023</v>
      </c>
      <c r="Y946" s="118" t="str">
        <f>+VLOOKUP(Agencia[[#This Row],[contenido]],Estructura!$E$4:$G$500,3,0)</f>
        <v>C-993</v>
      </c>
      <c r="Z946" s="118" t="str">
        <f>+VLOOKUP(Agencia[[#This Row],[Filtro Integrado]],Estructura!$I$4:$K$500,3,0)</f>
        <v>FI-991</v>
      </c>
      <c r="AA946" s="118" t="str">
        <f>+VLOOKUP(Agencia[[#This Row],[Muestra]],Estructura!$M$4:$O$500,3,0)</f>
        <v>M-1073</v>
      </c>
    </row>
    <row r="947" spans="1:27" ht="57.6" x14ac:dyDescent="0.3">
      <c r="A947" s="21" t="s">
        <v>1843</v>
      </c>
      <c r="B947" s="24">
        <f t="shared" ref="B947:D947" si="1555">+B946</f>
        <v>990</v>
      </c>
      <c r="C947" s="25" t="str">
        <f t="shared" si="1555"/>
        <v>Agencia Información</v>
      </c>
      <c r="D947" s="25" t="str">
        <f t="shared" si="1555"/>
        <v>Economía</v>
      </c>
      <c r="E947" s="19">
        <v>16</v>
      </c>
      <c r="F947" s="18" t="s">
        <v>1670</v>
      </c>
      <c r="G947" s="18" t="s">
        <v>1601</v>
      </c>
      <c r="H947" s="35" t="s">
        <v>16</v>
      </c>
      <c r="I947" s="36" t="s">
        <v>383</v>
      </c>
      <c r="J947" s="9" t="str">
        <f t="shared" ref="J947:N947" si="1556">+J946</f>
        <v>Comuna</v>
      </c>
      <c r="K947" s="9" t="s">
        <v>1673</v>
      </c>
      <c r="L947" s="38" t="str">
        <f t="shared" si="1556"/>
        <v>Periodo 1993-2019</v>
      </c>
      <c r="M947" s="9" t="str">
        <f t="shared" si="1556"/>
        <v>Número de trabajadores</v>
      </c>
      <c r="N947" s="9" t="str">
        <f t="shared" si="1556"/>
        <v>Servicio de Impuestos Internos (SII)</v>
      </c>
      <c r="O947" s="45" t="str">
        <f>+"Número de trabajadores de empresas vigentes, por año de inicio de actividades y tipo de contribuyentes en la "&amp;I947&amp;", "&amp;Agencia[[#This Row],[temporalidad]]</f>
        <v>Número de trabajadores de empresas vigentes, por año de inicio de actividades y tipo de contribuyentes en la Región de Ñuble, Periodo 1993-2019</v>
      </c>
      <c r="P947" s="20"/>
      <c r="Q947" s="11" t="str">
        <f t="shared" si="1493"/>
        <v>Gráfico de Evolución</v>
      </c>
      <c r="R947" s="20" t="str">
        <f>Agencia[[#This Row],[territorio]]&amp;" evolución anual trabajadores tipo contribuyente empresas activas vigente SII año tributario fiscal"</f>
        <v>Región de Ñuble evolución anual trabajadores tipo contribuyente empresas activas vigente SII año tributario fiscal</v>
      </c>
      <c r="S947" s="39" t="str">
        <f>HYPERLINK("https://analytics.zoho.com/open-view/2395394000008062434?ZOHO_CRITERIA=%22Directorio_Todo%22.%22Cod_Regi%C3%B3n%22%3D"&amp;Agencia[[#This Row],[Filtro URL]])</f>
        <v>https://analytics.zoho.com/open-view/2395394000008062434?ZOHO_CRITERIA=%22Directorio_Todo%22.%22Cod_Regi%C3%B3n%22%3D16</v>
      </c>
      <c r="T947" s="69" t="str">
        <f>"100-C-"&amp;Agencia[[#This Row],[Filtro URL]]</f>
        <v>100-C-16</v>
      </c>
      <c r="U947" s="50" t="str">
        <f t="shared" si="1478"/>
        <v>#1774B9</v>
      </c>
      <c r="V947" s="118" t="str">
        <f>+Agencia[[#This Row],[idcoleccion]]&amp;"-"&amp;Agencia[[#This Row],[id]]</f>
        <v>990-0936</v>
      </c>
      <c r="W947" s="118">
        <f>+VLOOKUP(Agencia[[#This Row],[Filtro URL]],Estructura!$X$4:$Y$500,2,0)</f>
        <v>99200016</v>
      </c>
      <c r="X947" s="118" t="str">
        <f>+VLOOKUP(Agencia[[#This Row],[tema]],Estructura!$A$4:$C$500,3,0)</f>
        <v>T-1023</v>
      </c>
      <c r="Y947" s="118" t="str">
        <f>+VLOOKUP(Agencia[[#This Row],[contenido]],Estructura!$E$4:$G$500,3,0)</f>
        <v>C-993</v>
      </c>
      <c r="Z947" s="118" t="str">
        <f>+VLOOKUP(Agencia[[#This Row],[Filtro Integrado]],Estructura!$I$4:$K$500,3,0)</f>
        <v>FI-991</v>
      </c>
      <c r="AA947" s="118" t="str">
        <f>+VLOOKUP(Agencia[[#This Row],[Muestra]],Estructura!$M$4:$O$500,3,0)</f>
        <v>M-1073</v>
      </c>
    </row>
    <row r="948" spans="1:27" ht="71.400000000000006" x14ac:dyDescent="0.3">
      <c r="A948" s="21" t="s">
        <v>1844</v>
      </c>
      <c r="B948" s="24">
        <f t="shared" ref="B948:C948" si="1557">+B947</f>
        <v>990</v>
      </c>
      <c r="C948" s="25" t="str">
        <f t="shared" si="1557"/>
        <v>Agencia Información</v>
      </c>
      <c r="D948" s="25" t="s">
        <v>574</v>
      </c>
      <c r="E948" s="14">
        <v>0</v>
      </c>
      <c r="F948" s="18" t="s">
        <v>1021</v>
      </c>
      <c r="G948" s="18" t="s">
        <v>3784</v>
      </c>
      <c r="H948" s="33" t="s">
        <v>20</v>
      </c>
      <c r="I948" s="34" t="s">
        <v>15</v>
      </c>
      <c r="J948" s="9" t="s">
        <v>1032</v>
      </c>
      <c r="K948" s="9" t="s">
        <v>1678</v>
      </c>
      <c r="L948" s="38" t="s">
        <v>1677</v>
      </c>
      <c r="M948" s="9" t="s">
        <v>592</v>
      </c>
      <c r="N948" s="9" t="s">
        <v>910</v>
      </c>
      <c r="O948" s="45" t="str">
        <f>+"Evolución de Población en el Programa de VIH/SIDA según Comuna en "&amp;I948&amp;", "&amp;Agencia[[#This Row],[temporalidad]]</f>
        <v>Evolución de Población en el Programa de VIH/SIDA según Comuna en Chile, Periodo 2012-2018</v>
      </c>
      <c r="P948" s="20" t="s">
        <v>1675</v>
      </c>
      <c r="Q948" s="11" t="s">
        <v>821</v>
      </c>
      <c r="R948" s="20" t="str">
        <f>Agencia[[#This Row],[territorio]]&amp;" VIH SIDA enfermedad transmisión sexual programa casos número población"</f>
        <v>Chile VIH SIDA enfermedad transmisión sexual programa casos número población</v>
      </c>
      <c r="S948" s="22" t="s">
        <v>1676</v>
      </c>
      <c r="T948" s="68" t="s">
        <v>1033</v>
      </c>
      <c r="U948" s="50" t="str">
        <f t="shared" si="1478"/>
        <v>#1774B9</v>
      </c>
      <c r="V948" s="118" t="str">
        <f>+Agencia[[#This Row],[idcoleccion]]&amp;"-"&amp;Agencia[[#This Row],[id]]</f>
        <v>990-0937</v>
      </c>
      <c r="W948" s="118">
        <f>+VLOOKUP(Agencia[[#This Row],[Filtro URL]],Estructura!$X$4:$Y$500,2,0)</f>
        <v>99100000</v>
      </c>
      <c r="X948" s="118" t="str">
        <f>+VLOOKUP(Agencia[[#This Row],[tema]],Estructura!$A$4:$C$500,3,0)</f>
        <v>T-1000</v>
      </c>
      <c r="Y948" s="118" t="str">
        <f>+VLOOKUP(Agencia[[#This Row],[contenido]],Estructura!$E$4:$G$500,3,0)</f>
        <v>C-1010</v>
      </c>
      <c r="Z948" s="118" t="str">
        <f>+VLOOKUP(Agencia[[#This Row],[Filtro Integrado]],Estructura!$I$4:$K$500,3,0)</f>
        <v>FI-994</v>
      </c>
      <c r="AA948" s="118" t="str">
        <f>+VLOOKUP(Agencia[[#This Row],[Muestra]],Estructura!$M$4:$O$500,3,0)</f>
        <v>M-1074</v>
      </c>
    </row>
    <row r="949" spans="1:27" ht="57.6" x14ac:dyDescent="0.3">
      <c r="A949" s="21" t="s">
        <v>1845</v>
      </c>
      <c r="B949" s="24">
        <f t="shared" ref="B949:D949" si="1558">+B948</f>
        <v>990</v>
      </c>
      <c r="C949" s="25" t="str">
        <f t="shared" si="1558"/>
        <v>Agencia Información</v>
      </c>
      <c r="D949" s="25" t="str">
        <f t="shared" si="1558"/>
        <v>Salud</v>
      </c>
      <c r="E949" s="19">
        <v>1</v>
      </c>
      <c r="F949" s="18" t="s">
        <v>1021</v>
      </c>
      <c r="G949" s="18" t="s">
        <v>3784</v>
      </c>
      <c r="H949" s="35" t="s">
        <v>16</v>
      </c>
      <c r="I949" s="36" t="s">
        <v>368</v>
      </c>
      <c r="J949" s="9" t="s">
        <v>18</v>
      </c>
      <c r="K949" s="9" t="s">
        <v>1678</v>
      </c>
      <c r="L949" s="38" t="str">
        <f>+L948</f>
        <v>Periodo 2012-2018</v>
      </c>
      <c r="M949" s="9" t="str">
        <f t="shared" ref="M949:N949" si="1559">+M948</f>
        <v>Número de Casos</v>
      </c>
      <c r="N949" s="9" t="str">
        <f t="shared" si="1559"/>
        <v>Departamento de Estadísticas e Información de la Salud (DEIS) - Ministerio de Salud</v>
      </c>
      <c r="O949" s="45" t="str">
        <f>+"Evolución de Población en el Programa de VIH/SIDA según Comuna en la "&amp;I949&amp;", "&amp;Agencia[[#This Row],[temporalidad]]</f>
        <v>Evolución de Población en el Programa de VIH/SIDA según Comuna en la Región de Tarapacá, Periodo 2012-2018</v>
      </c>
      <c r="P949" s="20"/>
      <c r="Q949" s="11" t="str">
        <f t="shared" si="1493"/>
        <v>Gráfico de Evolución</v>
      </c>
      <c r="R949" s="20" t="str">
        <f>Agencia[[#This Row],[territorio]]&amp;" VIH SIDA enfermedad transmisión sexual programa casos número población"</f>
        <v>Región de Tarapacá VIH SIDA enfermedad transmisión sexual programa casos número población</v>
      </c>
      <c r="S949" s="39" t="str">
        <f>HYPERLINK("https://analytics.zoho.com/open-view/2395394000008389806?ZOHO_CRITERIA=%22Localiza%20CL%22.%22Codreg%22%20%3D%20"&amp;Agencia[[#This Row],[Filtro URL]])</f>
        <v>https://analytics.zoho.com/open-view/2395394000008389806?ZOHO_CRITERIA=%22Localiza%20CL%22.%22Codreg%22%20%3D%201</v>
      </c>
      <c r="T949" s="69" t="str">
        <f>"100-C-"&amp;Agencia[[#This Row],[Filtro URL]]</f>
        <v>100-C-1</v>
      </c>
      <c r="U949" s="50" t="str">
        <f t="shared" si="1478"/>
        <v>#1774B9</v>
      </c>
      <c r="V949" s="118" t="str">
        <f>+Agencia[[#This Row],[idcoleccion]]&amp;"-"&amp;Agencia[[#This Row],[id]]</f>
        <v>990-0938</v>
      </c>
      <c r="W949" s="118">
        <f>+VLOOKUP(Agencia[[#This Row],[Filtro URL]],Estructura!$X$4:$Y$500,2,0)</f>
        <v>99200001</v>
      </c>
      <c r="X949" s="118" t="str">
        <f>+VLOOKUP(Agencia[[#This Row],[tema]],Estructura!$A$4:$C$500,3,0)</f>
        <v>T-1000</v>
      </c>
      <c r="Y949" s="118" t="str">
        <f>+VLOOKUP(Agencia[[#This Row],[contenido]],Estructura!$E$4:$G$500,3,0)</f>
        <v>C-1010</v>
      </c>
      <c r="Z949" s="118" t="str">
        <f>+VLOOKUP(Agencia[[#This Row],[Filtro Integrado]],Estructura!$I$4:$K$500,3,0)</f>
        <v>FI-991</v>
      </c>
      <c r="AA949" s="118" t="str">
        <f>+VLOOKUP(Agencia[[#This Row],[Muestra]],Estructura!$M$4:$O$500,3,0)</f>
        <v>M-1074</v>
      </c>
    </row>
    <row r="950" spans="1:27" ht="57.6" x14ac:dyDescent="0.3">
      <c r="A950" s="21" t="s">
        <v>1846</v>
      </c>
      <c r="B950" s="24">
        <f t="shared" ref="B950:D950" si="1560">+B949</f>
        <v>990</v>
      </c>
      <c r="C950" s="25" t="str">
        <f t="shared" si="1560"/>
        <v>Agencia Información</v>
      </c>
      <c r="D950" s="25" t="str">
        <f t="shared" si="1560"/>
        <v>Salud</v>
      </c>
      <c r="E950" s="19">
        <v>2</v>
      </c>
      <c r="F950" s="18" t="s">
        <v>1021</v>
      </c>
      <c r="G950" s="18" t="s">
        <v>3784</v>
      </c>
      <c r="H950" s="35" t="s">
        <v>16</v>
      </c>
      <c r="I950" s="36" t="s">
        <v>369</v>
      </c>
      <c r="J950" s="9" t="str">
        <f t="shared" ref="J950:N950" si="1561">+J949</f>
        <v>Comuna</v>
      </c>
      <c r="K950" s="9" t="s">
        <v>1678</v>
      </c>
      <c r="L950" s="38" t="str">
        <f t="shared" si="1561"/>
        <v>Periodo 2012-2018</v>
      </c>
      <c r="M950" s="9" t="str">
        <f t="shared" si="1561"/>
        <v>Número de Casos</v>
      </c>
      <c r="N950" s="9" t="str">
        <f t="shared" si="1561"/>
        <v>Departamento de Estadísticas e Información de la Salud (DEIS) - Ministerio de Salud</v>
      </c>
      <c r="O950" s="45" t="str">
        <f>+"Evolución de Población en el Programa de VIH/SIDA según Comuna en la "&amp;I950&amp;", "&amp;Agencia[[#This Row],[temporalidad]]</f>
        <v>Evolución de Población en el Programa de VIH/SIDA según Comuna en la Región de Antofagasta, Periodo 2012-2018</v>
      </c>
      <c r="P950" s="20"/>
      <c r="Q950" s="11" t="str">
        <f t="shared" si="1493"/>
        <v>Gráfico de Evolución</v>
      </c>
      <c r="R950" s="20" t="str">
        <f>Agencia[[#This Row],[territorio]]&amp;" VIH SIDA enfermedad transmisión sexual programa casos número población"</f>
        <v>Región de Antofagasta VIH SIDA enfermedad transmisión sexual programa casos número población</v>
      </c>
      <c r="S950" s="39" t="str">
        <f>HYPERLINK("https://analytics.zoho.com/open-view/2395394000008389806?ZOHO_CRITERIA=%22Localiza%20CL%22.%22Codreg%22%20%3D%20"&amp;Agencia[[#This Row],[Filtro URL]])</f>
        <v>https://analytics.zoho.com/open-view/2395394000008389806?ZOHO_CRITERIA=%22Localiza%20CL%22.%22Codreg%22%20%3D%202</v>
      </c>
      <c r="T950" s="69" t="str">
        <f>"100-C-"&amp;Agencia[[#This Row],[Filtro URL]]</f>
        <v>100-C-2</v>
      </c>
      <c r="U950" s="50" t="str">
        <f t="shared" si="1478"/>
        <v>#1774B9</v>
      </c>
      <c r="V950" s="118" t="str">
        <f>+Agencia[[#This Row],[idcoleccion]]&amp;"-"&amp;Agencia[[#This Row],[id]]</f>
        <v>990-0939</v>
      </c>
      <c r="W950" s="118">
        <f>+VLOOKUP(Agencia[[#This Row],[Filtro URL]],Estructura!$X$4:$Y$500,2,0)</f>
        <v>99200002</v>
      </c>
      <c r="X950" s="118" t="str">
        <f>+VLOOKUP(Agencia[[#This Row],[tema]],Estructura!$A$4:$C$500,3,0)</f>
        <v>T-1000</v>
      </c>
      <c r="Y950" s="118" t="str">
        <f>+VLOOKUP(Agencia[[#This Row],[contenido]],Estructura!$E$4:$G$500,3,0)</f>
        <v>C-1010</v>
      </c>
      <c r="Z950" s="118" t="str">
        <f>+VLOOKUP(Agencia[[#This Row],[Filtro Integrado]],Estructura!$I$4:$K$500,3,0)</f>
        <v>FI-991</v>
      </c>
      <c r="AA950" s="118" t="str">
        <f>+VLOOKUP(Agencia[[#This Row],[Muestra]],Estructura!$M$4:$O$500,3,0)</f>
        <v>M-1074</v>
      </c>
    </row>
    <row r="951" spans="1:27" ht="57.6" x14ac:dyDescent="0.3">
      <c r="A951" s="21" t="s">
        <v>1847</v>
      </c>
      <c r="B951" s="24">
        <f t="shared" ref="B951:D951" si="1562">+B950</f>
        <v>990</v>
      </c>
      <c r="C951" s="25" t="str">
        <f t="shared" si="1562"/>
        <v>Agencia Información</v>
      </c>
      <c r="D951" s="25" t="str">
        <f t="shared" si="1562"/>
        <v>Salud</v>
      </c>
      <c r="E951" s="19">
        <v>3</v>
      </c>
      <c r="F951" s="18" t="s">
        <v>1021</v>
      </c>
      <c r="G951" s="18" t="s">
        <v>3784</v>
      </c>
      <c r="H951" s="35" t="s">
        <v>16</v>
      </c>
      <c r="I951" s="36" t="s">
        <v>370</v>
      </c>
      <c r="J951" s="9" t="str">
        <f t="shared" ref="J951:N951" si="1563">+J950</f>
        <v>Comuna</v>
      </c>
      <c r="K951" s="9" t="s">
        <v>1678</v>
      </c>
      <c r="L951" s="38" t="str">
        <f t="shared" si="1563"/>
        <v>Periodo 2012-2018</v>
      </c>
      <c r="M951" s="9" t="str">
        <f t="shared" si="1563"/>
        <v>Número de Casos</v>
      </c>
      <c r="N951" s="9" t="str">
        <f t="shared" si="1563"/>
        <v>Departamento de Estadísticas e Información de la Salud (DEIS) - Ministerio de Salud</v>
      </c>
      <c r="O951" s="45" t="str">
        <f>+"Evolución de Población en el Programa de VIH/SIDA según Comuna en la "&amp;I951&amp;", "&amp;Agencia[[#This Row],[temporalidad]]</f>
        <v>Evolución de Población en el Programa de VIH/SIDA según Comuna en la Región de Atacama, Periodo 2012-2018</v>
      </c>
      <c r="P951" s="20"/>
      <c r="Q951" s="11" t="str">
        <f t="shared" si="1493"/>
        <v>Gráfico de Evolución</v>
      </c>
      <c r="R951" s="20" t="str">
        <f>Agencia[[#This Row],[territorio]]&amp;" VIH SIDA enfermedad transmisión sexual programa casos número población"</f>
        <v>Región de Atacama VIH SIDA enfermedad transmisión sexual programa casos número población</v>
      </c>
      <c r="S951" s="39" t="str">
        <f>HYPERLINK("https://analytics.zoho.com/open-view/2395394000008389806?ZOHO_CRITERIA=%22Localiza%20CL%22.%22Codreg%22%20%3D%20"&amp;Agencia[[#This Row],[Filtro URL]])</f>
        <v>https://analytics.zoho.com/open-view/2395394000008389806?ZOHO_CRITERIA=%22Localiza%20CL%22.%22Codreg%22%20%3D%203</v>
      </c>
      <c r="T951" s="69" t="str">
        <f>"100-C-"&amp;Agencia[[#This Row],[Filtro URL]]</f>
        <v>100-C-3</v>
      </c>
      <c r="U951" s="50" t="str">
        <f t="shared" si="1478"/>
        <v>#1774B9</v>
      </c>
      <c r="V951" s="118" t="str">
        <f>+Agencia[[#This Row],[idcoleccion]]&amp;"-"&amp;Agencia[[#This Row],[id]]</f>
        <v>990-0940</v>
      </c>
      <c r="W951" s="118">
        <f>+VLOOKUP(Agencia[[#This Row],[Filtro URL]],Estructura!$X$4:$Y$500,2,0)</f>
        <v>99200003</v>
      </c>
      <c r="X951" s="118" t="str">
        <f>+VLOOKUP(Agencia[[#This Row],[tema]],Estructura!$A$4:$C$500,3,0)</f>
        <v>T-1000</v>
      </c>
      <c r="Y951" s="118" t="str">
        <f>+VLOOKUP(Agencia[[#This Row],[contenido]],Estructura!$E$4:$G$500,3,0)</f>
        <v>C-1010</v>
      </c>
      <c r="Z951" s="118" t="str">
        <f>+VLOOKUP(Agencia[[#This Row],[Filtro Integrado]],Estructura!$I$4:$K$500,3,0)</f>
        <v>FI-991</v>
      </c>
      <c r="AA951" s="118" t="str">
        <f>+VLOOKUP(Agencia[[#This Row],[Muestra]],Estructura!$M$4:$O$500,3,0)</f>
        <v>M-1074</v>
      </c>
    </row>
    <row r="952" spans="1:27" ht="57.6" x14ac:dyDescent="0.3">
      <c r="A952" s="21" t="s">
        <v>1848</v>
      </c>
      <c r="B952" s="24">
        <f t="shared" ref="B952:D952" si="1564">+B951</f>
        <v>990</v>
      </c>
      <c r="C952" s="25" t="str">
        <f t="shared" si="1564"/>
        <v>Agencia Información</v>
      </c>
      <c r="D952" s="25" t="str">
        <f t="shared" si="1564"/>
        <v>Salud</v>
      </c>
      <c r="E952" s="19">
        <v>4</v>
      </c>
      <c r="F952" s="18" t="s">
        <v>1021</v>
      </c>
      <c r="G952" s="18" t="s">
        <v>3784</v>
      </c>
      <c r="H952" s="35" t="s">
        <v>16</v>
      </c>
      <c r="I952" s="36" t="s">
        <v>371</v>
      </c>
      <c r="J952" s="9" t="str">
        <f t="shared" ref="J952:N952" si="1565">+J951</f>
        <v>Comuna</v>
      </c>
      <c r="K952" s="9" t="s">
        <v>1678</v>
      </c>
      <c r="L952" s="38" t="str">
        <f t="shared" si="1565"/>
        <v>Periodo 2012-2018</v>
      </c>
      <c r="M952" s="9" t="str">
        <f t="shared" si="1565"/>
        <v>Número de Casos</v>
      </c>
      <c r="N952" s="9" t="str">
        <f t="shared" si="1565"/>
        <v>Departamento de Estadísticas e Información de la Salud (DEIS) - Ministerio de Salud</v>
      </c>
      <c r="O952" s="45" t="str">
        <f>+"Evolución de Población en el Programa de VIH/SIDA según Comuna en la "&amp;I952&amp;", "&amp;Agencia[[#This Row],[temporalidad]]</f>
        <v>Evolución de Población en el Programa de VIH/SIDA según Comuna en la Región de Coquimbo, Periodo 2012-2018</v>
      </c>
      <c r="P952" s="20"/>
      <c r="Q952" s="11" t="str">
        <f t="shared" si="1493"/>
        <v>Gráfico de Evolución</v>
      </c>
      <c r="R952" s="20" t="str">
        <f>Agencia[[#This Row],[territorio]]&amp;" VIH SIDA enfermedad transmisión sexual programa casos número población"</f>
        <v>Región de Coquimbo VIH SIDA enfermedad transmisión sexual programa casos número población</v>
      </c>
      <c r="S952" s="39" t="str">
        <f>HYPERLINK("https://analytics.zoho.com/open-view/2395394000008389806?ZOHO_CRITERIA=%22Localiza%20CL%22.%22Codreg%22%20%3D%20"&amp;Agencia[[#This Row],[Filtro URL]])</f>
        <v>https://analytics.zoho.com/open-view/2395394000008389806?ZOHO_CRITERIA=%22Localiza%20CL%22.%22Codreg%22%20%3D%204</v>
      </c>
      <c r="T952" s="69" t="str">
        <f>"100-C-"&amp;Agencia[[#This Row],[Filtro URL]]</f>
        <v>100-C-4</v>
      </c>
      <c r="U952" s="50" t="str">
        <f t="shared" si="1478"/>
        <v>#1774B9</v>
      </c>
      <c r="V952" s="118" t="str">
        <f>+Agencia[[#This Row],[idcoleccion]]&amp;"-"&amp;Agencia[[#This Row],[id]]</f>
        <v>990-0941</v>
      </c>
      <c r="W952" s="118">
        <f>+VLOOKUP(Agencia[[#This Row],[Filtro URL]],Estructura!$X$4:$Y$500,2,0)</f>
        <v>99200004</v>
      </c>
      <c r="X952" s="118" t="str">
        <f>+VLOOKUP(Agencia[[#This Row],[tema]],Estructura!$A$4:$C$500,3,0)</f>
        <v>T-1000</v>
      </c>
      <c r="Y952" s="118" t="str">
        <f>+VLOOKUP(Agencia[[#This Row],[contenido]],Estructura!$E$4:$G$500,3,0)</f>
        <v>C-1010</v>
      </c>
      <c r="Z952" s="118" t="str">
        <f>+VLOOKUP(Agencia[[#This Row],[Filtro Integrado]],Estructura!$I$4:$K$500,3,0)</f>
        <v>FI-991</v>
      </c>
      <c r="AA952" s="118" t="str">
        <f>+VLOOKUP(Agencia[[#This Row],[Muestra]],Estructura!$M$4:$O$500,3,0)</f>
        <v>M-1074</v>
      </c>
    </row>
    <row r="953" spans="1:27" ht="57.6" x14ac:dyDescent="0.3">
      <c r="A953" s="21" t="s">
        <v>1849</v>
      </c>
      <c r="B953" s="24">
        <f t="shared" ref="B953:D953" si="1566">+B952</f>
        <v>990</v>
      </c>
      <c r="C953" s="25" t="str">
        <f t="shared" si="1566"/>
        <v>Agencia Información</v>
      </c>
      <c r="D953" s="25" t="str">
        <f t="shared" si="1566"/>
        <v>Salud</v>
      </c>
      <c r="E953" s="19">
        <v>5</v>
      </c>
      <c r="F953" s="18" t="s">
        <v>1021</v>
      </c>
      <c r="G953" s="18" t="s">
        <v>3784</v>
      </c>
      <c r="H953" s="35" t="s">
        <v>16</v>
      </c>
      <c r="I953" s="36" t="s">
        <v>372</v>
      </c>
      <c r="J953" s="9" t="str">
        <f t="shared" ref="J953:N953" si="1567">+J952</f>
        <v>Comuna</v>
      </c>
      <c r="K953" s="9" t="s">
        <v>1678</v>
      </c>
      <c r="L953" s="38" t="str">
        <f t="shared" si="1567"/>
        <v>Periodo 2012-2018</v>
      </c>
      <c r="M953" s="9" t="str">
        <f t="shared" si="1567"/>
        <v>Número de Casos</v>
      </c>
      <c r="N953" s="9" t="str">
        <f t="shared" si="1567"/>
        <v>Departamento de Estadísticas e Información de la Salud (DEIS) - Ministerio de Salud</v>
      </c>
      <c r="O953" s="45" t="str">
        <f>+"Evolución de Población en el Programa de VIH/SIDA según Comuna en la "&amp;I953&amp;", "&amp;Agencia[[#This Row],[temporalidad]]</f>
        <v>Evolución de Población en el Programa de VIH/SIDA según Comuna en la Región de Valparaíso, Periodo 2012-2018</v>
      </c>
      <c r="P953" s="20"/>
      <c r="Q953" s="11" t="str">
        <f t="shared" si="1493"/>
        <v>Gráfico de Evolución</v>
      </c>
      <c r="R953" s="20" t="str">
        <f>Agencia[[#This Row],[territorio]]&amp;" VIH SIDA enfermedad transmisión sexual programa casos número población"</f>
        <v>Región de Valparaíso VIH SIDA enfermedad transmisión sexual programa casos número población</v>
      </c>
      <c r="S953" s="39" t="str">
        <f>HYPERLINK("https://analytics.zoho.com/open-view/2395394000008389806?ZOHO_CRITERIA=%22Localiza%20CL%22.%22Codreg%22%20%3D%20"&amp;Agencia[[#This Row],[Filtro URL]])</f>
        <v>https://analytics.zoho.com/open-view/2395394000008389806?ZOHO_CRITERIA=%22Localiza%20CL%22.%22Codreg%22%20%3D%205</v>
      </c>
      <c r="T953" s="69" t="str">
        <f>"100-C-"&amp;Agencia[[#This Row],[Filtro URL]]</f>
        <v>100-C-5</v>
      </c>
      <c r="U953" s="50" t="str">
        <f t="shared" si="1478"/>
        <v>#1774B9</v>
      </c>
      <c r="V953" s="118" t="str">
        <f>+Agencia[[#This Row],[idcoleccion]]&amp;"-"&amp;Agencia[[#This Row],[id]]</f>
        <v>990-0942</v>
      </c>
      <c r="W953" s="118">
        <f>+VLOOKUP(Agencia[[#This Row],[Filtro URL]],Estructura!$X$4:$Y$500,2,0)</f>
        <v>99200005</v>
      </c>
      <c r="X953" s="118" t="str">
        <f>+VLOOKUP(Agencia[[#This Row],[tema]],Estructura!$A$4:$C$500,3,0)</f>
        <v>T-1000</v>
      </c>
      <c r="Y953" s="118" t="str">
        <f>+VLOOKUP(Agencia[[#This Row],[contenido]],Estructura!$E$4:$G$500,3,0)</f>
        <v>C-1010</v>
      </c>
      <c r="Z953" s="118" t="str">
        <f>+VLOOKUP(Agencia[[#This Row],[Filtro Integrado]],Estructura!$I$4:$K$500,3,0)</f>
        <v>FI-991</v>
      </c>
      <c r="AA953" s="118" t="str">
        <f>+VLOOKUP(Agencia[[#This Row],[Muestra]],Estructura!$M$4:$O$500,3,0)</f>
        <v>M-1074</v>
      </c>
    </row>
    <row r="954" spans="1:27" ht="57.6" x14ac:dyDescent="0.3">
      <c r="A954" s="21" t="s">
        <v>1850</v>
      </c>
      <c r="B954" s="24">
        <f t="shared" ref="B954:D954" si="1568">+B953</f>
        <v>990</v>
      </c>
      <c r="C954" s="25" t="str">
        <f t="shared" si="1568"/>
        <v>Agencia Información</v>
      </c>
      <c r="D954" s="25" t="str">
        <f t="shared" si="1568"/>
        <v>Salud</v>
      </c>
      <c r="E954" s="19">
        <v>6</v>
      </c>
      <c r="F954" s="18" t="s">
        <v>1021</v>
      </c>
      <c r="G954" s="18" t="s">
        <v>3784</v>
      </c>
      <c r="H954" s="35" t="s">
        <v>16</v>
      </c>
      <c r="I954" s="36" t="s">
        <v>373</v>
      </c>
      <c r="J954" s="9" t="str">
        <f t="shared" ref="J954:N954" si="1569">+J953</f>
        <v>Comuna</v>
      </c>
      <c r="K954" s="9" t="s">
        <v>1678</v>
      </c>
      <c r="L954" s="38" t="str">
        <f t="shared" si="1569"/>
        <v>Periodo 2012-2018</v>
      </c>
      <c r="M954" s="9" t="str">
        <f t="shared" si="1569"/>
        <v>Número de Casos</v>
      </c>
      <c r="N954" s="9" t="str">
        <f t="shared" si="1569"/>
        <v>Departamento de Estadísticas e Información de la Salud (DEIS) - Ministerio de Salud</v>
      </c>
      <c r="O954" s="45" t="str">
        <f>+"Evolución de Población en el Programa de VIH/SIDA según Comuna en la "&amp;I954&amp;", "&amp;Agencia[[#This Row],[temporalidad]]</f>
        <v>Evolución de Población en el Programa de VIH/SIDA según Comuna en la Región de O'Higgins, Periodo 2012-2018</v>
      </c>
      <c r="P954" s="20"/>
      <c r="Q954" s="11" t="str">
        <f t="shared" si="1493"/>
        <v>Gráfico de Evolución</v>
      </c>
      <c r="R954" s="20" t="str">
        <f>Agencia[[#This Row],[territorio]]&amp;" VIH SIDA enfermedad transmisión sexual programa casos número población"</f>
        <v>Región de O'Higgins VIH SIDA enfermedad transmisión sexual programa casos número población</v>
      </c>
      <c r="S954" s="39" t="str">
        <f>HYPERLINK("https://analytics.zoho.com/open-view/2395394000008389806?ZOHO_CRITERIA=%22Localiza%20CL%22.%22Codreg%22%20%3D%20"&amp;Agencia[[#This Row],[Filtro URL]])</f>
        <v>https://analytics.zoho.com/open-view/2395394000008389806?ZOHO_CRITERIA=%22Localiza%20CL%22.%22Codreg%22%20%3D%206</v>
      </c>
      <c r="T954" s="69" t="str">
        <f>"100-C-"&amp;Agencia[[#This Row],[Filtro URL]]</f>
        <v>100-C-6</v>
      </c>
      <c r="U954" s="50" t="str">
        <f t="shared" si="1478"/>
        <v>#1774B9</v>
      </c>
      <c r="V954" s="118" t="str">
        <f>+Agencia[[#This Row],[idcoleccion]]&amp;"-"&amp;Agencia[[#This Row],[id]]</f>
        <v>990-0943</v>
      </c>
      <c r="W954" s="118">
        <f>+VLOOKUP(Agencia[[#This Row],[Filtro URL]],Estructura!$X$4:$Y$500,2,0)</f>
        <v>99200006</v>
      </c>
      <c r="X954" s="118" t="str">
        <f>+VLOOKUP(Agencia[[#This Row],[tema]],Estructura!$A$4:$C$500,3,0)</f>
        <v>T-1000</v>
      </c>
      <c r="Y954" s="118" t="str">
        <f>+VLOOKUP(Agencia[[#This Row],[contenido]],Estructura!$E$4:$G$500,3,0)</f>
        <v>C-1010</v>
      </c>
      <c r="Z954" s="118" t="str">
        <f>+VLOOKUP(Agencia[[#This Row],[Filtro Integrado]],Estructura!$I$4:$K$500,3,0)</f>
        <v>FI-991</v>
      </c>
      <c r="AA954" s="118" t="str">
        <f>+VLOOKUP(Agencia[[#This Row],[Muestra]],Estructura!$M$4:$O$500,3,0)</f>
        <v>M-1074</v>
      </c>
    </row>
    <row r="955" spans="1:27" ht="57.6" x14ac:dyDescent="0.3">
      <c r="A955" s="21" t="s">
        <v>1851</v>
      </c>
      <c r="B955" s="24">
        <f t="shared" ref="B955:D955" si="1570">+B954</f>
        <v>990</v>
      </c>
      <c r="C955" s="25" t="str">
        <f t="shared" si="1570"/>
        <v>Agencia Información</v>
      </c>
      <c r="D955" s="25" t="str">
        <f t="shared" si="1570"/>
        <v>Salud</v>
      </c>
      <c r="E955" s="19">
        <v>7</v>
      </c>
      <c r="F955" s="18" t="s">
        <v>1021</v>
      </c>
      <c r="G955" s="18" t="s">
        <v>3784</v>
      </c>
      <c r="H955" s="35" t="s">
        <v>16</v>
      </c>
      <c r="I955" s="36" t="s">
        <v>374</v>
      </c>
      <c r="J955" s="9" t="str">
        <f t="shared" ref="J955:N955" si="1571">+J954</f>
        <v>Comuna</v>
      </c>
      <c r="K955" s="9" t="s">
        <v>1678</v>
      </c>
      <c r="L955" s="38" t="str">
        <f t="shared" si="1571"/>
        <v>Periodo 2012-2018</v>
      </c>
      <c r="M955" s="9" t="str">
        <f t="shared" si="1571"/>
        <v>Número de Casos</v>
      </c>
      <c r="N955" s="9" t="str">
        <f t="shared" si="1571"/>
        <v>Departamento de Estadísticas e Información de la Salud (DEIS) - Ministerio de Salud</v>
      </c>
      <c r="O955" s="45" t="str">
        <f>+"Evolución de Población en el Programa de VIH/SIDA según Comuna en la "&amp;I955&amp;", "&amp;Agencia[[#This Row],[temporalidad]]</f>
        <v>Evolución de Población en el Programa de VIH/SIDA según Comuna en la Región de Maule, Periodo 2012-2018</v>
      </c>
      <c r="P955" s="20"/>
      <c r="Q955" s="11" t="str">
        <f t="shared" si="1493"/>
        <v>Gráfico de Evolución</v>
      </c>
      <c r="R955" s="20" t="str">
        <f>Agencia[[#This Row],[territorio]]&amp;" VIH SIDA enfermedad transmisión sexual programa casos número población"</f>
        <v>Región de Maule VIH SIDA enfermedad transmisión sexual programa casos número población</v>
      </c>
      <c r="S955" s="39" t="str">
        <f>HYPERLINK("https://analytics.zoho.com/open-view/2395394000008389806?ZOHO_CRITERIA=%22Localiza%20CL%22.%22Codreg%22%20%3D%20"&amp;Agencia[[#This Row],[Filtro URL]])</f>
        <v>https://analytics.zoho.com/open-view/2395394000008389806?ZOHO_CRITERIA=%22Localiza%20CL%22.%22Codreg%22%20%3D%207</v>
      </c>
      <c r="T955" s="69" t="str">
        <f>"100-C-"&amp;Agencia[[#This Row],[Filtro URL]]</f>
        <v>100-C-7</v>
      </c>
      <c r="U955" s="50" t="str">
        <f t="shared" si="1478"/>
        <v>#1774B9</v>
      </c>
      <c r="V955" s="118" t="str">
        <f>+Agencia[[#This Row],[idcoleccion]]&amp;"-"&amp;Agencia[[#This Row],[id]]</f>
        <v>990-0944</v>
      </c>
      <c r="W955" s="118">
        <f>+VLOOKUP(Agencia[[#This Row],[Filtro URL]],Estructura!$X$4:$Y$500,2,0)</f>
        <v>99200007</v>
      </c>
      <c r="X955" s="118" t="str">
        <f>+VLOOKUP(Agencia[[#This Row],[tema]],Estructura!$A$4:$C$500,3,0)</f>
        <v>T-1000</v>
      </c>
      <c r="Y955" s="118" t="str">
        <f>+VLOOKUP(Agencia[[#This Row],[contenido]],Estructura!$E$4:$G$500,3,0)</f>
        <v>C-1010</v>
      </c>
      <c r="Z955" s="118" t="str">
        <f>+VLOOKUP(Agencia[[#This Row],[Filtro Integrado]],Estructura!$I$4:$K$500,3,0)</f>
        <v>FI-991</v>
      </c>
      <c r="AA955" s="118" t="str">
        <f>+VLOOKUP(Agencia[[#This Row],[Muestra]],Estructura!$M$4:$O$500,3,0)</f>
        <v>M-1074</v>
      </c>
    </row>
    <row r="956" spans="1:27" ht="57.6" x14ac:dyDescent="0.3">
      <c r="A956" s="21" t="s">
        <v>1852</v>
      </c>
      <c r="B956" s="24">
        <f t="shared" ref="B956:D956" si="1572">+B955</f>
        <v>990</v>
      </c>
      <c r="C956" s="25" t="str">
        <f t="shared" si="1572"/>
        <v>Agencia Información</v>
      </c>
      <c r="D956" s="25" t="str">
        <f t="shared" si="1572"/>
        <v>Salud</v>
      </c>
      <c r="E956" s="19">
        <v>8</v>
      </c>
      <c r="F956" s="18" t="s">
        <v>1021</v>
      </c>
      <c r="G956" s="18" t="s">
        <v>3784</v>
      </c>
      <c r="H956" s="35" t="s">
        <v>16</v>
      </c>
      <c r="I956" s="36" t="s">
        <v>375</v>
      </c>
      <c r="J956" s="9" t="str">
        <f t="shared" ref="J956:N956" si="1573">+J955</f>
        <v>Comuna</v>
      </c>
      <c r="K956" s="9" t="s">
        <v>1678</v>
      </c>
      <c r="L956" s="38" t="str">
        <f t="shared" si="1573"/>
        <v>Periodo 2012-2018</v>
      </c>
      <c r="M956" s="9" t="str">
        <f t="shared" si="1573"/>
        <v>Número de Casos</v>
      </c>
      <c r="N956" s="9" t="str">
        <f t="shared" si="1573"/>
        <v>Departamento de Estadísticas e Información de la Salud (DEIS) - Ministerio de Salud</v>
      </c>
      <c r="O956" s="45" t="str">
        <f>+"Evolución de Población en el Programa de VIH/SIDA según Comuna en la "&amp;I956&amp;", "&amp;Agencia[[#This Row],[temporalidad]]</f>
        <v>Evolución de Población en el Programa de VIH/SIDA según Comuna en la Región del Biobío, Periodo 2012-2018</v>
      </c>
      <c r="P956" s="20"/>
      <c r="Q956" s="11" t="str">
        <f t="shared" si="1493"/>
        <v>Gráfico de Evolución</v>
      </c>
      <c r="R956" s="20" t="str">
        <f>Agencia[[#This Row],[territorio]]&amp;" VIH SIDA enfermedad transmisión sexual programa casos número población"</f>
        <v>Región del Biobío VIH SIDA enfermedad transmisión sexual programa casos número población</v>
      </c>
      <c r="S956" s="39" t="str">
        <f>HYPERLINK("https://analytics.zoho.com/open-view/2395394000008389806?ZOHO_CRITERIA=%22Localiza%20CL%22.%22Codreg%22%20%3D%20"&amp;Agencia[[#This Row],[Filtro URL]])</f>
        <v>https://analytics.zoho.com/open-view/2395394000008389806?ZOHO_CRITERIA=%22Localiza%20CL%22.%22Codreg%22%20%3D%208</v>
      </c>
      <c r="T956" s="69" t="str">
        <f>"100-C-"&amp;Agencia[[#This Row],[Filtro URL]]</f>
        <v>100-C-8</v>
      </c>
      <c r="U956" s="50" t="str">
        <f t="shared" si="1478"/>
        <v>#1774B9</v>
      </c>
      <c r="V956" s="118" t="str">
        <f>+Agencia[[#This Row],[idcoleccion]]&amp;"-"&amp;Agencia[[#This Row],[id]]</f>
        <v>990-0945</v>
      </c>
      <c r="W956" s="118">
        <f>+VLOOKUP(Agencia[[#This Row],[Filtro URL]],Estructura!$X$4:$Y$500,2,0)</f>
        <v>99200008</v>
      </c>
      <c r="X956" s="118" t="str">
        <f>+VLOOKUP(Agencia[[#This Row],[tema]],Estructura!$A$4:$C$500,3,0)</f>
        <v>T-1000</v>
      </c>
      <c r="Y956" s="118" t="str">
        <f>+VLOOKUP(Agencia[[#This Row],[contenido]],Estructura!$E$4:$G$500,3,0)</f>
        <v>C-1010</v>
      </c>
      <c r="Z956" s="118" t="str">
        <f>+VLOOKUP(Agencia[[#This Row],[Filtro Integrado]],Estructura!$I$4:$K$500,3,0)</f>
        <v>FI-991</v>
      </c>
      <c r="AA956" s="118" t="str">
        <f>+VLOOKUP(Agencia[[#This Row],[Muestra]],Estructura!$M$4:$O$500,3,0)</f>
        <v>M-1074</v>
      </c>
    </row>
    <row r="957" spans="1:27" ht="57.6" x14ac:dyDescent="0.3">
      <c r="A957" s="21" t="s">
        <v>1853</v>
      </c>
      <c r="B957" s="24">
        <f t="shared" ref="B957:D957" si="1574">+B956</f>
        <v>990</v>
      </c>
      <c r="C957" s="25" t="str">
        <f t="shared" si="1574"/>
        <v>Agencia Información</v>
      </c>
      <c r="D957" s="25" t="str">
        <f t="shared" si="1574"/>
        <v>Salud</v>
      </c>
      <c r="E957" s="19">
        <v>9</v>
      </c>
      <c r="F957" s="18" t="s">
        <v>1021</v>
      </c>
      <c r="G957" s="18" t="s">
        <v>3784</v>
      </c>
      <c r="H957" s="35" t="s">
        <v>16</v>
      </c>
      <c r="I957" s="36" t="s">
        <v>376</v>
      </c>
      <c r="J957" s="9" t="str">
        <f t="shared" ref="J957:N957" si="1575">+J956</f>
        <v>Comuna</v>
      </c>
      <c r="K957" s="9" t="s">
        <v>1678</v>
      </c>
      <c r="L957" s="38" t="str">
        <f t="shared" si="1575"/>
        <v>Periodo 2012-2018</v>
      </c>
      <c r="M957" s="9" t="str">
        <f t="shared" si="1575"/>
        <v>Número de Casos</v>
      </c>
      <c r="N957" s="9" t="str">
        <f t="shared" si="1575"/>
        <v>Departamento de Estadísticas e Información de la Salud (DEIS) - Ministerio de Salud</v>
      </c>
      <c r="O957" s="45" t="str">
        <f>+"Evolución de Población en el Programa de VIH/SIDA según Comuna en la "&amp;I957&amp;", "&amp;Agencia[[#This Row],[temporalidad]]</f>
        <v>Evolución de Población en el Programa de VIH/SIDA según Comuna en la Región de La Araucanía, Periodo 2012-2018</v>
      </c>
      <c r="P957" s="20"/>
      <c r="Q957" s="11" t="str">
        <f t="shared" si="1493"/>
        <v>Gráfico de Evolución</v>
      </c>
      <c r="R957" s="20" t="str">
        <f>Agencia[[#This Row],[territorio]]&amp;" VIH SIDA enfermedad transmisión sexual programa casos número población"</f>
        <v>Región de La Araucanía VIH SIDA enfermedad transmisión sexual programa casos número población</v>
      </c>
      <c r="S957" s="39" t="str">
        <f>HYPERLINK("https://analytics.zoho.com/open-view/2395394000008389806?ZOHO_CRITERIA=%22Localiza%20CL%22.%22Codreg%22%20%3D%20"&amp;Agencia[[#This Row],[Filtro URL]])</f>
        <v>https://analytics.zoho.com/open-view/2395394000008389806?ZOHO_CRITERIA=%22Localiza%20CL%22.%22Codreg%22%20%3D%209</v>
      </c>
      <c r="T957" s="69" t="str">
        <f>"100-C-"&amp;Agencia[[#This Row],[Filtro URL]]</f>
        <v>100-C-9</v>
      </c>
      <c r="U957" s="50" t="str">
        <f t="shared" si="1478"/>
        <v>#1774B9</v>
      </c>
      <c r="V957" s="118" t="str">
        <f>+Agencia[[#This Row],[idcoleccion]]&amp;"-"&amp;Agencia[[#This Row],[id]]</f>
        <v>990-0946</v>
      </c>
      <c r="W957" s="118">
        <f>+VLOOKUP(Agencia[[#This Row],[Filtro URL]],Estructura!$X$4:$Y$500,2,0)</f>
        <v>99200009</v>
      </c>
      <c r="X957" s="118" t="str">
        <f>+VLOOKUP(Agencia[[#This Row],[tema]],Estructura!$A$4:$C$500,3,0)</f>
        <v>T-1000</v>
      </c>
      <c r="Y957" s="118" t="str">
        <f>+VLOOKUP(Agencia[[#This Row],[contenido]],Estructura!$E$4:$G$500,3,0)</f>
        <v>C-1010</v>
      </c>
      <c r="Z957" s="118" t="str">
        <f>+VLOOKUP(Agencia[[#This Row],[Filtro Integrado]],Estructura!$I$4:$K$500,3,0)</f>
        <v>FI-991</v>
      </c>
      <c r="AA957" s="118" t="str">
        <f>+VLOOKUP(Agencia[[#This Row],[Muestra]],Estructura!$M$4:$O$500,3,0)</f>
        <v>M-1074</v>
      </c>
    </row>
    <row r="958" spans="1:27" ht="57.6" x14ac:dyDescent="0.3">
      <c r="A958" s="21" t="s">
        <v>1854</v>
      </c>
      <c r="B958" s="24">
        <f t="shared" ref="B958:D958" si="1576">+B957</f>
        <v>990</v>
      </c>
      <c r="C958" s="25" t="str">
        <f t="shared" si="1576"/>
        <v>Agencia Información</v>
      </c>
      <c r="D958" s="25" t="str">
        <f t="shared" si="1576"/>
        <v>Salud</v>
      </c>
      <c r="E958" s="19">
        <v>10</v>
      </c>
      <c r="F958" s="18" t="s">
        <v>1021</v>
      </c>
      <c r="G958" s="18" t="s">
        <v>3784</v>
      </c>
      <c r="H958" s="35" t="s">
        <v>16</v>
      </c>
      <c r="I958" s="36" t="s">
        <v>377</v>
      </c>
      <c r="J958" s="9" t="str">
        <f t="shared" ref="J958:N958" si="1577">+J957</f>
        <v>Comuna</v>
      </c>
      <c r="K958" s="9" t="s">
        <v>1678</v>
      </c>
      <c r="L958" s="38" t="str">
        <f t="shared" si="1577"/>
        <v>Periodo 2012-2018</v>
      </c>
      <c r="M958" s="9" t="str">
        <f t="shared" si="1577"/>
        <v>Número de Casos</v>
      </c>
      <c r="N958" s="9" t="str">
        <f t="shared" si="1577"/>
        <v>Departamento de Estadísticas e Información de la Salud (DEIS) - Ministerio de Salud</v>
      </c>
      <c r="O958" s="45" t="str">
        <f>+"Evolución de Población en el Programa de VIH/SIDA según Comuna en la "&amp;I958&amp;", "&amp;Agencia[[#This Row],[temporalidad]]</f>
        <v>Evolución de Población en el Programa de VIH/SIDA según Comuna en la Región de Los Lagos, Periodo 2012-2018</v>
      </c>
      <c r="P958" s="20"/>
      <c r="Q958" s="11" t="str">
        <f t="shared" si="1493"/>
        <v>Gráfico de Evolución</v>
      </c>
      <c r="R958" s="20" t="str">
        <f>Agencia[[#This Row],[territorio]]&amp;" VIH SIDA enfermedad transmisión sexual programa casos número población"</f>
        <v>Región de Los Lagos VIH SIDA enfermedad transmisión sexual programa casos número población</v>
      </c>
      <c r="S958" s="39" t="str">
        <f>HYPERLINK("https://analytics.zoho.com/open-view/2395394000008389806?ZOHO_CRITERIA=%22Localiza%20CL%22.%22Codreg%22%20%3D%20"&amp;Agencia[[#This Row],[Filtro URL]])</f>
        <v>https://analytics.zoho.com/open-view/2395394000008389806?ZOHO_CRITERIA=%22Localiza%20CL%22.%22Codreg%22%20%3D%2010</v>
      </c>
      <c r="T958" s="69" t="str">
        <f>"100-C-"&amp;Agencia[[#This Row],[Filtro URL]]</f>
        <v>100-C-10</v>
      </c>
      <c r="U958" s="50" t="str">
        <f t="shared" si="1478"/>
        <v>#1774B9</v>
      </c>
      <c r="V958" s="118" t="str">
        <f>+Agencia[[#This Row],[idcoleccion]]&amp;"-"&amp;Agencia[[#This Row],[id]]</f>
        <v>990-0947</v>
      </c>
      <c r="W958" s="118">
        <f>+VLOOKUP(Agencia[[#This Row],[Filtro URL]],Estructura!$X$4:$Y$500,2,0)</f>
        <v>99200010</v>
      </c>
      <c r="X958" s="118" t="str">
        <f>+VLOOKUP(Agencia[[#This Row],[tema]],Estructura!$A$4:$C$500,3,0)</f>
        <v>T-1000</v>
      </c>
      <c r="Y958" s="118" t="str">
        <f>+VLOOKUP(Agencia[[#This Row],[contenido]],Estructura!$E$4:$G$500,3,0)</f>
        <v>C-1010</v>
      </c>
      <c r="Z958" s="118" t="str">
        <f>+VLOOKUP(Agencia[[#This Row],[Filtro Integrado]],Estructura!$I$4:$K$500,3,0)</f>
        <v>FI-991</v>
      </c>
      <c r="AA958" s="118" t="str">
        <f>+VLOOKUP(Agencia[[#This Row],[Muestra]],Estructura!$M$4:$O$500,3,0)</f>
        <v>M-1074</v>
      </c>
    </row>
    <row r="959" spans="1:27" ht="57.6" x14ac:dyDescent="0.3">
      <c r="A959" s="21" t="s">
        <v>1855</v>
      </c>
      <c r="B959" s="24">
        <f t="shared" ref="B959:D959" si="1578">+B958</f>
        <v>990</v>
      </c>
      <c r="C959" s="25" t="str">
        <f t="shared" si="1578"/>
        <v>Agencia Información</v>
      </c>
      <c r="D959" s="25" t="str">
        <f t="shared" si="1578"/>
        <v>Salud</v>
      </c>
      <c r="E959" s="19">
        <v>11</v>
      </c>
      <c r="F959" s="18" t="s">
        <v>1021</v>
      </c>
      <c r="G959" s="18" t="s">
        <v>3784</v>
      </c>
      <c r="H959" s="35" t="s">
        <v>16</v>
      </c>
      <c r="I959" s="36" t="s">
        <v>378</v>
      </c>
      <c r="J959" s="9" t="str">
        <f t="shared" ref="J959:N959" si="1579">+J958</f>
        <v>Comuna</v>
      </c>
      <c r="K959" s="9" t="s">
        <v>1678</v>
      </c>
      <c r="L959" s="38" t="str">
        <f t="shared" si="1579"/>
        <v>Periodo 2012-2018</v>
      </c>
      <c r="M959" s="9" t="str">
        <f t="shared" si="1579"/>
        <v>Número de Casos</v>
      </c>
      <c r="N959" s="9" t="str">
        <f t="shared" si="1579"/>
        <v>Departamento de Estadísticas e Información de la Salud (DEIS) - Ministerio de Salud</v>
      </c>
      <c r="O959" s="45" t="str">
        <f>+"Evolución de Población en el Programa de VIH/SIDA según Comuna en la "&amp;I959&amp;", "&amp;Agencia[[#This Row],[temporalidad]]</f>
        <v>Evolución de Población en el Programa de VIH/SIDA según Comuna en la Región de Aysén, Periodo 2012-2018</v>
      </c>
      <c r="P959" s="20"/>
      <c r="Q959" s="11" t="str">
        <f t="shared" si="1493"/>
        <v>Gráfico de Evolución</v>
      </c>
      <c r="R959" s="20" t="str">
        <f>Agencia[[#This Row],[territorio]]&amp;" VIH SIDA enfermedad transmisión sexual programa casos número población"</f>
        <v>Región de Aysén VIH SIDA enfermedad transmisión sexual programa casos número población</v>
      </c>
      <c r="S959" s="39" t="str">
        <f>HYPERLINK("https://analytics.zoho.com/open-view/2395394000008389806?ZOHO_CRITERIA=%22Localiza%20CL%22.%22Codreg%22%20%3D%20"&amp;Agencia[[#This Row],[Filtro URL]])</f>
        <v>https://analytics.zoho.com/open-view/2395394000008389806?ZOHO_CRITERIA=%22Localiza%20CL%22.%22Codreg%22%20%3D%2011</v>
      </c>
      <c r="T959" s="69" t="str">
        <f>"100-C-"&amp;Agencia[[#This Row],[Filtro URL]]</f>
        <v>100-C-11</v>
      </c>
      <c r="U959" s="50" t="str">
        <f t="shared" si="1478"/>
        <v>#1774B9</v>
      </c>
      <c r="V959" s="118" t="str">
        <f>+Agencia[[#This Row],[idcoleccion]]&amp;"-"&amp;Agencia[[#This Row],[id]]</f>
        <v>990-0948</v>
      </c>
      <c r="W959" s="118">
        <f>+VLOOKUP(Agencia[[#This Row],[Filtro URL]],Estructura!$X$4:$Y$500,2,0)</f>
        <v>99200011</v>
      </c>
      <c r="X959" s="118" t="str">
        <f>+VLOOKUP(Agencia[[#This Row],[tema]],Estructura!$A$4:$C$500,3,0)</f>
        <v>T-1000</v>
      </c>
      <c r="Y959" s="118" t="str">
        <f>+VLOOKUP(Agencia[[#This Row],[contenido]],Estructura!$E$4:$G$500,3,0)</f>
        <v>C-1010</v>
      </c>
      <c r="Z959" s="118" t="str">
        <f>+VLOOKUP(Agencia[[#This Row],[Filtro Integrado]],Estructura!$I$4:$K$500,3,0)</f>
        <v>FI-991</v>
      </c>
      <c r="AA959" s="118" t="str">
        <f>+VLOOKUP(Agencia[[#This Row],[Muestra]],Estructura!$M$4:$O$500,3,0)</f>
        <v>M-1074</v>
      </c>
    </row>
    <row r="960" spans="1:27" ht="57.6" x14ac:dyDescent="0.3">
      <c r="A960" s="21" t="s">
        <v>1856</v>
      </c>
      <c r="B960" s="24">
        <f t="shared" ref="B960:D960" si="1580">+B959</f>
        <v>990</v>
      </c>
      <c r="C960" s="25" t="str">
        <f t="shared" si="1580"/>
        <v>Agencia Información</v>
      </c>
      <c r="D960" s="25" t="str">
        <f t="shared" si="1580"/>
        <v>Salud</v>
      </c>
      <c r="E960" s="19">
        <v>12</v>
      </c>
      <c r="F960" s="18" t="s">
        <v>1021</v>
      </c>
      <c r="G960" s="18" t="s">
        <v>3784</v>
      </c>
      <c r="H960" s="35" t="s">
        <v>16</v>
      </c>
      <c r="I960" s="36" t="s">
        <v>379</v>
      </c>
      <c r="J960" s="9" t="str">
        <f t="shared" ref="J960:N960" si="1581">+J959</f>
        <v>Comuna</v>
      </c>
      <c r="K960" s="9" t="s">
        <v>1678</v>
      </c>
      <c r="L960" s="38" t="str">
        <f t="shared" si="1581"/>
        <v>Periodo 2012-2018</v>
      </c>
      <c r="M960" s="9" t="str">
        <f t="shared" si="1581"/>
        <v>Número de Casos</v>
      </c>
      <c r="N960" s="9" t="str">
        <f t="shared" si="1581"/>
        <v>Departamento de Estadísticas e Información de la Salud (DEIS) - Ministerio de Salud</v>
      </c>
      <c r="O960" s="45" t="str">
        <f>+"Evolución de Población en el Programa de VIH/SIDA según Comuna en la "&amp;I960&amp;", "&amp;Agencia[[#This Row],[temporalidad]]</f>
        <v>Evolución de Población en el Programa de VIH/SIDA según Comuna en la Región de Magallanes, Periodo 2012-2018</v>
      </c>
      <c r="P960" s="20"/>
      <c r="Q960" s="11" t="str">
        <f t="shared" si="1493"/>
        <v>Gráfico de Evolución</v>
      </c>
      <c r="R960" s="20" t="str">
        <f>Agencia[[#This Row],[territorio]]&amp;" VIH SIDA enfermedad transmisión sexual programa casos número población"</f>
        <v>Región de Magallanes VIH SIDA enfermedad transmisión sexual programa casos número población</v>
      </c>
      <c r="S960" s="39" t="str">
        <f>HYPERLINK("https://analytics.zoho.com/open-view/2395394000008389806?ZOHO_CRITERIA=%22Localiza%20CL%22.%22Codreg%22%20%3D%20"&amp;Agencia[[#This Row],[Filtro URL]])</f>
        <v>https://analytics.zoho.com/open-view/2395394000008389806?ZOHO_CRITERIA=%22Localiza%20CL%22.%22Codreg%22%20%3D%2012</v>
      </c>
      <c r="T960" s="69" t="str">
        <f>"100-C-"&amp;Agencia[[#This Row],[Filtro URL]]</f>
        <v>100-C-12</v>
      </c>
      <c r="U960" s="50" t="str">
        <f t="shared" si="1478"/>
        <v>#1774B9</v>
      </c>
      <c r="V960" s="118" t="str">
        <f>+Agencia[[#This Row],[idcoleccion]]&amp;"-"&amp;Agencia[[#This Row],[id]]</f>
        <v>990-0949</v>
      </c>
      <c r="W960" s="118">
        <f>+VLOOKUP(Agencia[[#This Row],[Filtro URL]],Estructura!$X$4:$Y$500,2,0)</f>
        <v>99200012</v>
      </c>
      <c r="X960" s="118" t="str">
        <f>+VLOOKUP(Agencia[[#This Row],[tema]],Estructura!$A$4:$C$500,3,0)</f>
        <v>T-1000</v>
      </c>
      <c r="Y960" s="118" t="str">
        <f>+VLOOKUP(Agencia[[#This Row],[contenido]],Estructura!$E$4:$G$500,3,0)</f>
        <v>C-1010</v>
      </c>
      <c r="Z960" s="118" t="str">
        <f>+VLOOKUP(Agencia[[#This Row],[Filtro Integrado]],Estructura!$I$4:$K$500,3,0)</f>
        <v>FI-991</v>
      </c>
      <c r="AA960" s="118" t="str">
        <f>+VLOOKUP(Agencia[[#This Row],[Muestra]],Estructura!$M$4:$O$500,3,0)</f>
        <v>M-1074</v>
      </c>
    </row>
    <row r="961" spans="1:27" ht="57.6" x14ac:dyDescent="0.3">
      <c r="A961" s="21" t="s">
        <v>1857</v>
      </c>
      <c r="B961" s="24">
        <f t="shared" ref="B961:D961" si="1582">+B960</f>
        <v>990</v>
      </c>
      <c r="C961" s="25" t="str">
        <f t="shared" si="1582"/>
        <v>Agencia Información</v>
      </c>
      <c r="D961" s="25" t="str">
        <f t="shared" si="1582"/>
        <v>Salud</v>
      </c>
      <c r="E961" s="19">
        <v>13</v>
      </c>
      <c r="F961" s="18" t="s">
        <v>1021</v>
      </c>
      <c r="G961" s="18" t="s">
        <v>3784</v>
      </c>
      <c r="H961" s="35" t="s">
        <v>16</v>
      </c>
      <c r="I961" s="36" t="s">
        <v>380</v>
      </c>
      <c r="J961" s="9" t="str">
        <f t="shared" ref="J961:N961" si="1583">+J960</f>
        <v>Comuna</v>
      </c>
      <c r="K961" s="9" t="s">
        <v>1678</v>
      </c>
      <c r="L961" s="38" t="str">
        <f t="shared" si="1583"/>
        <v>Periodo 2012-2018</v>
      </c>
      <c r="M961" s="9" t="str">
        <f t="shared" si="1583"/>
        <v>Número de Casos</v>
      </c>
      <c r="N961" s="9" t="str">
        <f t="shared" si="1583"/>
        <v>Departamento de Estadísticas e Información de la Salud (DEIS) - Ministerio de Salud</v>
      </c>
      <c r="O961" s="45" t="str">
        <f>+"Evolución de Población en el Programa de VIH/SIDA según Comuna en la "&amp;I961&amp;", "&amp;Agencia[[#This Row],[temporalidad]]</f>
        <v>Evolución de Población en el Programa de VIH/SIDA según Comuna en la Región Metropolitana, Periodo 2012-2018</v>
      </c>
      <c r="P961" s="20"/>
      <c r="Q961" s="11" t="str">
        <f t="shared" si="1493"/>
        <v>Gráfico de Evolución</v>
      </c>
      <c r="R961" s="20" t="str">
        <f>Agencia[[#This Row],[territorio]]&amp;" VIH SIDA enfermedad transmisión sexual programa casos número población"</f>
        <v>Región Metropolitana VIH SIDA enfermedad transmisión sexual programa casos número población</v>
      </c>
      <c r="S961" s="39" t="str">
        <f>HYPERLINK("https://analytics.zoho.com/open-view/2395394000008389806?ZOHO_CRITERIA=%22Localiza%20CL%22.%22Codreg%22%20%3D%20"&amp;Agencia[[#This Row],[Filtro URL]])</f>
        <v>https://analytics.zoho.com/open-view/2395394000008389806?ZOHO_CRITERIA=%22Localiza%20CL%22.%22Codreg%22%20%3D%2013</v>
      </c>
      <c r="T961" s="69" t="str">
        <f>"200-C-"&amp;Agencia[[#This Row],[Filtro URL]]</f>
        <v>200-C-13</v>
      </c>
      <c r="U961" s="50" t="str">
        <f t="shared" si="1478"/>
        <v>#1774B9</v>
      </c>
      <c r="V961" s="118" t="str">
        <f>+Agencia[[#This Row],[idcoleccion]]&amp;"-"&amp;Agencia[[#This Row],[id]]</f>
        <v>990-0950</v>
      </c>
      <c r="W961" s="118">
        <f>+VLOOKUP(Agencia[[#This Row],[Filtro URL]],Estructura!$X$4:$Y$500,2,0)</f>
        <v>99200013</v>
      </c>
      <c r="X961" s="118" t="str">
        <f>+VLOOKUP(Agencia[[#This Row],[tema]],Estructura!$A$4:$C$500,3,0)</f>
        <v>T-1000</v>
      </c>
      <c r="Y961" s="118" t="str">
        <f>+VLOOKUP(Agencia[[#This Row],[contenido]],Estructura!$E$4:$G$500,3,0)</f>
        <v>C-1010</v>
      </c>
      <c r="Z961" s="118" t="str">
        <f>+VLOOKUP(Agencia[[#This Row],[Filtro Integrado]],Estructura!$I$4:$K$500,3,0)</f>
        <v>FI-991</v>
      </c>
      <c r="AA961" s="118" t="str">
        <f>+VLOOKUP(Agencia[[#This Row],[Muestra]],Estructura!$M$4:$O$500,3,0)</f>
        <v>M-1074</v>
      </c>
    </row>
    <row r="962" spans="1:27" ht="57.6" x14ac:dyDescent="0.3">
      <c r="A962" s="21" t="s">
        <v>1858</v>
      </c>
      <c r="B962" s="24">
        <f t="shared" ref="B962:D962" si="1584">+B961</f>
        <v>990</v>
      </c>
      <c r="C962" s="25" t="str">
        <f t="shared" si="1584"/>
        <v>Agencia Información</v>
      </c>
      <c r="D962" s="25" t="str">
        <f t="shared" si="1584"/>
        <v>Salud</v>
      </c>
      <c r="E962" s="19">
        <v>14</v>
      </c>
      <c r="F962" s="18" t="s">
        <v>1021</v>
      </c>
      <c r="G962" s="18" t="s">
        <v>3784</v>
      </c>
      <c r="H962" s="35" t="s">
        <v>16</v>
      </c>
      <c r="I962" s="36" t="s">
        <v>381</v>
      </c>
      <c r="J962" s="9" t="str">
        <f t="shared" ref="J962:N962" si="1585">+J961</f>
        <v>Comuna</v>
      </c>
      <c r="K962" s="9" t="s">
        <v>1678</v>
      </c>
      <c r="L962" s="38" t="str">
        <f t="shared" si="1585"/>
        <v>Periodo 2012-2018</v>
      </c>
      <c r="M962" s="9" t="str">
        <f t="shared" si="1585"/>
        <v>Número de Casos</v>
      </c>
      <c r="N962" s="9" t="str">
        <f t="shared" si="1585"/>
        <v>Departamento de Estadísticas e Información de la Salud (DEIS) - Ministerio de Salud</v>
      </c>
      <c r="O962" s="45" t="str">
        <f>+"Evolución de Población en el Programa de VIH/SIDA según Comuna en la "&amp;I962&amp;", "&amp;Agencia[[#This Row],[temporalidad]]</f>
        <v>Evolución de Población en el Programa de VIH/SIDA según Comuna en la Región de Los Ríos, Periodo 2012-2018</v>
      </c>
      <c r="P962" s="20"/>
      <c r="Q962" s="11" t="str">
        <f t="shared" si="1493"/>
        <v>Gráfico de Evolución</v>
      </c>
      <c r="R962" s="20" t="str">
        <f>Agencia[[#This Row],[territorio]]&amp;" VIH SIDA enfermedad transmisión sexual programa casos número población"</f>
        <v>Región de Los Ríos VIH SIDA enfermedad transmisión sexual programa casos número población</v>
      </c>
      <c r="S962" s="39" t="str">
        <f>HYPERLINK("https://analytics.zoho.com/open-view/2395394000008389806?ZOHO_CRITERIA=%22Localiza%20CL%22.%22Codreg%22%20%3D%20"&amp;Agencia[[#This Row],[Filtro URL]])</f>
        <v>https://analytics.zoho.com/open-view/2395394000008389806?ZOHO_CRITERIA=%22Localiza%20CL%22.%22Codreg%22%20%3D%2014</v>
      </c>
      <c r="T962" s="69" t="str">
        <f>"100-C-"&amp;Agencia[[#This Row],[Filtro URL]]</f>
        <v>100-C-14</v>
      </c>
      <c r="U962" s="50" t="str">
        <f t="shared" si="1478"/>
        <v>#1774B9</v>
      </c>
      <c r="V962" s="118" t="str">
        <f>+Agencia[[#This Row],[idcoleccion]]&amp;"-"&amp;Agencia[[#This Row],[id]]</f>
        <v>990-0951</v>
      </c>
      <c r="W962" s="118">
        <f>+VLOOKUP(Agencia[[#This Row],[Filtro URL]],Estructura!$X$4:$Y$500,2,0)</f>
        <v>99200014</v>
      </c>
      <c r="X962" s="118" t="str">
        <f>+VLOOKUP(Agencia[[#This Row],[tema]],Estructura!$A$4:$C$500,3,0)</f>
        <v>T-1000</v>
      </c>
      <c r="Y962" s="118" t="str">
        <f>+VLOOKUP(Agencia[[#This Row],[contenido]],Estructura!$E$4:$G$500,3,0)</f>
        <v>C-1010</v>
      </c>
      <c r="Z962" s="118" t="str">
        <f>+VLOOKUP(Agencia[[#This Row],[Filtro Integrado]],Estructura!$I$4:$K$500,3,0)</f>
        <v>FI-991</v>
      </c>
      <c r="AA962" s="118" t="str">
        <f>+VLOOKUP(Agencia[[#This Row],[Muestra]],Estructura!$M$4:$O$500,3,0)</f>
        <v>M-1074</v>
      </c>
    </row>
    <row r="963" spans="1:27" ht="57.6" x14ac:dyDescent="0.3">
      <c r="A963" s="21" t="s">
        <v>1859</v>
      </c>
      <c r="B963" s="24">
        <f t="shared" ref="B963:D963" si="1586">+B962</f>
        <v>990</v>
      </c>
      <c r="C963" s="25" t="str">
        <f t="shared" si="1586"/>
        <v>Agencia Información</v>
      </c>
      <c r="D963" s="25" t="str">
        <f t="shared" si="1586"/>
        <v>Salud</v>
      </c>
      <c r="E963" s="19">
        <v>15</v>
      </c>
      <c r="F963" s="18" t="s">
        <v>1021</v>
      </c>
      <c r="G963" s="18" t="s">
        <v>3784</v>
      </c>
      <c r="H963" s="35" t="s">
        <v>16</v>
      </c>
      <c r="I963" s="36" t="s">
        <v>382</v>
      </c>
      <c r="J963" s="9" t="str">
        <f t="shared" ref="J963:N963" si="1587">+J962</f>
        <v>Comuna</v>
      </c>
      <c r="K963" s="9" t="s">
        <v>1678</v>
      </c>
      <c r="L963" s="38" t="str">
        <f t="shared" si="1587"/>
        <v>Periodo 2012-2018</v>
      </c>
      <c r="M963" s="9" t="str">
        <f t="shared" si="1587"/>
        <v>Número de Casos</v>
      </c>
      <c r="N963" s="9" t="str">
        <f t="shared" si="1587"/>
        <v>Departamento de Estadísticas e Información de la Salud (DEIS) - Ministerio de Salud</v>
      </c>
      <c r="O963" s="45" t="str">
        <f>+"Evolución de Población en el Programa de VIH/SIDA según Comuna en la "&amp;I963&amp;", "&amp;Agencia[[#This Row],[temporalidad]]</f>
        <v>Evolución de Población en el Programa de VIH/SIDA según Comuna en la Región de Arica y Parinacota, Periodo 2012-2018</v>
      </c>
      <c r="P963" s="20"/>
      <c r="Q963" s="11" t="str">
        <f t="shared" si="1493"/>
        <v>Gráfico de Evolución</v>
      </c>
      <c r="R963" s="20" t="str">
        <f>Agencia[[#This Row],[territorio]]&amp;" VIH SIDA enfermedad transmisión sexual programa casos número población"</f>
        <v>Región de Arica y Parinacota VIH SIDA enfermedad transmisión sexual programa casos número población</v>
      </c>
      <c r="S963" s="39" t="str">
        <f>HYPERLINK("https://analytics.zoho.com/open-view/2395394000008389806?ZOHO_CRITERIA=%22Localiza%20CL%22.%22Codreg%22%20%3D%20"&amp;Agencia[[#This Row],[Filtro URL]])</f>
        <v>https://analytics.zoho.com/open-view/2395394000008389806?ZOHO_CRITERIA=%22Localiza%20CL%22.%22Codreg%22%20%3D%2015</v>
      </c>
      <c r="T963" s="69" t="str">
        <f>"100-C-"&amp;Agencia[[#This Row],[Filtro URL]]</f>
        <v>100-C-15</v>
      </c>
      <c r="U963" s="50" t="str">
        <f t="shared" si="1478"/>
        <v>#1774B9</v>
      </c>
      <c r="V963" s="118" t="str">
        <f>+Agencia[[#This Row],[idcoleccion]]&amp;"-"&amp;Agencia[[#This Row],[id]]</f>
        <v>990-0952</v>
      </c>
      <c r="W963" s="118">
        <f>+VLOOKUP(Agencia[[#This Row],[Filtro URL]],Estructura!$X$4:$Y$500,2,0)</f>
        <v>99200015</v>
      </c>
      <c r="X963" s="118" t="str">
        <f>+VLOOKUP(Agencia[[#This Row],[tema]],Estructura!$A$4:$C$500,3,0)</f>
        <v>T-1000</v>
      </c>
      <c r="Y963" s="118" t="str">
        <f>+VLOOKUP(Agencia[[#This Row],[contenido]],Estructura!$E$4:$G$500,3,0)</f>
        <v>C-1010</v>
      </c>
      <c r="Z963" s="118" t="str">
        <f>+VLOOKUP(Agencia[[#This Row],[Filtro Integrado]],Estructura!$I$4:$K$500,3,0)</f>
        <v>FI-991</v>
      </c>
      <c r="AA963" s="118" t="str">
        <f>+VLOOKUP(Agencia[[#This Row],[Muestra]],Estructura!$M$4:$O$500,3,0)</f>
        <v>M-1074</v>
      </c>
    </row>
    <row r="964" spans="1:27" ht="57.6" x14ac:dyDescent="0.3">
      <c r="A964" s="21" t="s">
        <v>1860</v>
      </c>
      <c r="B964" s="24">
        <f t="shared" ref="B964:D964" si="1588">+B963</f>
        <v>990</v>
      </c>
      <c r="C964" s="25" t="str">
        <f t="shared" si="1588"/>
        <v>Agencia Información</v>
      </c>
      <c r="D964" s="25" t="str">
        <f t="shared" si="1588"/>
        <v>Salud</v>
      </c>
      <c r="E964" s="19">
        <v>16</v>
      </c>
      <c r="F964" s="18" t="s">
        <v>1021</v>
      </c>
      <c r="G964" s="18" t="s">
        <v>3784</v>
      </c>
      <c r="H964" s="35" t="s">
        <v>16</v>
      </c>
      <c r="I964" s="36" t="s">
        <v>383</v>
      </c>
      <c r="J964" s="9" t="str">
        <f t="shared" ref="J964:N964" si="1589">+J963</f>
        <v>Comuna</v>
      </c>
      <c r="K964" s="9" t="s">
        <v>1678</v>
      </c>
      <c r="L964" s="38" t="str">
        <f t="shared" si="1589"/>
        <v>Periodo 2012-2018</v>
      </c>
      <c r="M964" s="9" t="str">
        <f t="shared" si="1589"/>
        <v>Número de Casos</v>
      </c>
      <c r="N964" s="9" t="str">
        <f t="shared" si="1589"/>
        <v>Departamento de Estadísticas e Información de la Salud (DEIS) - Ministerio de Salud</v>
      </c>
      <c r="O964" s="45" t="str">
        <f>+"Evolución de Población en el Programa de VIH/SIDA según Comuna en la "&amp;I964&amp;", "&amp;Agencia[[#This Row],[temporalidad]]</f>
        <v>Evolución de Población en el Programa de VIH/SIDA según Comuna en la Región de Ñuble, Periodo 2012-2018</v>
      </c>
      <c r="P964" s="20"/>
      <c r="Q964" s="11" t="str">
        <f t="shared" si="1493"/>
        <v>Gráfico de Evolución</v>
      </c>
      <c r="R964" s="20" t="str">
        <f>Agencia[[#This Row],[territorio]]&amp;" VIH SIDA enfermedad transmisión sexual programa casos número población"</f>
        <v>Región de Ñuble VIH SIDA enfermedad transmisión sexual programa casos número población</v>
      </c>
      <c r="S964" s="39" t="str">
        <f>HYPERLINK("https://analytics.zoho.com/open-view/2395394000008389806?ZOHO_CRITERIA=%22Localiza%20CL%22.%22Codreg%22%20%3D%20"&amp;Agencia[[#This Row],[Filtro URL]])</f>
        <v>https://analytics.zoho.com/open-view/2395394000008389806?ZOHO_CRITERIA=%22Localiza%20CL%22.%22Codreg%22%20%3D%2016</v>
      </c>
      <c r="T964" s="69" t="str">
        <f>"100-C-"&amp;Agencia[[#This Row],[Filtro URL]]</f>
        <v>100-C-16</v>
      </c>
      <c r="U964" s="50" t="str">
        <f t="shared" si="1478"/>
        <v>#1774B9</v>
      </c>
      <c r="V964" s="118" t="str">
        <f>+Agencia[[#This Row],[idcoleccion]]&amp;"-"&amp;Agencia[[#This Row],[id]]</f>
        <v>990-0953</v>
      </c>
      <c r="W964" s="118">
        <f>+VLOOKUP(Agencia[[#This Row],[Filtro URL]],Estructura!$X$4:$Y$500,2,0)</f>
        <v>99200016</v>
      </c>
      <c r="X964" s="118" t="str">
        <f>+VLOOKUP(Agencia[[#This Row],[tema]],Estructura!$A$4:$C$500,3,0)</f>
        <v>T-1000</v>
      </c>
      <c r="Y964" s="118" t="str">
        <f>+VLOOKUP(Agencia[[#This Row],[contenido]],Estructura!$E$4:$G$500,3,0)</f>
        <v>C-1010</v>
      </c>
      <c r="Z964" s="118" t="str">
        <f>+VLOOKUP(Agencia[[#This Row],[Filtro Integrado]],Estructura!$I$4:$K$500,3,0)</f>
        <v>FI-991</v>
      </c>
      <c r="AA964" s="118" t="str">
        <f>+VLOOKUP(Agencia[[#This Row],[Muestra]],Estructura!$M$4:$O$500,3,0)</f>
        <v>M-1074</v>
      </c>
    </row>
    <row r="965" spans="1:27" ht="91.8" x14ac:dyDescent="0.3">
      <c r="A965" s="21" t="s">
        <v>1861</v>
      </c>
      <c r="B965" s="24">
        <f t="shared" ref="B965:C965" si="1590">+B964</f>
        <v>990</v>
      </c>
      <c r="C965" s="25" t="str">
        <f t="shared" si="1590"/>
        <v>Agencia Información</v>
      </c>
      <c r="D965" s="25" t="s">
        <v>574</v>
      </c>
      <c r="E965" s="14">
        <v>0</v>
      </c>
      <c r="F965" s="18" t="s">
        <v>1021</v>
      </c>
      <c r="G965" s="18" t="s">
        <v>3784</v>
      </c>
      <c r="H965" s="33" t="s">
        <v>20</v>
      </c>
      <c r="I965" s="34" t="s">
        <v>15</v>
      </c>
      <c r="J965" s="9" t="s">
        <v>16</v>
      </c>
      <c r="K965" s="9" t="s">
        <v>1680</v>
      </c>
      <c r="L965" s="38" t="s">
        <v>1677</v>
      </c>
      <c r="M965" s="9" t="s">
        <v>1490</v>
      </c>
      <c r="N965" s="9" t="s">
        <v>910</v>
      </c>
      <c r="O965" s="45" t="str">
        <f>+"Evolución de Población en Control en el Programa de VIH/SIDA según Región en "&amp;I965&amp;", "&amp;Agencia[[#This Row],[temporalidad]]</f>
        <v>Evolución de Población en Control en el Programa de VIH/SIDA según Región en Chile, Periodo 2012-2018</v>
      </c>
      <c r="P965" s="20" t="s">
        <v>1679</v>
      </c>
      <c r="Q965" s="11" t="s">
        <v>821</v>
      </c>
      <c r="R965" s="45" t="str">
        <f>Agencia[[#This Row],[territorio]]&amp;" VIH SIDA enfermedad transmisión sexual casos personas población control programa"</f>
        <v>Chile VIH SIDA enfermedad transmisión sexual casos personas población control programa</v>
      </c>
      <c r="S965" s="39" t="s">
        <v>1681</v>
      </c>
      <c r="T965" s="68" t="s">
        <v>855</v>
      </c>
      <c r="U965" s="50" t="str">
        <f t="shared" si="1478"/>
        <v>#1774B9</v>
      </c>
      <c r="V965" s="118" t="str">
        <f>+Agencia[[#This Row],[idcoleccion]]&amp;"-"&amp;Agencia[[#This Row],[id]]</f>
        <v>990-0954</v>
      </c>
      <c r="W965" s="118">
        <f>+VLOOKUP(Agencia[[#This Row],[Filtro URL]],Estructura!$X$4:$Y$500,2,0)</f>
        <v>99100000</v>
      </c>
      <c r="X965" s="118" t="str">
        <f>+VLOOKUP(Agencia[[#This Row],[tema]],Estructura!$A$4:$C$500,3,0)</f>
        <v>T-1000</v>
      </c>
      <c r="Y965" s="118" t="str">
        <f>+VLOOKUP(Agencia[[#This Row],[contenido]],Estructura!$E$4:$G$500,3,0)</f>
        <v>C-1010</v>
      </c>
      <c r="Z965" s="118" t="str">
        <f>+VLOOKUP(Agencia[[#This Row],[Filtro Integrado]],Estructura!$I$4:$K$500,3,0)</f>
        <v>FI-992</v>
      </c>
      <c r="AA965" s="118" t="str">
        <f>+VLOOKUP(Agencia[[#This Row],[Muestra]],Estructura!$M$4:$O$500,3,0)</f>
        <v>M-1075</v>
      </c>
    </row>
    <row r="966" spans="1:27" ht="57.6" x14ac:dyDescent="0.3">
      <c r="A966" s="21" t="s">
        <v>1862</v>
      </c>
      <c r="B966" s="24">
        <f t="shared" ref="B966:D966" si="1591">+B965</f>
        <v>990</v>
      </c>
      <c r="C966" s="25" t="str">
        <f t="shared" si="1591"/>
        <v>Agencia Información</v>
      </c>
      <c r="D966" s="25" t="str">
        <f t="shared" si="1591"/>
        <v>Salud</v>
      </c>
      <c r="E966" s="19">
        <v>1</v>
      </c>
      <c r="F966" s="18" t="s">
        <v>1021</v>
      </c>
      <c r="G966" s="18" t="s">
        <v>3784</v>
      </c>
      <c r="H966" s="35" t="s">
        <v>16</v>
      </c>
      <c r="I966" s="36" t="s">
        <v>368</v>
      </c>
      <c r="J966" s="9" t="s">
        <v>404</v>
      </c>
      <c r="K966" s="9" t="s">
        <v>1680</v>
      </c>
      <c r="L966" s="38" t="str">
        <f>+L965</f>
        <v>Periodo 2012-2018</v>
      </c>
      <c r="M966" s="9" t="str">
        <f t="shared" ref="M966:N966" si="1592">+M965</f>
        <v>Personas</v>
      </c>
      <c r="N966" s="9" t="str">
        <f t="shared" si="1592"/>
        <v>Departamento de Estadísticas e Información de la Salud (DEIS) - Ministerio de Salud</v>
      </c>
      <c r="O966" s="45" t="str">
        <f>+"Evolución de Población en Control en el Programa de VIH/SIDA en la "&amp;I966&amp;", "&amp;Agencia[[#This Row],[temporalidad]]</f>
        <v>Evolución de Población en Control en el Programa de VIH/SIDA en la Región de Tarapacá, Periodo 2012-2018</v>
      </c>
      <c r="P966" s="20"/>
      <c r="Q966" s="11" t="str">
        <f t="shared" si="1493"/>
        <v>Gráfico de Evolución</v>
      </c>
      <c r="R966" s="45" t="str">
        <f>Agencia[[#This Row],[territorio]]&amp;" VIH SIDA enfermedad transmisión sexual casos personas población control programa"</f>
        <v>Región de Tarapacá VIH SIDA enfermedad transmisión sexual casos personas población control programa</v>
      </c>
      <c r="S966" s="39" t="str">
        <f>HYPERLINK("https://analytics.zoho.com/open-view/2395394000008049248?ZOHO_CRITERIA=%22Localiza%20CL%22.%22Codreg%22%20%3D%20"&amp;Agencia[[#This Row],[Filtro URL]])</f>
        <v>https://analytics.zoho.com/open-view/2395394000008049248?ZOHO_CRITERIA=%22Localiza%20CL%22.%22Codreg%22%20%3D%201</v>
      </c>
      <c r="T966" s="68" t="str">
        <f>"100-R-"&amp;Agencia[[#This Row],[Filtro URL]]</f>
        <v>100-R-1</v>
      </c>
      <c r="U966" s="50" t="str">
        <f t="shared" si="1478"/>
        <v>#1774B9</v>
      </c>
      <c r="V966" s="118" t="str">
        <f>+Agencia[[#This Row],[idcoleccion]]&amp;"-"&amp;Agencia[[#This Row],[id]]</f>
        <v>990-0955</v>
      </c>
      <c r="W966" s="118">
        <f>+VLOOKUP(Agencia[[#This Row],[Filtro URL]],Estructura!$X$4:$Y$500,2,0)</f>
        <v>99200001</v>
      </c>
      <c r="X966" s="118" t="str">
        <f>+VLOOKUP(Agencia[[#This Row],[tema]],Estructura!$A$4:$C$500,3,0)</f>
        <v>T-1000</v>
      </c>
      <c r="Y966" s="118" t="str">
        <f>+VLOOKUP(Agencia[[#This Row],[contenido]],Estructura!$E$4:$G$500,3,0)</f>
        <v>C-1010</v>
      </c>
      <c r="Z966" s="118" t="str">
        <f>+VLOOKUP(Agencia[[#This Row],[Filtro Integrado]],Estructura!$I$4:$K$500,3,0)</f>
        <v>FI-993</v>
      </c>
      <c r="AA966" s="118" t="str">
        <f>+VLOOKUP(Agencia[[#This Row],[Muestra]],Estructura!$M$4:$O$500,3,0)</f>
        <v>M-1075</v>
      </c>
    </row>
    <row r="967" spans="1:27" ht="57.6" x14ac:dyDescent="0.3">
      <c r="A967" s="21" t="s">
        <v>1863</v>
      </c>
      <c r="B967" s="24">
        <f t="shared" ref="B967:D967" si="1593">+B966</f>
        <v>990</v>
      </c>
      <c r="C967" s="25" t="str">
        <f t="shared" si="1593"/>
        <v>Agencia Información</v>
      </c>
      <c r="D967" s="25" t="str">
        <f t="shared" si="1593"/>
        <v>Salud</v>
      </c>
      <c r="E967" s="19">
        <v>2</v>
      </c>
      <c r="F967" s="18" t="s">
        <v>1021</v>
      </c>
      <c r="G967" s="18" t="s">
        <v>3784</v>
      </c>
      <c r="H967" s="35" t="s">
        <v>16</v>
      </c>
      <c r="I967" s="36" t="s">
        <v>369</v>
      </c>
      <c r="J967" s="9" t="str">
        <f t="shared" ref="J967:N967" si="1594">+J966</f>
        <v>Ninguno</v>
      </c>
      <c r="K967" s="9" t="str">
        <f t="shared" si="1594"/>
        <v>Población en control por región</v>
      </c>
      <c r="L967" s="38" t="str">
        <f t="shared" si="1594"/>
        <v>Periodo 2012-2018</v>
      </c>
      <c r="M967" s="9" t="str">
        <f t="shared" si="1594"/>
        <v>Personas</v>
      </c>
      <c r="N967" s="9" t="str">
        <f t="shared" si="1594"/>
        <v>Departamento de Estadísticas e Información de la Salud (DEIS) - Ministerio de Salud</v>
      </c>
      <c r="O967" s="45" t="str">
        <f>+"Evolución de Población en Control en el Programa de VIH/SIDA en la "&amp;I967&amp;", "&amp;Agencia[[#This Row],[temporalidad]]</f>
        <v>Evolución de Población en Control en el Programa de VIH/SIDA en la Región de Antofagasta, Periodo 2012-2018</v>
      </c>
      <c r="P967" s="20"/>
      <c r="Q967" s="11" t="str">
        <f t="shared" si="1493"/>
        <v>Gráfico de Evolución</v>
      </c>
      <c r="R967" s="45" t="str">
        <f>Agencia[[#This Row],[territorio]]&amp;" VIH SIDA enfermedad transmisión sexual casos personas población control programa"</f>
        <v>Región de Antofagasta VIH SIDA enfermedad transmisión sexual casos personas población control programa</v>
      </c>
      <c r="S967" s="39" t="str">
        <f>HYPERLINK("https://analytics.zoho.com/open-view/2395394000008049248?ZOHO_CRITERIA=%22Localiza%20CL%22.%22Codreg%22%20%3D%20"&amp;Agencia[[#This Row],[Filtro URL]])</f>
        <v>https://analytics.zoho.com/open-view/2395394000008049248?ZOHO_CRITERIA=%22Localiza%20CL%22.%22Codreg%22%20%3D%202</v>
      </c>
      <c r="T967" s="68" t="str">
        <f>"100-R-"&amp;Agencia[[#This Row],[Filtro URL]]</f>
        <v>100-R-2</v>
      </c>
      <c r="U967" s="50" t="str">
        <f t="shared" si="1478"/>
        <v>#1774B9</v>
      </c>
      <c r="V967" s="118" t="str">
        <f>+Agencia[[#This Row],[idcoleccion]]&amp;"-"&amp;Agencia[[#This Row],[id]]</f>
        <v>990-0956</v>
      </c>
      <c r="W967" s="118">
        <f>+VLOOKUP(Agencia[[#This Row],[Filtro URL]],Estructura!$X$4:$Y$500,2,0)</f>
        <v>99200002</v>
      </c>
      <c r="X967" s="118" t="str">
        <f>+VLOOKUP(Agencia[[#This Row],[tema]],Estructura!$A$4:$C$500,3,0)</f>
        <v>T-1000</v>
      </c>
      <c r="Y967" s="118" t="str">
        <f>+VLOOKUP(Agencia[[#This Row],[contenido]],Estructura!$E$4:$G$500,3,0)</f>
        <v>C-1010</v>
      </c>
      <c r="Z967" s="118" t="str">
        <f>+VLOOKUP(Agencia[[#This Row],[Filtro Integrado]],Estructura!$I$4:$K$500,3,0)</f>
        <v>FI-993</v>
      </c>
      <c r="AA967" s="118" t="str">
        <f>+VLOOKUP(Agencia[[#This Row],[Muestra]],Estructura!$M$4:$O$500,3,0)</f>
        <v>M-1075</v>
      </c>
    </row>
    <row r="968" spans="1:27" ht="57.6" x14ac:dyDescent="0.3">
      <c r="A968" s="21" t="s">
        <v>1864</v>
      </c>
      <c r="B968" s="24">
        <f t="shared" ref="B968:D968" si="1595">+B967</f>
        <v>990</v>
      </c>
      <c r="C968" s="25" t="str">
        <f t="shared" si="1595"/>
        <v>Agencia Información</v>
      </c>
      <c r="D968" s="25" t="str">
        <f t="shared" si="1595"/>
        <v>Salud</v>
      </c>
      <c r="E968" s="19">
        <v>3</v>
      </c>
      <c r="F968" s="18" t="s">
        <v>1021</v>
      </c>
      <c r="G968" s="18" t="s">
        <v>3784</v>
      </c>
      <c r="H968" s="35" t="s">
        <v>16</v>
      </c>
      <c r="I968" s="36" t="s">
        <v>370</v>
      </c>
      <c r="J968" s="9" t="str">
        <f t="shared" ref="J968:N968" si="1596">+J967</f>
        <v>Ninguno</v>
      </c>
      <c r="K968" s="9" t="str">
        <f t="shared" si="1596"/>
        <v>Población en control por región</v>
      </c>
      <c r="L968" s="38" t="str">
        <f t="shared" si="1596"/>
        <v>Periodo 2012-2018</v>
      </c>
      <c r="M968" s="9" t="str">
        <f t="shared" si="1596"/>
        <v>Personas</v>
      </c>
      <c r="N968" s="9" t="str">
        <f t="shared" si="1596"/>
        <v>Departamento de Estadísticas e Información de la Salud (DEIS) - Ministerio de Salud</v>
      </c>
      <c r="O968" s="45" t="str">
        <f>+"Evolución de Población en Control en el Programa de VIH/SIDA en la "&amp;I968&amp;", "&amp;Agencia[[#This Row],[temporalidad]]</f>
        <v>Evolución de Población en Control en el Programa de VIH/SIDA en la Región de Atacama, Periodo 2012-2018</v>
      </c>
      <c r="P968" s="20"/>
      <c r="Q968" s="11" t="str">
        <f t="shared" si="1493"/>
        <v>Gráfico de Evolución</v>
      </c>
      <c r="R968" s="45" t="str">
        <f>Agencia[[#This Row],[territorio]]&amp;" VIH SIDA enfermedad transmisión sexual casos personas población control programa"</f>
        <v>Región de Atacama VIH SIDA enfermedad transmisión sexual casos personas población control programa</v>
      </c>
      <c r="S968" s="39" t="str">
        <f>HYPERLINK("https://analytics.zoho.com/open-view/2395394000008049248?ZOHO_CRITERIA=%22Localiza%20CL%22.%22Codreg%22%20%3D%20"&amp;Agencia[[#This Row],[Filtro URL]])</f>
        <v>https://analytics.zoho.com/open-view/2395394000008049248?ZOHO_CRITERIA=%22Localiza%20CL%22.%22Codreg%22%20%3D%203</v>
      </c>
      <c r="T968" s="68" t="str">
        <f>"100-R-"&amp;Agencia[[#This Row],[Filtro URL]]</f>
        <v>100-R-3</v>
      </c>
      <c r="U968" s="50" t="str">
        <f t="shared" si="1478"/>
        <v>#1774B9</v>
      </c>
      <c r="V968" s="118" t="str">
        <f>+Agencia[[#This Row],[idcoleccion]]&amp;"-"&amp;Agencia[[#This Row],[id]]</f>
        <v>990-0957</v>
      </c>
      <c r="W968" s="118">
        <f>+VLOOKUP(Agencia[[#This Row],[Filtro URL]],Estructura!$X$4:$Y$500,2,0)</f>
        <v>99200003</v>
      </c>
      <c r="X968" s="118" t="str">
        <f>+VLOOKUP(Agencia[[#This Row],[tema]],Estructura!$A$4:$C$500,3,0)</f>
        <v>T-1000</v>
      </c>
      <c r="Y968" s="118" t="str">
        <f>+VLOOKUP(Agencia[[#This Row],[contenido]],Estructura!$E$4:$G$500,3,0)</f>
        <v>C-1010</v>
      </c>
      <c r="Z968" s="118" t="str">
        <f>+VLOOKUP(Agencia[[#This Row],[Filtro Integrado]],Estructura!$I$4:$K$500,3,0)</f>
        <v>FI-993</v>
      </c>
      <c r="AA968" s="118" t="str">
        <f>+VLOOKUP(Agencia[[#This Row],[Muestra]],Estructura!$M$4:$O$500,3,0)</f>
        <v>M-1075</v>
      </c>
    </row>
    <row r="969" spans="1:27" ht="57.6" x14ac:dyDescent="0.3">
      <c r="A969" s="21" t="s">
        <v>1865</v>
      </c>
      <c r="B969" s="24">
        <f t="shared" ref="B969:D969" si="1597">+B968</f>
        <v>990</v>
      </c>
      <c r="C969" s="25" t="str">
        <f t="shared" si="1597"/>
        <v>Agencia Información</v>
      </c>
      <c r="D969" s="25" t="str">
        <f t="shared" si="1597"/>
        <v>Salud</v>
      </c>
      <c r="E969" s="19">
        <v>4</v>
      </c>
      <c r="F969" s="18" t="s">
        <v>1021</v>
      </c>
      <c r="G969" s="18" t="s">
        <v>3784</v>
      </c>
      <c r="H969" s="35" t="s">
        <v>16</v>
      </c>
      <c r="I969" s="36" t="s">
        <v>371</v>
      </c>
      <c r="J969" s="9" t="str">
        <f t="shared" ref="J969:N969" si="1598">+J968</f>
        <v>Ninguno</v>
      </c>
      <c r="K969" s="9" t="str">
        <f t="shared" si="1598"/>
        <v>Población en control por región</v>
      </c>
      <c r="L969" s="38" t="str">
        <f t="shared" si="1598"/>
        <v>Periodo 2012-2018</v>
      </c>
      <c r="M969" s="9" t="str">
        <f t="shared" si="1598"/>
        <v>Personas</v>
      </c>
      <c r="N969" s="9" t="str">
        <f t="shared" si="1598"/>
        <v>Departamento de Estadísticas e Información de la Salud (DEIS) - Ministerio de Salud</v>
      </c>
      <c r="O969" s="45" t="str">
        <f>+"Evolución de Población en Control en el Programa de VIH/SIDA en la "&amp;I969&amp;", "&amp;Agencia[[#This Row],[temporalidad]]</f>
        <v>Evolución de Población en Control en el Programa de VIH/SIDA en la Región de Coquimbo, Periodo 2012-2018</v>
      </c>
      <c r="P969" s="20"/>
      <c r="Q969" s="11" t="str">
        <f t="shared" si="1493"/>
        <v>Gráfico de Evolución</v>
      </c>
      <c r="R969" s="45" t="str">
        <f>Agencia[[#This Row],[territorio]]&amp;" VIH SIDA enfermedad transmisión sexual casos personas población control programa"</f>
        <v>Región de Coquimbo VIH SIDA enfermedad transmisión sexual casos personas población control programa</v>
      </c>
      <c r="S969" s="39" t="str">
        <f>HYPERLINK("https://analytics.zoho.com/open-view/2395394000008049248?ZOHO_CRITERIA=%22Localiza%20CL%22.%22Codreg%22%20%3D%20"&amp;Agencia[[#This Row],[Filtro URL]])</f>
        <v>https://analytics.zoho.com/open-view/2395394000008049248?ZOHO_CRITERIA=%22Localiza%20CL%22.%22Codreg%22%20%3D%204</v>
      </c>
      <c r="T969" s="68" t="str">
        <f>"100-R-"&amp;Agencia[[#This Row],[Filtro URL]]</f>
        <v>100-R-4</v>
      </c>
      <c r="U969" s="50" t="str">
        <f t="shared" si="1478"/>
        <v>#1774B9</v>
      </c>
      <c r="V969" s="118" t="str">
        <f>+Agencia[[#This Row],[idcoleccion]]&amp;"-"&amp;Agencia[[#This Row],[id]]</f>
        <v>990-0958</v>
      </c>
      <c r="W969" s="118">
        <f>+VLOOKUP(Agencia[[#This Row],[Filtro URL]],Estructura!$X$4:$Y$500,2,0)</f>
        <v>99200004</v>
      </c>
      <c r="X969" s="118" t="str">
        <f>+VLOOKUP(Agencia[[#This Row],[tema]],Estructura!$A$4:$C$500,3,0)</f>
        <v>T-1000</v>
      </c>
      <c r="Y969" s="118" t="str">
        <f>+VLOOKUP(Agencia[[#This Row],[contenido]],Estructura!$E$4:$G$500,3,0)</f>
        <v>C-1010</v>
      </c>
      <c r="Z969" s="118" t="str">
        <f>+VLOOKUP(Agencia[[#This Row],[Filtro Integrado]],Estructura!$I$4:$K$500,3,0)</f>
        <v>FI-993</v>
      </c>
      <c r="AA969" s="118" t="str">
        <f>+VLOOKUP(Agencia[[#This Row],[Muestra]],Estructura!$M$4:$O$500,3,0)</f>
        <v>M-1075</v>
      </c>
    </row>
    <row r="970" spans="1:27" ht="57.6" x14ac:dyDescent="0.3">
      <c r="A970" s="21" t="s">
        <v>1866</v>
      </c>
      <c r="B970" s="24">
        <f t="shared" ref="B970:D970" si="1599">+B969</f>
        <v>990</v>
      </c>
      <c r="C970" s="25" t="str">
        <f t="shared" si="1599"/>
        <v>Agencia Información</v>
      </c>
      <c r="D970" s="25" t="str">
        <f t="shared" si="1599"/>
        <v>Salud</v>
      </c>
      <c r="E970" s="19">
        <v>5</v>
      </c>
      <c r="F970" s="18" t="s">
        <v>1021</v>
      </c>
      <c r="G970" s="18" t="s">
        <v>3784</v>
      </c>
      <c r="H970" s="35" t="s">
        <v>16</v>
      </c>
      <c r="I970" s="36" t="s">
        <v>372</v>
      </c>
      <c r="J970" s="9" t="str">
        <f t="shared" ref="J970:N970" si="1600">+J969</f>
        <v>Ninguno</v>
      </c>
      <c r="K970" s="9" t="str">
        <f t="shared" si="1600"/>
        <v>Población en control por región</v>
      </c>
      <c r="L970" s="38" t="str">
        <f t="shared" si="1600"/>
        <v>Periodo 2012-2018</v>
      </c>
      <c r="M970" s="9" t="str">
        <f t="shared" si="1600"/>
        <v>Personas</v>
      </c>
      <c r="N970" s="9" t="str">
        <f t="shared" si="1600"/>
        <v>Departamento de Estadísticas e Información de la Salud (DEIS) - Ministerio de Salud</v>
      </c>
      <c r="O970" s="45" t="str">
        <f>+"Evolución de Población en Control en el Programa de VIH/SIDA en la "&amp;I970&amp;", "&amp;Agencia[[#This Row],[temporalidad]]</f>
        <v>Evolución de Población en Control en el Programa de VIH/SIDA en la Región de Valparaíso, Periodo 2012-2018</v>
      </c>
      <c r="P970" s="20"/>
      <c r="Q970" s="11" t="str">
        <f t="shared" si="1493"/>
        <v>Gráfico de Evolución</v>
      </c>
      <c r="R970" s="45" t="str">
        <f>Agencia[[#This Row],[territorio]]&amp;" VIH SIDA enfermedad transmisión sexual casos personas población control programa"</f>
        <v>Región de Valparaíso VIH SIDA enfermedad transmisión sexual casos personas población control programa</v>
      </c>
      <c r="S970" s="39" t="str">
        <f>HYPERLINK("https://analytics.zoho.com/open-view/2395394000008049248?ZOHO_CRITERIA=%22Localiza%20CL%22.%22Codreg%22%20%3D%20"&amp;Agencia[[#This Row],[Filtro URL]])</f>
        <v>https://analytics.zoho.com/open-view/2395394000008049248?ZOHO_CRITERIA=%22Localiza%20CL%22.%22Codreg%22%20%3D%205</v>
      </c>
      <c r="T970" s="68" t="str">
        <f>"100-R-"&amp;Agencia[[#This Row],[Filtro URL]]</f>
        <v>100-R-5</v>
      </c>
      <c r="U970" s="50" t="str">
        <f t="shared" si="1478"/>
        <v>#1774B9</v>
      </c>
      <c r="V970" s="118" t="str">
        <f>+Agencia[[#This Row],[idcoleccion]]&amp;"-"&amp;Agencia[[#This Row],[id]]</f>
        <v>990-0959</v>
      </c>
      <c r="W970" s="118">
        <f>+VLOOKUP(Agencia[[#This Row],[Filtro URL]],Estructura!$X$4:$Y$500,2,0)</f>
        <v>99200005</v>
      </c>
      <c r="X970" s="118" t="str">
        <f>+VLOOKUP(Agencia[[#This Row],[tema]],Estructura!$A$4:$C$500,3,0)</f>
        <v>T-1000</v>
      </c>
      <c r="Y970" s="118" t="str">
        <f>+VLOOKUP(Agencia[[#This Row],[contenido]],Estructura!$E$4:$G$500,3,0)</f>
        <v>C-1010</v>
      </c>
      <c r="Z970" s="118" t="str">
        <f>+VLOOKUP(Agencia[[#This Row],[Filtro Integrado]],Estructura!$I$4:$K$500,3,0)</f>
        <v>FI-993</v>
      </c>
      <c r="AA970" s="118" t="str">
        <f>+VLOOKUP(Agencia[[#This Row],[Muestra]],Estructura!$M$4:$O$500,3,0)</f>
        <v>M-1075</v>
      </c>
    </row>
    <row r="971" spans="1:27" ht="57.6" x14ac:dyDescent="0.3">
      <c r="A971" s="21" t="s">
        <v>1867</v>
      </c>
      <c r="B971" s="24">
        <f t="shared" ref="B971:D971" si="1601">+B970</f>
        <v>990</v>
      </c>
      <c r="C971" s="25" t="str">
        <f t="shared" si="1601"/>
        <v>Agencia Información</v>
      </c>
      <c r="D971" s="25" t="str">
        <f t="shared" si="1601"/>
        <v>Salud</v>
      </c>
      <c r="E971" s="19">
        <v>6</v>
      </c>
      <c r="F971" s="18" t="s">
        <v>1021</v>
      </c>
      <c r="G971" s="18" t="s">
        <v>3784</v>
      </c>
      <c r="H971" s="35" t="s">
        <v>16</v>
      </c>
      <c r="I971" s="36" t="s">
        <v>373</v>
      </c>
      <c r="J971" s="9" t="str">
        <f t="shared" ref="J971:N971" si="1602">+J970</f>
        <v>Ninguno</v>
      </c>
      <c r="K971" s="9" t="str">
        <f t="shared" si="1602"/>
        <v>Población en control por región</v>
      </c>
      <c r="L971" s="38" t="str">
        <f t="shared" si="1602"/>
        <v>Periodo 2012-2018</v>
      </c>
      <c r="M971" s="9" t="str">
        <f t="shared" si="1602"/>
        <v>Personas</v>
      </c>
      <c r="N971" s="9" t="str">
        <f t="shared" si="1602"/>
        <v>Departamento de Estadísticas e Información de la Salud (DEIS) - Ministerio de Salud</v>
      </c>
      <c r="O971" s="45" t="str">
        <f>+"Evolución de Población en Control en el Programa de VIH/SIDA en la "&amp;I971&amp;", "&amp;Agencia[[#This Row],[temporalidad]]</f>
        <v>Evolución de Población en Control en el Programa de VIH/SIDA en la Región de O'Higgins, Periodo 2012-2018</v>
      </c>
      <c r="P971" s="20"/>
      <c r="Q971" s="11" t="str">
        <f t="shared" si="1493"/>
        <v>Gráfico de Evolución</v>
      </c>
      <c r="R971" s="45" t="str">
        <f>Agencia[[#This Row],[territorio]]&amp;" VIH SIDA enfermedad transmisión sexual casos personas población control programa"</f>
        <v>Región de O'Higgins VIH SIDA enfermedad transmisión sexual casos personas población control programa</v>
      </c>
      <c r="S971" s="39" t="str">
        <f>HYPERLINK("https://analytics.zoho.com/open-view/2395394000008049248?ZOHO_CRITERIA=%22Localiza%20CL%22.%22Codreg%22%20%3D%20"&amp;Agencia[[#This Row],[Filtro URL]])</f>
        <v>https://analytics.zoho.com/open-view/2395394000008049248?ZOHO_CRITERIA=%22Localiza%20CL%22.%22Codreg%22%20%3D%206</v>
      </c>
      <c r="T971" s="68" t="str">
        <f>"100-R-"&amp;Agencia[[#This Row],[Filtro URL]]</f>
        <v>100-R-6</v>
      </c>
      <c r="U971" s="50" t="str">
        <f t="shared" si="1478"/>
        <v>#1774B9</v>
      </c>
      <c r="V971" s="118" t="str">
        <f>+Agencia[[#This Row],[idcoleccion]]&amp;"-"&amp;Agencia[[#This Row],[id]]</f>
        <v>990-0960</v>
      </c>
      <c r="W971" s="118">
        <f>+VLOOKUP(Agencia[[#This Row],[Filtro URL]],Estructura!$X$4:$Y$500,2,0)</f>
        <v>99200006</v>
      </c>
      <c r="X971" s="118" t="str">
        <f>+VLOOKUP(Agencia[[#This Row],[tema]],Estructura!$A$4:$C$500,3,0)</f>
        <v>T-1000</v>
      </c>
      <c r="Y971" s="118" t="str">
        <f>+VLOOKUP(Agencia[[#This Row],[contenido]],Estructura!$E$4:$G$500,3,0)</f>
        <v>C-1010</v>
      </c>
      <c r="Z971" s="118" t="str">
        <f>+VLOOKUP(Agencia[[#This Row],[Filtro Integrado]],Estructura!$I$4:$K$500,3,0)</f>
        <v>FI-993</v>
      </c>
      <c r="AA971" s="118" t="str">
        <f>+VLOOKUP(Agencia[[#This Row],[Muestra]],Estructura!$M$4:$O$500,3,0)</f>
        <v>M-1075</v>
      </c>
    </row>
    <row r="972" spans="1:27" ht="57.6" x14ac:dyDescent="0.3">
      <c r="A972" s="21" t="s">
        <v>1868</v>
      </c>
      <c r="B972" s="24">
        <f t="shared" ref="B972:D972" si="1603">+B971</f>
        <v>990</v>
      </c>
      <c r="C972" s="25" t="str">
        <f t="shared" si="1603"/>
        <v>Agencia Información</v>
      </c>
      <c r="D972" s="25" t="str">
        <f t="shared" si="1603"/>
        <v>Salud</v>
      </c>
      <c r="E972" s="19">
        <v>7</v>
      </c>
      <c r="F972" s="18" t="s">
        <v>1021</v>
      </c>
      <c r="G972" s="18" t="s">
        <v>3784</v>
      </c>
      <c r="H972" s="35" t="s">
        <v>16</v>
      </c>
      <c r="I972" s="36" t="s">
        <v>374</v>
      </c>
      <c r="J972" s="9" t="str">
        <f t="shared" ref="J972:N972" si="1604">+J971</f>
        <v>Ninguno</v>
      </c>
      <c r="K972" s="9" t="str">
        <f t="shared" si="1604"/>
        <v>Población en control por región</v>
      </c>
      <c r="L972" s="38" t="str">
        <f t="shared" si="1604"/>
        <v>Periodo 2012-2018</v>
      </c>
      <c r="M972" s="9" t="str">
        <f t="shared" si="1604"/>
        <v>Personas</v>
      </c>
      <c r="N972" s="9" t="str">
        <f t="shared" si="1604"/>
        <v>Departamento de Estadísticas e Información de la Salud (DEIS) - Ministerio de Salud</v>
      </c>
      <c r="O972" s="45" t="str">
        <f>+"Evolución de Población en Control en el Programa de VIH/SIDA en la "&amp;I972&amp;", "&amp;Agencia[[#This Row],[temporalidad]]</f>
        <v>Evolución de Población en Control en el Programa de VIH/SIDA en la Región de Maule, Periodo 2012-2018</v>
      </c>
      <c r="P972" s="20"/>
      <c r="Q972" s="11" t="str">
        <f t="shared" si="1493"/>
        <v>Gráfico de Evolución</v>
      </c>
      <c r="R972" s="45" t="str">
        <f>Agencia[[#This Row],[territorio]]&amp;" VIH SIDA enfermedad transmisión sexual casos personas población control programa"</f>
        <v>Región de Maule VIH SIDA enfermedad transmisión sexual casos personas población control programa</v>
      </c>
      <c r="S972" s="39" t="str">
        <f>HYPERLINK("https://analytics.zoho.com/open-view/2395394000008049248?ZOHO_CRITERIA=%22Localiza%20CL%22.%22Codreg%22%20%3D%20"&amp;Agencia[[#This Row],[Filtro URL]])</f>
        <v>https://analytics.zoho.com/open-view/2395394000008049248?ZOHO_CRITERIA=%22Localiza%20CL%22.%22Codreg%22%20%3D%207</v>
      </c>
      <c r="T972" s="68" t="str">
        <f>"100-R-"&amp;Agencia[[#This Row],[Filtro URL]]</f>
        <v>100-R-7</v>
      </c>
      <c r="U972" s="50" t="str">
        <f t="shared" ref="U972:U1035" si="1605">+U971</f>
        <v>#1774B9</v>
      </c>
      <c r="V972" s="118" t="str">
        <f>+Agencia[[#This Row],[idcoleccion]]&amp;"-"&amp;Agencia[[#This Row],[id]]</f>
        <v>990-0961</v>
      </c>
      <c r="W972" s="118">
        <f>+VLOOKUP(Agencia[[#This Row],[Filtro URL]],Estructura!$X$4:$Y$500,2,0)</f>
        <v>99200007</v>
      </c>
      <c r="X972" s="118" t="str">
        <f>+VLOOKUP(Agencia[[#This Row],[tema]],Estructura!$A$4:$C$500,3,0)</f>
        <v>T-1000</v>
      </c>
      <c r="Y972" s="118" t="str">
        <f>+VLOOKUP(Agencia[[#This Row],[contenido]],Estructura!$E$4:$G$500,3,0)</f>
        <v>C-1010</v>
      </c>
      <c r="Z972" s="118" t="str">
        <f>+VLOOKUP(Agencia[[#This Row],[Filtro Integrado]],Estructura!$I$4:$K$500,3,0)</f>
        <v>FI-993</v>
      </c>
      <c r="AA972" s="118" t="str">
        <f>+VLOOKUP(Agencia[[#This Row],[Muestra]],Estructura!$M$4:$O$500,3,0)</f>
        <v>M-1075</v>
      </c>
    </row>
    <row r="973" spans="1:27" ht="57.6" x14ac:dyDescent="0.3">
      <c r="A973" s="21" t="s">
        <v>1869</v>
      </c>
      <c r="B973" s="24">
        <f t="shared" ref="B973:D973" si="1606">+B972</f>
        <v>990</v>
      </c>
      <c r="C973" s="25" t="str">
        <f t="shared" si="1606"/>
        <v>Agencia Información</v>
      </c>
      <c r="D973" s="25" t="str">
        <f t="shared" si="1606"/>
        <v>Salud</v>
      </c>
      <c r="E973" s="19">
        <v>8</v>
      </c>
      <c r="F973" s="18" t="s">
        <v>1021</v>
      </c>
      <c r="G973" s="18" t="s">
        <v>3784</v>
      </c>
      <c r="H973" s="35" t="s">
        <v>16</v>
      </c>
      <c r="I973" s="36" t="s">
        <v>375</v>
      </c>
      <c r="J973" s="9" t="str">
        <f t="shared" ref="J973:N973" si="1607">+J972</f>
        <v>Ninguno</v>
      </c>
      <c r="K973" s="9" t="str">
        <f t="shared" si="1607"/>
        <v>Población en control por región</v>
      </c>
      <c r="L973" s="38" t="str">
        <f t="shared" si="1607"/>
        <v>Periodo 2012-2018</v>
      </c>
      <c r="M973" s="9" t="str">
        <f t="shared" si="1607"/>
        <v>Personas</v>
      </c>
      <c r="N973" s="9" t="str">
        <f t="shared" si="1607"/>
        <v>Departamento de Estadísticas e Información de la Salud (DEIS) - Ministerio de Salud</v>
      </c>
      <c r="O973" s="45" t="str">
        <f>+"Evolución de Población en Control en el Programa de VIH/SIDA en la "&amp;I973&amp;", "&amp;Agencia[[#This Row],[temporalidad]]</f>
        <v>Evolución de Población en Control en el Programa de VIH/SIDA en la Región del Biobío, Periodo 2012-2018</v>
      </c>
      <c r="P973" s="20"/>
      <c r="Q973" s="11" t="str">
        <f t="shared" si="1493"/>
        <v>Gráfico de Evolución</v>
      </c>
      <c r="R973" s="45" t="str">
        <f>Agencia[[#This Row],[territorio]]&amp;" VIH SIDA enfermedad transmisión sexual casos personas población control programa"</f>
        <v>Región del Biobío VIH SIDA enfermedad transmisión sexual casos personas población control programa</v>
      </c>
      <c r="S973" s="39" t="str">
        <f>HYPERLINK("https://analytics.zoho.com/open-view/2395394000008049248?ZOHO_CRITERIA=%22Localiza%20CL%22.%22Codreg%22%20%3D%20"&amp;Agencia[[#This Row],[Filtro URL]])</f>
        <v>https://analytics.zoho.com/open-view/2395394000008049248?ZOHO_CRITERIA=%22Localiza%20CL%22.%22Codreg%22%20%3D%208</v>
      </c>
      <c r="T973" s="68" t="str">
        <f>"100-R-"&amp;Agencia[[#This Row],[Filtro URL]]</f>
        <v>100-R-8</v>
      </c>
      <c r="U973" s="50" t="str">
        <f t="shared" si="1605"/>
        <v>#1774B9</v>
      </c>
      <c r="V973" s="118" t="str">
        <f>+Agencia[[#This Row],[idcoleccion]]&amp;"-"&amp;Agencia[[#This Row],[id]]</f>
        <v>990-0962</v>
      </c>
      <c r="W973" s="118">
        <f>+VLOOKUP(Agencia[[#This Row],[Filtro URL]],Estructura!$X$4:$Y$500,2,0)</f>
        <v>99200008</v>
      </c>
      <c r="X973" s="118" t="str">
        <f>+VLOOKUP(Agencia[[#This Row],[tema]],Estructura!$A$4:$C$500,3,0)</f>
        <v>T-1000</v>
      </c>
      <c r="Y973" s="118" t="str">
        <f>+VLOOKUP(Agencia[[#This Row],[contenido]],Estructura!$E$4:$G$500,3,0)</f>
        <v>C-1010</v>
      </c>
      <c r="Z973" s="118" t="str">
        <f>+VLOOKUP(Agencia[[#This Row],[Filtro Integrado]],Estructura!$I$4:$K$500,3,0)</f>
        <v>FI-993</v>
      </c>
      <c r="AA973" s="118" t="str">
        <f>+VLOOKUP(Agencia[[#This Row],[Muestra]],Estructura!$M$4:$O$500,3,0)</f>
        <v>M-1075</v>
      </c>
    </row>
    <row r="974" spans="1:27" ht="57.6" x14ac:dyDescent="0.3">
      <c r="A974" s="21" t="s">
        <v>1870</v>
      </c>
      <c r="B974" s="24">
        <f t="shared" ref="B974:D974" si="1608">+B973</f>
        <v>990</v>
      </c>
      <c r="C974" s="25" t="str">
        <f t="shared" si="1608"/>
        <v>Agencia Información</v>
      </c>
      <c r="D974" s="25" t="str">
        <f t="shared" si="1608"/>
        <v>Salud</v>
      </c>
      <c r="E974" s="19">
        <v>9</v>
      </c>
      <c r="F974" s="18" t="s">
        <v>1021</v>
      </c>
      <c r="G974" s="18" t="s">
        <v>3784</v>
      </c>
      <c r="H974" s="35" t="s">
        <v>16</v>
      </c>
      <c r="I974" s="36" t="s">
        <v>376</v>
      </c>
      <c r="J974" s="9" t="str">
        <f t="shared" ref="J974:N974" si="1609">+J973</f>
        <v>Ninguno</v>
      </c>
      <c r="K974" s="9" t="str">
        <f t="shared" si="1609"/>
        <v>Población en control por región</v>
      </c>
      <c r="L974" s="38" t="str">
        <f t="shared" si="1609"/>
        <v>Periodo 2012-2018</v>
      </c>
      <c r="M974" s="9" t="str">
        <f t="shared" si="1609"/>
        <v>Personas</v>
      </c>
      <c r="N974" s="9" t="str">
        <f t="shared" si="1609"/>
        <v>Departamento de Estadísticas e Información de la Salud (DEIS) - Ministerio de Salud</v>
      </c>
      <c r="O974" s="45" t="str">
        <f>+"Evolución de Población en Control en el Programa de VIH/SIDA en la "&amp;I974&amp;", "&amp;Agencia[[#This Row],[temporalidad]]</f>
        <v>Evolución de Población en Control en el Programa de VIH/SIDA en la Región de La Araucanía, Periodo 2012-2018</v>
      </c>
      <c r="P974" s="20"/>
      <c r="Q974" s="11" t="str">
        <f t="shared" si="1493"/>
        <v>Gráfico de Evolución</v>
      </c>
      <c r="R974" s="45" t="str">
        <f>Agencia[[#This Row],[territorio]]&amp;" VIH SIDA enfermedad transmisión sexual casos personas población control programa"</f>
        <v>Región de La Araucanía VIH SIDA enfermedad transmisión sexual casos personas población control programa</v>
      </c>
      <c r="S974" s="39" t="str">
        <f>HYPERLINK("https://analytics.zoho.com/open-view/2395394000008049248?ZOHO_CRITERIA=%22Localiza%20CL%22.%22Codreg%22%20%3D%20"&amp;Agencia[[#This Row],[Filtro URL]])</f>
        <v>https://analytics.zoho.com/open-view/2395394000008049248?ZOHO_CRITERIA=%22Localiza%20CL%22.%22Codreg%22%20%3D%209</v>
      </c>
      <c r="T974" s="68" t="str">
        <f>"100-R-"&amp;Agencia[[#This Row],[Filtro URL]]</f>
        <v>100-R-9</v>
      </c>
      <c r="U974" s="50" t="str">
        <f t="shared" si="1605"/>
        <v>#1774B9</v>
      </c>
      <c r="V974" s="118" t="str">
        <f>+Agencia[[#This Row],[idcoleccion]]&amp;"-"&amp;Agencia[[#This Row],[id]]</f>
        <v>990-0963</v>
      </c>
      <c r="W974" s="118">
        <f>+VLOOKUP(Agencia[[#This Row],[Filtro URL]],Estructura!$X$4:$Y$500,2,0)</f>
        <v>99200009</v>
      </c>
      <c r="X974" s="118" t="str">
        <f>+VLOOKUP(Agencia[[#This Row],[tema]],Estructura!$A$4:$C$500,3,0)</f>
        <v>T-1000</v>
      </c>
      <c r="Y974" s="118" t="str">
        <f>+VLOOKUP(Agencia[[#This Row],[contenido]],Estructura!$E$4:$G$500,3,0)</f>
        <v>C-1010</v>
      </c>
      <c r="Z974" s="118" t="str">
        <f>+VLOOKUP(Agencia[[#This Row],[Filtro Integrado]],Estructura!$I$4:$K$500,3,0)</f>
        <v>FI-993</v>
      </c>
      <c r="AA974" s="118" t="str">
        <f>+VLOOKUP(Agencia[[#This Row],[Muestra]],Estructura!$M$4:$O$500,3,0)</f>
        <v>M-1075</v>
      </c>
    </row>
    <row r="975" spans="1:27" ht="57.6" x14ac:dyDescent="0.3">
      <c r="A975" s="21" t="s">
        <v>1871</v>
      </c>
      <c r="B975" s="24">
        <f t="shared" ref="B975:D975" si="1610">+B974</f>
        <v>990</v>
      </c>
      <c r="C975" s="25" t="str">
        <f t="shared" si="1610"/>
        <v>Agencia Información</v>
      </c>
      <c r="D975" s="25" t="str">
        <f t="shared" si="1610"/>
        <v>Salud</v>
      </c>
      <c r="E975" s="19">
        <v>10</v>
      </c>
      <c r="F975" s="18" t="s">
        <v>1021</v>
      </c>
      <c r="G975" s="18" t="s">
        <v>3784</v>
      </c>
      <c r="H975" s="35" t="s">
        <v>16</v>
      </c>
      <c r="I975" s="36" t="s">
        <v>377</v>
      </c>
      <c r="J975" s="9" t="str">
        <f t="shared" ref="J975:N975" si="1611">+J974</f>
        <v>Ninguno</v>
      </c>
      <c r="K975" s="9" t="str">
        <f t="shared" si="1611"/>
        <v>Población en control por región</v>
      </c>
      <c r="L975" s="38" t="str">
        <f t="shared" si="1611"/>
        <v>Periodo 2012-2018</v>
      </c>
      <c r="M975" s="9" t="str">
        <f t="shared" si="1611"/>
        <v>Personas</v>
      </c>
      <c r="N975" s="9" t="str">
        <f t="shared" si="1611"/>
        <v>Departamento de Estadísticas e Información de la Salud (DEIS) - Ministerio de Salud</v>
      </c>
      <c r="O975" s="45" t="str">
        <f>+"Evolución de Población en Control en el Programa de VIH/SIDA en la "&amp;I975&amp;", "&amp;Agencia[[#This Row],[temporalidad]]</f>
        <v>Evolución de Población en Control en el Programa de VIH/SIDA en la Región de Los Lagos, Periodo 2012-2018</v>
      </c>
      <c r="P975" s="20"/>
      <c r="Q975" s="11" t="str">
        <f t="shared" si="1493"/>
        <v>Gráfico de Evolución</v>
      </c>
      <c r="R975" s="45" t="str">
        <f>Agencia[[#This Row],[territorio]]&amp;" VIH SIDA enfermedad transmisión sexual casos personas población control programa"</f>
        <v>Región de Los Lagos VIH SIDA enfermedad transmisión sexual casos personas población control programa</v>
      </c>
      <c r="S975" s="39" t="str">
        <f>HYPERLINK("https://analytics.zoho.com/open-view/2395394000008049248?ZOHO_CRITERIA=%22Localiza%20CL%22.%22Codreg%22%20%3D%20"&amp;Agencia[[#This Row],[Filtro URL]])</f>
        <v>https://analytics.zoho.com/open-view/2395394000008049248?ZOHO_CRITERIA=%22Localiza%20CL%22.%22Codreg%22%20%3D%2010</v>
      </c>
      <c r="T975" s="68" t="str">
        <f>"100-R-"&amp;Agencia[[#This Row],[Filtro URL]]</f>
        <v>100-R-10</v>
      </c>
      <c r="U975" s="50" t="str">
        <f t="shared" si="1605"/>
        <v>#1774B9</v>
      </c>
      <c r="V975" s="118" t="str">
        <f>+Agencia[[#This Row],[idcoleccion]]&amp;"-"&amp;Agencia[[#This Row],[id]]</f>
        <v>990-0964</v>
      </c>
      <c r="W975" s="118">
        <f>+VLOOKUP(Agencia[[#This Row],[Filtro URL]],Estructura!$X$4:$Y$500,2,0)</f>
        <v>99200010</v>
      </c>
      <c r="X975" s="118" t="str">
        <f>+VLOOKUP(Agencia[[#This Row],[tema]],Estructura!$A$4:$C$500,3,0)</f>
        <v>T-1000</v>
      </c>
      <c r="Y975" s="118" t="str">
        <f>+VLOOKUP(Agencia[[#This Row],[contenido]],Estructura!$E$4:$G$500,3,0)</f>
        <v>C-1010</v>
      </c>
      <c r="Z975" s="118" t="str">
        <f>+VLOOKUP(Agencia[[#This Row],[Filtro Integrado]],Estructura!$I$4:$K$500,3,0)</f>
        <v>FI-993</v>
      </c>
      <c r="AA975" s="118" t="str">
        <f>+VLOOKUP(Agencia[[#This Row],[Muestra]],Estructura!$M$4:$O$500,3,0)</f>
        <v>M-1075</v>
      </c>
    </row>
    <row r="976" spans="1:27" ht="57.6" x14ac:dyDescent="0.3">
      <c r="A976" s="21" t="s">
        <v>1872</v>
      </c>
      <c r="B976" s="24">
        <f t="shared" ref="B976:D976" si="1612">+B975</f>
        <v>990</v>
      </c>
      <c r="C976" s="25" t="str">
        <f t="shared" si="1612"/>
        <v>Agencia Información</v>
      </c>
      <c r="D976" s="25" t="str">
        <f t="shared" si="1612"/>
        <v>Salud</v>
      </c>
      <c r="E976" s="19">
        <v>11</v>
      </c>
      <c r="F976" s="18" t="s">
        <v>1021</v>
      </c>
      <c r="G976" s="18" t="s">
        <v>3784</v>
      </c>
      <c r="H976" s="35" t="s">
        <v>16</v>
      </c>
      <c r="I976" s="36" t="s">
        <v>378</v>
      </c>
      <c r="J976" s="9" t="str">
        <f t="shared" ref="J976:N976" si="1613">+J975</f>
        <v>Ninguno</v>
      </c>
      <c r="K976" s="9" t="str">
        <f t="shared" si="1613"/>
        <v>Población en control por región</v>
      </c>
      <c r="L976" s="38" t="str">
        <f t="shared" si="1613"/>
        <v>Periodo 2012-2018</v>
      </c>
      <c r="M976" s="9" t="str">
        <f t="shared" si="1613"/>
        <v>Personas</v>
      </c>
      <c r="N976" s="9" t="str">
        <f t="shared" si="1613"/>
        <v>Departamento de Estadísticas e Información de la Salud (DEIS) - Ministerio de Salud</v>
      </c>
      <c r="O976" s="45" t="str">
        <f>+"Evolución de Población en Control en el Programa de VIH/SIDA en la "&amp;I976&amp;", "&amp;Agencia[[#This Row],[temporalidad]]</f>
        <v>Evolución de Población en Control en el Programa de VIH/SIDA en la Región de Aysén, Periodo 2012-2018</v>
      </c>
      <c r="P976" s="20"/>
      <c r="Q976" s="11" t="str">
        <f t="shared" si="1493"/>
        <v>Gráfico de Evolución</v>
      </c>
      <c r="R976" s="45" t="str">
        <f>Agencia[[#This Row],[territorio]]&amp;" VIH SIDA enfermedad transmisión sexual casos personas población control programa"</f>
        <v>Región de Aysén VIH SIDA enfermedad transmisión sexual casos personas población control programa</v>
      </c>
      <c r="S976" s="39" t="str">
        <f>HYPERLINK("https://analytics.zoho.com/open-view/2395394000008049248?ZOHO_CRITERIA=%22Localiza%20CL%22.%22Codreg%22%20%3D%20"&amp;Agencia[[#This Row],[Filtro URL]])</f>
        <v>https://analytics.zoho.com/open-view/2395394000008049248?ZOHO_CRITERIA=%22Localiza%20CL%22.%22Codreg%22%20%3D%2011</v>
      </c>
      <c r="T976" s="68" t="str">
        <f>"100-R-"&amp;Agencia[[#This Row],[Filtro URL]]</f>
        <v>100-R-11</v>
      </c>
      <c r="U976" s="50" t="str">
        <f t="shared" si="1605"/>
        <v>#1774B9</v>
      </c>
      <c r="V976" s="118" t="str">
        <f>+Agencia[[#This Row],[idcoleccion]]&amp;"-"&amp;Agencia[[#This Row],[id]]</f>
        <v>990-0965</v>
      </c>
      <c r="W976" s="118">
        <f>+VLOOKUP(Agencia[[#This Row],[Filtro URL]],Estructura!$X$4:$Y$500,2,0)</f>
        <v>99200011</v>
      </c>
      <c r="X976" s="118" t="str">
        <f>+VLOOKUP(Agencia[[#This Row],[tema]],Estructura!$A$4:$C$500,3,0)</f>
        <v>T-1000</v>
      </c>
      <c r="Y976" s="118" t="str">
        <f>+VLOOKUP(Agencia[[#This Row],[contenido]],Estructura!$E$4:$G$500,3,0)</f>
        <v>C-1010</v>
      </c>
      <c r="Z976" s="118" t="str">
        <f>+VLOOKUP(Agencia[[#This Row],[Filtro Integrado]],Estructura!$I$4:$K$500,3,0)</f>
        <v>FI-993</v>
      </c>
      <c r="AA976" s="118" t="str">
        <f>+VLOOKUP(Agencia[[#This Row],[Muestra]],Estructura!$M$4:$O$500,3,0)</f>
        <v>M-1075</v>
      </c>
    </row>
    <row r="977" spans="1:27" ht="57.6" x14ac:dyDescent="0.3">
      <c r="A977" s="21" t="s">
        <v>1873</v>
      </c>
      <c r="B977" s="24">
        <f t="shared" ref="B977:D977" si="1614">+B976</f>
        <v>990</v>
      </c>
      <c r="C977" s="25" t="str">
        <f t="shared" si="1614"/>
        <v>Agencia Información</v>
      </c>
      <c r="D977" s="25" t="str">
        <f t="shared" si="1614"/>
        <v>Salud</v>
      </c>
      <c r="E977" s="19">
        <v>12</v>
      </c>
      <c r="F977" s="18" t="s">
        <v>1021</v>
      </c>
      <c r="G977" s="18" t="s">
        <v>3784</v>
      </c>
      <c r="H977" s="35" t="s">
        <v>16</v>
      </c>
      <c r="I977" s="36" t="s">
        <v>379</v>
      </c>
      <c r="J977" s="9" t="str">
        <f t="shared" ref="J977:N977" si="1615">+J976</f>
        <v>Ninguno</v>
      </c>
      <c r="K977" s="9" t="str">
        <f t="shared" si="1615"/>
        <v>Población en control por región</v>
      </c>
      <c r="L977" s="38" t="str">
        <f t="shared" si="1615"/>
        <v>Periodo 2012-2018</v>
      </c>
      <c r="M977" s="9" t="str">
        <f t="shared" si="1615"/>
        <v>Personas</v>
      </c>
      <c r="N977" s="9" t="str">
        <f t="shared" si="1615"/>
        <v>Departamento de Estadísticas e Información de la Salud (DEIS) - Ministerio de Salud</v>
      </c>
      <c r="O977" s="45" t="str">
        <f>+"Evolución de Población en Control en el Programa de VIH/SIDA en la "&amp;I977&amp;", "&amp;Agencia[[#This Row],[temporalidad]]</f>
        <v>Evolución de Población en Control en el Programa de VIH/SIDA en la Región de Magallanes, Periodo 2012-2018</v>
      </c>
      <c r="P977" s="20"/>
      <c r="Q977" s="11" t="str">
        <f t="shared" si="1493"/>
        <v>Gráfico de Evolución</v>
      </c>
      <c r="R977" s="45" t="str">
        <f>Agencia[[#This Row],[territorio]]&amp;" VIH SIDA enfermedad transmisión sexual casos personas población control programa"</f>
        <v>Región de Magallanes VIH SIDA enfermedad transmisión sexual casos personas población control programa</v>
      </c>
      <c r="S977" s="39" t="str">
        <f>HYPERLINK("https://analytics.zoho.com/open-view/2395394000008049248?ZOHO_CRITERIA=%22Localiza%20CL%22.%22Codreg%22%20%3D%20"&amp;Agencia[[#This Row],[Filtro URL]])</f>
        <v>https://analytics.zoho.com/open-view/2395394000008049248?ZOHO_CRITERIA=%22Localiza%20CL%22.%22Codreg%22%20%3D%2012</v>
      </c>
      <c r="T977" s="68" t="str">
        <f>"100-R-"&amp;Agencia[[#This Row],[Filtro URL]]</f>
        <v>100-R-12</v>
      </c>
      <c r="U977" s="50" t="str">
        <f t="shared" si="1605"/>
        <v>#1774B9</v>
      </c>
      <c r="V977" s="118" t="str">
        <f>+Agencia[[#This Row],[idcoleccion]]&amp;"-"&amp;Agencia[[#This Row],[id]]</f>
        <v>990-0966</v>
      </c>
      <c r="W977" s="118">
        <f>+VLOOKUP(Agencia[[#This Row],[Filtro URL]],Estructura!$X$4:$Y$500,2,0)</f>
        <v>99200012</v>
      </c>
      <c r="X977" s="118" t="str">
        <f>+VLOOKUP(Agencia[[#This Row],[tema]],Estructura!$A$4:$C$500,3,0)</f>
        <v>T-1000</v>
      </c>
      <c r="Y977" s="118" t="str">
        <f>+VLOOKUP(Agencia[[#This Row],[contenido]],Estructura!$E$4:$G$500,3,0)</f>
        <v>C-1010</v>
      </c>
      <c r="Z977" s="118" t="str">
        <f>+VLOOKUP(Agencia[[#This Row],[Filtro Integrado]],Estructura!$I$4:$K$500,3,0)</f>
        <v>FI-993</v>
      </c>
      <c r="AA977" s="118" t="str">
        <f>+VLOOKUP(Agencia[[#This Row],[Muestra]],Estructura!$M$4:$O$500,3,0)</f>
        <v>M-1075</v>
      </c>
    </row>
    <row r="978" spans="1:27" ht="57.6" x14ac:dyDescent="0.3">
      <c r="A978" s="21" t="s">
        <v>1874</v>
      </c>
      <c r="B978" s="24">
        <f t="shared" ref="B978:D978" si="1616">+B977</f>
        <v>990</v>
      </c>
      <c r="C978" s="25" t="str">
        <f t="shared" si="1616"/>
        <v>Agencia Información</v>
      </c>
      <c r="D978" s="25" t="str">
        <f t="shared" si="1616"/>
        <v>Salud</v>
      </c>
      <c r="E978" s="19">
        <v>13</v>
      </c>
      <c r="F978" s="18" t="s">
        <v>1021</v>
      </c>
      <c r="G978" s="18" t="s">
        <v>3784</v>
      </c>
      <c r="H978" s="35" t="s">
        <v>16</v>
      </c>
      <c r="I978" s="36" t="s">
        <v>380</v>
      </c>
      <c r="J978" s="9" t="str">
        <f t="shared" ref="J978:N978" si="1617">+J977</f>
        <v>Ninguno</v>
      </c>
      <c r="K978" s="9" t="str">
        <f t="shared" si="1617"/>
        <v>Población en control por región</v>
      </c>
      <c r="L978" s="38" t="str">
        <f t="shared" si="1617"/>
        <v>Periodo 2012-2018</v>
      </c>
      <c r="M978" s="9" t="str">
        <f t="shared" si="1617"/>
        <v>Personas</v>
      </c>
      <c r="N978" s="9" t="str">
        <f t="shared" si="1617"/>
        <v>Departamento de Estadísticas e Información de la Salud (DEIS) - Ministerio de Salud</v>
      </c>
      <c r="O978" s="45" t="str">
        <f>+"Evolución de Población en Control en el Programa de VIH/SIDA en la "&amp;I978&amp;", "&amp;Agencia[[#This Row],[temporalidad]]</f>
        <v>Evolución de Población en Control en el Programa de VIH/SIDA en la Región Metropolitana, Periodo 2012-2018</v>
      </c>
      <c r="P978" s="20"/>
      <c r="Q978" s="11" t="str">
        <f t="shared" si="1493"/>
        <v>Gráfico de Evolución</v>
      </c>
      <c r="R978" s="45" t="str">
        <f>Agencia[[#This Row],[territorio]]&amp;" VIH SIDA enfermedad transmisión sexual casos personas población control programa"</f>
        <v>Región Metropolitana VIH SIDA enfermedad transmisión sexual casos personas población control programa</v>
      </c>
      <c r="S978" s="39" t="str">
        <f>HYPERLINK("https://analytics.zoho.com/open-view/2395394000008049248?ZOHO_CRITERIA=%22Localiza%20CL%22.%22Codreg%22%20%3D%20"&amp;Agencia[[#This Row],[Filtro URL]])</f>
        <v>https://analytics.zoho.com/open-view/2395394000008049248?ZOHO_CRITERIA=%22Localiza%20CL%22.%22Codreg%22%20%3D%2013</v>
      </c>
      <c r="T978" s="68" t="str">
        <f>"200-R-"&amp;Agencia[[#This Row],[Filtro URL]]</f>
        <v>200-R-13</v>
      </c>
      <c r="U978" s="50" t="str">
        <f t="shared" si="1605"/>
        <v>#1774B9</v>
      </c>
      <c r="V978" s="118" t="str">
        <f>+Agencia[[#This Row],[idcoleccion]]&amp;"-"&amp;Agencia[[#This Row],[id]]</f>
        <v>990-0967</v>
      </c>
      <c r="W978" s="118">
        <f>+VLOOKUP(Agencia[[#This Row],[Filtro URL]],Estructura!$X$4:$Y$500,2,0)</f>
        <v>99200013</v>
      </c>
      <c r="X978" s="118" t="str">
        <f>+VLOOKUP(Agencia[[#This Row],[tema]],Estructura!$A$4:$C$500,3,0)</f>
        <v>T-1000</v>
      </c>
      <c r="Y978" s="118" t="str">
        <f>+VLOOKUP(Agencia[[#This Row],[contenido]],Estructura!$E$4:$G$500,3,0)</f>
        <v>C-1010</v>
      </c>
      <c r="Z978" s="118" t="str">
        <f>+VLOOKUP(Agencia[[#This Row],[Filtro Integrado]],Estructura!$I$4:$K$500,3,0)</f>
        <v>FI-993</v>
      </c>
      <c r="AA978" s="118" t="str">
        <f>+VLOOKUP(Agencia[[#This Row],[Muestra]],Estructura!$M$4:$O$500,3,0)</f>
        <v>M-1075</v>
      </c>
    </row>
    <row r="979" spans="1:27" ht="57.6" x14ac:dyDescent="0.3">
      <c r="A979" s="21" t="s">
        <v>1875</v>
      </c>
      <c r="B979" s="24">
        <f t="shared" ref="B979:D979" si="1618">+B978</f>
        <v>990</v>
      </c>
      <c r="C979" s="25" t="str">
        <f t="shared" si="1618"/>
        <v>Agencia Información</v>
      </c>
      <c r="D979" s="25" t="str">
        <f t="shared" si="1618"/>
        <v>Salud</v>
      </c>
      <c r="E979" s="19">
        <v>14</v>
      </c>
      <c r="F979" s="18" t="s">
        <v>1021</v>
      </c>
      <c r="G979" s="18" t="s">
        <v>3784</v>
      </c>
      <c r="H979" s="35" t="s">
        <v>16</v>
      </c>
      <c r="I979" s="36" t="s">
        <v>381</v>
      </c>
      <c r="J979" s="9" t="str">
        <f t="shared" ref="J979:N979" si="1619">+J978</f>
        <v>Ninguno</v>
      </c>
      <c r="K979" s="9" t="str">
        <f t="shared" si="1619"/>
        <v>Población en control por región</v>
      </c>
      <c r="L979" s="38" t="str">
        <f t="shared" si="1619"/>
        <v>Periodo 2012-2018</v>
      </c>
      <c r="M979" s="9" t="str">
        <f t="shared" si="1619"/>
        <v>Personas</v>
      </c>
      <c r="N979" s="9" t="str">
        <f t="shared" si="1619"/>
        <v>Departamento de Estadísticas e Información de la Salud (DEIS) - Ministerio de Salud</v>
      </c>
      <c r="O979" s="45" t="str">
        <f>+"Evolución de Población en Control en el Programa de VIH/SIDA en la "&amp;I979&amp;", "&amp;Agencia[[#This Row],[temporalidad]]</f>
        <v>Evolución de Población en Control en el Programa de VIH/SIDA en la Región de Los Ríos, Periodo 2012-2018</v>
      </c>
      <c r="P979" s="20"/>
      <c r="Q979" s="11" t="str">
        <f t="shared" ref="Q979:Q981" si="1620">+Q978</f>
        <v>Gráfico de Evolución</v>
      </c>
      <c r="R979" s="45" t="str">
        <f>Agencia[[#This Row],[territorio]]&amp;" VIH SIDA enfermedad transmisión sexual casos personas población control programa"</f>
        <v>Región de Los Ríos VIH SIDA enfermedad transmisión sexual casos personas población control programa</v>
      </c>
      <c r="S979" s="39" t="str">
        <f>HYPERLINK("https://analytics.zoho.com/open-view/2395394000008049248?ZOHO_CRITERIA=%22Localiza%20CL%22.%22Codreg%22%20%3D%20"&amp;Agencia[[#This Row],[Filtro URL]])</f>
        <v>https://analytics.zoho.com/open-view/2395394000008049248?ZOHO_CRITERIA=%22Localiza%20CL%22.%22Codreg%22%20%3D%2014</v>
      </c>
      <c r="T979" s="68" t="str">
        <f>"100-R-"&amp;Agencia[[#This Row],[Filtro URL]]</f>
        <v>100-R-14</v>
      </c>
      <c r="U979" s="50" t="str">
        <f t="shared" si="1605"/>
        <v>#1774B9</v>
      </c>
      <c r="V979" s="118" t="str">
        <f>+Agencia[[#This Row],[idcoleccion]]&amp;"-"&amp;Agencia[[#This Row],[id]]</f>
        <v>990-0968</v>
      </c>
      <c r="W979" s="118">
        <f>+VLOOKUP(Agencia[[#This Row],[Filtro URL]],Estructura!$X$4:$Y$500,2,0)</f>
        <v>99200014</v>
      </c>
      <c r="X979" s="118" t="str">
        <f>+VLOOKUP(Agencia[[#This Row],[tema]],Estructura!$A$4:$C$500,3,0)</f>
        <v>T-1000</v>
      </c>
      <c r="Y979" s="118" t="str">
        <f>+VLOOKUP(Agencia[[#This Row],[contenido]],Estructura!$E$4:$G$500,3,0)</f>
        <v>C-1010</v>
      </c>
      <c r="Z979" s="118" t="str">
        <f>+VLOOKUP(Agencia[[#This Row],[Filtro Integrado]],Estructura!$I$4:$K$500,3,0)</f>
        <v>FI-993</v>
      </c>
      <c r="AA979" s="118" t="str">
        <f>+VLOOKUP(Agencia[[#This Row],[Muestra]],Estructura!$M$4:$O$500,3,0)</f>
        <v>M-1075</v>
      </c>
    </row>
    <row r="980" spans="1:27" ht="57.6" x14ac:dyDescent="0.3">
      <c r="A980" s="21" t="s">
        <v>1876</v>
      </c>
      <c r="B980" s="24">
        <f t="shared" ref="B980:D980" si="1621">+B979</f>
        <v>990</v>
      </c>
      <c r="C980" s="25" t="str">
        <f t="shared" si="1621"/>
        <v>Agencia Información</v>
      </c>
      <c r="D980" s="25" t="str">
        <f t="shared" si="1621"/>
        <v>Salud</v>
      </c>
      <c r="E980" s="19">
        <v>15</v>
      </c>
      <c r="F980" s="18" t="s">
        <v>1021</v>
      </c>
      <c r="G980" s="18" t="s">
        <v>3784</v>
      </c>
      <c r="H980" s="35" t="s">
        <v>16</v>
      </c>
      <c r="I980" s="36" t="s">
        <v>382</v>
      </c>
      <c r="J980" s="9" t="str">
        <f t="shared" ref="J980:N980" si="1622">+J979</f>
        <v>Ninguno</v>
      </c>
      <c r="K980" s="9" t="str">
        <f t="shared" si="1622"/>
        <v>Población en control por región</v>
      </c>
      <c r="L980" s="38" t="str">
        <f t="shared" si="1622"/>
        <v>Periodo 2012-2018</v>
      </c>
      <c r="M980" s="9" t="str">
        <f t="shared" si="1622"/>
        <v>Personas</v>
      </c>
      <c r="N980" s="9" t="str">
        <f t="shared" si="1622"/>
        <v>Departamento de Estadísticas e Información de la Salud (DEIS) - Ministerio de Salud</v>
      </c>
      <c r="O980" s="45" t="str">
        <f>+"Evolución de Población en Control en el Programa de VIH/SIDA en la "&amp;I980&amp;", "&amp;Agencia[[#This Row],[temporalidad]]</f>
        <v>Evolución de Población en Control en el Programa de VIH/SIDA en la Región de Arica y Parinacota, Periodo 2012-2018</v>
      </c>
      <c r="P980" s="20"/>
      <c r="Q980" s="11" t="str">
        <f t="shared" si="1620"/>
        <v>Gráfico de Evolución</v>
      </c>
      <c r="R980" s="45" t="str">
        <f>Agencia[[#This Row],[territorio]]&amp;" VIH SIDA enfermedad transmisión sexual casos personas población control programa"</f>
        <v>Región de Arica y Parinacota VIH SIDA enfermedad transmisión sexual casos personas población control programa</v>
      </c>
      <c r="S980" s="39" t="str">
        <f>HYPERLINK("https://analytics.zoho.com/open-view/2395394000008049248?ZOHO_CRITERIA=%22Localiza%20CL%22.%22Codreg%22%20%3D%20"&amp;Agencia[[#This Row],[Filtro URL]])</f>
        <v>https://analytics.zoho.com/open-view/2395394000008049248?ZOHO_CRITERIA=%22Localiza%20CL%22.%22Codreg%22%20%3D%2015</v>
      </c>
      <c r="T980" s="68" t="str">
        <f>"100-R-"&amp;Agencia[[#This Row],[Filtro URL]]</f>
        <v>100-R-15</v>
      </c>
      <c r="U980" s="50" t="str">
        <f t="shared" si="1605"/>
        <v>#1774B9</v>
      </c>
      <c r="V980" s="118" t="str">
        <f>+Agencia[[#This Row],[idcoleccion]]&amp;"-"&amp;Agencia[[#This Row],[id]]</f>
        <v>990-0969</v>
      </c>
      <c r="W980" s="118">
        <f>+VLOOKUP(Agencia[[#This Row],[Filtro URL]],Estructura!$X$4:$Y$500,2,0)</f>
        <v>99200015</v>
      </c>
      <c r="X980" s="118" t="str">
        <f>+VLOOKUP(Agencia[[#This Row],[tema]],Estructura!$A$4:$C$500,3,0)</f>
        <v>T-1000</v>
      </c>
      <c r="Y980" s="118" t="str">
        <f>+VLOOKUP(Agencia[[#This Row],[contenido]],Estructura!$E$4:$G$500,3,0)</f>
        <v>C-1010</v>
      </c>
      <c r="Z980" s="118" t="str">
        <f>+VLOOKUP(Agencia[[#This Row],[Filtro Integrado]],Estructura!$I$4:$K$500,3,0)</f>
        <v>FI-993</v>
      </c>
      <c r="AA980" s="118" t="str">
        <f>+VLOOKUP(Agencia[[#This Row],[Muestra]],Estructura!$M$4:$O$500,3,0)</f>
        <v>M-1075</v>
      </c>
    </row>
    <row r="981" spans="1:27" ht="57.6" x14ac:dyDescent="0.3">
      <c r="A981" s="21" t="s">
        <v>1877</v>
      </c>
      <c r="B981" s="24">
        <f t="shared" ref="B981:D981" si="1623">+B980</f>
        <v>990</v>
      </c>
      <c r="C981" s="25" t="str">
        <f t="shared" si="1623"/>
        <v>Agencia Información</v>
      </c>
      <c r="D981" s="25" t="str">
        <f t="shared" si="1623"/>
        <v>Salud</v>
      </c>
      <c r="E981" s="19">
        <v>16</v>
      </c>
      <c r="F981" s="18" t="s">
        <v>1021</v>
      </c>
      <c r="G981" s="18" t="s">
        <v>3784</v>
      </c>
      <c r="H981" s="35" t="s">
        <v>16</v>
      </c>
      <c r="I981" s="36" t="s">
        <v>383</v>
      </c>
      <c r="J981" s="9" t="str">
        <f t="shared" ref="J981:N981" si="1624">+J980</f>
        <v>Ninguno</v>
      </c>
      <c r="K981" s="9" t="str">
        <f t="shared" si="1624"/>
        <v>Población en control por región</v>
      </c>
      <c r="L981" s="38" t="str">
        <f t="shared" si="1624"/>
        <v>Periodo 2012-2018</v>
      </c>
      <c r="M981" s="9" t="str">
        <f t="shared" si="1624"/>
        <v>Personas</v>
      </c>
      <c r="N981" s="9" t="str">
        <f t="shared" si="1624"/>
        <v>Departamento de Estadísticas e Información de la Salud (DEIS) - Ministerio de Salud</v>
      </c>
      <c r="O981" s="45" t="str">
        <f>+"Evolución de Población en Control en el Programa de VIH/SIDA en la "&amp;I981&amp;", "&amp;Agencia[[#This Row],[temporalidad]]</f>
        <v>Evolución de Población en Control en el Programa de VIH/SIDA en la Región de Ñuble, Periodo 2012-2018</v>
      </c>
      <c r="P981" s="20"/>
      <c r="Q981" s="11" t="str">
        <f t="shared" si="1620"/>
        <v>Gráfico de Evolución</v>
      </c>
      <c r="R981" s="45" t="str">
        <f>Agencia[[#This Row],[territorio]]&amp;" VIH SIDA enfermedad transmisión sexual casos personas población control programa"</f>
        <v>Región de Ñuble VIH SIDA enfermedad transmisión sexual casos personas población control programa</v>
      </c>
      <c r="S981" s="39" t="str">
        <f>HYPERLINK("https://analytics.zoho.com/open-view/2395394000008049248?ZOHO_CRITERIA=%22Localiza%20CL%22.%22Codreg%22%20%3D%20"&amp;Agencia[[#This Row],[Filtro URL]])</f>
        <v>https://analytics.zoho.com/open-view/2395394000008049248?ZOHO_CRITERIA=%22Localiza%20CL%22.%22Codreg%22%20%3D%2016</v>
      </c>
      <c r="T981" s="68" t="str">
        <f>"100-R-"&amp;Agencia[[#This Row],[Filtro URL]]</f>
        <v>100-R-16</v>
      </c>
      <c r="U981" s="50" t="str">
        <f t="shared" si="1605"/>
        <v>#1774B9</v>
      </c>
      <c r="V981" s="118" t="str">
        <f>+Agencia[[#This Row],[idcoleccion]]&amp;"-"&amp;Agencia[[#This Row],[id]]</f>
        <v>990-0970</v>
      </c>
      <c r="W981" s="118">
        <f>+VLOOKUP(Agencia[[#This Row],[Filtro URL]],Estructura!$X$4:$Y$500,2,0)</f>
        <v>99200016</v>
      </c>
      <c r="X981" s="118" t="str">
        <f>+VLOOKUP(Agencia[[#This Row],[tema]],Estructura!$A$4:$C$500,3,0)</f>
        <v>T-1000</v>
      </c>
      <c r="Y981" s="118" t="str">
        <f>+VLOOKUP(Agencia[[#This Row],[contenido]],Estructura!$E$4:$G$500,3,0)</f>
        <v>C-1010</v>
      </c>
      <c r="Z981" s="118" t="str">
        <f>+VLOOKUP(Agencia[[#This Row],[Filtro Integrado]],Estructura!$I$4:$K$500,3,0)</f>
        <v>FI-993</v>
      </c>
      <c r="AA981" s="118" t="str">
        <f>+VLOOKUP(Agencia[[#This Row],[Muestra]],Estructura!$M$4:$O$500,3,0)</f>
        <v>M-1075</v>
      </c>
    </row>
    <row r="982" spans="1:27" ht="91.8" x14ac:dyDescent="0.3">
      <c r="A982" s="21" t="s">
        <v>1878</v>
      </c>
      <c r="B982" s="24">
        <f t="shared" ref="B982:C982" si="1625">+B981</f>
        <v>990</v>
      </c>
      <c r="C982" s="25" t="str">
        <f t="shared" si="1625"/>
        <v>Agencia Información</v>
      </c>
      <c r="D982" s="25" t="s">
        <v>574</v>
      </c>
      <c r="E982" s="14">
        <v>0</v>
      </c>
      <c r="F982" s="18" t="s">
        <v>1021</v>
      </c>
      <c r="G982" s="18" t="s">
        <v>3784</v>
      </c>
      <c r="H982" s="33" t="s">
        <v>20</v>
      </c>
      <c r="I982" s="34" t="s">
        <v>15</v>
      </c>
      <c r="J982" s="9" t="s">
        <v>16</v>
      </c>
      <c r="K982" s="9" t="s">
        <v>1682</v>
      </c>
      <c r="L982" s="38" t="s">
        <v>1677</v>
      </c>
      <c r="M982" s="9" t="s">
        <v>1490</v>
      </c>
      <c r="N982" s="9" t="s">
        <v>910</v>
      </c>
      <c r="O982" s="45" t="str">
        <f>+"Evolución de Población en Control en el Programa de VIH/SIDA según Rango Etario en "&amp;I982&amp;", "&amp;Agencia[[#This Row],[temporalidad]]</f>
        <v>Evolución de Población en Control en el Programa de VIH/SIDA según Rango Etario en Chile, Periodo 2012-2018</v>
      </c>
      <c r="P982" s="20" t="s">
        <v>2017</v>
      </c>
      <c r="Q982" s="11" t="s">
        <v>821</v>
      </c>
      <c r="R982" s="20" t="str">
        <f>Agencia[[#This Row],[territorio]]&amp;" VIH SIDA enfermedad transmisión sexual casos personas población programa"</f>
        <v>Chile VIH SIDA enfermedad transmisión sexual casos personas población programa</v>
      </c>
      <c r="S982" s="39" t="s">
        <v>1683</v>
      </c>
      <c r="T982" s="68" t="s">
        <v>855</v>
      </c>
      <c r="U982" s="50" t="str">
        <f t="shared" si="1605"/>
        <v>#1774B9</v>
      </c>
      <c r="V982" s="118" t="str">
        <f>+Agencia[[#This Row],[idcoleccion]]&amp;"-"&amp;Agencia[[#This Row],[id]]</f>
        <v>990-0971</v>
      </c>
      <c r="W982" s="118">
        <f>+VLOOKUP(Agencia[[#This Row],[Filtro URL]],Estructura!$X$4:$Y$500,2,0)</f>
        <v>99100000</v>
      </c>
      <c r="X982" s="118" t="str">
        <f>+VLOOKUP(Agencia[[#This Row],[tema]],Estructura!$A$4:$C$500,3,0)</f>
        <v>T-1000</v>
      </c>
      <c r="Y982" s="118" t="str">
        <f>+VLOOKUP(Agencia[[#This Row],[contenido]],Estructura!$E$4:$G$500,3,0)</f>
        <v>C-1010</v>
      </c>
      <c r="Z982" s="118" t="str">
        <f>+VLOOKUP(Agencia[[#This Row],[Filtro Integrado]],Estructura!$I$4:$K$500,3,0)</f>
        <v>FI-992</v>
      </c>
      <c r="AA982" s="118" t="str">
        <f>+VLOOKUP(Agencia[[#This Row],[Muestra]],Estructura!$M$4:$O$500,3,0)</f>
        <v>M-1076</v>
      </c>
    </row>
    <row r="983" spans="1:27" ht="57.6" x14ac:dyDescent="0.3">
      <c r="A983" s="21" t="s">
        <v>1879</v>
      </c>
      <c r="B983" s="24">
        <f t="shared" ref="B983:D983" si="1626">+B982</f>
        <v>990</v>
      </c>
      <c r="C983" s="25" t="str">
        <f t="shared" si="1626"/>
        <v>Agencia Información</v>
      </c>
      <c r="D983" s="25" t="str">
        <f t="shared" si="1626"/>
        <v>Salud</v>
      </c>
      <c r="E983" s="19">
        <v>1</v>
      </c>
      <c r="F983" s="18" t="s">
        <v>1021</v>
      </c>
      <c r="G983" s="18" t="s">
        <v>3784</v>
      </c>
      <c r="H983" s="35" t="s">
        <v>16</v>
      </c>
      <c r="I983" s="36" t="s">
        <v>368</v>
      </c>
      <c r="J983" s="9" t="s">
        <v>404</v>
      </c>
      <c r="K983" s="9" t="s">
        <v>1682</v>
      </c>
      <c r="L983" s="38" t="str">
        <f>+L982</f>
        <v>Periodo 2012-2018</v>
      </c>
      <c r="M983" s="9" t="str">
        <f t="shared" ref="M983:N983" si="1627">+M982</f>
        <v>Personas</v>
      </c>
      <c r="N983" s="9" t="str">
        <f t="shared" si="1627"/>
        <v>Departamento de Estadísticas e Información de la Salud (DEIS) - Ministerio de Salud</v>
      </c>
      <c r="O983" s="45" t="str">
        <f>+"Evolución de Población en Control en el Programa de VIH/SIDA según Rango Etario en la "&amp;I983&amp;", "&amp;Agencia[[#This Row],[temporalidad]]</f>
        <v>Evolución de Población en Control en el Programa de VIH/SIDA según Rango Etario en la Región de Tarapacá, Periodo 2012-2018</v>
      </c>
      <c r="P983" s="20"/>
      <c r="Q983" s="11" t="str">
        <f t="shared" ref="Q983:Q1046" si="1628">+Q982</f>
        <v>Gráfico de Evolución</v>
      </c>
      <c r="R983" s="20" t="str">
        <f>Agencia[[#This Row],[territorio]]&amp;" VIH SIDA enfermedad transmisión sexual casos personas población programa"</f>
        <v>Región de Tarapacá VIH SIDA enfermedad transmisión sexual casos personas población programa</v>
      </c>
      <c r="S983" s="39" t="str">
        <f>HYPERLINK("https://analytics.zoho.com/open-view/2395394000008463151?ZOHO_CRITERIA=%22Localiza%20CL%22.%22Codreg%22%20%3D%20"&amp;Agencia[[#This Row],[Filtro URL]])</f>
        <v>https://analytics.zoho.com/open-view/2395394000008463151?ZOHO_CRITERIA=%22Localiza%20CL%22.%22Codreg%22%20%3D%201</v>
      </c>
      <c r="T983" s="68" t="str">
        <f>"100-R-"&amp;Agencia[[#This Row],[Filtro URL]]</f>
        <v>100-R-1</v>
      </c>
      <c r="U983" s="50" t="str">
        <f t="shared" si="1605"/>
        <v>#1774B9</v>
      </c>
      <c r="V983" s="118" t="str">
        <f>+Agencia[[#This Row],[idcoleccion]]&amp;"-"&amp;Agencia[[#This Row],[id]]</f>
        <v>990-0972</v>
      </c>
      <c r="W983" s="118">
        <f>+VLOOKUP(Agencia[[#This Row],[Filtro URL]],Estructura!$X$4:$Y$500,2,0)</f>
        <v>99200001</v>
      </c>
      <c r="X983" s="118" t="str">
        <f>+VLOOKUP(Agencia[[#This Row],[tema]],Estructura!$A$4:$C$500,3,0)</f>
        <v>T-1000</v>
      </c>
      <c r="Y983" s="118" t="str">
        <f>+VLOOKUP(Agencia[[#This Row],[contenido]],Estructura!$E$4:$G$500,3,0)</f>
        <v>C-1010</v>
      </c>
      <c r="Z983" s="118" t="str">
        <f>+VLOOKUP(Agencia[[#This Row],[Filtro Integrado]],Estructura!$I$4:$K$500,3,0)</f>
        <v>FI-993</v>
      </c>
      <c r="AA983" s="118" t="str">
        <f>+VLOOKUP(Agencia[[#This Row],[Muestra]],Estructura!$M$4:$O$500,3,0)</f>
        <v>M-1076</v>
      </c>
    </row>
    <row r="984" spans="1:27" ht="57.6" x14ac:dyDescent="0.3">
      <c r="A984" s="21" t="s">
        <v>1880</v>
      </c>
      <c r="B984" s="24">
        <f t="shared" ref="B984:D984" si="1629">+B983</f>
        <v>990</v>
      </c>
      <c r="C984" s="25" t="str">
        <f t="shared" si="1629"/>
        <v>Agencia Información</v>
      </c>
      <c r="D984" s="25" t="str">
        <f t="shared" si="1629"/>
        <v>Salud</v>
      </c>
      <c r="E984" s="19">
        <v>2</v>
      </c>
      <c r="F984" s="18" t="s">
        <v>1021</v>
      </c>
      <c r="G984" s="18" t="s">
        <v>3784</v>
      </c>
      <c r="H984" s="35" t="s">
        <v>16</v>
      </c>
      <c r="I984" s="36" t="s">
        <v>369</v>
      </c>
      <c r="J984" s="9" t="str">
        <f t="shared" ref="J984:N984" si="1630">+J983</f>
        <v>Ninguno</v>
      </c>
      <c r="K984" s="9" t="str">
        <f t="shared" si="1630"/>
        <v>Población en control por rango etario</v>
      </c>
      <c r="L984" s="38" t="str">
        <f t="shared" si="1630"/>
        <v>Periodo 2012-2018</v>
      </c>
      <c r="M984" s="9" t="str">
        <f t="shared" si="1630"/>
        <v>Personas</v>
      </c>
      <c r="N984" s="9" t="str">
        <f t="shared" si="1630"/>
        <v>Departamento de Estadísticas e Información de la Salud (DEIS) - Ministerio de Salud</v>
      </c>
      <c r="O984" s="45" t="str">
        <f>+"Evolución de Población en Control en el Programa de VIH/SIDA según Rango Etario en la "&amp;I984&amp;", "&amp;Agencia[[#This Row],[temporalidad]]</f>
        <v>Evolución de Población en Control en el Programa de VIH/SIDA según Rango Etario en la Región de Antofagasta, Periodo 2012-2018</v>
      </c>
      <c r="P984" s="20"/>
      <c r="Q984" s="11" t="str">
        <f t="shared" si="1628"/>
        <v>Gráfico de Evolución</v>
      </c>
      <c r="R984" s="20" t="str">
        <f>Agencia[[#This Row],[territorio]]&amp;" VIH SIDA enfermedad transmisión sexual casos personas población programa"</f>
        <v>Región de Antofagasta VIH SIDA enfermedad transmisión sexual casos personas población programa</v>
      </c>
      <c r="S984" s="39" t="str">
        <f>HYPERLINK("https://analytics.zoho.com/open-view/2395394000008463151?ZOHO_CRITERIA=%22Localiza%20CL%22.%22Codreg%22%20%3D%20"&amp;Agencia[[#This Row],[Filtro URL]])</f>
        <v>https://analytics.zoho.com/open-view/2395394000008463151?ZOHO_CRITERIA=%22Localiza%20CL%22.%22Codreg%22%20%3D%202</v>
      </c>
      <c r="T984" s="68" t="str">
        <f>"100-R-"&amp;Agencia[[#This Row],[Filtro URL]]</f>
        <v>100-R-2</v>
      </c>
      <c r="U984" s="50" t="str">
        <f t="shared" si="1605"/>
        <v>#1774B9</v>
      </c>
      <c r="V984" s="118" t="str">
        <f>+Agencia[[#This Row],[idcoleccion]]&amp;"-"&amp;Agencia[[#This Row],[id]]</f>
        <v>990-0973</v>
      </c>
      <c r="W984" s="118">
        <f>+VLOOKUP(Agencia[[#This Row],[Filtro URL]],Estructura!$X$4:$Y$500,2,0)</f>
        <v>99200002</v>
      </c>
      <c r="X984" s="118" t="str">
        <f>+VLOOKUP(Agencia[[#This Row],[tema]],Estructura!$A$4:$C$500,3,0)</f>
        <v>T-1000</v>
      </c>
      <c r="Y984" s="118" t="str">
        <f>+VLOOKUP(Agencia[[#This Row],[contenido]],Estructura!$E$4:$G$500,3,0)</f>
        <v>C-1010</v>
      </c>
      <c r="Z984" s="118" t="str">
        <f>+VLOOKUP(Agencia[[#This Row],[Filtro Integrado]],Estructura!$I$4:$K$500,3,0)</f>
        <v>FI-993</v>
      </c>
      <c r="AA984" s="118" t="str">
        <f>+VLOOKUP(Agencia[[#This Row],[Muestra]],Estructura!$M$4:$O$500,3,0)</f>
        <v>M-1076</v>
      </c>
    </row>
    <row r="985" spans="1:27" ht="57.6" x14ac:dyDescent="0.3">
      <c r="A985" s="21" t="s">
        <v>1881</v>
      </c>
      <c r="B985" s="24">
        <f t="shared" ref="B985:D985" si="1631">+B984</f>
        <v>990</v>
      </c>
      <c r="C985" s="25" t="str">
        <f t="shared" si="1631"/>
        <v>Agencia Información</v>
      </c>
      <c r="D985" s="25" t="str">
        <f t="shared" si="1631"/>
        <v>Salud</v>
      </c>
      <c r="E985" s="19">
        <v>3</v>
      </c>
      <c r="F985" s="18" t="s">
        <v>1021</v>
      </c>
      <c r="G985" s="18" t="s">
        <v>3784</v>
      </c>
      <c r="H985" s="35" t="s">
        <v>16</v>
      </c>
      <c r="I985" s="36" t="s">
        <v>370</v>
      </c>
      <c r="J985" s="9" t="str">
        <f t="shared" ref="J985:N985" si="1632">+J984</f>
        <v>Ninguno</v>
      </c>
      <c r="K985" s="9" t="str">
        <f t="shared" si="1632"/>
        <v>Población en control por rango etario</v>
      </c>
      <c r="L985" s="38" t="str">
        <f t="shared" si="1632"/>
        <v>Periodo 2012-2018</v>
      </c>
      <c r="M985" s="9" t="str">
        <f t="shared" si="1632"/>
        <v>Personas</v>
      </c>
      <c r="N985" s="9" t="str">
        <f t="shared" si="1632"/>
        <v>Departamento de Estadísticas e Información de la Salud (DEIS) - Ministerio de Salud</v>
      </c>
      <c r="O985" s="45" t="str">
        <f>+"Evolución de Población en Control en el Programa de VIH/SIDA según Rango Etario en la "&amp;I985&amp;", "&amp;Agencia[[#This Row],[temporalidad]]</f>
        <v>Evolución de Población en Control en el Programa de VIH/SIDA según Rango Etario en la Región de Atacama, Periodo 2012-2018</v>
      </c>
      <c r="P985" s="20"/>
      <c r="Q985" s="11" t="str">
        <f t="shared" si="1628"/>
        <v>Gráfico de Evolución</v>
      </c>
      <c r="R985" s="20" t="str">
        <f>Agencia[[#This Row],[territorio]]&amp;" VIH SIDA enfermedad transmisión sexual casos personas población programa"</f>
        <v>Región de Atacama VIH SIDA enfermedad transmisión sexual casos personas población programa</v>
      </c>
      <c r="S985" s="39" t="str">
        <f>HYPERLINK("https://analytics.zoho.com/open-view/2395394000008463151?ZOHO_CRITERIA=%22Localiza%20CL%22.%22Codreg%22%20%3D%20"&amp;Agencia[[#This Row],[Filtro URL]])</f>
        <v>https://analytics.zoho.com/open-view/2395394000008463151?ZOHO_CRITERIA=%22Localiza%20CL%22.%22Codreg%22%20%3D%203</v>
      </c>
      <c r="T985" s="68" t="str">
        <f>"100-R-"&amp;Agencia[[#This Row],[Filtro URL]]</f>
        <v>100-R-3</v>
      </c>
      <c r="U985" s="50" t="str">
        <f t="shared" si="1605"/>
        <v>#1774B9</v>
      </c>
      <c r="V985" s="118" t="str">
        <f>+Agencia[[#This Row],[idcoleccion]]&amp;"-"&amp;Agencia[[#This Row],[id]]</f>
        <v>990-0974</v>
      </c>
      <c r="W985" s="118">
        <f>+VLOOKUP(Agencia[[#This Row],[Filtro URL]],Estructura!$X$4:$Y$500,2,0)</f>
        <v>99200003</v>
      </c>
      <c r="X985" s="118" t="str">
        <f>+VLOOKUP(Agencia[[#This Row],[tema]],Estructura!$A$4:$C$500,3,0)</f>
        <v>T-1000</v>
      </c>
      <c r="Y985" s="118" t="str">
        <f>+VLOOKUP(Agencia[[#This Row],[contenido]],Estructura!$E$4:$G$500,3,0)</f>
        <v>C-1010</v>
      </c>
      <c r="Z985" s="118" t="str">
        <f>+VLOOKUP(Agencia[[#This Row],[Filtro Integrado]],Estructura!$I$4:$K$500,3,0)</f>
        <v>FI-993</v>
      </c>
      <c r="AA985" s="118" t="str">
        <f>+VLOOKUP(Agencia[[#This Row],[Muestra]],Estructura!$M$4:$O$500,3,0)</f>
        <v>M-1076</v>
      </c>
    </row>
    <row r="986" spans="1:27" ht="57.6" x14ac:dyDescent="0.3">
      <c r="A986" s="21" t="s">
        <v>1882</v>
      </c>
      <c r="B986" s="24">
        <f t="shared" ref="B986:D986" si="1633">+B985</f>
        <v>990</v>
      </c>
      <c r="C986" s="25" t="str">
        <f t="shared" si="1633"/>
        <v>Agencia Información</v>
      </c>
      <c r="D986" s="25" t="str">
        <f t="shared" si="1633"/>
        <v>Salud</v>
      </c>
      <c r="E986" s="19">
        <v>4</v>
      </c>
      <c r="F986" s="18" t="s">
        <v>1021</v>
      </c>
      <c r="G986" s="18" t="s">
        <v>3784</v>
      </c>
      <c r="H986" s="35" t="s">
        <v>16</v>
      </c>
      <c r="I986" s="36" t="s">
        <v>371</v>
      </c>
      <c r="J986" s="9" t="str">
        <f t="shared" ref="J986:N986" si="1634">+J985</f>
        <v>Ninguno</v>
      </c>
      <c r="K986" s="9" t="str">
        <f t="shared" si="1634"/>
        <v>Población en control por rango etario</v>
      </c>
      <c r="L986" s="38" t="str">
        <f t="shared" si="1634"/>
        <v>Periodo 2012-2018</v>
      </c>
      <c r="M986" s="9" t="str">
        <f t="shared" si="1634"/>
        <v>Personas</v>
      </c>
      <c r="N986" s="9" t="str">
        <f t="shared" si="1634"/>
        <v>Departamento de Estadísticas e Información de la Salud (DEIS) - Ministerio de Salud</v>
      </c>
      <c r="O986" s="45" t="str">
        <f>+"Evolución de Población en Control en el Programa de VIH/SIDA según Rango Etario en la "&amp;I986&amp;", "&amp;Agencia[[#This Row],[temporalidad]]</f>
        <v>Evolución de Población en Control en el Programa de VIH/SIDA según Rango Etario en la Región de Coquimbo, Periodo 2012-2018</v>
      </c>
      <c r="P986" s="20"/>
      <c r="Q986" s="11" t="str">
        <f t="shared" si="1628"/>
        <v>Gráfico de Evolución</v>
      </c>
      <c r="R986" s="20" t="str">
        <f>Agencia[[#This Row],[territorio]]&amp;" VIH SIDA enfermedad transmisión sexual casos personas población programa"</f>
        <v>Región de Coquimbo VIH SIDA enfermedad transmisión sexual casos personas población programa</v>
      </c>
      <c r="S986" s="39" t="str">
        <f>HYPERLINK("https://analytics.zoho.com/open-view/2395394000008463151?ZOHO_CRITERIA=%22Localiza%20CL%22.%22Codreg%22%20%3D%20"&amp;Agencia[[#This Row],[Filtro URL]])</f>
        <v>https://analytics.zoho.com/open-view/2395394000008463151?ZOHO_CRITERIA=%22Localiza%20CL%22.%22Codreg%22%20%3D%204</v>
      </c>
      <c r="T986" s="68" t="str">
        <f>"100-R-"&amp;Agencia[[#This Row],[Filtro URL]]</f>
        <v>100-R-4</v>
      </c>
      <c r="U986" s="50" t="str">
        <f t="shared" si="1605"/>
        <v>#1774B9</v>
      </c>
      <c r="V986" s="118" t="str">
        <f>+Agencia[[#This Row],[idcoleccion]]&amp;"-"&amp;Agencia[[#This Row],[id]]</f>
        <v>990-0975</v>
      </c>
      <c r="W986" s="118">
        <f>+VLOOKUP(Agencia[[#This Row],[Filtro URL]],Estructura!$X$4:$Y$500,2,0)</f>
        <v>99200004</v>
      </c>
      <c r="X986" s="118" t="str">
        <f>+VLOOKUP(Agencia[[#This Row],[tema]],Estructura!$A$4:$C$500,3,0)</f>
        <v>T-1000</v>
      </c>
      <c r="Y986" s="118" t="str">
        <f>+VLOOKUP(Agencia[[#This Row],[contenido]],Estructura!$E$4:$G$500,3,0)</f>
        <v>C-1010</v>
      </c>
      <c r="Z986" s="118" t="str">
        <f>+VLOOKUP(Agencia[[#This Row],[Filtro Integrado]],Estructura!$I$4:$K$500,3,0)</f>
        <v>FI-993</v>
      </c>
      <c r="AA986" s="118" t="str">
        <f>+VLOOKUP(Agencia[[#This Row],[Muestra]],Estructura!$M$4:$O$500,3,0)</f>
        <v>M-1076</v>
      </c>
    </row>
    <row r="987" spans="1:27" ht="57.6" x14ac:dyDescent="0.3">
      <c r="A987" s="21" t="s">
        <v>1883</v>
      </c>
      <c r="B987" s="24">
        <f t="shared" ref="B987:D987" si="1635">+B986</f>
        <v>990</v>
      </c>
      <c r="C987" s="25" t="str">
        <f t="shared" si="1635"/>
        <v>Agencia Información</v>
      </c>
      <c r="D987" s="25" t="str">
        <f t="shared" si="1635"/>
        <v>Salud</v>
      </c>
      <c r="E987" s="19">
        <v>5</v>
      </c>
      <c r="F987" s="18" t="s">
        <v>1021</v>
      </c>
      <c r="G987" s="18" t="s">
        <v>3784</v>
      </c>
      <c r="H987" s="35" t="s">
        <v>16</v>
      </c>
      <c r="I987" s="36" t="s">
        <v>372</v>
      </c>
      <c r="J987" s="9" t="str">
        <f t="shared" ref="J987:N987" si="1636">+J986</f>
        <v>Ninguno</v>
      </c>
      <c r="K987" s="9" t="str">
        <f t="shared" si="1636"/>
        <v>Población en control por rango etario</v>
      </c>
      <c r="L987" s="38" t="str">
        <f t="shared" si="1636"/>
        <v>Periodo 2012-2018</v>
      </c>
      <c r="M987" s="9" t="str">
        <f t="shared" si="1636"/>
        <v>Personas</v>
      </c>
      <c r="N987" s="9" t="str">
        <f t="shared" si="1636"/>
        <v>Departamento de Estadísticas e Información de la Salud (DEIS) - Ministerio de Salud</v>
      </c>
      <c r="O987" s="45" t="str">
        <f>+"Evolución de Población en Control en el Programa de VIH/SIDA según Rango Etario en la "&amp;I987&amp;", "&amp;Agencia[[#This Row],[temporalidad]]</f>
        <v>Evolución de Población en Control en el Programa de VIH/SIDA según Rango Etario en la Región de Valparaíso, Periodo 2012-2018</v>
      </c>
      <c r="P987" s="20"/>
      <c r="Q987" s="11" t="str">
        <f t="shared" si="1628"/>
        <v>Gráfico de Evolución</v>
      </c>
      <c r="R987" s="20" t="str">
        <f>Agencia[[#This Row],[territorio]]&amp;" VIH SIDA enfermedad transmisión sexual casos personas población programa"</f>
        <v>Región de Valparaíso VIH SIDA enfermedad transmisión sexual casos personas población programa</v>
      </c>
      <c r="S987" s="39" t="str">
        <f>HYPERLINK("https://analytics.zoho.com/open-view/2395394000008463151?ZOHO_CRITERIA=%22Localiza%20CL%22.%22Codreg%22%20%3D%20"&amp;Agencia[[#This Row],[Filtro URL]])</f>
        <v>https://analytics.zoho.com/open-view/2395394000008463151?ZOHO_CRITERIA=%22Localiza%20CL%22.%22Codreg%22%20%3D%205</v>
      </c>
      <c r="T987" s="68" t="str">
        <f>"100-R-"&amp;Agencia[[#This Row],[Filtro URL]]</f>
        <v>100-R-5</v>
      </c>
      <c r="U987" s="50" t="str">
        <f t="shared" si="1605"/>
        <v>#1774B9</v>
      </c>
      <c r="V987" s="118" t="str">
        <f>+Agencia[[#This Row],[idcoleccion]]&amp;"-"&amp;Agencia[[#This Row],[id]]</f>
        <v>990-0976</v>
      </c>
      <c r="W987" s="118">
        <f>+VLOOKUP(Agencia[[#This Row],[Filtro URL]],Estructura!$X$4:$Y$500,2,0)</f>
        <v>99200005</v>
      </c>
      <c r="X987" s="118" t="str">
        <f>+VLOOKUP(Agencia[[#This Row],[tema]],Estructura!$A$4:$C$500,3,0)</f>
        <v>T-1000</v>
      </c>
      <c r="Y987" s="118" t="str">
        <f>+VLOOKUP(Agencia[[#This Row],[contenido]],Estructura!$E$4:$G$500,3,0)</f>
        <v>C-1010</v>
      </c>
      <c r="Z987" s="118" t="str">
        <f>+VLOOKUP(Agencia[[#This Row],[Filtro Integrado]],Estructura!$I$4:$K$500,3,0)</f>
        <v>FI-993</v>
      </c>
      <c r="AA987" s="118" t="str">
        <f>+VLOOKUP(Agencia[[#This Row],[Muestra]],Estructura!$M$4:$O$500,3,0)</f>
        <v>M-1076</v>
      </c>
    </row>
    <row r="988" spans="1:27" ht="57.6" x14ac:dyDescent="0.3">
      <c r="A988" s="21" t="s">
        <v>1884</v>
      </c>
      <c r="B988" s="24">
        <f t="shared" ref="B988:D988" si="1637">+B987</f>
        <v>990</v>
      </c>
      <c r="C988" s="25" t="str">
        <f t="shared" si="1637"/>
        <v>Agencia Información</v>
      </c>
      <c r="D988" s="25" t="str">
        <f t="shared" si="1637"/>
        <v>Salud</v>
      </c>
      <c r="E988" s="19">
        <v>6</v>
      </c>
      <c r="F988" s="18" t="s">
        <v>1021</v>
      </c>
      <c r="G988" s="18" t="s">
        <v>3784</v>
      </c>
      <c r="H988" s="35" t="s">
        <v>16</v>
      </c>
      <c r="I988" s="36" t="s">
        <v>373</v>
      </c>
      <c r="J988" s="9" t="str">
        <f t="shared" ref="J988:N988" si="1638">+J987</f>
        <v>Ninguno</v>
      </c>
      <c r="K988" s="9" t="str">
        <f t="shared" si="1638"/>
        <v>Población en control por rango etario</v>
      </c>
      <c r="L988" s="38" t="str">
        <f t="shared" si="1638"/>
        <v>Periodo 2012-2018</v>
      </c>
      <c r="M988" s="9" t="str">
        <f t="shared" si="1638"/>
        <v>Personas</v>
      </c>
      <c r="N988" s="9" t="str">
        <f t="shared" si="1638"/>
        <v>Departamento de Estadísticas e Información de la Salud (DEIS) - Ministerio de Salud</v>
      </c>
      <c r="O988" s="45" t="str">
        <f>+"Evolución de Población en Control en el Programa de VIH/SIDA según Rango Etario en la "&amp;I988&amp;", "&amp;Agencia[[#This Row],[temporalidad]]</f>
        <v>Evolución de Población en Control en el Programa de VIH/SIDA según Rango Etario en la Región de O'Higgins, Periodo 2012-2018</v>
      </c>
      <c r="P988" s="20"/>
      <c r="Q988" s="11" t="str">
        <f t="shared" si="1628"/>
        <v>Gráfico de Evolución</v>
      </c>
      <c r="R988" s="20" t="str">
        <f>Agencia[[#This Row],[territorio]]&amp;" VIH SIDA enfermedad transmisión sexual casos personas población programa"</f>
        <v>Región de O'Higgins VIH SIDA enfermedad transmisión sexual casos personas población programa</v>
      </c>
      <c r="S988" s="39" t="str">
        <f>HYPERLINK("https://analytics.zoho.com/open-view/2395394000008463151?ZOHO_CRITERIA=%22Localiza%20CL%22.%22Codreg%22%20%3D%20"&amp;Agencia[[#This Row],[Filtro URL]])</f>
        <v>https://analytics.zoho.com/open-view/2395394000008463151?ZOHO_CRITERIA=%22Localiza%20CL%22.%22Codreg%22%20%3D%206</v>
      </c>
      <c r="T988" s="68" t="str">
        <f>"100-R-"&amp;Agencia[[#This Row],[Filtro URL]]</f>
        <v>100-R-6</v>
      </c>
      <c r="U988" s="50" t="str">
        <f t="shared" si="1605"/>
        <v>#1774B9</v>
      </c>
      <c r="V988" s="118" t="str">
        <f>+Agencia[[#This Row],[idcoleccion]]&amp;"-"&amp;Agencia[[#This Row],[id]]</f>
        <v>990-0977</v>
      </c>
      <c r="W988" s="118">
        <f>+VLOOKUP(Agencia[[#This Row],[Filtro URL]],Estructura!$X$4:$Y$500,2,0)</f>
        <v>99200006</v>
      </c>
      <c r="X988" s="118" t="str">
        <f>+VLOOKUP(Agencia[[#This Row],[tema]],Estructura!$A$4:$C$500,3,0)</f>
        <v>T-1000</v>
      </c>
      <c r="Y988" s="118" t="str">
        <f>+VLOOKUP(Agencia[[#This Row],[contenido]],Estructura!$E$4:$G$500,3,0)</f>
        <v>C-1010</v>
      </c>
      <c r="Z988" s="118" t="str">
        <f>+VLOOKUP(Agencia[[#This Row],[Filtro Integrado]],Estructura!$I$4:$K$500,3,0)</f>
        <v>FI-993</v>
      </c>
      <c r="AA988" s="118" t="str">
        <f>+VLOOKUP(Agencia[[#This Row],[Muestra]],Estructura!$M$4:$O$500,3,0)</f>
        <v>M-1076</v>
      </c>
    </row>
    <row r="989" spans="1:27" ht="57.6" x14ac:dyDescent="0.3">
      <c r="A989" s="21" t="s">
        <v>1885</v>
      </c>
      <c r="B989" s="24">
        <f t="shared" ref="B989:D989" si="1639">+B988</f>
        <v>990</v>
      </c>
      <c r="C989" s="25" t="str">
        <f t="shared" si="1639"/>
        <v>Agencia Información</v>
      </c>
      <c r="D989" s="25" t="str">
        <f t="shared" si="1639"/>
        <v>Salud</v>
      </c>
      <c r="E989" s="19">
        <v>7</v>
      </c>
      <c r="F989" s="18" t="s">
        <v>1021</v>
      </c>
      <c r="G989" s="18" t="s">
        <v>3784</v>
      </c>
      <c r="H989" s="35" t="s">
        <v>16</v>
      </c>
      <c r="I989" s="36" t="s">
        <v>374</v>
      </c>
      <c r="J989" s="9" t="str">
        <f t="shared" ref="J989:N989" si="1640">+J988</f>
        <v>Ninguno</v>
      </c>
      <c r="K989" s="9" t="str">
        <f t="shared" si="1640"/>
        <v>Población en control por rango etario</v>
      </c>
      <c r="L989" s="38" t="str">
        <f t="shared" si="1640"/>
        <v>Periodo 2012-2018</v>
      </c>
      <c r="M989" s="9" t="str">
        <f t="shared" si="1640"/>
        <v>Personas</v>
      </c>
      <c r="N989" s="9" t="str">
        <f t="shared" si="1640"/>
        <v>Departamento de Estadísticas e Información de la Salud (DEIS) - Ministerio de Salud</v>
      </c>
      <c r="O989" s="45" t="str">
        <f>+"Evolución de Población en Control en el Programa de VIH/SIDA según Rango Etario en la "&amp;I989&amp;", "&amp;Agencia[[#This Row],[temporalidad]]</f>
        <v>Evolución de Población en Control en el Programa de VIH/SIDA según Rango Etario en la Región de Maule, Periodo 2012-2018</v>
      </c>
      <c r="P989" s="20"/>
      <c r="Q989" s="11" t="str">
        <f t="shared" si="1628"/>
        <v>Gráfico de Evolución</v>
      </c>
      <c r="R989" s="20" t="str">
        <f>Agencia[[#This Row],[territorio]]&amp;" VIH SIDA enfermedad transmisión sexual casos personas población programa"</f>
        <v>Región de Maule VIH SIDA enfermedad transmisión sexual casos personas población programa</v>
      </c>
      <c r="S989" s="39" t="str">
        <f>HYPERLINK("https://analytics.zoho.com/open-view/2395394000008463151?ZOHO_CRITERIA=%22Localiza%20CL%22.%22Codreg%22%20%3D%20"&amp;Agencia[[#This Row],[Filtro URL]])</f>
        <v>https://analytics.zoho.com/open-view/2395394000008463151?ZOHO_CRITERIA=%22Localiza%20CL%22.%22Codreg%22%20%3D%207</v>
      </c>
      <c r="T989" s="68" t="str">
        <f>"100-R-"&amp;Agencia[[#This Row],[Filtro URL]]</f>
        <v>100-R-7</v>
      </c>
      <c r="U989" s="50" t="str">
        <f t="shared" si="1605"/>
        <v>#1774B9</v>
      </c>
      <c r="V989" s="118" t="str">
        <f>+Agencia[[#This Row],[idcoleccion]]&amp;"-"&amp;Agencia[[#This Row],[id]]</f>
        <v>990-0978</v>
      </c>
      <c r="W989" s="118">
        <f>+VLOOKUP(Agencia[[#This Row],[Filtro URL]],Estructura!$X$4:$Y$500,2,0)</f>
        <v>99200007</v>
      </c>
      <c r="X989" s="118" t="str">
        <f>+VLOOKUP(Agencia[[#This Row],[tema]],Estructura!$A$4:$C$500,3,0)</f>
        <v>T-1000</v>
      </c>
      <c r="Y989" s="118" t="str">
        <f>+VLOOKUP(Agencia[[#This Row],[contenido]],Estructura!$E$4:$G$500,3,0)</f>
        <v>C-1010</v>
      </c>
      <c r="Z989" s="118" t="str">
        <f>+VLOOKUP(Agencia[[#This Row],[Filtro Integrado]],Estructura!$I$4:$K$500,3,0)</f>
        <v>FI-993</v>
      </c>
      <c r="AA989" s="118" t="str">
        <f>+VLOOKUP(Agencia[[#This Row],[Muestra]],Estructura!$M$4:$O$500,3,0)</f>
        <v>M-1076</v>
      </c>
    </row>
    <row r="990" spans="1:27" ht="57.6" x14ac:dyDescent="0.3">
      <c r="A990" s="21" t="s">
        <v>1886</v>
      </c>
      <c r="B990" s="24">
        <f t="shared" ref="B990:D990" si="1641">+B989</f>
        <v>990</v>
      </c>
      <c r="C990" s="25" t="str">
        <f t="shared" si="1641"/>
        <v>Agencia Información</v>
      </c>
      <c r="D990" s="25" t="str">
        <f t="shared" si="1641"/>
        <v>Salud</v>
      </c>
      <c r="E990" s="19">
        <v>8</v>
      </c>
      <c r="F990" s="18" t="s">
        <v>1021</v>
      </c>
      <c r="G990" s="18" t="s">
        <v>3784</v>
      </c>
      <c r="H990" s="35" t="s">
        <v>16</v>
      </c>
      <c r="I990" s="36" t="s">
        <v>375</v>
      </c>
      <c r="J990" s="9" t="str">
        <f t="shared" ref="J990:N990" si="1642">+J989</f>
        <v>Ninguno</v>
      </c>
      <c r="K990" s="9" t="str">
        <f t="shared" si="1642"/>
        <v>Población en control por rango etario</v>
      </c>
      <c r="L990" s="38" t="str">
        <f t="shared" si="1642"/>
        <v>Periodo 2012-2018</v>
      </c>
      <c r="M990" s="9" t="str">
        <f t="shared" si="1642"/>
        <v>Personas</v>
      </c>
      <c r="N990" s="9" t="str">
        <f t="shared" si="1642"/>
        <v>Departamento de Estadísticas e Información de la Salud (DEIS) - Ministerio de Salud</v>
      </c>
      <c r="O990" s="45" t="str">
        <f>+"Evolución de Población en Control en el Programa de VIH/SIDA según Rango Etario en la "&amp;I990&amp;", "&amp;Agencia[[#This Row],[temporalidad]]</f>
        <v>Evolución de Población en Control en el Programa de VIH/SIDA según Rango Etario en la Región del Biobío, Periodo 2012-2018</v>
      </c>
      <c r="P990" s="20"/>
      <c r="Q990" s="11" t="str">
        <f t="shared" si="1628"/>
        <v>Gráfico de Evolución</v>
      </c>
      <c r="R990" s="20" t="str">
        <f>Agencia[[#This Row],[territorio]]&amp;" VIH SIDA enfermedad transmisión sexual casos personas población programa"</f>
        <v>Región del Biobío VIH SIDA enfermedad transmisión sexual casos personas población programa</v>
      </c>
      <c r="S990" s="39" t="str">
        <f>HYPERLINK("https://analytics.zoho.com/open-view/2395394000008463151?ZOHO_CRITERIA=%22Localiza%20CL%22.%22Codreg%22%20%3D%20"&amp;Agencia[[#This Row],[Filtro URL]])</f>
        <v>https://analytics.zoho.com/open-view/2395394000008463151?ZOHO_CRITERIA=%22Localiza%20CL%22.%22Codreg%22%20%3D%208</v>
      </c>
      <c r="T990" s="68" t="str">
        <f>"100-R-"&amp;Agencia[[#This Row],[Filtro URL]]</f>
        <v>100-R-8</v>
      </c>
      <c r="U990" s="50" t="str">
        <f t="shared" si="1605"/>
        <v>#1774B9</v>
      </c>
      <c r="V990" s="118" t="str">
        <f>+Agencia[[#This Row],[idcoleccion]]&amp;"-"&amp;Agencia[[#This Row],[id]]</f>
        <v>990-0979</v>
      </c>
      <c r="W990" s="118">
        <f>+VLOOKUP(Agencia[[#This Row],[Filtro URL]],Estructura!$X$4:$Y$500,2,0)</f>
        <v>99200008</v>
      </c>
      <c r="X990" s="118" t="str">
        <f>+VLOOKUP(Agencia[[#This Row],[tema]],Estructura!$A$4:$C$500,3,0)</f>
        <v>T-1000</v>
      </c>
      <c r="Y990" s="118" t="str">
        <f>+VLOOKUP(Agencia[[#This Row],[contenido]],Estructura!$E$4:$G$500,3,0)</f>
        <v>C-1010</v>
      </c>
      <c r="Z990" s="118" t="str">
        <f>+VLOOKUP(Agencia[[#This Row],[Filtro Integrado]],Estructura!$I$4:$K$500,3,0)</f>
        <v>FI-993</v>
      </c>
      <c r="AA990" s="118" t="str">
        <f>+VLOOKUP(Agencia[[#This Row],[Muestra]],Estructura!$M$4:$O$500,3,0)</f>
        <v>M-1076</v>
      </c>
    </row>
    <row r="991" spans="1:27" ht="57.6" x14ac:dyDescent="0.3">
      <c r="A991" s="21" t="s">
        <v>1887</v>
      </c>
      <c r="B991" s="24">
        <f t="shared" ref="B991:D991" si="1643">+B990</f>
        <v>990</v>
      </c>
      <c r="C991" s="25" t="str">
        <f t="shared" si="1643"/>
        <v>Agencia Información</v>
      </c>
      <c r="D991" s="25" t="str">
        <f t="shared" si="1643"/>
        <v>Salud</v>
      </c>
      <c r="E991" s="19">
        <v>9</v>
      </c>
      <c r="F991" s="18" t="s">
        <v>1021</v>
      </c>
      <c r="G991" s="18" t="s">
        <v>3784</v>
      </c>
      <c r="H991" s="35" t="s">
        <v>16</v>
      </c>
      <c r="I991" s="36" t="s">
        <v>376</v>
      </c>
      <c r="J991" s="9" t="str">
        <f t="shared" ref="J991:N991" si="1644">+J990</f>
        <v>Ninguno</v>
      </c>
      <c r="K991" s="9" t="str">
        <f t="shared" si="1644"/>
        <v>Población en control por rango etario</v>
      </c>
      <c r="L991" s="38" t="str">
        <f t="shared" si="1644"/>
        <v>Periodo 2012-2018</v>
      </c>
      <c r="M991" s="9" t="str">
        <f t="shared" si="1644"/>
        <v>Personas</v>
      </c>
      <c r="N991" s="9" t="str">
        <f t="shared" si="1644"/>
        <v>Departamento de Estadísticas e Información de la Salud (DEIS) - Ministerio de Salud</v>
      </c>
      <c r="O991" s="45" t="str">
        <f>+"Evolución de Población en Control en el Programa de VIH/SIDA según Rango Etario en la "&amp;I991&amp;", "&amp;Agencia[[#This Row],[temporalidad]]</f>
        <v>Evolución de Población en Control en el Programa de VIH/SIDA según Rango Etario en la Región de La Araucanía, Periodo 2012-2018</v>
      </c>
      <c r="P991" s="20"/>
      <c r="Q991" s="11" t="str">
        <f t="shared" si="1628"/>
        <v>Gráfico de Evolución</v>
      </c>
      <c r="R991" s="20" t="str">
        <f>Agencia[[#This Row],[territorio]]&amp;" VIH SIDA enfermedad transmisión sexual casos personas población programa"</f>
        <v>Región de La Araucanía VIH SIDA enfermedad transmisión sexual casos personas población programa</v>
      </c>
      <c r="S991" s="39" t="str">
        <f>HYPERLINK("https://analytics.zoho.com/open-view/2395394000008463151?ZOHO_CRITERIA=%22Localiza%20CL%22.%22Codreg%22%20%3D%20"&amp;Agencia[[#This Row],[Filtro URL]])</f>
        <v>https://analytics.zoho.com/open-view/2395394000008463151?ZOHO_CRITERIA=%22Localiza%20CL%22.%22Codreg%22%20%3D%209</v>
      </c>
      <c r="T991" s="68" t="str">
        <f>"100-R-"&amp;Agencia[[#This Row],[Filtro URL]]</f>
        <v>100-R-9</v>
      </c>
      <c r="U991" s="50" t="str">
        <f t="shared" si="1605"/>
        <v>#1774B9</v>
      </c>
      <c r="V991" s="118" t="str">
        <f>+Agencia[[#This Row],[idcoleccion]]&amp;"-"&amp;Agencia[[#This Row],[id]]</f>
        <v>990-0980</v>
      </c>
      <c r="W991" s="118">
        <f>+VLOOKUP(Agencia[[#This Row],[Filtro URL]],Estructura!$X$4:$Y$500,2,0)</f>
        <v>99200009</v>
      </c>
      <c r="X991" s="118" t="str">
        <f>+VLOOKUP(Agencia[[#This Row],[tema]],Estructura!$A$4:$C$500,3,0)</f>
        <v>T-1000</v>
      </c>
      <c r="Y991" s="118" t="str">
        <f>+VLOOKUP(Agencia[[#This Row],[contenido]],Estructura!$E$4:$G$500,3,0)</f>
        <v>C-1010</v>
      </c>
      <c r="Z991" s="118" t="str">
        <f>+VLOOKUP(Agencia[[#This Row],[Filtro Integrado]],Estructura!$I$4:$K$500,3,0)</f>
        <v>FI-993</v>
      </c>
      <c r="AA991" s="118" t="str">
        <f>+VLOOKUP(Agencia[[#This Row],[Muestra]],Estructura!$M$4:$O$500,3,0)</f>
        <v>M-1076</v>
      </c>
    </row>
    <row r="992" spans="1:27" ht="57.6" x14ac:dyDescent="0.3">
      <c r="A992" s="21" t="s">
        <v>1888</v>
      </c>
      <c r="B992" s="24">
        <f t="shared" ref="B992:D992" si="1645">+B991</f>
        <v>990</v>
      </c>
      <c r="C992" s="25" t="str">
        <f t="shared" si="1645"/>
        <v>Agencia Información</v>
      </c>
      <c r="D992" s="25" t="str">
        <f t="shared" si="1645"/>
        <v>Salud</v>
      </c>
      <c r="E992" s="19">
        <v>10</v>
      </c>
      <c r="F992" s="18" t="s">
        <v>1021</v>
      </c>
      <c r="G992" s="18" t="s">
        <v>3784</v>
      </c>
      <c r="H992" s="35" t="s">
        <v>16</v>
      </c>
      <c r="I992" s="36" t="s">
        <v>377</v>
      </c>
      <c r="J992" s="9" t="str">
        <f t="shared" ref="J992:N992" si="1646">+J991</f>
        <v>Ninguno</v>
      </c>
      <c r="K992" s="9" t="str">
        <f t="shared" si="1646"/>
        <v>Población en control por rango etario</v>
      </c>
      <c r="L992" s="38" t="str">
        <f t="shared" si="1646"/>
        <v>Periodo 2012-2018</v>
      </c>
      <c r="M992" s="9" t="str">
        <f t="shared" si="1646"/>
        <v>Personas</v>
      </c>
      <c r="N992" s="9" t="str">
        <f t="shared" si="1646"/>
        <v>Departamento de Estadísticas e Información de la Salud (DEIS) - Ministerio de Salud</v>
      </c>
      <c r="O992" s="45" t="str">
        <f>+"Evolución de Población en Control en el Programa de VIH/SIDA según Rango Etario en la "&amp;I992&amp;", "&amp;Agencia[[#This Row],[temporalidad]]</f>
        <v>Evolución de Población en Control en el Programa de VIH/SIDA según Rango Etario en la Región de Los Lagos, Periodo 2012-2018</v>
      </c>
      <c r="P992" s="20"/>
      <c r="Q992" s="11" t="str">
        <f t="shared" si="1628"/>
        <v>Gráfico de Evolución</v>
      </c>
      <c r="R992" s="20" t="str">
        <f>Agencia[[#This Row],[territorio]]&amp;" VIH SIDA enfermedad transmisión sexual casos personas población programa"</f>
        <v>Región de Los Lagos VIH SIDA enfermedad transmisión sexual casos personas población programa</v>
      </c>
      <c r="S992" s="39" t="str">
        <f>HYPERLINK("https://analytics.zoho.com/open-view/2395394000008463151?ZOHO_CRITERIA=%22Localiza%20CL%22.%22Codreg%22%20%3D%20"&amp;Agencia[[#This Row],[Filtro URL]])</f>
        <v>https://analytics.zoho.com/open-view/2395394000008463151?ZOHO_CRITERIA=%22Localiza%20CL%22.%22Codreg%22%20%3D%2010</v>
      </c>
      <c r="T992" s="68" t="str">
        <f>"100-R-"&amp;Agencia[[#This Row],[Filtro URL]]</f>
        <v>100-R-10</v>
      </c>
      <c r="U992" s="50" t="str">
        <f t="shared" si="1605"/>
        <v>#1774B9</v>
      </c>
      <c r="V992" s="118" t="str">
        <f>+Agencia[[#This Row],[idcoleccion]]&amp;"-"&amp;Agencia[[#This Row],[id]]</f>
        <v>990-0981</v>
      </c>
      <c r="W992" s="118">
        <f>+VLOOKUP(Agencia[[#This Row],[Filtro URL]],Estructura!$X$4:$Y$500,2,0)</f>
        <v>99200010</v>
      </c>
      <c r="X992" s="118" t="str">
        <f>+VLOOKUP(Agencia[[#This Row],[tema]],Estructura!$A$4:$C$500,3,0)</f>
        <v>T-1000</v>
      </c>
      <c r="Y992" s="118" t="str">
        <f>+VLOOKUP(Agencia[[#This Row],[contenido]],Estructura!$E$4:$G$500,3,0)</f>
        <v>C-1010</v>
      </c>
      <c r="Z992" s="118" t="str">
        <f>+VLOOKUP(Agencia[[#This Row],[Filtro Integrado]],Estructura!$I$4:$K$500,3,0)</f>
        <v>FI-993</v>
      </c>
      <c r="AA992" s="118" t="str">
        <f>+VLOOKUP(Agencia[[#This Row],[Muestra]],Estructura!$M$4:$O$500,3,0)</f>
        <v>M-1076</v>
      </c>
    </row>
    <row r="993" spans="1:27" ht="57.6" x14ac:dyDescent="0.3">
      <c r="A993" s="21" t="s">
        <v>1889</v>
      </c>
      <c r="B993" s="24">
        <f t="shared" ref="B993:D993" si="1647">+B992</f>
        <v>990</v>
      </c>
      <c r="C993" s="25" t="str">
        <f t="shared" si="1647"/>
        <v>Agencia Información</v>
      </c>
      <c r="D993" s="25" t="str">
        <f t="shared" si="1647"/>
        <v>Salud</v>
      </c>
      <c r="E993" s="19">
        <v>11</v>
      </c>
      <c r="F993" s="18" t="s">
        <v>1021</v>
      </c>
      <c r="G993" s="18" t="s">
        <v>3784</v>
      </c>
      <c r="H993" s="35" t="s">
        <v>16</v>
      </c>
      <c r="I993" s="36" t="s">
        <v>378</v>
      </c>
      <c r="J993" s="9" t="str">
        <f t="shared" ref="J993:N993" si="1648">+J992</f>
        <v>Ninguno</v>
      </c>
      <c r="K993" s="9" t="str">
        <f t="shared" si="1648"/>
        <v>Población en control por rango etario</v>
      </c>
      <c r="L993" s="38" t="str">
        <f t="shared" si="1648"/>
        <v>Periodo 2012-2018</v>
      </c>
      <c r="M993" s="9" t="str">
        <f t="shared" si="1648"/>
        <v>Personas</v>
      </c>
      <c r="N993" s="9" t="str">
        <f t="shared" si="1648"/>
        <v>Departamento de Estadísticas e Información de la Salud (DEIS) - Ministerio de Salud</v>
      </c>
      <c r="O993" s="45" t="str">
        <f>+"Evolución de Población en Control en el Programa de VIH/SIDA según Rango Etario en la "&amp;I993&amp;", "&amp;Agencia[[#This Row],[temporalidad]]</f>
        <v>Evolución de Población en Control en el Programa de VIH/SIDA según Rango Etario en la Región de Aysén, Periodo 2012-2018</v>
      </c>
      <c r="P993" s="20"/>
      <c r="Q993" s="11" t="str">
        <f t="shared" si="1628"/>
        <v>Gráfico de Evolución</v>
      </c>
      <c r="R993" s="20" t="str">
        <f>Agencia[[#This Row],[territorio]]&amp;" VIH SIDA enfermedad transmisión sexual casos personas población programa"</f>
        <v>Región de Aysén VIH SIDA enfermedad transmisión sexual casos personas población programa</v>
      </c>
      <c r="S993" s="39" t="str">
        <f>HYPERLINK("https://analytics.zoho.com/open-view/2395394000008463151?ZOHO_CRITERIA=%22Localiza%20CL%22.%22Codreg%22%20%3D%20"&amp;Agencia[[#This Row],[Filtro URL]])</f>
        <v>https://analytics.zoho.com/open-view/2395394000008463151?ZOHO_CRITERIA=%22Localiza%20CL%22.%22Codreg%22%20%3D%2011</v>
      </c>
      <c r="T993" s="68" t="str">
        <f>"100-R-"&amp;Agencia[[#This Row],[Filtro URL]]</f>
        <v>100-R-11</v>
      </c>
      <c r="U993" s="50" t="str">
        <f t="shared" si="1605"/>
        <v>#1774B9</v>
      </c>
      <c r="V993" s="118" t="str">
        <f>+Agencia[[#This Row],[idcoleccion]]&amp;"-"&amp;Agencia[[#This Row],[id]]</f>
        <v>990-0982</v>
      </c>
      <c r="W993" s="118">
        <f>+VLOOKUP(Agencia[[#This Row],[Filtro URL]],Estructura!$X$4:$Y$500,2,0)</f>
        <v>99200011</v>
      </c>
      <c r="X993" s="118" t="str">
        <f>+VLOOKUP(Agencia[[#This Row],[tema]],Estructura!$A$4:$C$500,3,0)</f>
        <v>T-1000</v>
      </c>
      <c r="Y993" s="118" t="str">
        <f>+VLOOKUP(Agencia[[#This Row],[contenido]],Estructura!$E$4:$G$500,3,0)</f>
        <v>C-1010</v>
      </c>
      <c r="Z993" s="118" t="str">
        <f>+VLOOKUP(Agencia[[#This Row],[Filtro Integrado]],Estructura!$I$4:$K$500,3,0)</f>
        <v>FI-993</v>
      </c>
      <c r="AA993" s="118" t="str">
        <f>+VLOOKUP(Agencia[[#This Row],[Muestra]],Estructura!$M$4:$O$500,3,0)</f>
        <v>M-1076</v>
      </c>
    </row>
    <row r="994" spans="1:27" ht="57.6" x14ac:dyDescent="0.3">
      <c r="A994" s="21" t="s">
        <v>1890</v>
      </c>
      <c r="B994" s="24">
        <f t="shared" ref="B994:D994" si="1649">+B993</f>
        <v>990</v>
      </c>
      <c r="C994" s="25" t="str">
        <f t="shared" si="1649"/>
        <v>Agencia Información</v>
      </c>
      <c r="D994" s="25" t="str">
        <f t="shared" si="1649"/>
        <v>Salud</v>
      </c>
      <c r="E994" s="19">
        <v>12</v>
      </c>
      <c r="F994" s="18" t="s">
        <v>1021</v>
      </c>
      <c r="G994" s="18" t="s">
        <v>3784</v>
      </c>
      <c r="H994" s="35" t="s">
        <v>16</v>
      </c>
      <c r="I994" s="36" t="s">
        <v>379</v>
      </c>
      <c r="J994" s="9" t="str">
        <f t="shared" ref="J994:N994" si="1650">+J993</f>
        <v>Ninguno</v>
      </c>
      <c r="K994" s="9" t="str">
        <f t="shared" si="1650"/>
        <v>Población en control por rango etario</v>
      </c>
      <c r="L994" s="38" t="str">
        <f t="shared" si="1650"/>
        <v>Periodo 2012-2018</v>
      </c>
      <c r="M994" s="9" t="str">
        <f t="shared" si="1650"/>
        <v>Personas</v>
      </c>
      <c r="N994" s="9" t="str">
        <f t="shared" si="1650"/>
        <v>Departamento de Estadísticas e Información de la Salud (DEIS) - Ministerio de Salud</v>
      </c>
      <c r="O994" s="45" t="str">
        <f>+"Evolución de Población en Control en el Programa de VIH/SIDA según Rango Etario en la "&amp;I994&amp;", "&amp;Agencia[[#This Row],[temporalidad]]</f>
        <v>Evolución de Población en Control en el Programa de VIH/SIDA según Rango Etario en la Región de Magallanes, Periodo 2012-2018</v>
      </c>
      <c r="P994" s="20"/>
      <c r="Q994" s="11" t="str">
        <f t="shared" si="1628"/>
        <v>Gráfico de Evolución</v>
      </c>
      <c r="R994" s="20" t="str">
        <f>Agencia[[#This Row],[territorio]]&amp;" VIH SIDA enfermedad transmisión sexual casos personas población programa"</f>
        <v>Región de Magallanes VIH SIDA enfermedad transmisión sexual casos personas población programa</v>
      </c>
      <c r="S994" s="39" t="str">
        <f>HYPERLINK("https://analytics.zoho.com/open-view/2395394000008463151?ZOHO_CRITERIA=%22Localiza%20CL%22.%22Codreg%22%20%3D%20"&amp;Agencia[[#This Row],[Filtro URL]])</f>
        <v>https://analytics.zoho.com/open-view/2395394000008463151?ZOHO_CRITERIA=%22Localiza%20CL%22.%22Codreg%22%20%3D%2012</v>
      </c>
      <c r="T994" s="68" t="str">
        <f>"100-R-"&amp;Agencia[[#This Row],[Filtro URL]]</f>
        <v>100-R-12</v>
      </c>
      <c r="U994" s="50" t="str">
        <f t="shared" si="1605"/>
        <v>#1774B9</v>
      </c>
      <c r="V994" s="118" t="str">
        <f>+Agencia[[#This Row],[idcoleccion]]&amp;"-"&amp;Agencia[[#This Row],[id]]</f>
        <v>990-0983</v>
      </c>
      <c r="W994" s="118">
        <f>+VLOOKUP(Agencia[[#This Row],[Filtro URL]],Estructura!$X$4:$Y$500,2,0)</f>
        <v>99200012</v>
      </c>
      <c r="X994" s="118" t="str">
        <f>+VLOOKUP(Agencia[[#This Row],[tema]],Estructura!$A$4:$C$500,3,0)</f>
        <v>T-1000</v>
      </c>
      <c r="Y994" s="118" t="str">
        <f>+VLOOKUP(Agencia[[#This Row],[contenido]],Estructura!$E$4:$G$500,3,0)</f>
        <v>C-1010</v>
      </c>
      <c r="Z994" s="118" t="str">
        <f>+VLOOKUP(Agencia[[#This Row],[Filtro Integrado]],Estructura!$I$4:$K$500,3,0)</f>
        <v>FI-993</v>
      </c>
      <c r="AA994" s="118" t="str">
        <f>+VLOOKUP(Agencia[[#This Row],[Muestra]],Estructura!$M$4:$O$500,3,0)</f>
        <v>M-1076</v>
      </c>
    </row>
    <row r="995" spans="1:27" ht="57.6" x14ac:dyDescent="0.3">
      <c r="A995" s="21" t="s">
        <v>1891</v>
      </c>
      <c r="B995" s="24">
        <f t="shared" ref="B995:D995" si="1651">+B994</f>
        <v>990</v>
      </c>
      <c r="C995" s="25" t="str">
        <f t="shared" si="1651"/>
        <v>Agencia Información</v>
      </c>
      <c r="D995" s="25" t="str">
        <f t="shared" si="1651"/>
        <v>Salud</v>
      </c>
      <c r="E995" s="19">
        <v>13</v>
      </c>
      <c r="F995" s="18" t="s">
        <v>1021</v>
      </c>
      <c r="G995" s="18" t="s">
        <v>3784</v>
      </c>
      <c r="H995" s="35" t="s">
        <v>16</v>
      </c>
      <c r="I995" s="36" t="s">
        <v>380</v>
      </c>
      <c r="J995" s="9" t="str">
        <f t="shared" ref="J995:N995" si="1652">+J994</f>
        <v>Ninguno</v>
      </c>
      <c r="K995" s="9" t="str">
        <f t="shared" si="1652"/>
        <v>Población en control por rango etario</v>
      </c>
      <c r="L995" s="38" t="str">
        <f t="shared" si="1652"/>
        <v>Periodo 2012-2018</v>
      </c>
      <c r="M995" s="9" t="str">
        <f t="shared" si="1652"/>
        <v>Personas</v>
      </c>
      <c r="N995" s="9" t="str">
        <f t="shared" si="1652"/>
        <v>Departamento de Estadísticas e Información de la Salud (DEIS) - Ministerio de Salud</v>
      </c>
      <c r="O995" s="45" t="str">
        <f>+"Evolución de Población en Control en el Programa de VIH/SIDA según Rango Etario en la "&amp;I995&amp;", "&amp;Agencia[[#This Row],[temporalidad]]</f>
        <v>Evolución de Población en Control en el Programa de VIH/SIDA según Rango Etario en la Región Metropolitana, Periodo 2012-2018</v>
      </c>
      <c r="P995" s="20"/>
      <c r="Q995" s="11" t="str">
        <f t="shared" si="1628"/>
        <v>Gráfico de Evolución</v>
      </c>
      <c r="R995" s="20" t="str">
        <f>Agencia[[#This Row],[territorio]]&amp;" VIH SIDA enfermedad transmisión sexual casos personas población programa"</f>
        <v>Región Metropolitana VIH SIDA enfermedad transmisión sexual casos personas población programa</v>
      </c>
      <c r="S995" s="39" t="str">
        <f>HYPERLINK("https://analytics.zoho.com/open-view/2395394000008463151?ZOHO_CRITERIA=%22Localiza%20CL%22.%22Codreg%22%20%3D%20"&amp;Agencia[[#This Row],[Filtro URL]])</f>
        <v>https://analytics.zoho.com/open-view/2395394000008463151?ZOHO_CRITERIA=%22Localiza%20CL%22.%22Codreg%22%20%3D%2013</v>
      </c>
      <c r="T995" s="68" t="str">
        <f>"200-R-"&amp;Agencia[[#This Row],[Filtro URL]]</f>
        <v>200-R-13</v>
      </c>
      <c r="U995" s="50" t="str">
        <f t="shared" si="1605"/>
        <v>#1774B9</v>
      </c>
      <c r="V995" s="118" t="str">
        <f>+Agencia[[#This Row],[idcoleccion]]&amp;"-"&amp;Agencia[[#This Row],[id]]</f>
        <v>990-0984</v>
      </c>
      <c r="W995" s="118">
        <f>+VLOOKUP(Agencia[[#This Row],[Filtro URL]],Estructura!$X$4:$Y$500,2,0)</f>
        <v>99200013</v>
      </c>
      <c r="X995" s="118" t="str">
        <f>+VLOOKUP(Agencia[[#This Row],[tema]],Estructura!$A$4:$C$500,3,0)</f>
        <v>T-1000</v>
      </c>
      <c r="Y995" s="118" t="str">
        <f>+VLOOKUP(Agencia[[#This Row],[contenido]],Estructura!$E$4:$G$500,3,0)</f>
        <v>C-1010</v>
      </c>
      <c r="Z995" s="118" t="str">
        <f>+VLOOKUP(Agencia[[#This Row],[Filtro Integrado]],Estructura!$I$4:$K$500,3,0)</f>
        <v>FI-993</v>
      </c>
      <c r="AA995" s="118" t="str">
        <f>+VLOOKUP(Agencia[[#This Row],[Muestra]],Estructura!$M$4:$O$500,3,0)</f>
        <v>M-1076</v>
      </c>
    </row>
    <row r="996" spans="1:27" ht="57.6" x14ac:dyDescent="0.3">
      <c r="A996" s="21" t="s">
        <v>1892</v>
      </c>
      <c r="B996" s="24">
        <f t="shared" ref="B996:D996" si="1653">+B995</f>
        <v>990</v>
      </c>
      <c r="C996" s="25" t="str">
        <f t="shared" si="1653"/>
        <v>Agencia Información</v>
      </c>
      <c r="D996" s="25" t="str">
        <f t="shared" si="1653"/>
        <v>Salud</v>
      </c>
      <c r="E996" s="19">
        <v>14</v>
      </c>
      <c r="F996" s="18" t="s">
        <v>1021</v>
      </c>
      <c r="G996" s="18" t="s">
        <v>3784</v>
      </c>
      <c r="H996" s="35" t="s">
        <v>16</v>
      </c>
      <c r="I996" s="36" t="s">
        <v>381</v>
      </c>
      <c r="J996" s="9" t="str">
        <f t="shared" ref="J996:N996" si="1654">+J995</f>
        <v>Ninguno</v>
      </c>
      <c r="K996" s="9" t="str">
        <f t="shared" si="1654"/>
        <v>Población en control por rango etario</v>
      </c>
      <c r="L996" s="38" t="str">
        <f t="shared" si="1654"/>
        <v>Periodo 2012-2018</v>
      </c>
      <c r="M996" s="9" t="str">
        <f t="shared" si="1654"/>
        <v>Personas</v>
      </c>
      <c r="N996" s="9" t="str">
        <f t="shared" si="1654"/>
        <v>Departamento de Estadísticas e Información de la Salud (DEIS) - Ministerio de Salud</v>
      </c>
      <c r="O996" s="45" t="str">
        <f>+"Evolución de Población en Control en el Programa de VIH/SIDA según Rango Etario en la "&amp;I996&amp;", "&amp;Agencia[[#This Row],[temporalidad]]</f>
        <v>Evolución de Población en Control en el Programa de VIH/SIDA según Rango Etario en la Región de Los Ríos, Periodo 2012-2018</v>
      </c>
      <c r="P996" s="20"/>
      <c r="Q996" s="11" t="str">
        <f t="shared" si="1628"/>
        <v>Gráfico de Evolución</v>
      </c>
      <c r="R996" s="20" t="str">
        <f>Agencia[[#This Row],[territorio]]&amp;" VIH SIDA enfermedad transmisión sexual casos personas población programa"</f>
        <v>Región de Los Ríos VIH SIDA enfermedad transmisión sexual casos personas población programa</v>
      </c>
      <c r="S996" s="39" t="str">
        <f>HYPERLINK("https://analytics.zoho.com/open-view/2395394000008463151?ZOHO_CRITERIA=%22Localiza%20CL%22.%22Codreg%22%20%3D%20"&amp;Agencia[[#This Row],[Filtro URL]])</f>
        <v>https://analytics.zoho.com/open-view/2395394000008463151?ZOHO_CRITERIA=%22Localiza%20CL%22.%22Codreg%22%20%3D%2014</v>
      </c>
      <c r="T996" s="68" t="str">
        <f>"100-R-"&amp;Agencia[[#This Row],[Filtro URL]]</f>
        <v>100-R-14</v>
      </c>
      <c r="U996" s="50" t="str">
        <f t="shared" si="1605"/>
        <v>#1774B9</v>
      </c>
      <c r="V996" s="118" t="str">
        <f>+Agencia[[#This Row],[idcoleccion]]&amp;"-"&amp;Agencia[[#This Row],[id]]</f>
        <v>990-0985</v>
      </c>
      <c r="W996" s="118">
        <f>+VLOOKUP(Agencia[[#This Row],[Filtro URL]],Estructura!$X$4:$Y$500,2,0)</f>
        <v>99200014</v>
      </c>
      <c r="X996" s="118" t="str">
        <f>+VLOOKUP(Agencia[[#This Row],[tema]],Estructura!$A$4:$C$500,3,0)</f>
        <v>T-1000</v>
      </c>
      <c r="Y996" s="118" t="str">
        <f>+VLOOKUP(Agencia[[#This Row],[contenido]],Estructura!$E$4:$G$500,3,0)</f>
        <v>C-1010</v>
      </c>
      <c r="Z996" s="118" t="str">
        <f>+VLOOKUP(Agencia[[#This Row],[Filtro Integrado]],Estructura!$I$4:$K$500,3,0)</f>
        <v>FI-993</v>
      </c>
      <c r="AA996" s="118" t="str">
        <f>+VLOOKUP(Agencia[[#This Row],[Muestra]],Estructura!$M$4:$O$500,3,0)</f>
        <v>M-1076</v>
      </c>
    </row>
    <row r="997" spans="1:27" ht="57.6" x14ac:dyDescent="0.3">
      <c r="A997" s="21" t="s">
        <v>1893</v>
      </c>
      <c r="B997" s="24">
        <f t="shared" ref="B997:D997" si="1655">+B996</f>
        <v>990</v>
      </c>
      <c r="C997" s="25" t="str">
        <f t="shared" si="1655"/>
        <v>Agencia Información</v>
      </c>
      <c r="D997" s="25" t="str">
        <f t="shared" si="1655"/>
        <v>Salud</v>
      </c>
      <c r="E997" s="19">
        <v>15</v>
      </c>
      <c r="F997" s="18" t="s">
        <v>1021</v>
      </c>
      <c r="G997" s="18" t="s">
        <v>3784</v>
      </c>
      <c r="H997" s="35" t="s">
        <v>16</v>
      </c>
      <c r="I997" s="36" t="s">
        <v>382</v>
      </c>
      <c r="J997" s="9" t="str">
        <f t="shared" ref="J997:N997" si="1656">+J996</f>
        <v>Ninguno</v>
      </c>
      <c r="K997" s="9" t="str">
        <f t="shared" si="1656"/>
        <v>Población en control por rango etario</v>
      </c>
      <c r="L997" s="38" t="str">
        <f t="shared" si="1656"/>
        <v>Periodo 2012-2018</v>
      </c>
      <c r="M997" s="9" t="str">
        <f t="shared" si="1656"/>
        <v>Personas</v>
      </c>
      <c r="N997" s="9" t="str">
        <f t="shared" si="1656"/>
        <v>Departamento de Estadísticas e Información de la Salud (DEIS) - Ministerio de Salud</v>
      </c>
      <c r="O997" s="45" t="str">
        <f>+"Evolución de Población en Control en el Programa de VIH/SIDA según Rango Etario en la "&amp;I997&amp;", "&amp;Agencia[[#This Row],[temporalidad]]</f>
        <v>Evolución de Población en Control en el Programa de VIH/SIDA según Rango Etario en la Región de Arica y Parinacota, Periodo 2012-2018</v>
      </c>
      <c r="P997" s="20"/>
      <c r="Q997" s="11" t="str">
        <f t="shared" si="1628"/>
        <v>Gráfico de Evolución</v>
      </c>
      <c r="R997" s="20" t="str">
        <f>Agencia[[#This Row],[territorio]]&amp;" VIH SIDA enfermedad transmisión sexual casos personas población programa"</f>
        <v>Región de Arica y Parinacota VIH SIDA enfermedad transmisión sexual casos personas población programa</v>
      </c>
      <c r="S997" s="39" t="str">
        <f>HYPERLINK("https://analytics.zoho.com/open-view/2395394000008463151?ZOHO_CRITERIA=%22Localiza%20CL%22.%22Codreg%22%20%3D%20"&amp;Agencia[[#This Row],[Filtro URL]])</f>
        <v>https://analytics.zoho.com/open-view/2395394000008463151?ZOHO_CRITERIA=%22Localiza%20CL%22.%22Codreg%22%20%3D%2015</v>
      </c>
      <c r="T997" s="68" t="str">
        <f>"100-R-"&amp;Agencia[[#This Row],[Filtro URL]]</f>
        <v>100-R-15</v>
      </c>
      <c r="U997" s="50" t="str">
        <f t="shared" si="1605"/>
        <v>#1774B9</v>
      </c>
      <c r="V997" s="118" t="str">
        <f>+Agencia[[#This Row],[idcoleccion]]&amp;"-"&amp;Agencia[[#This Row],[id]]</f>
        <v>990-0986</v>
      </c>
      <c r="W997" s="118">
        <f>+VLOOKUP(Agencia[[#This Row],[Filtro URL]],Estructura!$X$4:$Y$500,2,0)</f>
        <v>99200015</v>
      </c>
      <c r="X997" s="118" t="str">
        <f>+VLOOKUP(Agencia[[#This Row],[tema]],Estructura!$A$4:$C$500,3,0)</f>
        <v>T-1000</v>
      </c>
      <c r="Y997" s="118" t="str">
        <f>+VLOOKUP(Agencia[[#This Row],[contenido]],Estructura!$E$4:$G$500,3,0)</f>
        <v>C-1010</v>
      </c>
      <c r="Z997" s="118" t="str">
        <f>+VLOOKUP(Agencia[[#This Row],[Filtro Integrado]],Estructura!$I$4:$K$500,3,0)</f>
        <v>FI-993</v>
      </c>
      <c r="AA997" s="118" t="str">
        <f>+VLOOKUP(Agencia[[#This Row],[Muestra]],Estructura!$M$4:$O$500,3,0)</f>
        <v>M-1076</v>
      </c>
    </row>
    <row r="998" spans="1:27" ht="57.6" x14ac:dyDescent="0.3">
      <c r="A998" s="21" t="s">
        <v>1894</v>
      </c>
      <c r="B998" s="24">
        <f t="shared" ref="B998:D998" si="1657">+B997</f>
        <v>990</v>
      </c>
      <c r="C998" s="25" t="str">
        <f t="shared" si="1657"/>
        <v>Agencia Información</v>
      </c>
      <c r="D998" s="25" t="str">
        <f t="shared" si="1657"/>
        <v>Salud</v>
      </c>
      <c r="E998" s="19">
        <v>16</v>
      </c>
      <c r="F998" s="18" t="s">
        <v>1021</v>
      </c>
      <c r="G998" s="18" t="s">
        <v>3784</v>
      </c>
      <c r="H998" s="35" t="s">
        <v>16</v>
      </c>
      <c r="I998" s="36" t="s">
        <v>383</v>
      </c>
      <c r="J998" s="9" t="str">
        <f t="shared" ref="J998:N998" si="1658">+J997</f>
        <v>Ninguno</v>
      </c>
      <c r="K998" s="9" t="str">
        <f t="shared" si="1658"/>
        <v>Población en control por rango etario</v>
      </c>
      <c r="L998" s="38" t="str">
        <f t="shared" si="1658"/>
        <v>Periodo 2012-2018</v>
      </c>
      <c r="M998" s="9" t="str">
        <f t="shared" si="1658"/>
        <v>Personas</v>
      </c>
      <c r="N998" s="9" t="str">
        <f t="shared" si="1658"/>
        <v>Departamento de Estadísticas e Información de la Salud (DEIS) - Ministerio de Salud</v>
      </c>
      <c r="O998" s="45" t="str">
        <f>+"Evolución de Población en Control en el Programa de VIH/SIDA según Rango Etario en la "&amp;I998&amp;", "&amp;Agencia[[#This Row],[temporalidad]]</f>
        <v>Evolución de Población en Control en el Programa de VIH/SIDA según Rango Etario en la Región de Ñuble, Periodo 2012-2018</v>
      </c>
      <c r="P998" s="20"/>
      <c r="Q998" s="11" t="str">
        <f t="shared" si="1628"/>
        <v>Gráfico de Evolución</v>
      </c>
      <c r="R998" s="20" t="str">
        <f>Agencia[[#This Row],[territorio]]&amp;" VIH SIDA enfermedad transmisión sexual casos personas población programa"</f>
        <v>Región de Ñuble VIH SIDA enfermedad transmisión sexual casos personas población programa</v>
      </c>
      <c r="S998" s="39" t="str">
        <f>HYPERLINK("https://analytics.zoho.com/open-view/2395394000008463151?ZOHO_CRITERIA=%22Localiza%20CL%22.%22Codreg%22%20%3D%20"&amp;Agencia[[#This Row],[Filtro URL]])</f>
        <v>https://analytics.zoho.com/open-view/2395394000008463151?ZOHO_CRITERIA=%22Localiza%20CL%22.%22Codreg%22%20%3D%2016</v>
      </c>
      <c r="T998" s="68" t="str">
        <f>"100-R-"&amp;Agencia[[#This Row],[Filtro URL]]</f>
        <v>100-R-16</v>
      </c>
      <c r="U998" s="50" t="str">
        <f t="shared" si="1605"/>
        <v>#1774B9</v>
      </c>
      <c r="V998" s="118" t="str">
        <f>+Agencia[[#This Row],[idcoleccion]]&amp;"-"&amp;Agencia[[#This Row],[id]]</f>
        <v>990-0987</v>
      </c>
      <c r="W998" s="118">
        <f>+VLOOKUP(Agencia[[#This Row],[Filtro URL]],Estructura!$X$4:$Y$500,2,0)</f>
        <v>99200016</v>
      </c>
      <c r="X998" s="118" t="str">
        <f>+VLOOKUP(Agencia[[#This Row],[tema]],Estructura!$A$4:$C$500,3,0)</f>
        <v>T-1000</v>
      </c>
      <c r="Y998" s="118" t="str">
        <f>+VLOOKUP(Agencia[[#This Row],[contenido]],Estructura!$E$4:$G$500,3,0)</f>
        <v>C-1010</v>
      </c>
      <c r="Z998" s="118" t="str">
        <f>+VLOOKUP(Agencia[[#This Row],[Filtro Integrado]],Estructura!$I$4:$K$500,3,0)</f>
        <v>FI-993</v>
      </c>
      <c r="AA998" s="118" t="str">
        <f>+VLOOKUP(Agencia[[#This Row],[Muestra]],Estructura!$M$4:$O$500,3,0)</f>
        <v>M-1076</v>
      </c>
    </row>
    <row r="999" spans="1:27" ht="36" x14ac:dyDescent="0.3">
      <c r="A999" s="21" t="s">
        <v>1895</v>
      </c>
      <c r="B999" s="24">
        <f t="shared" ref="B999:C999" si="1659">+B998</f>
        <v>990</v>
      </c>
      <c r="C999" s="25" t="str">
        <f t="shared" si="1659"/>
        <v>Agencia Información</v>
      </c>
      <c r="D999" s="25" t="s">
        <v>621</v>
      </c>
      <c r="E999" s="14">
        <v>0</v>
      </c>
      <c r="F999" s="18" t="s">
        <v>1684</v>
      </c>
      <c r="G999" s="18" t="s">
        <v>3781</v>
      </c>
      <c r="H999" s="33" t="s">
        <v>20</v>
      </c>
      <c r="I999" s="34" t="s">
        <v>15</v>
      </c>
      <c r="J999" s="9" t="s">
        <v>16</v>
      </c>
      <c r="K999" s="9" t="s">
        <v>850</v>
      </c>
      <c r="L999" s="38" t="s">
        <v>614</v>
      </c>
      <c r="M999" s="9" t="s">
        <v>624</v>
      </c>
      <c r="N999" s="9" t="s">
        <v>625</v>
      </c>
      <c r="O999" s="45" t="str">
        <f>+"Mapa de la Cantidad de Espacios Culturales por Comuna en "&amp;I999&amp;", "&amp;Agencia[[#This Row],[temporalidad]]</f>
        <v>Mapa de la Cantidad de Espacios Culturales por Comuna en Chile, Año 2021</v>
      </c>
      <c r="P999" s="20" t="s">
        <v>1685</v>
      </c>
      <c r="Q999" s="11" t="s">
        <v>831</v>
      </c>
      <c r="R999" s="20" t="str">
        <f>Agencia[[#This Row],[territorio]]&amp;" espacio cultural cultura infraestructura número cantidad"</f>
        <v>Chile espacio cultural cultura infraestructura número cantidad</v>
      </c>
      <c r="S999" s="39" t="s">
        <v>1686</v>
      </c>
      <c r="T999" s="68" t="s">
        <v>1033</v>
      </c>
      <c r="U999" s="50" t="str">
        <f t="shared" si="1605"/>
        <v>#1774B9</v>
      </c>
      <c r="V999" s="118" t="str">
        <f>+Agencia[[#This Row],[idcoleccion]]&amp;"-"&amp;Agencia[[#This Row],[id]]</f>
        <v>990-0988</v>
      </c>
      <c r="W999" s="118">
        <f>+VLOOKUP(Agencia[[#This Row],[Filtro URL]],Estructura!$X$4:$Y$500,2,0)</f>
        <v>99100000</v>
      </c>
      <c r="X999" s="118" t="str">
        <f>+VLOOKUP(Agencia[[#This Row],[tema]],Estructura!$A$4:$C$500,3,0)</f>
        <v>T-1024</v>
      </c>
      <c r="Y999" s="118" t="str">
        <f>+VLOOKUP(Agencia[[#This Row],[contenido]],Estructura!$E$4:$G$500,3,0)</f>
        <v>C-1008</v>
      </c>
      <c r="Z999" s="118" t="str">
        <f>+VLOOKUP(Agencia[[#This Row],[Filtro Integrado]],Estructura!$I$4:$K$500,3,0)</f>
        <v>FI-992</v>
      </c>
      <c r="AA999" s="118" t="str">
        <f>+VLOOKUP(Agencia[[#This Row],[Muestra]],Estructura!$M$4:$O$500,3,0)</f>
        <v>M-1005</v>
      </c>
    </row>
    <row r="1000" spans="1:27" ht="72" x14ac:dyDescent="0.3">
      <c r="A1000" s="21" t="s">
        <v>1896</v>
      </c>
      <c r="B1000" s="24">
        <f t="shared" ref="B1000:D1000" si="1660">+B999</f>
        <v>990</v>
      </c>
      <c r="C1000" s="25" t="str">
        <f t="shared" si="1660"/>
        <v>Agencia Información</v>
      </c>
      <c r="D1000" s="25" t="str">
        <f t="shared" si="1660"/>
        <v>Arte y cultura</v>
      </c>
      <c r="E1000" s="19">
        <v>1</v>
      </c>
      <c r="F1000" s="18" t="s">
        <v>1684</v>
      </c>
      <c r="G1000" s="18" t="s">
        <v>3781</v>
      </c>
      <c r="H1000" s="35" t="s">
        <v>16</v>
      </c>
      <c r="I1000" s="36" t="s">
        <v>368</v>
      </c>
      <c r="J1000" s="9" t="s">
        <v>404</v>
      </c>
      <c r="K1000" s="9" t="s">
        <v>850</v>
      </c>
      <c r="L1000" s="38" t="str">
        <f>+L999</f>
        <v>Año 2021</v>
      </c>
      <c r="M1000" s="9" t="str">
        <f t="shared" ref="M1000:N1000" si="1661">+M999</f>
        <v>Número de espacios culturales</v>
      </c>
      <c r="N1000" s="9" t="str">
        <f t="shared" si="1661"/>
        <v>Observatorio Cultural</v>
      </c>
      <c r="O1000" s="45" t="str">
        <f>+"Mapa de la Cantidad de Espacios Culturales por Comuna en la "&amp;I1000&amp;", "&amp;Agencia[[#This Row],[temporalidad]]</f>
        <v>Mapa de la Cantidad de Espacios Culturales por Comuna en la Región de Tarapacá, Año 2021</v>
      </c>
      <c r="P1000" s="20"/>
      <c r="Q1000" s="11" t="str">
        <f t="shared" si="1628"/>
        <v>Mapa de calor</v>
      </c>
      <c r="R1000" s="20" t="str">
        <f>Agencia[[#This Row],[territorio]]&amp;" espacio cultural cultura infraestructura número cantidad"</f>
        <v>Región de Tarapacá espacio cultural cultura infraestructura número cantidad</v>
      </c>
      <c r="S1000"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https://analytics.zoho.com/open-view/2395394000008464012?ZOHO_CRITERIA=%22Espacios_Culturales_Completo%201%22.%22C%C3%B3digo_Regi%C3%B3n%22%20%3D%201</v>
      </c>
      <c r="T1000" s="69" t="str">
        <f>"100-C-"&amp;Agencia[[#This Row],[Filtro URL]]</f>
        <v>100-C-1</v>
      </c>
      <c r="U1000" s="50" t="str">
        <f t="shared" si="1605"/>
        <v>#1774B9</v>
      </c>
      <c r="V1000" s="118" t="str">
        <f>+Agencia[[#This Row],[idcoleccion]]&amp;"-"&amp;Agencia[[#This Row],[id]]</f>
        <v>990-0989</v>
      </c>
      <c r="W1000" s="118">
        <f>+VLOOKUP(Agencia[[#This Row],[Filtro URL]],Estructura!$X$4:$Y$500,2,0)</f>
        <v>99200001</v>
      </c>
      <c r="X1000" s="118" t="str">
        <f>+VLOOKUP(Agencia[[#This Row],[tema]],Estructura!$A$4:$C$500,3,0)</f>
        <v>T-1024</v>
      </c>
      <c r="Y1000" s="118" t="str">
        <f>+VLOOKUP(Agencia[[#This Row],[contenido]],Estructura!$E$4:$G$500,3,0)</f>
        <v>C-1008</v>
      </c>
      <c r="Z1000" s="118" t="str">
        <f>+VLOOKUP(Agencia[[#This Row],[Filtro Integrado]],Estructura!$I$4:$K$500,3,0)</f>
        <v>FI-993</v>
      </c>
      <c r="AA1000" s="118" t="str">
        <f>+VLOOKUP(Agencia[[#This Row],[Muestra]],Estructura!$M$4:$O$500,3,0)</f>
        <v>M-1005</v>
      </c>
    </row>
    <row r="1001" spans="1:27" ht="72" x14ac:dyDescent="0.3">
      <c r="A1001" s="21" t="s">
        <v>1897</v>
      </c>
      <c r="B1001" s="24">
        <f t="shared" ref="B1001:D1001" si="1662">+B1000</f>
        <v>990</v>
      </c>
      <c r="C1001" s="25" t="str">
        <f t="shared" si="1662"/>
        <v>Agencia Información</v>
      </c>
      <c r="D1001" s="25" t="str">
        <f t="shared" si="1662"/>
        <v>Arte y cultura</v>
      </c>
      <c r="E1001" s="19">
        <v>2</v>
      </c>
      <c r="F1001" s="18" t="s">
        <v>1684</v>
      </c>
      <c r="G1001" s="18" t="s">
        <v>3781</v>
      </c>
      <c r="H1001" s="35" t="s">
        <v>16</v>
      </c>
      <c r="I1001" s="36" t="s">
        <v>369</v>
      </c>
      <c r="J1001" s="9" t="str">
        <f t="shared" ref="J1001:N1001" si="1663">+J1000</f>
        <v>Ninguno</v>
      </c>
      <c r="K1001" s="9" t="str">
        <f t="shared" si="1663"/>
        <v>Cantidad de espacios culturales por comuna</v>
      </c>
      <c r="L1001" s="38" t="str">
        <f t="shared" si="1663"/>
        <v>Año 2021</v>
      </c>
      <c r="M1001" s="9" t="str">
        <f t="shared" si="1663"/>
        <v>Número de espacios culturales</v>
      </c>
      <c r="N1001" s="9" t="str">
        <f t="shared" si="1663"/>
        <v>Observatorio Cultural</v>
      </c>
      <c r="O1001" s="45" t="str">
        <f>+"Mapa de la Cantidad de Espacios Culturales por Comuna en la "&amp;I1001&amp;", "&amp;Agencia[[#This Row],[temporalidad]]</f>
        <v>Mapa de la Cantidad de Espacios Culturales por Comuna en la Región de Antofagasta, Año 2021</v>
      </c>
      <c r="P1001" s="20"/>
      <c r="Q1001" s="11" t="str">
        <f t="shared" si="1628"/>
        <v>Mapa de calor</v>
      </c>
      <c r="R1001" s="20" t="str">
        <f>Agencia[[#This Row],[territorio]]&amp;" espacio cultural cultura infraestructura número cantidad"</f>
        <v>Región de Antofagasta espacio cultural cultura infraestructura número cantidad</v>
      </c>
      <c r="S1001"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https://analytics.zoho.com/open-view/2395394000008464012?ZOHO_CRITERIA=%22Espacios_Culturales_Completo%201%22.%22C%C3%B3digo_Regi%C3%B3n%22%20%3D%202</v>
      </c>
      <c r="T1001" s="69" t="str">
        <f>"100-C-"&amp;Agencia[[#This Row],[Filtro URL]]</f>
        <v>100-C-2</v>
      </c>
      <c r="U1001" s="50" t="str">
        <f t="shared" si="1605"/>
        <v>#1774B9</v>
      </c>
      <c r="V1001" s="118" t="str">
        <f>+Agencia[[#This Row],[idcoleccion]]&amp;"-"&amp;Agencia[[#This Row],[id]]</f>
        <v>990-0990</v>
      </c>
      <c r="W1001" s="118">
        <f>+VLOOKUP(Agencia[[#This Row],[Filtro URL]],Estructura!$X$4:$Y$500,2,0)</f>
        <v>99200002</v>
      </c>
      <c r="X1001" s="118" t="str">
        <f>+VLOOKUP(Agencia[[#This Row],[tema]],Estructura!$A$4:$C$500,3,0)</f>
        <v>T-1024</v>
      </c>
      <c r="Y1001" s="118" t="str">
        <f>+VLOOKUP(Agencia[[#This Row],[contenido]],Estructura!$E$4:$G$500,3,0)</f>
        <v>C-1008</v>
      </c>
      <c r="Z1001" s="118" t="str">
        <f>+VLOOKUP(Agencia[[#This Row],[Filtro Integrado]],Estructura!$I$4:$K$500,3,0)</f>
        <v>FI-993</v>
      </c>
      <c r="AA1001" s="118" t="str">
        <f>+VLOOKUP(Agencia[[#This Row],[Muestra]],Estructura!$M$4:$O$500,3,0)</f>
        <v>M-1005</v>
      </c>
    </row>
    <row r="1002" spans="1:27" ht="72" x14ac:dyDescent="0.3">
      <c r="A1002" s="21" t="s">
        <v>1898</v>
      </c>
      <c r="B1002" s="24">
        <f t="shared" ref="B1002:D1002" si="1664">+B1001</f>
        <v>990</v>
      </c>
      <c r="C1002" s="25" t="str">
        <f t="shared" si="1664"/>
        <v>Agencia Información</v>
      </c>
      <c r="D1002" s="25" t="str">
        <f t="shared" si="1664"/>
        <v>Arte y cultura</v>
      </c>
      <c r="E1002" s="19">
        <v>3</v>
      </c>
      <c r="F1002" s="18" t="s">
        <v>1684</v>
      </c>
      <c r="G1002" s="18" t="s">
        <v>3781</v>
      </c>
      <c r="H1002" s="35" t="s">
        <v>16</v>
      </c>
      <c r="I1002" s="36" t="s">
        <v>370</v>
      </c>
      <c r="J1002" s="9" t="str">
        <f t="shared" ref="J1002:N1002" si="1665">+J1001</f>
        <v>Ninguno</v>
      </c>
      <c r="K1002" s="9" t="str">
        <f t="shared" si="1665"/>
        <v>Cantidad de espacios culturales por comuna</v>
      </c>
      <c r="L1002" s="38" t="str">
        <f t="shared" si="1665"/>
        <v>Año 2021</v>
      </c>
      <c r="M1002" s="9" t="str">
        <f t="shared" si="1665"/>
        <v>Número de espacios culturales</v>
      </c>
      <c r="N1002" s="9" t="str">
        <f t="shared" si="1665"/>
        <v>Observatorio Cultural</v>
      </c>
      <c r="O1002" s="45" t="str">
        <f>+"Mapa de la Cantidad de Espacios Culturales por Comuna en la "&amp;I1002&amp;", "&amp;Agencia[[#This Row],[temporalidad]]</f>
        <v>Mapa de la Cantidad de Espacios Culturales por Comuna en la Región de Atacama, Año 2021</v>
      </c>
      <c r="P1002" s="20"/>
      <c r="Q1002" s="11" t="str">
        <f t="shared" si="1628"/>
        <v>Mapa de calor</v>
      </c>
      <c r="R1002" s="20" t="str">
        <f>Agencia[[#This Row],[territorio]]&amp;" espacio cultural cultura infraestructura número cantidad"</f>
        <v>Región de Atacama espacio cultural cultura infraestructura número cantidad</v>
      </c>
      <c r="S1002"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https://analytics.zoho.com/open-view/2395394000008464012?ZOHO_CRITERIA=%22Espacios_Culturales_Completo%201%22.%22C%C3%B3digo_Regi%C3%B3n%22%20%3D%203</v>
      </c>
      <c r="T1002" s="69" t="str">
        <f>"100-C-"&amp;Agencia[[#This Row],[Filtro URL]]</f>
        <v>100-C-3</v>
      </c>
      <c r="U1002" s="50" t="str">
        <f t="shared" si="1605"/>
        <v>#1774B9</v>
      </c>
      <c r="V1002" s="118" t="str">
        <f>+Agencia[[#This Row],[idcoleccion]]&amp;"-"&amp;Agencia[[#This Row],[id]]</f>
        <v>990-0991</v>
      </c>
      <c r="W1002" s="118">
        <f>+VLOOKUP(Agencia[[#This Row],[Filtro URL]],Estructura!$X$4:$Y$500,2,0)</f>
        <v>99200003</v>
      </c>
      <c r="X1002" s="118" t="str">
        <f>+VLOOKUP(Agencia[[#This Row],[tema]],Estructura!$A$4:$C$500,3,0)</f>
        <v>T-1024</v>
      </c>
      <c r="Y1002" s="118" t="str">
        <f>+VLOOKUP(Agencia[[#This Row],[contenido]],Estructura!$E$4:$G$500,3,0)</f>
        <v>C-1008</v>
      </c>
      <c r="Z1002" s="118" t="str">
        <f>+VLOOKUP(Agencia[[#This Row],[Filtro Integrado]],Estructura!$I$4:$K$500,3,0)</f>
        <v>FI-993</v>
      </c>
      <c r="AA1002" s="118" t="str">
        <f>+VLOOKUP(Agencia[[#This Row],[Muestra]],Estructura!$M$4:$O$500,3,0)</f>
        <v>M-1005</v>
      </c>
    </row>
    <row r="1003" spans="1:27" ht="72" x14ac:dyDescent="0.3">
      <c r="A1003" s="21" t="s">
        <v>1899</v>
      </c>
      <c r="B1003" s="24">
        <f t="shared" ref="B1003:D1003" si="1666">+B1002</f>
        <v>990</v>
      </c>
      <c r="C1003" s="25" t="str">
        <f t="shared" si="1666"/>
        <v>Agencia Información</v>
      </c>
      <c r="D1003" s="25" t="str">
        <f t="shared" si="1666"/>
        <v>Arte y cultura</v>
      </c>
      <c r="E1003" s="19">
        <v>4</v>
      </c>
      <c r="F1003" s="18" t="s">
        <v>1684</v>
      </c>
      <c r="G1003" s="18" t="s">
        <v>3781</v>
      </c>
      <c r="H1003" s="35" t="s">
        <v>16</v>
      </c>
      <c r="I1003" s="36" t="s">
        <v>371</v>
      </c>
      <c r="J1003" s="9" t="str">
        <f t="shared" ref="J1003:N1003" si="1667">+J1002</f>
        <v>Ninguno</v>
      </c>
      <c r="K1003" s="9" t="str">
        <f t="shared" si="1667"/>
        <v>Cantidad de espacios culturales por comuna</v>
      </c>
      <c r="L1003" s="38" t="str">
        <f t="shared" si="1667"/>
        <v>Año 2021</v>
      </c>
      <c r="M1003" s="9" t="str">
        <f t="shared" si="1667"/>
        <v>Número de espacios culturales</v>
      </c>
      <c r="N1003" s="9" t="str">
        <f t="shared" si="1667"/>
        <v>Observatorio Cultural</v>
      </c>
      <c r="O1003" s="45" t="str">
        <f>+"Mapa de la Cantidad de Espacios Culturales por Comuna en la "&amp;I1003&amp;", "&amp;Agencia[[#This Row],[temporalidad]]</f>
        <v>Mapa de la Cantidad de Espacios Culturales por Comuna en la Región de Coquimbo, Año 2021</v>
      </c>
      <c r="P1003" s="20"/>
      <c r="Q1003" s="11" t="str">
        <f t="shared" si="1628"/>
        <v>Mapa de calor</v>
      </c>
      <c r="R1003" s="20" t="str">
        <f>Agencia[[#This Row],[territorio]]&amp;" espacio cultural cultura infraestructura número cantidad"</f>
        <v>Región de Coquimbo espacio cultural cultura infraestructura número cantidad</v>
      </c>
      <c r="S1003"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https://analytics.zoho.com/open-view/2395394000008464012?ZOHO_CRITERIA=%22Espacios_Culturales_Completo%201%22.%22C%C3%B3digo_Regi%C3%B3n%22%20%3D%204</v>
      </c>
      <c r="T1003" s="69" t="str">
        <f>"100-C-"&amp;Agencia[[#This Row],[Filtro URL]]</f>
        <v>100-C-4</v>
      </c>
      <c r="U1003" s="50" t="str">
        <f t="shared" si="1605"/>
        <v>#1774B9</v>
      </c>
      <c r="V1003" s="118" t="str">
        <f>+Agencia[[#This Row],[idcoleccion]]&amp;"-"&amp;Agencia[[#This Row],[id]]</f>
        <v>990-0992</v>
      </c>
      <c r="W1003" s="118">
        <f>+VLOOKUP(Agencia[[#This Row],[Filtro URL]],Estructura!$X$4:$Y$500,2,0)</f>
        <v>99200004</v>
      </c>
      <c r="X1003" s="118" t="str">
        <f>+VLOOKUP(Agencia[[#This Row],[tema]],Estructura!$A$4:$C$500,3,0)</f>
        <v>T-1024</v>
      </c>
      <c r="Y1003" s="118" t="str">
        <f>+VLOOKUP(Agencia[[#This Row],[contenido]],Estructura!$E$4:$G$500,3,0)</f>
        <v>C-1008</v>
      </c>
      <c r="Z1003" s="118" t="str">
        <f>+VLOOKUP(Agencia[[#This Row],[Filtro Integrado]],Estructura!$I$4:$K$500,3,0)</f>
        <v>FI-993</v>
      </c>
      <c r="AA1003" s="118" t="str">
        <f>+VLOOKUP(Agencia[[#This Row],[Muestra]],Estructura!$M$4:$O$500,3,0)</f>
        <v>M-1005</v>
      </c>
    </row>
    <row r="1004" spans="1:27" ht="72" x14ac:dyDescent="0.3">
      <c r="A1004" s="21" t="s">
        <v>1900</v>
      </c>
      <c r="B1004" s="24">
        <f t="shared" ref="B1004:D1004" si="1668">+B1003</f>
        <v>990</v>
      </c>
      <c r="C1004" s="25" t="str">
        <f t="shared" si="1668"/>
        <v>Agencia Información</v>
      </c>
      <c r="D1004" s="25" t="str">
        <f t="shared" si="1668"/>
        <v>Arte y cultura</v>
      </c>
      <c r="E1004" s="19">
        <v>5</v>
      </c>
      <c r="F1004" s="18" t="s">
        <v>1684</v>
      </c>
      <c r="G1004" s="18" t="s">
        <v>3781</v>
      </c>
      <c r="H1004" s="35" t="s">
        <v>16</v>
      </c>
      <c r="I1004" s="36" t="s">
        <v>372</v>
      </c>
      <c r="J1004" s="9" t="str">
        <f t="shared" ref="J1004:N1004" si="1669">+J1003</f>
        <v>Ninguno</v>
      </c>
      <c r="K1004" s="9" t="str">
        <f t="shared" si="1669"/>
        <v>Cantidad de espacios culturales por comuna</v>
      </c>
      <c r="L1004" s="38" t="str">
        <f t="shared" si="1669"/>
        <v>Año 2021</v>
      </c>
      <c r="M1004" s="9" t="str">
        <f t="shared" si="1669"/>
        <v>Número de espacios culturales</v>
      </c>
      <c r="N1004" s="9" t="str">
        <f t="shared" si="1669"/>
        <v>Observatorio Cultural</v>
      </c>
      <c r="O1004" s="45" t="str">
        <f>+"Mapa de la Cantidad de Espacios Culturales por Comuna en la "&amp;I1004&amp;", "&amp;Agencia[[#This Row],[temporalidad]]</f>
        <v>Mapa de la Cantidad de Espacios Culturales por Comuna en la Región de Valparaíso, Año 2021</v>
      </c>
      <c r="P1004" s="20"/>
      <c r="Q1004" s="11" t="str">
        <f t="shared" si="1628"/>
        <v>Mapa de calor</v>
      </c>
      <c r="R1004" s="20" t="str">
        <f>Agencia[[#This Row],[territorio]]&amp;" espacio cultural cultura infraestructura número cantidad"</f>
        <v>Región de Valparaíso espacio cultural cultura infraestructura número cantidad</v>
      </c>
      <c r="S1004"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https://analytics.zoho.com/open-view/2395394000008464012?ZOHO_CRITERIA=%22Espacios_Culturales_Completo%201%22.%22C%C3%B3digo_Regi%C3%B3n%22%20%3D%205</v>
      </c>
      <c r="T1004" s="69" t="str">
        <f>"100-C-"&amp;Agencia[[#This Row],[Filtro URL]]</f>
        <v>100-C-5</v>
      </c>
      <c r="U1004" s="50" t="str">
        <f t="shared" si="1605"/>
        <v>#1774B9</v>
      </c>
      <c r="V1004" s="118" t="str">
        <f>+Agencia[[#This Row],[idcoleccion]]&amp;"-"&amp;Agencia[[#This Row],[id]]</f>
        <v>990-0993</v>
      </c>
      <c r="W1004" s="118">
        <f>+VLOOKUP(Agencia[[#This Row],[Filtro URL]],Estructura!$X$4:$Y$500,2,0)</f>
        <v>99200005</v>
      </c>
      <c r="X1004" s="118" t="str">
        <f>+VLOOKUP(Agencia[[#This Row],[tema]],Estructura!$A$4:$C$500,3,0)</f>
        <v>T-1024</v>
      </c>
      <c r="Y1004" s="118" t="str">
        <f>+VLOOKUP(Agencia[[#This Row],[contenido]],Estructura!$E$4:$G$500,3,0)</f>
        <v>C-1008</v>
      </c>
      <c r="Z1004" s="118" t="str">
        <f>+VLOOKUP(Agencia[[#This Row],[Filtro Integrado]],Estructura!$I$4:$K$500,3,0)</f>
        <v>FI-993</v>
      </c>
      <c r="AA1004" s="118" t="str">
        <f>+VLOOKUP(Agencia[[#This Row],[Muestra]],Estructura!$M$4:$O$500,3,0)</f>
        <v>M-1005</v>
      </c>
    </row>
    <row r="1005" spans="1:27" ht="72" x14ac:dyDescent="0.3">
      <c r="A1005" s="21" t="s">
        <v>1901</v>
      </c>
      <c r="B1005" s="24">
        <f t="shared" ref="B1005:D1005" si="1670">+B1004</f>
        <v>990</v>
      </c>
      <c r="C1005" s="25" t="str">
        <f t="shared" si="1670"/>
        <v>Agencia Información</v>
      </c>
      <c r="D1005" s="25" t="str">
        <f t="shared" si="1670"/>
        <v>Arte y cultura</v>
      </c>
      <c r="E1005" s="19">
        <v>6</v>
      </c>
      <c r="F1005" s="18" t="s">
        <v>1684</v>
      </c>
      <c r="G1005" s="18" t="s">
        <v>3781</v>
      </c>
      <c r="H1005" s="35" t="s">
        <v>16</v>
      </c>
      <c r="I1005" s="36" t="s">
        <v>373</v>
      </c>
      <c r="J1005" s="9" t="str">
        <f t="shared" ref="J1005:N1005" si="1671">+J1004</f>
        <v>Ninguno</v>
      </c>
      <c r="K1005" s="9" t="str">
        <f t="shared" si="1671"/>
        <v>Cantidad de espacios culturales por comuna</v>
      </c>
      <c r="L1005" s="38" t="str">
        <f t="shared" si="1671"/>
        <v>Año 2021</v>
      </c>
      <c r="M1005" s="9" t="str">
        <f t="shared" si="1671"/>
        <v>Número de espacios culturales</v>
      </c>
      <c r="N1005" s="9" t="str">
        <f t="shared" si="1671"/>
        <v>Observatorio Cultural</v>
      </c>
      <c r="O1005" s="45" t="str">
        <f>+"Mapa de la Cantidad de Espacios Culturales por Comuna en la "&amp;I1005&amp;", "&amp;Agencia[[#This Row],[temporalidad]]</f>
        <v>Mapa de la Cantidad de Espacios Culturales por Comuna en la Región de O'Higgins, Año 2021</v>
      </c>
      <c r="P1005" s="20"/>
      <c r="Q1005" s="11" t="str">
        <f t="shared" si="1628"/>
        <v>Mapa de calor</v>
      </c>
      <c r="R1005" s="20" t="str">
        <f>Agencia[[#This Row],[territorio]]&amp;" espacio cultural cultura infraestructura número cantidad"</f>
        <v>Región de O'Higgins espacio cultural cultura infraestructura número cantidad</v>
      </c>
      <c r="S1005"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https://analytics.zoho.com/open-view/2395394000008464012?ZOHO_CRITERIA=%22Espacios_Culturales_Completo%201%22.%22C%C3%B3digo_Regi%C3%B3n%22%20%3D%206</v>
      </c>
      <c r="T1005" s="69" t="str">
        <f>"100-C-"&amp;Agencia[[#This Row],[Filtro URL]]</f>
        <v>100-C-6</v>
      </c>
      <c r="U1005" s="50" t="str">
        <f t="shared" si="1605"/>
        <v>#1774B9</v>
      </c>
      <c r="V1005" s="118" t="str">
        <f>+Agencia[[#This Row],[idcoleccion]]&amp;"-"&amp;Agencia[[#This Row],[id]]</f>
        <v>990-0994</v>
      </c>
      <c r="W1005" s="118">
        <f>+VLOOKUP(Agencia[[#This Row],[Filtro URL]],Estructura!$X$4:$Y$500,2,0)</f>
        <v>99200006</v>
      </c>
      <c r="X1005" s="118" t="str">
        <f>+VLOOKUP(Agencia[[#This Row],[tema]],Estructura!$A$4:$C$500,3,0)</f>
        <v>T-1024</v>
      </c>
      <c r="Y1005" s="118" t="str">
        <f>+VLOOKUP(Agencia[[#This Row],[contenido]],Estructura!$E$4:$G$500,3,0)</f>
        <v>C-1008</v>
      </c>
      <c r="Z1005" s="118" t="str">
        <f>+VLOOKUP(Agencia[[#This Row],[Filtro Integrado]],Estructura!$I$4:$K$500,3,0)</f>
        <v>FI-993</v>
      </c>
      <c r="AA1005" s="118" t="str">
        <f>+VLOOKUP(Agencia[[#This Row],[Muestra]],Estructura!$M$4:$O$500,3,0)</f>
        <v>M-1005</v>
      </c>
    </row>
    <row r="1006" spans="1:27" ht="72" x14ac:dyDescent="0.3">
      <c r="A1006" s="21" t="s">
        <v>1902</v>
      </c>
      <c r="B1006" s="24">
        <f t="shared" ref="B1006:D1006" si="1672">+B1005</f>
        <v>990</v>
      </c>
      <c r="C1006" s="25" t="str">
        <f t="shared" si="1672"/>
        <v>Agencia Información</v>
      </c>
      <c r="D1006" s="25" t="str">
        <f t="shared" si="1672"/>
        <v>Arte y cultura</v>
      </c>
      <c r="E1006" s="19">
        <v>7</v>
      </c>
      <c r="F1006" s="18" t="s">
        <v>1684</v>
      </c>
      <c r="G1006" s="18" t="s">
        <v>3781</v>
      </c>
      <c r="H1006" s="35" t="s">
        <v>16</v>
      </c>
      <c r="I1006" s="36" t="s">
        <v>374</v>
      </c>
      <c r="J1006" s="9" t="str">
        <f t="shared" ref="J1006:N1006" si="1673">+J1005</f>
        <v>Ninguno</v>
      </c>
      <c r="K1006" s="9" t="str">
        <f t="shared" si="1673"/>
        <v>Cantidad de espacios culturales por comuna</v>
      </c>
      <c r="L1006" s="38" t="str">
        <f t="shared" si="1673"/>
        <v>Año 2021</v>
      </c>
      <c r="M1006" s="9" t="str">
        <f t="shared" si="1673"/>
        <v>Número de espacios culturales</v>
      </c>
      <c r="N1006" s="9" t="str">
        <f t="shared" si="1673"/>
        <v>Observatorio Cultural</v>
      </c>
      <c r="O1006" s="45" t="str">
        <f>+"Mapa de la Cantidad de Espacios Culturales por Comuna en la "&amp;I1006&amp;", "&amp;Agencia[[#This Row],[temporalidad]]</f>
        <v>Mapa de la Cantidad de Espacios Culturales por Comuna en la Región de Maule, Año 2021</v>
      </c>
      <c r="P1006" s="20"/>
      <c r="Q1006" s="11" t="str">
        <f t="shared" si="1628"/>
        <v>Mapa de calor</v>
      </c>
      <c r="R1006" s="20" t="str">
        <f>Agencia[[#This Row],[territorio]]&amp;" espacio cultural cultura infraestructura número cantidad"</f>
        <v>Región de Maule espacio cultural cultura infraestructura número cantidad</v>
      </c>
      <c r="S1006"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https://analytics.zoho.com/open-view/2395394000008464012?ZOHO_CRITERIA=%22Espacios_Culturales_Completo%201%22.%22C%C3%B3digo_Regi%C3%B3n%22%20%3D%207</v>
      </c>
      <c r="T1006" s="69" t="str">
        <f>"100-C-"&amp;Agencia[[#This Row],[Filtro URL]]</f>
        <v>100-C-7</v>
      </c>
      <c r="U1006" s="50" t="str">
        <f t="shared" si="1605"/>
        <v>#1774B9</v>
      </c>
      <c r="V1006" s="118" t="str">
        <f>+Agencia[[#This Row],[idcoleccion]]&amp;"-"&amp;Agencia[[#This Row],[id]]</f>
        <v>990-0995</v>
      </c>
      <c r="W1006" s="118">
        <f>+VLOOKUP(Agencia[[#This Row],[Filtro URL]],Estructura!$X$4:$Y$500,2,0)</f>
        <v>99200007</v>
      </c>
      <c r="X1006" s="118" t="str">
        <f>+VLOOKUP(Agencia[[#This Row],[tema]],Estructura!$A$4:$C$500,3,0)</f>
        <v>T-1024</v>
      </c>
      <c r="Y1006" s="118" t="str">
        <f>+VLOOKUP(Agencia[[#This Row],[contenido]],Estructura!$E$4:$G$500,3,0)</f>
        <v>C-1008</v>
      </c>
      <c r="Z1006" s="118" t="str">
        <f>+VLOOKUP(Agencia[[#This Row],[Filtro Integrado]],Estructura!$I$4:$K$500,3,0)</f>
        <v>FI-993</v>
      </c>
      <c r="AA1006" s="118" t="str">
        <f>+VLOOKUP(Agencia[[#This Row],[Muestra]],Estructura!$M$4:$O$500,3,0)</f>
        <v>M-1005</v>
      </c>
    </row>
    <row r="1007" spans="1:27" ht="72" x14ac:dyDescent="0.3">
      <c r="A1007" s="21" t="s">
        <v>1903</v>
      </c>
      <c r="B1007" s="24">
        <f t="shared" ref="B1007:D1007" si="1674">+B1006</f>
        <v>990</v>
      </c>
      <c r="C1007" s="25" t="str">
        <f t="shared" si="1674"/>
        <v>Agencia Información</v>
      </c>
      <c r="D1007" s="25" t="str">
        <f t="shared" si="1674"/>
        <v>Arte y cultura</v>
      </c>
      <c r="E1007" s="19">
        <v>8</v>
      </c>
      <c r="F1007" s="18" t="s">
        <v>1684</v>
      </c>
      <c r="G1007" s="18" t="s">
        <v>3781</v>
      </c>
      <c r="H1007" s="35" t="s">
        <v>16</v>
      </c>
      <c r="I1007" s="36" t="s">
        <v>375</v>
      </c>
      <c r="J1007" s="9" t="str">
        <f t="shared" ref="J1007:N1007" si="1675">+J1006</f>
        <v>Ninguno</v>
      </c>
      <c r="K1007" s="9" t="str">
        <f t="shared" si="1675"/>
        <v>Cantidad de espacios culturales por comuna</v>
      </c>
      <c r="L1007" s="38" t="str">
        <f t="shared" si="1675"/>
        <v>Año 2021</v>
      </c>
      <c r="M1007" s="9" t="str">
        <f t="shared" si="1675"/>
        <v>Número de espacios culturales</v>
      </c>
      <c r="N1007" s="9" t="str">
        <f t="shared" si="1675"/>
        <v>Observatorio Cultural</v>
      </c>
      <c r="O1007" s="45" t="str">
        <f>+"Mapa de la Cantidad de Espacios Culturales por Comuna en la "&amp;I1007&amp;", "&amp;Agencia[[#This Row],[temporalidad]]</f>
        <v>Mapa de la Cantidad de Espacios Culturales por Comuna en la Región del Biobío, Año 2021</v>
      </c>
      <c r="P1007" s="20"/>
      <c r="Q1007" s="11" t="str">
        <f t="shared" si="1628"/>
        <v>Mapa de calor</v>
      </c>
      <c r="R1007" s="20" t="str">
        <f>Agencia[[#This Row],[territorio]]&amp;" espacio cultural cultura infraestructura número cantidad"</f>
        <v>Región del Biobío espacio cultural cultura infraestructura número cantidad</v>
      </c>
      <c r="S1007"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https://analytics.zoho.com/open-view/2395394000008464012?ZOHO_CRITERIA=%22Espacios_Culturales_Completo%201%22.%22C%C3%B3digo_Regi%C3%B3n%22%20%3D%208</v>
      </c>
      <c r="T1007" s="69" t="str">
        <f>"100-C-"&amp;Agencia[[#This Row],[Filtro URL]]</f>
        <v>100-C-8</v>
      </c>
      <c r="U1007" s="50" t="str">
        <f t="shared" si="1605"/>
        <v>#1774B9</v>
      </c>
      <c r="V1007" s="118" t="str">
        <f>+Agencia[[#This Row],[idcoleccion]]&amp;"-"&amp;Agencia[[#This Row],[id]]</f>
        <v>990-0996</v>
      </c>
      <c r="W1007" s="118">
        <f>+VLOOKUP(Agencia[[#This Row],[Filtro URL]],Estructura!$X$4:$Y$500,2,0)</f>
        <v>99200008</v>
      </c>
      <c r="X1007" s="118" t="str">
        <f>+VLOOKUP(Agencia[[#This Row],[tema]],Estructura!$A$4:$C$500,3,0)</f>
        <v>T-1024</v>
      </c>
      <c r="Y1007" s="118" t="str">
        <f>+VLOOKUP(Agencia[[#This Row],[contenido]],Estructura!$E$4:$G$500,3,0)</f>
        <v>C-1008</v>
      </c>
      <c r="Z1007" s="118" t="str">
        <f>+VLOOKUP(Agencia[[#This Row],[Filtro Integrado]],Estructura!$I$4:$K$500,3,0)</f>
        <v>FI-993</v>
      </c>
      <c r="AA1007" s="118" t="str">
        <f>+VLOOKUP(Agencia[[#This Row],[Muestra]],Estructura!$M$4:$O$500,3,0)</f>
        <v>M-1005</v>
      </c>
    </row>
    <row r="1008" spans="1:27" ht="72" x14ac:dyDescent="0.3">
      <c r="A1008" s="21" t="s">
        <v>1904</v>
      </c>
      <c r="B1008" s="24">
        <f t="shared" ref="B1008:D1008" si="1676">+B1007</f>
        <v>990</v>
      </c>
      <c r="C1008" s="25" t="str">
        <f t="shared" si="1676"/>
        <v>Agencia Información</v>
      </c>
      <c r="D1008" s="25" t="str">
        <f t="shared" si="1676"/>
        <v>Arte y cultura</v>
      </c>
      <c r="E1008" s="19">
        <v>9</v>
      </c>
      <c r="F1008" s="18" t="s">
        <v>1684</v>
      </c>
      <c r="G1008" s="18" t="s">
        <v>3781</v>
      </c>
      <c r="H1008" s="35" t="s">
        <v>16</v>
      </c>
      <c r="I1008" s="36" t="s">
        <v>376</v>
      </c>
      <c r="J1008" s="9" t="str">
        <f t="shared" ref="J1008:N1008" si="1677">+J1007</f>
        <v>Ninguno</v>
      </c>
      <c r="K1008" s="9" t="str">
        <f t="shared" si="1677"/>
        <v>Cantidad de espacios culturales por comuna</v>
      </c>
      <c r="L1008" s="38" t="str">
        <f t="shared" si="1677"/>
        <v>Año 2021</v>
      </c>
      <c r="M1008" s="9" t="str">
        <f t="shared" si="1677"/>
        <v>Número de espacios culturales</v>
      </c>
      <c r="N1008" s="9" t="str">
        <f t="shared" si="1677"/>
        <v>Observatorio Cultural</v>
      </c>
      <c r="O1008" s="45" t="str">
        <f>+"Mapa de la Cantidad de Espacios Culturales por Comuna en la "&amp;I1008&amp;", "&amp;Agencia[[#This Row],[temporalidad]]</f>
        <v>Mapa de la Cantidad de Espacios Culturales por Comuna en la Región de La Araucanía, Año 2021</v>
      </c>
      <c r="P1008" s="20"/>
      <c r="Q1008" s="11" t="str">
        <f t="shared" si="1628"/>
        <v>Mapa de calor</v>
      </c>
      <c r="R1008" s="20" t="str">
        <f>Agencia[[#This Row],[territorio]]&amp;" espacio cultural cultura infraestructura número cantidad"</f>
        <v>Región de La Araucanía espacio cultural cultura infraestructura número cantidad</v>
      </c>
      <c r="S1008"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https://analytics.zoho.com/open-view/2395394000008464012?ZOHO_CRITERIA=%22Espacios_Culturales_Completo%201%22.%22C%C3%B3digo_Regi%C3%B3n%22%20%3D%209</v>
      </c>
      <c r="T1008" s="69" t="str">
        <f>"100-C-"&amp;Agencia[[#This Row],[Filtro URL]]</f>
        <v>100-C-9</v>
      </c>
      <c r="U1008" s="50" t="str">
        <f t="shared" si="1605"/>
        <v>#1774B9</v>
      </c>
      <c r="V1008" s="118" t="str">
        <f>+Agencia[[#This Row],[idcoleccion]]&amp;"-"&amp;Agencia[[#This Row],[id]]</f>
        <v>990-0997</v>
      </c>
      <c r="W1008" s="118">
        <f>+VLOOKUP(Agencia[[#This Row],[Filtro URL]],Estructura!$X$4:$Y$500,2,0)</f>
        <v>99200009</v>
      </c>
      <c r="X1008" s="118" t="str">
        <f>+VLOOKUP(Agencia[[#This Row],[tema]],Estructura!$A$4:$C$500,3,0)</f>
        <v>T-1024</v>
      </c>
      <c r="Y1008" s="118" t="str">
        <f>+VLOOKUP(Agencia[[#This Row],[contenido]],Estructura!$E$4:$G$500,3,0)</f>
        <v>C-1008</v>
      </c>
      <c r="Z1008" s="118" t="str">
        <f>+VLOOKUP(Agencia[[#This Row],[Filtro Integrado]],Estructura!$I$4:$K$500,3,0)</f>
        <v>FI-993</v>
      </c>
      <c r="AA1008" s="118" t="str">
        <f>+VLOOKUP(Agencia[[#This Row],[Muestra]],Estructura!$M$4:$O$500,3,0)</f>
        <v>M-1005</v>
      </c>
    </row>
    <row r="1009" spans="1:27" ht="72" x14ac:dyDescent="0.3">
      <c r="A1009" s="21" t="s">
        <v>1905</v>
      </c>
      <c r="B1009" s="24">
        <f t="shared" ref="B1009:D1009" si="1678">+B1008</f>
        <v>990</v>
      </c>
      <c r="C1009" s="25" t="str">
        <f t="shared" si="1678"/>
        <v>Agencia Información</v>
      </c>
      <c r="D1009" s="25" t="str">
        <f t="shared" si="1678"/>
        <v>Arte y cultura</v>
      </c>
      <c r="E1009" s="19">
        <v>10</v>
      </c>
      <c r="F1009" s="18" t="s">
        <v>1684</v>
      </c>
      <c r="G1009" s="18" t="s">
        <v>3781</v>
      </c>
      <c r="H1009" s="35" t="s">
        <v>16</v>
      </c>
      <c r="I1009" s="36" t="s">
        <v>377</v>
      </c>
      <c r="J1009" s="9" t="str">
        <f t="shared" ref="J1009:N1009" si="1679">+J1008</f>
        <v>Ninguno</v>
      </c>
      <c r="K1009" s="9" t="str">
        <f t="shared" si="1679"/>
        <v>Cantidad de espacios culturales por comuna</v>
      </c>
      <c r="L1009" s="38" t="str">
        <f t="shared" si="1679"/>
        <v>Año 2021</v>
      </c>
      <c r="M1009" s="9" t="str">
        <f t="shared" si="1679"/>
        <v>Número de espacios culturales</v>
      </c>
      <c r="N1009" s="9" t="str">
        <f t="shared" si="1679"/>
        <v>Observatorio Cultural</v>
      </c>
      <c r="O1009" s="45" t="str">
        <f>+"Mapa de la Cantidad de Espacios Culturales por Comuna en la "&amp;I1009&amp;", "&amp;Agencia[[#This Row],[temporalidad]]</f>
        <v>Mapa de la Cantidad de Espacios Culturales por Comuna en la Región de Los Lagos, Año 2021</v>
      </c>
      <c r="P1009" s="20"/>
      <c r="Q1009" s="11" t="str">
        <f t="shared" si="1628"/>
        <v>Mapa de calor</v>
      </c>
      <c r="R1009" s="20" t="str">
        <f>Agencia[[#This Row],[territorio]]&amp;" espacio cultural cultura infraestructura número cantidad"</f>
        <v>Región de Los Lagos espacio cultural cultura infraestructura número cantidad</v>
      </c>
      <c r="S1009"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https://analytics.zoho.com/open-view/2395394000008464012?ZOHO_CRITERIA=%22Espacios_Culturales_Completo%201%22.%22C%C3%B3digo_Regi%C3%B3n%22%20%3D%2010</v>
      </c>
      <c r="T1009" s="69" t="str">
        <f>"100-C-"&amp;Agencia[[#This Row],[Filtro URL]]</f>
        <v>100-C-10</v>
      </c>
      <c r="U1009" s="50" t="str">
        <f t="shared" si="1605"/>
        <v>#1774B9</v>
      </c>
      <c r="V1009" s="118" t="str">
        <f>+Agencia[[#This Row],[idcoleccion]]&amp;"-"&amp;Agencia[[#This Row],[id]]</f>
        <v>990-0998</v>
      </c>
      <c r="W1009" s="118">
        <f>+VLOOKUP(Agencia[[#This Row],[Filtro URL]],Estructura!$X$4:$Y$500,2,0)</f>
        <v>99200010</v>
      </c>
      <c r="X1009" s="118" t="str">
        <f>+VLOOKUP(Agencia[[#This Row],[tema]],Estructura!$A$4:$C$500,3,0)</f>
        <v>T-1024</v>
      </c>
      <c r="Y1009" s="118" t="str">
        <f>+VLOOKUP(Agencia[[#This Row],[contenido]],Estructura!$E$4:$G$500,3,0)</f>
        <v>C-1008</v>
      </c>
      <c r="Z1009" s="118" t="str">
        <f>+VLOOKUP(Agencia[[#This Row],[Filtro Integrado]],Estructura!$I$4:$K$500,3,0)</f>
        <v>FI-993</v>
      </c>
      <c r="AA1009" s="118" t="str">
        <f>+VLOOKUP(Agencia[[#This Row],[Muestra]],Estructura!$M$4:$O$500,3,0)</f>
        <v>M-1005</v>
      </c>
    </row>
    <row r="1010" spans="1:27" ht="72" x14ac:dyDescent="0.3">
      <c r="A1010" s="21" t="s">
        <v>1906</v>
      </c>
      <c r="B1010" s="24">
        <f t="shared" ref="B1010:D1010" si="1680">+B1009</f>
        <v>990</v>
      </c>
      <c r="C1010" s="25" t="str">
        <f t="shared" si="1680"/>
        <v>Agencia Información</v>
      </c>
      <c r="D1010" s="25" t="str">
        <f t="shared" si="1680"/>
        <v>Arte y cultura</v>
      </c>
      <c r="E1010" s="19">
        <v>11</v>
      </c>
      <c r="F1010" s="18" t="s">
        <v>1684</v>
      </c>
      <c r="G1010" s="18" t="s">
        <v>3781</v>
      </c>
      <c r="H1010" s="35" t="s">
        <v>16</v>
      </c>
      <c r="I1010" s="36" t="s">
        <v>378</v>
      </c>
      <c r="J1010" s="9" t="str">
        <f t="shared" ref="J1010:N1010" si="1681">+J1009</f>
        <v>Ninguno</v>
      </c>
      <c r="K1010" s="9" t="str">
        <f t="shared" si="1681"/>
        <v>Cantidad de espacios culturales por comuna</v>
      </c>
      <c r="L1010" s="38" t="str">
        <f t="shared" si="1681"/>
        <v>Año 2021</v>
      </c>
      <c r="M1010" s="9" t="str">
        <f t="shared" si="1681"/>
        <v>Número de espacios culturales</v>
      </c>
      <c r="N1010" s="9" t="str">
        <f t="shared" si="1681"/>
        <v>Observatorio Cultural</v>
      </c>
      <c r="O1010" s="45" t="str">
        <f>+"Mapa de la Cantidad de Espacios Culturales por Comuna en la "&amp;I1010&amp;", "&amp;Agencia[[#This Row],[temporalidad]]</f>
        <v>Mapa de la Cantidad de Espacios Culturales por Comuna en la Región de Aysén, Año 2021</v>
      </c>
      <c r="P1010" s="20"/>
      <c r="Q1010" s="11" t="str">
        <f t="shared" si="1628"/>
        <v>Mapa de calor</v>
      </c>
      <c r="R1010" s="20" t="str">
        <f>Agencia[[#This Row],[territorio]]&amp;" espacio cultural cultura infraestructura número cantidad"</f>
        <v>Región de Aysén espacio cultural cultura infraestructura número cantidad</v>
      </c>
      <c r="S1010"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https://analytics.zoho.com/open-view/2395394000008464012?ZOHO_CRITERIA=%22Espacios_Culturales_Completo%201%22.%22C%C3%B3digo_Regi%C3%B3n%22%20%3D%2011</v>
      </c>
      <c r="T1010" s="69" t="str">
        <f>"100-C-"&amp;Agencia[[#This Row],[Filtro URL]]</f>
        <v>100-C-11</v>
      </c>
      <c r="U1010" s="50" t="str">
        <f t="shared" si="1605"/>
        <v>#1774B9</v>
      </c>
      <c r="V1010" s="118" t="str">
        <f>+Agencia[[#This Row],[idcoleccion]]&amp;"-"&amp;Agencia[[#This Row],[id]]</f>
        <v>990-0999</v>
      </c>
      <c r="W1010" s="118">
        <f>+VLOOKUP(Agencia[[#This Row],[Filtro URL]],Estructura!$X$4:$Y$500,2,0)</f>
        <v>99200011</v>
      </c>
      <c r="X1010" s="118" t="str">
        <f>+VLOOKUP(Agencia[[#This Row],[tema]],Estructura!$A$4:$C$500,3,0)</f>
        <v>T-1024</v>
      </c>
      <c r="Y1010" s="118" t="str">
        <f>+VLOOKUP(Agencia[[#This Row],[contenido]],Estructura!$E$4:$G$500,3,0)</f>
        <v>C-1008</v>
      </c>
      <c r="Z1010" s="118" t="str">
        <f>+VLOOKUP(Agencia[[#This Row],[Filtro Integrado]],Estructura!$I$4:$K$500,3,0)</f>
        <v>FI-993</v>
      </c>
      <c r="AA1010" s="118" t="str">
        <f>+VLOOKUP(Agencia[[#This Row],[Muestra]],Estructura!$M$4:$O$500,3,0)</f>
        <v>M-1005</v>
      </c>
    </row>
    <row r="1011" spans="1:27" ht="72" x14ac:dyDescent="0.3">
      <c r="A1011" s="21" t="s">
        <v>1907</v>
      </c>
      <c r="B1011" s="24">
        <f t="shared" ref="B1011:D1011" si="1682">+B1010</f>
        <v>990</v>
      </c>
      <c r="C1011" s="25" t="str">
        <f t="shared" si="1682"/>
        <v>Agencia Información</v>
      </c>
      <c r="D1011" s="25" t="str">
        <f t="shared" si="1682"/>
        <v>Arte y cultura</v>
      </c>
      <c r="E1011" s="19">
        <v>12</v>
      </c>
      <c r="F1011" s="18" t="s">
        <v>1684</v>
      </c>
      <c r="G1011" s="18" t="s">
        <v>3781</v>
      </c>
      <c r="H1011" s="35" t="s">
        <v>16</v>
      </c>
      <c r="I1011" s="36" t="s">
        <v>379</v>
      </c>
      <c r="J1011" s="9" t="str">
        <f t="shared" ref="J1011:N1011" si="1683">+J1010</f>
        <v>Ninguno</v>
      </c>
      <c r="K1011" s="9" t="str">
        <f t="shared" si="1683"/>
        <v>Cantidad de espacios culturales por comuna</v>
      </c>
      <c r="L1011" s="38" t="str">
        <f t="shared" si="1683"/>
        <v>Año 2021</v>
      </c>
      <c r="M1011" s="9" t="str">
        <f t="shared" si="1683"/>
        <v>Número de espacios culturales</v>
      </c>
      <c r="N1011" s="9" t="str">
        <f t="shared" si="1683"/>
        <v>Observatorio Cultural</v>
      </c>
      <c r="O1011" s="45" t="str">
        <f>+"Mapa de la Cantidad de Espacios Culturales por Comuna en la "&amp;I1011&amp;", "&amp;Agencia[[#This Row],[temporalidad]]</f>
        <v>Mapa de la Cantidad de Espacios Culturales por Comuna en la Región de Magallanes, Año 2021</v>
      </c>
      <c r="P1011" s="20"/>
      <c r="Q1011" s="11" t="str">
        <f t="shared" si="1628"/>
        <v>Mapa de calor</v>
      </c>
      <c r="R1011" s="20" t="str">
        <f>Agencia[[#This Row],[territorio]]&amp;" espacio cultural cultura infraestructura número cantidad"</f>
        <v>Región de Magallanes espacio cultural cultura infraestructura número cantidad</v>
      </c>
      <c r="S1011"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https://analytics.zoho.com/open-view/2395394000008464012?ZOHO_CRITERIA=%22Espacios_Culturales_Completo%201%22.%22C%C3%B3digo_Regi%C3%B3n%22%20%3D%2012</v>
      </c>
      <c r="T1011" s="69" t="str">
        <f>"100-C-"&amp;Agencia[[#This Row],[Filtro URL]]</f>
        <v>100-C-12</v>
      </c>
      <c r="U1011" s="50" t="str">
        <f t="shared" si="1605"/>
        <v>#1774B9</v>
      </c>
      <c r="V1011" s="118" t="str">
        <f>+Agencia[[#This Row],[idcoleccion]]&amp;"-"&amp;Agencia[[#This Row],[id]]</f>
        <v>990-1000</v>
      </c>
      <c r="W1011" s="118">
        <f>+VLOOKUP(Agencia[[#This Row],[Filtro URL]],Estructura!$X$4:$Y$500,2,0)</f>
        <v>99200012</v>
      </c>
      <c r="X1011" s="118" t="str">
        <f>+VLOOKUP(Agencia[[#This Row],[tema]],Estructura!$A$4:$C$500,3,0)</f>
        <v>T-1024</v>
      </c>
      <c r="Y1011" s="118" t="str">
        <f>+VLOOKUP(Agencia[[#This Row],[contenido]],Estructura!$E$4:$G$500,3,0)</f>
        <v>C-1008</v>
      </c>
      <c r="Z1011" s="118" t="str">
        <f>+VLOOKUP(Agencia[[#This Row],[Filtro Integrado]],Estructura!$I$4:$K$500,3,0)</f>
        <v>FI-993</v>
      </c>
      <c r="AA1011" s="118" t="str">
        <f>+VLOOKUP(Agencia[[#This Row],[Muestra]],Estructura!$M$4:$O$500,3,0)</f>
        <v>M-1005</v>
      </c>
    </row>
    <row r="1012" spans="1:27" ht="72" x14ac:dyDescent="0.3">
      <c r="A1012" s="21" t="s">
        <v>1908</v>
      </c>
      <c r="B1012" s="24">
        <f t="shared" ref="B1012:D1012" si="1684">+B1011</f>
        <v>990</v>
      </c>
      <c r="C1012" s="25" t="str">
        <f t="shared" si="1684"/>
        <v>Agencia Información</v>
      </c>
      <c r="D1012" s="25" t="str">
        <f t="shared" si="1684"/>
        <v>Arte y cultura</v>
      </c>
      <c r="E1012" s="19">
        <v>13</v>
      </c>
      <c r="F1012" s="18" t="s">
        <v>1684</v>
      </c>
      <c r="G1012" s="18" t="s">
        <v>3781</v>
      </c>
      <c r="H1012" s="35" t="s">
        <v>16</v>
      </c>
      <c r="I1012" s="36" t="s">
        <v>380</v>
      </c>
      <c r="J1012" s="9" t="str">
        <f t="shared" ref="J1012:N1012" si="1685">+J1011</f>
        <v>Ninguno</v>
      </c>
      <c r="K1012" s="9" t="str">
        <f t="shared" si="1685"/>
        <v>Cantidad de espacios culturales por comuna</v>
      </c>
      <c r="L1012" s="38" t="str">
        <f t="shared" si="1685"/>
        <v>Año 2021</v>
      </c>
      <c r="M1012" s="9" t="str">
        <f t="shared" si="1685"/>
        <v>Número de espacios culturales</v>
      </c>
      <c r="N1012" s="9" t="str">
        <f t="shared" si="1685"/>
        <v>Observatorio Cultural</v>
      </c>
      <c r="O1012" s="45" t="str">
        <f>+"Mapa de la Cantidad de Espacios Culturales por Comuna en la "&amp;I1012&amp;", "&amp;Agencia[[#This Row],[temporalidad]]</f>
        <v>Mapa de la Cantidad de Espacios Culturales por Comuna en la Región Metropolitana, Año 2021</v>
      </c>
      <c r="P1012" s="20"/>
      <c r="Q1012" s="11" t="str">
        <f t="shared" si="1628"/>
        <v>Mapa de calor</v>
      </c>
      <c r="R1012" s="20" t="str">
        <f>Agencia[[#This Row],[territorio]]&amp;" espacio cultural cultura infraestructura número cantidad"</f>
        <v>Región Metropolitana espacio cultural cultura infraestructura número cantidad</v>
      </c>
      <c r="S1012"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https://analytics.zoho.com/open-view/2395394000008464012?ZOHO_CRITERIA=%22Espacios_Culturales_Completo%201%22.%22C%C3%B3digo_Regi%C3%B3n%22%20%3D%2013</v>
      </c>
      <c r="T1012" s="69" t="str">
        <f>"200-C-"&amp;Agencia[[#This Row],[Filtro URL]]</f>
        <v>200-C-13</v>
      </c>
      <c r="U1012" s="50" t="str">
        <f t="shared" si="1605"/>
        <v>#1774B9</v>
      </c>
      <c r="V1012" s="118" t="str">
        <f>+Agencia[[#This Row],[idcoleccion]]&amp;"-"&amp;Agencia[[#This Row],[id]]</f>
        <v>990-1001</v>
      </c>
      <c r="W1012" s="118">
        <f>+VLOOKUP(Agencia[[#This Row],[Filtro URL]],Estructura!$X$4:$Y$500,2,0)</f>
        <v>99200013</v>
      </c>
      <c r="X1012" s="118" t="str">
        <f>+VLOOKUP(Agencia[[#This Row],[tema]],Estructura!$A$4:$C$500,3,0)</f>
        <v>T-1024</v>
      </c>
      <c r="Y1012" s="118" t="str">
        <f>+VLOOKUP(Agencia[[#This Row],[contenido]],Estructura!$E$4:$G$500,3,0)</f>
        <v>C-1008</v>
      </c>
      <c r="Z1012" s="118" t="str">
        <f>+VLOOKUP(Agencia[[#This Row],[Filtro Integrado]],Estructura!$I$4:$K$500,3,0)</f>
        <v>FI-993</v>
      </c>
      <c r="AA1012" s="118" t="str">
        <f>+VLOOKUP(Agencia[[#This Row],[Muestra]],Estructura!$M$4:$O$500,3,0)</f>
        <v>M-1005</v>
      </c>
    </row>
    <row r="1013" spans="1:27" ht="72" x14ac:dyDescent="0.3">
      <c r="A1013" s="21" t="s">
        <v>1909</v>
      </c>
      <c r="B1013" s="24">
        <f t="shared" ref="B1013:D1013" si="1686">+B1012</f>
        <v>990</v>
      </c>
      <c r="C1013" s="25" t="str">
        <f t="shared" si="1686"/>
        <v>Agencia Información</v>
      </c>
      <c r="D1013" s="25" t="str">
        <f t="shared" si="1686"/>
        <v>Arte y cultura</v>
      </c>
      <c r="E1013" s="19">
        <v>14</v>
      </c>
      <c r="F1013" s="18" t="s">
        <v>1684</v>
      </c>
      <c r="G1013" s="18" t="s">
        <v>3781</v>
      </c>
      <c r="H1013" s="35" t="s">
        <v>16</v>
      </c>
      <c r="I1013" s="36" t="s">
        <v>381</v>
      </c>
      <c r="J1013" s="9" t="str">
        <f t="shared" ref="J1013:N1013" si="1687">+J1012</f>
        <v>Ninguno</v>
      </c>
      <c r="K1013" s="9" t="str">
        <f t="shared" si="1687"/>
        <v>Cantidad de espacios culturales por comuna</v>
      </c>
      <c r="L1013" s="38" t="str">
        <f t="shared" si="1687"/>
        <v>Año 2021</v>
      </c>
      <c r="M1013" s="9" t="str">
        <f t="shared" si="1687"/>
        <v>Número de espacios culturales</v>
      </c>
      <c r="N1013" s="9" t="str">
        <f t="shared" si="1687"/>
        <v>Observatorio Cultural</v>
      </c>
      <c r="O1013" s="45" t="str">
        <f>+"Mapa de la Cantidad de Espacios Culturales por Comuna en la "&amp;I1013&amp;", "&amp;Agencia[[#This Row],[temporalidad]]</f>
        <v>Mapa de la Cantidad de Espacios Culturales por Comuna en la Región de Los Ríos, Año 2021</v>
      </c>
      <c r="P1013" s="20"/>
      <c r="Q1013" s="11" t="str">
        <f t="shared" si="1628"/>
        <v>Mapa de calor</v>
      </c>
      <c r="R1013" s="20" t="str">
        <f>Agencia[[#This Row],[territorio]]&amp;" espacio cultural cultura infraestructura número cantidad"</f>
        <v>Región de Los Ríos espacio cultural cultura infraestructura número cantidad</v>
      </c>
      <c r="S1013"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https://analytics.zoho.com/open-view/2395394000008464012?ZOHO_CRITERIA=%22Espacios_Culturales_Completo%201%22.%22C%C3%B3digo_Regi%C3%B3n%22%20%3D%2014</v>
      </c>
      <c r="T1013" s="69" t="str">
        <f>"100-C-"&amp;Agencia[[#This Row],[Filtro URL]]</f>
        <v>100-C-14</v>
      </c>
      <c r="U1013" s="50" t="str">
        <f t="shared" si="1605"/>
        <v>#1774B9</v>
      </c>
      <c r="V1013" s="118" t="str">
        <f>+Agencia[[#This Row],[idcoleccion]]&amp;"-"&amp;Agencia[[#This Row],[id]]</f>
        <v>990-1002</v>
      </c>
      <c r="W1013" s="118">
        <f>+VLOOKUP(Agencia[[#This Row],[Filtro URL]],Estructura!$X$4:$Y$500,2,0)</f>
        <v>99200014</v>
      </c>
      <c r="X1013" s="118" t="str">
        <f>+VLOOKUP(Agencia[[#This Row],[tema]],Estructura!$A$4:$C$500,3,0)</f>
        <v>T-1024</v>
      </c>
      <c r="Y1013" s="118" t="str">
        <f>+VLOOKUP(Agencia[[#This Row],[contenido]],Estructura!$E$4:$G$500,3,0)</f>
        <v>C-1008</v>
      </c>
      <c r="Z1013" s="118" t="str">
        <f>+VLOOKUP(Agencia[[#This Row],[Filtro Integrado]],Estructura!$I$4:$K$500,3,0)</f>
        <v>FI-993</v>
      </c>
      <c r="AA1013" s="118" t="str">
        <f>+VLOOKUP(Agencia[[#This Row],[Muestra]],Estructura!$M$4:$O$500,3,0)</f>
        <v>M-1005</v>
      </c>
    </row>
    <row r="1014" spans="1:27" ht="72" x14ac:dyDescent="0.3">
      <c r="A1014" s="21" t="s">
        <v>1910</v>
      </c>
      <c r="B1014" s="24">
        <f t="shared" ref="B1014:D1014" si="1688">+B1013</f>
        <v>990</v>
      </c>
      <c r="C1014" s="25" t="str">
        <f t="shared" si="1688"/>
        <v>Agencia Información</v>
      </c>
      <c r="D1014" s="25" t="str">
        <f t="shared" si="1688"/>
        <v>Arte y cultura</v>
      </c>
      <c r="E1014" s="19">
        <v>15</v>
      </c>
      <c r="F1014" s="18" t="s">
        <v>1684</v>
      </c>
      <c r="G1014" s="18" t="s">
        <v>3781</v>
      </c>
      <c r="H1014" s="35" t="s">
        <v>16</v>
      </c>
      <c r="I1014" s="36" t="s">
        <v>382</v>
      </c>
      <c r="J1014" s="9" t="str">
        <f t="shared" ref="J1014:N1014" si="1689">+J1013</f>
        <v>Ninguno</v>
      </c>
      <c r="K1014" s="9" t="str">
        <f t="shared" si="1689"/>
        <v>Cantidad de espacios culturales por comuna</v>
      </c>
      <c r="L1014" s="38" t="str">
        <f t="shared" si="1689"/>
        <v>Año 2021</v>
      </c>
      <c r="M1014" s="9" t="str">
        <f t="shared" si="1689"/>
        <v>Número de espacios culturales</v>
      </c>
      <c r="N1014" s="9" t="str">
        <f t="shared" si="1689"/>
        <v>Observatorio Cultural</v>
      </c>
      <c r="O1014" s="45" t="str">
        <f>+"Mapa de la Cantidad de Espacios Culturales por Comuna en la "&amp;I1014&amp;", "&amp;Agencia[[#This Row],[temporalidad]]</f>
        <v>Mapa de la Cantidad de Espacios Culturales por Comuna en la Región de Arica y Parinacota, Año 2021</v>
      </c>
      <c r="P1014" s="20"/>
      <c r="Q1014" s="11" t="str">
        <f t="shared" si="1628"/>
        <v>Mapa de calor</v>
      </c>
      <c r="R1014" s="20" t="str">
        <f>Agencia[[#This Row],[territorio]]&amp;" espacio cultural cultura infraestructura número cantidad"</f>
        <v>Región de Arica y Parinacota espacio cultural cultura infraestructura número cantidad</v>
      </c>
      <c r="S1014"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https://analytics.zoho.com/open-view/2395394000008464012?ZOHO_CRITERIA=%22Espacios_Culturales_Completo%201%22.%22C%C3%B3digo_Regi%C3%B3n%22%20%3D%2015</v>
      </c>
      <c r="T1014" s="69" t="str">
        <f>"100-C-"&amp;Agencia[[#This Row],[Filtro URL]]</f>
        <v>100-C-15</v>
      </c>
      <c r="U1014" s="50" t="str">
        <f t="shared" si="1605"/>
        <v>#1774B9</v>
      </c>
      <c r="V1014" s="118" t="str">
        <f>+Agencia[[#This Row],[idcoleccion]]&amp;"-"&amp;Agencia[[#This Row],[id]]</f>
        <v>990-1003</v>
      </c>
      <c r="W1014" s="118">
        <f>+VLOOKUP(Agencia[[#This Row],[Filtro URL]],Estructura!$X$4:$Y$500,2,0)</f>
        <v>99200015</v>
      </c>
      <c r="X1014" s="118" t="str">
        <f>+VLOOKUP(Agencia[[#This Row],[tema]],Estructura!$A$4:$C$500,3,0)</f>
        <v>T-1024</v>
      </c>
      <c r="Y1014" s="118" t="str">
        <f>+VLOOKUP(Agencia[[#This Row],[contenido]],Estructura!$E$4:$G$500,3,0)</f>
        <v>C-1008</v>
      </c>
      <c r="Z1014" s="118" t="str">
        <f>+VLOOKUP(Agencia[[#This Row],[Filtro Integrado]],Estructura!$I$4:$K$500,3,0)</f>
        <v>FI-993</v>
      </c>
      <c r="AA1014" s="118" t="str">
        <f>+VLOOKUP(Agencia[[#This Row],[Muestra]],Estructura!$M$4:$O$500,3,0)</f>
        <v>M-1005</v>
      </c>
    </row>
    <row r="1015" spans="1:27" ht="72" x14ac:dyDescent="0.3">
      <c r="A1015" s="21" t="s">
        <v>1911</v>
      </c>
      <c r="B1015" s="24">
        <f t="shared" ref="B1015:D1015" si="1690">+B1014</f>
        <v>990</v>
      </c>
      <c r="C1015" s="25" t="str">
        <f t="shared" si="1690"/>
        <v>Agencia Información</v>
      </c>
      <c r="D1015" s="25" t="str">
        <f t="shared" si="1690"/>
        <v>Arte y cultura</v>
      </c>
      <c r="E1015" s="19">
        <v>16</v>
      </c>
      <c r="F1015" s="18" t="s">
        <v>1684</v>
      </c>
      <c r="G1015" s="18" t="s">
        <v>3781</v>
      </c>
      <c r="H1015" s="35" t="s">
        <v>16</v>
      </c>
      <c r="I1015" s="36" t="s">
        <v>383</v>
      </c>
      <c r="J1015" s="9" t="str">
        <f t="shared" ref="J1015:N1015" si="1691">+J1014</f>
        <v>Ninguno</v>
      </c>
      <c r="K1015" s="9" t="str">
        <f t="shared" si="1691"/>
        <v>Cantidad de espacios culturales por comuna</v>
      </c>
      <c r="L1015" s="38" t="str">
        <f t="shared" si="1691"/>
        <v>Año 2021</v>
      </c>
      <c r="M1015" s="9" t="str">
        <f t="shared" si="1691"/>
        <v>Número de espacios culturales</v>
      </c>
      <c r="N1015" s="9" t="str">
        <f t="shared" si="1691"/>
        <v>Observatorio Cultural</v>
      </c>
      <c r="O1015" s="45" t="str">
        <f>+"Mapa de la Cantidad de Espacios Culturales por Comuna en la "&amp;I1015&amp;", "&amp;Agencia[[#This Row],[temporalidad]]</f>
        <v>Mapa de la Cantidad de Espacios Culturales por Comuna en la Región de Ñuble, Año 2021</v>
      </c>
      <c r="P1015" s="20"/>
      <c r="Q1015" s="11" t="str">
        <f t="shared" si="1628"/>
        <v>Mapa de calor</v>
      </c>
      <c r="R1015" s="20" t="str">
        <f>Agencia[[#This Row],[territorio]]&amp;" espacio cultural cultura infraestructura número cantidad"</f>
        <v>Región de Ñuble espacio cultural cultura infraestructura número cantidad</v>
      </c>
      <c r="S1015" s="39" t="str">
        <f>HYPERLINK("https://analytics.zoho.com/open-view/2395394000008464012?ZOHO_CRITERIA=%22Espacios_Culturales_Completo%201%22.%22C%C3%B3digo_Regi%C3%B3n%22%20%3D%20"&amp;Agencia[[#This Row],[Filtro URL]])</f>
        <v>https://analytics.zoho.com/open-view/2395394000008464012?ZOHO_CRITERIA=%22Espacios_Culturales_Completo%201%22.%22C%C3%B3digo_Regi%C3%B3n%22%20%3D%2016</v>
      </c>
      <c r="T1015" s="69" t="str">
        <f>"100-C-"&amp;Agencia[[#This Row],[Filtro URL]]</f>
        <v>100-C-16</v>
      </c>
      <c r="U1015" s="50" t="str">
        <f t="shared" si="1605"/>
        <v>#1774B9</v>
      </c>
      <c r="V1015" s="118" t="str">
        <f>+Agencia[[#This Row],[idcoleccion]]&amp;"-"&amp;Agencia[[#This Row],[id]]</f>
        <v>990-1004</v>
      </c>
      <c r="W1015" s="118">
        <f>+VLOOKUP(Agencia[[#This Row],[Filtro URL]],Estructura!$X$4:$Y$500,2,0)</f>
        <v>99200016</v>
      </c>
      <c r="X1015" s="118" t="str">
        <f>+VLOOKUP(Agencia[[#This Row],[tema]],Estructura!$A$4:$C$500,3,0)</f>
        <v>T-1024</v>
      </c>
      <c r="Y1015" s="118" t="str">
        <f>+VLOOKUP(Agencia[[#This Row],[contenido]],Estructura!$E$4:$G$500,3,0)</f>
        <v>C-1008</v>
      </c>
      <c r="Z1015" s="118" t="str">
        <f>+VLOOKUP(Agencia[[#This Row],[Filtro Integrado]],Estructura!$I$4:$K$500,3,0)</f>
        <v>FI-993</v>
      </c>
      <c r="AA1015" s="118" t="str">
        <f>+VLOOKUP(Agencia[[#This Row],[Muestra]],Estructura!$M$4:$O$500,3,0)</f>
        <v>M-1005</v>
      </c>
    </row>
    <row r="1016" spans="1:27" ht="61.2" x14ac:dyDescent="0.3">
      <c r="A1016" s="21" t="s">
        <v>1912</v>
      </c>
      <c r="B1016" s="24">
        <f t="shared" ref="B1016:C1016" si="1692">+B1015</f>
        <v>990</v>
      </c>
      <c r="C1016" s="25" t="str">
        <f t="shared" si="1692"/>
        <v>Agencia Información</v>
      </c>
      <c r="D1016" s="25" t="s">
        <v>621</v>
      </c>
      <c r="E1016" s="14">
        <v>0</v>
      </c>
      <c r="F1016" s="18" t="s">
        <v>1687</v>
      </c>
      <c r="G1016" s="18" t="s">
        <v>3781</v>
      </c>
      <c r="H1016" s="33" t="s">
        <v>20</v>
      </c>
      <c r="I1016" s="34" t="s">
        <v>15</v>
      </c>
      <c r="J1016" s="9" t="s">
        <v>18</v>
      </c>
      <c r="K1016" s="9" t="s">
        <v>1689</v>
      </c>
      <c r="L1016" s="38" t="s">
        <v>614</v>
      </c>
      <c r="M1016" s="9" t="s">
        <v>624</v>
      </c>
      <c r="N1016" s="9" t="s">
        <v>625</v>
      </c>
      <c r="O1016" s="45" t="str">
        <f>+"Cantidad de Espacios Culturales por Fuente de Financiamiento y Región en "&amp;I1016&amp;", "&amp;Agencia[[#This Row],[temporalidad]]</f>
        <v>Cantidad de Espacios Culturales por Fuente de Financiamiento y Región en Chile, Año 2021</v>
      </c>
      <c r="P1016" s="20" t="s">
        <v>1688</v>
      </c>
      <c r="Q1016" s="11" t="s">
        <v>584</v>
      </c>
      <c r="R1016" s="20" t="str">
        <f>Agencia[[#This Row],[territorio]]&amp;" espacio cultural cultura infraestructura fuente financiamiento pública privada mixta"</f>
        <v>Chile espacio cultural cultura infraestructura fuente financiamiento pública privada mixta</v>
      </c>
      <c r="S1016" s="39" t="s">
        <v>1690</v>
      </c>
      <c r="T1016" s="68" t="s">
        <v>1033</v>
      </c>
      <c r="U1016" s="50" t="str">
        <f t="shared" si="1605"/>
        <v>#1774B9</v>
      </c>
      <c r="V1016" s="118" t="str">
        <f>+Agencia[[#This Row],[idcoleccion]]&amp;"-"&amp;Agencia[[#This Row],[id]]</f>
        <v>990-1005</v>
      </c>
      <c r="W1016" s="118">
        <f>+VLOOKUP(Agencia[[#This Row],[Filtro URL]],Estructura!$X$4:$Y$500,2,0)</f>
        <v>99100000</v>
      </c>
      <c r="X1016" s="118" t="str">
        <f>+VLOOKUP(Agencia[[#This Row],[tema]],Estructura!$A$4:$C$500,3,0)</f>
        <v>T-1025</v>
      </c>
      <c r="Y1016" s="118" t="str">
        <f>+VLOOKUP(Agencia[[#This Row],[contenido]],Estructura!$E$4:$G$500,3,0)</f>
        <v>C-1008</v>
      </c>
      <c r="Z1016" s="118" t="str">
        <f>+VLOOKUP(Agencia[[#This Row],[Filtro Integrado]],Estructura!$I$4:$K$500,3,0)</f>
        <v>FI-991</v>
      </c>
      <c r="AA1016" s="118" t="str">
        <f>+VLOOKUP(Agencia[[#This Row],[Muestra]],Estructura!$M$4:$O$500,3,0)</f>
        <v>M-1077</v>
      </c>
    </row>
    <row r="1017" spans="1:27" ht="72" x14ac:dyDescent="0.3">
      <c r="A1017" s="21" t="s">
        <v>1913</v>
      </c>
      <c r="B1017" s="24">
        <f t="shared" ref="B1017:D1017" si="1693">+B1016</f>
        <v>990</v>
      </c>
      <c r="C1017" s="25" t="str">
        <f t="shared" si="1693"/>
        <v>Agencia Información</v>
      </c>
      <c r="D1017" s="25" t="str">
        <f t="shared" si="1693"/>
        <v>Arte y cultura</v>
      </c>
      <c r="E1017" s="19">
        <v>1</v>
      </c>
      <c r="F1017" s="18" t="s">
        <v>1687</v>
      </c>
      <c r="G1017" s="18" t="s">
        <v>3781</v>
      </c>
      <c r="H1017" s="35" t="s">
        <v>16</v>
      </c>
      <c r="I1017" s="36" t="s">
        <v>368</v>
      </c>
      <c r="J1017" s="9" t="s">
        <v>18</v>
      </c>
      <c r="K1017" s="9" t="s">
        <v>1689</v>
      </c>
      <c r="L1017" s="38" t="str">
        <f>+L1016</f>
        <v>Año 2021</v>
      </c>
      <c r="M1017" s="9" t="str">
        <f t="shared" ref="M1017:N1017" si="1694">+M1016</f>
        <v>Número de espacios culturales</v>
      </c>
      <c r="N1017" s="9" t="str">
        <f t="shared" si="1694"/>
        <v>Observatorio Cultural</v>
      </c>
      <c r="O1017" s="45" t="str">
        <f>+"Cantidad de Espacios Culturales por Fuente de Financiamiento en la "&amp;I1017&amp;", "&amp;Agencia[[#This Row],[temporalidad]]</f>
        <v>Cantidad de Espacios Culturales por Fuente de Financiamiento en la Región de Tarapacá, Año 2021</v>
      </c>
      <c r="P1017" s="20"/>
      <c r="Q1017" s="11" t="str">
        <f t="shared" si="1628"/>
        <v>Gráfico</v>
      </c>
      <c r="R1017" s="20" t="str">
        <f>Agencia[[#This Row],[territorio]]&amp;" espacio cultural cultura infraestructura fuente financiamiento pública privada mixta"</f>
        <v>Región de Tarapacá espacio cultural cultura infraestructura fuente financiamiento pública privada mixta</v>
      </c>
      <c r="S1017"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https://analytics.zoho.com/open-view/2395394000008464140?ZOHO_CRITERIA=%22Espacios_Culturales_Completo%201%22.%22C%C3%B3digo_Regi%C3%B3n%22%20%3D%201</v>
      </c>
      <c r="T1017" s="69" t="str">
        <f>"100-C-"&amp;Agencia[[#This Row],[Filtro URL]]</f>
        <v>100-C-1</v>
      </c>
      <c r="U1017" s="50" t="str">
        <f t="shared" si="1605"/>
        <v>#1774B9</v>
      </c>
      <c r="V1017" s="118" t="str">
        <f>+Agencia[[#This Row],[idcoleccion]]&amp;"-"&amp;Agencia[[#This Row],[id]]</f>
        <v>990-1006</v>
      </c>
      <c r="W1017" s="118">
        <f>+VLOOKUP(Agencia[[#This Row],[Filtro URL]],Estructura!$X$4:$Y$500,2,0)</f>
        <v>99200001</v>
      </c>
      <c r="X1017" s="118" t="str">
        <f>+VLOOKUP(Agencia[[#This Row],[tema]],Estructura!$A$4:$C$500,3,0)</f>
        <v>T-1025</v>
      </c>
      <c r="Y1017" s="118" t="str">
        <f>+VLOOKUP(Agencia[[#This Row],[contenido]],Estructura!$E$4:$G$500,3,0)</f>
        <v>C-1008</v>
      </c>
      <c r="Z1017" s="118" t="str">
        <f>+VLOOKUP(Agencia[[#This Row],[Filtro Integrado]],Estructura!$I$4:$K$500,3,0)</f>
        <v>FI-991</v>
      </c>
      <c r="AA1017" s="118" t="str">
        <f>+VLOOKUP(Agencia[[#This Row],[Muestra]],Estructura!$M$4:$O$500,3,0)</f>
        <v>M-1077</v>
      </c>
    </row>
    <row r="1018" spans="1:27" ht="72" x14ac:dyDescent="0.3">
      <c r="A1018" s="21" t="s">
        <v>1914</v>
      </c>
      <c r="B1018" s="24">
        <f t="shared" ref="B1018:D1018" si="1695">+B1017</f>
        <v>990</v>
      </c>
      <c r="C1018" s="25" t="str">
        <f t="shared" si="1695"/>
        <v>Agencia Información</v>
      </c>
      <c r="D1018" s="25" t="str">
        <f t="shared" si="1695"/>
        <v>Arte y cultura</v>
      </c>
      <c r="E1018" s="19">
        <v>2</v>
      </c>
      <c r="F1018" s="18" t="s">
        <v>1687</v>
      </c>
      <c r="G1018" s="18" t="s">
        <v>3781</v>
      </c>
      <c r="H1018" s="35" t="s">
        <v>16</v>
      </c>
      <c r="I1018" s="36" t="s">
        <v>369</v>
      </c>
      <c r="J1018" s="9" t="str">
        <f t="shared" ref="J1018:N1018" si="1696">+J1017</f>
        <v>Comuna</v>
      </c>
      <c r="K1018" s="9" t="str">
        <f t="shared" si="1696"/>
        <v>Cantidad de espacios culturales por financiamiento por comuna</v>
      </c>
      <c r="L1018" s="38" t="str">
        <f t="shared" si="1696"/>
        <v>Año 2021</v>
      </c>
      <c r="M1018" s="9" t="str">
        <f t="shared" si="1696"/>
        <v>Número de espacios culturales</v>
      </c>
      <c r="N1018" s="9" t="str">
        <f t="shared" si="1696"/>
        <v>Observatorio Cultural</v>
      </c>
      <c r="O1018" s="45" t="str">
        <f>+"Cantidad de Espacios Culturales por Fuente de Financiamiento en la "&amp;I1018&amp;", "&amp;Agencia[[#This Row],[temporalidad]]</f>
        <v>Cantidad de Espacios Culturales por Fuente de Financiamiento en la Región de Antofagasta, Año 2021</v>
      </c>
      <c r="P1018" s="20"/>
      <c r="Q1018" s="11" t="str">
        <f t="shared" si="1628"/>
        <v>Gráfico</v>
      </c>
      <c r="R1018" s="20" t="str">
        <f>Agencia[[#This Row],[territorio]]&amp;" espacio cultural cultura infraestructura fuente financiamiento pública privada mixta"</f>
        <v>Región de Antofagasta espacio cultural cultura infraestructura fuente financiamiento pública privada mixta</v>
      </c>
      <c r="S1018"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https://analytics.zoho.com/open-view/2395394000008464140?ZOHO_CRITERIA=%22Espacios_Culturales_Completo%201%22.%22C%C3%B3digo_Regi%C3%B3n%22%20%3D%202</v>
      </c>
      <c r="T1018" s="69" t="str">
        <f>"100-C-"&amp;Agencia[[#This Row],[Filtro URL]]</f>
        <v>100-C-2</v>
      </c>
      <c r="U1018" s="50" t="str">
        <f t="shared" si="1605"/>
        <v>#1774B9</v>
      </c>
      <c r="V1018" s="118" t="str">
        <f>+Agencia[[#This Row],[idcoleccion]]&amp;"-"&amp;Agencia[[#This Row],[id]]</f>
        <v>990-1007</v>
      </c>
      <c r="W1018" s="118">
        <f>+VLOOKUP(Agencia[[#This Row],[Filtro URL]],Estructura!$X$4:$Y$500,2,0)</f>
        <v>99200002</v>
      </c>
      <c r="X1018" s="118" t="str">
        <f>+VLOOKUP(Agencia[[#This Row],[tema]],Estructura!$A$4:$C$500,3,0)</f>
        <v>T-1025</v>
      </c>
      <c r="Y1018" s="118" t="str">
        <f>+VLOOKUP(Agencia[[#This Row],[contenido]],Estructura!$E$4:$G$500,3,0)</f>
        <v>C-1008</v>
      </c>
      <c r="Z1018" s="118" t="str">
        <f>+VLOOKUP(Agencia[[#This Row],[Filtro Integrado]],Estructura!$I$4:$K$500,3,0)</f>
        <v>FI-991</v>
      </c>
      <c r="AA1018" s="118" t="str">
        <f>+VLOOKUP(Agencia[[#This Row],[Muestra]],Estructura!$M$4:$O$500,3,0)</f>
        <v>M-1077</v>
      </c>
    </row>
    <row r="1019" spans="1:27" ht="72" x14ac:dyDescent="0.3">
      <c r="A1019" s="21" t="s">
        <v>1915</v>
      </c>
      <c r="B1019" s="24">
        <f t="shared" ref="B1019:D1019" si="1697">+B1018</f>
        <v>990</v>
      </c>
      <c r="C1019" s="25" t="str">
        <f t="shared" si="1697"/>
        <v>Agencia Información</v>
      </c>
      <c r="D1019" s="25" t="str">
        <f t="shared" si="1697"/>
        <v>Arte y cultura</v>
      </c>
      <c r="E1019" s="19">
        <v>3</v>
      </c>
      <c r="F1019" s="18" t="s">
        <v>1687</v>
      </c>
      <c r="G1019" s="18" t="s">
        <v>3781</v>
      </c>
      <c r="H1019" s="35" t="s">
        <v>16</v>
      </c>
      <c r="I1019" s="36" t="s">
        <v>370</v>
      </c>
      <c r="J1019" s="9" t="str">
        <f t="shared" ref="J1019:N1019" si="1698">+J1018</f>
        <v>Comuna</v>
      </c>
      <c r="K1019" s="9" t="str">
        <f t="shared" si="1698"/>
        <v>Cantidad de espacios culturales por financiamiento por comuna</v>
      </c>
      <c r="L1019" s="38" t="str">
        <f t="shared" si="1698"/>
        <v>Año 2021</v>
      </c>
      <c r="M1019" s="9" t="str">
        <f t="shared" si="1698"/>
        <v>Número de espacios culturales</v>
      </c>
      <c r="N1019" s="9" t="str">
        <f t="shared" si="1698"/>
        <v>Observatorio Cultural</v>
      </c>
      <c r="O1019" s="45" t="str">
        <f>+"Cantidad de Espacios Culturales por Fuente de Financiamiento en la "&amp;I1019&amp;", "&amp;Agencia[[#This Row],[temporalidad]]</f>
        <v>Cantidad de Espacios Culturales por Fuente de Financiamiento en la Región de Atacama, Año 2021</v>
      </c>
      <c r="P1019" s="20"/>
      <c r="Q1019" s="11" t="str">
        <f t="shared" si="1628"/>
        <v>Gráfico</v>
      </c>
      <c r="R1019" s="20" t="str">
        <f>Agencia[[#This Row],[territorio]]&amp;" espacio cultural cultura infraestructura fuente financiamiento pública privada mixta"</f>
        <v>Región de Atacama espacio cultural cultura infraestructura fuente financiamiento pública privada mixta</v>
      </c>
      <c r="S1019"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https://analytics.zoho.com/open-view/2395394000008464140?ZOHO_CRITERIA=%22Espacios_Culturales_Completo%201%22.%22C%C3%B3digo_Regi%C3%B3n%22%20%3D%203</v>
      </c>
      <c r="T1019" s="69" t="str">
        <f>"100-C-"&amp;Agencia[[#This Row],[Filtro URL]]</f>
        <v>100-C-3</v>
      </c>
      <c r="U1019" s="50" t="str">
        <f t="shared" si="1605"/>
        <v>#1774B9</v>
      </c>
      <c r="V1019" s="118" t="str">
        <f>+Agencia[[#This Row],[idcoleccion]]&amp;"-"&amp;Agencia[[#This Row],[id]]</f>
        <v>990-1008</v>
      </c>
      <c r="W1019" s="118">
        <f>+VLOOKUP(Agencia[[#This Row],[Filtro URL]],Estructura!$X$4:$Y$500,2,0)</f>
        <v>99200003</v>
      </c>
      <c r="X1019" s="118" t="str">
        <f>+VLOOKUP(Agencia[[#This Row],[tema]],Estructura!$A$4:$C$500,3,0)</f>
        <v>T-1025</v>
      </c>
      <c r="Y1019" s="118" t="str">
        <f>+VLOOKUP(Agencia[[#This Row],[contenido]],Estructura!$E$4:$G$500,3,0)</f>
        <v>C-1008</v>
      </c>
      <c r="Z1019" s="118" t="str">
        <f>+VLOOKUP(Agencia[[#This Row],[Filtro Integrado]],Estructura!$I$4:$K$500,3,0)</f>
        <v>FI-991</v>
      </c>
      <c r="AA1019" s="118" t="str">
        <f>+VLOOKUP(Agencia[[#This Row],[Muestra]],Estructura!$M$4:$O$500,3,0)</f>
        <v>M-1077</v>
      </c>
    </row>
    <row r="1020" spans="1:27" ht="72" x14ac:dyDescent="0.3">
      <c r="A1020" s="21" t="s">
        <v>1916</v>
      </c>
      <c r="B1020" s="24">
        <f t="shared" ref="B1020:D1020" si="1699">+B1019</f>
        <v>990</v>
      </c>
      <c r="C1020" s="25" t="str">
        <f t="shared" si="1699"/>
        <v>Agencia Información</v>
      </c>
      <c r="D1020" s="25" t="str">
        <f t="shared" si="1699"/>
        <v>Arte y cultura</v>
      </c>
      <c r="E1020" s="19">
        <v>4</v>
      </c>
      <c r="F1020" s="18" t="s">
        <v>1687</v>
      </c>
      <c r="G1020" s="18" t="s">
        <v>3781</v>
      </c>
      <c r="H1020" s="35" t="s">
        <v>16</v>
      </c>
      <c r="I1020" s="36" t="s">
        <v>371</v>
      </c>
      <c r="J1020" s="9" t="str">
        <f t="shared" ref="J1020:N1020" si="1700">+J1019</f>
        <v>Comuna</v>
      </c>
      <c r="K1020" s="9" t="str">
        <f t="shared" si="1700"/>
        <v>Cantidad de espacios culturales por financiamiento por comuna</v>
      </c>
      <c r="L1020" s="38" t="str">
        <f t="shared" si="1700"/>
        <v>Año 2021</v>
      </c>
      <c r="M1020" s="9" t="str">
        <f t="shared" si="1700"/>
        <v>Número de espacios culturales</v>
      </c>
      <c r="N1020" s="9" t="str">
        <f t="shared" si="1700"/>
        <v>Observatorio Cultural</v>
      </c>
      <c r="O1020" s="45" t="str">
        <f>+"Cantidad de Espacios Culturales por Fuente de Financiamiento en la "&amp;I1020&amp;", "&amp;Agencia[[#This Row],[temporalidad]]</f>
        <v>Cantidad de Espacios Culturales por Fuente de Financiamiento en la Región de Coquimbo, Año 2021</v>
      </c>
      <c r="P1020" s="20"/>
      <c r="Q1020" s="11" t="str">
        <f t="shared" si="1628"/>
        <v>Gráfico</v>
      </c>
      <c r="R1020" s="20" t="str">
        <f>Agencia[[#This Row],[territorio]]&amp;" espacio cultural cultura infraestructura fuente financiamiento pública privada mixta"</f>
        <v>Región de Coquimbo espacio cultural cultura infraestructura fuente financiamiento pública privada mixta</v>
      </c>
      <c r="S1020"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https://analytics.zoho.com/open-view/2395394000008464140?ZOHO_CRITERIA=%22Espacios_Culturales_Completo%201%22.%22C%C3%B3digo_Regi%C3%B3n%22%20%3D%204</v>
      </c>
      <c r="T1020" s="69" t="str">
        <f>"100-C-"&amp;Agencia[[#This Row],[Filtro URL]]</f>
        <v>100-C-4</v>
      </c>
      <c r="U1020" s="50" t="str">
        <f t="shared" si="1605"/>
        <v>#1774B9</v>
      </c>
      <c r="V1020" s="118" t="str">
        <f>+Agencia[[#This Row],[idcoleccion]]&amp;"-"&amp;Agencia[[#This Row],[id]]</f>
        <v>990-1009</v>
      </c>
      <c r="W1020" s="118">
        <f>+VLOOKUP(Agencia[[#This Row],[Filtro URL]],Estructura!$X$4:$Y$500,2,0)</f>
        <v>99200004</v>
      </c>
      <c r="X1020" s="118" t="str">
        <f>+VLOOKUP(Agencia[[#This Row],[tema]],Estructura!$A$4:$C$500,3,0)</f>
        <v>T-1025</v>
      </c>
      <c r="Y1020" s="118" t="str">
        <f>+VLOOKUP(Agencia[[#This Row],[contenido]],Estructura!$E$4:$G$500,3,0)</f>
        <v>C-1008</v>
      </c>
      <c r="Z1020" s="118" t="str">
        <f>+VLOOKUP(Agencia[[#This Row],[Filtro Integrado]],Estructura!$I$4:$K$500,3,0)</f>
        <v>FI-991</v>
      </c>
      <c r="AA1020" s="118" t="str">
        <f>+VLOOKUP(Agencia[[#This Row],[Muestra]],Estructura!$M$4:$O$500,3,0)</f>
        <v>M-1077</v>
      </c>
    </row>
    <row r="1021" spans="1:27" ht="72" x14ac:dyDescent="0.3">
      <c r="A1021" s="21" t="s">
        <v>1917</v>
      </c>
      <c r="B1021" s="24">
        <f t="shared" ref="B1021:D1021" si="1701">+B1020</f>
        <v>990</v>
      </c>
      <c r="C1021" s="25" t="str">
        <f t="shared" si="1701"/>
        <v>Agencia Información</v>
      </c>
      <c r="D1021" s="25" t="str">
        <f t="shared" si="1701"/>
        <v>Arte y cultura</v>
      </c>
      <c r="E1021" s="19">
        <v>5</v>
      </c>
      <c r="F1021" s="18" t="s">
        <v>1687</v>
      </c>
      <c r="G1021" s="18" t="s">
        <v>3781</v>
      </c>
      <c r="H1021" s="35" t="s">
        <v>16</v>
      </c>
      <c r="I1021" s="36" t="s">
        <v>372</v>
      </c>
      <c r="J1021" s="9" t="str">
        <f t="shared" ref="J1021:N1021" si="1702">+J1020</f>
        <v>Comuna</v>
      </c>
      <c r="K1021" s="9" t="str">
        <f t="shared" si="1702"/>
        <v>Cantidad de espacios culturales por financiamiento por comuna</v>
      </c>
      <c r="L1021" s="38" t="str">
        <f t="shared" si="1702"/>
        <v>Año 2021</v>
      </c>
      <c r="M1021" s="9" t="str">
        <f t="shared" si="1702"/>
        <v>Número de espacios culturales</v>
      </c>
      <c r="N1021" s="9" t="str">
        <f t="shared" si="1702"/>
        <v>Observatorio Cultural</v>
      </c>
      <c r="O1021" s="45" t="str">
        <f>+"Cantidad de Espacios Culturales por Fuente de Financiamiento en la "&amp;I1021&amp;", "&amp;Agencia[[#This Row],[temporalidad]]</f>
        <v>Cantidad de Espacios Culturales por Fuente de Financiamiento en la Región de Valparaíso, Año 2021</v>
      </c>
      <c r="P1021" s="20"/>
      <c r="Q1021" s="11" t="str">
        <f t="shared" si="1628"/>
        <v>Gráfico</v>
      </c>
      <c r="R1021" s="20" t="str">
        <f>Agencia[[#This Row],[territorio]]&amp;" espacio cultural cultura infraestructura fuente financiamiento pública privada mixta"</f>
        <v>Región de Valparaíso espacio cultural cultura infraestructura fuente financiamiento pública privada mixta</v>
      </c>
      <c r="S1021"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https://analytics.zoho.com/open-view/2395394000008464140?ZOHO_CRITERIA=%22Espacios_Culturales_Completo%201%22.%22C%C3%B3digo_Regi%C3%B3n%22%20%3D%205</v>
      </c>
      <c r="T1021" s="69" t="str">
        <f>"100-C-"&amp;Agencia[[#This Row],[Filtro URL]]</f>
        <v>100-C-5</v>
      </c>
      <c r="U1021" s="50" t="str">
        <f t="shared" si="1605"/>
        <v>#1774B9</v>
      </c>
      <c r="V1021" s="118" t="str">
        <f>+Agencia[[#This Row],[idcoleccion]]&amp;"-"&amp;Agencia[[#This Row],[id]]</f>
        <v>990-1010</v>
      </c>
      <c r="W1021" s="118">
        <f>+VLOOKUP(Agencia[[#This Row],[Filtro URL]],Estructura!$X$4:$Y$500,2,0)</f>
        <v>99200005</v>
      </c>
      <c r="X1021" s="118" t="str">
        <f>+VLOOKUP(Agencia[[#This Row],[tema]],Estructura!$A$4:$C$500,3,0)</f>
        <v>T-1025</v>
      </c>
      <c r="Y1021" s="118" t="str">
        <f>+VLOOKUP(Agencia[[#This Row],[contenido]],Estructura!$E$4:$G$500,3,0)</f>
        <v>C-1008</v>
      </c>
      <c r="Z1021" s="118" t="str">
        <f>+VLOOKUP(Agencia[[#This Row],[Filtro Integrado]],Estructura!$I$4:$K$500,3,0)</f>
        <v>FI-991</v>
      </c>
      <c r="AA1021" s="118" t="str">
        <f>+VLOOKUP(Agencia[[#This Row],[Muestra]],Estructura!$M$4:$O$500,3,0)</f>
        <v>M-1077</v>
      </c>
    </row>
    <row r="1022" spans="1:27" ht="72" x14ac:dyDescent="0.3">
      <c r="A1022" s="21" t="s">
        <v>1918</v>
      </c>
      <c r="B1022" s="24">
        <f t="shared" ref="B1022:D1022" si="1703">+B1021</f>
        <v>990</v>
      </c>
      <c r="C1022" s="25" t="str">
        <f t="shared" si="1703"/>
        <v>Agencia Información</v>
      </c>
      <c r="D1022" s="25" t="str">
        <f t="shared" si="1703"/>
        <v>Arte y cultura</v>
      </c>
      <c r="E1022" s="19">
        <v>6</v>
      </c>
      <c r="F1022" s="18" t="s">
        <v>1687</v>
      </c>
      <c r="G1022" s="18" t="s">
        <v>3781</v>
      </c>
      <c r="H1022" s="35" t="s">
        <v>16</v>
      </c>
      <c r="I1022" s="36" t="s">
        <v>373</v>
      </c>
      <c r="J1022" s="9" t="str">
        <f t="shared" ref="J1022:N1022" si="1704">+J1021</f>
        <v>Comuna</v>
      </c>
      <c r="K1022" s="9" t="str">
        <f t="shared" si="1704"/>
        <v>Cantidad de espacios culturales por financiamiento por comuna</v>
      </c>
      <c r="L1022" s="38" t="str">
        <f t="shared" si="1704"/>
        <v>Año 2021</v>
      </c>
      <c r="M1022" s="9" t="str">
        <f t="shared" si="1704"/>
        <v>Número de espacios culturales</v>
      </c>
      <c r="N1022" s="9" t="str">
        <f t="shared" si="1704"/>
        <v>Observatorio Cultural</v>
      </c>
      <c r="O1022" s="45" t="str">
        <f>+"Cantidad de Espacios Culturales por Fuente de Financiamiento en la "&amp;I1022&amp;", "&amp;Agencia[[#This Row],[temporalidad]]</f>
        <v>Cantidad de Espacios Culturales por Fuente de Financiamiento en la Región de O'Higgins, Año 2021</v>
      </c>
      <c r="P1022" s="20"/>
      <c r="Q1022" s="11" t="str">
        <f t="shared" si="1628"/>
        <v>Gráfico</v>
      </c>
      <c r="R1022" s="20" t="str">
        <f>Agencia[[#This Row],[territorio]]&amp;" espacio cultural cultura infraestructura fuente financiamiento pública privada mixta"</f>
        <v>Región de O'Higgins espacio cultural cultura infraestructura fuente financiamiento pública privada mixta</v>
      </c>
      <c r="S1022"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https://analytics.zoho.com/open-view/2395394000008464140?ZOHO_CRITERIA=%22Espacios_Culturales_Completo%201%22.%22C%C3%B3digo_Regi%C3%B3n%22%20%3D%206</v>
      </c>
      <c r="T1022" s="69" t="str">
        <f>"100-C-"&amp;Agencia[[#This Row],[Filtro URL]]</f>
        <v>100-C-6</v>
      </c>
      <c r="U1022" s="50" t="str">
        <f t="shared" si="1605"/>
        <v>#1774B9</v>
      </c>
      <c r="V1022" s="118" t="str">
        <f>+Agencia[[#This Row],[idcoleccion]]&amp;"-"&amp;Agencia[[#This Row],[id]]</f>
        <v>990-1011</v>
      </c>
      <c r="W1022" s="118">
        <f>+VLOOKUP(Agencia[[#This Row],[Filtro URL]],Estructura!$X$4:$Y$500,2,0)</f>
        <v>99200006</v>
      </c>
      <c r="X1022" s="118" t="str">
        <f>+VLOOKUP(Agencia[[#This Row],[tema]],Estructura!$A$4:$C$500,3,0)</f>
        <v>T-1025</v>
      </c>
      <c r="Y1022" s="118" t="str">
        <f>+VLOOKUP(Agencia[[#This Row],[contenido]],Estructura!$E$4:$G$500,3,0)</f>
        <v>C-1008</v>
      </c>
      <c r="Z1022" s="118" t="str">
        <f>+VLOOKUP(Agencia[[#This Row],[Filtro Integrado]],Estructura!$I$4:$K$500,3,0)</f>
        <v>FI-991</v>
      </c>
      <c r="AA1022" s="118" t="str">
        <f>+VLOOKUP(Agencia[[#This Row],[Muestra]],Estructura!$M$4:$O$500,3,0)</f>
        <v>M-1077</v>
      </c>
    </row>
    <row r="1023" spans="1:27" ht="72" x14ac:dyDescent="0.3">
      <c r="A1023" s="21" t="s">
        <v>1919</v>
      </c>
      <c r="B1023" s="24">
        <f t="shared" ref="B1023:D1023" si="1705">+B1022</f>
        <v>990</v>
      </c>
      <c r="C1023" s="25" t="str">
        <f t="shared" si="1705"/>
        <v>Agencia Información</v>
      </c>
      <c r="D1023" s="25" t="str">
        <f t="shared" si="1705"/>
        <v>Arte y cultura</v>
      </c>
      <c r="E1023" s="19">
        <v>7</v>
      </c>
      <c r="F1023" s="18" t="s">
        <v>1687</v>
      </c>
      <c r="G1023" s="18" t="s">
        <v>3781</v>
      </c>
      <c r="H1023" s="35" t="s">
        <v>16</v>
      </c>
      <c r="I1023" s="36" t="s">
        <v>374</v>
      </c>
      <c r="J1023" s="9" t="str">
        <f t="shared" ref="J1023:N1023" si="1706">+J1022</f>
        <v>Comuna</v>
      </c>
      <c r="K1023" s="9" t="str">
        <f t="shared" si="1706"/>
        <v>Cantidad de espacios culturales por financiamiento por comuna</v>
      </c>
      <c r="L1023" s="38" t="str">
        <f t="shared" si="1706"/>
        <v>Año 2021</v>
      </c>
      <c r="M1023" s="9" t="str">
        <f t="shared" si="1706"/>
        <v>Número de espacios culturales</v>
      </c>
      <c r="N1023" s="9" t="str">
        <f t="shared" si="1706"/>
        <v>Observatorio Cultural</v>
      </c>
      <c r="O1023" s="45" t="str">
        <f>+"Cantidad de Espacios Culturales por Fuente de Financiamiento en la "&amp;I1023&amp;", "&amp;Agencia[[#This Row],[temporalidad]]</f>
        <v>Cantidad de Espacios Culturales por Fuente de Financiamiento en la Región de Maule, Año 2021</v>
      </c>
      <c r="P1023" s="20"/>
      <c r="Q1023" s="11" t="str">
        <f t="shared" si="1628"/>
        <v>Gráfico</v>
      </c>
      <c r="R1023" s="20" t="str">
        <f>Agencia[[#This Row],[territorio]]&amp;" espacio cultural cultura infraestructura fuente financiamiento pública privada mixta"</f>
        <v>Región de Maule espacio cultural cultura infraestructura fuente financiamiento pública privada mixta</v>
      </c>
      <c r="S1023"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https://analytics.zoho.com/open-view/2395394000008464140?ZOHO_CRITERIA=%22Espacios_Culturales_Completo%201%22.%22C%C3%B3digo_Regi%C3%B3n%22%20%3D%207</v>
      </c>
      <c r="T1023" s="69" t="str">
        <f>"100-C-"&amp;Agencia[[#This Row],[Filtro URL]]</f>
        <v>100-C-7</v>
      </c>
      <c r="U1023" s="50" t="str">
        <f t="shared" si="1605"/>
        <v>#1774B9</v>
      </c>
      <c r="V1023" s="118" t="str">
        <f>+Agencia[[#This Row],[idcoleccion]]&amp;"-"&amp;Agencia[[#This Row],[id]]</f>
        <v>990-1012</v>
      </c>
      <c r="W1023" s="118">
        <f>+VLOOKUP(Agencia[[#This Row],[Filtro URL]],Estructura!$X$4:$Y$500,2,0)</f>
        <v>99200007</v>
      </c>
      <c r="X1023" s="118" t="str">
        <f>+VLOOKUP(Agencia[[#This Row],[tema]],Estructura!$A$4:$C$500,3,0)</f>
        <v>T-1025</v>
      </c>
      <c r="Y1023" s="118" t="str">
        <f>+VLOOKUP(Agencia[[#This Row],[contenido]],Estructura!$E$4:$G$500,3,0)</f>
        <v>C-1008</v>
      </c>
      <c r="Z1023" s="118" t="str">
        <f>+VLOOKUP(Agencia[[#This Row],[Filtro Integrado]],Estructura!$I$4:$K$500,3,0)</f>
        <v>FI-991</v>
      </c>
      <c r="AA1023" s="118" t="str">
        <f>+VLOOKUP(Agencia[[#This Row],[Muestra]],Estructura!$M$4:$O$500,3,0)</f>
        <v>M-1077</v>
      </c>
    </row>
    <row r="1024" spans="1:27" ht="72" x14ac:dyDescent="0.3">
      <c r="A1024" s="21" t="s">
        <v>1920</v>
      </c>
      <c r="B1024" s="24">
        <f t="shared" ref="B1024:D1024" si="1707">+B1023</f>
        <v>990</v>
      </c>
      <c r="C1024" s="25" t="str">
        <f t="shared" si="1707"/>
        <v>Agencia Información</v>
      </c>
      <c r="D1024" s="25" t="str">
        <f t="shared" si="1707"/>
        <v>Arte y cultura</v>
      </c>
      <c r="E1024" s="19">
        <v>8</v>
      </c>
      <c r="F1024" s="18" t="s">
        <v>1687</v>
      </c>
      <c r="G1024" s="18" t="s">
        <v>3781</v>
      </c>
      <c r="H1024" s="35" t="s">
        <v>16</v>
      </c>
      <c r="I1024" s="36" t="s">
        <v>375</v>
      </c>
      <c r="J1024" s="9" t="str">
        <f t="shared" ref="J1024:N1024" si="1708">+J1023</f>
        <v>Comuna</v>
      </c>
      <c r="K1024" s="9" t="str">
        <f t="shared" si="1708"/>
        <v>Cantidad de espacios culturales por financiamiento por comuna</v>
      </c>
      <c r="L1024" s="38" t="str">
        <f t="shared" si="1708"/>
        <v>Año 2021</v>
      </c>
      <c r="M1024" s="9" t="str">
        <f t="shared" si="1708"/>
        <v>Número de espacios culturales</v>
      </c>
      <c r="N1024" s="9" t="str">
        <f t="shared" si="1708"/>
        <v>Observatorio Cultural</v>
      </c>
      <c r="O1024" s="45" t="str">
        <f>+"Cantidad de Espacios Culturales por Fuente de Financiamiento en la "&amp;I1024&amp;", "&amp;Agencia[[#This Row],[temporalidad]]</f>
        <v>Cantidad de Espacios Culturales por Fuente de Financiamiento en la Región del Biobío, Año 2021</v>
      </c>
      <c r="P1024" s="20"/>
      <c r="Q1024" s="11" t="str">
        <f t="shared" si="1628"/>
        <v>Gráfico</v>
      </c>
      <c r="R1024" s="20" t="str">
        <f>Agencia[[#This Row],[territorio]]&amp;" espacio cultural cultura infraestructura fuente financiamiento pública privada mixta"</f>
        <v>Región del Biobío espacio cultural cultura infraestructura fuente financiamiento pública privada mixta</v>
      </c>
      <c r="S1024"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https://analytics.zoho.com/open-view/2395394000008464140?ZOHO_CRITERIA=%22Espacios_Culturales_Completo%201%22.%22C%C3%B3digo_Regi%C3%B3n%22%20%3D%208</v>
      </c>
      <c r="T1024" s="69" t="str">
        <f>"100-C-"&amp;Agencia[[#This Row],[Filtro URL]]</f>
        <v>100-C-8</v>
      </c>
      <c r="U1024" s="50" t="str">
        <f t="shared" si="1605"/>
        <v>#1774B9</v>
      </c>
      <c r="V1024" s="118" t="str">
        <f>+Agencia[[#This Row],[idcoleccion]]&amp;"-"&amp;Agencia[[#This Row],[id]]</f>
        <v>990-1013</v>
      </c>
      <c r="W1024" s="118">
        <f>+VLOOKUP(Agencia[[#This Row],[Filtro URL]],Estructura!$X$4:$Y$500,2,0)</f>
        <v>99200008</v>
      </c>
      <c r="X1024" s="118" t="str">
        <f>+VLOOKUP(Agencia[[#This Row],[tema]],Estructura!$A$4:$C$500,3,0)</f>
        <v>T-1025</v>
      </c>
      <c r="Y1024" s="118" t="str">
        <f>+VLOOKUP(Agencia[[#This Row],[contenido]],Estructura!$E$4:$G$500,3,0)</f>
        <v>C-1008</v>
      </c>
      <c r="Z1024" s="118" t="str">
        <f>+VLOOKUP(Agencia[[#This Row],[Filtro Integrado]],Estructura!$I$4:$K$500,3,0)</f>
        <v>FI-991</v>
      </c>
      <c r="AA1024" s="118" t="str">
        <f>+VLOOKUP(Agencia[[#This Row],[Muestra]],Estructura!$M$4:$O$500,3,0)</f>
        <v>M-1077</v>
      </c>
    </row>
    <row r="1025" spans="1:27" ht="72" x14ac:dyDescent="0.3">
      <c r="A1025" s="21" t="s">
        <v>1921</v>
      </c>
      <c r="B1025" s="24">
        <f t="shared" ref="B1025:D1025" si="1709">+B1024</f>
        <v>990</v>
      </c>
      <c r="C1025" s="25" t="str">
        <f t="shared" si="1709"/>
        <v>Agencia Información</v>
      </c>
      <c r="D1025" s="25" t="str">
        <f t="shared" si="1709"/>
        <v>Arte y cultura</v>
      </c>
      <c r="E1025" s="19">
        <v>9</v>
      </c>
      <c r="F1025" s="18" t="s">
        <v>1687</v>
      </c>
      <c r="G1025" s="18" t="s">
        <v>3781</v>
      </c>
      <c r="H1025" s="35" t="s">
        <v>16</v>
      </c>
      <c r="I1025" s="36" t="s">
        <v>376</v>
      </c>
      <c r="J1025" s="9" t="str">
        <f t="shared" ref="J1025:N1025" si="1710">+J1024</f>
        <v>Comuna</v>
      </c>
      <c r="K1025" s="9" t="str">
        <f t="shared" si="1710"/>
        <v>Cantidad de espacios culturales por financiamiento por comuna</v>
      </c>
      <c r="L1025" s="38" t="str">
        <f t="shared" si="1710"/>
        <v>Año 2021</v>
      </c>
      <c r="M1025" s="9" t="str">
        <f t="shared" si="1710"/>
        <v>Número de espacios culturales</v>
      </c>
      <c r="N1025" s="9" t="str">
        <f t="shared" si="1710"/>
        <v>Observatorio Cultural</v>
      </c>
      <c r="O1025" s="45" t="str">
        <f>+"Cantidad de Espacios Culturales por Fuente de Financiamiento en la "&amp;I1025&amp;", "&amp;Agencia[[#This Row],[temporalidad]]</f>
        <v>Cantidad de Espacios Culturales por Fuente de Financiamiento en la Región de La Araucanía, Año 2021</v>
      </c>
      <c r="P1025" s="20"/>
      <c r="Q1025" s="11" t="str">
        <f t="shared" si="1628"/>
        <v>Gráfico</v>
      </c>
      <c r="R1025" s="20" t="str">
        <f>Agencia[[#This Row],[territorio]]&amp;" espacio cultural cultura infraestructura fuente financiamiento pública privada mixta"</f>
        <v>Región de La Araucanía espacio cultural cultura infraestructura fuente financiamiento pública privada mixta</v>
      </c>
      <c r="S1025"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https://analytics.zoho.com/open-view/2395394000008464140?ZOHO_CRITERIA=%22Espacios_Culturales_Completo%201%22.%22C%C3%B3digo_Regi%C3%B3n%22%20%3D%209</v>
      </c>
      <c r="T1025" s="69" t="str">
        <f>"100-C-"&amp;Agencia[[#This Row],[Filtro URL]]</f>
        <v>100-C-9</v>
      </c>
      <c r="U1025" s="50" t="str">
        <f t="shared" si="1605"/>
        <v>#1774B9</v>
      </c>
      <c r="V1025" s="118" t="str">
        <f>+Agencia[[#This Row],[idcoleccion]]&amp;"-"&amp;Agencia[[#This Row],[id]]</f>
        <v>990-1014</v>
      </c>
      <c r="W1025" s="118">
        <f>+VLOOKUP(Agencia[[#This Row],[Filtro URL]],Estructura!$X$4:$Y$500,2,0)</f>
        <v>99200009</v>
      </c>
      <c r="X1025" s="118" t="str">
        <f>+VLOOKUP(Agencia[[#This Row],[tema]],Estructura!$A$4:$C$500,3,0)</f>
        <v>T-1025</v>
      </c>
      <c r="Y1025" s="118" t="str">
        <f>+VLOOKUP(Agencia[[#This Row],[contenido]],Estructura!$E$4:$G$500,3,0)</f>
        <v>C-1008</v>
      </c>
      <c r="Z1025" s="118" t="str">
        <f>+VLOOKUP(Agencia[[#This Row],[Filtro Integrado]],Estructura!$I$4:$K$500,3,0)</f>
        <v>FI-991</v>
      </c>
      <c r="AA1025" s="118" t="str">
        <f>+VLOOKUP(Agencia[[#This Row],[Muestra]],Estructura!$M$4:$O$500,3,0)</f>
        <v>M-1077</v>
      </c>
    </row>
    <row r="1026" spans="1:27" ht="72" x14ac:dyDescent="0.3">
      <c r="A1026" s="21" t="s">
        <v>1922</v>
      </c>
      <c r="B1026" s="24">
        <f t="shared" ref="B1026:D1026" si="1711">+B1025</f>
        <v>990</v>
      </c>
      <c r="C1026" s="25" t="str">
        <f t="shared" si="1711"/>
        <v>Agencia Información</v>
      </c>
      <c r="D1026" s="25" t="str">
        <f t="shared" si="1711"/>
        <v>Arte y cultura</v>
      </c>
      <c r="E1026" s="19">
        <v>10</v>
      </c>
      <c r="F1026" s="18" t="s">
        <v>1687</v>
      </c>
      <c r="G1026" s="18" t="s">
        <v>3781</v>
      </c>
      <c r="H1026" s="35" t="s">
        <v>16</v>
      </c>
      <c r="I1026" s="36" t="s">
        <v>377</v>
      </c>
      <c r="J1026" s="9" t="str">
        <f t="shared" ref="J1026:N1026" si="1712">+J1025</f>
        <v>Comuna</v>
      </c>
      <c r="K1026" s="9" t="str">
        <f t="shared" si="1712"/>
        <v>Cantidad de espacios culturales por financiamiento por comuna</v>
      </c>
      <c r="L1026" s="38" t="str">
        <f t="shared" si="1712"/>
        <v>Año 2021</v>
      </c>
      <c r="M1026" s="9" t="str">
        <f t="shared" si="1712"/>
        <v>Número de espacios culturales</v>
      </c>
      <c r="N1026" s="9" t="str">
        <f t="shared" si="1712"/>
        <v>Observatorio Cultural</v>
      </c>
      <c r="O1026" s="45" t="str">
        <f>+"Cantidad de Espacios Culturales por Fuente de Financiamiento en la "&amp;I1026&amp;", "&amp;Agencia[[#This Row],[temporalidad]]</f>
        <v>Cantidad de Espacios Culturales por Fuente de Financiamiento en la Región de Los Lagos, Año 2021</v>
      </c>
      <c r="P1026" s="20"/>
      <c r="Q1026" s="11" t="str">
        <f t="shared" si="1628"/>
        <v>Gráfico</v>
      </c>
      <c r="R1026" s="20" t="str">
        <f>Agencia[[#This Row],[territorio]]&amp;" espacio cultural cultura infraestructura fuente financiamiento pública privada mixta"</f>
        <v>Región de Los Lagos espacio cultural cultura infraestructura fuente financiamiento pública privada mixta</v>
      </c>
      <c r="S1026"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https://analytics.zoho.com/open-view/2395394000008464140?ZOHO_CRITERIA=%22Espacios_Culturales_Completo%201%22.%22C%C3%B3digo_Regi%C3%B3n%22%20%3D%2010</v>
      </c>
      <c r="T1026" s="69" t="str">
        <f>"100-C-"&amp;Agencia[[#This Row],[Filtro URL]]</f>
        <v>100-C-10</v>
      </c>
      <c r="U1026" s="50" t="str">
        <f t="shared" si="1605"/>
        <v>#1774B9</v>
      </c>
      <c r="V1026" s="118" t="str">
        <f>+Agencia[[#This Row],[idcoleccion]]&amp;"-"&amp;Agencia[[#This Row],[id]]</f>
        <v>990-1015</v>
      </c>
      <c r="W1026" s="118">
        <f>+VLOOKUP(Agencia[[#This Row],[Filtro URL]],Estructura!$X$4:$Y$500,2,0)</f>
        <v>99200010</v>
      </c>
      <c r="X1026" s="118" t="str">
        <f>+VLOOKUP(Agencia[[#This Row],[tema]],Estructura!$A$4:$C$500,3,0)</f>
        <v>T-1025</v>
      </c>
      <c r="Y1026" s="118" t="str">
        <f>+VLOOKUP(Agencia[[#This Row],[contenido]],Estructura!$E$4:$G$500,3,0)</f>
        <v>C-1008</v>
      </c>
      <c r="Z1026" s="118" t="str">
        <f>+VLOOKUP(Agencia[[#This Row],[Filtro Integrado]],Estructura!$I$4:$K$500,3,0)</f>
        <v>FI-991</v>
      </c>
      <c r="AA1026" s="118" t="str">
        <f>+VLOOKUP(Agencia[[#This Row],[Muestra]],Estructura!$M$4:$O$500,3,0)</f>
        <v>M-1077</v>
      </c>
    </row>
    <row r="1027" spans="1:27" ht="72" x14ac:dyDescent="0.3">
      <c r="A1027" s="21" t="s">
        <v>1923</v>
      </c>
      <c r="B1027" s="24">
        <f t="shared" ref="B1027:D1027" si="1713">+B1026</f>
        <v>990</v>
      </c>
      <c r="C1027" s="25" t="str">
        <f t="shared" si="1713"/>
        <v>Agencia Información</v>
      </c>
      <c r="D1027" s="25" t="str">
        <f t="shared" si="1713"/>
        <v>Arte y cultura</v>
      </c>
      <c r="E1027" s="19">
        <v>11</v>
      </c>
      <c r="F1027" s="18" t="s">
        <v>1687</v>
      </c>
      <c r="G1027" s="18" t="s">
        <v>3781</v>
      </c>
      <c r="H1027" s="35" t="s">
        <v>16</v>
      </c>
      <c r="I1027" s="36" t="s">
        <v>378</v>
      </c>
      <c r="J1027" s="9" t="str">
        <f t="shared" ref="J1027:N1027" si="1714">+J1026</f>
        <v>Comuna</v>
      </c>
      <c r="K1027" s="9" t="str">
        <f t="shared" si="1714"/>
        <v>Cantidad de espacios culturales por financiamiento por comuna</v>
      </c>
      <c r="L1027" s="38" t="str">
        <f t="shared" si="1714"/>
        <v>Año 2021</v>
      </c>
      <c r="M1027" s="9" t="str">
        <f t="shared" si="1714"/>
        <v>Número de espacios culturales</v>
      </c>
      <c r="N1027" s="9" t="str">
        <f t="shared" si="1714"/>
        <v>Observatorio Cultural</v>
      </c>
      <c r="O1027" s="45" t="str">
        <f>+"Cantidad de Espacios Culturales por Fuente de Financiamiento en la "&amp;I1027&amp;", "&amp;Agencia[[#This Row],[temporalidad]]</f>
        <v>Cantidad de Espacios Culturales por Fuente de Financiamiento en la Región de Aysén, Año 2021</v>
      </c>
      <c r="P1027" s="20"/>
      <c r="Q1027" s="11" t="str">
        <f t="shared" si="1628"/>
        <v>Gráfico</v>
      </c>
      <c r="R1027" s="20" t="str">
        <f>Agencia[[#This Row],[territorio]]&amp;" espacio cultural cultura infraestructura fuente financiamiento pública privada mixta"</f>
        <v>Región de Aysén espacio cultural cultura infraestructura fuente financiamiento pública privada mixta</v>
      </c>
      <c r="S1027"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https://analytics.zoho.com/open-view/2395394000008464140?ZOHO_CRITERIA=%22Espacios_Culturales_Completo%201%22.%22C%C3%B3digo_Regi%C3%B3n%22%20%3D%2011</v>
      </c>
      <c r="T1027" s="69" t="str">
        <f>"100-C-"&amp;Agencia[[#This Row],[Filtro URL]]</f>
        <v>100-C-11</v>
      </c>
      <c r="U1027" s="50" t="str">
        <f t="shared" si="1605"/>
        <v>#1774B9</v>
      </c>
      <c r="V1027" s="118" t="str">
        <f>+Agencia[[#This Row],[idcoleccion]]&amp;"-"&amp;Agencia[[#This Row],[id]]</f>
        <v>990-1016</v>
      </c>
      <c r="W1027" s="118">
        <f>+VLOOKUP(Agencia[[#This Row],[Filtro URL]],Estructura!$X$4:$Y$500,2,0)</f>
        <v>99200011</v>
      </c>
      <c r="X1027" s="118" t="str">
        <f>+VLOOKUP(Agencia[[#This Row],[tema]],Estructura!$A$4:$C$500,3,0)</f>
        <v>T-1025</v>
      </c>
      <c r="Y1027" s="118" t="str">
        <f>+VLOOKUP(Agencia[[#This Row],[contenido]],Estructura!$E$4:$G$500,3,0)</f>
        <v>C-1008</v>
      </c>
      <c r="Z1027" s="118" t="str">
        <f>+VLOOKUP(Agencia[[#This Row],[Filtro Integrado]],Estructura!$I$4:$K$500,3,0)</f>
        <v>FI-991</v>
      </c>
      <c r="AA1027" s="118" t="str">
        <f>+VLOOKUP(Agencia[[#This Row],[Muestra]],Estructura!$M$4:$O$500,3,0)</f>
        <v>M-1077</v>
      </c>
    </row>
    <row r="1028" spans="1:27" ht="72" x14ac:dyDescent="0.3">
      <c r="A1028" s="21" t="s">
        <v>1924</v>
      </c>
      <c r="B1028" s="24">
        <f t="shared" ref="B1028:D1028" si="1715">+B1027</f>
        <v>990</v>
      </c>
      <c r="C1028" s="25" t="str">
        <f t="shared" si="1715"/>
        <v>Agencia Información</v>
      </c>
      <c r="D1028" s="25" t="str">
        <f t="shared" si="1715"/>
        <v>Arte y cultura</v>
      </c>
      <c r="E1028" s="19">
        <v>12</v>
      </c>
      <c r="F1028" s="18" t="s">
        <v>1687</v>
      </c>
      <c r="G1028" s="18" t="s">
        <v>3781</v>
      </c>
      <c r="H1028" s="35" t="s">
        <v>16</v>
      </c>
      <c r="I1028" s="36" t="s">
        <v>379</v>
      </c>
      <c r="J1028" s="9" t="str">
        <f t="shared" ref="J1028:N1028" si="1716">+J1027</f>
        <v>Comuna</v>
      </c>
      <c r="K1028" s="9" t="str">
        <f t="shared" si="1716"/>
        <v>Cantidad de espacios culturales por financiamiento por comuna</v>
      </c>
      <c r="L1028" s="38" t="str">
        <f t="shared" si="1716"/>
        <v>Año 2021</v>
      </c>
      <c r="M1028" s="9" t="str">
        <f t="shared" si="1716"/>
        <v>Número de espacios culturales</v>
      </c>
      <c r="N1028" s="9" t="str">
        <f t="shared" si="1716"/>
        <v>Observatorio Cultural</v>
      </c>
      <c r="O1028" s="45" t="str">
        <f>+"Cantidad de Espacios Culturales por Fuente de Financiamiento en la "&amp;I1028&amp;", "&amp;Agencia[[#This Row],[temporalidad]]</f>
        <v>Cantidad de Espacios Culturales por Fuente de Financiamiento en la Región de Magallanes, Año 2021</v>
      </c>
      <c r="P1028" s="20"/>
      <c r="Q1028" s="11" t="str">
        <f t="shared" si="1628"/>
        <v>Gráfico</v>
      </c>
      <c r="R1028" s="20" t="str">
        <f>Agencia[[#This Row],[territorio]]&amp;" espacio cultural cultura infraestructura fuente financiamiento pública privada mixta"</f>
        <v>Región de Magallanes espacio cultural cultura infraestructura fuente financiamiento pública privada mixta</v>
      </c>
      <c r="S1028"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https://analytics.zoho.com/open-view/2395394000008464140?ZOHO_CRITERIA=%22Espacios_Culturales_Completo%201%22.%22C%C3%B3digo_Regi%C3%B3n%22%20%3D%2012</v>
      </c>
      <c r="T1028" s="69" t="str">
        <f>"100-C-"&amp;Agencia[[#This Row],[Filtro URL]]</f>
        <v>100-C-12</v>
      </c>
      <c r="U1028" s="50" t="str">
        <f t="shared" si="1605"/>
        <v>#1774B9</v>
      </c>
      <c r="V1028" s="118" t="str">
        <f>+Agencia[[#This Row],[idcoleccion]]&amp;"-"&amp;Agencia[[#This Row],[id]]</f>
        <v>990-1017</v>
      </c>
      <c r="W1028" s="118">
        <f>+VLOOKUP(Agencia[[#This Row],[Filtro URL]],Estructura!$X$4:$Y$500,2,0)</f>
        <v>99200012</v>
      </c>
      <c r="X1028" s="118" t="str">
        <f>+VLOOKUP(Agencia[[#This Row],[tema]],Estructura!$A$4:$C$500,3,0)</f>
        <v>T-1025</v>
      </c>
      <c r="Y1028" s="118" t="str">
        <f>+VLOOKUP(Agencia[[#This Row],[contenido]],Estructura!$E$4:$G$500,3,0)</f>
        <v>C-1008</v>
      </c>
      <c r="Z1028" s="118" t="str">
        <f>+VLOOKUP(Agencia[[#This Row],[Filtro Integrado]],Estructura!$I$4:$K$500,3,0)</f>
        <v>FI-991</v>
      </c>
      <c r="AA1028" s="118" t="str">
        <f>+VLOOKUP(Agencia[[#This Row],[Muestra]],Estructura!$M$4:$O$500,3,0)</f>
        <v>M-1077</v>
      </c>
    </row>
    <row r="1029" spans="1:27" ht="72" x14ac:dyDescent="0.3">
      <c r="A1029" s="21" t="s">
        <v>1925</v>
      </c>
      <c r="B1029" s="24">
        <f t="shared" ref="B1029:D1029" si="1717">+B1028</f>
        <v>990</v>
      </c>
      <c r="C1029" s="25" t="str">
        <f t="shared" si="1717"/>
        <v>Agencia Información</v>
      </c>
      <c r="D1029" s="25" t="str">
        <f t="shared" si="1717"/>
        <v>Arte y cultura</v>
      </c>
      <c r="E1029" s="19">
        <v>13</v>
      </c>
      <c r="F1029" s="18" t="s">
        <v>1687</v>
      </c>
      <c r="G1029" s="18" t="s">
        <v>3781</v>
      </c>
      <c r="H1029" s="35" t="s">
        <v>16</v>
      </c>
      <c r="I1029" s="36" t="s">
        <v>380</v>
      </c>
      <c r="J1029" s="9" t="str">
        <f t="shared" ref="J1029:N1029" si="1718">+J1028</f>
        <v>Comuna</v>
      </c>
      <c r="K1029" s="9" t="str">
        <f t="shared" si="1718"/>
        <v>Cantidad de espacios culturales por financiamiento por comuna</v>
      </c>
      <c r="L1029" s="38" t="str">
        <f t="shared" si="1718"/>
        <v>Año 2021</v>
      </c>
      <c r="M1029" s="9" t="str">
        <f t="shared" si="1718"/>
        <v>Número de espacios culturales</v>
      </c>
      <c r="N1029" s="9" t="str">
        <f t="shared" si="1718"/>
        <v>Observatorio Cultural</v>
      </c>
      <c r="O1029" s="45" t="str">
        <f>+"Cantidad de Espacios Culturales por Fuente de Financiamiento en la "&amp;I1029&amp;", "&amp;Agencia[[#This Row],[temporalidad]]</f>
        <v>Cantidad de Espacios Culturales por Fuente de Financiamiento en la Región Metropolitana, Año 2021</v>
      </c>
      <c r="P1029" s="20"/>
      <c r="Q1029" s="11" t="str">
        <f t="shared" si="1628"/>
        <v>Gráfico</v>
      </c>
      <c r="R1029" s="20" t="str">
        <f>Agencia[[#This Row],[territorio]]&amp;" espacio cultural cultura infraestructura fuente financiamiento pública privada mixta"</f>
        <v>Región Metropolitana espacio cultural cultura infraestructura fuente financiamiento pública privada mixta</v>
      </c>
      <c r="S1029"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https://analytics.zoho.com/open-view/2395394000008464140?ZOHO_CRITERIA=%22Espacios_Culturales_Completo%201%22.%22C%C3%B3digo_Regi%C3%B3n%22%20%3D%2013</v>
      </c>
      <c r="T1029" s="69" t="str">
        <f>"200-C-"&amp;Agencia[[#This Row],[Filtro URL]]</f>
        <v>200-C-13</v>
      </c>
      <c r="U1029" s="50" t="str">
        <f t="shared" si="1605"/>
        <v>#1774B9</v>
      </c>
      <c r="V1029" s="118" t="str">
        <f>+Agencia[[#This Row],[idcoleccion]]&amp;"-"&amp;Agencia[[#This Row],[id]]</f>
        <v>990-1018</v>
      </c>
      <c r="W1029" s="118">
        <f>+VLOOKUP(Agencia[[#This Row],[Filtro URL]],Estructura!$X$4:$Y$500,2,0)</f>
        <v>99200013</v>
      </c>
      <c r="X1029" s="118" t="str">
        <f>+VLOOKUP(Agencia[[#This Row],[tema]],Estructura!$A$4:$C$500,3,0)</f>
        <v>T-1025</v>
      </c>
      <c r="Y1029" s="118" t="str">
        <f>+VLOOKUP(Agencia[[#This Row],[contenido]],Estructura!$E$4:$G$500,3,0)</f>
        <v>C-1008</v>
      </c>
      <c r="Z1029" s="118" t="str">
        <f>+VLOOKUP(Agencia[[#This Row],[Filtro Integrado]],Estructura!$I$4:$K$500,3,0)</f>
        <v>FI-991</v>
      </c>
      <c r="AA1029" s="118" t="str">
        <f>+VLOOKUP(Agencia[[#This Row],[Muestra]],Estructura!$M$4:$O$500,3,0)</f>
        <v>M-1077</v>
      </c>
    </row>
    <row r="1030" spans="1:27" ht="72" x14ac:dyDescent="0.3">
      <c r="A1030" s="21" t="s">
        <v>1926</v>
      </c>
      <c r="B1030" s="24">
        <f t="shared" ref="B1030:D1030" si="1719">+B1029</f>
        <v>990</v>
      </c>
      <c r="C1030" s="25" t="str">
        <f t="shared" si="1719"/>
        <v>Agencia Información</v>
      </c>
      <c r="D1030" s="25" t="str">
        <f t="shared" si="1719"/>
        <v>Arte y cultura</v>
      </c>
      <c r="E1030" s="19">
        <v>14</v>
      </c>
      <c r="F1030" s="18" t="s">
        <v>1687</v>
      </c>
      <c r="G1030" s="18" t="s">
        <v>3781</v>
      </c>
      <c r="H1030" s="35" t="s">
        <v>16</v>
      </c>
      <c r="I1030" s="36" t="s">
        <v>381</v>
      </c>
      <c r="J1030" s="9" t="str">
        <f t="shared" ref="J1030:N1030" si="1720">+J1029</f>
        <v>Comuna</v>
      </c>
      <c r="K1030" s="9" t="str">
        <f t="shared" si="1720"/>
        <v>Cantidad de espacios culturales por financiamiento por comuna</v>
      </c>
      <c r="L1030" s="38" t="str">
        <f t="shared" si="1720"/>
        <v>Año 2021</v>
      </c>
      <c r="M1030" s="9" t="str">
        <f t="shared" si="1720"/>
        <v>Número de espacios culturales</v>
      </c>
      <c r="N1030" s="9" t="str">
        <f t="shared" si="1720"/>
        <v>Observatorio Cultural</v>
      </c>
      <c r="O1030" s="45" t="str">
        <f>+"Cantidad de Espacios Culturales por Fuente de Financiamiento en la "&amp;I1030&amp;", "&amp;Agencia[[#This Row],[temporalidad]]</f>
        <v>Cantidad de Espacios Culturales por Fuente de Financiamiento en la Región de Los Ríos, Año 2021</v>
      </c>
      <c r="P1030" s="20"/>
      <c r="Q1030" s="11" t="str">
        <f t="shared" si="1628"/>
        <v>Gráfico</v>
      </c>
      <c r="R1030" s="20" t="str">
        <f>Agencia[[#This Row],[territorio]]&amp;" espacio cultural cultura infraestructura fuente financiamiento pública privada mixta"</f>
        <v>Región de Los Ríos espacio cultural cultura infraestructura fuente financiamiento pública privada mixta</v>
      </c>
      <c r="S1030"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https://analytics.zoho.com/open-view/2395394000008464140?ZOHO_CRITERIA=%22Espacios_Culturales_Completo%201%22.%22C%C3%B3digo_Regi%C3%B3n%22%20%3D%2014</v>
      </c>
      <c r="T1030" s="69" t="str">
        <f>"100-C-"&amp;Agencia[[#This Row],[Filtro URL]]</f>
        <v>100-C-14</v>
      </c>
      <c r="U1030" s="50" t="str">
        <f t="shared" si="1605"/>
        <v>#1774B9</v>
      </c>
      <c r="V1030" s="118" t="str">
        <f>+Agencia[[#This Row],[idcoleccion]]&amp;"-"&amp;Agencia[[#This Row],[id]]</f>
        <v>990-1019</v>
      </c>
      <c r="W1030" s="118">
        <f>+VLOOKUP(Agencia[[#This Row],[Filtro URL]],Estructura!$X$4:$Y$500,2,0)</f>
        <v>99200014</v>
      </c>
      <c r="X1030" s="118" t="str">
        <f>+VLOOKUP(Agencia[[#This Row],[tema]],Estructura!$A$4:$C$500,3,0)</f>
        <v>T-1025</v>
      </c>
      <c r="Y1030" s="118" t="str">
        <f>+VLOOKUP(Agencia[[#This Row],[contenido]],Estructura!$E$4:$G$500,3,0)</f>
        <v>C-1008</v>
      </c>
      <c r="Z1030" s="118" t="str">
        <f>+VLOOKUP(Agencia[[#This Row],[Filtro Integrado]],Estructura!$I$4:$K$500,3,0)</f>
        <v>FI-991</v>
      </c>
      <c r="AA1030" s="118" t="str">
        <f>+VLOOKUP(Agencia[[#This Row],[Muestra]],Estructura!$M$4:$O$500,3,0)</f>
        <v>M-1077</v>
      </c>
    </row>
    <row r="1031" spans="1:27" ht="72" x14ac:dyDescent="0.3">
      <c r="A1031" s="21" t="s">
        <v>1927</v>
      </c>
      <c r="B1031" s="24">
        <f t="shared" ref="B1031:D1031" si="1721">+B1030</f>
        <v>990</v>
      </c>
      <c r="C1031" s="25" t="str">
        <f t="shared" si="1721"/>
        <v>Agencia Información</v>
      </c>
      <c r="D1031" s="25" t="str">
        <f t="shared" si="1721"/>
        <v>Arte y cultura</v>
      </c>
      <c r="E1031" s="19">
        <v>15</v>
      </c>
      <c r="F1031" s="18" t="s">
        <v>1687</v>
      </c>
      <c r="G1031" s="18" t="s">
        <v>3781</v>
      </c>
      <c r="H1031" s="35" t="s">
        <v>16</v>
      </c>
      <c r="I1031" s="36" t="s">
        <v>382</v>
      </c>
      <c r="J1031" s="9" t="str">
        <f t="shared" ref="J1031:N1031" si="1722">+J1030</f>
        <v>Comuna</v>
      </c>
      <c r="K1031" s="9" t="str">
        <f t="shared" si="1722"/>
        <v>Cantidad de espacios culturales por financiamiento por comuna</v>
      </c>
      <c r="L1031" s="38" t="str">
        <f t="shared" si="1722"/>
        <v>Año 2021</v>
      </c>
      <c r="M1031" s="9" t="str">
        <f t="shared" si="1722"/>
        <v>Número de espacios culturales</v>
      </c>
      <c r="N1031" s="9" t="str">
        <f t="shared" si="1722"/>
        <v>Observatorio Cultural</v>
      </c>
      <c r="O1031" s="45" t="str">
        <f>+"Cantidad de Espacios Culturales por Fuente de Financiamiento en la "&amp;I1031&amp;", "&amp;Agencia[[#This Row],[temporalidad]]</f>
        <v>Cantidad de Espacios Culturales por Fuente de Financiamiento en la Región de Arica y Parinacota, Año 2021</v>
      </c>
      <c r="P1031" s="20"/>
      <c r="Q1031" s="11" t="str">
        <f t="shared" si="1628"/>
        <v>Gráfico</v>
      </c>
      <c r="R1031" s="20" t="str">
        <f>Agencia[[#This Row],[territorio]]&amp;" espacio cultural cultura infraestructura fuente financiamiento pública privada mixta"</f>
        <v>Región de Arica y Parinacota espacio cultural cultura infraestructura fuente financiamiento pública privada mixta</v>
      </c>
      <c r="S1031"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https://analytics.zoho.com/open-view/2395394000008464140?ZOHO_CRITERIA=%22Espacios_Culturales_Completo%201%22.%22C%C3%B3digo_Regi%C3%B3n%22%20%3D%2015</v>
      </c>
      <c r="T1031" s="69" t="str">
        <f>"100-C-"&amp;Agencia[[#This Row],[Filtro URL]]</f>
        <v>100-C-15</v>
      </c>
      <c r="U1031" s="50" t="str">
        <f t="shared" si="1605"/>
        <v>#1774B9</v>
      </c>
      <c r="V1031" s="118" t="str">
        <f>+Agencia[[#This Row],[idcoleccion]]&amp;"-"&amp;Agencia[[#This Row],[id]]</f>
        <v>990-1020</v>
      </c>
      <c r="W1031" s="118">
        <f>+VLOOKUP(Agencia[[#This Row],[Filtro URL]],Estructura!$X$4:$Y$500,2,0)</f>
        <v>99200015</v>
      </c>
      <c r="X1031" s="118" t="str">
        <f>+VLOOKUP(Agencia[[#This Row],[tema]],Estructura!$A$4:$C$500,3,0)</f>
        <v>T-1025</v>
      </c>
      <c r="Y1031" s="118" t="str">
        <f>+VLOOKUP(Agencia[[#This Row],[contenido]],Estructura!$E$4:$G$500,3,0)</f>
        <v>C-1008</v>
      </c>
      <c r="Z1031" s="118" t="str">
        <f>+VLOOKUP(Agencia[[#This Row],[Filtro Integrado]],Estructura!$I$4:$K$500,3,0)</f>
        <v>FI-991</v>
      </c>
      <c r="AA1031" s="118" t="str">
        <f>+VLOOKUP(Agencia[[#This Row],[Muestra]],Estructura!$M$4:$O$500,3,0)</f>
        <v>M-1077</v>
      </c>
    </row>
    <row r="1032" spans="1:27" ht="72" x14ac:dyDescent="0.3">
      <c r="A1032" s="21" t="s">
        <v>1928</v>
      </c>
      <c r="B1032" s="24">
        <f t="shared" ref="B1032:D1032" si="1723">+B1031</f>
        <v>990</v>
      </c>
      <c r="C1032" s="25" t="str">
        <f t="shared" si="1723"/>
        <v>Agencia Información</v>
      </c>
      <c r="D1032" s="25" t="str">
        <f t="shared" si="1723"/>
        <v>Arte y cultura</v>
      </c>
      <c r="E1032" s="19">
        <v>16</v>
      </c>
      <c r="F1032" s="18" t="s">
        <v>1687</v>
      </c>
      <c r="G1032" s="18" t="s">
        <v>3781</v>
      </c>
      <c r="H1032" s="35" t="s">
        <v>16</v>
      </c>
      <c r="I1032" s="36" t="s">
        <v>383</v>
      </c>
      <c r="J1032" s="9" t="str">
        <f t="shared" ref="J1032:N1032" si="1724">+J1031</f>
        <v>Comuna</v>
      </c>
      <c r="K1032" s="9" t="str">
        <f t="shared" si="1724"/>
        <v>Cantidad de espacios culturales por financiamiento por comuna</v>
      </c>
      <c r="L1032" s="38" t="str">
        <f t="shared" si="1724"/>
        <v>Año 2021</v>
      </c>
      <c r="M1032" s="9" t="str">
        <f t="shared" si="1724"/>
        <v>Número de espacios culturales</v>
      </c>
      <c r="N1032" s="9" t="str">
        <f t="shared" si="1724"/>
        <v>Observatorio Cultural</v>
      </c>
      <c r="O1032" s="45" t="str">
        <f>+"Cantidad de Espacios Culturales por Fuente de Financiamiento en la "&amp;I1032&amp;", "&amp;Agencia[[#This Row],[temporalidad]]</f>
        <v>Cantidad de Espacios Culturales por Fuente de Financiamiento en la Región de Ñuble, Año 2021</v>
      </c>
      <c r="P1032" s="20"/>
      <c r="Q1032" s="11" t="str">
        <f t="shared" si="1628"/>
        <v>Gráfico</v>
      </c>
      <c r="R1032" s="20" t="str">
        <f>Agencia[[#This Row],[territorio]]&amp;" espacio cultural cultura infraestructura fuente financiamiento pública privada mixta"</f>
        <v>Región de Ñuble espacio cultural cultura infraestructura fuente financiamiento pública privada mixta</v>
      </c>
      <c r="S1032" s="39" t="str">
        <f>HYPERLINK("https://analytics.zoho.com/open-view/2395394000008464140?ZOHO_CRITERIA=%22Espacios_Culturales_Completo%201%22.%22C%C3%B3digo_Regi%C3%B3n%22%20%3D%20"&amp;Agencia[[#This Row],[Filtro URL]])</f>
        <v>https://analytics.zoho.com/open-view/2395394000008464140?ZOHO_CRITERIA=%22Espacios_Culturales_Completo%201%22.%22C%C3%B3digo_Regi%C3%B3n%22%20%3D%2016</v>
      </c>
      <c r="T1032" s="69" t="str">
        <f>"100-C-"&amp;Agencia[[#This Row],[Filtro URL]]</f>
        <v>100-C-16</v>
      </c>
      <c r="U1032" s="50" t="str">
        <f t="shared" si="1605"/>
        <v>#1774B9</v>
      </c>
      <c r="V1032" s="118" t="str">
        <f>+Agencia[[#This Row],[idcoleccion]]&amp;"-"&amp;Agencia[[#This Row],[id]]</f>
        <v>990-1021</v>
      </c>
      <c r="W1032" s="118">
        <f>+VLOOKUP(Agencia[[#This Row],[Filtro URL]],Estructura!$X$4:$Y$500,2,0)</f>
        <v>99200016</v>
      </c>
      <c r="X1032" s="118" t="str">
        <f>+VLOOKUP(Agencia[[#This Row],[tema]],Estructura!$A$4:$C$500,3,0)</f>
        <v>T-1025</v>
      </c>
      <c r="Y1032" s="118" t="str">
        <f>+VLOOKUP(Agencia[[#This Row],[contenido]],Estructura!$E$4:$G$500,3,0)</f>
        <v>C-1008</v>
      </c>
      <c r="Z1032" s="118" t="str">
        <f>+VLOOKUP(Agencia[[#This Row],[Filtro Integrado]],Estructura!$I$4:$K$500,3,0)</f>
        <v>FI-991</v>
      </c>
      <c r="AA1032" s="118" t="str">
        <f>+VLOOKUP(Agencia[[#This Row],[Muestra]],Estructura!$M$4:$O$500,3,0)</f>
        <v>M-1077</v>
      </c>
    </row>
    <row r="1033" spans="1:27" ht="61.2" x14ac:dyDescent="0.3">
      <c r="A1033" s="21" t="s">
        <v>1929</v>
      </c>
      <c r="B1033" s="24">
        <f t="shared" ref="B1033:C1033" si="1725">+B1032</f>
        <v>990</v>
      </c>
      <c r="C1033" s="25" t="str">
        <f t="shared" si="1725"/>
        <v>Agencia Información</v>
      </c>
      <c r="D1033" s="25" t="s">
        <v>621</v>
      </c>
      <c r="E1033" s="14">
        <v>0</v>
      </c>
      <c r="F1033" s="18" t="s">
        <v>1684</v>
      </c>
      <c r="G1033" s="18" t="s">
        <v>3781</v>
      </c>
      <c r="H1033" s="33" t="s">
        <v>20</v>
      </c>
      <c r="I1033" s="34" t="s">
        <v>15</v>
      </c>
      <c r="J1033" s="9" t="s">
        <v>18</v>
      </c>
      <c r="K1033" s="9" t="s">
        <v>850</v>
      </c>
      <c r="L1033" s="38" t="s">
        <v>614</v>
      </c>
      <c r="M1033" s="9" t="s">
        <v>624</v>
      </c>
      <c r="N1033" s="9" t="s">
        <v>625</v>
      </c>
      <c r="O1033" s="45" t="str">
        <f>+"Cantidad de Espacios Culturales por Categoría y Región en "&amp;I1033&amp;", "&amp;Agencia[[#This Row],[temporalidad]]</f>
        <v>Cantidad de Espacios Culturales por Categoría y Región en Chile, Año 2021</v>
      </c>
      <c r="P1033" s="20" t="s">
        <v>1691</v>
      </c>
      <c r="Q1033" s="11" t="s">
        <v>584</v>
      </c>
      <c r="R1033" s="20" t="str">
        <f>Agencia[[#This Row],[territorio]]&amp;" espacio cultural cultura infraestructura categoría tipo biblioteca museo archivo"</f>
        <v>Chile espacio cultural cultura infraestructura categoría tipo biblioteca museo archivo</v>
      </c>
      <c r="S1033" s="39" t="s">
        <v>1683</v>
      </c>
      <c r="T1033" s="68" t="s">
        <v>1033</v>
      </c>
      <c r="U1033" s="50" t="str">
        <f t="shared" si="1605"/>
        <v>#1774B9</v>
      </c>
      <c r="V1033" s="118" t="str">
        <f>+Agencia[[#This Row],[idcoleccion]]&amp;"-"&amp;Agencia[[#This Row],[id]]</f>
        <v>990-1022</v>
      </c>
      <c r="W1033" s="118">
        <f>+VLOOKUP(Agencia[[#This Row],[Filtro URL]],Estructura!$X$4:$Y$500,2,0)</f>
        <v>99100000</v>
      </c>
      <c r="X1033" s="118" t="str">
        <f>+VLOOKUP(Agencia[[#This Row],[tema]],Estructura!$A$4:$C$500,3,0)</f>
        <v>T-1024</v>
      </c>
      <c r="Y1033" s="118" t="str">
        <f>+VLOOKUP(Agencia[[#This Row],[contenido]],Estructura!$E$4:$G$500,3,0)</f>
        <v>C-1008</v>
      </c>
      <c r="Z1033" s="118" t="str">
        <f>+VLOOKUP(Agencia[[#This Row],[Filtro Integrado]],Estructura!$I$4:$K$500,3,0)</f>
        <v>FI-991</v>
      </c>
      <c r="AA1033" s="118" t="str">
        <f>+VLOOKUP(Agencia[[#This Row],[Muestra]],Estructura!$M$4:$O$500,3,0)</f>
        <v>M-1005</v>
      </c>
    </row>
    <row r="1034" spans="1:27" ht="57.6" x14ac:dyDescent="0.3">
      <c r="A1034" s="21" t="s">
        <v>1930</v>
      </c>
      <c r="B1034" s="24">
        <f t="shared" ref="B1034:D1034" si="1726">+B1033</f>
        <v>990</v>
      </c>
      <c r="C1034" s="25" t="str">
        <f t="shared" si="1726"/>
        <v>Agencia Información</v>
      </c>
      <c r="D1034" s="25" t="str">
        <f t="shared" si="1726"/>
        <v>Arte y cultura</v>
      </c>
      <c r="E1034" s="19">
        <v>1</v>
      </c>
      <c r="F1034" s="18" t="s">
        <v>1684</v>
      </c>
      <c r="G1034" s="18" t="s">
        <v>3781</v>
      </c>
      <c r="H1034" s="35" t="s">
        <v>16</v>
      </c>
      <c r="I1034" s="36" t="s">
        <v>368</v>
      </c>
      <c r="J1034" s="9" t="s">
        <v>18</v>
      </c>
      <c r="K1034" s="9" t="s">
        <v>850</v>
      </c>
      <c r="L1034" s="38" t="str">
        <f>+L1033</f>
        <v>Año 2021</v>
      </c>
      <c r="M1034" s="9" t="str">
        <f t="shared" ref="M1034:N1034" si="1727">+M1033</f>
        <v>Número de espacios culturales</v>
      </c>
      <c r="N1034" s="9" t="str">
        <f t="shared" si="1727"/>
        <v>Observatorio Cultural</v>
      </c>
      <c r="O1034" s="45" t="str">
        <f>+"Cantidad de Espacios Culturales por Categoría en la "&amp;I1034&amp;", "&amp;Agencia[[#This Row],[temporalidad]]</f>
        <v>Cantidad de Espacios Culturales por Categoría en la Región de Tarapacá, Año 2021</v>
      </c>
      <c r="P1034" s="20"/>
      <c r="Q1034" s="11" t="str">
        <f t="shared" si="1628"/>
        <v>Gráfico</v>
      </c>
      <c r="R1034" s="20" t="str">
        <f>Agencia[[#This Row],[territorio]]&amp;" espacio cultural cultura infraestructura categoría tipo biblioteca museo archivo"</f>
        <v>Región de Tarapacá espacio cultural cultura infraestructura categoría tipo biblioteca museo archivo</v>
      </c>
      <c r="S1034" s="39" t="str">
        <f>HYPERLINK("https://analytics.zoho.com/open-view/2395394000008463151?ZOHO_CRITERIA=%22Localiza%20CL%22.%22Codreg%22%20%3D%20"&amp;Agencia[[#This Row],[Filtro URL]])</f>
        <v>https://analytics.zoho.com/open-view/2395394000008463151?ZOHO_CRITERIA=%22Localiza%20CL%22.%22Codreg%22%20%3D%201</v>
      </c>
      <c r="T1034" s="69" t="str">
        <f>"100-C-"&amp;Agencia[[#This Row],[Filtro URL]]</f>
        <v>100-C-1</v>
      </c>
      <c r="U1034" s="50" t="str">
        <f t="shared" si="1605"/>
        <v>#1774B9</v>
      </c>
      <c r="V1034" s="118" t="str">
        <f>+Agencia[[#This Row],[idcoleccion]]&amp;"-"&amp;Agencia[[#This Row],[id]]</f>
        <v>990-1023</v>
      </c>
      <c r="W1034" s="118">
        <f>+VLOOKUP(Agencia[[#This Row],[Filtro URL]],Estructura!$X$4:$Y$500,2,0)</f>
        <v>99200001</v>
      </c>
      <c r="X1034" s="118" t="str">
        <f>+VLOOKUP(Agencia[[#This Row],[tema]],Estructura!$A$4:$C$500,3,0)</f>
        <v>T-1024</v>
      </c>
      <c r="Y1034" s="118" t="str">
        <f>+VLOOKUP(Agencia[[#This Row],[contenido]],Estructura!$E$4:$G$500,3,0)</f>
        <v>C-1008</v>
      </c>
      <c r="Z1034" s="118" t="str">
        <f>+VLOOKUP(Agencia[[#This Row],[Filtro Integrado]],Estructura!$I$4:$K$500,3,0)</f>
        <v>FI-991</v>
      </c>
      <c r="AA1034" s="118" t="str">
        <f>+VLOOKUP(Agencia[[#This Row],[Muestra]],Estructura!$M$4:$O$500,3,0)</f>
        <v>M-1005</v>
      </c>
    </row>
    <row r="1035" spans="1:27" ht="57.6" x14ac:dyDescent="0.3">
      <c r="A1035" s="21" t="s">
        <v>1931</v>
      </c>
      <c r="B1035" s="24">
        <f t="shared" ref="B1035:D1035" si="1728">+B1034</f>
        <v>990</v>
      </c>
      <c r="C1035" s="25" t="str">
        <f t="shared" si="1728"/>
        <v>Agencia Información</v>
      </c>
      <c r="D1035" s="25" t="str">
        <f t="shared" si="1728"/>
        <v>Arte y cultura</v>
      </c>
      <c r="E1035" s="19">
        <v>2</v>
      </c>
      <c r="F1035" s="18" t="s">
        <v>1684</v>
      </c>
      <c r="G1035" s="18" t="s">
        <v>3781</v>
      </c>
      <c r="H1035" s="35" t="s">
        <v>16</v>
      </c>
      <c r="I1035" s="36" t="s">
        <v>369</v>
      </c>
      <c r="J1035" s="9" t="str">
        <f t="shared" ref="J1035:N1035" si="1729">+J1034</f>
        <v>Comuna</v>
      </c>
      <c r="K1035" s="9" t="str">
        <f t="shared" si="1729"/>
        <v>Cantidad de espacios culturales por comuna</v>
      </c>
      <c r="L1035" s="38" t="str">
        <f t="shared" si="1729"/>
        <v>Año 2021</v>
      </c>
      <c r="M1035" s="9" t="str">
        <f t="shared" si="1729"/>
        <v>Número de espacios culturales</v>
      </c>
      <c r="N1035" s="9" t="str">
        <f t="shared" si="1729"/>
        <v>Observatorio Cultural</v>
      </c>
      <c r="O1035" s="45" t="str">
        <f>+"Cantidad de Espacios Culturales por Categoría en la "&amp;I1035&amp;", "&amp;Agencia[[#This Row],[temporalidad]]</f>
        <v>Cantidad de Espacios Culturales por Categoría en la Región de Antofagasta, Año 2021</v>
      </c>
      <c r="P1035" s="20"/>
      <c r="Q1035" s="11" t="str">
        <f t="shared" si="1628"/>
        <v>Gráfico</v>
      </c>
      <c r="R1035" s="20" t="str">
        <f>Agencia[[#This Row],[territorio]]&amp;" espacio cultural cultura infraestructura categoría tipo biblioteca museo archivo"</f>
        <v>Región de Antofagasta espacio cultural cultura infraestructura categoría tipo biblioteca museo archivo</v>
      </c>
      <c r="S1035" s="39" t="str">
        <f>HYPERLINK("https://analytics.zoho.com/open-view/2395394000008463151?ZOHO_CRITERIA=%22Localiza%20CL%22.%22Codreg%22%20%3D%20"&amp;Agencia[[#This Row],[Filtro URL]])</f>
        <v>https://analytics.zoho.com/open-view/2395394000008463151?ZOHO_CRITERIA=%22Localiza%20CL%22.%22Codreg%22%20%3D%202</v>
      </c>
      <c r="T1035" s="69" t="str">
        <f>"100-C-"&amp;Agencia[[#This Row],[Filtro URL]]</f>
        <v>100-C-2</v>
      </c>
      <c r="U1035" s="50" t="str">
        <f t="shared" si="1605"/>
        <v>#1774B9</v>
      </c>
      <c r="V1035" s="118" t="str">
        <f>+Agencia[[#This Row],[idcoleccion]]&amp;"-"&amp;Agencia[[#This Row],[id]]</f>
        <v>990-1024</v>
      </c>
      <c r="W1035" s="118">
        <f>+VLOOKUP(Agencia[[#This Row],[Filtro URL]],Estructura!$X$4:$Y$500,2,0)</f>
        <v>99200002</v>
      </c>
      <c r="X1035" s="118" t="str">
        <f>+VLOOKUP(Agencia[[#This Row],[tema]],Estructura!$A$4:$C$500,3,0)</f>
        <v>T-1024</v>
      </c>
      <c r="Y1035" s="118" t="str">
        <f>+VLOOKUP(Agencia[[#This Row],[contenido]],Estructura!$E$4:$G$500,3,0)</f>
        <v>C-1008</v>
      </c>
      <c r="Z1035" s="118" t="str">
        <f>+VLOOKUP(Agencia[[#This Row],[Filtro Integrado]],Estructura!$I$4:$K$500,3,0)</f>
        <v>FI-991</v>
      </c>
      <c r="AA1035" s="118" t="str">
        <f>+VLOOKUP(Agencia[[#This Row],[Muestra]],Estructura!$M$4:$O$500,3,0)</f>
        <v>M-1005</v>
      </c>
    </row>
    <row r="1036" spans="1:27" ht="57.6" x14ac:dyDescent="0.3">
      <c r="A1036" s="21" t="s">
        <v>1932</v>
      </c>
      <c r="B1036" s="24">
        <f t="shared" ref="B1036:D1036" si="1730">+B1035</f>
        <v>990</v>
      </c>
      <c r="C1036" s="25" t="str">
        <f t="shared" si="1730"/>
        <v>Agencia Información</v>
      </c>
      <c r="D1036" s="25" t="str">
        <f t="shared" si="1730"/>
        <v>Arte y cultura</v>
      </c>
      <c r="E1036" s="19">
        <v>3</v>
      </c>
      <c r="F1036" s="18" t="s">
        <v>1684</v>
      </c>
      <c r="G1036" s="18" t="s">
        <v>3781</v>
      </c>
      <c r="H1036" s="35" t="s">
        <v>16</v>
      </c>
      <c r="I1036" s="36" t="s">
        <v>370</v>
      </c>
      <c r="J1036" s="9" t="str">
        <f t="shared" ref="J1036:N1036" si="1731">+J1035</f>
        <v>Comuna</v>
      </c>
      <c r="K1036" s="9" t="str">
        <f t="shared" si="1731"/>
        <v>Cantidad de espacios culturales por comuna</v>
      </c>
      <c r="L1036" s="38" t="str">
        <f t="shared" si="1731"/>
        <v>Año 2021</v>
      </c>
      <c r="M1036" s="9" t="str">
        <f t="shared" si="1731"/>
        <v>Número de espacios culturales</v>
      </c>
      <c r="N1036" s="9" t="str">
        <f t="shared" si="1731"/>
        <v>Observatorio Cultural</v>
      </c>
      <c r="O1036" s="45" t="str">
        <f>+"Cantidad de Espacios Culturales por Categoría en la "&amp;I1036&amp;", "&amp;Agencia[[#This Row],[temporalidad]]</f>
        <v>Cantidad de Espacios Culturales por Categoría en la Región de Atacama, Año 2021</v>
      </c>
      <c r="P1036" s="20"/>
      <c r="Q1036" s="11" t="str">
        <f t="shared" si="1628"/>
        <v>Gráfico</v>
      </c>
      <c r="R1036" s="20" t="str">
        <f>Agencia[[#This Row],[territorio]]&amp;" espacio cultural cultura infraestructura categoría tipo biblioteca museo archivo"</f>
        <v>Región de Atacama espacio cultural cultura infraestructura categoría tipo biblioteca museo archivo</v>
      </c>
      <c r="S1036" s="39" t="str">
        <f>HYPERLINK("https://analytics.zoho.com/open-view/2395394000008463151?ZOHO_CRITERIA=%22Localiza%20CL%22.%22Codreg%22%20%3D%20"&amp;Agencia[[#This Row],[Filtro URL]])</f>
        <v>https://analytics.zoho.com/open-view/2395394000008463151?ZOHO_CRITERIA=%22Localiza%20CL%22.%22Codreg%22%20%3D%203</v>
      </c>
      <c r="T1036" s="69" t="str">
        <f>"100-C-"&amp;Agencia[[#This Row],[Filtro URL]]</f>
        <v>100-C-3</v>
      </c>
      <c r="U1036" s="50" t="str">
        <f t="shared" ref="U1036:U1101" si="1732">+U1035</f>
        <v>#1774B9</v>
      </c>
      <c r="V1036" s="118" t="str">
        <f>+Agencia[[#This Row],[idcoleccion]]&amp;"-"&amp;Agencia[[#This Row],[id]]</f>
        <v>990-1025</v>
      </c>
      <c r="W1036" s="118">
        <f>+VLOOKUP(Agencia[[#This Row],[Filtro URL]],Estructura!$X$4:$Y$500,2,0)</f>
        <v>99200003</v>
      </c>
      <c r="X1036" s="118" t="str">
        <f>+VLOOKUP(Agencia[[#This Row],[tema]],Estructura!$A$4:$C$500,3,0)</f>
        <v>T-1024</v>
      </c>
      <c r="Y1036" s="118" t="str">
        <f>+VLOOKUP(Agencia[[#This Row],[contenido]],Estructura!$E$4:$G$500,3,0)</f>
        <v>C-1008</v>
      </c>
      <c r="Z1036" s="118" t="str">
        <f>+VLOOKUP(Agencia[[#This Row],[Filtro Integrado]],Estructura!$I$4:$K$500,3,0)</f>
        <v>FI-991</v>
      </c>
      <c r="AA1036" s="118" t="str">
        <f>+VLOOKUP(Agencia[[#This Row],[Muestra]],Estructura!$M$4:$O$500,3,0)</f>
        <v>M-1005</v>
      </c>
    </row>
    <row r="1037" spans="1:27" ht="57.6" x14ac:dyDescent="0.3">
      <c r="A1037" s="21" t="s">
        <v>1933</v>
      </c>
      <c r="B1037" s="24">
        <f t="shared" ref="B1037:D1037" si="1733">+B1036</f>
        <v>990</v>
      </c>
      <c r="C1037" s="25" t="str">
        <f t="shared" si="1733"/>
        <v>Agencia Información</v>
      </c>
      <c r="D1037" s="25" t="str">
        <f t="shared" si="1733"/>
        <v>Arte y cultura</v>
      </c>
      <c r="E1037" s="19">
        <v>4</v>
      </c>
      <c r="F1037" s="18" t="s">
        <v>1684</v>
      </c>
      <c r="G1037" s="18" t="s">
        <v>3781</v>
      </c>
      <c r="H1037" s="35" t="s">
        <v>16</v>
      </c>
      <c r="I1037" s="36" t="s">
        <v>371</v>
      </c>
      <c r="J1037" s="9" t="str">
        <f t="shared" ref="J1037:N1037" si="1734">+J1036</f>
        <v>Comuna</v>
      </c>
      <c r="K1037" s="9" t="str">
        <f t="shared" si="1734"/>
        <v>Cantidad de espacios culturales por comuna</v>
      </c>
      <c r="L1037" s="38" t="str">
        <f t="shared" si="1734"/>
        <v>Año 2021</v>
      </c>
      <c r="M1037" s="9" t="str">
        <f t="shared" si="1734"/>
        <v>Número de espacios culturales</v>
      </c>
      <c r="N1037" s="9" t="str">
        <f t="shared" si="1734"/>
        <v>Observatorio Cultural</v>
      </c>
      <c r="O1037" s="45" t="str">
        <f>+"Cantidad de Espacios Culturales por Categoría en la "&amp;I1037&amp;", "&amp;Agencia[[#This Row],[temporalidad]]</f>
        <v>Cantidad de Espacios Culturales por Categoría en la Región de Coquimbo, Año 2021</v>
      </c>
      <c r="P1037" s="20"/>
      <c r="Q1037" s="11" t="str">
        <f t="shared" si="1628"/>
        <v>Gráfico</v>
      </c>
      <c r="R1037" s="20" t="str">
        <f>Agencia[[#This Row],[territorio]]&amp;" espacio cultural cultura infraestructura categoría tipo biblioteca museo archivo"</f>
        <v>Región de Coquimbo espacio cultural cultura infraestructura categoría tipo biblioteca museo archivo</v>
      </c>
      <c r="S1037" s="39" t="str">
        <f>HYPERLINK("https://analytics.zoho.com/open-view/2395394000008463151?ZOHO_CRITERIA=%22Localiza%20CL%22.%22Codreg%22%20%3D%20"&amp;Agencia[[#This Row],[Filtro URL]])</f>
        <v>https://analytics.zoho.com/open-view/2395394000008463151?ZOHO_CRITERIA=%22Localiza%20CL%22.%22Codreg%22%20%3D%204</v>
      </c>
      <c r="T1037" s="69" t="str">
        <f>"100-C-"&amp;Agencia[[#This Row],[Filtro URL]]</f>
        <v>100-C-4</v>
      </c>
      <c r="U1037" s="50" t="str">
        <f t="shared" si="1732"/>
        <v>#1774B9</v>
      </c>
      <c r="V1037" s="118" t="str">
        <f>+Agencia[[#This Row],[idcoleccion]]&amp;"-"&amp;Agencia[[#This Row],[id]]</f>
        <v>990-1026</v>
      </c>
      <c r="W1037" s="118">
        <f>+VLOOKUP(Agencia[[#This Row],[Filtro URL]],Estructura!$X$4:$Y$500,2,0)</f>
        <v>99200004</v>
      </c>
      <c r="X1037" s="118" t="str">
        <f>+VLOOKUP(Agencia[[#This Row],[tema]],Estructura!$A$4:$C$500,3,0)</f>
        <v>T-1024</v>
      </c>
      <c r="Y1037" s="118" t="str">
        <f>+VLOOKUP(Agencia[[#This Row],[contenido]],Estructura!$E$4:$G$500,3,0)</f>
        <v>C-1008</v>
      </c>
      <c r="Z1037" s="118" t="str">
        <f>+VLOOKUP(Agencia[[#This Row],[Filtro Integrado]],Estructura!$I$4:$K$500,3,0)</f>
        <v>FI-991</v>
      </c>
      <c r="AA1037" s="118" t="str">
        <f>+VLOOKUP(Agencia[[#This Row],[Muestra]],Estructura!$M$4:$O$500,3,0)</f>
        <v>M-1005</v>
      </c>
    </row>
    <row r="1038" spans="1:27" ht="57.6" x14ac:dyDescent="0.3">
      <c r="A1038" s="21" t="s">
        <v>1934</v>
      </c>
      <c r="B1038" s="24">
        <f t="shared" ref="B1038:D1038" si="1735">+B1037</f>
        <v>990</v>
      </c>
      <c r="C1038" s="25" t="str">
        <f t="shared" si="1735"/>
        <v>Agencia Información</v>
      </c>
      <c r="D1038" s="25" t="str">
        <f t="shared" si="1735"/>
        <v>Arte y cultura</v>
      </c>
      <c r="E1038" s="19">
        <v>5</v>
      </c>
      <c r="F1038" s="18" t="s">
        <v>1684</v>
      </c>
      <c r="G1038" s="18" t="s">
        <v>3781</v>
      </c>
      <c r="H1038" s="35" t="s">
        <v>16</v>
      </c>
      <c r="I1038" s="36" t="s">
        <v>372</v>
      </c>
      <c r="J1038" s="9" t="str">
        <f t="shared" ref="J1038:N1038" si="1736">+J1037</f>
        <v>Comuna</v>
      </c>
      <c r="K1038" s="9" t="str">
        <f t="shared" si="1736"/>
        <v>Cantidad de espacios culturales por comuna</v>
      </c>
      <c r="L1038" s="38" t="str">
        <f t="shared" si="1736"/>
        <v>Año 2021</v>
      </c>
      <c r="M1038" s="9" t="str">
        <f t="shared" si="1736"/>
        <v>Número de espacios culturales</v>
      </c>
      <c r="N1038" s="9" t="str">
        <f t="shared" si="1736"/>
        <v>Observatorio Cultural</v>
      </c>
      <c r="O1038" s="45" t="str">
        <f>+"Cantidad de Espacios Culturales por Categoría en la "&amp;I1038&amp;", "&amp;Agencia[[#This Row],[temporalidad]]</f>
        <v>Cantidad de Espacios Culturales por Categoría en la Región de Valparaíso, Año 2021</v>
      </c>
      <c r="P1038" s="20"/>
      <c r="Q1038" s="11" t="str">
        <f t="shared" si="1628"/>
        <v>Gráfico</v>
      </c>
      <c r="R1038" s="20" t="str">
        <f>Agencia[[#This Row],[territorio]]&amp;" espacio cultural cultura infraestructura categoría tipo biblioteca museo archivo"</f>
        <v>Región de Valparaíso espacio cultural cultura infraestructura categoría tipo biblioteca museo archivo</v>
      </c>
      <c r="S1038" s="39" t="str">
        <f>HYPERLINK("https://analytics.zoho.com/open-view/2395394000008463151?ZOHO_CRITERIA=%22Localiza%20CL%22.%22Codreg%22%20%3D%20"&amp;Agencia[[#This Row],[Filtro URL]])</f>
        <v>https://analytics.zoho.com/open-view/2395394000008463151?ZOHO_CRITERIA=%22Localiza%20CL%22.%22Codreg%22%20%3D%205</v>
      </c>
      <c r="T1038" s="69" t="str">
        <f>"100-C-"&amp;Agencia[[#This Row],[Filtro URL]]</f>
        <v>100-C-5</v>
      </c>
      <c r="U1038" s="50" t="str">
        <f t="shared" si="1732"/>
        <v>#1774B9</v>
      </c>
      <c r="V1038" s="118" t="str">
        <f>+Agencia[[#This Row],[idcoleccion]]&amp;"-"&amp;Agencia[[#This Row],[id]]</f>
        <v>990-1027</v>
      </c>
      <c r="W1038" s="118">
        <f>+VLOOKUP(Agencia[[#This Row],[Filtro URL]],Estructura!$X$4:$Y$500,2,0)</f>
        <v>99200005</v>
      </c>
      <c r="X1038" s="118" t="str">
        <f>+VLOOKUP(Agencia[[#This Row],[tema]],Estructura!$A$4:$C$500,3,0)</f>
        <v>T-1024</v>
      </c>
      <c r="Y1038" s="118" t="str">
        <f>+VLOOKUP(Agencia[[#This Row],[contenido]],Estructura!$E$4:$G$500,3,0)</f>
        <v>C-1008</v>
      </c>
      <c r="Z1038" s="118" t="str">
        <f>+VLOOKUP(Agencia[[#This Row],[Filtro Integrado]],Estructura!$I$4:$K$500,3,0)</f>
        <v>FI-991</v>
      </c>
      <c r="AA1038" s="118" t="str">
        <f>+VLOOKUP(Agencia[[#This Row],[Muestra]],Estructura!$M$4:$O$500,3,0)</f>
        <v>M-1005</v>
      </c>
    </row>
    <row r="1039" spans="1:27" ht="57.6" x14ac:dyDescent="0.3">
      <c r="A1039" s="21" t="s">
        <v>1935</v>
      </c>
      <c r="B1039" s="24">
        <f t="shared" ref="B1039:D1039" si="1737">+B1038</f>
        <v>990</v>
      </c>
      <c r="C1039" s="25" t="str">
        <f t="shared" si="1737"/>
        <v>Agencia Información</v>
      </c>
      <c r="D1039" s="25" t="str">
        <f t="shared" si="1737"/>
        <v>Arte y cultura</v>
      </c>
      <c r="E1039" s="19">
        <v>6</v>
      </c>
      <c r="F1039" s="18" t="s">
        <v>1684</v>
      </c>
      <c r="G1039" s="18" t="s">
        <v>3781</v>
      </c>
      <c r="H1039" s="35" t="s">
        <v>16</v>
      </c>
      <c r="I1039" s="36" t="s">
        <v>373</v>
      </c>
      <c r="J1039" s="9" t="str">
        <f t="shared" ref="J1039:N1039" si="1738">+J1038</f>
        <v>Comuna</v>
      </c>
      <c r="K1039" s="9" t="str">
        <f t="shared" si="1738"/>
        <v>Cantidad de espacios culturales por comuna</v>
      </c>
      <c r="L1039" s="38" t="str">
        <f t="shared" si="1738"/>
        <v>Año 2021</v>
      </c>
      <c r="M1039" s="9" t="str">
        <f t="shared" si="1738"/>
        <v>Número de espacios culturales</v>
      </c>
      <c r="N1039" s="9" t="str">
        <f t="shared" si="1738"/>
        <v>Observatorio Cultural</v>
      </c>
      <c r="O1039" s="45" t="str">
        <f>+"Cantidad de Espacios Culturales por Categoría en la "&amp;I1039&amp;", "&amp;Agencia[[#This Row],[temporalidad]]</f>
        <v>Cantidad de Espacios Culturales por Categoría en la Región de O'Higgins, Año 2021</v>
      </c>
      <c r="P1039" s="20"/>
      <c r="Q1039" s="11" t="str">
        <f t="shared" si="1628"/>
        <v>Gráfico</v>
      </c>
      <c r="R1039" s="20" t="str">
        <f>Agencia[[#This Row],[territorio]]&amp;" espacio cultural cultura infraestructura categoría tipo biblioteca museo archivo"</f>
        <v>Región de O'Higgins espacio cultural cultura infraestructura categoría tipo biblioteca museo archivo</v>
      </c>
      <c r="S1039" s="39" t="str">
        <f>HYPERLINK("https://analytics.zoho.com/open-view/2395394000008463151?ZOHO_CRITERIA=%22Localiza%20CL%22.%22Codreg%22%20%3D%20"&amp;Agencia[[#This Row],[Filtro URL]])</f>
        <v>https://analytics.zoho.com/open-view/2395394000008463151?ZOHO_CRITERIA=%22Localiza%20CL%22.%22Codreg%22%20%3D%206</v>
      </c>
      <c r="T1039" s="69" t="str">
        <f>"100-C-"&amp;Agencia[[#This Row],[Filtro URL]]</f>
        <v>100-C-6</v>
      </c>
      <c r="U1039" s="50" t="str">
        <f t="shared" si="1732"/>
        <v>#1774B9</v>
      </c>
      <c r="V1039" s="118" t="str">
        <f>+Agencia[[#This Row],[idcoleccion]]&amp;"-"&amp;Agencia[[#This Row],[id]]</f>
        <v>990-1028</v>
      </c>
      <c r="W1039" s="118">
        <f>+VLOOKUP(Agencia[[#This Row],[Filtro URL]],Estructura!$X$4:$Y$500,2,0)</f>
        <v>99200006</v>
      </c>
      <c r="X1039" s="118" t="str">
        <f>+VLOOKUP(Agencia[[#This Row],[tema]],Estructura!$A$4:$C$500,3,0)</f>
        <v>T-1024</v>
      </c>
      <c r="Y1039" s="118" t="str">
        <f>+VLOOKUP(Agencia[[#This Row],[contenido]],Estructura!$E$4:$G$500,3,0)</f>
        <v>C-1008</v>
      </c>
      <c r="Z1039" s="118" t="str">
        <f>+VLOOKUP(Agencia[[#This Row],[Filtro Integrado]],Estructura!$I$4:$K$500,3,0)</f>
        <v>FI-991</v>
      </c>
      <c r="AA1039" s="118" t="str">
        <f>+VLOOKUP(Agencia[[#This Row],[Muestra]],Estructura!$M$4:$O$500,3,0)</f>
        <v>M-1005</v>
      </c>
    </row>
    <row r="1040" spans="1:27" ht="57.6" x14ac:dyDescent="0.3">
      <c r="A1040" s="21" t="s">
        <v>1936</v>
      </c>
      <c r="B1040" s="24">
        <f t="shared" ref="B1040:D1040" si="1739">+B1039</f>
        <v>990</v>
      </c>
      <c r="C1040" s="25" t="str">
        <f t="shared" si="1739"/>
        <v>Agencia Información</v>
      </c>
      <c r="D1040" s="25" t="str">
        <f t="shared" si="1739"/>
        <v>Arte y cultura</v>
      </c>
      <c r="E1040" s="19">
        <v>7</v>
      </c>
      <c r="F1040" s="18" t="s">
        <v>1684</v>
      </c>
      <c r="G1040" s="18" t="s">
        <v>3781</v>
      </c>
      <c r="H1040" s="35" t="s">
        <v>16</v>
      </c>
      <c r="I1040" s="36" t="s">
        <v>374</v>
      </c>
      <c r="J1040" s="9" t="str">
        <f t="shared" ref="J1040:N1040" si="1740">+J1039</f>
        <v>Comuna</v>
      </c>
      <c r="K1040" s="9" t="str">
        <f t="shared" si="1740"/>
        <v>Cantidad de espacios culturales por comuna</v>
      </c>
      <c r="L1040" s="38" t="str">
        <f t="shared" si="1740"/>
        <v>Año 2021</v>
      </c>
      <c r="M1040" s="9" t="str">
        <f t="shared" si="1740"/>
        <v>Número de espacios culturales</v>
      </c>
      <c r="N1040" s="9" t="str">
        <f t="shared" si="1740"/>
        <v>Observatorio Cultural</v>
      </c>
      <c r="O1040" s="45" t="str">
        <f>+"Cantidad de Espacios Culturales por Categoría en la "&amp;I1040&amp;", "&amp;Agencia[[#This Row],[temporalidad]]</f>
        <v>Cantidad de Espacios Culturales por Categoría en la Región de Maule, Año 2021</v>
      </c>
      <c r="P1040" s="20"/>
      <c r="Q1040" s="11" t="str">
        <f t="shared" si="1628"/>
        <v>Gráfico</v>
      </c>
      <c r="R1040" s="20" t="str">
        <f>Agencia[[#This Row],[territorio]]&amp;" espacio cultural cultura infraestructura categoría tipo biblioteca museo archivo"</f>
        <v>Región de Maule espacio cultural cultura infraestructura categoría tipo biblioteca museo archivo</v>
      </c>
      <c r="S1040" s="39" t="str">
        <f>HYPERLINK("https://analytics.zoho.com/open-view/2395394000008463151?ZOHO_CRITERIA=%22Localiza%20CL%22.%22Codreg%22%20%3D%20"&amp;Agencia[[#This Row],[Filtro URL]])</f>
        <v>https://analytics.zoho.com/open-view/2395394000008463151?ZOHO_CRITERIA=%22Localiza%20CL%22.%22Codreg%22%20%3D%207</v>
      </c>
      <c r="T1040" s="69" t="str">
        <f>"100-C-"&amp;Agencia[[#This Row],[Filtro URL]]</f>
        <v>100-C-7</v>
      </c>
      <c r="U1040" s="50" t="str">
        <f t="shared" si="1732"/>
        <v>#1774B9</v>
      </c>
      <c r="V1040" s="118" t="str">
        <f>+Agencia[[#This Row],[idcoleccion]]&amp;"-"&amp;Agencia[[#This Row],[id]]</f>
        <v>990-1029</v>
      </c>
      <c r="W1040" s="118">
        <f>+VLOOKUP(Agencia[[#This Row],[Filtro URL]],Estructura!$X$4:$Y$500,2,0)</f>
        <v>99200007</v>
      </c>
      <c r="X1040" s="118" t="str">
        <f>+VLOOKUP(Agencia[[#This Row],[tema]],Estructura!$A$4:$C$500,3,0)</f>
        <v>T-1024</v>
      </c>
      <c r="Y1040" s="118" t="str">
        <f>+VLOOKUP(Agencia[[#This Row],[contenido]],Estructura!$E$4:$G$500,3,0)</f>
        <v>C-1008</v>
      </c>
      <c r="Z1040" s="118" t="str">
        <f>+VLOOKUP(Agencia[[#This Row],[Filtro Integrado]],Estructura!$I$4:$K$500,3,0)</f>
        <v>FI-991</v>
      </c>
      <c r="AA1040" s="118" t="str">
        <f>+VLOOKUP(Agencia[[#This Row],[Muestra]],Estructura!$M$4:$O$500,3,0)</f>
        <v>M-1005</v>
      </c>
    </row>
    <row r="1041" spans="1:27" ht="57.6" x14ac:dyDescent="0.3">
      <c r="A1041" s="21" t="s">
        <v>1937</v>
      </c>
      <c r="B1041" s="24">
        <f t="shared" ref="B1041:D1041" si="1741">+B1040</f>
        <v>990</v>
      </c>
      <c r="C1041" s="25" t="str">
        <f t="shared" si="1741"/>
        <v>Agencia Información</v>
      </c>
      <c r="D1041" s="25" t="str">
        <f t="shared" si="1741"/>
        <v>Arte y cultura</v>
      </c>
      <c r="E1041" s="19">
        <v>8</v>
      </c>
      <c r="F1041" s="18" t="s">
        <v>1684</v>
      </c>
      <c r="G1041" s="18" t="s">
        <v>3781</v>
      </c>
      <c r="H1041" s="35" t="s">
        <v>16</v>
      </c>
      <c r="I1041" s="36" t="s">
        <v>375</v>
      </c>
      <c r="J1041" s="9" t="str">
        <f t="shared" ref="J1041:N1041" si="1742">+J1040</f>
        <v>Comuna</v>
      </c>
      <c r="K1041" s="9" t="str">
        <f t="shared" si="1742"/>
        <v>Cantidad de espacios culturales por comuna</v>
      </c>
      <c r="L1041" s="38" t="str">
        <f t="shared" si="1742"/>
        <v>Año 2021</v>
      </c>
      <c r="M1041" s="9" t="str">
        <f t="shared" si="1742"/>
        <v>Número de espacios culturales</v>
      </c>
      <c r="N1041" s="9" t="str">
        <f t="shared" si="1742"/>
        <v>Observatorio Cultural</v>
      </c>
      <c r="O1041" s="45" t="str">
        <f>+"Cantidad de Espacios Culturales por Categoría en la "&amp;I1041&amp;", "&amp;Agencia[[#This Row],[temporalidad]]</f>
        <v>Cantidad de Espacios Culturales por Categoría en la Región del Biobío, Año 2021</v>
      </c>
      <c r="P1041" s="20"/>
      <c r="Q1041" s="11" t="str">
        <f t="shared" si="1628"/>
        <v>Gráfico</v>
      </c>
      <c r="R1041" s="20" t="str">
        <f>Agencia[[#This Row],[territorio]]&amp;" espacio cultural cultura infraestructura categoría tipo biblioteca museo archivo"</f>
        <v>Región del Biobío espacio cultural cultura infraestructura categoría tipo biblioteca museo archivo</v>
      </c>
      <c r="S1041" s="39" t="str">
        <f>HYPERLINK("https://analytics.zoho.com/open-view/2395394000008463151?ZOHO_CRITERIA=%22Localiza%20CL%22.%22Codreg%22%20%3D%20"&amp;Agencia[[#This Row],[Filtro URL]])</f>
        <v>https://analytics.zoho.com/open-view/2395394000008463151?ZOHO_CRITERIA=%22Localiza%20CL%22.%22Codreg%22%20%3D%208</v>
      </c>
      <c r="T1041" s="69" t="str">
        <f>"100-C-"&amp;Agencia[[#This Row],[Filtro URL]]</f>
        <v>100-C-8</v>
      </c>
      <c r="U1041" s="50" t="str">
        <f t="shared" si="1732"/>
        <v>#1774B9</v>
      </c>
      <c r="V1041" s="118" t="str">
        <f>+Agencia[[#This Row],[idcoleccion]]&amp;"-"&amp;Agencia[[#This Row],[id]]</f>
        <v>990-1030</v>
      </c>
      <c r="W1041" s="118">
        <f>+VLOOKUP(Agencia[[#This Row],[Filtro URL]],Estructura!$X$4:$Y$500,2,0)</f>
        <v>99200008</v>
      </c>
      <c r="X1041" s="118" t="str">
        <f>+VLOOKUP(Agencia[[#This Row],[tema]],Estructura!$A$4:$C$500,3,0)</f>
        <v>T-1024</v>
      </c>
      <c r="Y1041" s="118" t="str">
        <f>+VLOOKUP(Agencia[[#This Row],[contenido]],Estructura!$E$4:$G$500,3,0)</f>
        <v>C-1008</v>
      </c>
      <c r="Z1041" s="118" t="str">
        <f>+VLOOKUP(Agencia[[#This Row],[Filtro Integrado]],Estructura!$I$4:$K$500,3,0)</f>
        <v>FI-991</v>
      </c>
      <c r="AA1041" s="118" t="str">
        <f>+VLOOKUP(Agencia[[#This Row],[Muestra]],Estructura!$M$4:$O$500,3,0)</f>
        <v>M-1005</v>
      </c>
    </row>
    <row r="1042" spans="1:27" ht="57.6" x14ac:dyDescent="0.3">
      <c r="A1042" s="21" t="s">
        <v>1938</v>
      </c>
      <c r="B1042" s="24">
        <f t="shared" ref="B1042:D1042" si="1743">+B1041</f>
        <v>990</v>
      </c>
      <c r="C1042" s="25" t="str">
        <f t="shared" si="1743"/>
        <v>Agencia Información</v>
      </c>
      <c r="D1042" s="25" t="str">
        <f t="shared" si="1743"/>
        <v>Arte y cultura</v>
      </c>
      <c r="E1042" s="19">
        <v>9</v>
      </c>
      <c r="F1042" s="18" t="s">
        <v>1684</v>
      </c>
      <c r="G1042" s="18" t="s">
        <v>3781</v>
      </c>
      <c r="H1042" s="35" t="s">
        <v>16</v>
      </c>
      <c r="I1042" s="36" t="s">
        <v>376</v>
      </c>
      <c r="J1042" s="9" t="str">
        <f t="shared" ref="J1042:N1042" si="1744">+J1041</f>
        <v>Comuna</v>
      </c>
      <c r="K1042" s="9" t="str">
        <f t="shared" si="1744"/>
        <v>Cantidad de espacios culturales por comuna</v>
      </c>
      <c r="L1042" s="38" t="str">
        <f t="shared" si="1744"/>
        <v>Año 2021</v>
      </c>
      <c r="M1042" s="9" t="str">
        <f t="shared" si="1744"/>
        <v>Número de espacios culturales</v>
      </c>
      <c r="N1042" s="9" t="str">
        <f t="shared" si="1744"/>
        <v>Observatorio Cultural</v>
      </c>
      <c r="O1042" s="45" t="str">
        <f>+"Cantidad de Espacios Culturales por Categoría en la "&amp;I1042&amp;", "&amp;Agencia[[#This Row],[temporalidad]]</f>
        <v>Cantidad de Espacios Culturales por Categoría en la Región de La Araucanía, Año 2021</v>
      </c>
      <c r="P1042" s="20"/>
      <c r="Q1042" s="11" t="str">
        <f t="shared" si="1628"/>
        <v>Gráfico</v>
      </c>
      <c r="R1042" s="20" t="str">
        <f>Agencia[[#This Row],[territorio]]&amp;" espacio cultural cultura infraestructura categoría tipo biblioteca museo archivo"</f>
        <v>Región de La Araucanía espacio cultural cultura infraestructura categoría tipo biblioteca museo archivo</v>
      </c>
      <c r="S1042" s="39" t="str">
        <f>HYPERLINK("https://analytics.zoho.com/open-view/2395394000008463151?ZOHO_CRITERIA=%22Localiza%20CL%22.%22Codreg%22%20%3D%20"&amp;Agencia[[#This Row],[Filtro URL]])</f>
        <v>https://analytics.zoho.com/open-view/2395394000008463151?ZOHO_CRITERIA=%22Localiza%20CL%22.%22Codreg%22%20%3D%209</v>
      </c>
      <c r="T1042" s="69" t="str">
        <f>"100-C-"&amp;Agencia[[#This Row],[Filtro URL]]</f>
        <v>100-C-9</v>
      </c>
      <c r="U1042" s="50" t="str">
        <f t="shared" si="1732"/>
        <v>#1774B9</v>
      </c>
      <c r="V1042" s="118" t="str">
        <f>+Agencia[[#This Row],[idcoleccion]]&amp;"-"&amp;Agencia[[#This Row],[id]]</f>
        <v>990-1031</v>
      </c>
      <c r="W1042" s="118">
        <f>+VLOOKUP(Agencia[[#This Row],[Filtro URL]],Estructura!$X$4:$Y$500,2,0)</f>
        <v>99200009</v>
      </c>
      <c r="X1042" s="118" t="str">
        <f>+VLOOKUP(Agencia[[#This Row],[tema]],Estructura!$A$4:$C$500,3,0)</f>
        <v>T-1024</v>
      </c>
      <c r="Y1042" s="118" t="str">
        <f>+VLOOKUP(Agencia[[#This Row],[contenido]],Estructura!$E$4:$G$500,3,0)</f>
        <v>C-1008</v>
      </c>
      <c r="Z1042" s="118" t="str">
        <f>+VLOOKUP(Agencia[[#This Row],[Filtro Integrado]],Estructura!$I$4:$K$500,3,0)</f>
        <v>FI-991</v>
      </c>
      <c r="AA1042" s="118" t="str">
        <f>+VLOOKUP(Agencia[[#This Row],[Muestra]],Estructura!$M$4:$O$500,3,0)</f>
        <v>M-1005</v>
      </c>
    </row>
    <row r="1043" spans="1:27" ht="57.6" x14ac:dyDescent="0.3">
      <c r="A1043" s="21" t="s">
        <v>1939</v>
      </c>
      <c r="B1043" s="24">
        <f t="shared" ref="B1043:D1043" si="1745">+B1042</f>
        <v>990</v>
      </c>
      <c r="C1043" s="25" t="str">
        <f t="shared" si="1745"/>
        <v>Agencia Información</v>
      </c>
      <c r="D1043" s="25" t="str">
        <f t="shared" si="1745"/>
        <v>Arte y cultura</v>
      </c>
      <c r="E1043" s="19">
        <v>10</v>
      </c>
      <c r="F1043" s="18" t="s">
        <v>1684</v>
      </c>
      <c r="G1043" s="18" t="s">
        <v>3781</v>
      </c>
      <c r="H1043" s="35" t="s">
        <v>16</v>
      </c>
      <c r="I1043" s="36" t="s">
        <v>377</v>
      </c>
      <c r="J1043" s="9" t="str">
        <f t="shared" ref="J1043:N1043" si="1746">+J1042</f>
        <v>Comuna</v>
      </c>
      <c r="K1043" s="9" t="str">
        <f t="shared" si="1746"/>
        <v>Cantidad de espacios culturales por comuna</v>
      </c>
      <c r="L1043" s="38" t="str">
        <f t="shared" si="1746"/>
        <v>Año 2021</v>
      </c>
      <c r="M1043" s="9" t="str">
        <f t="shared" si="1746"/>
        <v>Número de espacios culturales</v>
      </c>
      <c r="N1043" s="9" t="str">
        <f t="shared" si="1746"/>
        <v>Observatorio Cultural</v>
      </c>
      <c r="O1043" s="45" t="str">
        <f>+"Cantidad de Espacios Culturales por Categoría en la "&amp;I1043&amp;", "&amp;Agencia[[#This Row],[temporalidad]]</f>
        <v>Cantidad de Espacios Culturales por Categoría en la Región de Los Lagos, Año 2021</v>
      </c>
      <c r="P1043" s="20"/>
      <c r="Q1043" s="11" t="str">
        <f t="shared" si="1628"/>
        <v>Gráfico</v>
      </c>
      <c r="R1043" s="20" t="str">
        <f>Agencia[[#This Row],[territorio]]&amp;" espacio cultural cultura infraestructura categoría tipo biblioteca museo archivo"</f>
        <v>Región de Los Lagos espacio cultural cultura infraestructura categoría tipo biblioteca museo archivo</v>
      </c>
      <c r="S1043" s="39" t="str">
        <f>HYPERLINK("https://analytics.zoho.com/open-view/2395394000008463151?ZOHO_CRITERIA=%22Localiza%20CL%22.%22Codreg%22%20%3D%20"&amp;Agencia[[#This Row],[Filtro URL]])</f>
        <v>https://analytics.zoho.com/open-view/2395394000008463151?ZOHO_CRITERIA=%22Localiza%20CL%22.%22Codreg%22%20%3D%2010</v>
      </c>
      <c r="T1043" s="69" t="str">
        <f>"100-C-"&amp;Agencia[[#This Row],[Filtro URL]]</f>
        <v>100-C-10</v>
      </c>
      <c r="U1043" s="50" t="str">
        <f t="shared" si="1732"/>
        <v>#1774B9</v>
      </c>
      <c r="V1043" s="118" t="str">
        <f>+Agencia[[#This Row],[idcoleccion]]&amp;"-"&amp;Agencia[[#This Row],[id]]</f>
        <v>990-1032</v>
      </c>
      <c r="W1043" s="118">
        <f>+VLOOKUP(Agencia[[#This Row],[Filtro URL]],Estructura!$X$4:$Y$500,2,0)</f>
        <v>99200010</v>
      </c>
      <c r="X1043" s="118" t="str">
        <f>+VLOOKUP(Agencia[[#This Row],[tema]],Estructura!$A$4:$C$500,3,0)</f>
        <v>T-1024</v>
      </c>
      <c r="Y1043" s="118" t="str">
        <f>+VLOOKUP(Agencia[[#This Row],[contenido]],Estructura!$E$4:$G$500,3,0)</f>
        <v>C-1008</v>
      </c>
      <c r="Z1043" s="118" t="str">
        <f>+VLOOKUP(Agencia[[#This Row],[Filtro Integrado]],Estructura!$I$4:$K$500,3,0)</f>
        <v>FI-991</v>
      </c>
      <c r="AA1043" s="118" t="str">
        <f>+VLOOKUP(Agencia[[#This Row],[Muestra]],Estructura!$M$4:$O$500,3,0)</f>
        <v>M-1005</v>
      </c>
    </row>
    <row r="1044" spans="1:27" ht="57.6" x14ac:dyDescent="0.3">
      <c r="A1044" s="21" t="s">
        <v>1940</v>
      </c>
      <c r="B1044" s="24">
        <f t="shared" ref="B1044:D1044" si="1747">+B1043</f>
        <v>990</v>
      </c>
      <c r="C1044" s="25" t="str">
        <f t="shared" si="1747"/>
        <v>Agencia Información</v>
      </c>
      <c r="D1044" s="25" t="str">
        <f t="shared" si="1747"/>
        <v>Arte y cultura</v>
      </c>
      <c r="E1044" s="19">
        <v>11</v>
      </c>
      <c r="F1044" s="18" t="s">
        <v>1684</v>
      </c>
      <c r="G1044" s="18" t="s">
        <v>3781</v>
      </c>
      <c r="H1044" s="35" t="s">
        <v>16</v>
      </c>
      <c r="I1044" s="36" t="s">
        <v>378</v>
      </c>
      <c r="J1044" s="9" t="str">
        <f t="shared" ref="J1044:N1044" si="1748">+J1043</f>
        <v>Comuna</v>
      </c>
      <c r="K1044" s="9" t="str">
        <f t="shared" si="1748"/>
        <v>Cantidad de espacios culturales por comuna</v>
      </c>
      <c r="L1044" s="38" t="str">
        <f t="shared" si="1748"/>
        <v>Año 2021</v>
      </c>
      <c r="M1044" s="9" t="str">
        <f t="shared" si="1748"/>
        <v>Número de espacios culturales</v>
      </c>
      <c r="N1044" s="9" t="str">
        <f t="shared" si="1748"/>
        <v>Observatorio Cultural</v>
      </c>
      <c r="O1044" s="45" t="str">
        <f>+"Cantidad de Espacios Culturales por Categoría en la "&amp;I1044&amp;", "&amp;Agencia[[#This Row],[temporalidad]]</f>
        <v>Cantidad de Espacios Culturales por Categoría en la Región de Aysén, Año 2021</v>
      </c>
      <c r="P1044" s="20"/>
      <c r="Q1044" s="11" t="str">
        <f t="shared" si="1628"/>
        <v>Gráfico</v>
      </c>
      <c r="R1044" s="20" t="str">
        <f>Agencia[[#This Row],[territorio]]&amp;" espacio cultural cultura infraestructura categoría tipo biblioteca museo archivo"</f>
        <v>Región de Aysén espacio cultural cultura infraestructura categoría tipo biblioteca museo archivo</v>
      </c>
      <c r="S1044" s="39" t="str">
        <f>HYPERLINK("https://analytics.zoho.com/open-view/2395394000008463151?ZOHO_CRITERIA=%22Localiza%20CL%22.%22Codreg%22%20%3D%20"&amp;Agencia[[#This Row],[Filtro URL]])</f>
        <v>https://analytics.zoho.com/open-view/2395394000008463151?ZOHO_CRITERIA=%22Localiza%20CL%22.%22Codreg%22%20%3D%2011</v>
      </c>
      <c r="T1044" s="69" t="str">
        <f>"100-C-"&amp;Agencia[[#This Row],[Filtro URL]]</f>
        <v>100-C-11</v>
      </c>
      <c r="U1044" s="50" t="str">
        <f t="shared" si="1732"/>
        <v>#1774B9</v>
      </c>
      <c r="V1044" s="118" t="str">
        <f>+Agencia[[#This Row],[idcoleccion]]&amp;"-"&amp;Agencia[[#This Row],[id]]</f>
        <v>990-1033</v>
      </c>
      <c r="W1044" s="118">
        <f>+VLOOKUP(Agencia[[#This Row],[Filtro URL]],Estructura!$X$4:$Y$500,2,0)</f>
        <v>99200011</v>
      </c>
      <c r="X1044" s="118" t="str">
        <f>+VLOOKUP(Agencia[[#This Row],[tema]],Estructura!$A$4:$C$500,3,0)</f>
        <v>T-1024</v>
      </c>
      <c r="Y1044" s="118" t="str">
        <f>+VLOOKUP(Agencia[[#This Row],[contenido]],Estructura!$E$4:$G$500,3,0)</f>
        <v>C-1008</v>
      </c>
      <c r="Z1044" s="118" t="str">
        <f>+VLOOKUP(Agencia[[#This Row],[Filtro Integrado]],Estructura!$I$4:$K$500,3,0)</f>
        <v>FI-991</v>
      </c>
      <c r="AA1044" s="118" t="str">
        <f>+VLOOKUP(Agencia[[#This Row],[Muestra]],Estructura!$M$4:$O$500,3,0)</f>
        <v>M-1005</v>
      </c>
    </row>
    <row r="1045" spans="1:27" ht="57.6" x14ac:dyDescent="0.3">
      <c r="A1045" s="21" t="s">
        <v>1941</v>
      </c>
      <c r="B1045" s="24">
        <f t="shared" ref="B1045:D1045" si="1749">+B1044</f>
        <v>990</v>
      </c>
      <c r="C1045" s="25" t="str">
        <f t="shared" si="1749"/>
        <v>Agencia Información</v>
      </c>
      <c r="D1045" s="25" t="str">
        <f t="shared" si="1749"/>
        <v>Arte y cultura</v>
      </c>
      <c r="E1045" s="19">
        <v>12</v>
      </c>
      <c r="F1045" s="18" t="s">
        <v>1684</v>
      </c>
      <c r="G1045" s="18" t="s">
        <v>3781</v>
      </c>
      <c r="H1045" s="35" t="s">
        <v>16</v>
      </c>
      <c r="I1045" s="36" t="s">
        <v>379</v>
      </c>
      <c r="J1045" s="9" t="str">
        <f t="shared" ref="J1045:N1045" si="1750">+J1044</f>
        <v>Comuna</v>
      </c>
      <c r="K1045" s="9" t="str">
        <f t="shared" si="1750"/>
        <v>Cantidad de espacios culturales por comuna</v>
      </c>
      <c r="L1045" s="38" t="str">
        <f t="shared" si="1750"/>
        <v>Año 2021</v>
      </c>
      <c r="M1045" s="9" t="str">
        <f t="shared" si="1750"/>
        <v>Número de espacios culturales</v>
      </c>
      <c r="N1045" s="9" t="str">
        <f t="shared" si="1750"/>
        <v>Observatorio Cultural</v>
      </c>
      <c r="O1045" s="45" t="str">
        <f>+"Cantidad de Espacios Culturales por Categoría en la "&amp;I1045&amp;", "&amp;Agencia[[#This Row],[temporalidad]]</f>
        <v>Cantidad de Espacios Culturales por Categoría en la Región de Magallanes, Año 2021</v>
      </c>
      <c r="P1045" s="20"/>
      <c r="Q1045" s="11" t="str">
        <f t="shared" si="1628"/>
        <v>Gráfico</v>
      </c>
      <c r="R1045" s="20" t="str">
        <f>Agencia[[#This Row],[territorio]]&amp;" espacio cultural cultura infraestructura categoría tipo biblioteca museo archivo"</f>
        <v>Región de Magallanes espacio cultural cultura infraestructura categoría tipo biblioteca museo archivo</v>
      </c>
      <c r="S1045" s="39" t="str">
        <f>HYPERLINK("https://analytics.zoho.com/open-view/2395394000008463151?ZOHO_CRITERIA=%22Localiza%20CL%22.%22Codreg%22%20%3D%20"&amp;Agencia[[#This Row],[Filtro URL]])</f>
        <v>https://analytics.zoho.com/open-view/2395394000008463151?ZOHO_CRITERIA=%22Localiza%20CL%22.%22Codreg%22%20%3D%2012</v>
      </c>
      <c r="T1045" s="69" t="str">
        <f>"100-C-"&amp;Agencia[[#This Row],[Filtro URL]]</f>
        <v>100-C-12</v>
      </c>
      <c r="U1045" s="50" t="str">
        <f t="shared" si="1732"/>
        <v>#1774B9</v>
      </c>
      <c r="V1045" s="118" t="str">
        <f>+Agencia[[#This Row],[idcoleccion]]&amp;"-"&amp;Agencia[[#This Row],[id]]</f>
        <v>990-1034</v>
      </c>
      <c r="W1045" s="118">
        <f>+VLOOKUP(Agencia[[#This Row],[Filtro URL]],Estructura!$X$4:$Y$500,2,0)</f>
        <v>99200012</v>
      </c>
      <c r="X1045" s="118" t="str">
        <f>+VLOOKUP(Agencia[[#This Row],[tema]],Estructura!$A$4:$C$500,3,0)</f>
        <v>T-1024</v>
      </c>
      <c r="Y1045" s="118" t="str">
        <f>+VLOOKUP(Agencia[[#This Row],[contenido]],Estructura!$E$4:$G$500,3,0)</f>
        <v>C-1008</v>
      </c>
      <c r="Z1045" s="118" t="str">
        <f>+VLOOKUP(Agencia[[#This Row],[Filtro Integrado]],Estructura!$I$4:$K$500,3,0)</f>
        <v>FI-991</v>
      </c>
      <c r="AA1045" s="118" t="str">
        <f>+VLOOKUP(Agencia[[#This Row],[Muestra]],Estructura!$M$4:$O$500,3,0)</f>
        <v>M-1005</v>
      </c>
    </row>
    <row r="1046" spans="1:27" ht="57.6" x14ac:dyDescent="0.3">
      <c r="A1046" s="21" t="s">
        <v>1942</v>
      </c>
      <c r="B1046" s="24">
        <f t="shared" ref="B1046:D1046" si="1751">+B1045</f>
        <v>990</v>
      </c>
      <c r="C1046" s="25" t="str">
        <f t="shared" si="1751"/>
        <v>Agencia Información</v>
      </c>
      <c r="D1046" s="25" t="str">
        <f t="shared" si="1751"/>
        <v>Arte y cultura</v>
      </c>
      <c r="E1046" s="19">
        <v>13</v>
      </c>
      <c r="F1046" s="18" t="s">
        <v>1684</v>
      </c>
      <c r="G1046" s="18" t="s">
        <v>3781</v>
      </c>
      <c r="H1046" s="35" t="s">
        <v>16</v>
      </c>
      <c r="I1046" s="36" t="s">
        <v>380</v>
      </c>
      <c r="J1046" s="9" t="str">
        <f t="shared" ref="J1046:N1046" si="1752">+J1045</f>
        <v>Comuna</v>
      </c>
      <c r="K1046" s="9" t="str">
        <f t="shared" si="1752"/>
        <v>Cantidad de espacios culturales por comuna</v>
      </c>
      <c r="L1046" s="38" t="str">
        <f t="shared" si="1752"/>
        <v>Año 2021</v>
      </c>
      <c r="M1046" s="9" t="str">
        <f t="shared" si="1752"/>
        <v>Número de espacios culturales</v>
      </c>
      <c r="N1046" s="9" t="str">
        <f t="shared" si="1752"/>
        <v>Observatorio Cultural</v>
      </c>
      <c r="O1046" s="45" t="str">
        <f>+"Cantidad de Espacios Culturales por Categoría en la "&amp;I1046&amp;", "&amp;Agencia[[#This Row],[temporalidad]]</f>
        <v>Cantidad de Espacios Culturales por Categoría en la Región Metropolitana, Año 2021</v>
      </c>
      <c r="P1046" s="20"/>
      <c r="Q1046" s="11" t="str">
        <f t="shared" si="1628"/>
        <v>Gráfico</v>
      </c>
      <c r="R1046" s="20" t="str">
        <f>Agencia[[#This Row],[territorio]]&amp;" espacio cultural cultura infraestructura categoría tipo biblioteca museo archivo"</f>
        <v>Región Metropolitana espacio cultural cultura infraestructura categoría tipo biblioteca museo archivo</v>
      </c>
      <c r="S1046" s="39" t="str">
        <f>HYPERLINK("https://analytics.zoho.com/open-view/2395394000008463151?ZOHO_CRITERIA=%22Localiza%20CL%22.%22Codreg%22%20%3D%20"&amp;Agencia[[#This Row],[Filtro URL]])</f>
        <v>https://analytics.zoho.com/open-view/2395394000008463151?ZOHO_CRITERIA=%22Localiza%20CL%22.%22Codreg%22%20%3D%2013</v>
      </c>
      <c r="T1046" s="69" t="str">
        <f>"200-C-"&amp;Agencia[[#This Row],[Filtro URL]]</f>
        <v>200-C-13</v>
      </c>
      <c r="U1046" s="50" t="str">
        <f t="shared" si="1732"/>
        <v>#1774B9</v>
      </c>
      <c r="V1046" s="118" t="str">
        <f>+Agencia[[#This Row],[idcoleccion]]&amp;"-"&amp;Agencia[[#This Row],[id]]</f>
        <v>990-1035</v>
      </c>
      <c r="W1046" s="118">
        <f>+VLOOKUP(Agencia[[#This Row],[Filtro URL]],Estructura!$X$4:$Y$500,2,0)</f>
        <v>99200013</v>
      </c>
      <c r="X1046" s="118" t="str">
        <f>+VLOOKUP(Agencia[[#This Row],[tema]],Estructura!$A$4:$C$500,3,0)</f>
        <v>T-1024</v>
      </c>
      <c r="Y1046" s="118" t="str">
        <f>+VLOOKUP(Agencia[[#This Row],[contenido]],Estructura!$E$4:$G$500,3,0)</f>
        <v>C-1008</v>
      </c>
      <c r="Z1046" s="118" t="str">
        <f>+VLOOKUP(Agencia[[#This Row],[Filtro Integrado]],Estructura!$I$4:$K$500,3,0)</f>
        <v>FI-991</v>
      </c>
      <c r="AA1046" s="118" t="str">
        <f>+VLOOKUP(Agencia[[#This Row],[Muestra]],Estructura!$M$4:$O$500,3,0)</f>
        <v>M-1005</v>
      </c>
    </row>
    <row r="1047" spans="1:27" ht="57.6" x14ac:dyDescent="0.3">
      <c r="A1047" s="21" t="s">
        <v>1943</v>
      </c>
      <c r="B1047" s="24">
        <f t="shared" ref="B1047:D1047" si="1753">+B1046</f>
        <v>990</v>
      </c>
      <c r="C1047" s="25" t="str">
        <f t="shared" si="1753"/>
        <v>Agencia Información</v>
      </c>
      <c r="D1047" s="25" t="str">
        <f t="shared" si="1753"/>
        <v>Arte y cultura</v>
      </c>
      <c r="E1047" s="19">
        <v>14</v>
      </c>
      <c r="F1047" s="18" t="s">
        <v>1684</v>
      </c>
      <c r="G1047" s="18" t="s">
        <v>3781</v>
      </c>
      <c r="H1047" s="35" t="s">
        <v>16</v>
      </c>
      <c r="I1047" s="36" t="s">
        <v>381</v>
      </c>
      <c r="J1047" s="9" t="str">
        <f t="shared" ref="J1047:N1047" si="1754">+J1046</f>
        <v>Comuna</v>
      </c>
      <c r="K1047" s="9" t="str">
        <f t="shared" si="1754"/>
        <v>Cantidad de espacios culturales por comuna</v>
      </c>
      <c r="L1047" s="38" t="str">
        <f t="shared" si="1754"/>
        <v>Año 2021</v>
      </c>
      <c r="M1047" s="9" t="str">
        <f t="shared" si="1754"/>
        <v>Número de espacios culturales</v>
      </c>
      <c r="N1047" s="9" t="str">
        <f t="shared" si="1754"/>
        <v>Observatorio Cultural</v>
      </c>
      <c r="O1047" s="45" t="str">
        <f>+"Cantidad de Espacios Culturales por Categoría en la "&amp;I1047&amp;", "&amp;Agencia[[#This Row],[temporalidad]]</f>
        <v>Cantidad de Espacios Culturales por Categoría en la Región de Los Ríos, Año 2021</v>
      </c>
      <c r="P1047" s="20"/>
      <c r="Q1047" s="11" t="str">
        <f t="shared" ref="Q1047:Q1049" si="1755">+Q1046</f>
        <v>Gráfico</v>
      </c>
      <c r="R1047" s="20" t="str">
        <f>Agencia[[#This Row],[territorio]]&amp;" espacio cultural cultura infraestructura categoría tipo biblioteca museo archivo"</f>
        <v>Región de Los Ríos espacio cultural cultura infraestructura categoría tipo biblioteca museo archivo</v>
      </c>
      <c r="S1047" s="39" t="str">
        <f>HYPERLINK("https://analytics.zoho.com/open-view/2395394000008463151?ZOHO_CRITERIA=%22Localiza%20CL%22.%22Codreg%22%20%3D%20"&amp;Agencia[[#This Row],[Filtro URL]])</f>
        <v>https://analytics.zoho.com/open-view/2395394000008463151?ZOHO_CRITERIA=%22Localiza%20CL%22.%22Codreg%22%20%3D%2014</v>
      </c>
      <c r="T1047" s="69" t="str">
        <f>"100-C-"&amp;Agencia[[#This Row],[Filtro URL]]</f>
        <v>100-C-14</v>
      </c>
      <c r="U1047" s="50" t="str">
        <f t="shared" si="1732"/>
        <v>#1774B9</v>
      </c>
      <c r="V1047" s="118" t="str">
        <f>+Agencia[[#This Row],[idcoleccion]]&amp;"-"&amp;Agencia[[#This Row],[id]]</f>
        <v>990-1036</v>
      </c>
      <c r="W1047" s="118">
        <f>+VLOOKUP(Agencia[[#This Row],[Filtro URL]],Estructura!$X$4:$Y$500,2,0)</f>
        <v>99200014</v>
      </c>
      <c r="X1047" s="118" t="str">
        <f>+VLOOKUP(Agencia[[#This Row],[tema]],Estructura!$A$4:$C$500,3,0)</f>
        <v>T-1024</v>
      </c>
      <c r="Y1047" s="118" t="str">
        <f>+VLOOKUP(Agencia[[#This Row],[contenido]],Estructura!$E$4:$G$500,3,0)</f>
        <v>C-1008</v>
      </c>
      <c r="Z1047" s="118" t="str">
        <f>+VLOOKUP(Agencia[[#This Row],[Filtro Integrado]],Estructura!$I$4:$K$500,3,0)</f>
        <v>FI-991</v>
      </c>
      <c r="AA1047" s="118" t="str">
        <f>+VLOOKUP(Agencia[[#This Row],[Muestra]],Estructura!$M$4:$O$500,3,0)</f>
        <v>M-1005</v>
      </c>
    </row>
    <row r="1048" spans="1:27" ht="57.6" x14ac:dyDescent="0.3">
      <c r="A1048" s="21" t="s">
        <v>1944</v>
      </c>
      <c r="B1048" s="24">
        <f t="shared" ref="B1048:D1048" si="1756">+B1047</f>
        <v>990</v>
      </c>
      <c r="C1048" s="25" t="str">
        <f t="shared" si="1756"/>
        <v>Agencia Información</v>
      </c>
      <c r="D1048" s="25" t="str">
        <f t="shared" si="1756"/>
        <v>Arte y cultura</v>
      </c>
      <c r="E1048" s="19">
        <v>15</v>
      </c>
      <c r="F1048" s="18" t="s">
        <v>1684</v>
      </c>
      <c r="G1048" s="18" t="s">
        <v>3781</v>
      </c>
      <c r="H1048" s="35" t="s">
        <v>16</v>
      </c>
      <c r="I1048" s="36" t="s">
        <v>382</v>
      </c>
      <c r="J1048" s="9" t="str">
        <f t="shared" ref="J1048:N1048" si="1757">+J1047</f>
        <v>Comuna</v>
      </c>
      <c r="K1048" s="9" t="str">
        <f t="shared" si="1757"/>
        <v>Cantidad de espacios culturales por comuna</v>
      </c>
      <c r="L1048" s="38" t="str">
        <f t="shared" si="1757"/>
        <v>Año 2021</v>
      </c>
      <c r="M1048" s="9" t="str">
        <f t="shared" si="1757"/>
        <v>Número de espacios culturales</v>
      </c>
      <c r="N1048" s="9" t="str">
        <f t="shared" si="1757"/>
        <v>Observatorio Cultural</v>
      </c>
      <c r="O1048" s="45" t="str">
        <f>+"Cantidad de Espacios Culturales por Categoría en la "&amp;I1048&amp;", "&amp;Agencia[[#This Row],[temporalidad]]</f>
        <v>Cantidad de Espacios Culturales por Categoría en la Región de Arica y Parinacota, Año 2021</v>
      </c>
      <c r="P1048" s="20"/>
      <c r="Q1048" s="11" t="str">
        <f t="shared" si="1755"/>
        <v>Gráfico</v>
      </c>
      <c r="R1048" s="20" t="str">
        <f>Agencia[[#This Row],[territorio]]&amp;" espacio cultural cultura infraestructura categoría tipo biblioteca museo archivo"</f>
        <v>Región de Arica y Parinacota espacio cultural cultura infraestructura categoría tipo biblioteca museo archivo</v>
      </c>
      <c r="S1048" s="39" t="str">
        <f>HYPERLINK("https://analytics.zoho.com/open-view/2395394000008463151?ZOHO_CRITERIA=%22Localiza%20CL%22.%22Codreg%22%20%3D%20"&amp;Agencia[[#This Row],[Filtro URL]])</f>
        <v>https://analytics.zoho.com/open-view/2395394000008463151?ZOHO_CRITERIA=%22Localiza%20CL%22.%22Codreg%22%20%3D%2015</v>
      </c>
      <c r="T1048" s="69" t="str">
        <f>"100-C-"&amp;Agencia[[#This Row],[Filtro URL]]</f>
        <v>100-C-15</v>
      </c>
      <c r="U1048" s="50" t="str">
        <f t="shared" si="1732"/>
        <v>#1774B9</v>
      </c>
      <c r="V1048" s="118" t="str">
        <f>+Agencia[[#This Row],[idcoleccion]]&amp;"-"&amp;Agencia[[#This Row],[id]]</f>
        <v>990-1037</v>
      </c>
      <c r="W1048" s="118">
        <f>+VLOOKUP(Agencia[[#This Row],[Filtro URL]],Estructura!$X$4:$Y$500,2,0)</f>
        <v>99200015</v>
      </c>
      <c r="X1048" s="118" t="str">
        <f>+VLOOKUP(Agencia[[#This Row],[tema]],Estructura!$A$4:$C$500,3,0)</f>
        <v>T-1024</v>
      </c>
      <c r="Y1048" s="118" t="str">
        <f>+VLOOKUP(Agencia[[#This Row],[contenido]],Estructura!$E$4:$G$500,3,0)</f>
        <v>C-1008</v>
      </c>
      <c r="Z1048" s="118" t="str">
        <f>+VLOOKUP(Agencia[[#This Row],[Filtro Integrado]],Estructura!$I$4:$K$500,3,0)</f>
        <v>FI-991</v>
      </c>
      <c r="AA1048" s="118" t="str">
        <f>+VLOOKUP(Agencia[[#This Row],[Muestra]],Estructura!$M$4:$O$500,3,0)</f>
        <v>M-1005</v>
      </c>
    </row>
    <row r="1049" spans="1:27" ht="57.6" x14ac:dyDescent="0.3">
      <c r="A1049" s="21" t="s">
        <v>1945</v>
      </c>
      <c r="B1049" s="24">
        <f t="shared" ref="B1049:D1049" si="1758">+B1048</f>
        <v>990</v>
      </c>
      <c r="C1049" s="25" t="str">
        <f t="shared" si="1758"/>
        <v>Agencia Información</v>
      </c>
      <c r="D1049" s="25" t="str">
        <f t="shared" si="1758"/>
        <v>Arte y cultura</v>
      </c>
      <c r="E1049" s="19">
        <v>16</v>
      </c>
      <c r="F1049" s="18" t="s">
        <v>1684</v>
      </c>
      <c r="G1049" s="18" t="s">
        <v>3781</v>
      </c>
      <c r="H1049" s="35" t="s">
        <v>16</v>
      </c>
      <c r="I1049" s="36" t="s">
        <v>383</v>
      </c>
      <c r="J1049" s="9" t="str">
        <f t="shared" ref="J1049:N1049" si="1759">+J1048</f>
        <v>Comuna</v>
      </c>
      <c r="K1049" s="9" t="str">
        <f t="shared" si="1759"/>
        <v>Cantidad de espacios culturales por comuna</v>
      </c>
      <c r="L1049" s="38" t="str">
        <f t="shared" si="1759"/>
        <v>Año 2021</v>
      </c>
      <c r="M1049" s="9" t="str">
        <f t="shared" si="1759"/>
        <v>Número de espacios culturales</v>
      </c>
      <c r="N1049" s="9" t="str">
        <f t="shared" si="1759"/>
        <v>Observatorio Cultural</v>
      </c>
      <c r="O1049" s="45" t="str">
        <f>+"Cantidad de Espacios Culturales por Categoría en la "&amp;I1049&amp;", "&amp;Agencia[[#This Row],[temporalidad]]</f>
        <v>Cantidad de Espacios Culturales por Categoría en la Región de Ñuble, Año 2021</v>
      </c>
      <c r="P1049" s="20"/>
      <c r="Q1049" s="11" t="str">
        <f t="shared" si="1755"/>
        <v>Gráfico</v>
      </c>
      <c r="R1049" s="20" t="str">
        <f>Agencia[[#This Row],[territorio]]&amp;" espacio cultural cultura infraestructura categoría tipo biblioteca museo archivo"</f>
        <v>Región de Ñuble espacio cultural cultura infraestructura categoría tipo biblioteca museo archivo</v>
      </c>
      <c r="S1049" s="39" t="str">
        <f>HYPERLINK("https://analytics.zoho.com/open-view/2395394000008463151?ZOHO_CRITERIA=%22Localiza%20CL%22.%22Codreg%22%20%3D%20"&amp;Agencia[[#This Row],[Filtro URL]])</f>
        <v>https://analytics.zoho.com/open-view/2395394000008463151?ZOHO_CRITERIA=%22Localiza%20CL%22.%22Codreg%22%20%3D%2016</v>
      </c>
      <c r="T1049" s="69" t="str">
        <f>"100-C-"&amp;Agencia[[#This Row],[Filtro URL]]</f>
        <v>100-C-16</v>
      </c>
      <c r="U1049" s="50" t="str">
        <f t="shared" si="1732"/>
        <v>#1774B9</v>
      </c>
      <c r="V1049" s="118" t="str">
        <f>+Agencia[[#This Row],[idcoleccion]]&amp;"-"&amp;Agencia[[#This Row],[id]]</f>
        <v>990-1038</v>
      </c>
      <c r="W1049" s="118">
        <f>+VLOOKUP(Agencia[[#This Row],[Filtro URL]],Estructura!$X$4:$Y$500,2,0)</f>
        <v>99200016</v>
      </c>
      <c r="X1049" s="118" t="str">
        <f>+VLOOKUP(Agencia[[#This Row],[tema]],Estructura!$A$4:$C$500,3,0)</f>
        <v>T-1024</v>
      </c>
      <c r="Y1049" s="118" t="str">
        <f>+VLOOKUP(Agencia[[#This Row],[contenido]],Estructura!$E$4:$G$500,3,0)</f>
        <v>C-1008</v>
      </c>
      <c r="Z1049" s="118" t="str">
        <f>+VLOOKUP(Agencia[[#This Row],[Filtro Integrado]],Estructura!$I$4:$K$500,3,0)</f>
        <v>FI-991</v>
      </c>
      <c r="AA1049" s="118" t="str">
        <f>+VLOOKUP(Agencia[[#This Row],[Muestra]],Estructura!$M$4:$O$500,3,0)</f>
        <v>M-1005</v>
      </c>
    </row>
    <row r="1050" spans="1:27" ht="71.400000000000006" x14ac:dyDescent="0.3">
      <c r="A1050" s="21" t="s">
        <v>1946</v>
      </c>
      <c r="B1050" s="24">
        <f t="shared" ref="B1050:C1050" si="1760">+B1049</f>
        <v>990</v>
      </c>
      <c r="C1050" s="25" t="str">
        <f t="shared" si="1760"/>
        <v>Agencia Información</v>
      </c>
      <c r="D1050" s="25" t="s">
        <v>621</v>
      </c>
      <c r="E1050" s="14">
        <v>0</v>
      </c>
      <c r="F1050" s="18" t="s">
        <v>1694</v>
      </c>
      <c r="G1050" s="18" t="s">
        <v>3781</v>
      </c>
      <c r="H1050" s="33" t="s">
        <v>20</v>
      </c>
      <c r="I1050" s="34" t="s">
        <v>15</v>
      </c>
      <c r="J1050" s="9" t="s">
        <v>18</v>
      </c>
      <c r="K1050" s="9" t="s">
        <v>850</v>
      </c>
      <c r="L1050" s="38" t="s">
        <v>614</v>
      </c>
      <c r="M1050" s="9" t="s">
        <v>624</v>
      </c>
      <c r="N1050" s="9" t="s">
        <v>625</v>
      </c>
      <c r="O1050" s="45" t="str">
        <f>+"Cantidad de Espacios Culturales por Estado de Mantención y Región en "&amp;I1050&amp;", "&amp;Agencia[[#This Row],[temporalidad]]</f>
        <v>Cantidad de Espacios Culturales por Estado de Mantención y Región en Chile, Año 2021</v>
      </c>
      <c r="P1050" s="20" t="s">
        <v>1692</v>
      </c>
      <c r="Q1050" s="11" t="s">
        <v>584</v>
      </c>
      <c r="R1050" s="20" t="str">
        <f>Agencia[[#This Row],[territorio]]&amp;" espacio cultural cultura infraestructura estado mantención"</f>
        <v>Chile espacio cultural cultura infraestructura estado mantención</v>
      </c>
      <c r="S1050" s="39" t="s">
        <v>1693</v>
      </c>
      <c r="T1050" s="68" t="s">
        <v>1033</v>
      </c>
      <c r="U1050" s="50" t="str">
        <f t="shared" si="1732"/>
        <v>#1774B9</v>
      </c>
      <c r="V1050" s="118" t="str">
        <f>+Agencia[[#This Row],[idcoleccion]]&amp;"-"&amp;Agencia[[#This Row],[id]]</f>
        <v>990-1039</v>
      </c>
      <c r="W1050" s="118">
        <f>+VLOOKUP(Agencia[[#This Row],[Filtro URL]],Estructura!$X$4:$Y$500,2,0)</f>
        <v>99100000</v>
      </c>
      <c r="X1050" s="118" t="str">
        <f>+VLOOKUP(Agencia[[#This Row],[tema]],Estructura!$A$4:$C$500,3,0)</f>
        <v>T-1026</v>
      </c>
      <c r="Y1050" s="118" t="str">
        <f>+VLOOKUP(Agencia[[#This Row],[contenido]],Estructura!$E$4:$G$500,3,0)</f>
        <v>C-1008</v>
      </c>
      <c r="Z1050" s="118" t="str">
        <f>+VLOOKUP(Agencia[[#This Row],[Filtro Integrado]],Estructura!$I$4:$K$500,3,0)</f>
        <v>FI-991</v>
      </c>
      <c r="AA1050" s="118" t="str">
        <f>+VLOOKUP(Agencia[[#This Row],[Muestra]],Estructura!$M$4:$O$500,3,0)</f>
        <v>M-1005</v>
      </c>
    </row>
    <row r="1051" spans="1:27" ht="72" x14ac:dyDescent="0.3">
      <c r="A1051" s="21" t="s">
        <v>1947</v>
      </c>
      <c r="B1051" s="24">
        <f t="shared" ref="B1051:D1051" si="1761">+B1050</f>
        <v>990</v>
      </c>
      <c r="C1051" s="25" t="str">
        <f t="shared" si="1761"/>
        <v>Agencia Información</v>
      </c>
      <c r="D1051" s="25" t="str">
        <f t="shared" si="1761"/>
        <v>Arte y cultura</v>
      </c>
      <c r="E1051" s="19">
        <v>1</v>
      </c>
      <c r="F1051" s="18" t="s">
        <v>1694</v>
      </c>
      <c r="G1051" s="18" t="s">
        <v>3781</v>
      </c>
      <c r="H1051" s="35" t="s">
        <v>16</v>
      </c>
      <c r="I1051" s="36" t="s">
        <v>368</v>
      </c>
      <c r="J1051" s="9" t="s">
        <v>18</v>
      </c>
      <c r="K1051" s="9" t="s">
        <v>850</v>
      </c>
      <c r="L1051" s="38" t="str">
        <f>+L1050</f>
        <v>Año 2021</v>
      </c>
      <c r="M1051" s="9" t="str">
        <f t="shared" ref="M1051:N1051" si="1762">+M1050</f>
        <v>Número de espacios culturales</v>
      </c>
      <c r="N1051" s="9" t="str">
        <f t="shared" si="1762"/>
        <v>Observatorio Cultural</v>
      </c>
      <c r="O1051" s="45" t="str">
        <f>+"Cantidad de Espacios Culturales por Estado de Mantención en la "&amp;I1051&amp;", "&amp;Agencia[[#This Row],[temporalidad]]</f>
        <v>Cantidad de Espacios Culturales por Estado de Mantención en la Región de Tarapacá, Año 2021</v>
      </c>
      <c r="P1051" s="20"/>
      <c r="Q1051" s="11" t="str">
        <f t="shared" ref="Q1051:Q1066" si="1763">+Q1050</f>
        <v>Gráfico</v>
      </c>
      <c r="R1051" s="20" t="str">
        <f>Agencia[[#This Row],[territorio]]&amp;" espacio cultural cultura infraestructura estado mantención"</f>
        <v>Región de Tarapacá espacio cultural cultura infraestructura estado mantención</v>
      </c>
      <c r="S1051"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https://analytics.zoho.com/open-view/2395394000008464286?ZOHO_CRITERIA=%22Espacios_Culturales_Completo%201%22.%22C%C3%B3digo_Regi%C3%B3n%22%20%3D%201</v>
      </c>
      <c r="T1051" s="69" t="str">
        <f>"100-C-"&amp;Agencia[[#This Row],[Filtro URL]]</f>
        <v>100-C-1</v>
      </c>
      <c r="U1051" s="50" t="str">
        <f t="shared" si="1732"/>
        <v>#1774B9</v>
      </c>
      <c r="V1051" s="118" t="str">
        <f>+Agencia[[#This Row],[idcoleccion]]&amp;"-"&amp;Agencia[[#This Row],[id]]</f>
        <v>990-1040</v>
      </c>
      <c r="W1051" s="118">
        <f>+VLOOKUP(Agencia[[#This Row],[Filtro URL]],Estructura!$X$4:$Y$500,2,0)</f>
        <v>99200001</v>
      </c>
      <c r="X1051" s="118" t="str">
        <f>+VLOOKUP(Agencia[[#This Row],[tema]],Estructura!$A$4:$C$500,3,0)</f>
        <v>T-1026</v>
      </c>
      <c r="Y1051" s="118" t="str">
        <f>+VLOOKUP(Agencia[[#This Row],[contenido]],Estructura!$E$4:$G$500,3,0)</f>
        <v>C-1008</v>
      </c>
      <c r="Z1051" s="118" t="str">
        <f>+VLOOKUP(Agencia[[#This Row],[Filtro Integrado]],Estructura!$I$4:$K$500,3,0)</f>
        <v>FI-991</v>
      </c>
      <c r="AA1051" s="118" t="str">
        <f>+VLOOKUP(Agencia[[#This Row],[Muestra]],Estructura!$M$4:$O$500,3,0)</f>
        <v>M-1005</v>
      </c>
    </row>
    <row r="1052" spans="1:27" ht="72" x14ac:dyDescent="0.3">
      <c r="A1052" s="21" t="s">
        <v>1948</v>
      </c>
      <c r="B1052" s="24">
        <f t="shared" ref="B1052:D1052" si="1764">+B1051</f>
        <v>990</v>
      </c>
      <c r="C1052" s="25" t="str">
        <f t="shared" si="1764"/>
        <v>Agencia Información</v>
      </c>
      <c r="D1052" s="25" t="str">
        <f t="shared" si="1764"/>
        <v>Arte y cultura</v>
      </c>
      <c r="E1052" s="19">
        <v>2</v>
      </c>
      <c r="F1052" s="18" t="s">
        <v>1694</v>
      </c>
      <c r="G1052" s="18" t="s">
        <v>3781</v>
      </c>
      <c r="H1052" s="35" t="s">
        <v>16</v>
      </c>
      <c r="I1052" s="36" t="s">
        <v>369</v>
      </c>
      <c r="J1052" s="9" t="str">
        <f t="shared" ref="J1052:N1052" si="1765">+J1051</f>
        <v>Comuna</v>
      </c>
      <c r="K1052" s="9" t="str">
        <f t="shared" si="1765"/>
        <v>Cantidad de espacios culturales por comuna</v>
      </c>
      <c r="L1052" s="38" t="str">
        <f t="shared" si="1765"/>
        <v>Año 2021</v>
      </c>
      <c r="M1052" s="9" t="str">
        <f t="shared" si="1765"/>
        <v>Número de espacios culturales</v>
      </c>
      <c r="N1052" s="9" t="str">
        <f t="shared" si="1765"/>
        <v>Observatorio Cultural</v>
      </c>
      <c r="O1052" s="45" t="str">
        <f>+"Cantidad de Espacios Culturales por Estado de Mantención en la "&amp;I1052&amp;", "&amp;Agencia[[#This Row],[temporalidad]]</f>
        <v>Cantidad de Espacios Culturales por Estado de Mantención en la Región de Antofagasta, Año 2021</v>
      </c>
      <c r="P1052" s="20"/>
      <c r="Q1052" s="11" t="str">
        <f t="shared" si="1763"/>
        <v>Gráfico</v>
      </c>
      <c r="R1052" s="20" t="str">
        <f>Agencia[[#This Row],[territorio]]&amp;" espacio cultural cultura infraestructura estado mantención"</f>
        <v>Región de Antofagasta espacio cultural cultura infraestructura estado mantención</v>
      </c>
      <c r="S1052"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https://analytics.zoho.com/open-view/2395394000008464286?ZOHO_CRITERIA=%22Espacios_Culturales_Completo%201%22.%22C%C3%B3digo_Regi%C3%B3n%22%20%3D%202</v>
      </c>
      <c r="T1052" s="69" t="str">
        <f>"100-C-"&amp;Agencia[[#This Row],[Filtro URL]]</f>
        <v>100-C-2</v>
      </c>
      <c r="U1052" s="50" t="str">
        <f t="shared" si="1732"/>
        <v>#1774B9</v>
      </c>
      <c r="V1052" s="118" t="str">
        <f>+Agencia[[#This Row],[idcoleccion]]&amp;"-"&amp;Agencia[[#This Row],[id]]</f>
        <v>990-1041</v>
      </c>
      <c r="W1052" s="118">
        <f>+VLOOKUP(Agencia[[#This Row],[Filtro URL]],Estructura!$X$4:$Y$500,2,0)</f>
        <v>99200002</v>
      </c>
      <c r="X1052" s="118" t="str">
        <f>+VLOOKUP(Agencia[[#This Row],[tema]],Estructura!$A$4:$C$500,3,0)</f>
        <v>T-1026</v>
      </c>
      <c r="Y1052" s="118" t="str">
        <f>+VLOOKUP(Agencia[[#This Row],[contenido]],Estructura!$E$4:$G$500,3,0)</f>
        <v>C-1008</v>
      </c>
      <c r="Z1052" s="118" t="str">
        <f>+VLOOKUP(Agencia[[#This Row],[Filtro Integrado]],Estructura!$I$4:$K$500,3,0)</f>
        <v>FI-991</v>
      </c>
      <c r="AA1052" s="118" t="str">
        <f>+VLOOKUP(Agencia[[#This Row],[Muestra]],Estructura!$M$4:$O$500,3,0)</f>
        <v>M-1005</v>
      </c>
    </row>
    <row r="1053" spans="1:27" ht="72" x14ac:dyDescent="0.3">
      <c r="A1053" s="21" t="s">
        <v>1949</v>
      </c>
      <c r="B1053" s="24">
        <f t="shared" ref="B1053:D1053" si="1766">+B1052</f>
        <v>990</v>
      </c>
      <c r="C1053" s="25" t="str">
        <f t="shared" si="1766"/>
        <v>Agencia Información</v>
      </c>
      <c r="D1053" s="25" t="str">
        <f t="shared" si="1766"/>
        <v>Arte y cultura</v>
      </c>
      <c r="E1053" s="19">
        <v>3</v>
      </c>
      <c r="F1053" s="18" t="s">
        <v>1694</v>
      </c>
      <c r="G1053" s="18" t="s">
        <v>3781</v>
      </c>
      <c r="H1053" s="35" t="s">
        <v>16</v>
      </c>
      <c r="I1053" s="36" t="s">
        <v>370</v>
      </c>
      <c r="J1053" s="9" t="str">
        <f t="shared" ref="J1053:N1053" si="1767">+J1052</f>
        <v>Comuna</v>
      </c>
      <c r="K1053" s="9" t="str">
        <f t="shared" si="1767"/>
        <v>Cantidad de espacios culturales por comuna</v>
      </c>
      <c r="L1053" s="38" t="str">
        <f t="shared" si="1767"/>
        <v>Año 2021</v>
      </c>
      <c r="M1053" s="9" t="str">
        <f t="shared" si="1767"/>
        <v>Número de espacios culturales</v>
      </c>
      <c r="N1053" s="9" t="str">
        <f t="shared" si="1767"/>
        <v>Observatorio Cultural</v>
      </c>
      <c r="O1053" s="45" t="str">
        <f>+"Cantidad de Espacios Culturales por Estado de Mantención en la "&amp;I1053&amp;", "&amp;Agencia[[#This Row],[temporalidad]]</f>
        <v>Cantidad de Espacios Culturales por Estado de Mantención en la Región de Atacama, Año 2021</v>
      </c>
      <c r="P1053" s="20"/>
      <c r="Q1053" s="11" t="str">
        <f t="shared" si="1763"/>
        <v>Gráfico</v>
      </c>
      <c r="R1053" s="20" t="str">
        <f>Agencia[[#This Row],[territorio]]&amp;" espacio cultural cultura infraestructura estado mantención"</f>
        <v>Región de Atacama espacio cultural cultura infraestructura estado mantención</v>
      </c>
      <c r="S1053"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https://analytics.zoho.com/open-view/2395394000008464286?ZOHO_CRITERIA=%22Espacios_Culturales_Completo%201%22.%22C%C3%B3digo_Regi%C3%B3n%22%20%3D%203</v>
      </c>
      <c r="T1053" s="69" t="str">
        <f>"100-C-"&amp;Agencia[[#This Row],[Filtro URL]]</f>
        <v>100-C-3</v>
      </c>
      <c r="U1053" s="50" t="str">
        <f t="shared" si="1732"/>
        <v>#1774B9</v>
      </c>
      <c r="V1053" s="118" t="str">
        <f>+Agencia[[#This Row],[idcoleccion]]&amp;"-"&amp;Agencia[[#This Row],[id]]</f>
        <v>990-1042</v>
      </c>
      <c r="W1053" s="118">
        <f>+VLOOKUP(Agencia[[#This Row],[Filtro URL]],Estructura!$X$4:$Y$500,2,0)</f>
        <v>99200003</v>
      </c>
      <c r="X1053" s="118" t="str">
        <f>+VLOOKUP(Agencia[[#This Row],[tema]],Estructura!$A$4:$C$500,3,0)</f>
        <v>T-1026</v>
      </c>
      <c r="Y1053" s="118" t="str">
        <f>+VLOOKUP(Agencia[[#This Row],[contenido]],Estructura!$E$4:$G$500,3,0)</f>
        <v>C-1008</v>
      </c>
      <c r="Z1053" s="118" t="str">
        <f>+VLOOKUP(Agencia[[#This Row],[Filtro Integrado]],Estructura!$I$4:$K$500,3,0)</f>
        <v>FI-991</v>
      </c>
      <c r="AA1053" s="118" t="str">
        <f>+VLOOKUP(Agencia[[#This Row],[Muestra]],Estructura!$M$4:$O$500,3,0)</f>
        <v>M-1005</v>
      </c>
    </row>
    <row r="1054" spans="1:27" ht="72" x14ac:dyDescent="0.3">
      <c r="A1054" s="21" t="s">
        <v>1950</v>
      </c>
      <c r="B1054" s="24">
        <f t="shared" ref="B1054:D1054" si="1768">+B1053</f>
        <v>990</v>
      </c>
      <c r="C1054" s="25" t="str">
        <f t="shared" si="1768"/>
        <v>Agencia Información</v>
      </c>
      <c r="D1054" s="25" t="str">
        <f t="shared" si="1768"/>
        <v>Arte y cultura</v>
      </c>
      <c r="E1054" s="19">
        <v>4</v>
      </c>
      <c r="F1054" s="18" t="s">
        <v>1694</v>
      </c>
      <c r="G1054" s="18" t="s">
        <v>3781</v>
      </c>
      <c r="H1054" s="35" t="s">
        <v>16</v>
      </c>
      <c r="I1054" s="36" t="s">
        <v>371</v>
      </c>
      <c r="J1054" s="9" t="str">
        <f t="shared" ref="J1054:N1054" si="1769">+J1053</f>
        <v>Comuna</v>
      </c>
      <c r="K1054" s="9" t="str">
        <f t="shared" si="1769"/>
        <v>Cantidad de espacios culturales por comuna</v>
      </c>
      <c r="L1054" s="38" t="str">
        <f t="shared" si="1769"/>
        <v>Año 2021</v>
      </c>
      <c r="M1054" s="9" t="str">
        <f t="shared" si="1769"/>
        <v>Número de espacios culturales</v>
      </c>
      <c r="N1054" s="9" t="str">
        <f t="shared" si="1769"/>
        <v>Observatorio Cultural</v>
      </c>
      <c r="O1054" s="45" t="str">
        <f>+"Cantidad de Espacios Culturales por Estado de Mantención en la "&amp;I1054&amp;", "&amp;Agencia[[#This Row],[temporalidad]]</f>
        <v>Cantidad de Espacios Culturales por Estado de Mantención en la Región de Coquimbo, Año 2021</v>
      </c>
      <c r="P1054" s="20"/>
      <c r="Q1054" s="11" t="str">
        <f t="shared" si="1763"/>
        <v>Gráfico</v>
      </c>
      <c r="R1054" s="20" t="str">
        <f>Agencia[[#This Row],[territorio]]&amp;" espacio cultural cultura infraestructura estado mantención"</f>
        <v>Región de Coquimbo espacio cultural cultura infraestructura estado mantención</v>
      </c>
      <c r="S1054"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https://analytics.zoho.com/open-view/2395394000008464286?ZOHO_CRITERIA=%22Espacios_Culturales_Completo%201%22.%22C%C3%B3digo_Regi%C3%B3n%22%20%3D%204</v>
      </c>
      <c r="T1054" s="69" t="str">
        <f>"100-C-"&amp;Agencia[[#This Row],[Filtro URL]]</f>
        <v>100-C-4</v>
      </c>
      <c r="U1054" s="50" t="str">
        <f t="shared" si="1732"/>
        <v>#1774B9</v>
      </c>
      <c r="V1054" s="118" t="str">
        <f>+Agencia[[#This Row],[idcoleccion]]&amp;"-"&amp;Agencia[[#This Row],[id]]</f>
        <v>990-1043</v>
      </c>
      <c r="W1054" s="118">
        <f>+VLOOKUP(Agencia[[#This Row],[Filtro URL]],Estructura!$X$4:$Y$500,2,0)</f>
        <v>99200004</v>
      </c>
      <c r="X1054" s="118" t="str">
        <f>+VLOOKUP(Agencia[[#This Row],[tema]],Estructura!$A$4:$C$500,3,0)</f>
        <v>T-1026</v>
      </c>
      <c r="Y1054" s="118" t="str">
        <f>+VLOOKUP(Agencia[[#This Row],[contenido]],Estructura!$E$4:$G$500,3,0)</f>
        <v>C-1008</v>
      </c>
      <c r="Z1054" s="118" t="str">
        <f>+VLOOKUP(Agencia[[#This Row],[Filtro Integrado]],Estructura!$I$4:$K$500,3,0)</f>
        <v>FI-991</v>
      </c>
      <c r="AA1054" s="118" t="str">
        <f>+VLOOKUP(Agencia[[#This Row],[Muestra]],Estructura!$M$4:$O$500,3,0)</f>
        <v>M-1005</v>
      </c>
    </row>
    <row r="1055" spans="1:27" ht="72" x14ac:dyDescent="0.3">
      <c r="A1055" s="21" t="s">
        <v>1951</v>
      </c>
      <c r="B1055" s="24">
        <f t="shared" ref="B1055:D1055" si="1770">+B1054</f>
        <v>990</v>
      </c>
      <c r="C1055" s="25" t="str">
        <f t="shared" si="1770"/>
        <v>Agencia Información</v>
      </c>
      <c r="D1055" s="25" t="str">
        <f t="shared" si="1770"/>
        <v>Arte y cultura</v>
      </c>
      <c r="E1055" s="19">
        <v>5</v>
      </c>
      <c r="F1055" s="18" t="s">
        <v>1694</v>
      </c>
      <c r="G1055" s="18" t="s">
        <v>3781</v>
      </c>
      <c r="H1055" s="35" t="s">
        <v>16</v>
      </c>
      <c r="I1055" s="36" t="s">
        <v>372</v>
      </c>
      <c r="J1055" s="9" t="str">
        <f t="shared" ref="J1055:N1055" si="1771">+J1054</f>
        <v>Comuna</v>
      </c>
      <c r="K1055" s="9" t="str">
        <f t="shared" si="1771"/>
        <v>Cantidad de espacios culturales por comuna</v>
      </c>
      <c r="L1055" s="38" t="str">
        <f t="shared" si="1771"/>
        <v>Año 2021</v>
      </c>
      <c r="M1055" s="9" t="str">
        <f t="shared" si="1771"/>
        <v>Número de espacios culturales</v>
      </c>
      <c r="N1055" s="9" t="str">
        <f t="shared" si="1771"/>
        <v>Observatorio Cultural</v>
      </c>
      <c r="O1055" s="45" t="str">
        <f>+"Cantidad de Espacios Culturales por Estado de Mantención en la "&amp;I1055&amp;", "&amp;Agencia[[#This Row],[temporalidad]]</f>
        <v>Cantidad de Espacios Culturales por Estado de Mantención en la Región de Valparaíso, Año 2021</v>
      </c>
      <c r="P1055" s="20"/>
      <c r="Q1055" s="11" t="str">
        <f t="shared" si="1763"/>
        <v>Gráfico</v>
      </c>
      <c r="R1055" s="20" t="str">
        <f>Agencia[[#This Row],[territorio]]&amp;" espacio cultural cultura infraestructura estado mantención"</f>
        <v>Región de Valparaíso espacio cultural cultura infraestructura estado mantención</v>
      </c>
      <c r="S1055"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https://analytics.zoho.com/open-view/2395394000008464286?ZOHO_CRITERIA=%22Espacios_Culturales_Completo%201%22.%22C%C3%B3digo_Regi%C3%B3n%22%20%3D%205</v>
      </c>
      <c r="T1055" s="69" t="str">
        <f>"100-C-"&amp;Agencia[[#This Row],[Filtro URL]]</f>
        <v>100-C-5</v>
      </c>
      <c r="U1055" s="50" t="str">
        <f t="shared" si="1732"/>
        <v>#1774B9</v>
      </c>
      <c r="V1055" s="118" t="str">
        <f>+Agencia[[#This Row],[idcoleccion]]&amp;"-"&amp;Agencia[[#This Row],[id]]</f>
        <v>990-1044</v>
      </c>
      <c r="W1055" s="118">
        <f>+VLOOKUP(Agencia[[#This Row],[Filtro URL]],Estructura!$X$4:$Y$500,2,0)</f>
        <v>99200005</v>
      </c>
      <c r="X1055" s="118" t="str">
        <f>+VLOOKUP(Agencia[[#This Row],[tema]],Estructura!$A$4:$C$500,3,0)</f>
        <v>T-1026</v>
      </c>
      <c r="Y1055" s="118" t="str">
        <f>+VLOOKUP(Agencia[[#This Row],[contenido]],Estructura!$E$4:$G$500,3,0)</f>
        <v>C-1008</v>
      </c>
      <c r="Z1055" s="118" t="str">
        <f>+VLOOKUP(Agencia[[#This Row],[Filtro Integrado]],Estructura!$I$4:$K$500,3,0)</f>
        <v>FI-991</v>
      </c>
      <c r="AA1055" s="118" t="str">
        <f>+VLOOKUP(Agencia[[#This Row],[Muestra]],Estructura!$M$4:$O$500,3,0)</f>
        <v>M-1005</v>
      </c>
    </row>
    <row r="1056" spans="1:27" ht="72" x14ac:dyDescent="0.3">
      <c r="A1056" s="21" t="s">
        <v>1952</v>
      </c>
      <c r="B1056" s="24">
        <f t="shared" ref="B1056:D1056" si="1772">+B1055</f>
        <v>990</v>
      </c>
      <c r="C1056" s="25" t="str">
        <f t="shared" si="1772"/>
        <v>Agencia Información</v>
      </c>
      <c r="D1056" s="25" t="str">
        <f t="shared" si="1772"/>
        <v>Arte y cultura</v>
      </c>
      <c r="E1056" s="19">
        <v>6</v>
      </c>
      <c r="F1056" s="18" t="s">
        <v>1694</v>
      </c>
      <c r="G1056" s="18" t="s">
        <v>3781</v>
      </c>
      <c r="H1056" s="35" t="s">
        <v>16</v>
      </c>
      <c r="I1056" s="36" t="s">
        <v>373</v>
      </c>
      <c r="J1056" s="9" t="str">
        <f t="shared" ref="J1056:N1056" si="1773">+J1055</f>
        <v>Comuna</v>
      </c>
      <c r="K1056" s="9" t="str">
        <f t="shared" si="1773"/>
        <v>Cantidad de espacios culturales por comuna</v>
      </c>
      <c r="L1056" s="38" t="str">
        <f t="shared" si="1773"/>
        <v>Año 2021</v>
      </c>
      <c r="M1056" s="9" t="str">
        <f t="shared" si="1773"/>
        <v>Número de espacios culturales</v>
      </c>
      <c r="N1056" s="9" t="str">
        <f t="shared" si="1773"/>
        <v>Observatorio Cultural</v>
      </c>
      <c r="O1056" s="45" t="str">
        <f>+"Cantidad de Espacios Culturales por Estado de Mantención en la "&amp;I1056&amp;", "&amp;Agencia[[#This Row],[temporalidad]]</f>
        <v>Cantidad de Espacios Culturales por Estado de Mantención en la Región de O'Higgins, Año 2021</v>
      </c>
      <c r="P1056" s="20"/>
      <c r="Q1056" s="11" t="str">
        <f t="shared" si="1763"/>
        <v>Gráfico</v>
      </c>
      <c r="R1056" s="20" t="str">
        <f>Agencia[[#This Row],[territorio]]&amp;" espacio cultural cultura infraestructura estado mantención"</f>
        <v>Región de O'Higgins espacio cultural cultura infraestructura estado mantención</v>
      </c>
      <c r="S1056"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https://analytics.zoho.com/open-view/2395394000008464286?ZOHO_CRITERIA=%22Espacios_Culturales_Completo%201%22.%22C%C3%B3digo_Regi%C3%B3n%22%20%3D%206</v>
      </c>
      <c r="T1056" s="69" t="str">
        <f>"100-C-"&amp;Agencia[[#This Row],[Filtro URL]]</f>
        <v>100-C-6</v>
      </c>
      <c r="U1056" s="50" t="str">
        <f t="shared" si="1732"/>
        <v>#1774B9</v>
      </c>
      <c r="V1056" s="118" t="str">
        <f>+Agencia[[#This Row],[idcoleccion]]&amp;"-"&amp;Agencia[[#This Row],[id]]</f>
        <v>990-1045</v>
      </c>
      <c r="W1056" s="118">
        <f>+VLOOKUP(Agencia[[#This Row],[Filtro URL]],Estructura!$X$4:$Y$500,2,0)</f>
        <v>99200006</v>
      </c>
      <c r="X1056" s="118" t="str">
        <f>+VLOOKUP(Agencia[[#This Row],[tema]],Estructura!$A$4:$C$500,3,0)</f>
        <v>T-1026</v>
      </c>
      <c r="Y1056" s="118" t="str">
        <f>+VLOOKUP(Agencia[[#This Row],[contenido]],Estructura!$E$4:$G$500,3,0)</f>
        <v>C-1008</v>
      </c>
      <c r="Z1056" s="118" t="str">
        <f>+VLOOKUP(Agencia[[#This Row],[Filtro Integrado]],Estructura!$I$4:$K$500,3,0)</f>
        <v>FI-991</v>
      </c>
      <c r="AA1056" s="118" t="str">
        <f>+VLOOKUP(Agencia[[#This Row],[Muestra]],Estructura!$M$4:$O$500,3,0)</f>
        <v>M-1005</v>
      </c>
    </row>
    <row r="1057" spans="1:27" ht="72" x14ac:dyDescent="0.3">
      <c r="A1057" s="21" t="s">
        <v>1953</v>
      </c>
      <c r="B1057" s="24">
        <f t="shared" ref="B1057:D1057" si="1774">+B1056</f>
        <v>990</v>
      </c>
      <c r="C1057" s="25" t="str">
        <f t="shared" si="1774"/>
        <v>Agencia Información</v>
      </c>
      <c r="D1057" s="25" t="str">
        <f t="shared" si="1774"/>
        <v>Arte y cultura</v>
      </c>
      <c r="E1057" s="19">
        <v>7</v>
      </c>
      <c r="F1057" s="18" t="s">
        <v>1694</v>
      </c>
      <c r="G1057" s="18" t="s">
        <v>3781</v>
      </c>
      <c r="H1057" s="35" t="s">
        <v>16</v>
      </c>
      <c r="I1057" s="36" t="s">
        <v>374</v>
      </c>
      <c r="J1057" s="9" t="str">
        <f t="shared" ref="J1057:N1057" si="1775">+J1056</f>
        <v>Comuna</v>
      </c>
      <c r="K1057" s="9" t="str">
        <f t="shared" si="1775"/>
        <v>Cantidad de espacios culturales por comuna</v>
      </c>
      <c r="L1057" s="38" t="str">
        <f t="shared" si="1775"/>
        <v>Año 2021</v>
      </c>
      <c r="M1057" s="9" t="str">
        <f t="shared" si="1775"/>
        <v>Número de espacios culturales</v>
      </c>
      <c r="N1057" s="9" t="str">
        <f t="shared" si="1775"/>
        <v>Observatorio Cultural</v>
      </c>
      <c r="O1057" s="45" t="str">
        <f>+"Cantidad de Espacios Culturales por Estado de Mantención en la "&amp;I1057&amp;", "&amp;Agencia[[#This Row],[temporalidad]]</f>
        <v>Cantidad de Espacios Culturales por Estado de Mantención en la Región de Maule, Año 2021</v>
      </c>
      <c r="P1057" s="20"/>
      <c r="Q1057" s="11" t="str">
        <f t="shared" si="1763"/>
        <v>Gráfico</v>
      </c>
      <c r="R1057" s="20" t="str">
        <f>Agencia[[#This Row],[territorio]]&amp;" espacio cultural cultura infraestructura estado mantención"</f>
        <v>Región de Maule espacio cultural cultura infraestructura estado mantención</v>
      </c>
      <c r="S1057"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https://analytics.zoho.com/open-view/2395394000008464286?ZOHO_CRITERIA=%22Espacios_Culturales_Completo%201%22.%22C%C3%B3digo_Regi%C3%B3n%22%20%3D%207</v>
      </c>
      <c r="T1057" s="69" t="str">
        <f>"100-C-"&amp;Agencia[[#This Row],[Filtro URL]]</f>
        <v>100-C-7</v>
      </c>
      <c r="U1057" s="50" t="str">
        <f t="shared" si="1732"/>
        <v>#1774B9</v>
      </c>
      <c r="V1057" s="118" t="str">
        <f>+Agencia[[#This Row],[idcoleccion]]&amp;"-"&amp;Agencia[[#This Row],[id]]</f>
        <v>990-1046</v>
      </c>
      <c r="W1057" s="118">
        <f>+VLOOKUP(Agencia[[#This Row],[Filtro URL]],Estructura!$X$4:$Y$500,2,0)</f>
        <v>99200007</v>
      </c>
      <c r="X1057" s="118" t="str">
        <f>+VLOOKUP(Agencia[[#This Row],[tema]],Estructura!$A$4:$C$500,3,0)</f>
        <v>T-1026</v>
      </c>
      <c r="Y1057" s="118" t="str">
        <f>+VLOOKUP(Agencia[[#This Row],[contenido]],Estructura!$E$4:$G$500,3,0)</f>
        <v>C-1008</v>
      </c>
      <c r="Z1057" s="118" t="str">
        <f>+VLOOKUP(Agencia[[#This Row],[Filtro Integrado]],Estructura!$I$4:$K$500,3,0)</f>
        <v>FI-991</v>
      </c>
      <c r="AA1057" s="118" t="str">
        <f>+VLOOKUP(Agencia[[#This Row],[Muestra]],Estructura!$M$4:$O$500,3,0)</f>
        <v>M-1005</v>
      </c>
    </row>
    <row r="1058" spans="1:27" ht="72" x14ac:dyDescent="0.3">
      <c r="A1058" s="21" t="s">
        <v>1954</v>
      </c>
      <c r="B1058" s="24">
        <f t="shared" ref="B1058:D1058" si="1776">+B1057</f>
        <v>990</v>
      </c>
      <c r="C1058" s="25" t="str">
        <f t="shared" si="1776"/>
        <v>Agencia Información</v>
      </c>
      <c r="D1058" s="25" t="str">
        <f t="shared" si="1776"/>
        <v>Arte y cultura</v>
      </c>
      <c r="E1058" s="19">
        <v>8</v>
      </c>
      <c r="F1058" s="18" t="s">
        <v>1694</v>
      </c>
      <c r="G1058" s="18" t="s">
        <v>3781</v>
      </c>
      <c r="H1058" s="35" t="s">
        <v>16</v>
      </c>
      <c r="I1058" s="36" t="s">
        <v>375</v>
      </c>
      <c r="J1058" s="9" t="str">
        <f t="shared" ref="J1058:N1058" si="1777">+J1057</f>
        <v>Comuna</v>
      </c>
      <c r="K1058" s="9" t="str">
        <f t="shared" si="1777"/>
        <v>Cantidad de espacios culturales por comuna</v>
      </c>
      <c r="L1058" s="38" t="str">
        <f t="shared" si="1777"/>
        <v>Año 2021</v>
      </c>
      <c r="M1058" s="9" t="str">
        <f t="shared" si="1777"/>
        <v>Número de espacios culturales</v>
      </c>
      <c r="N1058" s="9" t="str">
        <f t="shared" si="1777"/>
        <v>Observatorio Cultural</v>
      </c>
      <c r="O1058" s="45" t="str">
        <f>+"Cantidad de Espacios Culturales por Estado de Mantención en la "&amp;I1058&amp;", "&amp;Agencia[[#This Row],[temporalidad]]</f>
        <v>Cantidad de Espacios Culturales por Estado de Mantención en la Región del Biobío, Año 2021</v>
      </c>
      <c r="P1058" s="20"/>
      <c r="Q1058" s="11" t="str">
        <f t="shared" si="1763"/>
        <v>Gráfico</v>
      </c>
      <c r="R1058" s="20" t="str">
        <f>Agencia[[#This Row],[territorio]]&amp;" espacio cultural cultura infraestructura estado mantención"</f>
        <v>Región del Biobío espacio cultural cultura infraestructura estado mantención</v>
      </c>
      <c r="S1058"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https://analytics.zoho.com/open-view/2395394000008464286?ZOHO_CRITERIA=%22Espacios_Culturales_Completo%201%22.%22C%C3%B3digo_Regi%C3%B3n%22%20%3D%208</v>
      </c>
      <c r="T1058" s="69" t="str">
        <f>"100-C-"&amp;Agencia[[#This Row],[Filtro URL]]</f>
        <v>100-C-8</v>
      </c>
      <c r="U1058" s="50" t="str">
        <f t="shared" si="1732"/>
        <v>#1774B9</v>
      </c>
      <c r="V1058" s="118" t="str">
        <f>+Agencia[[#This Row],[idcoleccion]]&amp;"-"&amp;Agencia[[#This Row],[id]]</f>
        <v>990-1047</v>
      </c>
      <c r="W1058" s="118">
        <f>+VLOOKUP(Agencia[[#This Row],[Filtro URL]],Estructura!$X$4:$Y$500,2,0)</f>
        <v>99200008</v>
      </c>
      <c r="X1058" s="118" t="str">
        <f>+VLOOKUP(Agencia[[#This Row],[tema]],Estructura!$A$4:$C$500,3,0)</f>
        <v>T-1026</v>
      </c>
      <c r="Y1058" s="118" t="str">
        <f>+VLOOKUP(Agencia[[#This Row],[contenido]],Estructura!$E$4:$G$500,3,0)</f>
        <v>C-1008</v>
      </c>
      <c r="Z1058" s="118" t="str">
        <f>+VLOOKUP(Agencia[[#This Row],[Filtro Integrado]],Estructura!$I$4:$K$500,3,0)</f>
        <v>FI-991</v>
      </c>
      <c r="AA1058" s="118" t="str">
        <f>+VLOOKUP(Agencia[[#This Row],[Muestra]],Estructura!$M$4:$O$500,3,0)</f>
        <v>M-1005</v>
      </c>
    </row>
    <row r="1059" spans="1:27" ht="72" x14ac:dyDescent="0.3">
      <c r="A1059" s="21" t="s">
        <v>1955</v>
      </c>
      <c r="B1059" s="24">
        <f t="shared" ref="B1059:D1059" si="1778">+B1058</f>
        <v>990</v>
      </c>
      <c r="C1059" s="25" t="str">
        <f t="shared" si="1778"/>
        <v>Agencia Información</v>
      </c>
      <c r="D1059" s="25" t="str">
        <f t="shared" si="1778"/>
        <v>Arte y cultura</v>
      </c>
      <c r="E1059" s="19">
        <v>9</v>
      </c>
      <c r="F1059" s="18" t="s">
        <v>1694</v>
      </c>
      <c r="G1059" s="18" t="s">
        <v>3781</v>
      </c>
      <c r="H1059" s="35" t="s">
        <v>16</v>
      </c>
      <c r="I1059" s="36" t="s">
        <v>376</v>
      </c>
      <c r="J1059" s="9" t="str">
        <f t="shared" ref="J1059:N1059" si="1779">+J1058</f>
        <v>Comuna</v>
      </c>
      <c r="K1059" s="9" t="str">
        <f t="shared" si="1779"/>
        <v>Cantidad de espacios culturales por comuna</v>
      </c>
      <c r="L1059" s="38" t="str">
        <f t="shared" si="1779"/>
        <v>Año 2021</v>
      </c>
      <c r="M1059" s="9" t="str">
        <f t="shared" si="1779"/>
        <v>Número de espacios culturales</v>
      </c>
      <c r="N1059" s="9" t="str">
        <f t="shared" si="1779"/>
        <v>Observatorio Cultural</v>
      </c>
      <c r="O1059" s="45" t="str">
        <f>+"Cantidad de Espacios Culturales por Estado de Mantención en la "&amp;I1059&amp;", "&amp;Agencia[[#This Row],[temporalidad]]</f>
        <v>Cantidad de Espacios Culturales por Estado de Mantención en la Región de La Araucanía, Año 2021</v>
      </c>
      <c r="P1059" s="20"/>
      <c r="Q1059" s="11" t="str">
        <f t="shared" si="1763"/>
        <v>Gráfico</v>
      </c>
      <c r="R1059" s="20" t="str">
        <f>Agencia[[#This Row],[territorio]]&amp;" espacio cultural cultura infraestructura estado mantención"</f>
        <v>Región de La Araucanía espacio cultural cultura infraestructura estado mantención</v>
      </c>
      <c r="S1059"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https://analytics.zoho.com/open-view/2395394000008464286?ZOHO_CRITERIA=%22Espacios_Culturales_Completo%201%22.%22C%C3%B3digo_Regi%C3%B3n%22%20%3D%209</v>
      </c>
      <c r="T1059" s="69" t="str">
        <f>"100-C-"&amp;Agencia[[#This Row],[Filtro URL]]</f>
        <v>100-C-9</v>
      </c>
      <c r="U1059" s="50" t="str">
        <f t="shared" si="1732"/>
        <v>#1774B9</v>
      </c>
      <c r="V1059" s="118" t="str">
        <f>+Agencia[[#This Row],[idcoleccion]]&amp;"-"&amp;Agencia[[#This Row],[id]]</f>
        <v>990-1048</v>
      </c>
      <c r="W1059" s="118">
        <f>+VLOOKUP(Agencia[[#This Row],[Filtro URL]],Estructura!$X$4:$Y$500,2,0)</f>
        <v>99200009</v>
      </c>
      <c r="X1059" s="118" t="str">
        <f>+VLOOKUP(Agencia[[#This Row],[tema]],Estructura!$A$4:$C$500,3,0)</f>
        <v>T-1026</v>
      </c>
      <c r="Y1059" s="118" t="str">
        <f>+VLOOKUP(Agencia[[#This Row],[contenido]],Estructura!$E$4:$G$500,3,0)</f>
        <v>C-1008</v>
      </c>
      <c r="Z1059" s="118" t="str">
        <f>+VLOOKUP(Agencia[[#This Row],[Filtro Integrado]],Estructura!$I$4:$K$500,3,0)</f>
        <v>FI-991</v>
      </c>
      <c r="AA1059" s="118" t="str">
        <f>+VLOOKUP(Agencia[[#This Row],[Muestra]],Estructura!$M$4:$O$500,3,0)</f>
        <v>M-1005</v>
      </c>
    </row>
    <row r="1060" spans="1:27" ht="72" x14ac:dyDescent="0.3">
      <c r="A1060" s="21" t="s">
        <v>1956</v>
      </c>
      <c r="B1060" s="24">
        <f t="shared" ref="B1060:D1060" si="1780">+B1059</f>
        <v>990</v>
      </c>
      <c r="C1060" s="25" t="str">
        <f t="shared" si="1780"/>
        <v>Agencia Información</v>
      </c>
      <c r="D1060" s="25" t="str">
        <f t="shared" si="1780"/>
        <v>Arte y cultura</v>
      </c>
      <c r="E1060" s="19">
        <v>10</v>
      </c>
      <c r="F1060" s="18" t="s">
        <v>1694</v>
      </c>
      <c r="G1060" s="18" t="s">
        <v>3781</v>
      </c>
      <c r="H1060" s="35" t="s">
        <v>16</v>
      </c>
      <c r="I1060" s="36" t="s">
        <v>377</v>
      </c>
      <c r="J1060" s="9" t="str">
        <f t="shared" ref="J1060:N1060" si="1781">+J1059</f>
        <v>Comuna</v>
      </c>
      <c r="K1060" s="9" t="str">
        <f t="shared" si="1781"/>
        <v>Cantidad de espacios culturales por comuna</v>
      </c>
      <c r="L1060" s="38" t="str">
        <f t="shared" si="1781"/>
        <v>Año 2021</v>
      </c>
      <c r="M1060" s="9" t="str">
        <f t="shared" si="1781"/>
        <v>Número de espacios culturales</v>
      </c>
      <c r="N1060" s="9" t="str">
        <f t="shared" si="1781"/>
        <v>Observatorio Cultural</v>
      </c>
      <c r="O1060" s="45" t="str">
        <f>+"Cantidad de Espacios Culturales por Estado de Mantención en la "&amp;I1060&amp;", "&amp;Agencia[[#This Row],[temporalidad]]</f>
        <v>Cantidad de Espacios Culturales por Estado de Mantención en la Región de Los Lagos, Año 2021</v>
      </c>
      <c r="P1060" s="20"/>
      <c r="Q1060" s="11" t="str">
        <f t="shared" si="1763"/>
        <v>Gráfico</v>
      </c>
      <c r="R1060" s="20" t="str">
        <f>Agencia[[#This Row],[territorio]]&amp;" espacio cultural cultura infraestructura estado mantención"</f>
        <v>Región de Los Lagos espacio cultural cultura infraestructura estado mantención</v>
      </c>
      <c r="S1060"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https://analytics.zoho.com/open-view/2395394000008464286?ZOHO_CRITERIA=%22Espacios_Culturales_Completo%201%22.%22C%C3%B3digo_Regi%C3%B3n%22%20%3D%2010</v>
      </c>
      <c r="T1060" s="69" t="str">
        <f>"100-C-"&amp;Agencia[[#This Row],[Filtro URL]]</f>
        <v>100-C-10</v>
      </c>
      <c r="U1060" s="50" t="str">
        <f t="shared" si="1732"/>
        <v>#1774B9</v>
      </c>
      <c r="V1060" s="118" t="str">
        <f>+Agencia[[#This Row],[idcoleccion]]&amp;"-"&amp;Agencia[[#This Row],[id]]</f>
        <v>990-1049</v>
      </c>
      <c r="W1060" s="118">
        <f>+VLOOKUP(Agencia[[#This Row],[Filtro URL]],Estructura!$X$4:$Y$500,2,0)</f>
        <v>99200010</v>
      </c>
      <c r="X1060" s="118" t="str">
        <f>+VLOOKUP(Agencia[[#This Row],[tema]],Estructura!$A$4:$C$500,3,0)</f>
        <v>T-1026</v>
      </c>
      <c r="Y1060" s="118" t="str">
        <f>+VLOOKUP(Agencia[[#This Row],[contenido]],Estructura!$E$4:$G$500,3,0)</f>
        <v>C-1008</v>
      </c>
      <c r="Z1060" s="118" t="str">
        <f>+VLOOKUP(Agencia[[#This Row],[Filtro Integrado]],Estructura!$I$4:$K$500,3,0)</f>
        <v>FI-991</v>
      </c>
      <c r="AA1060" s="118" t="str">
        <f>+VLOOKUP(Agencia[[#This Row],[Muestra]],Estructura!$M$4:$O$500,3,0)</f>
        <v>M-1005</v>
      </c>
    </row>
    <row r="1061" spans="1:27" ht="72" x14ac:dyDescent="0.3">
      <c r="A1061" s="21" t="s">
        <v>1957</v>
      </c>
      <c r="B1061" s="24">
        <f t="shared" ref="B1061:D1061" si="1782">+B1060</f>
        <v>990</v>
      </c>
      <c r="C1061" s="25" t="str">
        <f t="shared" si="1782"/>
        <v>Agencia Información</v>
      </c>
      <c r="D1061" s="25" t="str">
        <f t="shared" si="1782"/>
        <v>Arte y cultura</v>
      </c>
      <c r="E1061" s="19">
        <v>11</v>
      </c>
      <c r="F1061" s="18" t="s">
        <v>1694</v>
      </c>
      <c r="G1061" s="18" t="s">
        <v>3781</v>
      </c>
      <c r="H1061" s="35" t="s">
        <v>16</v>
      </c>
      <c r="I1061" s="36" t="s">
        <v>378</v>
      </c>
      <c r="J1061" s="9" t="str">
        <f t="shared" ref="J1061:N1061" si="1783">+J1060</f>
        <v>Comuna</v>
      </c>
      <c r="K1061" s="9" t="str">
        <f t="shared" si="1783"/>
        <v>Cantidad de espacios culturales por comuna</v>
      </c>
      <c r="L1061" s="38" t="str">
        <f t="shared" si="1783"/>
        <v>Año 2021</v>
      </c>
      <c r="M1061" s="9" t="str">
        <f t="shared" si="1783"/>
        <v>Número de espacios culturales</v>
      </c>
      <c r="N1061" s="9" t="str">
        <f t="shared" si="1783"/>
        <v>Observatorio Cultural</v>
      </c>
      <c r="O1061" s="45" t="str">
        <f>+"Cantidad de Espacios Culturales por Estado de Mantención en la "&amp;I1061&amp;", "&amp;Agencia[[#This Row],[temporalidad]]</f>
        <v>Cantidad de Espacios Culturales por Estado de Mantención en la Región de Aysén, Año 2021</v>
      </c>
      <c r="P1061" s="20"/>
      <c r="Q1061" s="11" t="str">
        <f t="shared" si="1763"/>
        <v>Gráfico</v>
      </c>
      <c r="R1061" s="20" t="str">
        <f>Agencia[[#This Row],[territorio]]&amp;" espacio cultural cultura infraestructura estado mantención"</f>
        <v>Región de Aysén espacio cultural cultura infraestructura estado mantención</v>
      </c>
      <c r="S1061"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https://analytics.zoho.com/open-view/2395394000008464286?ZOHO_CRITERIA=%22Espacios_Culturales_Completo%201%22.%22C%C3%B3digo_Regi%C3%B3n%22%20%3D%2011</v>
      </c>
      <c r="T1061" s="69" t="str">
        <f>"100-C-"&amp;Agencia[[#This Row],[Filtro URL]]</f>
        <v>100-C-11</v>
      </c>
      <c r="U1061" s="50" t="str">
        <f t="shared" si="1732"/>
        <v>#1774B9</v>
      </c>
      <c r="V1061" s="118" t="str">
        <f>+Agencia[[#This Row],[idcoleccion]]&amp;"-"&amp;Agencia[[#This Row],[id]]</f>
        <v>990-1050</v>
      </c>
      <c r="W1061" s="118">
        <f>+VLOOKUP(Agencia[[#This Row],[Filtro URL]],Estructura!$X$4:$Y$500,2,0)</f>
        <v>99200011</v>
      </c>
      <c r="X1061" s="118" t="str">
        <f>+VLOOKUP(Agencia[[#This Row],[tema]],Estructura!$A$4:$C$500,3,0)</f>
        <v>T-1026</v>
      </c>
      <c r="Y1061" s="118" t="str">
        <f>+VLOOKUP(Agencia[[#This Row],[contenido]],Estructura!$E$4:$G$500,3,0)</f>
        <v>C-1008</v>
      </c>
      <c r="Z1061" s="118" t="str">
        <f>+VLOOKUP(Agencia[[#This Row],[Filtro Integrado]],Estructura!$I$4:$K$500,3,0)</f>
        <v>FI-991</v>
      </c>
      <c r="AA1061" s="118" t="str">
        <f>+VLOOKUP(Agencia[[#This Row],[Muestra]],Estructura!$M$4:$O$500,3,0)</f>
        <v>M-1005</v>
      </c>
    </row>
    <row r="1062" spans="1:27" ht="72" x14ac:dyDescent="0.3">
      <c r="A1062" s="21" t="s">
        <v>1958</v>
      </c>
      <c r="B1062" s="24">
        <f t="shared" ref="B1062:D1062" si="1784">+B1061</f>
        <v>990</v>
      </c>
      <c r="C1062" s="25" t="str">
        <f t="shared" si="1784"/>
        <v>Agencia Información</v>
      </c>
      <c r="D1062" s="25" t="str">
        <f t="shared" si="1784"/>
        <v>Arte y cultura</v>
      </c>
      <c r="E1062" s="19">
        <v>12</v>
      </c>
      <c r="F1062" s="18" t="s">
        <v>1694</v>
      </c>
      <c r="G1062" s="18" t="s">
        <v>3781</v>
      </c>
      <c r="H1062" s="35" t="s">
        <v>16</v>
      </c>
      <c r="I1062" s="36" t="s">
        <v>379</v>
      </c>
      <c r="J1062" s="9" t="str">
        <f t="shared" ref="J1062:N1062" si="1785">+J1061</f>
        <v>Comuna</v>
      </c>
      <c r="K1062" s="9" t="str">
        <f t="shared" si="1785"/>
        <v>Cantidad de espacios culturales por comuna</v>
      </c>
      <c r="L1062" s="38" t="str">
        <f t="shared" si="1785"/>
        <v>Año 2021</v>
      </c>
      <c r="M1062" s="9" t="str">
        <f t="shared" si="1785"/>
        <v>Número de espacios culturales</v>
      </c>
      <c r="N1062" s="9" t="str">
        <f t="shared" si="1785"/>
        <v>Observatorio Cultural</v>
      </c>
      <c r="O1062" s="45" t="str">
        <f>+"Cantidad de Espacios Culturales por Estado de Mantención en la "&amp;I1062&amp;", "&amp;Agencia[[#This Row],[temporalidad]]</f>
        <v>Cantidad de Espacios Culturales por Estado de Mantención en la Región de Magallanes, Año 2021</v>
      </c>
      <c r="P1062" s="20"/>
      <c r="Q1062" s="11" t="str">
        <f t="shared" si="1763"/>
        <v>Gráfico</v>
      </c>
      <c r="R1062" s="20" t="str">
        <f>Agencia[[#This Row],[territorio]]&amp;" espacio cultural cultura infraestructura estado mantención"</f>
        <v>Región de Magallanes espacio cultural cultura infraestructura estado mantención</v>
      </c>
      <c r="S1062"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https://analytics.zoho.com/open-view/2395394000008464286?ZOHO_CRITERIA=%22Espacios_Culturales_Completo%201%22.%22C%C3%B3digo_Regi%C3%B3n%22%20%3D%2012</v>
      </c>
      <c r="T1062" s="69" t="str">
        <f>"100-C-"&amp;Agencia[[#This Row],[Filtro URL]]</f>
        <v>100-C-12</v>
      </c>
      <c r="U1062" s="50" t="str">
        <f t="shared" si="1732"/>
        <v>#1774B9</v>
      </c>
      <c r="V1062" s="118" t="str">
        <f>+Agencia[[#This Row],[idcoleccion]]&amp;"-"&amp;Agencia[[#This Row],[id]]</f>
        <v>990-1051</v>
      </c>
      <c r="W1062" s="118">
        <f>+VLOOKUP(Agencia[[#This Row],[Filtro URL]],Estructura!$X$4:$Y$500,2,0)</f>
        <v>99200012</v>
      </c>
      <c r="X1062" s="118" t="str">
        <f>+VLOOKUP(Agencia[[#This Row],[tema]],Estructura!$A$4:$C$500,3,0)</f>
        <v>T-1026</v>
      </c>
      <c r="Y1062" s="118" t="str">
        <f>+VLOOKUP(Agencia[[#This Row],[contenido]],Estructura!$E$4:$G$500,3,0)</f>
        <v>C-1008</v>
      </c>
      <c r="Z1062" s="118" t="str">
        <f>+VLOOKUP(Agencia[[#This Row],[Filtro Integrado]],Estructura!$I$4:$K$500,3,0)</f>
        <v>FI-991</v>
      </c>
      <c r="AA1062" s="118" t="str">
        <f>+VLOOKUP(Agencia[[#This Row],[Muestra]],Estructura!$M$4:$O$500,3,0)</f>
        <v>M-1005</v>
      </c>
    </row>
    <row r="1063" spans="1:27" ht="72" x14ac:dyDescent="0.3">
      <c r="A1063" s="21" t="s">
        <v>1959</v>
      </c>
      <c r="B1063" s="24">
        <f t="shared" ref="B1063:D1063" si="1786">+B1062</f>
        <v>990</v>
      </c>
      <c r="C1063" s="25" t="str">
        <f t="shared" si="1786"/>
        <v>Agencia Información</v>
      </c>
      <c r="D1063" s="25" t="str">
        <f t="shared" si="1786"/>
        <v>Arte y cultura</v>
      </c>
      <c r="E1063" s="19">
        <v>13</v>
      </c>
      <c r="F1063" s="18" t="s">
        <v>1694</v>
      </c>
      <c r="G1063" s="18" t="s">
        <v>3781</v>
      </c>
      <c r="H1063" s="35" t="s">
        <v>16</v>
      </c>
      <c r="I1063" s="36" t="s">
        <v>380</v>
      </c>
      <c r="J1063" s="9" t="str">
        <f t="shared" ref="J1063:N1063" si="1787">+J1062</f>
        <v>Comuna</v>
      </c>
      <c r="K1063" s="9" t="str">
        <f t="shared" si="1787"/>
        <v>Cantidad de espacios culturales por comuna</v>
      </c>
      <c r="L1063" s="38" t="str">
        <f t="shared" si="1787"/>
        <v>Año 2021</v>
      </c>
      <c r="M1063" s="9" t="str">
        <f t="shared" si="1787"/>
        <v>Número de espacios culturales</v>
      </c>
      <c r="N1063" s="9" t="str">
        <f t="shared" si="1787"/>
        <v>Observatorio Cultural</v>
      </c>
      <c r="O1063" s="45" t="str">
        <f>+"Cantidad de Espacios Culturales por Estado de Mantención en la "&amp;I1063&amp;", "&amp;Agencia[[#This Row],[temporalidad]]</f>
        <v>Cantidad de Espacios Culturales por Estado de Mantención en la Región Metropolitana, Año 2021</v>
      </c>
      <c r="P1063" s="20"/>
      <c r="Q1063" s="11" t="str">
        <f t="shared" si="1763"/>
        <v>Gráfico</v>
      </c>
      <c r="R1063" s="20" t="str">
        <f>Agencia[[#This Row],[territorio]]&amp;" espacio cultural cultura infraestructura estado mantención"</f>
        <v>Región Metropolitana espacio cultural cultura infraestructura estado mantención</v>
      </c>
      <c r="S1063"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https://analytics.zoho.com/open-view/2395394000008464286?ZOHO_CRITERIA=%22Espacios_Culturales_Completo%201%22.%22C%C3%B3digo_Regi%C3%B3n%22%20%3D%2013</v>
      </c>
      <c r="T1063" s="69" t="str">
        <f>"200-C-"&amp;Agencia[[#This Row],[Filtro URL]]</f>
        <v>200-C-13</v>
      </c>
      <c r="U1063" s="50" t="str">
        <f t="shared" si="1732"/>
        <v>#1774B9</v>
      </c>
      <c r="V1063" s="118" t="str">
        <f>+Agencia[[#This Row],[idcoleccion]]&amp;"-"&amp;Agencia[[#This Row],[id]]</f>
        <v>990-1052</v>
      </c>
      <c r="W1063" s="118">
        <f>+VLOOKUP(Agencia[[#This Row],[Filtro URL]],Estructura!$X$4:$Y$500,2,0)</f>
        <v>99200013</v>
      </c>
      <c r="X1063" s="118" t="str">
        <f>+VLOOKUP(Agencia[[#This Row],[tema]],Estructura!$A$4:$C$500,3,0)</f>
        <v>T-1026</v>
      </c>
      <c r="Y1063" s="118" t="str">
        <f>+VLOOKUP(Agencia[[#This Row],[contenido]],Estructura!$E$4:$G$500,3,0)</f>
        <v>C-1008</v>
      </c>
      <c r="Z1063" s="118" t="str">
        <f>+VLOOKUP(Agencia[[#This Row],[Filtro Integrado]],Estructura!$I$4:$K$500,3,0)</f>
        <v>FI-991</v>
      </c>
      <c r="AA1063" s="118" t="str">
        <f>+VLOOKUP(Agencia[[#This Row],[Muestra]],Estructura!$M$4:$O$500,3,0)</f>
        <v>M-1005</v>
      </c>
    </row>
    <row r="1064" spans="1:27" ht="72" x14ac:dyDescent="0.3">
      <c r="A1064" s="21" t="s">
        <v>1960</v>
      </c>
      <c r="B1064" s="24">
        <f t="shared" ref="B1064:D1064" si="1788">+B1063</f>
        <v>990</v>
      </c>
      <c r="C1064" s="25" t="str">
        <f t="shared" si="1788"/>
        <v>Agencia Información</v>
      </c>
      <c r="D1064" s="25" t="str">
        <f t="shared" si="1788"/>
        <v>Arte y cultura</v>
      </c>
      <c r="E1064" s="19">
        <v>14</v>
      </c>
      <c r="F1064" s="18" t="s">
        <v>1694</v>
      </c>
      <c r="G1064" s="18" t="s">
        <v>3781</v>
      </c>
      <c r="H1064" s="35" t="s">
        <v>16</v>
      </c>
      <c r="I1064" s="36" t="s">
        <v>381</v>
      </c>
      <c r="J1064" s="9" t="str">
        <f t="shared" ref="J1064:N1064" si="1789">+J1063</f>
        <v>Comuna</v>
      </c>
      <c r="K1064" s="9" t="str">
        <f t="shared" si="1789"/>
        <v>Cantidad de espacios culturales por comuna</v>
      </c>
      <c r="L1064" s="38" t="str">
        <f t="shared" si="1789"/>
        <v>Año 2021</v>
      </c>
      <c r="M1064" s="9" t="str">
        <f t="shared" si="1789"/>
        <v>Número de espacios culturales</v>
      </c>
      <c r="N1064" s="9" t="str">
        <f t="shared" si="1789"/>
        <v>Observatorio Cultural</v>
      </c>
      <c r="O1064" s="45" t="str">
        <f>+"Cantidad de Espacios Culturales por Estado de Mantención en la "&amp;I1064&amp;", "&amp;Agencia[[#This Row],[temporalidad]]</f>
        <v>Cantidad de Espacios Culturales por Estado de Mantención en la Región de Los Ríos, Año 2021</v>
      </c>
      <c r="P1064" s="20"/>
      <c r="Q1064" s="11" t="str">
        <f t="shared" si="1763"/>
        <v>Gráfico</v>
      </c>
      <c r="R1064" s="20" t="str">
        <f>Agencia[[#This Row],[territorio]]&amp;" espacio cultural cultura infraestructura estado mantención"</f>
        <v>Región de Los Ríos espacio cultural cultura infraestructura estado mantención</v>
      </c>
      <c r="S1064"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https://analytics.zoho.com/open-view/2395394000008464286?ZOHO_CRITERIA=%22Espacios_Culturales_Completo%201%22.%22C%C3%B3digo_Regi%C3%B3n%22%20%3D%2014</v>
      </c>
      <c r="T1064" s="69" t="str">
        <f>"100-C-"&amp;Agencia[[#This Row],[Filtro URL]]</f>
        <v>100-C-14</v>
      </c>
      <c r="U1064" s="50" t="str">
        <f t="shared" si="1732"/>
        <v>#1774B9</v>
      </c>
      <c r="V1064" s="118" t="str">
        <f>+Agencia[[#This Row],[idcoleccion]]&amp;"-"&amp;Agencia[[#This Row],[id]]</f>
        <v>990-1053</v>
      </c>
      <c r="W1064" s="118">
        <f>+VLOOKUP(Agencia[[#This Row],[Filtro URL]],Estructura!$X$4:$Y$500,2,0)</f>
        <v>99200014</v>
      </c>
      <c r="X1064" s="118" t="str">
        <f>+VLOOKUP(Agencia[[#This Row],[tema]],Estructura!$A$4:$C$500,3,0)</f>
        <v>T-1026</v>
      </c>
      <c r="Y1064" s="118" t="str">
        <f>+VLOOKUP(Agencia[[#This Row],[contenido]],Estructura!$E$4:$G$500,3,0)</f>
        <v>C-1008</v>
      </c>
      <c r="Z1064" s="118" t="str">
        <f>+VLOOKUP(Agencia[[#This Row],[Filtro Integrado]],Estructura!$I$4:$K$500,3,0)</f>
        <v>FI-991</v>
      </c>
      <c r="AA1064" s="118" t="str">
        <f>+VLOOKUP(Agencia[[#This Row],[Muestra]],Estructura!$M$4:$O$500,3,0)</f>
        <v>M-1005</v>
      </c>
    </row>
    <row r="1065" spans="1:27" ht="72" x14ac:dyDescent="0.3">
      <c r="A1065" s="21" t="s">
        <v>1961</v>
      </c>
      <c r="B1065" s="24">
        <f t="shared" ref="B1065:D1065" si="1790">+B1064</f>
        <v>990</v>
      </c>
      <c r="C1065" s="25" t="str">
        <f t="shared" si="1790"/>
        <v>Agencia Información</v>
      </c>
      <c r="D1065" s="25" t="str">
        <f t="shared" si="1790"/>
        <v>Arte y cultura</v>
      </c>
      <c r="E1065" s="19">
        <v>15</v>
      </c>
      <c r="F1065" s="18" t="s">
        <v>1694</v>
      </c>
      <c r="G1065" s="18" t="s">
        <v>3781</v>
      </c>
      <c r="H1065" s="35" t="s">
        <v>16</v>
      </c>
      <c r="I1065" s="36" t="s">
        <v>382</v>
      </c>
      <c r="J1065" s="9" t="str">
        <f t="shared" ref="J1065:N1065" si="1791">+J1064</f>
        <v>Comuna</v>
      </c>
      <c r="K1065" s="9" t="str">
        <f t="shared" si="1791"/>
        <v>Cantidad de espacios culturales por comuna</v>
      </c>
      <c r="L1065" s="38" t="str">
        <f t="shared" si="1791"/>
        <v>Año 2021</v>
      </c>
      <c r="M1065" s="9" t="str">
        <f t="shared" si="1791"/>
        <v>Número de espacios culturales</v>
      </c>
      <c r="N1065" s="9" t="str">
        <f t="shared" si="1791"/>
        <v>Observatorio Cultural</v>
      </c>
      <c r="O1065" s="45" t="str">
        <f>+"Cantidad de Espacios Culturales por Estado de Mantención en la "&amp;I1065&amp;", "&amp;Agencia[[#This Row],[temporalidad]]</f>
        <v>Cantidad de Espacios Culturales por Estado de Mantención en la Región de Arica y Parinacota, Año 2021</v>
      </c>
      <c r="P1065" s="20"/>
      <c r="Q1065" s="11" t="str">
        <f t="shared" si="1763"/>
        <v>Gráfico</v>
      </c>
      <c r="R1065" s="20" t="str">
        <f>Agencia[[#This Row],[territorio]]&amp;" espacio cultural cultura infraestructura estado mantención"</f>
        <v>Región de Arica y Parinacota espacio cultural cultura infraestructura estado mantención</v>
      </c>
      <c r="S1065"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https://analytics.zoho.com/open-view/2395394000008464286?ZOHO_CRITERIA=%22Espacios_Culturales_Completo%201%22.%22C%C3%B3digo_Regi%C3%B3n%22%20%3D%2015</v>
      </c>
      <c r="T1065" s="69" t="str">
        <f>"100-C-"&amp;Agencia[[#This Row],[Filtro URL]]</f>
        <v>100-C-15</v>
      </c>
      <c r="U1065" s="50" t="str">
        <f t="shared" si="1732"/>
        <v>#1774B9</v>
      </c>
      <c r="V1065" s="118" t="str">
        <f>+Agencia[[#This Row],[idcoleccion]]&amp;"-"&amp;Agencia[[#This Row],[id]]</f>
        <v>990-1054</v>
      </c>
      <c r="W1065" s="118">
        <f>+VLOOKUP(Agencia[[#This Row],[Filtro URL]],Estructura!$X$4:$Y$500,2,0)</f>
        <v>99200015</v>
      </c>
      <c r="X1065" s="118" t="str">
        <f>+VLOOKUP(Agencia[[#This Row],[tema]],Estructura!$A$4:$C$500,3,0)</f>
        <v>T-1026</v>
      </c>
      <c r="Y1065" s="118" t="str">
        <f>+VLOOKUP(Agencia[[#This Row],[contenido]],Estructura!$E$4:$G$500,3,0)</f>
        <v>C-1008</v>
      </c>
      <c r="Z1065" s="118" t="str">
        <f>+VLOOKUP(Agencia[[#This Row],[Filtro Integrado]],Estructura!$I$4:$K$500,3,0)</f>
        <v>FI-991</v>
      </c>
      <c r="AA1065" s="118" t="str">
        <f>+VLOOKUP(Agencia[[#This Row],[Muestra]],Estructura!$M$4:$O$500,3,0)</f>
        <v>M-1005</v>
      </c>
    </row>
    <row r="1066" spans="1:27" ht="72" x14ac:dyDescent="0.3">
      <c r="A1066" s="21" t="s">
        <v>1962</v>
      </c>
      <c r="B1066" s="24">
        <f t="shared" ref="B1066:D1066" si="1792">+B1065</f>
        <v>990</v>
      </c>
      <c r="C1066" s="25" t="str">
        <f t="shared" si="1792"/>
        <v>Agencia Información</v>
      </c>
      <c r="D1066" s="25" t="str">
        <f t="shared" si="1792"/>
        <v>Arte y cultura</v>
      </c>
      <c r="E1066" s="19">
        <v>16</v>
      </c>
      <c r="F1066" s="18" t="s">
        <v>1694</v>
      </c>
      <c r="G1066" s="18" t="s">
        <v>3781</v>
      </c>
      <c r="H1066" s="35" t="s">
        <v>16</v>
      </c>
      <c r="I1066" s="36" t="s">
        <v>383</v>
      </c>
      <c r="J1066" s="9" t="str">
        <f t="shared" ref="J1066:N1066" si="1793">+J1065</f>
        <v>Comuna</v>
      </c>
      <c r="K1066" s="9" t="str">
        <f t="shared" si="1793"/>
        <v>Cantidad de espacios culturales por comuna</v>
      </c>
      <c r="L1066" s="38" t="str">
        <f t="shared" si="1793"/>
        <v>Año 2021</v>
      </c>
      <c r="M1066" s="9" t="str">
        <f t="shared" si="1793"/>
        <v>Número de espacios culturales</v>
      </c>
      <c r="N1066" s="9" t="str">
        <f t="shared" si="1793"/>
        <v>Observatorio Cultural</v>
      </c>
      <c r="O1066" s="45" t="str">
        <f>+"Cantidad de Espacios Culturales por Estado de Mantención en la "&amp;I1066&amp;", "&amp;Agencia[[#This Row],[temporalidad]]</f>
        <v>Cantidad de Espacios Culturales por Estado de Mantención en la Región de Ñuble, Año 2021</v>
      </c>
      <c r="P1066" s="20"/>
      <c r="Q1066" s="11" t="str">
        <f t="shared" si="1763"/>
        <v>Gráfico</v>
      </c>
      <c r="R1066" s="20" t="str">
        <f>Agencia[[#This Row],[territorio]]&amp;" espacio cultural cultura infraestructura estado mantención"</f>
        <v>Región de Ñuble espacio cultural cultura infraestructura estado mantención</v>
      </c>
      <c r="S1066" s="39" t="str">
        <f>HYPERLINK("https://analytics.zoho.com/open-view/2395394000008464286?ZOHO_CRITERIA=%22Espacios_Culturales_Completo%201%22.%22C%C3%B3digo_Regi%C3%B3n%22%20%3D%20"&amp;Agencia[[#This Row],[Filtro URL]])</f>
        <v>https://analytics.zoho.com/open-view/2395394000008464286?ZOHO_CRITERIA=%22Espacios_Culturales_Completo%201%22.%22C%C3%B3digo_Regi%C3%B3n%22%20%3D%2016</v>
      </c>
      <c r="T1066" s="69" t="str">
        <f>"100-C-"&amp;Agencia[[#This Row],[Filtro URL]]</f>
        <v>100-C-16</v>
      </c>
      <c r="U1066" s="50" t="str">
        <f t="shared" si="1732"/>
        <v>#1774B9</v>
      </c>
      <c r="V1066" s="118" t="str">
        <f>+Agencia[[#This Row],[idcoleccion]]&amp;"-"&amp;Agencia[[#This Row],[id]]</f>
        <v>990-1055</v>
      </c>
      <c r="W1066" s="118">
        <f>+VLOOKUP(Agencia[[#This Row],[Filtro URL]],Estructura!$X$4:$Y$500,2,0)</f>
        <v>99200016</v>
      </c>
      <c r="X1066" s="118" t="str">
        <f>+VLOOKUP(Agencia[[#This Row],[tema]],Estructura!$A$4:$C$500,3,0)</f>
        <v>T-1026</v>
      </c>
      <c r="Y1066" s="118" t="str">
        <f>+VLOOKUP(Agencia[[#This Row],[contenido]],Estructura!$E$4:$G$500,3,0)</f>
        <v>C-1008</v>
      </c>
      <c r="Z1066" s="118" t="str">
        <f>+VLOOKUP(Agencia[[#This Row],[Filtro Integrado]],Estructura!$I$4:$K$500,3,0)</f>
        <v>FI-991</v>
      </c>
      <c r="AA1066" s="118" t="str">
        <f>+VLOOKUP(Agencia[[#This Row],[Muestra]],Estructura!$M$4:$O$500,3,0)</f>
        <v>M-1005</v>
      </c>
    </row>
    <row r="1067" spans="1:27" ht="36" x14ac:dyDescent="0.3">
      <c r="A1067" s="21" t="s">
        <v>1963</v>
      </c>
      <c r="B1067" s="24">
        <f t="shared" ref="B1067:C1067" si="1794">+B1066</f>
        <v>990</v>
      </c>
      <c r="C1067" s="25" t="str">
        <f t="shared" si="1794"/>
        <v>Agencia Información</v>
      </c>
      <c r="D1067" s="25" t="s">
        <v>621</v>
      </c>
      <c r="E1067" s="14">
        <v>0</v>
      </c>
      <c r="F1067" s="18" t="s">
        <v>1695</v>
      </c>
      <c r="G1067" s="18" t="s">
        <v>3781</v>
      </c>
      <c r="H1067" s="33" t="s">
        <v>20</v>
      </c>
      <c r="I1067" s="34" t="s">
        <v>15</v>
      </c>
      <c r="J1067" s="9" t="s">
        <v>1032</v>
      </c>
      <c r="K1067" s="9" t="s">
        <v>1696</v>
      </c>
      <c r="L1067" s="38" t="s">
        <v>614</v>
      </c>
      <c r="M1067" s="9" t="s">
        <v>1697</v>
      </c>
      <c r="N1067" s="9" t="s">
        <v>625</v>
      </c>
      <c r="O1067" s="45" t="str">
        <f>+"Mapa de Espacios Culturales en "&amp;I1067&amp;", "&amp;Agencia[[#This Row],[temporalidad]]</f>
        <v>Mapa de Espacios Culturales en Chile, Año 2021</v>
      </c>
      <c r="P1067" s="20"/>
      <c r="Q1067" s="11" t="s">
        <v>1698</v>
      </c>
      <c r="R1067" s="20" t="str">
        <f>Agencia[[#This Row],[territorio]]&amp;" espacio cultural cultura infraestructura ubicación latitud longitud"</f>
        <v>Chile espacio cultural cultura infraestructura ubicación latitud longitud</v>
      </c>
      <c r="S1067" s="39" t="s">
        <v>6253</v>
      </c>
      <c r="T1067" s="68" t="s">
        <v>1033</v>
      </c>
      <c r="U1067" s="50" t="str">
        <f t="shared" si="1732"/>
        <v>#1774B9</v>
      </c>
      <c r="V1067" s="118" t="str">
        <f>+Agencia[[#This Row],[idcoleccion]]&amp;"-"&amp;Agencia[[#This Row],[id]]</f>
        <v>990-1056</v>
      </c>
      <c r="W1067" s="118">
        <f>+VLOOKUP(Agencia[[#This Row],[Filtro URL]],Estructura!$X$4:$Y$500,2,0)</f>
        <v>99100000</v>
      </c>
      <c r="X1067" s="118" t="str">
        <f>+VLOOKUP(Agencia[[#This Row],[tema]],Estructura!$A$4:$C$500,3,0)</f>
        <v>T-1027</v>
      </c>
      <c r="Y1067" s="118" t="str">
        <f>+VLOOKUP(Agencia[[#This Row],[contenido]],Estructura!$E$4:$G$500,3,0)</f>
        <v>C-1008</v>
      </c>
      <c r="Z1067" s="118" t="str">
        <f>+VLOOKUP(Agencia[[#This Row],[Filtro Integrado]],Estructura!$I$4:$K$500,3,0)</f>
        <v>FI-994</v>
      </c>
      <c r="AA1067" s="118" t="str">
        <f>+VLOOKUP(Agencia[[#This Row],[Muestra]],Estructura!$M$4:$O$500,3,0)</f>
        <v>M-1078</v>
      </c>
    </row>
    <row r="1068" spans="1:27" ht="72" x14ac:dyDescent="0.3">
      <c r="A1068" s="21" t="s">
        <v>1964</v>
      </c>
      <c r="B1068" s="24">
        <f t="shared" ref="B1068:D1068" si="1795">+B1067</f>
        <v>990</v>
      </c>
      <c r="C1068" s="25" t="str">
        <f t="shared" si="1795"/>
        <v>Agencia Información</v>
      </c>
      <c r="D1068" s="25" t="str">
        <f t="shared" si="1795"/>
        <v>Arte y cultura</v>
      </c>
      <c r="E1068" s="19">
        <v>1</v>
      </c>
      <c r="F1068" s="18" t="s">
        <v>1695</v>
      </c>
      <c r="G1068" s="18" t="s">
        <v>3781</v>
      </c>
      <c r="H1068" s="35" t="s">
        <v>16</v>
      </c>
      <c r="I1068" s="36" t="s">
        <v>368</v>
      </c>
      <c r="J1068" s="9" t="s">
        <v>18</v>
      </c>
      <c r="K1068" s="9" t="s">
        <v>1696</v>
      </c>
      <c r="L1068" s="38" t="str">
        <f>+L1067</f>
        <v>Año 2021</v>
      </c>
      <c r="M1068" s="9" t="str">
        <f t="shared" ref="M1068:N1068" si="1796">+M1067</f>
        <v>Lat-Long</v>
      </c>
      <c r="N1068" s="9" t="str">
        <f t="shared" si="1796"/>
        <v>Observatorio Cultural</v>
      </c>
      <c r="O1068" s="45" t="str">
        <f>+"Mapa de Espacios Culturales en la "&amp;I1068&amp;", "&amp;Agencia[[#This Row],[temporalidad]]</f>
        <v>Mapa de Espacios Culturales en la Región de Tarapacá, Año 2021</v>
      </c>
      <c r="P1068" s="20"/>
      <c r="Q1068" s="11" t="str">
        <f t="shared" ref="Q1068:Q1131" si="1797">+Q1067</f>
        <v xml:space="preserve">Mapa </v>
      </c>
      <c r="R1068" s="20" t="str">
        <f>Agencia[[#This Row],[territorio]]&amp;" espacio cultural cultura infraestructura ubicación latitud longitud"</f>
        <v>Región de Tarapacá espacio cultural cultura infraestructura ubicación latitud longitud</v>
      </c>
      <c r="S1068"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https://analytics.zoho.com/open-view/2395394000008464353?ZOHO_CRITERIA=%22Espacios_Culturales_Completo%201%22.%22C%C3%B3digo_Regi%C3%B3n%22%20%3D%201</v>
      </c>
      <c r="T1068" s="68" t="str">
        <f>"100-C-"&amp;Agencia[[#This Row],[Filtro URL]]</f>
        <v>100-C-1</v>
      </c>
      <c r="U1068" s="50" t="str">
        <f t="shared" si="1732"/>
        <v>#1774B9</v>
      </c>
      <c r="V1068" s="118" t="str">
        <f>+Agencia[[#This Row],[idcoleccion]]&amp;"-"&amp;Agencia[[#This Row],[id]]</f>
        <v>990-1057</v>
      </c>
      <c r="W1068" s="118">
        <f>+VLOOKUP(Agencia[[#This Row],[Filtro URL]],Estructura!$X$4:$Y$500,2,0)</f>
        <v>99200001</v>
      </c>
      <c r="X1068" s="118" t="str">
        <f>+VLOOKUP(Agencia[[#This Row],[tema]],Estructura!$A$4:$C$500,3,0)</f>
        <v>T-1027</v>
      </c>
      <c r="Y1068" s="118" t="str">
        <f>+VLOOKUP(Agencia[[#This Row],[contenido]],Estructura!$E$4:$G$500,3,0)</f>
        <v>C-1008</v>
      </c>
      <c r="Z1068" s="118" t="str">
        <f>+VLOOKUP(Agencia[[#This Row],[Filtro Integrado]],Estructura!$I$4:$K$500,3,0)</f>
        <v>FI-991</v>
      </c>
      <c r="AA1068" s="118" t="str">
        <f>+VLOOKUP(Agencia[[#This Row],[Muestra]],Estructura!$M$4:$O$500,3,0)</f>
        <v>M-1078</v>
      </c>
    </row>
    <row r="1069" spans="1:27" ht="72" x14ac:dyDescent="0.3">
      <c r="A1069" s="21" t="s">
        <v>1965</v>
      </c>
      <c r="B1069" s="24">
        <f t="shared" ref="B1069:D1069" si="1798">+B1068</f>
        <v>990</v>
      </c>
      <c r="C1069" s="25" t="str">
        <f t="shared" si="1798"/>
        <v>Agencia Información</v>
      </c>
      <c r="D1069" s="25" t="str">
        <f t="shared" si="1798"/>
        <v>Arte y cultura</v>
      </c>
      <c r="E1069" s="19">
        <v>2</v>
      </c>
      <c r="F1069" s="18" t="s">
        <v>1695</v>
      </c>
      <c r="G1069" s="18" t="s">
        <v>3781</v>
      </c>
      <c r="H1069" s="35" t="s">
        <v>16</v>
      </c>
      <c r="I1069" s="36" t="s">
        <v>369</v>
      </c>
      <c r="J1069" s="9" t="str">
        <f t="shared" ref="J1069:N1069" si="1799">+J1068</f>
        <v>Comuna</v>
      </c>
      <c r="K1069" s="9" t="str">
        <f t="shared" si="1799"/>
        <v>Ubicación de espacios culturales por comuna</v>
      </c>
      <c r="L1069" s="38" t="str">
        <f t="shared" si="1799"/>
        <v>Año 2021</v>
      </c>
      <c r="M1069" s="9" t="str">
        <f t="shared" si="1799"/>
        <v>Lat-Long</v>
      </c>
      <c r="N1069" s="9" t="str">
        <f t="shared" si="1799"/>
        <v>Observatorio Cultural</v>
      </c>
      <c r="O1069" s="45" t="str">
        <f>+"Mapa de Espacios Culturales en la "&amp;I1069&amp;", "&amp;Agencia[[#This Row],[temporalidad]]</f>
        <v>Mapa de Espacios Culturales en la Región de Antofagasta, Año 2021</v>
      </c>
      <c r="P1069" s="20"/>
      <c r="Q1069" s="11" t="str">
        <f t="shared" si="1797"/>
        <v xml:space="preserve">Mapa </v>
      </c>
      <c r="R1069" s="20" t="str">
        <f>Agencia[[#This Row],[territorio]]&amp;" espacio cultural cultura infraestructura ubicación latitud longitud"</f>
        <v>Región de Antofagasta espacio cultural cultura infraestructura ubicación latitud longitud</v>
      </c>
      <c r="S1069"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https://analytics.zoho.com/open-view/2395394000008464353?ZOHO_CRITERIA=%22Espacios_Culturales_Completo%201%22.%22C%C3%B3digo_Regi%C3%B3n%22%20%3D%202</v>
      </c>
      <c r="T1069" s="68" t="str">
        <f>"100-C-"&amp;Agencia[[#This Row],[Filtro URL]]</f>
        <v>100-C-2</v>
      </c>
      <c r="U1069" s="50" t="str">
        <f t="shared" si="1732"/>
        <v>#1774B9</v>
      </c>
      <c r="V1069" s="118" t="str">
        <f>+Agencia[[#This Row],[idcoleccion]]&amp;"-"&amp;Agencia[[#This Row],[id]]</f>
        <v>990-1058</v>
      </c>
      <c r="W1069" s="118">
        <f>+VLOOKUP(Agencia[[#This Row],[Filtro URL]],Estructura!$X$4:$Y$500,2,0)</f>
        <v>99200002</v>
      </c>
      <c r="X1069" s="118" t="str">
        <f>+VLOOKUP(Agencia[[#This Row],[tema]],Estructura!$A$4:$C$500,3,0)</f>
        <v>T-1027</v>
      </c>
      <c r="Y1069" s="118" t="str">
        <f>+VLOOKUP(Agencia[[#This Row],[contenido]],Estructura!$E$4:$G$500,3,0)</f>
        <v>C-1008</v>
      </c>
      <c r="Z1069" s="118" t="str">
        <f>+VLOOKUP(Agencia[[#This Row],[Filtro Integrado]],Estructura!$I$4:$K$500,3,0)</f>
        <v>FI-991</v>
      </c>
      <c r="AA1069" s="118" t="str">
        <f>+VLOOKUP(Agencia[[#This Row],[Muestra]],Estructura!$M$4:$O$500,3,0)</f>
        <v>M-1078</v>
      </c>
    </row>
    <row r="1070" spans="1:27" ht="72" x14ac:dyDescent="0.3">
      <c r="A1070" s="21" t="s">
        <v>1966</v>
      </c>
      <c r="B1070" s="24">
        <f t="shared" ref="B1070:D1070" si="1800">+B1069</f>
        <v>990</v>
      </c>
      <c r="C1070" s="25" t="str">
        <f t="shared" si="1800"/>
        <v>Agencia Información</v>
      </c>
      <c r="D1070" s="25" t="str">
        <f t="shared" si="1800"/>
        <v>Arte y cultura</v>
      </c>
      <c r="E1070" s="19">
        <v>3</v>
      </c>
      <c r="F1070" s="18" t="s">
        <v>1695</v>
      </c>
      <c r="G1070" s="18" t="s">
        <v>3781</v>
      </c>
      <c r="H1070" s="35" t="s">
        <v>16</v>
      </c>
      <c r="I1070" s="36" t="s">
        <v>370</v>
      </c>
      <c r="J1070" s="9" t="str">
        <f t="shared" ref="J1070:N1070" si="1801">+J1069</f>
        <v>Comuna</v>
      </c>
      <c r="K1070" s="9" t="str">
        <f t="shared" si="1801"/>
        <v>Ubicación de espacios culturales por comuna</v>
      </c>
      <c r="L1070" s="38" t="str">
        <f t="shared" si="1801"/>
        <v>Año 2021</v>
      </c>
      <c r="M1070" s="9" t="str">
        <f t="shared" si="1801"/>
        <v>Lat-Long</v>
      </c>
      <c r="N1070" s="9" t="str">
        <f t="shared" si="1801"/>
        <v>Observatorio Cultural</v>
      </c>
      <c r="O1070" s="45" t="str">
        <f>+"Mapa de Espacios Culturales en la "&amp;I1070&amp;", "&amp;Agencia[[#This Row],[temporalidad]]</f>
        <v>Mapa de Espacios Culturales en la Región de Atacama, Año 2021</v>
      </c>
      <c r="P1070" s="20"/>
      <c r="Q1070" s="11" t="str">
        <f t="shared" si="1797"/>
        <v xml:space="preserve">Mapa </v>
      </c>
      <c r="R1070" s="20" t="str">
        <f>Agencia[[#This Row],[territorio]]&amp;" espacio cultural cultura infraestructura ubicación latitud longitud"</f>
        <v>Región de Atacama espacio cultural cultura infraestructura ubicación latitud longitud</v>
      </c>
      <c r="S1070"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https://analytics.zoho.com/open-view/2395394000008464353?ZOHO_CRITERIA=%22Espacios_Culturales_Completo%201%22.%22C%C3%B3digo_Regi%C3%B3n%22%20%3D%203</v>
      </c>
      <c r="T1070" s="68" t="str">
        <f>"100-C-"&amp;Agencia[[#This Row],[Filtro URL]]</f>
        <v>100-C-3</v>
      </c>
      <c r="U1070" s="50" t="str">
        <f t="shared" si="1732"/>
        <v>#1774B9</v>
      </c>
      <c r="V1070" s="118" t="str">
        <f>+Agencia[[#This Row],[idcoleccion]]&amp;"-"&amp;Agencia[[#This Row],[id]]</f>
        <v>990-1059</v>
      </c>
      <c r="W1070" s="118">
        <f>+VLOOKUP(Agencia[[#This Row],[Filtro URL]],Estructura!$X$4:$Y$500,2,0)</f>
        <v>99200003</v>
      </c>
      <c r="X1070" s="118" t="str">
        <f>+VLOOKUP(Agencia[[#This Row],[tema]],Estructura!$A$4:$C$500,3,0)</f>
        <v>T-1027</v>
      </c>
      <c r="Y1070" s="118" t="str">
        <f>+VLOOKUP(Agencia[[#This Row],[contenido]],Estructura!$E$4:$G$500,3,0)</f>
        <v>C-1008</v>
      </c>
      <c r="Z1070" s="118" t="str">
        <f>+VLOOKUP(Agencia[[#This Row],[Filtro Integrado]],Estructura!$I$4:$K$500,3,0)</f>
        <v>FI-991</v>
      </c>
      <c r="AA1070" s="118" t="str">
        <f>+VLOOKUP(Agencia[[#This Row],[Muestra]],Estructura!$M$4:$O$500,3,0)</f>
        <v>M-1078</v>
      </c>
    </row>
    <row r="1071" spans="1:27" ht="72" x14ac:dyDescent="0.3">
      <c r="A1071" s="21" t="s">
        <v>1967</v>
      </c>
      <c r="B1071" s="24">
        <f t="shared" ref="B1071:D1071" si="1802">+B1070</f>
        <v>990</v>
      </c>
      <c r="C1071" s="25" t="str">
        <f t="shared" si="1802"/>
        <v>Agencia Información</v>
      </c>
      <c r="D1071" s="25" t="str">
        <f t="shared" si="1802"/>
        <v>Arte y cultura</v>
      </c>
      <c r="E1071" s="19">
        <v>4</v>
      </c>
      <c r="F1071" s="18" t="s">
        <v>1695</v>
      </c>
      <c r="G1071" s="18" t="s">
        <v>3781</v>
      </c>
      <c r="H1071" s="35" t="s">
        <v>16</v>
      </c>
      <c r="I1071" s="36" t="s">
        <v>371</v>
      </c>
      <c r="J1071" s="9" t="str">
        <f t="shared" ref="J1071:N1071" si="1803">+J1070</f>
        <v>Comuna</v>
      </c>
      <c r="K1071" s="9" t="str">
        <f t="shared" si="1803"/>
        <v>Ubicación de espacios culturales por comuna</v>
      </c>
      <c r="L1071" s="38" t="str">
        <f t="shared" si="1803"/>
        <v>Año 2021</v>
      </c>
      <c r="M1071" s="9" t="str">
        <f t="shared" si="1803"/>
        <v>Lat-Long</v>
      </c>
      <c r="N1071" s="9" t="str">
        <f t="shared" si="1803"/>
        <v>Observatorio Cultural</v>
      </c>
      <c r="O1071" s="45" t="str">
        <f>+"Mapa de Espacios Culturales en la "&amp;I1071&amp;", "&amp;Agencia[[#This Row],[temporalidad]]</f>
        <v>Mapa de Espacios Culturales en la Región de Coquimbo, Año 2021</v>
      </c>
      <c r="P1071" s="20"/>
      <c r="Q1071" s="11" t="str">
        <f t="shared" si="1797"/>
        <v xml:space="preserve">Mapa </v>
      </c>
      <c r="R1071" s="20" t="str">
        <f>Agencia[[#This Row],[territorio]]&amp;" espacio cultural cultura infraestructura ubicación latitud longitud"</f>
        <v>Región de Coquimbo espacio cultural cultura infraestructura ubicación latitud longitud</v>
      </c>
      <c r="S1071"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https://analytics.zoho.com/open-view/2395394000008464353?ZOHO_CRITERIA=%22Espacios_Culturales_Completo%201%22.%22C%C3%B3digo_Regi%C3%B3n%22%20%3D%204</v>
      </c>
      <c r="T1071" s="68" t="str">
        <f>"100-C-"&amp;Agencia[[#This Row],[Filtro URL]]</f>
        <v>100-C-4</v>
      </c>
      <c r="U1071" s="50" t="str">
        <f t="shared" si="1732"/>
        <v>#1774B9</v>
      </c>
      <c r="V1071" s="118" t="str">
        <f>+Agencia[[#This Row],[idcoleccion]]&amp;"-"&amp;Agencia[[#This Row],[id]]</f>
        <v>990-1060</v>
      </c>
      <c r="W1071" s="118">
        <f>+VLOOKUP(Agencia[[#This Row],[Filtro URL]],Estructura!$X$4:$Y$500,2,0)</f>
        <v>99200004</v>
      </c>
      <c r="X1071" s="118" t="str">
        <f>+VLOOKUP(Agencia[[#This Row],[tema]],Estructura!$A$4:$C$500,3,0)</f>
        <v>T-1027</v>
      </c>
      <c r="Y1071" s="118" t="str">
        <f>+VLOOKUP(Agencia[[#This Row],[contenido]],Estructura!$E$4:$G$500,3,0)</f>
        <v>C-1008</v>
      </c>
      <c r="Z1071" s="118" t="str">
        <f>+VLOOKUP(Agencia[[#This Row],[Filtro Integrado]],Estructura!$I$4:$K$500,3,0)</f>
        <v>FI-991</v>
      </c>
      <c r="AA1071" s="118" t="str">
        <f>+VLOOKUP(Agencia[[#This Row],[Muestra]],Estructura!$M$4:$O$500,3,0)</f>
        <v>M-1078</v>
      </c>
    </row>
    <row r="1072" spans="1:27" ht="72" x14ac:dyDescent="0.3">
      <c r="A1072" s="21" t="s">
        <v>1968</v>
      </c>
      <c r="B1072" s="24">
        <f t="shared" ref="B1072:D1072" si="1804">+B1071</f>
        <v>990</v>
      </c>
      <c r="C1072" s="25" t="str">
        <f t="shared" si="1804"/>
        <v>Agencia Información</v>
      </c>
      <c r="D1072" s="25" t="str">
        <f t="shared" si="1804"/>
        <v>Arte y cultura</v>
      </c>
      <c r="E1072" s="19">
        <v>5</v>
      </c>
      <c r="F1072" s="18" t="s">
        <v>1695</v>
      </c>
      <c r="G1072" s="18" t="s">
        <v>3781</v>
      </c>
      <c r="H1072" s="35" t="s">
        <v>16</v>
      </c>
      <c r="I1072" s="36" t="s">
        <v>372</v>
      </c>
      <c r="J1072" s="9" t="str">
        <f t="shared" ref="J1072:N1072" si="1805">+J1071</f>
        <v>Comuna</v>
      </c>
      <c r="K1072" s="9" t="str">
        <f t="shared" si="1805"/>
        <v>Ubicación de espacios culturales por comuna</v>
      </c>
      <c r="L1072" s="38" t="str">
        <f t="shared" si="1805"/>
        <v>Año 2021</v>
      </c>
      <c r="M1072" s="9" t="str">
        <f t="shared" si="1805"/>
        <v>Lat-Long</v>
      </c>
      <c r="N1072" s="9" t="str">
        <f t="shared" si="1805"/>
        <v>Observatorio Cultural</v>
      </c>
      <c r="O1072" s="45" t="str">
        <f>+"Mapa de Espacios Culturales en la "&amp;I1072&amp;", "&amp;Agencia[[#This Row],[temporalidad]]</f>
        <v>Mapa de Espacios Culturales en la Región de Valparaíso, Año 2021</v>
      </c>
      <c r="P1072" s="20"/>
      <c r="Q1072" s="11" t="str">
        <f t="shared" si="1797"/>
        <v xml:space="preserve">Mapa </v>
      </c>
      <c r="R1072" s="20" t="str">
        <f>Agencia[[#This Row],[territorio]]&amp;" espacio cultural cultura infraestructura ubicación latitud longitud"</f>
        <v>Región de Valparaíso espacio cultural cultura infraestructura ubicación latitud longitud</v>
      </c>
      <c r="S1072"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https://analytics.zoho.com/open-view/2395394000008464353?ZOHO_CRITERIA=%22Espacios_Culturales_Completo%201%22.%22C%C3%B3digo_Regi%C3%B3n%22%20%3D%205</v>
      </c>
      <c r="T1072" s="68" t="str">
        <f>"100-C-"&amp;Agencia[[#This Row],[Filtro URL]]</f>
        <v>100-C-5</v>
      </c>
      <c r="U1072" s="50" t="str">
        <f t="shared" si="1732"/>
        <v>#1774B9</v>
      </c>
      <c r="V1072" s="118" t="str">
        <f>+Agencia[[#This Row],[idcoleccion]]&amp;"-"&amp;Agencia[[#This Row],[id]]</f>
        <v>990-1061</v>
      </c>
      <c r="W1072" s="118">
        <f>+VLOOKUP(Agencia[[#This Row],[Filtro URL]],Estructura!$X$4:$Y$500,2,0)</f>
        <v>99200005</v>
      </c>
      <c r="X1072" s="118" t="str">
        <f>+VLOOKUP(Agencia[[#This Row],[tema]],Estructura!$A$4:$C$500,3,0)</f>
        <v>T-1027</v>
      </c>
      <c r="Y1072" s="118" t="str">
        <f>+VLOOKUP(Agencia[[#This Row],[contenido]],Estructura!$E$4:$G$500,3,0)</f>
        <v>C-1008</v>
      </c>
      <c r="Z1072" s="118" t="str">
        <f>+VLOOKUP(Agencia[[#This Row],[Filtro Integrado]],Estructura!$I$4:$K$500,3,0)</f>
        <v>FI-991</v>
      </c>
      <c r="AA1072" s="118" t="str">
        <f>+VLOOKUP(Agencia[[#This Row],[Muestra]],Estructura!$M$4:$O$500,3,0)</f>
        <v>M-1078</v>
      </c>
    </row>
    <row r="1073" spans="1:27" ht="72" x14ac:dyDescent="0.3">
      <c r="A1073" s="21" t="s">
        <v>1969</v>
      </c>
      <c r="B1073" s="24">
        <f t="shared" ref="B1073:D1073" si="1806">+B1072</f>
        <v>990</v>
      </c>
      <c r="C1073" s="25" t="str">
        <f t="shared" si="1806"/>
        <v>Agencia Información</v>
      </c>
      <c r="D1073" s="25" t="str">
        <f t="shared" si="1806"/>
        <v>Arte y cultura</v>
      </c>
      <c r="E1073" s="19">
        <v>6</v>
      </c>
      <c r="F1073" s="18" t="s">
        <v>1695</v>
      </c>
      <c r="G1073" s="18" t="s">
        <v>3781</v>
      </c>
      <c r="H1073" s="35" t="s">
        <v>16</v>
      </c>
      <c r="I1073" s="36" t="s">
        <v>373</v>
      </c>
      <c r="J1073" s="9" t="str">
        <f t="shared" ref="J1073:N1073" si="1807">+J1072</f>
        <v>Comuna</v>
      </c>
      <c r="K1073" s="9" t="str">
        <f t="shared" si="1807"/>
        <v>Ubicación de espacios culturales por comuna</v>
      </c>
      <c r="L1073" s="38" t="str">
        <f t="shared" si="1807"/>
        <v>Año 2021</v>
      </c>
      <c r="M1073" s="9" t="str">
        <f t="shared" si="1807"/>
        <v>Lat-Long</v>
      </c>
      <c r="N1073" s="9" t="str">
        <f t="shared" si="1807"/>
        <v>Observatorio Cultural</v>
      </c>
      <c r="O1073" s="45" t="str">
        <f>+"Mapa de Espacios Culturales en la "&amp;I1073&amp;", "&amp;Agencia[[#This Row],[temporalidad]]</f>
        <v>Mapa de Espacios Culturales en la Región de O'Higgins, Año 2021</v>
      </c>
      <c r="P1073" s="20"/>
      <c r="Q1073" s="11" t="str">
        <f t="shared" si="1797"/>
        <v xml:space="preserve">Mapa </v>
      </c>
      <c r="R1073" s="20" t="str">
        <f>Agencia[[#This Row],[territorio]]&amp;" espacio cultural cultura infraestructura ubicación latitud longitud"</f>
        <v>Región de O'Higgins espacio cultural cultura infraestructura ubicación latitud longitud</v>
      </c>
      <c r="S1073"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https://analytics.zoho.com/open-view/2395394000008464353?ZOHO_CRITERIA=%22Espacios_Culturales_Completo%201%22.%22C%C3%B3digo_Regi%C3%B3n%22%20%3D%206</v>
      </c>
      <c r="T1073" s="68" t="str">
        <f>"100-C-"&amp;Agencia[[#This Row],[Filtro URL]]</f>
        <v>100-C-6</v>
      </c>
      <c r="U1073" s="50" t="str">
        <f t="shared" si="1732"/>
        <v>#1774B9</v>
      </c>
      <c r="V1073" s="118" t="str">
        <f>+Agencia[[#This Row],[idcoleccion]]&amp;"-"&amp;Agencia[[#This Row],[id]]</f>
        <v>990-1062</v>
      </c>
      <c r="W1073" s="118">
        <f>+VLOOKUP(Agencia[[#This Row],[Filtro URL]],Estructura!$X$4:$Y$500,2,0)</f>
        <v>99200006</v>
      </c>
      <c r="X1073" s="118" t="str">
        <f>+VLOOKUP(Agencia[[#This Row],[tema]],Estructura!$A$4:$C$500,3,0)</f>
        <v>T-1027</v>
      </c>
      <c r="Y1073" s="118" t="str">
        <f>+VLOOKUP(Agencia[[#This Row],[contenido]],Estructura!$E$4:$G$500,3,0)</f>
        <v>C-1008</v>
      </c>
      <c r="Z1073" s="118" t="str">
        <f>+VLOOKUP(Agencia[[#This Row],[Filtro Integrado]],Estructura!$I$4:$K$500,3,0)</f>
        <v>FI-991</v>
      </c>
      <c r="AA1073" s="118" t="str">
        <f>+VLOOKUP(Agencia[[#This Row],[Muestra]],Estructura!$M$4:$O$500,3,0)</f>
        <v>M-1078</v>
      </c>
    </row>
    <row r="1074" spans="1:27" ht="72" x14ac:dyDescent="0.3">
      <c r="A1074" s="21" t="s">
        <v>1970</v>
      </c>
      <c r="B1074" s="24">
        <f t="shared" ref="B1074:D1074" si="1808">+B1073</f>
        <v>990</v>
      </c>
      <c r="C1074" s="25" t="str">
        <f t="shared" si="1808"/>
        <v>Agencia Información</v>
      </c>
      <c r="D1074" s="25" t="str">
        <f t="shared" si="1808"/>
        <v>Arte y cultura</v>
      </c>
      <c r="E1074" s="19">
        <v>7</v>
      </c>
      <c r="F1074" s="18" t="s">
        <v>1695</v>
      </c>
      <c r="G1074" s="18" t="s">
        <v>3781</v>
      </c>
      <c r="H1074" s="35" t="s">
        <v>16</v>
      </c>
      <c r="I1074" s="36" t="s">
        <v>374</v>
      </c>
      <c r="J1074" s="9" t="str">
        <f t="shared" ref="J1074:N1074" si="1809">+J1073</f>
        <v>Comuna</v>
      </c>
      <c r="K1074" s="9" t="str">
        <f t="shared" si="1809"/>
        <v>Ubicación de espacios culturales por comuna</v>
      </c>
      <c r="L1074" s="38" t="str">
        <f t="shared" si="1809"/>
        <v>Año 2021</v>
      </c>
      <c r="M1074" s="9" t="str">
        <f t="shared" si="1809"/>
        <v>Lat-Long</v>
      </c>
      <c r="N1074" s="9" t="str">
        <f t="shared" si="1809"/>
        <v>Observatorio Cultural</v>
      </c>
      <c r="O1074" s="45" t="str">
        <f>+"Mapa de Espacios Culturales en la "&amp;I1074&amp;", "&amp;Agencia[[#This Row],[temporalidad]]</f>
        <v>Mapa de Espacios Culturales en la Región de Maule, Año 2021</v>
      </c>
      <c r="P1074" s="20"/>
      <c r="Q1074" s="11" t="str">
        <f t="shared" si="1797"/>
        <v xml:space="preserve">Mapa </v>
      </c>
      <c r="R1074" s="20" t="str">
        <f>Agencia[[#This Row],[territorio]]&amp;" espacio cultural cultura infraestructura ubicación latitud longitud"</f>
        <v>Región de Maule espacio cultural cultura infraestructura ubicación latitud longitud</v>
      </c>
      <c r="S1074"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https://analytics.zoho.com/open-view/2395394000008464353?ZOHO_CRITERIA=%22Espacios_Culturales_Completo%201%22.%22C%C3%B3digo_Regi%C3%B3n%22%20%3D%207</v>
      </c>
      <c r="T1074" s="68" t="str">
        <f>"100-C-"&amp;Agencia[[#This Row],[Filtro URL]]</f>
        <v>100-C-7</v>
      </c>
      <c r="U1074" s="50" t="str">
        <f t="shared" si="1732"/>
        <v>#1774B9</v>
      </c>
      <c r="V1074" s="118" t="str">
        <f>+Agencia[[#This Row],[idcoleccion]]&amp;"-"&amp;Agencia[[#This Row],[id]]</f>
        <v>990-1063</v>
      </c>
      <c r="W1074" s="118">
        <f>+VLOOKUP(Agencia[[#This Row],[Filtro URL]],Estructura!$X$4:$Y$500,2,0)</f>
        <v>99200007</v>
      </c>
      <c r="X1074" s="118" t="str">
        <f>+VLOOKUP(Agencia[[#This Row],[tema]],Estructura!$A$4:$C$500,3,0)</f>
        <v>T-1027</v>
      </c>
      <c r="Y1074" s="118" t="str">
        <f>+VLOOKUP(Agencia[[#This Row],[contenido]],Estructura!$E$4:$G$500,3,0)</f>
        <v>C-1008</v>
      </c>
      <c r="Z1074" s="118" t="str">
        <f>+VLOOKUP(Agencia[[#This Row],[Filtro Integrado]],Estructura!$I$4:$K$500,3,0)</f>
        <v>FI-991</v>
      </c>
      <c r="AA1074" s="118" t="str">
        <f>+VLOOKUP(Agencia[[#This Row],[Muestra]],Estructura!$M$4:$O$500,3,0)</f>
        <v>M-1078</v>
      </c>
    </row>
    <row r="1075" spans="1:27" ht="72" x14ac:dyDescent="0.3">
      <c r="A1075" s="21" t="s">
        <v>1971</v>
      </c>
      <c r="B1075" s="24">
        <f t="shared" ref="B1075:D1075" si="1810">+B1074</f>
        <v>990</v>
      </c>
      <c r="C1075" s="25" t="str">
        <f t="shared" si="1810"/>
        <v>Agencia Información</v>
      </c>
      <c r="D1075" s="25" t="str">
        <f t="shared" si="1810"/>
        <v>Arte y cultura</v>
      </c>
      <c r="E1075" s="19">
        <v>8</v>
      </c>
      <c r="F1075" s="18" t="s">
        <v>1695</v>
      </c>
      <c r="G1075" s="18" t="s">
        <v>3781</v>
      </c>
      <c r="H1075" s="35" t="s">
        <v>16</v>
      </c>
      <c r="I1075" s="36" t="s">
        <v>375</v>
      </c>
      <c r="J1075" s="9" t="str">
        <f t="shared" ref="J1075:N1075" si="1811">+J1074</f>
        <v>Comuna</v>
      </c>
      <c r="K1075" s="9" t="str">
        <f t="shared" si="1811"/>
        <v>Ubicación de espacios culturales por comuna</v>
      </c>
      <c r="L1075" s="38" t="str">
        <f t="shared" si="1811"/>
        <v>Año 2021</v>
      </c>
      <c r="M1075" s="9" t="str">
        <f t="shared" si="1811"/>
        <v>Lat-Long</v>
      </c>
      <c r="N1075" s="9" t="str">
        <f t="shared" si="1811"/>
        <v>Observatorio Cultural</v>
      </c>
      <c r="O1075" s="45" t="str">
        <f>+"Mapa de Espacios Culturales en la "&amp;I1075&amp;", "&amp;Agencia[[#This Row],[temporalidad]]</f>
        <v>Mapa de Espacios Culturales en la Región del Biobío, Año 2021</v>
      </c>
      <c r="P1075" s="20"/>
      <c r="Q1075" s="11" t="str">
        <f t="shared" si="1797"/>
        <v xml:space="preserve">Mapa </v>
      </c>
      <c r="R1075" s="20" t="str">
        <f>Agencia[[#This Row],[territorio]]&amp;" espacio cultural cultura infraestructura ubicación latitud longitud"</f>
        <v>Región del Biobío espacio cultural cultura infraestructura ubicación latitud longitud</v>
      </c>
      <c r="S1075"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https://analytics.zoho.com/open-view/2395394000008464353?ZOHO_CRITERIA=%22Espacios_Culturales_Completo%201%22.%22C%C3%B3digo_Regi%C3%B3n%22%20%3D%208</v>
      </c>
      <c r="T1075" s="68" t="str">
        <f>"100-C-"&amp;Agencia[[#This Row],[Filtro URL]]</f>
        <v>100-C-8</v>
      </c>
      <c r="U1075" s="50" t="str">
        <f t="shared" si="1732"/>
        <v>#1774B9</v>
      </c>
      <c r="V1075" s="118" t="str">
        <f>+Agencia[[#This Row],[idcoleccion]]&amp;"-"&amp;Agencia[[#This Row],[id]]</f>
        <v>990-1064</v>
      </c>
      <c r="W1075" s="118">
        <f>+VLOOKUP(Agencia[[#This Row],[Filtro URL]],Estructura!$X$4:$Y$500,2,0)</f>
        <v>99200008</v>
      </c>
      <c r="X1075" s="118" t="str">
        <f>+VLOOKUP(Agencia[[#This Row],[tema]],Estructura!$A$4:$C$500,3,0)</f>
        <v>T-1027</v>
      </c>
      <c r="Y1075" s="118" t="str">
        <f>+VLOOKUP(Agencia[[#This Row],[contenido]],Estructura!$E$4:$G$500,3,0)</f>
        <v>C-1008</v>
      </c>
      <c r="Z1075" s="118" t="str">
        <f>+VLOOKUP(Agencia[[#This Row],[Filtro Integrado]],Estructura!$I$4:$K$500,3,0)</f>
        <v>FI-991</v>
      </c>
      <c r="AA1075" s="118" t="str">
        <f>+VLOOKUP(Agencia[[#This Row],[Muestra]],Estructura!$M$4:$O$500,3,0)</f>
        <v>M-1078</v>
      </c>
    </row>
    <row r="1076" spans="1:27" ht="72" x14ac:dyDescent="0.3">
      <c r="A1076" s="21" t="s">
        <v>1972</v>
      </c>
      <c r="B1076" s="24">
        <f t="shared" ref="B1076:D1076" si="1812">+B1075</f>
        <v>990</v>
      </c>
      <c r="C1076" s="25" t="str">
        <f t="shared" si="1812"/>
        <v>Agencia Información</v>
      </c>
      <c r="D1076" s="25" t="str">
        <f t="shared" si="1812"/>
        <v>Arte y cultura</v>
      </c>
      <c r="E1076" s="19">
        <v>9</v>
      </c>
      <c r="F1076" s="18" t="s">
        <v>1695</v>
      </c>
      <c r="G1076" s="18" t="s">
        <v>3781</v>
      </c>
      <c r="H1076" s="35" t="s">
        <v>16</v>
      </c>
      <c r="I1076" s="36" t="s">
        <v>376</v>
      </c>
      <c r="J1076" s="9" t="str">
        <f t="shared" ref="J1076:N1076" si="1813">+J1075</f>
        <v>Comuna</v>
      </c>
      <c r="K1076" s="9" t="str">
        <f t="shared" si="1813"/>
        <v>Ubicación de espacios culturales por comuna</v>
      </c>
      <c r="L1076" s="38" t="str">
        <f t="shared" si="1813"/>
        <v>Año 2021</v>
      </c>
      <c r="M1076" s="9" t="str">
        <f t="shared" si="1813"/>
        <v>Lat-Long</v>
      </c>
      <c r="N1076" s="9" t="str">
        <f t="shared" si="1813"/>
        <v>Observatorio Cultural</v>
      </c>
      <c r="O1076" s="45" t="str">
        <f>+"Mapa de Espacios Culturales en la "&amp;I1076&amp;", "&amp;Agencia[[#This Row],[temporalidad]]</f>
        <v>Mapa de Espacios Culturales en la Región de La Araucanía, Año 2021</v>
      </c>
      <c r="P1076" s="20"/>
      <c r="Q1076" s="11" t="str">
        <f t="shared" si="1797"/>
        <v xml:space="preserve">Mapa </v>
      </c>
      <c r="R1076" s="20" t="str">
        <f>Agencia[[#This Row],[territorio]]&amp;" espacio cultural cultura infraestructura ubicación latitud longitud"</f>
        <v>Región de La Araucanía espacio cultural cultura infraestructura ubicación latitud longitud</v>
      </c>
      <c r="S1076"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https://analytics.zoho.com/open-view/2395394000008464353?ZOHO_CRITERIA=%22Espacios_Culturales_Completo%201%22.%22C%C3%B3digo_Regi%C3%B3n%22%20%3D%209</v>
      </c>
      <c r="T1076" s="68" t="str">
        <f>"100-C-"&amp;Agencia[[#This Row],[Filtro URL]]</f>
        <v>100-C-9</v>
      </c>
      <c r="U1076" s="50" t="str">
        <f t="shared" si="1732"/>
        <v>#1774B9</v>
      </c>
      <c r="V1076" s="118" t="str">
        <f>+Agencia[[#This Row],[idcoleccion]]&amp;"-"&amp;Agencia[[#This Row],[id]]</f>
        <v>990-1065</v>
      </c>
      <c r="W1076" s="118">
        <f>+VLOOKUP(Agencia[[#This Row],[Filtro URL]],Estructura!$X$4:$Y$500,2,0)</f>
        <v>99200009</v>
      </c>
      <c r="X1076" s="118" t="str">
        <f>+VLOOKUP(Agencia[[#This Row],[tema]],Estructura!$A$4:$C$500,3,0)</f>
        <v>T-1027</v>
      </c>
      <c r="Y1076" s="118" t="str">
        <f>+VLOOKUP(Agencia[[#This Row],[contenido]],Estructura!$E$4:$G$500,3,0)</f>
        <v>C-1008</v>
      </c>
      <c r="Z1076" s="118" t="str">
        <f>+VLOOKUP(Agencia[[#This Row],[Filtro Integrado]],Estructura!$I$4:$K$500,3,0)</f>
        <v>FI-991</v>
      </c>
      <c r="AA1076" s="118" t="str">
        <f>+VLOOKUP(Agencia[[#This Row],[Muestra]],Estructura!$M$4:$O$500,3,0)</f>
        <v>M-1078</v>
      </c>
    </row>
    <row r="1077" spans="1:27" ht="72" x14ac:dyDescent="0.3">
      <c r="A1077" s="21" t="s">
        <v>1973</v>
      </c>
      <c r="B1077" s="24">
        <f t="shared" ref="B1077:D1077" si="1814">+B1076</f>
        <v>990</v>
      </c>
      <c r="C1077" s="25" t="str">
        <f t="shared" si="1814"/>
        <v>Agencia Información</v>
      </c>
      <c r="D1077" s="25" t="str">
        <f t="shared" si="1814"/>
        <v>Arte y cultura</v>
      </c>
      <c r="E1077" s="19">
        <v>10</v>
      </c>
      <c r="F1077" s="18" t="s">
        <v>1695</v>
      </c>
      <c r="G1077" s="18" t="s">
        <v>3781</v>
      </c>
      <c r="H1077" s="35" t="s">
        <v>16</v>
      </c>
      <c r="I1077" s="36" t="s">
        <v>377</v>
      </c>
      <c r="J1077" s="9" t="str">
        <f t="shared" ref="J1077:N1077" si="1815">+J1076</f>
        <v>Comuna</v>
      </c>
      <c r="K1077" s="9" t="str">
        <f t="shared" si="1815"/>
        <v>Ubicación de espacios culturales por comuna</v>
      </c>
      <c r="L1077" s="38" t="str">
        <f t="shared" si="1815"/>
        <v>Año 2021</v>
      </c>
      <c r="M1077" s="9" t="str">
        <f t="shared" si="1815"/>
        <v>Lat-Long</v>
      </c>
      <c r="N1077" s="9" t="str">
        <f t="shared" si="1815"/>
        <v>Observatorio Cultural</v>
      </c>
      <c r="O1077" s="45" t="str">
        <f>+"Mapa de Espacios Culturales en la "&amp;I1077&amp;", "&amp;Agencia[[#This Row],[temporalidad]]</f>
        <v>Mapa de Espacios Culturales en la Región de Los Lagos, Año 2021</v>
      </c>
      <c r="P1077" s="20"/>
      <c r="Q1077" s="11" t="str">
        <f t="shared" si="1797"/>
        <v xml:space="preserve">Mapa </v>
      </c>
      <c r="R1077" s="20" t="str">
        <f>Agencia[[#This Row],[territorio]]&amp;" espacio cultural cultura infraestructura ubicación latitud longitud"</f>
        <v>Región de Los Lagos espacio cultural cultura infraestructura ubicación latitud longitud</v>
      </c>
      <c r="S1077"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https://analytics.zoho.com/open-view/2395394000008464353?ZOHO_CRITERIA=%22Espacios_Culturales_Completo%201%22.%22C%C3%B3digo_Regi%C3%B3n%22%20%3D%2010</v>
      </c>
      <c r="T1077" s="68" t="str">
        <f>"100-C-"&amp;Agencia[[#This Row],[Filtro URL]]</f>
        <v>100-C-10</v>
      </c>
      <c r="U1077" s="50" t="str">
        <f t="shared" si="1732"/>
        <v>#1774B9</v>
      </c>
      <c r="V1077" s="118" t="str">
        <f>+Agencia[[#This Row],[idcoleccion]]&amp;"-"&amp;Agencia[[#This Row],[id]]</f>
        <v>990-1066</v>
      </c>
      <c r="W1077" s="118">
        <f>+VLOOKUP(Agencia[[#This Row],[Filtro URL]],Estructura!$X$4:$Y$500,2,0)</f>
        <v>99200010</v>
      </c>
      <c r="X1077" s="118" t="str">
        <f>+VLOOKUP(Agencia[[#This Row],[tema]],Estructura!$A$4:$C$500,3,0)</f>
        <v>T-1027</v>
      </c>
      <c r="Y1077" s="118" t="str">
        <f>+VLOOKUP(Agencia[[#This Row],[contenido]],Estructura!$E$4:$G$500,3,0)</f>
        <v>C-1008</v>
      </c>
      <c r="Z1077" s="118" t="str">
        <f>+VLOOKUP(Agencia[[#This Row],[Filtro Integrado]],Estructura!$I$4:$K$500,3,0)</f>
        <v>FI-991</v>
      </c>
      <c r="AA1077" s="118" t="str">
        <f>+VLOOKUP(Agencia[[#This Row],[Muestra]],Estructura!$M$4:$O$500,3,0)</f>
        <v>M-1078</v>
      </c>
    </row>
    <row r="1078" spans="1:27" ht="72" x14ac:dyDescent="0.3">
      <c r="A1078" s="21" t="s">
        <v>1974</v>
      </c>
      <c r="B1078" s="24">
        <f t="shared" ref="B1078:D1078" si="1816">+B1077</f>
        <v>990</v>
      </c>
      <c r="C1078" s="25" t="str">
        <f t="shared" si="1816"/>
        <v>Agencia Información</v>
      </c>
      <c r="D1078" s="25" t="str">
        <f t="shared" si="1816"/>
        <v>Arte y cultura</v>
      </c>
      <c r="E1078" s="19">
        <v>11</v>
      </c>
      <c r="F1078" s="18" t="s">
        <v>1695</v>
      </c>
      <c r="G1078" s="18" t="s">
        <v>3781</v>
      </c>
      <c r="H1078" s="35" t="s">
        <v>16</v>
      </c>
      <c r="I1078" s="36" t="s">
        <v>378</v>
      </c>
      <c r="J1078" s="9" t="str">
        <f t="shared" ref="J1078:N1078" si="1817">+J1077</f>
        <v>Comuna</v>
      </c>
      <c r="K1078" s="9" t="str">
        <f t="shared" si="1817"/>
        <v>Ubicación de espacios culturales por comuna</v>
      </c>
      <c r="L1078" s="38" t="str">
        <f t="shared" si="1817"/>
        <v>Año 2021</v>
      </c>
      <c r="M1078" s="9" t="str">
        <f t="shared" si="1817"/>
        <v>Lat-Long</v>
      </c>
      <c r="N1078" s="9" t="str">
        <f t="shared" si="1817"/>
        <v>Observatorio Cultural</v>
      </c>
      <c r="O1078" s="45" t="str">
        <f>+"Mapa de Espacios Culturales en la "&amp;I1078&amp;", "&amp;Agencia[[#This Row],[temporalidad]]</f>
        <v>Mapa de Espacios Culturales en la Región de Aysén, Año 2021</v>
      </c>
      <c r="P1078" s="20"/>
      <c r="Q1078" s="11" t="str">
        <f t="shared" si="1797"/>
        <v xml:space="preserve">Mapa </v>
      </c>
      <c r="R1078" s="20" t="str">
        <f>Agencia[[#This Row],[territorio]]&amp;" espacio cultural cultura infraestructura ubicación latitud longitud"</f>
        <v>Región de Aysén espacio cultural cultura infraestructura ubicación latitud longitud</v>
      </c>
      <c r="S1078"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https://analytics.zoho.com/open-view/2395394000008464353?ZOHO_CRITERIA=%22Espacios_Culturales_Completo%201%22.%22C%C3%B3digo_Regi%C3%B3n%22%20%3D%2011</v>
      </c>
      <c r="T1078" s="68" t="str">
        <f>"100-C-"&amp;Agencia[[#This Row],[Filtro URL]]</f>
        <v>100-C-11</v>
      </c>
      <c r="U1078" s="50" t="str">
        <f t="shared" si="1732"/>
        <v>#1774B9</v>
      </c>
      <c r="V1078" s="118" t="str">
        <f>+Agencia[[#This Row],[idcoleccion]]&amp;"-"&amp;Agencia[[#This Row],[id]]</f>
        <v>990-1067</v>
      </c>
      <c r="W1078" s="118">
        <f>+VLOOKUP(Agencia[[#This Row],[Filtro URL]],Estructura!$X$4:$Y$500,2,0)</f>
        <v>99200011</v>
      </c>
      <c r="X1078" s="118" t="str">
        <f>+VLOOKUP(Agencia[[#This Row],[tema]],Estructura!$A$4:$C$500,3,0)</f>
        <v>T-1027</v>
      </c>
      <c r="Y1078" s="118" t="str">
        <f>+VLOOKUP(Agencia[[#This Row],[contenido]],Estructura!$E$4:$G$500,3,0)</f>
        <v>C-1008</v>
      </c>
      <c r="Z1078" s="118" t="str">
        <f>+VLOOKUP(Agencia[[#This Row],[Filtro Integrado]],Estructura!$I$4:$K$500,3,0)</f>
        <v>FI-991</v>
      </c>
      <c r="AA1078" s="118" t="str">
        <f>+VLOOKUP(Agencia[[#This Row],[Muestra]],Estructura!$M$4:$O$500,3,0)</f>
        <v>M-1078</v>
      </c>
    </row>
    <row r="1079" spans="1:27" ht="72" x14ac:dyDescent="0.3">
      <c r="A1079" s="21" t="s">
        <v>1975</v>
      </c>
      <c r="B1079" s="24">
        <f t="shared" ref="B1079:D1079" si="1818">+B1078</f>
        <v>990</v>
      </c>
      <c r="C1079" s="25" t="str">
        <f t="shared" si="1818"/>
        <v>Agencia Información</v>
      </c>
      <c r="D1079" s="25" t="str">
        <f t="shared" si="1818"/>
        <v>Arte y cultura</v>
      </c>
      <c r="E1079" s="19">
        <v>12</v>
      </c>
      <c r="F1079" s="18" t="s">
        <v>1695</v>
      </c>
      <c r="G1079" s="18" t="s">
        <v>3781</v>
      </c>
      <c r="H1079" s="35" t="s">
        <v>16</v>
      </c>
      <c r="I1079" s="36" t="s">
        <v>379</v>
      </c>
      <c r="J1079" s="9" t="str">
        <f t="shared" ref="J1079:N1079" si="1819">+J1078</f>
        <v>Comuna</v>
      </c>
      <c r="K1079" s="9" t="str">
        <f t="shared" si="1819"/>
        <v>Ubicación de espacios culturales por comuna</v>
      </c>
      <c r="L1079" s="38" t="str">
        <f t="shared" si="1819"/>
        <v>Año 2021</v>
      </c>
      <c r="M1079" s="9" t="str">
        <f t="shared" si="1819"/>
        <v>Lat-Long</v>
      </c>
      <c r="N1079" s="9" t="str">
        <f t="shared" si="1819"/>
        <v>Observatorio Cultural</v>
      </c>
      <c r="O1079" s="45" t="str">
        <f>+"Mapa de Espacios Culturales en la "&amp;I1079&amp;", "&amp;Agencia[[#This Row],[temporalidad]]</f>
        <v>Mapa de Espacios Culturales en la Región de Magallanes, Año 2021</v>
      </c>
      <c r="P1079" s="20"/>
      <c r="Q1079" s="11" t="str">
        <f t="shared" si="1797"/>
        <v xml:space="preserve">Mapa </v>
      </c>
      <c r="R1079" s="20" t="str">
        <f>Agencia[[#This Row],[territorio]]&amp;" espacio cultural cultura infraestructura ubicación latitud longitud"</f>
        <v>Región de Magallanes espacio cultural cultura infraestructura ubicación latitud longitud</v>
      </c>
      <c r="S1079"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https://analytics.zoho.com/open-view/2395394000008464353?ZOHO_CRITERIA=%22Espacios_Culturales_Completo%201%22.%22C%C3%B3digo_Regi%C3%B3n%22%20%3D%2012</v>
      </c>
      <c r="T1079" s="68" t="str">
        <f>"100-C-"&amp;Agencia[[#This Row],[Filtro URL]]</f>
        <v>100-C-12</v>
      </c>
      <c r="U1079" s="50" t="str">
        <f t="shared" si="1732"/>
        <v>#1774B9</v>
      </c>
      <c r="V1079" s="118" t="str">
        <f>+Agencia[[#This Row],[idcoleccion]]&amp;"-"&amp;Agencia[[#This Row],[id]]</f>
        <v>990-1068</v>
      </c>
      <c r="W1079" s="118">
        <f>+VLOOKUP(Agencia[[#This Row],[Filtro URL]],Estructura!$X$4:$Y$500,2,0)</f>
        <v>99200012</v>
      </c>
      <c r="X1079" s="118" t="str">
        <f>+VLOOKUP(Agencia[[#This Row],[tema]],Estructura!$A$4:$C$500,3,0)</f>
        <v>T-1027</v>
      </c>
      <c r="Y1079" s="118" t="str">
        <f>+VLOOKUP(Agencia[[#This Row],[contenido]],Estructura!$E$4:$G$500,3,0)</f>
        <v>C-1008</v>
      </c>
      <c r="Z1079" s="118" t="str">
        <f>+VLOOKUP(Agencia[[#This Row],[Filtro Integrado]],Estructura!$I$4:$K$500,3,0)</f>
        <v>FI-991</v>
      </c>
      <c r="AA1079" s="118" t="str">
        <f>+VLOOKUP(Agencia[[#This Row],[Muestra]],Estructura!$M$4:$O$500,3,0)</f>
        <v>M-1078</v>
      </c>
    </row>
    <row r="1080" spans="1:27" ht="72" x14ac:dyDescent="0.3">
      <c r="A1080" s="21" t="s">
        <v>1976</v>
      </c>
      <c r="B1080" s="24">
        <f t="shared" ref="B1080:D1080" si="1820">+B1079</f>
        <v>990</v>
      </c>
      <c r="C1080" s="25" t="str">
        <f t="shared" si="1820"/>
        <v>Agencia Información</v>
      </c>
      <c r="D1080" s="25" t="str">
        <f t="shared" si="1820"/>
        <v>Arte y cultura</v>
      </c>
      <c r="E1080" s="19">
        <v>13</v>
      </c>
      <c r="F1080" s="18" t="s">
        <v>1695</v>
      </c>
      <c r="G1080" s="18" t="s">
        <v>3781</v>
      </c>
      <c r="H1080" s="35" t="s">
        <v>16</v>
      </c>
      <c r="I1080" s="36" t="s">
        <v>380</v>
      </c>
      <c r="J1080" s="9" t="str">
        <f t="shared" ref="J1080:N1080" si="1821">+J1079</f>
        <v>Comuna</v>
      </c>
      <c r="K1080" s="9" t="str">
        <f t="shared" si="1821"/>
        <v>Ubicación de espacios culturales por comuna</v>
      </c>
      <c r="L1080" s="38" t="str">
        <f t="shared" si="1821"/>
        <v>Año 2021</v>
      </c>
      <c r="M1080" s="9" t="str">
        <f t="shared" si="1821"/>
        <v>Lat-Long</v>
      </c>
      <c r="N1080" s="9" t="str">
        <f t="shared" si="1821"/>
        <v>Observatorio Cultural</v>
      </c>
      <c r="O1080" s="45" t="str">
        <f>+"Mapa de Espacios Culturales en la "&amp;I1080&amp;", "&amp;Agencia[[#This Row],[temporalidad]]</f>
        <v>Mapa de Espacios Culturales en la Región Metropolitana, Año 2021</v>
      </c>
      <c r="P1080" s="20"/>
      <c r="Q1080" s="11" t="str">
        <f t="shared" si="1797"/>
        <v xml:space="preserve">Mapa </v>
      </c>
      <c r="R1080" s="20" t="str">
        <f>Agencia[[#This Row],[territorio]]&amp;" espacio cultural cultura infraestructura ubicación latitud longitud"</f>
        <v>Región Metropolitana espacio cultural cultura infraestructura ubicación latitud longitud</v>
      </c>
      <c r="S1080"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https://analytics.zoho.com/open-view/2395394000008464353?ZOHO_CRITERIA=%22Espacios_Culturales_Completo%201%22.%22C%C3%B3digo_Regi%C3%B3n%22%20%3D%2013</v>
      </c>
      <c r="T1080" s="68" t="str">
        <f>"200-C-"&amp;Agencia[[#This Row],[Filtro URL]]</f>
        <v>200-C-13</v>
      </c>
      <c r="U1080" s="50" t="str">
        <f t="shared" si="1732"/>
        <v>#1774B9</v>
      </c>
      <c r="V1080" s="118" t="str">
        <f>+Agencia[[#This Row],[idcoleccion]]&amp;"-"&amp;Agencia[[#This Row],[id]]</f>
        <v>990-1069</v>
      </c>
      <c r="W1080" s="118">
        <f>+VLOOKUP(Agencia[[#This Row],[Filtro URL]],Estructura!$X$4:$Y$500,2,0)</f>
        <v>99200013</v>
      </c>
      <c r="X1080" s="118" t="str">
        <f>+VLOOKUP(Agencia[[#This Row],[tema]],Estructura!$A$4:$C$500,3,0)</f>
        <v>T-1027</v>
      </c>
      <c r="Y1080" s="118" t="str">
        <f>+VLOOKUP(Agencia[[#This Row],[contenido]],Estructura!$E$4:$G$500,3,0)</f>
        <v>C-1008</v>
      </c>
      <c r="Z1080" s="118" t="str">
        <f>+VLOOKUP(Agencia[[#This Row],[Filtro Integrado]],Estructura!$I$4:$K$500,3,0)</f>
        <v>FI-991</v>
      </c>
      <c r="AA1080" s="118" t="str">
        <f>+VLOOKUP(Agencia[[#This Row],[Muestra]],Estructura!$M$4:$O$500,3,0)</f>
        <v>M-1078</v>
      </c>
    </row>
    <row r="1081" spans="1:27" ht="72" x14ac:dyDescent="0.3">
      <c r="A1081" s="21" t="s">
        <v>1977</v>
      </c>
      <c r="B1081" s="24">
        <f t="shared" ref="B1081:D1081" si="1822">+B1080</f>
        <v>990</v>
      </c>
      <c r="C1081" s="25" t="str">
        <f t="shared" si="1822"/>
        <v>Agencia Información</v>
      </c>
      <c r="D1081" s="25" t="str">
        <f t="shared" si="1822"/>
        <v>Arte y cultura</v>
      </c>
      <c r="E1081" s="19">
        <v>14</v>
      </c>
      <c r="F1081" s="18" t="s">
        <v>1695</v>
      </c>
      <c r="G1081" s="18" t="s">
        <v>3781</v>
      </c>
      <c r="H1081" s="35" t="s">
        <v>16</v>
      </c>
      <c r="I1081" s="36" t="s">
        <v>381</v>
      </c>
      <c r="J1081" s="9" t="str">
        <f t="shared" ref="J1081:N1081" si="1823">+J1080</f>
        <v>Comuna</v>
      </c>
      <c r="K1081" s="9" t="str">
        <f t="shared" si="1823"/>
        <v>Ubicación de espacios culturales por comuna</v>
      </c>
      <c r="L1081" s="38" t="str">
        <f t="shared" si="1823"/>
        <v>Año 2021</v>
      </c>
      <c r="M1081" s="9" t="str">
        <f t="shared" si="1823"/>
        <v>Lat-Long</v>
      </c>
      <c r="N1081" s="9" t="str">
        <f t="shared" si="1823"/>
        <v>Observatorio Cultural</v>
      </c>
      <c r="O1081" s="45" t="str">
        <f>+"Mapa de Espacios Culturales en la "&amp;I1081&amp;", "&amp;Agencia[[#This Row],[temporalidad]]</f>
        <v>Mapa de Espacios Culturales en la Región de Los Ríos, Año 2021</v>
      </c>
      <c r="P1081" s="20"/>
      <c r="Q1081" s="11" t="str">
        <f t="shared" si="1797"/>
        <v xml:space="preserve">Mapa </v>
      </c>
      <c r="R1081" s="20" t="str">
        <f>Agencia[[#This Row],[territorio]]&amp;" espacio cultural cultura infraestructura ubicación latitud longitud"</f>
        <v>Región de Los Ríos espacio cultural cultura infraestructura ubicación latitud longitud</v>
      </c>
      <c r="S1081"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https://analytics.zoho.com/open-view/2395394000008464353?ZOHO_CRITERIA=%22Espacios_Culturales_Completo%201%22.%22C%C3%B3digo_Regi%C3%B3n%22%20%3D%2014</v>
      </c>
      <c r="T1081" s="68" t="str">
        <f>"100-C-"&amp;Agencia[[#This Row],[Filtro URL]]</f>
        <v>100-C-14</v>
      </c>
      <c r="U1081" s="50" t="str">
        <f t="shared" si="1732"/>
        <v>#1774B9</v>
      </c>
      <c r="V1081" s="118" t="str">
        <f>+Agencia[[#This Row],[idcoleccion]]&amp;"-"&amp;Agencia[[#This Row],[id]]</f>
        <v>990-1070</v>
      </c>
      <c r="W1081" s="118">
        <f>+VLOOKUP(Agencia[[#This Row],[Filtro URL]],Estructura!$X$4:$Y$500,2,0)</f>
        <v>99200014</v>
      </c>
      <c r="X1081" s="118" t="str">
        <f>+VLOOKUP(Agencia[[#This Row],[tema]],Estructura!$A$4:$C$500,3,0)</f>
        <v>T-1027</v>
      </c>
      <c r="Y1081" s="118" t="str">
        <f>+VLOOKUP(Agencia[[#This Row],[contenido]],Estructura!$E$4:$G$500,3,0)</f>
        <v>C-1008</v>
      </c>
      <c r="Z1081" s="118" t="str">
        <f>+VLOOKUP(Agencia[[#This Row],[Filtro Integrado]],Estructura!$I$4:$K$500,3,0)</f>
        <v>FI-991</v>
      </c>
      <c r="AA1081" s="118" t="str">
        <f>+VLOOKUP(Agencia[[#This Row],[Muestra]],Estructura!$M$4:$O$500,3,0)</f>
        <v>M-1078</v>
      </c>
    </row>
    <row r="1082" spans="1:27" ht="72" x14ac:dyDescent="0.3">
      <c r="A1082" s="21" t="s">
        <v>1978</v>
      </c>
      <c r="B1082" s="24">
        <f t="shared" ref="B1082:D1082" si="1824">+B1081</f>
        <v>990</v>
      </c>
      <c r="C1082" s="25" t="str">
        <f t="shared" si="1824"/>
        <v>Agencia Información</v>
      </c>
      <c r="D1082" s="25" t="str">
        <f t="shared" si="1824"/>
        <v>Arte y cultura</v>
      </c>
      <c r="E1082" s="19">
        <v>15</v>
      </c>
      <c r="F1082" s="18" t="s">
        <v>1695</v>
      </c>
      <c r="G1082" s="18" t="s">
        <v>3781</v>
      </c>
      <c r="H1082" s="35" t="s">
        <v>16</v>
      </c>
      <c r="I1082" s="36" t="s">
        <v>382</v>
      </c>
      <c r="J1082" s="9" t="str">
        <f t="shared" ref="J1082:N1082" si="1825">+J1081</f>
        <v>Comuna</v>
      </c>
      <c r="K1082" s="9" t="str">
        <f t="shared" si="1825"/>
        <v>Ubicación de espacios culturales por comuna</v>
      </c>
      <c r="L1082" s="38" t="str">
        <f t="shared" si="1825"/>
        <v>Año 2021</v>
      </c>
      <c r="M1082" s="9" t="str">
        <f t="shared" si="1825"/>
        <v>Lat-Long</v>
      </c>
      <c r="N1082" s="9" t="str">
        <f t="shared" si="1825"/>
        <v>Observatorio Cultural</v>
      </c>
      <c r="O1082" s="45" t="str">
        <f>+"Mapa de Espacios Culturales en la "&amp;I1082&amp;", "&amp;Agencia[[#This Row],[temporalidad]]</f>
        <v>Mapa de Espacios Culturales en la Región de Arica y Parinacota, Año 2021</v>
      </c>
      <c r="P1082" s="20"/>
      <c r="Q1082" s="11" t="str">
        <f t="shared" si="1797"/>
        <v xml:space="preserve">Mapa </v>
      </c>
      <c r="R1082" s="20" t="str">
        <f>Agencia[[#This Row],[territorio]]&amp;" espacio cultural cultura infraestructura ubicación latitud longitud"</f>
        <v>Región de Arica y Parinacota espacio cultural cultura infraestructura ubicación latitud longitud</v>
      </c>
      <c r="S1082"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https://analytics.zoho.com/open-view/2395394000008464353?ZOHO_CRITERIA=%22Espacios_Culturales_Completo%201%22.%22C%C3%B3digo_Regi%C3%B3n%22%20%3D%2015</v>
      </c>
      <c r="T1082" s="68" t="str">
        <f>"100-C-"&amp;Agencia[[#This Row],[Filtro URL]]</f>
        <v>100-C-15</v>
      </c>
      <c r="U1082" s="50" t="str">
        <f t="shared" si="1732"/>
        <v>#1774B9</v>
      </c>
      <c r="V1082" s="118" t="str">
        <f>+Agencia[[#This Row],[idcoleccion]]&amp;"-"&amp;Agencia[[#This Row],[id]]</f>
        <v>990-1071</v>
      </c>
      <c r="W1082" s="118">
        <f>+VLOOKUP(Agencia[[#This Row],[Filtro URL]],Estructura!$X$4:$Y$500,2,0)</f>
        <v>99200015</v>
      </c>
      <c r="X1082" s="118" t="str">
        <f>+VLOOKUP(Agencia[[#This Row],[tema]],Estructura!$A$4:$C$500,3,0)</f>
        <v>T-1027</v>
      </c>
      <c r="Y1082" s="118" t="str">
        <f>+VLOOKUP(Agencia[[#This Row],[contenido]],Estructura!$E$4:$G$500,3,0)</f>
        <v>C-1008</v>
      </c>
      <c r="Z1082" s="118" t="str">
        <f>+VLOOKUP(Agencia[[#This Row],[Filtro Integrado]],Estructura!$I$4:$K$500,3,0)</f>
        <v>FI-991</v>
      </c>
      <c r="AA1082" s="118" t="str">
        <f>+VLOOKUP(Agencia[[#This Row],[Muestra]],Estructura!$M$4:$O$500,3,0)</f>
        <v>M-1078</v>
      </c>
    </row>
    <row r="1083" spans="1:27" ht="72" x14ac:dyDescent="0.3">
      <c r="A1083" s="21" t="s">
        <v>1979</v>
      </c>
      <c r="B1083" s="24">
        <f t="shared" ref="B1083:D1083" si="1826">+B1082</f>
        <v>990</v>
      </c>
      <c r="C1083" s="25" t="str">
        <f t="shared" si="1826"/>
        <v>Agencia Información</v>
      </c>
      <c r="D1083" s="25" t="str">
        <f t="shared" si="1826"/>
        <v>Arte y cultura</v>
      </c>
      <c r="E1083" s="19">
        <v>16</v>
      </c>
      <c r="F1083" s="18" t="s">
        <v>1695</v>
      </c>
      <c r="G1083" s="18" t="s">
        <v>3781</v>
      </c>
      <c r="H1083" s="35" t="s">
        <v>16</v>
      </c>
      <c r="I1083" s="36" t="s">
        <v>383</v>
      </c>
      <c r="J1083" s="9" t="str">
        <f t="shared" ref="J1083:N1083" si="1827">+J1082</f>
        <v>Comuna</v>
      </c>
      <c r="K1083" s="9" t="str">
        <f t="shared" si="1827"/>
        <v>Ubicación de espacios culturales por comuna</v>
      </c>
      <c r="L1083" s="38" t="str">
        <f t="shared" si="1827"/>
        <v>Año 2021</v>
      </c>
      <c r="M1083" s="9" t="str">
        <f t="shared" si="1827"/>
        <v>Lat-Long</v>
      </c>
      <c r="N1083" s="9" t="str">
        <f t="shared" si="1827"/>
        <v>Observatorio Cultural</v>
      </c>
      <c r="O1083" s="45" t="str">
        <f>+"Mapa de Espacios Culturales en la "&amp;I1083&amp;", "&amp;Agencia[[#This Row],[temporalidad]]</f>
        <v>Mapa de Espacios Culturales en la Región de Ñuble, Año 2021</v>
      </c>
      <c r="P1083" s="20"/>
      <c r="Q1083" s="11" t="str">
        <f t="shared" si="1797"/>
        <v xml:space="preserve">Mapa </v>
      </c>
      <c r="R1083" s="20" t="str">
        <f>Agencia[[#This Row],[territorio]]&amp;" espacio cultural cultura infraestructura ubicación latitud longitud"</f>
        <v>Región de Ñuble espacio cultural cultura infraestructura ubicación latitud longitud</v>
      </c>
      <c r="S1083" s="39" t="str">
        <f>HYPERLINK("https://analytics.zoho.com/open-view/2395394000008464353?ZOHO_CRITERIA=%22Espacios_Culturales_Completo%201%22.%22C%C3%B3digo_Regi%C3%B3n%22%20%3D%20"&amp;Agencia[[#This Row],[Filtro URL]])</f>
        <v>https://analytics.zoho.com/open-view/2395394000008464353?ZOHO_CRITERIA=%22Espacios_Culturales_Completo%201%22.%22C%C3%B3digo_Regi%C3%B3n%22%20%3D%2016</v>
      </c>
      <c r="T1083" s="68" t="str">
        <f>"100-C-"&amp;Agencia[[#This Row],[Filtro URL]]</f>
        <v>100-C-16</v>
      </c>
      <c r="U1083" s="50" t="str">
        <f t="shared" si="1732"/>
        <v>#1774B9</v>
      </c>
      <c r="V1083" s="118" t="str">
        <f>+Agencia[[#This Row],[idcoleccion]]&amp;"-"&amp;Agencia[[#This Row],[id]]</f>
        <v>990-1072</v>
      </c>
      <c r="W1083" s="118">
        <f>+VLOOKUP(Agencia[[#This Row],[Filtro URL]],Estructura!$X$4:$Y$500,2,0)</f>
        <v>99200016</v>
      </c>
      <c r="X1083" s="118" t="str">
        <f>+VLOOKUP(Agencia[[#This Row],[tema]],Estructura!$A$4:$C$500,3,0)</f>
        <v>T-1027</v>
      </c>
      <c r="Y1083" s="118" t="str">
        <f>+VLOOKUP(Agencia[[#This Row],[contenido]],Estructura!$E$4:$G$500,3,0)</f>
        <v>C-1008</v>
      </c>
      <c r="Z1083" s="118" t="str">
        <f>+VLOOKUP(Agencia[[#This Row],[Filtro Integrado]],Estructura!$I$4:$K$500,3,0)</f>
        <v>FI-991</v>
      </c>
      <c r="AA1083" s="118" t="str">
        <f>+VLOOKUP(Agencia[[#This Row],[Muestra]],Estructura!$M$4:$O$500,3,0)</f>
        <v>M-1078</v>
      </c>
    </row>
    <row r="1084" spans="1:27" ht="91.8" x14ac:dyDescent="0.3">
      <c r="A1084" s="21" t="s">
        <v>1980</v>
      </c>
      <c r="B1084" s="24">
        <f t="shared" ref="B1084:C1084" si="1828">+B1083</f>
        <v>990</v>
      </c>
      <c r="C1084" s="25" t="str">
        <f t="shared" si="1828"/>
        <v>Agencia Información</v>
      </c>
      <c r="D1084" s="25" t="s">
        <v>462</v>
      </c>
      <c r="E1084" s="14">
        <v>0</v>
      </c>
      <c r="F1084" s="10" t="s">
        <v>1018</v>
      </c>
      <c r="G1084" s="18" t="s">
        <v>3783</v>
      </c>
      <c r="H1084" s="33" t="s">
        <v>20</v>
      </c>
      <c r="I1084" s="34" t="s">
        <v>15</v>
      </c>
      <c r="J1084" s="9" t="s">
        <v>16</v>
      </c>
      <c r="K1084" s="9" t="s">
        <v>2010</v>
      </c>
      <c r="L1084" s="38" t="s">
        <v>1016</v>
      </c>
      <c r="M1084" s="9" t="s">
        <v>592</v>
      </c>
      <c r="N1084" s="9" t="s">
        <v>910</v>
      </c>
      <c r="O1084" s="45" t="str">
        <f>+"Población en Control del Programa de Cáncer de Cuello Uterino por Rango Etario en "&amp;I1084&amp;", "&amp;Agencia[[#This Row],[temporalidad]]</f>
        <v>Población en Control del Programa de Cáncer de Cuello Uterino por Rango Etario en Chile, Periodo 2011-2018</v>
      </c>
      <c r="P1084" s="20" t="s">
        <v>1722</v>
      </c>
      <c r="Q1084" s="11" t="s">
        <v>821</v>
      </c>
      <c r="R1084" s="20" t="str">
        <f>Agencia[[#This Row],[territorio]]&amp;" cáncer cuello uterino cérvico útero  salud PAP Papanicolaou casos control población edad rango etáreo"</f>
        <v>Chile cáncer cuello uterino cérvico útero  salud PAP Papanicolaou casos control población edad rango etáreo</v>
      </c>
      <c r="S1084" s="39" t="s">
        <v>1723</v>
      </c>
      <c r="T1084" s="68" t="s">
        <v>855</v>
      </c>
      <c r="U1084" s="50" t="str">
        <f t="shared" si="1732"/>
        <v>#1774B9</v>
      </c>
      <c r="V1084" s="118" t="str">
        <f>+Agencia[[#This Row],[idcoleccion]]&amp;"-"&amp;Agencia[[#This Row],[id]]</f>
        <v>990-1073</v>
      </c>
      <c r="W1084" s="118">
        <f>+VLOOKUP(Agencia[[#This Row],[Filtro URL]],Estructura!$X$4:$Y$500,2,0)</f>
        <v>99100000</v>
      </c>
      <c r="X1084" s="118" t="str">
        <f>+VLOOKUP(Agencia[[#This Row],[tema]],Estructura!$A$4:$C$500,3,0)</f>
        <v>T-999</v>
      </c>
      <c r="Y1084" s="118" t="str">
        <f>+VLOOKUP(Agencia[[#This Row],[contenido]],Estructura!$E$4:$G$500,3,0)</f>
        <v>C-1009</v>
      </c>
      <c r="Z1084" s="118" t="str">
        <f>+VLOOKUP(Agencia[[#This Row],[Filtro Integrado]],Estructura!$I$4:$K$500,3,0)</f>
        <v>FI-992</v>
      </c>
      <c r="AA1084" s="118" t="str">
        <f>+VLOOKUP(Agencia[[#This Row],[Muestra]],Estructura!$M$4:$O$500,3,0)</f>
        <v>M-1079</v>
      </c>
    </row>
    <row r="1085" spans="1:27" ht="57.6" x14ac:dyDescent="0.3">
      <c r="A1085" s="21" t="s">
        <v>1981</v>
      </c>
      <c r="B1085" s="24">
        <f t="shared" ref="B1085:D1085" si="1829">+B1084</f>
        <v>990</v>
      </c>
      <c r="C1085" s="25" t="str">
        <f t="shared" si="1829"/>
        <v>Agencia Información</v>
      </c>
      <c r="D1085" s="25" t="str">
        <f t="shared" si="1829"/>
        <v>Mujeres</v>
      </c>
      <c r="E1085" s="19">
        <v>1</v>
      </c>
      <c r="F1085" s="18" t="s">
        <v>1018</v>
      </c>
      <c r="G1085" s="18" t="s">
        <v>3783</v>
      </c>
      <c r="H1085" s="35" t="s">
        <v>16</v>
      </c>
      <c r="I1085" s="36" t="s">
        <v>368</v>
      </c>
      <c r="J1085" s="9" t="s">
        <v>404</v>
      </c>
      <c r="K1085" s="9" t="s">
        <v>2010</v>
      </c>
      <c r="L1085" s="38" t="str">
        <f>+L1084</f>
        <v>Periodo 2011-2018</v>
      </c>
      <c r="M1085" s="9" t="str">
        <f t="shared" ref="M1085:N1085" si="1830">+M1084</f>
        <v>Número de Casos</v>
      </c>
      <c r="N1085" s="9" t="str">
        <f t="shared" si="1830"/>
        <v>Departamento de Estadísticas e Información de la Salud (DEIS) - Ministerio de Salud</v>
      </c>
      <c r="O1085" s="45" t="str">
        <f>+"Población en Control del Programa de Cáncer de Cuello Uterino por Rango Etario en la "&amp;I1085&amp;", "&amp;Agencia[[#This Row],[temporalidad]]</f>
        <v>Población en Control del Programa de Cáncer de Cuello Uterino por Rango Etario en la Región de Tarapacá, Periodo 2011-2018</v>
      </c>
      <c r="P1085" s="20"/>
      <c r="Q1085" s="11" t="str">
        <f t="shared" si="1797"/>
        <v>Gráfico de Evolución</v>
      </c>
      <c r="R1085" s="20" t="str">
        <f>Agencia[[#This Row],[territorio]]&amp;" cáncer cuello uterino cérvico útero  salud PAP Papanicolaou casos control población edad rango etáreo"</f>
        <v>Región de Tarapacá cáncer cuello uterino cérvico útero  salud PAP Papanicolaou casos control población edad rango etáreo</v>
      </c>
      <c r="S1085" s="39" t="str">
        <f>HYPERLINK("https://analytics.zoho.com/open-view/2395394000008463005?ZOHO_CRITERIA=%22Localiza%20CL%22.%22Codreg%22%20%3D%20"&amp;Agencia[[#This Row],[Filtro URL]])</f>
        <v>https://analytics.zoho.com/open-view/2395394000008463005?ZOHO_CRITERIA=%22Localiza%20CL%22.%22Codreg%22%20%3D%201</v>
      </c>
      <c r="T1085" s="68" t="str">
        <f>"100-R-"&amp;Agencia[[#This Row],[Filtro URL]]</f>
        <v>100-R-1</v>
      </c>
      <c r="U1085" s="50" t="str">
        <f t="shared" si="1732"/>
        <v>#1774B9</v>
      </c>
      <c r="V1085" s="118" t="str">
        <f>+Agencia[[#This Row],[idcoleccion]]&amp;"-"&amp;Agencia[[#This Row],[id]]</f>
        <v>990-1074</v>
      </c>
      <c r="W1085" s="118">
        <f>+VLOOKUP(Agencia[[#This Row],[Filtro URL]],Estructura!$X$4:$Y$500,2,0)</f>
        <v>99200001</v>
      </c>
      <c r="X1085" s="118" t="str">
        <f>+VLOOKUP(Agencia[[#This Row],[tema]],Estructura!$A$4:$C$500,3,0)</f>
        <v>T-999</v>
      </c>
      <c r="Y1085" s="118" t="str">
        <f>+VLOOKUP(Agencia[[#This Row],[contenido]],Estructura!$E$4:$G$500,3,0)</f>
        <v>C-1009</v>
      </c>
      <c r="Z1085" s="118" t="str">
        <f>+VLOOKUP(Agencia[[#This Row],[Filtro Integrado]],Estructura!$I$4:$K$500,3,0)</f>
        <v>FI-993</v>
      </c>
      <c r="AA1085" s="118" t="str">
        <f>+VLOOKUP(Agencia[[#This Row],[Muestra]],Estructura!$M$4:$O$500,3,0)</f>
        <v>M-1079</v>
      </c>
    </row>
    <row r="1086" spans="1:27" ht="57.6" x14ac:dyDescent="0.3">
      <c r="A1086" s="21" t="s">
        <v>1982</v>
      </c>
      <c r="B1086" s="24">
        <f t="shared" ref="B1086:D1086" si="1831">+B1085</f>
        <v>990</v>
      </c>
      <c r="C1086" s="25" t="str">
        <f t="shared" si="1831"/>
        <v>Agencia Información</v>
      </c>
      <c r="D1086" s="25" t="str">
        <f t="shared" si="1831"/>
        <v>Mujeres</v>
      </c>
      <c r="E1086" s="19">
        <v>2</v>
      </c>
      <c r="F1086" s="18" t="s">
        <v>1018</v>
      </c>
      <c r="G1086" s="18" t="s">
        <v>3783</v>
      </c>
      <c r="H1086" s="35" t="s">
        <v>16</v>
      </c>
      <c r="I1086" s="36" t="s">
        <v>369</v>
      </c>
      <c r="J1086" s="9" t="str">
        <f t="shared" ref="J1086:N1086" si="1832">+J1085</f>
        <v>Ninguno</v>
      </c>
      <c r="K1086" s="9" t="s">
        <v>2010</v>
      </c>
      <c r="L1086" s="38" t="str">
        <f t="shared" si="1832"/>
        <v>Periodo 2011-2018</v>
      </c>
      <c r="M1086" s="9" t="str">
        <f t="shared" si="1832"/>
        <v>Número de Casos</v>
      </c>
      <c r="N1086" s="9" t="str">
        <f t="shared" si="1832"/>
        <v>Departamento de Estadísticas e Información de la Salud (DEIS) - Ministerio de Salud</v>
      </c>
      <c r="O1086" s="45" t="str">
        <f>+"Población en Control del Programa de Cáncer de Cuello Uterino por Rango Etario en la "&amp;I1086&amp;", "&amp;Agencia[[#This Row],[temporalidad]]</f>
        <v>Población en Control del Programa de Cáncer de Cuello Uterino por Rango Etario en la Región de Antofagasta, Periodo 2011-2018</v>
      </c>
      <c r="P1086" s="20"/>
      <c r="Q1086" s="11" t="str">
        <f t="shared" si="1797"/>
        <v>Gráfico de Evolución</v>
      </c>
      <c r="R1086" s="20" t="str">
        <f>Agencia[[#This Row],[territorio]]&amp;" cáncer cuello uterino cérvico útero  salud PAP Papanicolaou casos control población edad rango etáreo"</f>
        <v>Región de Antofagasta cáncer cuello uterino cérvico útero  salud PAP Papanicolaou casos control población edad rango etáreo</v>
      </c>
      <c r="S1086" s="39" t="str">
        <f>HYPERLINK("https://analytics.zoho.com/open-view/2395394000008463005?ZOHO_CRITERIA=%22Localiza%20CL%22.%22Codreg%22%20%3D%20"&amp;Agencia[[#This Row],[Filtro URL]])</f>
        <v>https://analytics.zoho.com/open-view/2395394000008463005?ZOHO_CRITERIA=%22Localiza%20CL%22.%22Codreg%22%20%3D%202</v>
      </c>
      <c r="T1086" s="68" t="str">
        <f>"100-R-"&amp;Agencia[[#This Row],[Filtro URL]]</f>
        <v>100-R-2</v>
      </c>
      <c r="U1086" s="50" t="str">
        <f t="shared" si="1732"/>
        <v>#1774B9</v>
      </c>
      <c r="V1086" s="118" t="str">
        <f>+Agencia[[#This Row],[idcoleccion]]&amp;"-"&amp;Agencia[[#This Row],[id]]</f>
        <v>990-1075</v>
      </c>
      <c r="W1086" s="118">
        <f>+VLOOKUP(Agencia[[#This Row],[Filtro URL]],Estructura!$X$4:$Y$500,2,0)</f>
        <v>99200002</v>
      </c>
      <c r="X1086" s="118" t="str">
        <f>+VLOOKUP(Agencia[[#This Row],[tema]],Estructura!$A$4:$C$500,3,0)</f>
        <v>T-999</v>
      </c>
      <c r="Y1086" s="118" t="str">
        <f>+VLOOKUP(Agencia[[#This Row],[contenido]],Estructura!$E$4:$G$500,3,0)</f>
        <v>C-1009</v>
      </c>
      <c r="Z1086" s="118" t="str">
        <f>+VLOOKUP(Agencia[[#This Row],[Filtro Integrado]],Estructura!$I$4:$K$500,3,0)</f>
        <v>FI-993</v>
      </c>
      <c r="AA1086" s="118" t="str">
        <f>+VLOOKUP(Agencia[[#This Row],[Muestra]],Estructura!$M$4:$O$500,3,0)</f>
        <v>M-1079</v>
      </c>
    </row>
    <row r="1087" spans="1:27" ht="57.6" x14ac:dyDescent="0.3">
      <c r="A1087" s="21" t="s">
        <v>1983</v>
      </c>
      <c r="B1087" s="24">
        <f t="shared" ref="B1087:D1087" si="1833">+B1086</f>
        <v>990</v>
      </c>
      <c r="C1087" s="25" t="str">
        <f t="shared" si="1833"/>
        <v>Agencia Información</v>
      </c>
      <c r="D1087" s="25" t="str">
        <f t="shared" si="1833"/>
        <v>Mujeres</v>
      </c>
      <c r="E1087" s="19">
        <v>3</v>
      </c>
      <c r="F1087" s="18" t="s">
        <v>1018</v>
      </c>
      <c r="G1087" s="18" t="s">
        <v>3783</v>
      </c>
      <c r="H1087" s="35" t="s">
        <v>16</v>
      </c>
      <c r="I1087" s="36" t="s">
        <v>370</v>
      </c>
      <c r="J1087" s="9" t="str">
        <f t="shared" ref="J1087:N1087" si="1834">+J1086</f>
        <v>Ninguno</v>
      </c>
      <c r="K1087" s="9" t="s">
        <v>2010</v>
      </c>
      <c r="L1087" s="38" t="str">
        <f t="shared" si="1834"/>
        <v>Periodo 2011-2018</v>
      </c>
      <c r="M1087" s="9" t="str">
        <f t="shared" si="1834"/>
        <v>Número de Casos</v>
      </c>
      <c r="N1087" s="9" t="str">
        <f t="shared" si="1834"/>
        <v>Departamento de Estadísticas e Información de la Salud (DEIS) - Ministerio de Salud</v>
      </c>
      <c r="O1087" s="45" t="str">
        <f>+"Población en Control del Programa de Cáncer de Cuello Uterino por Rango Etario en la "&amp;I1087&amp;", "&amp;Agencia[[#This Row],[temporalidad]]</f>
        <v>Población en Control del Programa de Cáncer de Cuello Uterino por Rango Etario en la Región de Atacama, Periodo 2011-2018</v>
      </c>
      <c r="P1087" s="20"/>
      <c r="Q1087" s="11" t="str">
        <f t="shared" si="1797"/>
        <v>Gráfico de Evolución</v>
      </c>
      <c r="R1087" s="20" t="str">
        <f>Agencia[[#This Row],[territorio]]&amp;" cáncer cuello uterino cérvico útero  salud PAP Papanicolaou casos control población edad rango etáreo"</f>
        <v>Región de Atacama cáncer cuello uterino cérvico útero  salud PAP Papanicolaou casos control población edad rango etáreo</v>
      </c>
      <c r="S1087" s="39" t="str">
        <f>HYPERLINK("https://analytics.zoho.com/open-view/2395394000008463005?ZOHO_CRITERIA=%22Localiza%20CL%22.%22Codreg%22%20%3D%20"&amp;Agencia[[#This Row],[Filtro URL]])</f>
        <v>https://analytics.zoho.com/open-view/2395394000008463005?ZOHO_CRITERIA=%22Localiza%20CL%22.%22Codreg%22%20%3D%203</v>
      </c>
      <c r="T1087" s="68" t="str">
        <f>"100-R-"&amp;Agencia[[#This Row],[Filtro URL]]</f>
        <v>100-R-3</v>
      </c>
      <c r="U1087" s="50" t="str">
        <f t="shared" si="1732"/>
        <v>#1774B9</v>
      </c>
      <c r="V1087" s="118" t="str">
        <f>+Agencia[[#This Row],[idcoleccion]]&amp;"-"&amp;Agencia[[#This Row],[id]]</f>
        <v>990-1076</v>
      </c>
      <c r="W1087" s="118">
        <f>+VLOOKUP(Agencia[[#This Row],[Filtro URL]],Estructura!$X$4:$Y$500,2,0)</f>
        <v>99200003</v>
      </c>
      <c r="X1087" s="118" t="str">
        <f>+VLOOKUP(Agencia[[#This Row],[tema]],Estructura!$A$4:$C$500,3,0)</f>
        <v>T-999</v>
      </c>
      <c r="Y1087" s="118" t="str">
        <f>+VLOOKUP(Agencia[[#This Row],[contenido]],Estructura!$E$4:$G$500,3,0)</f>
        <v>C-1009</v>
      </c>
      <c r="Z1087" s="118" t="str">
        <f>+VLOOKUP(Agencia[[#This Row],[Filtro Integrado]],Estructura!$I$4:$K$500,3,0)</f>
        <v>FI-993</v>
      </c>
      <c r="AA1087" s="118" t="str">
        <f>+VLOOKUP(Agencia[[#This Row],[Muestra]],Estructura!$M$4:$O$500,3,0)</f>
        <v>M-1079</v>
      </c>
    </row>
    <row r="1088" spans="1:27" ht="57.6" x14ac:dyDescent="0.3">
      <c r="A1088" s="21" t="s">
        <v>1984</v>
      </c>
      <c r="B1088" s="24">
        <f t="shared" ref="B1088:D1088" si="1835">+B1087</f>
        <v>990</v>
      </c>
      <c r="C1088" s="25" t="str">
        <f t="shared" si="1835"/>
        <v>Agencia Información</v>
      </c>
      <c r="D1088" s="25" t="str">
        <f t="shared" si="1835"/>
        <v>Mujeres</v>
      </c>
      <c r="E1088" s="19">
        <v>4</v>
      </c>
      <c r="F1088" s="18" t="s">
        <v>1018</v>
      </c>
      <c r="G1088" s="18" t="s">
        <v>3783</v>
      </c>
      <c r="H1088" s="35" t="s">
        <v>16</v>
      </c>
      <c r="I1088" s="36" t="s">
        <v>371</v>
      </c>
      <c r="J1088" s="9" t="str">
        <f t="shared" ref="J1088:N1088" si="1836">+J1087</f>
        <v>Ninguno</v>
      </c>
      <c r="K1088" s="9" t="s">
        <v>2010</v>
      </c>
      <c r="L1088" s="38" t="str">
        <f t="shared" si="1836"/>
        <v>Periodo 2011-2018</v>
      </c>
      <c r="M1088" s="9" t="str">
        <f t="shared" si="1836"/>
        <v>Número de Casos</v>
      </c>
      <c r="N1088" s="9" t="str">
        <f t="shared" si="1836"/>
        <v>Departamento de Estadísticas e Información de la Salud (DEIS) - Ministerio de Salud</v>
      </c>
      <c r="O1088" s="45" t="str">
        <f>+"Población en Control del Programa de Cáncer de Cuello Uterino por Rango Etario en la "&amp;I1088&amp;", "&amp;Agencia[[#This Row],[temporalidad]]</f>
        <v>Población en Control del Programa de Cáncer de Cuello Uterino por Rango Etario en la Región de Coquimbo, Periodo 2011-2018</v>
      </c>
      <c r="P1088" s="20"/>
      <c r="Q1088" s="11" t="str">
        <f t="shared" si="1797"/>
        <v>Gráfico de Evolución</v>
      </c>
      <c r="R1088" s="20" t="str">
        <f>Agencia[[#This Row],[territorio]]&amp;" cáncer cuello uterino cérvico útero  salud PAP Papanicolaou casos control población edad rango etáreo"</f>
        <v>Región de Coquimbo cáncer cuello uterino cérvico útero  salud PAP Papanicolaou casos control población edad rango etáreo</v>
      </c>
      <c r="S1088" s="39" t="str">
        <f>HYPERLINK("https://analytics.zoho.com/open-view/2395394000008463005?ZOHO_CRITERIA=%22Localiza%20CL%22.%22Codreg%22%20%3D%20"&amp;Agencia[[#This Row],[Filtro URL]])</f>
        <v>https://analytics.zoho.com/open-view/2395394000008463005?ZOHO_CRITERIA=%22Localiza%20CL%22.%22Codreg%22%20%3D%204</v>
      </c>
      <c r="T1088" s="68" t="str">
        <f>"100-R-"&amp;Agencia[[#This Row],[Filtro URL]]</f>
        <v>100-R-4</v>
      </c>
      <c r="U1088" s="50" t="str">
        <f t="shared" si="1732"/>
        <v>#1774B9</v>
      </c>
      <c r="V1088" s="118" t="str">
        <f>+Agencia[[#This Row],[idcoleccion]]&amp;"-"&amp;Agencia[[#This Row],[id]]</f>
        <v>990-1077</v>
      </c>
      <c r="W1088" s="118">
        <f>+VLOOKUP(Agencia[[#This Row],[Filtro URL]],Estructura!$X$4:$Y$500,2,0)</f>
        <v>99200004</v>
      </c>
      <c r="X1088" s="118" t="str">
        <f>+VLOOKUP(Agencia[[#This Row],[tema]],Estructura!$A$4:$C$500,3,0)</f>
        <v>T-999</v>
      </c>
      <c r="Y1088" s="118" t="str">
        <f>+VLOOKUP(Agencia[[#This Row],[contenido]],Estructura!$E$4:$G$500,3,0)</f>
        <v>C-1009</v>
      </c>
      <c r="Z1088" s="118" t="str">
        <f>+VLOOKUP(Agencia[[#This Row],[Filtro Integrado]],Estructura!$I$4:$K$500,3,0)</f>
        <v>FI-993</v>
      </c>
      <c r="AA1088" s="118" t="str">
        <f>+VLOOKUP(Agencia[[#This Row],[Muestra]],Estructura!$M$4:$O$500,3,0)</f>
        <v>M-1079</v>
      </c>
    </row>
    <row r="1089" spans="1:27" ht="57.6" x14ac:dyDescent="0.3">
      <c r="A1089" s="21" t="s">
        <v>1985</v>
      </c>
      <c r="B1089" s="24">
        <f t="shared" ref="B1089:D1089" si="1837">+B1088</f>
        <v>990</v>
      </c>
      <c r="C1089" s="25" t="str">
        <f t="shared" si="1837"/>
        <v>Agencia Información</v>
      </c>
      <c r="D1089" s="25" t="str">
        <f t="shared" si="1837"/>
        <v>Mujeres</v>
      </c>
      <c r="E1089" s="19">
        <v>5</v>
      </c>
      <c r="F1089" s="18" t="s">
        <v>1018</v>
      </c>
      <c r="G1089" s="18" t="s">
        <v>3783</v>
      </c>
      <c r="H1089" s="35" t="s">
        <v>16</v>
      </c>
      <c r="I1089" s="36" t="s">
        <v>372</v>
      </c>
      <c r="J1089" s="9" t="str">
        <f t="shared" ref="J1089:N1089" si="1838">+J1088</f>
        <v>Ninguno</v>
      </c>
      <c r="K1089" s="9" t="s">
        <v>2010</v>
      </c>
      <c r="L1089" s="38" t="str">
        <f t="shared" si="1838"/>
        <v>Periodo 2011-2018</v>
      </c>
      <c r="M1089" s="9" t="str">
        <f t="shared" si="1838"/>
        <v>Número de Casos</v>
      </c>
      <c r="N1089" s="9" t="str">
        <f t="shared" si="1838"/>
        <v>Departamento de Estadísticas e Información de la Salud (DEIS) - Ministerio de Salud</v>
      </c>
      <c r="O1089" s="45" t="str">
        <f>+"Población en Control del Programa de Cáncer de Cuello Uterino por Rango Etario en la "&amp;I1089&amp;", "&amp;Agencia[[#This Row],[temporalidad]]</f>
        <v>Población en Control del Programa de Cáncer de Cuello Uterino por Rango Etario en la Región de Valparaíso, Periodo 2011-2018</v>
      </c>
      <c r="P1089" s="20"/>
      <c r="Q1089" s="11" t="str">
        <f t="shared" si="1797"/>
        <v>Gráfico de Evolución</v>
      </c>
      <c r="R1089" s="20" t="str">
        <f>Agencia[[#This Row],[territorio]]&amp;" cáncer cuello uterino cérvico útero  salud PAP Papanicolaou casos control población edad rango etáreo"</f>
        <v>Región de Valparaíso cáncer cuello uterino cérvico útero  salud PAP Papanicolaou casos control población edad rango etáreo</v>
      </c>
      <c r="S1089" s="39" t="str">
        <f>HYPERLINK("https://analytics.zoho.com/open-view/2395394000008463005?ZOHO_CRITERIA=%22Localiza%20CL%22.%22Codreg%22%20%3D%20"&amp;Agencia[[#This Row],[Filtro URL]])</f>
        <v>https://analytics.zoho.com/open-view/2395394000008463005?ZOHO_CRITERIA=%22Localiza%20CL%22.%22Codreg%22%20%3D%205</v>
      </c>
      <c r="T1089" s="68" t="str">
        <f>"100-R-"&amp;Agencia[[#This Row],[Filtro URL]]</f>
        <v>100-R-5</v>
      </c>
      <c r="U1089" s="50" t="str">
        <f t="shared" si="1732"/>
        <v>#1774B9</v>
      </c>
      <c r="V1089" s="118" t="str">
        <f>+Agencia[[#This Row],[idcoleccion]]&amp;"-"&amp;Agencia[[#This Row],[id]]</f>
        <v>990-1078</v>
      </c>
      <c r="W1089" s="118">
        <f>+VLOOKUP(Agencia[[#This Row],[Filtro URL]],Estructura!$X$4:$Y$500,2,0)</f>
        <v>99200005</v>
      </c>
      <c r="X1089" s="118" t="str">
        <f>+VLOOKUP(Agencia[[#This Row],[tema]],Estructura!$A$4:$C$500,3,0)</f>
        <v>T-999</v>
      </c>
      <c r="Y1089" s="118" t="str">
        <f>+VLOOKUP(Agencia[[#This Row],[contenido]],Estructura!$E$4:$G$500,3,0)</f>
        <v>C-1009</v>
      </c>
      <c r="Z1089" s="118" t="str">
        <f>+VLOOKUP(Agencia[[#This Row],[Filtro Integrado]],Estructura!$I$4:$K$500,3,0)</f>
        <v>FI-993</v>
      </c>
      <c r="AA1089" s="118" t="str">
        <f>+VLOOKUP(Agencia[[#This Row],[Muestra]],Estructura!$M$4:$O$500,3,0)</f>
        <v>M-1079</v>
      </c>
    </row>
    <row r="1090" spans="1:27" ht="57.6" x14ac:dyDescent="0.3">
      <c r="A1090" s="21" t="s">
        <v>1986</v>
      </c>
      <c r="B1090" s="24">
        <f t="shared" ref="B1090:D1090" si="1839">+B1089</f>
        <v>990</v>
      </c>
      <c r="C1090" s="25" t="str">
        <f t="shared" si="1839"/>
        <v>Agencia Información</v>
      </c>
      <c r="D1090" s="25" t="str">
        <f t="shared" si="1839"/>
        <v>Mujeres</v>
      </c>
      <c r="E1090" s="19">
        <v>6</v>
      </c>
      <c r="F1090" s="18" t="s">
        <v>1018</v>
      </c>
      <c r="G1090" s="18" t="s">
        <v>3783</v>
      </c>
      <c r="H1090" s="35" t="s">
        <v>16</v>
      </c>
      <c r="I1090" s="36" t="s">
        <v>373</v>
      </c>
      <c r="J1090" s="9" t="str">
        <f t="shared" ref="J1090:N1090" si="1840">+J1089</f>
        <v>Ninguno</v>
      </c>
      <c r="K1090" s="9" t="s">
        <v>2010</v>
      </c>
      <c r="L1090" s="38" t="str">
        <f t="shared" si="1840"/>
        <v>Periodo 2011-2018</v>
      </c>
      <c r="M1090" s="9" t="str">
        <f t="shared" si="1840"/>
        <v>Número de Casos</v>
      </c>
      <c r="N1090" s="9" t="str">
        <f t="shared" si="1840"/>
        <v>Departamento de Estadísticas e Información de la Salud (DEIS) - Ministerio de Salud</v>
      </c>
      <c r="O1090" s="45" t="str">
        <f>+"Población en Control del Programa de Cáncer de Cuello Uterino por Rango Etario en la "&amp;I1090&amp;", "&amp;Agencia[[#This Row],[temporalidad]]</f>
        <v>Población en Control del Programa de Cáncer de Cuello Uterino por Rango Etario en la Región de O'Higgins, Periodo 2011-2018</v>
      </c>
      <c r="P1090" s="20"/>
      <c r="Q1090" s="11" t="str">
        <f t="shared" si="1797"/>
        <v>Gráfico de Evolución</v>
      </c>
      <c r="R1090" s="20" t="str">
        <f>Agencia[[#This Row],[territorio]]&amp;" cáncer cuello uterino cérvico útero  salud PAP Papanicolaou casos control población edad rango etáreo"</f>
        <v>Región de O'Higgins cáncer cuello uterino cérvico útero  salud PAP Papanicolaou casos control población edad rango etáreo</v>
      </c>
      <c r="S1090" s="39" t="str">
        <f>HYPERLINK("https://analytics.zoho.com/open-view/2395394000008463005?ZOHO_CRITERIA=%22Localiza%20CL%22.%22Codreg%22%20%3D%20"&amp;Agencia[[#This Row],[Filtro URL]])</f>
        <v>https://analytics.zoho.com/open-view/2395394000008463005?ZOHO_CRITERIA=%22Localiza%20CL%22.%22Codreg%22%20%3D%206</v>
      </c>
      <c r="T1090" s="68" t="str">
        <f>"100-R-"&amp;Agencia[[#This Row],[Filtro URL]]</f>
        <v>100-R-6</v>
      </c>
      <c r="U1090" s="50" t="str">
        <f t="shared" si="1732"/>
        <v>#1774B9</v>
      </c>
      <c r="V1090" s="118" t="str">
        <f>+Agencia[[#This Row],[idcoleccion]]&amp;"-"&amp;Agencia[[#This Row],[id]]</f>
        <v>990-1079</v>
      </c>
      <c r="W1090" s="118">
        <f>+VLOOKUP(Agencia[[#This Row],[Filtro URL]],Estructura!$X$4:$Y$500,2,0)</f>
        <v>99200006</v>
      </c>
      <c r="X1090" s="118" t="str">
        <f>+VLOOKUP(Agencia[[#This Row],[tema]],Estructura!$A$4:$C$500,3,0)</f>
        <v>T-999</v>
      </c>
      <c r="Y1090" s="118" t="str">
        <f>+VLOOKUP(Agencia[[#This Row],[contenido]],Estructura!$E$4:$G$500,3,0)</f>
        <v>C-1009</v>
      </c>
      <c r="Z1090" s="118" t="str">
        <f>+VLOOKUP(Agencia[[#This Row],[Filtro Integrado]],Estructura!$I$4:$K$500,3,0)</f>
        <v>FI-993</v>
      </c>
      <c r="AA1090" s="118" t="str">
        <f>+VLOOKUP(Agencia[[#This Row],[Muestra]],Estructura!$M$4:$O$500,3,0)</f>
        <v>M-1079</v>
      </c>
    </row>
    <row r="1091" spans="1:27" ht="57.6" x14ac:dyDescent="0.3">
      <c r="A1091" s="21" t="s">
        <v>1987</v>
      </c>
      <c r="B1091" s="24">
        <f t="shared" ref="B1091:D1091" si="1841">+B1090</f>
        <v>990</v>
      </c>
      <c r="C1091" s="25" t="str">
        <f t="shared" si="1841"/>
        <v>Agencia Información</v>
      </c>
      <c r="D1091" s="25" t="str">
        <f t="shared" si="1841"/>
        <v>Mujeres</v>
      </c>
      <c r="E1091" s="19">
        <v>7</v>
      </c>
      <c r="F1091" s="18" t="s">
        <v>1018</v>
      </c>
      <c r="G1091" s="18" t="s">
        <v>3783</v>
      </c>
      <c r="H1091" s="35" t="s">
        <v>16</v>
      </c>
      <c r="I1091" s="36" t="s">
        <v>374</v>
      </c>
      <c r="J1091" s="9" t="str">
        <f t="shared" ref="J1091:N1091" si="1842">+J1090</f>
        <v>Ninguno</v>
      </c>
      <c r="K1091" s="9" t="s">
        <v>2010</v>
      </c>
      <c r="L1091" s="38" t="str">
        <f t="shared" si="1842"/>
        <v>Periodo 2011-2018</v>
      </c>
      <c r="M1091" s="9" t="str">
        <f t="shared" si="1842"/>
        <v>Número de Casos</v>
      </c>
      <c r="N1091" s="9" t="str">
        <f t="shared" si="1842"/>
        <v>Departamento de Estadísticas e Información de la Salud (DEIS) - Ministerio de Salud</v>
      </c>
      <c r="O1091" s="45" t="str">
        <f>+"Población en Control del Programa de Cáncer de Cuello Uterino por Rango Etario en la "&amp;I1091&amp;", "&amp;Agencia[[#This Row],[temporalidad]]</f>
        <v>Población en Control del Programa de Cáncer de Cuello Uterino por Rango Etario en la Región de Maule, Periodo 2011-2018</v>
      </c>
      <c r="P1091" s="20"/>
      <c r="Q1091" s="11" t="str">
        <f t="shared" si="1797"/>
        <v>Gráfico de Evolución</v>
      </c>
      <c r="R1091" s="20" t="str">
        <f>Agencia[[#This Row],[territorio]]&amp;" cáncer cuello uterino cérvico útero  salud PAP Papanicolaou casos control población edad rango etáreo"</f>
        <v>Región de Maule cáncer cuello uterino cérvico útero  salud PAP Papanicolaou casos control población edad rango etáreo</v>
      </c>
      <c r="S1091" s="39" t="str">
        <f>HYPERLINK("https://analytics.zoho.com/open-view/2395394000008463005?ZOHO_CRITERIA=%22Localiza%20CL%22.%22Codreg%22%20%3D%20"&amp;Agencia[[#This Row],[Filtro URL]])</f>
        <v>https://analytics.zoho.com/open-view/2395394000008463005?ZOHO_CRITERIA=%22Localiza%20CL%22.%22Codreg%22%20%3D%207</v>
      </c>
      <c r="T1091" s="68" t="str">
        <f>"100-R-"&amp;Agencia[[#This Row],[Filtro URL]]</f>
        <v>100-R-7</v>
      </c>
      <c r="U1091" s="50" t="str">
        <f t="shared" si="1732"/>
        <v>#1774B9</v>
      </c>
      <c r="V1091" s="118" t="str">
        <f>+Agencia[[#This Row],[idcoleccion]]&amp;"-"&amp;Agencia[[#This Row],[id]]</f>
        <v>990-1080</v>
      </c>
      <c r="W1091" s="118">
        <f>+VLOOKUP(Agencia[[#This Row],[Filtro URL]],Estructura!$X$4:$Y$500,2,0)</f>
        <v>99200007</v>
      </c>
      <c r="X1091" s="118" t="str">
        <f>+VLOOKUP(Agencia[[#This Row],[tema]],Estructura!$A$4:$C$500,3,0)</f>
        <v>T-999</v>
      </c>
      <c r="Y1091" s="118" t="str">
        <f>+VLOOKUP(Agencia[[#This Row],[contenido]],Estructura!$E$4:$G$500,3,0)</f>
        <v>C-1009</v>
      </c>
      <c r="Z1091" s="118" t="str">
        <f>+VLOOKUP(Agencia[[#This Row],[Filtro Integrado]],Estructura!$I$4:$K$500,3,0)</f>
        <v>FI-993</v>
      </c>
      <c r="AA1091" s="118" t="str">
        <f>+VLOOKUP(Agencia[[#This Row],[Muestra]],Estructura!$M$4:$O$500,3,0)</f>
        <v>M-1079</v>
      </c>
    </row>
    <row r="1092" spans="1:27" ht="57.6" x14ac:dyDescent="0.3">
      <c r="A1092" s="21" t="s">
        <v>1988</v>
      </c>
      <c r="B1092" s="24">
        <f t="shared" ref="B1092:D1092" si="1843">+B1091</f>
        <v>990</v>
      </c>
      <c r="C1092" s="25" t="str">
        <f t="shared" si="1843"/>
        <v>Agencia Información</v>
      </c>
      <c r="D1092" s="25" t="str">
        <f t="shared" si="1843"/>
        <v>Mujeres</v>
      </c>
      <c r="E1092" s="19">
        <v>8</v>
      </c>
      <c r="F1092" s="18" t="s">
        <v>1018</v>
      </c>
      <c r="G1092" s="18" t="s">
        <v>3783</v>
      </c>
      <c r="H1092" s="35" t="s">
        <v>16</v>
      </c>
      <c r="I1092" s="36" t="s">
        <v>375</v>
      </c>
      <c r="J1092" s="9" t="str">
        <f t="shared" ref="J1092:N1092" si="1844">+J1091</f>
        <v>Ninguno</v>
      </c>
      <c r="K1092" s="9" t="s">
        <v>2010</v>
      </c>
      <c r="L1092" s="38" t="str">
        <f t="shared" si="1844"/>
        <v>Periodo 2011-2018</v>
      </c>
      <c r="M1092" s="9" t="str">
        <f t="shared" si="1844"/>
        <v>Número de Casos</v>
      </c>
      <c r="N1092" s="9" t="str">
        <f t="shared" si="1844"/>
        <v>Departamento de Estadísticas e Información de la Salud (DEIS) - Ministerio de Salud</v>
      </c>
      <c r="O1092" s="45" t="str">
        <f>+"Población en Control del Programa de Cáncer de Cuello Uterino por Rango Etario en la "&amp;I1092&amp;", "&amp;Agencia[[#This Row],[temporalidad]]</f>
        <v>Población en Control del Programa de Cáncer de Cuello Uterino por Rango Etario en la Región del Biobío, Periodo 2011-2018</v>
      </c>
      <c r="P1092" s="20"/>
      <c r="Q1092" s="11" t="str">
        <f t="shared" si="1797"/>
        <v>Gráfico de Evolución</v>
      </c>
      <c r="R1092" s="20" t="str">
        <f>Agencia[[#This Row],[territorio]]&amp;" cáncer cuello uterino cérvico útero  salud PAP Papanicolaou casos control población edad rango etáreo"</f>
        <v>Región del Biobío cáncer cuello uterino cérvico útero  salud PAP Papanicolaou casos control población edad rango etáreo</v>
      </c>
      <c r="S1092" s="39" t="str">
        <f>HYPERLINK("https://analytics.zoho.com/open-view/2395394000008463005?ZOHO_CRITERIA=%22Localiza%20CL%22.%22Codreg%22%20%3D%20"&amp;Agencia[[#This Row],[Filtro URL]])</f>
        <v>https://analytics.zoho.com/open-view/2395394000008463005?ZOHO_CRITERIA=%22Localiza%20CL%22.%22Codreg%22%20%3D%208</v>
      </c>
      <c r="T1092" s="68" t="str">
        <f>"100-R-"&amp;Agencia[[#This Row],[Filtro URL]]</f>
        <v>100-R-8</v>
      </c>
      <c r="U1092" s="50" t="str">
        <f t="shared" si="1732"/>
        <v>#1774B9</v>
      </c>
      <c r="V1092" s="118" t="str">
        <f>+Agencia[[#This Row],[idcoleccion]]&amp;"-"&amp;Agencia[[#This Row],[id]]</f>
        <v>990-1081</v>
      </c>
      <c r="W1092" s="118">
        <f>+VLOOKUP(Agencia[[#This Row],[Filtro URL]],Estructura!$X$4:$Y$500,2,0)</f>
        <v>99200008</v>
      </c>
      <c r="X1092" s="118" t="str">
        <f>+VLOOKUP(Agencia[[#This Row],[tema]],Estructura!$A$4:$C$500,3,0)</f>
        <v>T-999</v>
      </c>
      <c r="Y1092" s="118" t="str">
        <f>+VLOOKUP(Agencia[[#This Row],[contenido]],Estructura!$E$4:$G$500,3,0)</f>
        <v>C-1009</v>
      </c>
      <c r="Z1092" s="118" t="str">
        <f>+VLOOKUP(Agencia[[#This Row],[Filtro Integrado]],Estructura!$I$4:$K$500,3,0)</f>
        <v>FI-993</v>
      </c>
      <c r="AA1092" s="118" t="str">
        <f>+VLOOKUP(Agencia[[#This Row],[Muestra]],Estructura!$M$4:$O$500,3,0)</f>
        <v>M-1079</v>
      </c>
    </row>
    <row r="1093" spans="1:27" ht="57.6" x14ac:dyDescent="0.3">
      <c r="A1093" s="21" t="s">
        <v>1989</v>
      </c>
      <c r="B1093" s="24">
        <f t="shared" ref="B1093:D1093" si="1845">+B1092</f>
        <v>990</v>
      </c>
      <c r="C1093" s="25" t="str">
        <f t="shared" si="1845"/>
        <v>Agencia Información</v>
      </c>
      <c r="D1093" s="25" t="str">
        <f t="shared" si="1845"/>
        <v>Mujeres</v>
      </c>
      <c r="E1093" s="19">
        <v>9</v>
      </c>
      <c r="F1093" s="18" t="s">
        <v>1018</v>
      </c>
      <c r="G1093" s="18" t="s">
        <v>3783</v>
      </c>
      <c r="H1093" s="35" t="s">
        <v>16</v>
      </c>
      <c r="I1093" s="36" t="s">
        <v>376</v>
      </c>
      <c r="J1093" s="9" t="str">
        <f t="shared" ref="J1093:N1093" si="1846">+J1092</f>
        <v>Ninguno</v>
      </c>
      <c r="K1093" s="9" t="s">
        <v>2010</v>
      </c>
      <c r="L1093" s="38" t="str">
        <f t="shared" si="1846"/>
        <v>Periodo 2011-2018</v>
      </c>
      <c r="M1093" s="9" t="str">
        <f t="shared" si="1846"/>
        <v>Número de Casos</v>
      </c>
      <c r="N1093" s="9" t="str">
        <f t="shared" si="1846"/>
        <v>Departamento de Estadísticas e Información de la Salud (DEIS) - Ministerio de Salud</v>
      </c>
      <c r="O1093" s="45" t="str">
        <f>+"Población en Control del Programa de Cáncer de Cuello Uterino por Rango Etario en la "&amp;I1093&amp;", "&amp;Agencia[[#This Row],[temporalidad]]</f>
        <v>Población en Control del Programa de Cáncer de Cuello Uterino por Rango Etario en la Región de La Araucanía, Periodo 2011-2018</v>
      </c>
      <c r="P1093" s="20"/>
      <c r="Q1093" s="11" t="str">
        <f t="shared" si="1797"/>
        <v>Gráfico de Evolución</v>
      </c>
      <c r="R1093" s="20" t="str">
        <f>Agencia[[#This Row],[territorio]]&amp;" cáncer cuello uterino cérvico útero  salud PAP Papanicolaou casos control población edad rango etáreo"</f>
        <v>Región de La Araucanía cáncer cuello uterino cérvico útero  salud PAP Papanicolaou casos control población edad rango etáreo</v>
      </c>
      <c r="S1093" s="39" t="str">
        <f>HYPERLINK("https://analytics.zoho.com/open-view/2395394000008463005?ZOHO_CRITERIA=%22Localiza%20CL%22.%22Codreg%22%20%3D%20"&amp;Agencia[[#This Row],[Filtro URL]])</f>
        <v>https://analytics.zoho.com/open-view/2395394000008463005?ZOHO_CRITERIA=%22Localiza%20CL%22.%22Codreg%22%20%3D%209</v>
      </c>
      <c r="T1093" s="68" t="str">
        <f>"100-R-"&amp;Agencia[[#This Row],[Filtro URL]]</f>
        <v>100-R-9</v>
      </c>
      <c r="U1093" s="50" t="str">
        <f t="shared" si="1732"/>
        <v>#1774B9</v>
      </c>
      <c r="V1093" s="118" t="str">
        <f>+Agencia[[#This Row],[idcoleccion]]&amp;"-"&amp;Agencia[[#This Row],[id]]</f>
        <v>990-1082</v>
      </c>
      <c r="W1093" s="118">
        <f>+VLOOKUP(Agencia[[#This Row],[Filtro URL]],Estructura!$X$4:$Y$500,2,0)</f>
        <v>99200009</v>
      </c>
      <c r="X1093" s="118" t="str">
        <f>+VLOOKUP(Agencia[[#This Row],[tema]],Estructura!$A$4:$C$500,3,0)</f>
        <v>T-999</v>
      </c>
      <c r="Y1093" s="118" t="str">
        <f>+VLOOKUP(Agencia[[#This Row],[contenido]],Estructura!$E$4:$G$500,3,0)</f>
        <v>C-1009</v>
      </c>
      <c r="Z1093" s="118" t="str">
        <f>+VLOOKUP(Agencia[[#This Row],[Filtro Integrado]],Estructura!$I$4:$K$500,3,0)</f>
        <v>FI-993</v>
      </c>
      <c r="AA1093" s="118" t="str">
        <f>+VLOOKUP(Agencia[[#This Row],[Muestra]],Estructura!$M$4:$O$500,3,0)</f>
        <v>M-1079</v>
      </c>
    </row>
    <row r="1094" spans="1:27" ht="57.6" x14ac:dyDescent="0.3">
      <c r="A1094" s="21" t="s">
        <v>1990</v>
      </c>
      <c r="B1094" s="24">
        <f t="shared" ref="B1094:D1094" si="1847">+B1093</f>
        <v>990</v>
      </c>
      <c r="C1094" s="25" t="str">
        <f t="shared" si="1847"/>
        <v>Agencia Información</v>
      </c>
      <c r="D1094" s="25" t="str">
        <f t="shared" si="1847"/>
        <v>Mujeres</v>
      </c>
      <c r="E1094" s="19">
        <v>10</v>
      </c>
      <c r="F1094" s="18" t="s">
        <v>1018</v>
      </c>
      <c r="G1094" s="18" t="s">
        <v>3783</v>
      </c>
      <c r="H1094" s="35" t="s">
        <v>16</v>
      </c>
      <c r="I1094" s="36" t="s">
        <v>377</v>
      </c>
      <c r="J1094" s="9" t="str">
        <f t="shared" ref="J1094:N1094" si="1848">+J1093</f>
        <v>Ninguno</v>
      </c>
      <c r="K1094" s="9" t="s">
        <v>2010</v>
      </c>
      <c r="L1094" s="38" t="str">
        <f t="shared" si="1848"/>
        <v>Periodo 2011-2018</v>
      </c>
      <c r="M1094" s="9" t="str">
        <f t="shared" si="1848"/>
        <v>Número de Casos</v>
      </c>
      <c r="N1094" s="9" t="str">
        <f t="shared" si="1848"/>
        <v>Departamento de Estadísticas e Información de la Salud (DEIS) - Ministerio de Salud</v>
      </c>
      <c r="O1094" s="45" t="str">
        <f>+"Población en Control del Programa de Cáncer de Cuello Uterino por Rango Etario en la "&amp;I1094&amp;", "&amp;Agencia[[#This Row],[temporalidad]]</f>
        <v>Población en Control del Programa de Cáncer de Cuello Uterino por Rango Etario en la Región de Los Lagos, Periodo 2011-2018</v>
      </c>
      <c r="P1094" s="20"/>
      <c r="Q1094" s="11" t="str">
        <f t="shared" si="1797"/>
        <v>Gráfico de Evolución</v>
      </c>
      <c r="R1094" s="20" t="str">
        <f>Agencia[[#This Row],[territorio]]&amp;" cáncer cuello uterino cérvico útero  salud PAP Papanicolaou casos control población edad rango etáreo"</f>
        <v>Región de Los Lagos cáncer cuello uterino cérvico útero  salud PAP Papanicolaou casos control población edad rango etáreo</v>
      </c>
      <c r="S1094" s="39" t="str">
        <f>HYPERLINK("https://analytics.zoho.com/open-view/2395394000008463005?ZOHO_CRITERIA=%22Localiza%20CL%22.%22Codreg%22%20%3D%20"&amp;Agencia[[#This Row],[Filtro URL]])</f>
        <v>https://analytics.zoho.com/open-view/2395394000008463005?ZOHO_CRITERIA=%22Localiza%20CL%22.%22Codreg%22%20%3D%2010</v>
      </c>
      <c r="T1094" s="68" t="str">
        <f>"100-R-"&amp;Agencia[[#This Row],[Filtro URL]]</f>
        <v>100-R-10</v>
      </c>
      <c r="U1094" s="50" t="str">
        <f t="shared" si="1732"/>
        <v>#1774B9</v>
      </c>
      <c r="V1094" s="118" t="str">
        <f>+Agencia[[#This Row],[idcoleccion]]&amp;"-"&amp;Agencia[[#This Row],[id]]</f>
        <v>990-1083</v>
      </c>
      <c r="W1094" s="118">
        <f>+VLOOKUP(Agencia[[#This Row],[Filtro URL]],Estructura!$X$4:$Y$500,2,0)</f>
        <v>99200010</v>
      </c>
      <c r="X1094" s="118" t="str">
        <f>+VLOOKUP(Agencia[[#This Row],[tema]],Estructura!$A$4:$C$500,3,0)</f>
        <v>T-999</v>
      </c>
      <c r="Y1094" s="118" t="str">
        <f>+VLOOKUP(Agencia[[#This Row],[contenido]],Estructura!$E$4:$G$500,3,0)</f>
        <v>C-1009</v>
      </c>
      <c r="Z1094" s="118" t="str">
        <f>+VLOOKUP(Agencia[[#This Row],[Filtro Integrado]],Estructura!$I$4:$K$500,3,0)</f>
        <v>FI-993</v>
      </c>
      <c r="AA1094" s="118" t="str">
        <f>+VLOOKUP(Agencia[[#This Row],[Muestra]],Estructura!$M$4:$O$500,3,0)</f>
        <v>M-1079</v>
      </c>
    </row>
    <row r="1095" spans="1:27" ht="57.6" x14ac:dyDescent="0.3">
      <c r="A1095" s="21" t="s">
        <v>1991</v>
      </c>
      <c r="B1095" s="24">
        <f t="shared" ref="B1095:D1095" si="1849">+B1094</f>
        <v>990</v>
      </c>
      <c r="C1095" s="25" t="str">
        <f t="shared" si="1849"/>
        <v>Agencia Información</v>
      </c>
      <c r="D1095" s="25" t="str">
        <f t="shared" si="1849"/>
        <v>Mujeres</v>
      </c>
      <c r="E1095" s="19">
        <v>11</v>
      </c>
      <c r="F1095" s="18" t="s">
        <v>1018</v>
      </c>
      <c r="G1095" s="18" t="s">
        <v>3783</v>
      </c>
      <c r="H1095" s="35" t="s">
        <v>16</v>
      </c>
      <c r="I1095" s="36" t="s">
        <v>378</v>
      </c>
      <c r="J1095" s="9" t="str">
        <f t="shared" ref="J1095:N1095" si="1850">+J1094</f>
        <v>Ninguno</v>
      </c>
      <c r="K1095" s="9" t="s">
        <v>2010</v>
      </c>
      <c r="L1095" s="38" t="str">
        <f t="shared" si="1850"/>
        <v>Periodo 2011-2018</v>
      </c>
      <c r="M1095" s="9" t="str">
        <f t="shared" si="1850"/>
        <v>Número de Casos</v>
      </c>
      <c r="N1095" s="9" t="str">
        <f t="shared" si="1850"/>
        <v>Departamento de Estadísticas e Información de la Salud (DEIS) - Ministerio de Salud</v>
      </c>
      <c r="O1095" s="45" t="str">
        <f>+"Población en Control del Programa de Cáncer de Cuello Uterino por Rango Etario en la "&amp;I1095&amp;", "&amp;Agencia[[#This Row],[temporalidad]]</f>
        <v>Población en Control del Programa de Cáncer de Cuello Uterino por Rango Etario en la Región de Aysén, Periodo 2011-2018</v>
      </c>
      <c r="P1095" s="20"/>
      <c r="Q1095" s="11" t="str">
        <f t="shared" si="1797"/>
        <v>Gráfico de Evolución</v>
      </c>
      <c r="R1095" s="20" t="str">
        <f>Agencia[[#This Row],[territorio]]&amp;" cáncer cuello uterino cérvico útero  salud PAP Papanicolaou casos control población edad rango etáreo"</f>
        <v>Región de Aysén cáncer cuello uterino cérvico útero  salud PAP Papanicolaou casos control población edad rango etáreo</v>
      </c>
      <c r="S1095" s="39" t="str">
        <f>HYPERLINK("https://analytics.zoho.com/open-view/2395394000008463005?ZOHO_CRITERIA=%22Localiza%20CL%22.%22Codreg%22%20%3D%20"&amp;Agencia[[#This Row],[Filtro URL]])</f>
        <v>https://analytics.zoho.com/open-view/2395394000008463005?ZOHO_CRITERIA=%22Localiza%20CL%22.%22Codreg%22%20%3D%2011</v>
      </c>
      <c r="T1095" s="68" t="str">
        <f>"100-R-"&amp;Agencia[[#This Row],[Filtro URL]]</f>
        <v>100-R-11</v>
      </c>
      <c r="U1095" s="50" t="str">
        <f t="shared" si="1732"/>
        <v>#1774B9</v>
      </c>
      <c r="V1095" s="118" t="str">
        <f>+Agencia[[#This Row],[idcoleccion]]&amp;"-"&amp;Agencia[[#This Row],[id]]</f>
        <v>990-1084</v>
      </c>
      <c r="W1095" s="118">
        <f>+VLOOKUP(Agencia[[#This Row],[Filtro URL]],Estructura!$X$4:$Y$500,2,0)</f>
        <v>99200011</v>
      </c>
      <c r="X1095" s="118" t="str">
        <f>+VLOOKUP(Agencia[[#This Row],[tema]],Estructura!$A$4:$C$500,3,0)</f>
        <v>T-999</v>
      </c>
      <c r="Y1095" s="118" t="str">
        <f>+VLOOKUP(Agencia[[#This Row],[contenido]],Estructura!$E$4:$G$500,3,0)</f>
        <v>C-1009</v>
      </c>
      <c r="Z1095" s="118" t="str">
        <f>+VLOOKUP(Agencia[[#This Row],[Filtro Integrado]],Estructura!$I$4:$K$500,3,0)</f>
        <v>FI-993</v>
      </c>
      <c r="AA1095" s="118" t="str">
        <f>+VLOOKUP(Agencia[[#This Row],[Muestra]],Estructura!$M$4:$O$500,3,0)</f>
        <v>M-1079</v>
      </c>
    </row>
    <row r="1096" spans="1:27" ht="57.6" x14ac:dyDescent="0.3">
      <c r="A1096" s="21" t="s">
        <v>1992</v>
      </c>
      <c r="B1096" s="24">
        <f t="shared" ref="B1096:D1096" si="1851">+B1095</f>
        <v>990</v>
      </c>
      <c r="C1096" s="25" t="str">
        <f t="shared" si="1851"/>
        <v>Agencia Información</v>
      </c>
      <c r="D1096" s="25" t="str">
        <f t="shared" si="1851"/>
        <v>Mujeres</v>
      </c>
      <c r="E1096" s="19">
        <v>12</v>
      </c>
      <c r="F1096" s="18" t="s">
        <v>1018</v>
      </c>
      <c r="G1096" s="18" t="s">
        <v>3783</v>
      </c>
      <c r="H1096" s="35" t="s">
        <v>16</v>
      </c>
      <c r="I1096" s="36" t="s">
        <v>379</v>
      </c>
      <c r="J1096" s="9" t="str">
        <f t="shared" ref="J1096:N1096" si="1852">+J1095</f>
        <v>Ninguno</v>
      </c>
      <c r="K1096" s="9" t="s">
        <v>2010</v>
      </c>
      <c r="L1096" s="38" t="str">
        <f t="shared" si="1852"/>
        <v>Periodo 2011-2018</v>
      </c>
      <c r="M1096" s="9" t="str">
        <f t="shared" si="1852"/>
        <v>Número de Casos</v>
      </c>
      <c r="N1096" s="9" t="str">
        <f t="shared" si="1852"/>
        <v>Departamento de Estadísticas e Información de la Salud (DEIS) - Ministerio de Salud</v>
      </c>
      <c r="O1096" s="45" t="str">
        <f>+"Población en Control del Programa de Cáncer de Cuello Uterino por Rango Etario en la "&amp;I1096&amp;", "&amp;Agencia[[#This Row],[temporalidad]]</f>
        <v>Población en Control del Programa de Cáncer de Cuello Uterino por Rango Etario en la Región de Magallanes, Periodo 2011-2018</v>
      </c>
      <c r="P1096" s="20"/>
      <c r="Q1096" s="11" t="str">
        <f t="shared" si="1797"/>
        <v>Gráfico de Evolución</v>
      </c>
      <c r="R1096" s="20" t="str">
        <f>Agencia[[#This Row],[territorio]]&amp;" cáncer cuello uterino cérvico útero  salud PAP Papanicolaou casos control población edad rango etáreo"</f>
        <v>Región de Magallanes cáncer cuello uterino cérvico útero  salud PAP Papanicolaou casos control población edad rango etáreo</v>
      </c>
      <c r="S1096" s="39" t="str">
        <f>HYPERLINK("https://analytics.zoho.com/open-view/2395394000008463005?ZOHO_CRITERIA=%22Localiza%20CL%22.%22Codreg%22%20%3D%20"&amp;Agencia[[#This Row],[Filtro URL]])</f>
        <v>https://analytics.zoho.com/open-view/2395394000008463005?ZOHO_CRITERIA=%22Localiza%20CL%22.%22Codreg%22%20%3D%2012</v>
      </c>
      <c r="T1096" s="68" t="str">
        <f>"100-R-"&amp;Agencia[[#This Row],[Filtro URL]]</f>
        <v>100-R-12</v>
      </c>
      <c r="U1096" s="50" t="str">
        <f t="shared" si="1732"/>
        <v>#1774B9</v>
      </c>
      <c r="V1096" s="118" t="str">
        <f>+Agencia[[#This Row],[idcoleccion]]&amp;"-"&amp;Agencia[[#This Row],[id]]</f>
        <v>990-1085</v>
      </c>
      <c r="W1096" s="118">
        <f>+VLOOKUP(Agencia[[#This Row],[Filtro URL]],Estructura!$X$4:$Y$500,2,0)</f>
        <v>99200012</v>
      </c>
      <c r="X1096" s="118" t="str">
        <f>+VLOOKUP(Agencia[[#This Row],[tema]],Estructura!$A$4:$C$500,3,0)</f>
        <v>T-999</v>
      </c>
      <c r="Y1096" s="118" t="str">
        <f>+VLOOKUP(Agencia[[#This Row],[contenido]],Estructura!$E$4:$G$500,3,0)</f>
        <v>C-1009</v>
      </c>
      <c r="Z1096" s="118" t="str">
        <f>+VLOOKUP(Agencia[[#This Row],[Filtro Integrado]],Estructura!$I$4:$K$500,3,0)</f>
        <v>FI-993</v>
      </c>
      <c r="AA1096" s="118" t="str">
        <f>+VLOOKUP(Agencia[[#This Row],[Muestra]],Estructura!$M$4:$O$500,3,0)</f>
        <v>M-1079</v>
      </c>
    </row>
    <row r="1097" spans="1:27" ht="57.6" x14ac:dyDescent="0.3">
      <c r="A1097" s="21" t="s">
        <v>1993</v>
      </c>
      <c r="B1097" s="24">
        <f t="shared" ref="B1097:D1097" si="1853">+B1096</f>
        <v>990</v>
      </c>
      <c r="C1097" s="25" t="str">
        <f t="shared" si="1853"/>
        <v>Agencia Información</v>
      </c>
      <c r="D1097" s="25" t="str">
        <f t="shared" si="1853"/>
        <v>Mujeres</v>
      </c>
      <c r="E1097" s="19">
        <v>13</v>
      </c>
      <c r="F1097" s="18" t="s">
        <v>1018</v>
      </c>
      <c r="G1097" s="18" t="s">
        <v>3783</v>
      </c>
      <c r="H1097" s="35" t="s">
        <v>16</v>
      </c>
      <c r="I1097" s="36" t="s">
        <v>380</v>
      </c>
      <c r="J1097" s="9" t="str">
        <f t="shared" ref="J1097:N1097" si="1854">+J1096</f>
        <v>Ninguno</v>
      </c>
      <c r="K1097" s="9" t="s">
        <v>2010</v>
      </c>
      <c r="L1097" s="38" t="str">
        <f t="shared" si="1854"/>
        <v>Periodo 2011-2018</v>
      </c>
      <c r="M1097" s="9" t="str">
        <f t="shared" si="1854"/>
        <v>Número de Casos</v>
      </c>
      <c r="N1097" s="9" t="str">
        <f t="shared" si="1854"/>
        <v>Departamento de Estadísticas e Información de la Salud (DEIS) - Ministerio de Salud</v>
      </c>
      <c r="O1097" s="45" t="str">
        <f>+"Población en Control del Programa de Cáncer de Cuello Uterino por Rango Etario en la "&amp;I1097&amp;", "&amp;Agencia[[#This Row],[temporalidad]]</f>
        <v>Población en Control del Programa de Cáncer de Cuello Uterino por Rango Etario en la Región Metropolitana, Periodo 2011-2018</v>
      </c>
      <c r="P1097" s="20"/>
      <c r="Q1097" s="11" t="str">
        <f t="shared" si="1797"/>
        <v>Gráfico de Evolución</v>
      </c>
      <c r="R1097" s="20" t="str">
        <f>Agencia[[#This Row],[territorio]]&amp;" cáncer cuello uterino cérvico útero  salud PAP Papanicolaou casos control población edad rango etáreo"</f>
        <v>Región Metropolitana cáncer cuello uterino cérvico útero  salud PAP Papanicolaou casos control población edad rango etáreo</v>
      </c>
      <c r="S1097" s="39" t="str">
        <f>HYPERLINK("https://analytics.zoho.com/open-view/2395394000008463005?ZOHO_CRITERIA=%22Localiza%20CL%22.%22Codreg%22%20%3D%20"&amp;Agencia[[#This Row],[Filtro URL]])</f>
        <v>https://analytics.zoho.com/open-view/2395394000008463005?ZOHO_CRITERIA=%22Localiza%20CL%22.%22Codreg%22%20%3D%2013</v>
      </c>
      <c r="T1097" s="68" t="str">
        <f>"200-R-"&amp;Agencia[[#This Row],[Filtro URL]]</f>
        <v>200-R-13</v>
      </c>
      <c r="U1097" s="50" t="str">
        <f t="shared" si="1732"/>
        <v>#1774B9</v>
      </c>
      <c r="V1097" s="118" t="str">
        <f>+Agencia[[#This Row],[idcoleccion]]&amp;"-"&amp;Agencia[[#This Row],[id]]</f>
        <v>990-1086</v>
      </c>
      <c r="W1097" s="118">
        <f>+VLOOKUP(Agencia[[#This Row],[Filtro URL]],Estructura!$X$4:$Y$500,2,0)</f>
        <v>99200013</v>
      </c>
      <c r="X1097" s="118" t="str">
        <f>+VLOOKUP(Agencia[[#This Row],[tema]],Estructura!$A$4:$C$500,3,0)</f>
        <v>T-999</v>
      </c>
      <c r="Y1097" s="118" t="str">
        <f>+VLOOKUP(Agencia[[#This Row],[contenido]],Estructura!$E$4:$G$500,3,0)</f>
        <v>C-1009</v>
      </c>
      <c r="Z1097" s="118" t="str">
        <f>+VLOOKUP(Agencia[[#This Row],[Filtro Integrado]],Estructura!$I$4:$K$500,3,0)</f>
        <v>FI-993</v>
      </c>
      <c r="AA1097" s="118" t="str">
        <f>+VLOOKUP(Agencia[[#This Row],[Muestra]],Estructura!$M$4:$O$500,3,0)</f>
        <v>M-1079</v>
      </c>
    </row>
    <row r="1098" spans="1:27" ht="57.6" x14ac:dyDescent="0.3">
      <c r="A1098" s="21" t="s">
        <v>1994</v>
      </c>
      <c r="B1098" s="24">
        <f t="shared" ref="B1098:D1098" si="1855">+B1097</f>
        <v>990</v>
      </c>
      <c r="C1098" s="25" t="str">
        <f t="shared" si="1855"/>
        <v>Agencia Información</v>
      </c>
      <c r="D1098" s="25" t="str">
        <f t="shared" si="1855"/>
        <v>Mujeres</v>
      </c>
      <c r="E1098" s="19">
        <v>14</v>
      </c>
      <c r="F1098" s="18" t="s">
        <v>1018</v>
      </c>
      <c r="G1098" s="18" t="s">
        <v>3783</v>
      </c>
      <c r="H1098" s="35" t="s">
        <v>16</v>
      </c>
      <c r="I1098" s="36" t="s">
        <v>381</v>
      </c>
      <c r="J1098" s="9" t="str">
        <f t="shared" ref="J1098:N1098" si="1856">+J1097</f>
        <v>Ninguno</v>
      </c>
      <c r="K1098" s="9" t="s">
        <v>2010</v>
      </c>
      <c r="L1098" s="38" t="str">
        <f t="shared" si="1856"/>
        <v>Periodo 2011-2018</v>
      </c>
      <c r="M1098" s="9" t="str">
        <f t="shared" si="1856"/>
        <v>Número de Casos</v>
      </c>
      <c r="N1098" s="9" t="str">
        <f t="shared" si="1856"/>
        <v>Departamento de Estadísticas e Información de la Salud (DEIS) - Ministerio de Salud</v>
      </c>
      <c r="O1098" s="45" t="str">
        <f>+"Población en Control del Programa de Cáncer de Cuello Uterino por Rango Etario en la "&amp;I1098&amp;", "&amp;Agencia[[#This Row],[temporalidad]]</f>
        <v>Población en Control del Programa de Cáncer de Cuello Uterino por Rango Etario en la Región de Los Ríos, Periodo 2011-2018</v>
      </c>
      <c r="P1098" s="20"/>
      <c r="Q1098" s="11" t="str">
        <f t="shared" si="1797"/>
        <v>Gráfico de Evolución</v>
      </c>
      <c r="R1098" s="20" t="str">
        <f>Agencia[[#This Row],[territorio]]&amp;" cáncer cuello uterino cérvico útero  salud PAP Papanicolaou casos control población edad rango etáreo"</f>
        <v>Región de Los Ríos cáncer cuello uterino cérvico útero  salud PAP Papanicolaou casos control población edad rango etáreo</v>
      </c>
      <c r="S1098" s="39" t="str">
        <f>HYPERLINK("https://analytics.zoho.com/open-view/2395394000008463005?ZOHO_CRITERIA=%22Localiza%20CL%22.%22Codreg%22%20%3D%20"&amp;Agencia[[#This Row],[Filtro URL]])</f>
        <v>https://analytics.zoho.com/open-view/2395394000008463005?ZOHO_CRITERIA=%22Localiza%20CL%22.%22Codreg%22%20%3D%2014</v>
      </c>
      <c r="T1098" s="68" t="str">
        <f>"100-R-"&amp;Agencia[[#This Row],[Filtro URL]]</f>
        <v>100-R-14</v>
      </c>
      <c r="U1098" s="50" t="str">
        <f t="shared" si="1732"/>
        <v>#1774B9</v>
      </c>
      <c r="V1098" s="118" t="str">
        <f>+Agencia[[#This Row],[idcoleccion]]&amp;"-"&amp;Agencia[[#This Row],[id]]</f>
        <v>990-1087</v>
      </c>
      <c r="W1098" s="118">
        <f>+VLOOKUP(Agencia[[#This Row],[Filtro URL]],Estructura!$X$4:$Y$500,2,0)</f>
        <v>99200014</v>
      </c>
      <c r="X1098" s="118" t="str">
        <f>+VLOOKUP(Agencia[[#This Row],[tema]],Estructura!$A$4:$C$500,3,0)</f>
        <v>T-999</v>
      </c>
      <c r="Y1098" s="118" t="str">
        <f>+VLOOKUP(Agencia[[#This Row],[contenido]],Estructura!$E$4:$G$500,3,0)</f>
        <v>C-1009</v>
      </c>
      <c r="Z1098" s="118" t="str">
        <f>+VLOOKUP(Agencia[[#This Row],[Filtro Integrado]],Estructura!$I$4:$K$500,3,0)</f>
        <v>FI-993</v>
      </c>
      <c r="AA1098" s="118" t="str">
        <f>+VLOOKUP(Agencia[[#This Row],[Muestra]],Estructura!$M$4:$O$500,3,0)</f>
        <v>M-1079</v>
      </c>
    </row>
    <row r="1099" spans="1:27" ht="57.6" x14ac:dyDescent="0.3">
      <c r="A1099" s="21" t="s">
        <v>1995</v>
      </c>
      <c r="B1099" s="24">
        <f t="shared" ref="B1099:D1099" si="1857">+B1098</f>
        <v>990</v>
      </c>
      <c r="C1099" s="25" t="str">
        <f t="shared" si="1857"/>
        <v>Agencia Información</v>
      </c>
      <c r="D1099" s="25" t="str">
        <f t="shared" si="1857"/>
        <v>Mujeres</v>
      </c>
      <c r="E1099" s="19">
        <v>15</v>
      </c>
      <c r="F1099" s="18" t="s">
        <v>1018</v>
      </c>
      <c r="G1099" s="18" t="s">
        <v>3783</v>
      </c>
      <c r="H1099" s="35" t="s">
        <v>16</v>
      </c>
      <c r="I1099" s="36" t="s">
        <v>382</v>
      </c>
      <c r="J1099" s="9" t="str">
        <f t="shared" ref="J1099:N1099" si="1858">+J1098</f>
        <v>Ninguno</v>
      </c>
      <c r="K1099" s="9" t="s">
        <v>2010</v>
      </c>
      <c r="L1099" s="38" t="str">
        <f t="shared" si="1858"/>
        <v>Periodo 2011-2018</v>
      </c>
      <c r="M1099" s="9" t="str">
        <f t="shared" si="1858"/>
        <v>Número de Casos</v>
      </c>
      <c r="N1099" s="9" t="str">
        <f t="shared" si="1858"/>
        <v>Departamento de Estadísticas e Información de la Salud (DEIS) - Ministerio de Salud</v>
      </c>
      <c r="O1099" s="45" t="str">
        <f>+"Población en Control del Programa de Cáncer de Cuello Uterino por Rango Etario en la "&amp;I1099&amp;", "&amp;Agencia[[#This Row],[temporalidad]]</f>
        <v>Población en Control del Programa de Cáncer de Cuello Uterino por Rango Etario en la Región de Arica y Parinacota, Periodo 2011-2018</v>
      </c>
      <c r="P1099" s="20"/>
      <c r="Q1099" s="11" t="str">
        <f t="shared" si="1797"/>
        <v>Gráfico de Evolución</v>
      </c>
      <c r="R1099" s="20" t="str">
        <f>Agencia[[#This Row],[territorio]]&amp;" cáncer cuello uterino cérvico útero  salud PAP Papanicolaou casos control población edad rango etáreo"</f>
        <v>Región de Arica y Parinacota cáncer cuello uterino cérvico útero  salud PAP Papanicolaou casos control población edad rango etáreo</v>
      </c>
      <c r="S1099" s="39" t="str">
        <f>HYPERLINK("https://analytics.zoho.com/open-view/2395394000008463005?ZOHO_CRITERIA=%22Localiza%20CL%22.%22Codreg%22%20%3D%20"&amp;Agencia[[#This Row],[Filtro URL]])</f>
        <v>https://analytics.zoho.com/open-view/2395394000008463005?ZOHO_CRITERIA=%22Localiza%20CL%22.%22Codreg%22%20%3D%2015</v>
      </c>
      <c r="T1099" s="68" t="str">
        <f>"100-R-"&amp;Agencia[[#This Row],[Filtro URL]]</f>
        <v>100-R-15</v>
      </c>
      <c r="U1099" s="50" t="str">
        <f t="shared" si="1732"/>
        <v>#1774B9</v>
      </c>
      <c r="V1099" s="118" t="str">
        <f>+Agencia[[#This Row],[idcoleccion]]&amp;"-"&amp;Agencia[[#This Row],[id]]</f>
        <v>990-1088</v>
      </c>
      <c r="W1099" s="118">
        <f>+VLOOKUP(Agencia[[#This Row],[Filtro URL]],Estructura!$X$4:$Y$500,2,0)</f>
        <v>99200015</v>
      </c>
      <c r="X1099" s="118" t="str">
        <f>+VLOOKUP(Agencia[[#This Row],[tema]],Estructura!$A$4:$C$500,3,0)</f>
        <v>T-999</v>
      </c>
      <c r="Y1099" s="118" t="str">
        <f>+VLOOKUP(Agencia[[#This Row],[contenido]],Estructura!$E$4:$G$500,3,0)</f>
        <v>C-1009</v>
      </c>
      <c r="Z1099" s="118" t="str">
        <f>+VLOOKUP(Agencia[[#This Row],[Filtro Integrado]],Estructura!$I$4:$K$500,3,0)</f>
        <v>FI-993</v>
      </c>
      <c r="AA1099" s="118" t="str">
        <f>+VLOOKUP(Agencia[[#This Row],[Muestra]],Estructura!$M$4:$O$500,3,0)</f>
        <v>M-1079</v>
      </c>
    </row>
    <row r="1100" spans="1:27" ht="57.6" x14ac:dyDescent="0.3">
      <c r="A1100" s="21" t="s">
        <v>1996</v>
      </c>
      <c r="B1100" s="24">
        <f t="shared" ref="B1100:D1100" si="1859">+B1099</f>
        <v>990</v>
      </c>
      <c r="C1100" s="25" t="str">
        <f t="shared" si="1859"/>
        <v>Agencia Información</v>
      </c>
      <c r="D1100" s="25" t="str">
        <f t="shared" si="1859"/>
        <v>Mujeres</v>
      </c>
      <c r="E1100" s="19">
        <v>16</v>
      </c>
      <c r="F1100" s="18" t="s">
        <v>1018</v>
      </c>
      <c r="G1100" s="18" t="s">
        <v>3783</v>
      </c>
      <c r="H1100" s="35" t="s">
        <v>16</v>
      </c>
      <c r="I1100" s="36" t="s">
        <v>383</v>
      </c>
      <c r="J1100" s="9" t="str">
        <f t="shared" ref="J1100:N1100" si="1860">+J1099</f>
        <v>Ninguno</v>
      </c>
      <c r="K1100" s="9" t="s">
        <v>2010</v>
      </c>
      <c r="L1100" s="38" t="str">
        <f t="shared" si="1860"/>
        <v>Periodo 2011-2018</v>
      </c>
      <c r="M1100" s="9" t="str">
        <f t="shared" si="1860"/>
        <v>Número de Casos</v>
      </c>
      <c r="N1100" s="9" t="str">
        <f t="shared" si="1860"/>
        <v>Departamento de Estadísticas e Información de la Salud (DEIS) - Ministerio de Salud</v>
      </c>
      <c r="O1100" s="45" t="str">
        <f>+"Población en Control del Programa de Cáncer de Cuello Uterino por Rango Etario en la "&amp;I1100&amp;", "&amp;Agencia[[#This Row],[temporalidad]]</f>
        <v>Población en Control del Programa de Cáncer de Cuello Uterino por Rango Etario en la Región de Ñuble, Periodo 2011-2018</v>
      </c>
      <c r="P1100" s="20"/>
      <c r="Q1100" s="11" t="str">
        <f t="shared" si="1797"/>
        <v>Gráfico de Evolución</v>
      </c>
      <c r="R1100" s="20" t="str">
        <f>Agencia[[#This Row],[territorio]]&amp;" cáncer cuello uterino cérvico útero  salud PAP Papanicolaou casos control población edad rango etáreo"</f>
        <v>Región de Ñuble cáncer cuello uterino cérvico útero  salud PAP Papanicolaou casos control población edad rango etáreo</v>
      </c>
      <c r="S1100" s="39" t="str">
        <f>HYPERLINK("https://analytics.zoho.com/open-view/2395394000008463005?ZOHO_CRITERIA=%22Localiza%20CL%22.%22Codreg%22%20%3D%20"&amp;Agencia[[#This Row],[Filtro URL]])</f>
        <v>https://analytics.zoho.com/open-view/2395394000008463005?ZOHO_CRITERIA=%22Localiza%20CL%22.%22Codreg%22%20%3D%2016</v>
      </c>
      <c r="T1100" s="68" t="str">
        <f>"100-R-"&amp;Agencia[[#This Row],[Filtro URL]]</f>
        <v>100-R-16</v>
      </c>
      <c r="U1100" s="50" t="str">
        <f t="shared" ref="U1100" si="1861">+U1099</f>
        <v>#1774B9</v>
      </c>
      <c r="V1100" s="118" t="str">
        <f>+Agencia[[#This Row],[idcoleccion]]&amp;"-"&amp;Agencia[[#This Row],[id]]</f>
        <v>990-1089</v>
      </c>
      <c r="W1100" s="118">
        <f>+VLOOKUP(Agencia[[#This Row],[Filtro URL]],Estructura!$X$4:$Y$500,2,0)</f>
        <v>99200016</v>
      </c>
      <c r="X1100" s="118" t="str">
        <f>+VLOOKUP(Agencia[[#This Row],[tema]],Estructura!$A$4:$C$500,3,0)</f>
        <v>T-999</v>
      </c>
      <c r="Y1100" s="118" t="str">
        <f>+VLOOKUP(Agencia[[#This Row],[contenido]],Estructura!$E$4:$G$500,3,0)</f>
        <v>C-1009</v>
      </c>
      <c r="Z1100" s="118" t="str">
        <f>+VLOOKUP(Agencia[[#This Row],[Filtro Integrado]],Estructura!$I$4:$K$500,3,0)</f>
        <v>FI-993</v>
      </c>
      <c r="AA1100" s="118" t="str">
        <f>+VLOOKUP(Agencia[[#This Row],[Muestra]],Estructura!$M$4:$O$500,3,0)</f>
        <v>M-1079</v>
      </c>
    </row>
    <row r="1101" spans="1:27" ht="48" x14ac:dyDescent="0.3">
      <c r="A1101" s="21" t="s">
        <v>1997</v>
      </c>
      <c r="B1101" s="24">
        <f t="shared" ref="B1101:C1101" si="1862">+B1100</f>
        <v>990</v>
      </c>
      <c r="C1101" s="25" t="str">
        <f t="shared" si="1862"/>
        <v>Agencia Información</v>
      </c>
      <c r="D1101" s="25" t="s">
        <v>462</v>
      </c>
      <c r="E1101" s="14">
        <v>0</v>
      </c>
      <c r="F1101" s="10" t="s">
        <v>1018</v>
      </c>
      <c r="G1101" s="18" t="s">
        <v>3783</v>
      </c>
      <c r="H1101" s="33" t="s">
        <v>20</v>
      </c>
      <c r="I1101" s="34" t="s">
        <v>15</v>
      </c>
      <c r="J1101" s="9" t="s">
        <v>404</v>
      </c>
      <c r="K1101" s="9" t="s">
        <v>1724</v>
      </c>
      <c r="L1101" s="38" t="s">
        <v>1016</v>
      </c>
      <c r="M1101" s="9" t="s">
        <v>592</v>
      </c>
      <c r="N1101" s="9" t="s">
        <v>910</v>
      </c>
      <c r="O1101" s="45" t="str">
        <f>+"Población en Control del Programa de Cáncer de Cuello Uterino por Región en "&amp;I1101&amp;", "&amp;Agencia[[#This Row],[temporalidad]]</f>
        <v>Población en Control del Programa de Cáncer de Cuello Uterino por Región en Chile, Periodo 2011-2018</v>
      </c>
      <c r="P1101" s="20"/>
      <c r="Q1101" s="11" t="s">
        <v>821</v>
      </c>
      <c r="R1101" s="20" t="str">
        <f>Agencia[[#This Row],[territorio]]&amp;" cáncer cuello uterino cérvico útero salud PAP papanicolaou casos control población"</f>
        <v>Chile cáncer cuello uterino cérvico útero salud PAP papanicolaou casos control población</v>
      </c>
      <c r="S1101" s="39" t="s">
        <v>2011</v>
      </c>
      <c r="T1101" s="68" t="s">
        <v>855</v>
      </c>
      <c r="U1101" s="50" t="str">
        <f t="shared" si="1732"/>
        <v>#1774B9</v>
      </c>
      <c r="V1101" s="118" t="str">
        <f>+Agencia[[#This Row],[idcoleccion]]&amp;"-"&amp;Agencia[[#This Row],[id]]</f>
        <v>990-1090</v>
      </c>
      <c r="W1101" s="118">
        <f>+VLOOKUP(Agencia[[#This Row],[Filtro URL]],Estructura!$X$4:$Y$500,2,0)</f>
        <v>99100000</v>
      </c>
      <c r="X1101" s="118" t="str">
        <f>+VLOOKUP(Agencia[[#This Row],[tema]],Estructura!$A$4:$C$500,3,0)</f>
        <v>T-999</v>
      </c>
      <c r="Y1101" s="118" t="str">
        <f>+VLOOKUP(Agencia[[#This Row],[contenido]],Estructura!$E$4:$G$500,3,0)</f>
        <v>C-1009</v>
      </c>
      <c r="Z1101" s="118" t="str">
        <f>+VLOOKUP(Agencia[[#This Row],[Filtro Integrado]],Estructura!$I$4:$K$500,3,0)</f>
        <v>FI-993</v>
      </c>
      <c r="AA1101" s="118" t="str">
        <f>+VLOOKUP(Agencia[[#This Row],[Muestra]],Estructura!$M$4:$O$500,3,0)</f>
        <v>M-1080</v>
      </c>
    </row>
    <row r="1102" spans="1:27" ht="57.6" x14ac:dyDescent="0.3">
      <c r="A1102" s="21" t="s">
        <v>1998</v>
      </c>
      <c r="B1102" s="24">
        <f t="shared" ref="B1102:D1102" si="1863">+B1101</f>
        <v>990</v>
      </c>
      <c r="C1102" s="25" t="str">
        <f t="shared" si="1863"/>
        <v>Agencia Información</v>
      </c>
      <c r="D1102" s="25" t="str">
        <f t="shared" si="1863"/>
        <v>Mujeres</v>
      </c>
      <c r="E1102" s="19">
        <v>1</v>
      </c>
      <c r="F1102" s="18" t="s">
        <v>1018</v>
      </c>
      <c r="G1102" s="18" t="s">
        <v>3783</v>
      </c>
      <c r="H1102" s="35" t="s">
        <v>16</v>
      </c>
      <c r="I1102" s="36" t="s">
        <v>368</v>
      </c>
      <c r="J1102" s="9" t="s">
        <v>404</v>
      </c>
      <c r="K1102" s="9" t="s">
        <v>1724</v>
      </c>
      <c r="L1102" s="38" t="str">
        <f>+L1101</f>
        <v>Periodo 2011-2018</v>
      </c>
      <c r="M1102" s="9" t="str">
        <f t="shared" ref="M1102:N1102" si="1864">+M1101</f>
        <v>Número de Casos</v>
      </c>
      <c r="N1102" s="9" t="str">
        <f t="shared" si="1864"/>
        <v>Departamento de Estadísticas e Información de la Salud (DEIS) - Ministerio de Salud</v>
      </c>
      <c r="O1102" s="45" t="str">
        <f>+"Población en Control del Programa de Cáncer de Cuello Uterino en la "&amp;I1102&amp;", "&amp;Agencia[[#This Row],[temporalidad]]</f>
        <v>Población en Control del Programa de Cáncer de Cuello Uterino en la Región de Tarapacá, Periodo 2011-2018</v>
      </c>
      <c r="P1102" s="20"/>
      <c r="Q1102" s="11" t="str">
        <f t="shared" si="1797"/>
        <v>Gráfico de Evolución</v>
      </c>
      <c r="R1102" s="20" t="str">
        <f>Agencia[[#This Row],[territorio]]&amp;" cáncer cuello uterino cérvico útero salud PAP papanicolaou casos control población"</f>
        <v>Región de Tarapacá cáncer cuello uterino cérvico útero salud PAP papanicolaou casos control población</v>
      </c>
      <c r="S1102" s="39" t="str">
        <f>HYPERLINK("https://analytics.zoho.com/open-view/2395394000008099329?ZOHO_CRITERIA=%22Localiza%20CL%22.%22Codreg%22%20%3D%20"&amp;Agencia[[#This Row],[Filtro URL]])</f>
        <v>https://analytics.zoho.com/open-view/2395394000008099329?ZOHO_CRITERIA=%22Localiza%20CL%22.%22Codreg%22%20%3D%201</v>
      </c>
      <c r="T1102" s="68" t="str">
        <f>"100-R-"&amp;Agencia[[#This Row],[Filtro URL]]</f>
        <v>100-R-1</v>
      </c>
      <c r="U1102" s="50" t="str">
        <f t="shared" ref="U1102:U1151" si="1865">+U1101</f>
        <v>#1774B9</v>
      </c>
      <c r="V1102" s="118" t="str">
        <f>+Agencia[[#This Row],[idcoleccion]]&amp;"-"&amp;Agencia[[#This Row],[id]]</f>
        <v>990-1091</v>
      </c>
      <c r="W1102" s="118">
        <f>+VLOOKUP(Agencia[[#This Row],[Filtro URL]],Estructura!$X$4:$Y$500,2,0)</f>
        <v>99200001</v>
      </c>
      <c r="X1102" s="118" t="str">
        <f>+VLOOKUP(Agencia[[#This Row],[tema]],Estructura!$A$4:$C$500,3,0)</f>
        <v>T-999</v>
      </c>
      <c r="Y1102" s="118" t="str">
        <f>+VLOOKUP(Agencia[[#This Row],[contenido]],Estructura!$E$4:$G$500,3,0)</f>
        <v>C-1009</v>
      </c>
      <c r="Z1102" s="118" t="str">
        <f>+VLOOKUP(Agencia[[#This Row],[Filtro Integrado]],Estructura!$I$4:$K$500,3,0)</f>
        <v>FI-993</v>
      </c>
      <c r="AA1102" s="118" t="str">
        <f>+VLOOKUP(Agencia[[#This Row],[Muestra]],Estructura!$M$4:$O$500,3,0)</f>
        <v>M-1080</v>
      </c>
    </row>
    <row r="1103" spans="1:27" ht="57.6" x14ac:dyDescent="0.3">
      <c r="A1103" s="21" t="s">
        <v>1999</v>
      </c>
      <c r="B1103" s="24">
        <f t="shared" ref="B1103:D1103" si="1866">+B1102</f>
        <v>990</v>
      </c>
      <c r="C1103" s="25" t="str">
        <f t="shared" si="1866"/>
        <v>Agencia Información</v>
      </c>
      <c r="D1103" s="25" t="str">
        <f t="shared" si="1866"/>
        <v>Mujeres</v>
      </c>
      <c r="E1103" s="19">
        <v>2</v>
      </c>
      <c r="F1103" s="18" t="s">
        <v>1018</v>
      </c>
      <c r="G1103" s="18" t="s">
        <v>3783</v>
      </c>
      <c r="H1103" s="35" t="s">
        <v>16</v>
      </c>
      <c r="I1103" s="36" t="s">
        <v>369</v>
      </c>
      <c r="J1103" s="9" t="str">
        <f t="shared" ref="J1103:N1103" si="1867">+J1102</f>
        <v>Ninguno</v>
      </c>
      <c r="K1103" s="9" t="s">
        <v>1724</v>
      </c>
      <c r="L1103" s="38" t="str">
        <f t="shared" si="1867"/>
        <v>Periodo 2011-2018</v>
      </c>
      <c r="M1103" s="9" t="str">
        <f t="shared" si="1867"/>
        <v>Número de Casos</v>
      </c>
      <c r="N1103" s="9" t="str">
        <f t="shared" si="1867"/>
        <v>Departamento de Estadísticas e Información de la Salud (DEIS) - Ministerio de Salud</v>
      </c>
      <c r="O1103" s="45" t="str">
        <f>+"Población en Control del Programa de Cáncer de Cuello Uterino en la "&amp;I1103&amp;", "&amp;Agencia[[#This Row],[temporalidad]]</f>
        <v>Población en Control del Programa de Cáncer de Cuello Uterino en la Región de Antofagasta, Periodo 2011-2018</v>
      </c>
      <c r="P1103" s="20"/>
      <c r="Q1103" s="11" t="str">
        <f t="shared" si="1797"/>
        <v>Gráfico de Evolución</v>
      </c>
      <c r="R1103" s="20" t="str">
        <f>Agencia[[#This Row],[territorio]]&amp;" cáncer cuello uterino cérvico útero salud PAP papanicolaou casos control población"</f>
        <v>Región de Antofagasta cáncer cuello uterino cérvico útero salud PAP papanicolaou casos control población</v>
      </c>
      <c r="S1103" s="39" t="str">
        <f>HYPERLINK("https://analytics.zoho.com/open-view/2395394000008099329?ZOHO_CRITERIA=%22Localiza%20CL%22.%22Codreg%22%20%3D%20"&amp;Agencia[[#This Row],[Filtro URL]])</f>
        <v>https://analytics.zoho.com/open-view/2395394000008099329?ZOHO_CRITERIA=%22Localiza%20CL%22.%22Codreg%22%20%3D%202</v>
      </c>
      <c r="T1103" s="68" t="str">
        <f>"100-R-"&amp;Agencia[[#This Row],[Filtro URL]]</f>
        <v>100-R-2</v>
      </c>
      <c r="U1103" s="50" t="str">
        <f t="shared" si="1865"/>
        <v>#1774B9</v>
      </c>
      <c r="V1103" s="118" t="str">
        <f>+Agencia[[#This Row],[idcoleccion]]&amp;"-"&amp;Agencia[[#This Row],[id]]</f>
        <v>990-1092</v>
      </c>
      <c r="W1103" s="118">
        <f>+VLOOKUP(Agencia[[#This Row],[Filtro URL]],Estructura!$X$4:$Y$500,2,0)</f>
        <v>99200002</v>
      </c>
      <c r="X1103" s="118" t="str">
        <f>+VLOOKUP(Agencia[[#This Row],[tema]],Estructura!$A$4:$C$500,3,0)</f>
        <v>T-999</v>
      </c>
      <c r="Y1103" s="118" t="str">
        <f>+VLOOKUP(Agencia[[#This Row],[contenido]],Estructura!$E$4:$G$500,3,0)</f>
        <v>C-1009</v>
      </c>
      <c r="Z1103" s="118" t="str">
        <f>+VLOOKUP(Agencia[[#This Row],[Filtro Integrado]],Estructura!$I$4:$K$500,3,0)</f>
        <v>FI-993</v>
      </c>
      <c r="AA1103" s="118" t="str">
        <f>+VLOOKUP(Agencia[[#This Row],[Muestra]],Estructura!$M$4:$O$500,3,0)</f>
        <v>M-1080</v>
      </c>
    </row>
    <row r="1104" spans="1:27" ht="57.6" x14ac:dyDescent="0.3">
      <c r="A1104" s="21" t="s">
        <v>2000</v>
      </c>
      <c r="B1104" s="24">
        <f t="shared" ref="B1104:D1104" si="1868">+B1103</f>
        <v>990</v>
      </c>
      <c r="C1104" s="25" t="str">
        <f t="shared" si="1868"/>
        <v>Agencia Información</v>
      </c>
      <c r="D1104" s="25" t="str">
        <f t="shared" si="1868"/>
        <v>Mujeres</v>
      </c>
      <c r="E1104" s="19">
        <v>3</v>
      </c>
      <c r="F1104" s="18" t="s">
        <v>1018</v>
      </c>
      <c r="G1104" s="18" t="s">
        <v>3783</v>
      </c>
      <c r="H1104" s="35" t="s">
        <v>16</v>
      </c>
      <c r="I1104" s="36" t="s">
        <v>370</v>
      </c>
      <c r="J1104" s="9" t="str">
        <f t="shared" ref="J1104:N1104" si="1869">+J1103</f>
        <v>Ninguno</v>
      </c>
      <c r="K1104" s="9" t="s">
        <v>1724</v>
      </c>
      <c r="L1104" s="38" t="str">
        <f t="shared" si="1869"/>
        <v>Periodo 2011-2018</v>
      </c>
      <c r="M1104" s="9" t="str">
        <f t="shared" si="1869"/>
        <v>Número de Casos</v>
      </c>
      <c r="N1104" s="9" t="str">
        <f t="shared" si="1869"/>
        <v>Departamento de Estadísticas e Información de la Salud (DEIS) - Ministerio de Salud</v>
      </c>
      <c r="O1104" s="45" t="str">
        <f>+"Población en Control del Programa de Cáncer de Cuello Uterino en la "&amp;I1104&amp;", "&amp;Agencia[[#This Row],[temporalidad]]</f>
        <v>Población en Control del Programa de Cáncer de Cuello Uterino en la Región de Atacama, Periodo 2011-2018</v>
      </c>
      <c r="P1104" s="20"/>
      <c r="Q1104" s="11" t="str">
        <f t="shared" si="1797"/>
        <v>Gráfico de Evolución</v>
      </c>
      <c r="R1104" s="20" t="str">
        <f>Agencia[[#This Row],[territorio]]&amp;" cáncer cuello uterino cérvico útero salud PAP papanicolaou casos control población"</f>
        <v>Región de Atacama cáncer cuello uterino cérvico útero salud PAP papanicolaou casos control población</v>
      </c>
      <c r="S1104" s="39" t="str">
        <f>HYPERLINK("https://analytics.zoho.com/open-view/2395394000008099329?ZOHO_CRITERIA=%22Localiza%20CL%22.%22Codreg%22%20%3D%20"&amp;Agencia[[#This Row],[Filtro URL]])</f>
        <v>https://analytics.zoho.com/open-view/2395394000008099329?ZOHO_CRITERIA=%22Localiza%20CL%22.%22Codreg%22%20%3D%203</v>
      </c>
      <c r="T1104" s="68" t="str">
        <f>"100-R-"&amp;Agencia[[#This Row],[Filtro URL]]</f>
        <v>100-R-3</v>
      </c>
      <c r="U1104" s="50" t="str">
        <f t="shared" si="1865"/>
        <v>#1774B9</v>
      </c>
      <c r="V1104" s="118" t="str">
        <f>+Agencia[[#This Row],[idcoleccion]]&amp;"-"&amp;Agencia[[#This Row],[id]]</f>
        <v>990-1093</v>
      </c>
      <c r="W1104" s="118">
        <f>+VLOOKUP(Agencia[[#This Row],[Filtro URL]],Estructura!$X$4:$Y$500,2,0)</f>
        <v>99200003</v>
      </c>
      <c r="X1104" s="118" t="str">
        <f>+VLOOKUP(Agencia[[#This Row],[tema]],Estructura!$A$4:$C$500,3,0)</f>
        <v>T-999</v>
      </c>
      <c r="Y1104" s="118" t="str">
        <f>+VLOOKUP(Agencia[[#This Row],[contenido]],Estructura!$E$4:$G$500,3,0)</f>
        <v>C-1009</v>
      </c>
      <c r="Z1104" s="118" t="str">
        <f>+VLOOKUP(Agencia[[#This Row],[Filtro Integrado]],Estructura!$I$4:$K$500,3,0)</f>
        <v>FI-993</v>
      </c>
      <c r="AA1104" s="118" t="str">
        <f>+VLOOKUP(Agencia[[#This Row],[Muestra]],Estructura!$M$4:$O$500,3,0)</f>
        <v>M-1080</v>
      </c>
    </row>
    <row r="1105" spans="1:27" ht="57.6" x14ac:dyDescent="0.3">
      <c r="A1105" s="21" t="s">
        <v>2001</v>
      </c>
      <c r="B1105" s="24">
        <f t="shared" ref="B1105:D1105" si="1870">+B1104</f>
        <v>990</v>
      </c>
      <c r="C1105" s="25" t="str">
        <f t="shared" si="1870"/>
        <v>Agencia Información</v>
      </c>
      <c r="D1105" s="25" t="str">
        <f t="shared" si="1870"/>
        <v>Mujeres</v>
      </c>
      <c r="E1105" s="19">
        <v>4</v>
      </c>
      <c r="F1105" s="18" t="s">
        <v>1018</v>
      </c>
      <c r="G1105" s="18" t="s">
        <v>3783</v>
      </c>
      <c r="H1105" s="35" t="s">
        <v>16</v>
      </c>
      <c r="I1105" s="36" t="s">
        <v>371</v>
      </c>
      <c r="J1105" s="9" t="str">
        <f t="shared" ref="J1105:N1105" si="1871">+J1104</f>
        <v>Ninguno</v>
      </c>
      <c r="K1105" s="9" t="s">
        <v>1724</v>
      </c>
      <c r="L1105" s="38" t="str">
        <f t="shared" si="1871"/>
        <v>Periodo 2011-2018</v>
      </c>
      <c r="M1105" s="9" t="str">
        <f t="shared" si="1871"/>
        <v>Número de Casos</v>
      </c>
      <c r="N1105" s="9" t="str">
        <f t="shared" si="1871"/>
        <v>Departamento de Estadísticas e Información de la Salud (DEIS) - Ministerio de Salud</v>
      </c>
      <c r="O1105" s="45" t="str">
        <f>+"Población en Control del Programa de Cáncer de Cuello Uterino en la "&amp;I1105&amp;", "&amp;Agencia[[#This Row],[temporalidad]]</f>
        <v>Población en Control del Programa de Cáncer de Cuello Uterino en la Región de Coquimbo, Periodo 2011-2018</v>
      </c>
      <c r="P1105" s="20"/>
      <c r="Q1105" s="11" t="str">
        <f t="shared" si="1797"/>
        <v>Gráfico de Evolución</v>
      </c>
      <c r="R1105" s="20" t="str">
        <f>Agencia[[#This Row],[territorio]]&amp;" cáncer cuello uterino cérvico útero salud PAP papanicolaou casos control población"</f>
        <v>Región de Coquimbo cáncer cuello uterino cérvico útero salud PAP papanicolaou casos control población</v>
      </c>
      <c r="S1105" s="39" t="str">
        <f>HYPERLINK("https://analytics.zoho.com/open-view/2395394000008099329?ZOHO_CRITERIA=%22Localiza%20CL%22.%22Codreg%22%20%3D%20"&amp;Agencia[[#This Row],[Filtro URL]])</f>
        <v>https://analytics.zoho.com/open-view/2395394000008099329?ZOHO_CRITERIA=%22Localiza%20CL%22.%22Codreg%22%20%3D%204</v>
      </c>
      <c r="T1105" s="68" t="str">
        <f>"100-R-"&amp;Agencia[[#This Row],[Filtro URL]]</f>
        <v>100-R-4</v>
      </c>
      <c r="U1105" s="50" t="str">
        <f t="shared" si="1865"/>
        <v>#1774B9</v>
      </c>
      <c r="V1105" s="118" t="str">
        <f>+Agencia[[#This Row],[idcoleccion]]&amp;"-"&amp;Agencia[[#This Row],[id]]</f>
        <v>990-1094</v>
      </c>
      <c r="W1105" s="118">
        <f>+VLOOKUP(Agencia[[#This Row],[Filtro URL]],Estructura!$X$4:$Y$500,2,0)</f>
        <v>99200004</v>
      </c>
      <c r="X1105" s="118" t="str">
        <f>+VLOOKUP(Agencia[[#This Row],[tema]],Estructura!$A$4:$C$500,3,0)</f>
        <v>T-999</v>
      </c>
      <c r="Y1105" s="118" t="str">
        <f>+VLOOKUP(Agencia[[#This Row],[contenido]],Estructura!$E$4:$G$500,3,0)</f>
        <v>C-1009</v>
      </c>
      <c r="Z1105" s="118" t="str">
        <f>+VLOOKUP(Agencia[[#This Row],[Filtro Integrado]],Estructura!$I$4:$K$500,3,0)</f>
        <v>FI-993</v>
      </c>
      <c r="AA1105" s="118" t="str">
        <f>+VLOOKUP(Agencia[[#This Row],[Muestra]],Estructura!$M$4:$O$500,3,0)</f>
        <v>M-1080</v>
      </c>
    </row>
    <row r="1106" spans="1:27" ht="57.6" x14ac:dyDescent="0.3">
      <c r="A1106" s="21" t="s">
        <v>2002</v>
      </c>
      <c r="B1106" s="24">
        <f t="shared" ref="B1106:D1106" si="1872">+B1105</f>
        <v>990</v>
      </c>
      <c r="C1106" s="25" t="str">
        <f t="shared" si="1872"/>
        <v>Agencia Información</v>
      </c>
      <c r="D1106" s="25" t="str">
        <f t="shared" si="1872"/>
        <v>Mujeres</v>
      </c>
      <c r="E1106" s="19">
        <v>5</v>
      </c>
      <c r="F1106" s="18" t="s">
        <v>1018</v>
      </c>
      <c r="G1106" s="18" t="s">
        <v>3783</v>
      </c>
      <c r="H1106" s="35" t="s">
        <v>16</v>
      </c>
      <c r="I1106" s="36" t="s">
        <v>372</v>
      </c>
      <c r="J1106" s="9" t="str">
        <f t="shared" ref="J1106:N1106" si="1873">+J1105</f>
        <v>Ninguno</v>
      </c>
      <c r="K1106" s="9" t="s">
        <v>1724</v>
      </c>
      <c r="L1106" s="38" t="str">
        <f t="shared" si="1873"/>
        <v>Periodo 2011-2018</v>
      </c>
      <c r="M1106" s="9" t="str">
        <f t="shared" si="1873"/>
        <v>Número de Casos</v>
      </c>
      <c r="N1106" s="9" t="str">
        <f t="shared" si="1873"/>
        <v>Departamento de Estadísticas e Información de la Salud (DEIS) - Ministerio de Salud</v>
      </c>
      <c r="O1106" s="45" t="str">
        <f>+"Población en Control del Programa de Cáncer de Cuello Uterino en la "&amp;I1106&amp;", "&amp;Agencia[[#This Row],[temporalidad]]</f>
        <v>Población en Control del Programa de Cáncer de Cuello Uterino en la Región de Valparaíso, Periodo 2011-2018</v>
      </c>
      <c r="P1106" s="20"/>
      <c r="Q1106" s="11" t="str">
        <f t="shared" si="1797"/>
        <v>Gráfico de Evolución</v>
      </c>
      <c r="R1106" s="20" t="str">
        <f>Agencia[[#This Row],[territorio]]&amp;" cáncer cuello uterino cérvico útero salud PAP papanicolaou casos control población"</f>
        <v>Región de Valparaíso cáncer cuello uterino cérvico útero salud PAP papanicolaou casos control población</v>
      </c>
      <c r="S1106" s="39" t="str">
        <f>HYPERLINK("https://analytics.zoho.com/open-view/2395394000008099329?ZOHO_CRITERIA=%22Localiza%20CL%22.%22Codreg%22%20%3D%20"&amp;Agencia[[#This Row],[Filtro URL]])</f>
        <v>https://analytics.zoho.com/open-view/2395394000008099329?ZOHO_CRITERIA=%22Localiza%20CL%22.%22Codreg%22%20%3D%205</v>
      </c>
      <c r="T1106" s="68" t="str">
        <f>"100-R-"&amp;Agencia[[#This Row],[Filtro URL]]</f>
        <v>100-R-5</v>
      </c>
      <c r="U1106" s="50" t="str">
        <f t="shared" si="1865"/>
        <v>#1774B9</v>
      </c>
      <c r="V1106" s="118" t="str">
        <f>+Agencia[[#This Row],[idcoleccion]]&amp;"-"&amp;Agencia[[#This Row],[id]]</f>
        <v>990-1095</v>
      </c>
      <c r="W1106" s="118">
        <f>+VLOOKUP(Agencia[[#This Row],[Filtro URL]],Estructura!$X$4:$Y$500,2,0)</f>
        <v>99200005</v>
      </c>
      <c r="X1106" s="118" t="str">
        <f>+VLOOKUP(Agencia[[#This Row],[tema]],Estructura!$A$4:$C$500,3,0)</f>
        <v>T-999</v>
      </c>
      <c r="Y1106" s="118" t="str">
        <f>+VLOOKUP(Agencia[[#This Row],[contenido]],Estructura!$E$4:$G$500,3,0)</f>
        <v>C-1009</v>
      </c>
      <c r="Z1106" s="118" t="str">
        <f>+VLOOKUP(Agencia[[#This Row],[Filtro Integrado]],Estructura!$I$4:$K$500,3,0)</f>
        <v>FI-993</v>
      </c>
      <c r="AA1106" s="118" t="str">
        <f>+VLOOKUP(Agencia[[#This Row],[Muestra]],Estructura!$M$4:$O$500,3,0)</f>
        <v>M-1080</v>
      </c>
    </row>
    <row r="1107" spans="1:27" ht="57.6" x14ac:dyDescent="0.3">
      <c r="A1107" s="21" t="s">
        <v>2003</v>
      </c>
      <c r="B1107" s="24">
        <f t="shared" ref="B1107:D1107" si="1874">+B1106</f>
        <v>990</v>
      </c>
      <c r="C1107" s="25" t="str">
        <f t="shared" si="1874"/>
        <v>Agencia Información</v>
      </c>
      <c r="D1107" s="25" t="str">
        <f t="shared" si="1874"/>
        <v>Mujeres</v>
      </c>
      <c r="E1107" s="19">
        <v>6</v>
      </c>
      <c r="F1107" s="18" t="s">
        <v>1018</v>
      </c>
      <c r="G1107" s="18" t="s">
        <v>3783</v>
      </c>
      <c r="H1107" s="35" t="s">
        <v>16</v>
      </c>
      <c r="I1107" s="36" t="s">
        <v>373</v>
      </c>
      <c r="J1107" s="9" t="str">
        <f t="shared" ref="J1107:N1107" si="1875">+J1106</f>
        <v>Ninguno</v>
      </c>
      <c r="K1107" s="9" t="s">
        <v>1724</v>
      </c>
      <c r="L1107" s="38" t="str">
        <f t="shared" si="1875"/>
        <v>Periodo 2011-2018</v>
      </c>
      <c r="M1107" s="9" t="str">
        <f t="shared" si="1875"/>
        <v>Número de Casos</v>
      </c>
      <c r="N1107" s="9" t="str">
        <f t="shared" si="1875"/>
        <v>Departamento de Estadísticas e Información de la Salud (DEIS) - Ministerio de Salud</v>
      </c>
      <c r="O1107" s="45" t="str">
        <f>+"Población en Control del Programa de Cáncer de Cuello Uterino en la "&amp;I1107&amp;", "&amp;Agencia[[#This Row],[temporalidad]]</f>
        <v>Población en Control del Programa de Cáncer de Cuello Uterino en la Región de O'Higgins, Periodo 2011-2018</v>
      </c>
      <c r="P1107" s="20"/>
      <c r="Q1107" s="11" t="str">
        <f t="shared" si="1797"/>
        <v>Gráfico de Evolución</v>
      </c>
      <c r="R1107" s="20" t="str">
        <f>Agencia[[#This Row],[territorio]]&amp;" cáncer cuello uterino cérvico útero salud PAP papanicolaou casos control población"</f>
        <v>Región de O'Higgins cáncer cuello uterino cérvico útero salud PAP papanicolaou casos control población</v>
      </c>
      <c r="S1107" s="39" t="str">
        <f>HYPERLINK("https://analytics.zoho.com/open-view/2395394000008099329?ZOHO_CRITERIA=%22Localiza%20CL%22.%22Codreg%22%20%3D%20"&amp;Agencia[[#This Row],[Filtro URL]])</f>
        <v>https://analytics.zoho.com/open-view/2395394000008099329?ZOHO_CRITERIA=%22Localiza%20CL%22.%22Codreg%22%20%3D%206</v>
      </c>
      <c r="T1107" s="68" t="str">
        <f>"100-R-"&amp;Agencia[[#This Row],[Filtro URL]]</f>
        <v>100-R-6</v>
      </c>
      <c r="U1107" s="50" t="str">
        <f t="shared" si="1865"/>
        <v>#1774B9</v>
      </c>
      <c r="V1107" s="118" t="str">
        <f>+Agencia[[#This Row],[idcoleccion]]&amp;"-"&amp;Agencia[[#This Row],[id]]</f>
        <v>990-1096</v>
      </c>
      <c r="W1107" s="118">
        <f>+VLOOKUP(Agencia[[#This Row],[Filtro URL]],Estructura!$X$4:$Y$500,2,0)</f>
        <v>99200006</v>
      </c>
      <c r="X1107" s="118" t="str">
        <f>+VLOOKUP(Agencia[[#This Row],[tema]],Estructura!$A$4:$C$500,3,0)</f>
        <v>T-999</v>
      </c>
      <c r="Y1107" s="118" t="str">
        <f>+VLOOKUP(Agencia[[#This Row],[contenido]],Estructura!$E$4:$G$500,3,0)</f>
        <v>C-1009</v>
      </c>
      <c r="Z1107" s="118" t="str">
        <f>+VLOOKUP(Agencia[[#This Row],[Filtro Integrado]],Estructura!$I$4:$K$500,3,0)</f>
        <v>FI-993</v>
      </c>
      <c r="AA1107" s="118" t="str">
        <f>+VLOOKUP(Agencia[[#This Row],[Muestra]],Estructura!$M$4:$O$500,3,0)</f>
        <v>M-1080</v>
      </c>
    </row>
    <row r="1108" spans="1:27" ht="57.6" x14ac:dyDescent="0.3">
      <c r="A1108" s="21" t="s">
        <v>2004</v>
      </c>
      <c r="B1108" s="24">
        <f t="shared" ref="B1108:D1108" si="1876">+B1107</f>
        <v>990</v>
      </c>
      <c r="C1108" s="25" t="str">
        <f t="shared" si="1876"/>
        <v>Agencia Información</v>
      </c>
      <c r="D1108" s="25" t="str">
        <f t="shared" si="1876"/>
        <v>Mujeres</v>
      </c>
      <c r="E1108" s="19">
        <v>7</v>
      </c>
      <c r="F1108" s="18" t="s">
        <v>1018</v>
      </c>
      <c r="G1108" s="18" t="s">
        <v>3783</v>
      </c>
      <c r="H1108" s="35" t="s">
        <v>16</v>
      </c>
      <c r="I1108" s="36" t="s">
        <v>374</v>
      </c>
      <c r="J1108" s="9" t="str">
        <f t="shared" ref="J1108:N1108" si="1877">+J1107</f>
        <v>Ninguno</v>
      </c>
      <c r="K1108" s="9" t="s">
        <v>1724</v>
      </c>
      <c r="L1108" s="38" t="str">
        <f t="shared" si="1877"/>
        <v>Periodo 2011-2018</v>
      </c>
      <c r="M1108" s="9" t="str">
        <f t="shared" si="1877"/>
        <v>Número de Casos</v>
      </c>
      <c r="N1108" s="9" t="str">
        <f t="shared" si="1877"/>
        <v>Departamento de Estadísticas e Información de la Salud (DEIS) - Ministerio de Salud</v>
      </c>
      <c r="O1108" s="45" t="str">
        <f>+"Población en Control del Programa de Cáncer de Cuello Uterino en la "&amp;I1108&amp;", "&amp;Agencia[[#This Row],[temporalidad]]</f>
        <v>Población en Control del Programa de Cáncer de Cuello Uterino en la Región de Maule, Periodo 2011-2018</v>
      </c>
      <c r="P1108" s="20"/>
      <c r="Q1108" s="11" t="str">
        <f t="shared" si="1797"/>
        <v>Gráfico de Evolución</v>
      </c>
      <c r="R1108" s="20" t="str">
        <f>Agencia[[#This Row],[territorio]]&amp;" cáncer cuello uterino cérvico útero salud PAP papanicolaou casos control población"</f>
        <v>Región de Maule cáncer cuello uterino cérvico útero salud PAP papanicolaou casos control población</v>
      </c>
      <c r="S1108" s="39" t="str">
        <f>HYPERLINK("https://analytics.zoho.com/open-view/2395394000008099329?ZOHO_CRITERIA=%22Localiza%20CL%22.%22Codreg%22%20%3D%20"&amp;Agencia[[#This Row],[Filtro URL]])</f>
        <v>https://analytics.zoho.com/open-view/2395394000008099329?ZOHO_CRITERIA=%22Localiza%20CL%22.%22Codreg%22%20%3D%207</v>
      </c>
      <c r="T1108" s="68" t="str">
        <f>"100-R-"&amp;Agencia[[#This Row],[Filtro URL]]</f>
        <v>100-R-7</v>
      </c>
      <c r="U1108" s="50" t="str">
        <f t="shared" si="1865"/>
        <v>#1774B9</v>
      </c>
      <c r="V1108" s="118" t="str">
        <f>+Agencia[[#This Row],[idcoleccion]]&amp;"-"&amp;Agencia[[#This Row],[id]]</f>
        <v>990-1097</v>
      </c>
      <c r="W1108" s="118">
        <f>+VLOOKUP(Agencia[[#This Row],[Filtro URL]],Estructura!$X$4:$Y$500,2,0)</f>
        <v>99200007</v>
      </c>
      <c r="X1108" s="118" t="str">
        <f>+VLOOKUP(Agencia[[#This Row],[tema]],Estructura!$A$4:$C$500,3,0)</f>
        <v>T-999</v>
      </c>
      <c r="Y1108" s="118" t="str">
        <f>+VLOOKUP(Agencia[[#This Row],[contenido]],Estructura!$E$4:$G$500,3,0)</f>
        <v>C-1009</v>
      </c>
      <c r="Z1108" s="118" t="str">
        <f>+VLOOKUP(Agencia[[#This Row],[Filtro Integrado]],Estructura!$I$4:$K$500,3,0)</f>
        <v>FI-993</v>
      </c>
      <c r="AA1108" s="118" t="str">
        <f>+VLOOKUP(Agencia[[#This Row],[Muestra]],Estructura!$M$4:$O$500,3,0)</f>
        <v>M-1080</v>
      </c>
    </row>
    <row r="1109" spans="1:27" ht="57.6" x14ac:dyDescent="0.3">
      <c r="A1109" s="21" t="s">
        <v>2005</v>
      </c>
      <c r="B1109" s="24">
        <f t="shared" ref="B1109:D1109" si="1878">+B1108</f>
        <v>990</v>
      </c>
      <c r="C1109" s="25" t="str">
        <f t="shared" si="1878"/>
        <v>Agencia Información</v>
      </c>
      <c r="D1109" s="25" t="str">
        <f t="shared" si="1878"/>
        <v>Mujeres</v>
      </c>
      <c r="E1109" s="19">
        <v>8</v>
      </c>
      <c r="F1109" s="18" t="s">
        <v>1018</v>
      </c>
      <c r="G1109" s="18" t="s">
        <v>3783</v>
      </c>
      <c r="H1109" s="35" t="s">
        <v>16</v>
      </c>
      <c r="I1109" s="36" t="s">
        <v>375</v>
      </c>
      <c r="J1109" s="9" t="str">
        <f t="shared" ref="J1109:N1109" si="1879">+J1108</f>
        <v>Ninguno</v>
      </c>
      <c r="K1109" s="9" t="s">
        <v>1724</v>
      </c>
      <c r="L1109" s="38" t="str">
        <f t="shared" si="1879"/>
        <v>Periodo 2011-2018</v>
      </c>
      <c r="M1109" s="9" t="str">
        <f t="shared" si="1879"/>
        <v>Número de Casos</v>
      </c>
      <c r="N1109" s="9" t="str">
        <f t="shared" si="1879"/>
        <v>Departamento de Estadísticas e Información de la Salud (DEIS) - Ministerio de Salud</v>
      </c>
      <c r="O1109" s="45" t="str">
        <f>+"Población en Control del Programa de Cáncer de Cuello Uterino en la "&amp;I1109&amp;", "&amp;Agencia[[#This Row],[temporalidad]]</f>
        <v>Población en Control del Programa de Cáncer de Cuello Uterino en la Región del Biobío, Periodo 2011-2018</v>
      </c>
      <c r="P1109" s="20"/>
      <c r="Q1109" s="11" t="str">
        <f t="shared" si="1797"/>
        <v>Gráfico de Evolución</v>
      </c>
      <c r="R1109" s="20" t="str">
        <f>Agencia[[#This Row],[territorio]]&amp;" cáncer cuello uterino cérvico útero salud PAP papanicolaou casos control población"</f>
        <v>Región del Biobío cáncer cuello uterino cérvico útero salud PAP papanicolaou casos control población</v>
      </c>
      <c r="S1109" s="39" t="str">
        <f>HYPERLINK("https://analytics.zoho.com/open-view/2395394000008099329?ZOHO_CRITERIA=%22Localiza%20CL%22.%22Codreg%22%20%3D%20"&amp;Agencia[[#This Row],[Filtro URL]])</f>
        <v>https://analytics.zoho.com/open-view/2395394000008099329?ZOHO_CRITERIA=%22Localiza%20CL%22.%22Codreg%22%20%3D%208</v>
      </c>
      <c r="T1109" s="68" t="str">
        <f>"100-R-"&amp;Agencia[[#This Row],[Filtro URL]]</f>
        <v>100-R-8</v>
      </c>
      <c r="U1109" s="50" t="str">
        <f t="shared" si="1865"/>
        <v>#1774B9</v>
      </c>
      <c r="V1109" s="118" t="str">
        <f>+Agencia[[#This Row],[idcoleccion]]&amp;"-"&amp;Agencia[[#This Row],[id]]</f>
        <v>990-1098</v>
      </c>
      <c r="W1109" s="118">
        <f>+VLOOKUP(Agencia[[#This Row],[Filtro URL]],Estructura!$X$4:$Y$500,2,0)</f>
        <v>99200008</v>
      </c>
      <c r="X1109" s="118" t="str">
        <f>+VLOOKUP(Agencia[[#This Row],[tema]],Estructura!$A$4:$C$500,3,0)</f>
        <v>T-999</v>
      </c>
      <c r="Y1109" s="118" t="str">
        <f>+VLOOKUP(Agencia[[#This Row],[contenido]],Estructura!$E$4:$G$500,3,0)</f>
        <v>C-1009</v>
      </c>
      <c r="Z1109" s="118" t="str">
        <f>+VLOOKUP(Agencia[[#This Row],[Filtro Integrado]],Estructura!$I$4:$K$500,3,0)</f>
        <v>FI-993</v>
      </c>
      <c r="AA1109" s="118" t="str">
        <f>+VLOOKUP(Agencia[[#This Row],[Muestra]],Estructura!$M$4:$O$500,3,0)</f>
        <v>M-1080</v>
      </c>
    </row>
    <row r="1110" spans="1:27" ht="57.6" x14ac:dyDescent="0.3">
      <c r="A1110" s="21" t="s">
        <v>2006</v>
      </c>
      <c r="B1110" s="24">
        <f t="shared" ref="B1110:D1110" si="1880">+B1109</f>
        <v>990</v>
      </c>
      <c r="C1110" s="25" t="str">
        <f t="shared" si="1880"/>
        <v>Agencia Información</v>
      </c>
      <c r="D1110" s="25" t="str">
        <f t="shared" si="1880"/>
        <v>Mujeres</v>
      </c>
      <c r="E1110" s="19">
        <v>9</v>
      </c>
      <c r="F1110" s="18" t="s">
        <v>1018</v>
      </c>
      <c r="G1110" s="18" t="s">
        <v>3783</v>
      </c>
      <c r="H1110" s="35" t="s">
        <v>16</v>
      </c>
      <c r="I1110" s="36" t="s">
        <v>376</v>
      </c>
      <c r="J1110" s="9" t="str">
        <f t="shared" ref="J1110:N1110" si="1881">+J1109</f>
        <v>Ninguno</v>
      </c>
      <c r="K1110" s="9" t="s">
        <v>1724</v>
      </c>
      <c r="L1110" s="38" t="str">
        <f t="shared" si="1881"/>
        <v>Periodo 2011-2018</v>
      </c>
      <c r="M1110" s="9" t="str">
        <f t="shared" si="1881"/>
        <v>Número de Casos</v>
      </c>
      <c r="N1110" s="9" t="str">
        <f t="shared" si="1881"/>
        <v>Departamento de Estadísticas e Información de la Salud (DEIS) - Ministerio de Salud</v>
      </c>
      <c r="O1110" s="45" t="str">
        <f>+"Población en Control del Programa de Cáncer de Cuello Uterino en la "&amp;I1110&amp;", "&amp;Agencia[[#This Row],[temporalidad]]</f>
        <v>Población en Control del Programa de Cáncer de Cuello Uterino en la Región de La Araucanía, Periodo 2011-2018</v>
      </c>
      <c r="P1110" s="20"/>
      <c r="Q1110" s="11" t="str">
        <f t="shared" si="1797"/>
        <v>Gráfico de Evolución</v>
      </c>
      <c r="R1110" s="20" t="str">
        <f>Agencia[[#This Row],[territorio]]&amp;" cáncer cuello uterino cérvico útero salud PAP papanicolaou casos control población"</f>
        <v>Región de La Araucanía cáncer cuello uterino cérvico útero salud PAP papanicolaou casos control población</v>
      </c>
      <c r="S1110" s="39" t="str">
        <f>HYPERLINK("https://analytics.zoho.com/open-view/2395394000008099329?ZOHO_CRITERIA=%22Localiza%20CL%22.%22Codreg%22%20%3D%20"&amp;Agencia[[#This Row],[Filtro URL]])</f>
        <v>https://analytics.zoho.com/open-view/2395394000008099329?ZOHO_CRITERIA=%22Localiza%20CL%22.%22Codreg%22%20%3D%209</v>
      </c>
      <c r="T1110" s="68" t="str">
        <f>"100-R-"&amp;Agencia[[#This Row],[Filtro URL]]</f>
        <v>100-R-9</v>
      </c>
      <c r="U1110" s="50" t="str">
        <f t="shared" si="1865"/>
        <v>#1774B9</v>
      </c>
      <c r="V1110" s="118" t="str">
        <f>+Agencia[[#This Row],[idcoleccion]]&amp;"-"&amp;Agencia[[#This Row],[id]]</f>
        <v>990-1099</v>
      </c>
      <c r="W1110" s="118">
        <f>+VLOOKUP(Agencia[[#This Row],[Filtro URL]],Estructura!$X$4:$Y$500,2,0)</f>
        <v>99200009</v>
      </c>
      <c r="X1110" s="118" t="str">
        <f>+VLOOKUP(Agencia[[#This Row],[tema]],Estructura!$A$4:$C$500,3,0)</f>
        <v>T-999</v>
      </c>
      <c r="Y1110" s="118" t="str">
        <f>+VLOOKUP(Agencia[[#This Row],[contenido]],Estructura!$E$4:$G$500,3,0)</f>
        <v>C-1009</v>
      </c>
      <c r="Z1110" s="118" t="str">
        <f>+VLOOKUP(Agencia[[#This Row],[Filtro Integrado]],Estructura!$I$4:$K$500,3,0)</f>
        <v>FI-993</v>
      </c>
      <c r="AA1110" s="118" t="str">
        <f>+VLOOKUP(Agencia[[#This Row],[Muestra]],Estructura!$M$4:$O$500,3,0)</f>
        <v>M-1080</v>
      </c>
    </row>
    <row r="1111" spans="1:27" ht="57.6" x14ac:dyDescent="0.3">
      <c r="A1111" s="21" t="s">
        <v>2007</v>
      </c>
      <c r="B1111" s="24">
        <f t="shared" ref="B1111:D1111" si="1882">+B1110</f>
        <v>990</v>
      </c>
      <c r="C1111" s="25" t="str">
        <f t="shared" si="1882"/>
        <v>Agencia Información</v>
      </c>
      <c r="D1111" s="25" t="str">
        <f t="shared" si="1882"/>
        <v>Mujeres</v>
      </c>
      <c r="E1111" s="19">
        <v>10</v>
      </c>
      <c r="F1111" s="18" t="s">
        <v>1018</v>
      </c>
      <c r="G1111" s="18" t="s">
        <v>3783</v>
      </c>
      <c r="H1111" s="35" t="s">
        <v>16</v>
      </c>
      <c r="I1111" s="36" t="s">
        <v>377</v>
      </c>
      <c r="J1111" s="9" t="str">
        <f t="shared" ref="J1111:N1111" si="1883">+J1110</f>
        <v>Ninguno</v>
      </c>
      <c r="K1111" s="9" t="s">
        <v>1724</v>
      </c>
      <c r="L1111" s="38" t="str">
        <f t="shared" si="1883"/>
        <v>Periodo 2011-2018</v>
      </c>
      <c r="M1111" s="9" t="str">
        <f t="shared" si="1883"/>
        <v>Número de Casos</v>
      </c>
      <c r="N1111" s="9" t="str">
        <f t="shared" si="1883"/>
        <v>Departamento de Estadísticas e Información de la Salud (DEIS) - Ministerio de Salud</v>
      </c>
      <c r="O1111" s="45" t="str">
        <f>+"Población en Control del Programa de Cáncer de Cuello Uterino en la "&amp;I1111&amp;", "&amp;Agencia[[#This Row],[temporalidad]]</f>
        <v>Población en Control del Programa de Cáncer de Cuello Uterino en la Región de Los Lagos, Periodo 2011-2018</v>
      </c>
      <c r="P1111" s="20"/>
      <c r="Q1111" s="11" t="str">
        <f t="shared" si="1797"/>
        <v>Gráfico de Evolución</v>
      </c>
      <c r="R1111" s="20" t="str">
        <f>Agencia[[#This Row],[territorio]]&amp;" cáncer cuello uterino cérvico útero salud PAP papanicolaou casos control población"</f>
        <v>Región de Los Lagos cáncer cuello uterino cérvico útero salud PAP papanicolaou casos control población</v>
      </c>
      <c r="S1111" s="39" t="str">
        <f>HYPERLINK("https://analytics.zoho.com/open-view/2395394000008099329?ZOHO_CRITERIA=%22Localiza%20CL%22.%22Codreg%22%20%3D%20"&amp;Agencia[[#This Row],[Filtro URL]])</f>
        <v>https://analytics.zoho.com/open-view/2395394000008099329?ZOHO_CRITERIA=%22Localiza%20CL%22.%22Codreg%22%20%3D%2010</v>
      </c>
      <c r="T1111" s="68" t="str">
        <f>"100-R-"&amp;Agencia[[#This Row],[Filtro URL]]</f>
        <v>100-R-10</v>
      </c>
      <c r="U1111" s="50" t="str">
        <f t="shared" si="1865"/>
        <v>#1774B9</v>
      </c>
      <c r="V1111" s="118" t="str">
        <f>+Agencia[[#This Row],[idcoleccion]]&amp;"-"&amp;Agencia[[#This Row],[id]]</f>
        <v>990-1100</v>
      </c>
      <c r="W1111" s="118">
        <f>+VLOOKUP(Agencia[[#This Row],[Filtro URL]],Estructura!$X$4:$Y$500,2,0)</f>
        <v>99200010</v>
      </c>
      <c r="X1111" s="118" t="str">
        <f>+VLOOKUP(Agencia[[#This Row],[tema]],Estructura!$A$4:$C$500,3,0)</f>
        <v>T-999</v>
      </c>
      <c r="Y1111" s="118" t="str">
        <f>+VLOOKUP(Agencia[[#This Row],[contenido]],Estructura!$E$4:$G$500,3,0)</f>
        <v>C-1009</v>
      </c>
      <c r="Z1111" s="118" t="str">
        <f>+VLOOKUP(Agencia[[#This Row],[Filtro Integrado]],Estructura!$I$4:$K$500,3,0)</f>
        <v>FI-993</v>
      </c>
      <c r="AA1111" s="118" t="str">
        <f>+VLOOKUP(Agencia[[#This Row],[Muestra]],Estructura!$M$4:$O$500,3,0)</f>
        <v>M-1080</v>
      </c>
    </row>
    <row r="1112" spans="1:27" ht="57.6" x14ac:dyDescent="0.3">
      <c r="A1112" s="21" t="s">
        <v>2008</v>
      </c>
      <c r="B1112" s="24">
        <f t="shared" ref="B1112:D1112" si="1884">+B1111</f>
        <v>990</v>
      </c>
      <c r="C1112" s="25" t="str">
        <f t="shared" si="1884"/>
        <v>Agencia Información</v>
      </c>
      <c r="D1112" s="25" t="str">
        <f t="shared" si="1884"/>
        <v>Mujeres</v>
      </c>
      <c r="E1112" s="19">
        <v>11</v>
      </c>
      <c r="F1112" s="18" t="s">
        <v>1018</v>
      </c>
      <c r="G1112" s="18" t="s">
        <v>3783</v>
      </c>
      <c r="H1112" s="35" t="s">
        <v>16</v>
      </c>
      <c r="I1112" s="36" t="s">
        <v>378</v>
      </c>
      <c r="J1112" s="9" t="str">
        <f t="shared" ref="J1112:N1112" si="1885">+J1111</f>
        <v>Ninguno</v>
      </c>
      <c r="K1112" s="9" t="s">
        <v>1724</v>
      </c>
      <c r="L1112" s="38" t="str">
        <f t="shared" si="1885"/>
        <v>Periodo 2011-2018</v>
      </c>
      <c r="M1112" s="9" t="str">
        <f t="shared" si="1885"/>
        <v>Número de Casos</v>
      </c>
      <c r="N1112" s="9" t="str">
        <f t="shared" si="1885"/>
        <v>Departamento de Estadísticas e Información de la Salud (DEIS) - Ministerio de Salud</v>
      </c>
      <c r="O1112" s="45" t="str">
        <f>+"Población en Control del Programa de Cáncer de Cuello Uterino en la "&amp;I1112&amp;", "&amp;Agencia[[#This Row],[temporalidad]]</f>
        <v>Población en Control del Programa de Cáncer de Cuello Uterino en la Región de Aysén, Periodo 2011-2018</v>
      </c>
      <c r="P1112" s="20"/>
      <c r="Q1112" s="11" t="str">
        <f t="shared" si="1797"/>
        <v>Gráfico de Evolución</v>
      </c>
      <c r="R1112" s="20" t="str">
        <f>Agencia[[#This Row],[territorio]]&amp;" cáncer cuello uterino cérvico útero salud PAP papanicolaou casos control población"</f>
        <v>Región de Aysén cáncer cuello uterino cérvico útero salud PAP papanicolaou casos control población</v>
      </c>
      <c r="S1112" s="39" t="str">
        <f>HYPERLINK("https://analytics.zoho.com/open-view/2395394000008099329?ZOHO_CRITERIA=%22Localiza%20CL%22.%22Codreg%22%20%3D%20"&amp;Agencia[[#This Row],[Filtro URL]])</f>
        <v>https://analytics.zoho.com/open-view/2395394000008099329?ZOHO_CRITERIA=%22Localiza%20CL%22.%22Codreg%22%20%3D%2011</v>
      </c>
      <c r="T1112" s="68" t="str">
        <f>"100-R-"&amp;Agencia[[#This Row],[Filtro URL]]</f>
        <v>100-R-11</v>
      </c>
      <c r="U1112" s="50" t="str">
        <f t="shared" si="1865"/>
        <v>#1774B9</v>
      </c>
      <c r="V1112" s="118" t="str">
        <f>+Agencia[[#This Row],[idcoleccion]]&amp;"-"&amp;Agencia[[#This Row],[id]]</f>
        <v>990-1101</v>
      </c>
      <c r="W1112" s="118">
        <f>+VLOOKUP(Agencia[[#This Row],[Filtro URL]],Estructura!$X$4:$Y$500,2,0)</f>
        <v>99200011</v>
      </c>
      <c r="X1112" s="118" t="str">
        <f>+VLOOKUP(Agencia[[#This Row],[tema]],Estructura!$A$4:$C$500,3,0)</f>
        <v>T-999</v>
      </c>
      <c r="Y1112" s="118" t="str">
        <f>+VLOOKUP(Agencia[[#This Row],[contenido]],Estructura!$E$4:$G$500,3,0)</f>
        <v>C-1009</v>
      </c>
      <c r="Z1112" s="118" t="str">
        <f>+VLOOKUP(Agencia[[#This Row],[Filtro Integrado]],Estructura!$I$4:$K$500,3,0)</f>
        <v>FI-993</v>
      </c>
      <c r="AA1112" s="118" t="str">
        <f>+VLOOKUP(Agencia[[#This Row],[Muestra]],Estructura!$M$4:$O$500,3,0)</f>
        <v>M-1080</v>
      </c>
    </row>
    <row r="1113" spans="1:27" ht="57.6" x14ac:dyDescent="0.3">
      <c r="A1113" s="21" t="s">
        <v>2009</v>
      </c>
      <c r="B1113" s="24">
        <f t="shared" ref="B1113:D1113" si="1886">+B1112</f>
        <v>990</v>
      </c>
      <c r="C1113" s="25" t="str">
        <f t="shared" si="1886"/>
        <v>Agencia Información</v>
      </c>
      <c r="D1113" s="25" t="str">
        <f t="shared" si="1886"/>
        <v>Mujeres</v>
      </c>
      <c r="E1113" s="19">
        <v>12</v>
      </c>
      <c r="F1113" s="18" t="s">
        <v>1018</v>
      </c>
      <c r="G1113" s="18" t="s">
        <v>3783</v>
      </c>
      <c r="H1113" s="35" t="s">
        <v>16</v>
      </c>
      <c r="I1113" s="36" t="s">
        <v>379</v>
      </c>
      <c r="J1113" s="9" t="str">
        <f t="shared" ref="J1113:N1113" si="1887">+J1112</f>
        <v>Ninguno</v>
      </c>
      <c r="K1113" s="9" t="s">
        <v>1724</v>
      </c>
      <c r="L1113" s="38" t="str">
        <f t="shared" si="1887"/>
        <v>Periodo 2011-2018</v>
      </c>
      <c r="M1113" s="9" t="str">
        <f t="shared" si="1887"/>
        <v>Número de Casos</v>
      </c>
      <c r="N1113" s="9" t="str">
        <f t="shared" si="1887"/>
        <v>Departamento de Estadísticas e Información de la Salud (DEIS) - Ministerio de Salud</v>
      </c>
      <c r="O1113" s="45" t="str">
        <f>+"Población en Control del Programa de Cáncer de Cuello Uterino en la "&amp;I1113&amp;", "&amp;Agencia[[#This Row],[temporalidad]]</f>
        <v>Población en Control del Programa de Cáncer de Cuello Uterino en la Región de Magallanes, Periodo 2011-2018</v>
      </c>
      <c r="P1113" s="20"/>
      <c r="Q1113" s="11" t="str">
        <f t="shared" si="1797"/>
        <v>Gráfico de Evolución</v>
      </c>
      <c r="R1113" s="20" t="str">
        <f>Agencia[[#This Row],[territorio]]&amp;" cáncer cuello uterino cérvico útero salud PAP papanicolaou casos control población"</f>
        <v>Región de Magallanes cáncer cuello uterino cérvico útero salud PAP papanicolaou casos control población</v>
      </c>
      <c r="S1113" s="39" t="str">
        <f>HYPERLINK("https://analytics.zoho.com/open-view/2395394000008099329?ZOHO_CRITERIA=%22Localiza%20CL%22.%22Codreg%22%20%3D%20"&amp;Agencia[[#This Row],[Filtro URL]])</f>
        <v>https://analytics.zoho.com/open-view/2395394000008099329?ZOHO_CRITERIA=%22Localiza%20CL%22.%22Codreg%22%20%3D%2012</v>
      </c>
      <c r="T1113" s="68" t="str">
        <f>"100-R-"&amp;Agencia[[#This Row],[Filtro URL]]</f>
        <v>100-R-12</v>
      </c>
      <c r="U1113" s="50" t="str">
        <f t="shared" si="1865"/>
        <v>#1774B9</v>
      </c>
      <c r="V1113" s="118" t="str">
        <f>+Agencia[[#This Row],[idcoleccion]]&amp;"-"&amp;Agencia[[#This Row],[id]]</f>
        <v>990-1102</v>
      </c>
      <c r="W1113" s="118">
        <f>+VLOOKUP(Agencia[[#This Row],[Filtro URL]],Estructura!$X$4:$Y$500,2,0)</f>
        <v>99200012</v>
      </c>
      <c r="X1113" s="118" t="str">
        <f>+VLOOKUP(Agencia[[#This Row],[tema]],Estructura!$A$4:$C$500,3,0)</f>
        <v>T-999</v>
      </c>
      <c r="Y1113" s="118" t="str">
        <f>+VLOOKUP(Agencia[[#This Row],[contenido]],Estructura!$E$4:$G$500,3,0)</f>
        <v>C-1009</v>
      </c>
      <c r="Z1113" s="118" t="str">
        <f>+VLOOKUP(Agencia[[#This Row],[Filtro Integrado]],Estructura!$I$4:$K$500,3,0)</f>
        <v>FI-993</v>
      </c>
      <c r="AA1113" s="118" t="str">
        <f>+VLOOKUP(Agencia[[#This Row],[Muestra]],Estructura!$M$4:$O$500,3,0)</f>
        <v>M-1080</v>
      </c>
    </row>
    <row r="1114" spans="1:27" ht="57.6" x14ac:dyDescent="0.3">
      <c r="A1114" s="21" t="s">
        <v>1451</v>
      </c>
      <c r="B1114" s="24">
        <f t="shared" ref="B1114:D1114" si="1888">+B1113</f>
        <v>990</v>
      </c>
      <c r="C1114" s="25" t="str">
        <f t="shared" si="1888"/>
        <v>Agencia Información</v>
      </c>
      <c r="D1114" s="25" t="str">
        <f t="shared" si="1888"/>
        <v>Mujeres</v>
      </c>
      <c r="E1114" s="19">
        <v>13</v>
      </c>
      <c r="F1114" s="18" t="s">
        <v>1018</v>
      </c>
      <c r="G1114" s="18" t="s">
        <v>3783</v>
      </c>
      <c r="H1114" s="35" t="s">
        <v>16</v>
      </c>
      <c r="I1114" s="36" t="s">
        <v>380</v>
      </c>
      <c r="J1114" s="9" t="str">
        <f t="shared" ref="J1114:N1114" si="1889">+J1113</f>
        <v>Ninguno</v>
      </c>
      <c r="K1114" s="9" t="s">
        <v>1724</v>
      </c>
      <c r="L1114" s="38" t="str">
        <f t="shared" si="1889"/>
        <v>Periodo 2011-2018</v>
      </c>
      <c r="M1114" s="9" t="str">
        <f t="shared" si="1889"/>
        <v>Número de Casos</v>
      </c>
      <c r="N1114" s="9" t="str">
        <f t="shared" si="1889"/>
        <v>Departamento de Estadísticas e Información de la Salud (DEIS) - Ministerio de Salud</v>
      </c>
      <c r="O1114" s="45" t="str">
        <f>+"Población en Control del Programa de Cáncer de Cuello Uterino en la "&amp;I1114&amp;", "&amp;Agencia[[#This Row],[temporalidad]]</f>
        <v>Población en Control del Programa de Cáncer de Cuello Uterino en la Región Metropolitana, Periodo 2011-2018</v>
      </c>
      <c r="P1114" s="20"/>
      <c r="Q1114" s="11" t="str">
        <f t="shared" si="1797"/>
        <v>Gráfico de Evolución</v>
      </c>
      <c r="R1114" s="20" t="str">
        <f>Agencia[[#This Row],[territorio]]&amp;" cáncer cuello uterino cérvico útero salud PAP papanicolaou casos control población"</f>
        <v>Región Metropolitana cáncer cuello uterino cérvico útero salud PAP papanicolaou casos control población</v>
      </c>
      <c r="S1114" s="39" t="str">
        <f>HYPERLINK("https://analytics.zoho.com/open-view/2395394000008099329?ZOHO_CRITERIA=%22Localiza%20CL%22.%22Codreg%22%20%3D%20"&amp;Agencia[[#This Row],[Filtro URL]])</f>
        <v>https://analytics.zoho.com/open-view/2395394000008099329?ZOHO_CRITERIA=%22Localiza%20CL%22.%22Codreg%22%20%3D%2013</v>
      </c>
      <c r="T1114" s="68" t="str">
        <f>"200-R-"&amp;Agencia[[#This Row],[Filtro URL]]</f>
        <v>200-R-13</v>
      </c>
      <c r="U1114" s="50" t="str">
        <f t="shared" si="1865"/>
        <v>#1774B9</v>
      </c>
      <c r="V1114" s="118" t="str">
        <f>+Agencia[[#This Row],[idcoleccion]]&amp;"-"&amp;Agencia[[#This Row],[id]]</f>
        <v>990-1103</v>
      </c>
      <c r="W1114" s="118">
        <f>+VLOOKUP(Agencia[[#This Row],[Filtro URL]],Estructura!$X$4:$Y$500,2,0)</f>
        <v>99200013</v>
      </c>
      <c r="X1114" s="118" t="str">
        <f>+VLOOKUP(Agencia[[#This Row],[tema]],Estructura!$A$4:$C$500,3,0)</f>
        <v>T-999</v>
      </c>
      <c r="Y1114" s="118" t="str">
        <f>+VLOOKUP(Agencia[[#This Row],[contenido]],Estructura!$E$4:$G$500,3,0)</f>
        <v>C-1009</v>
      </c>
      <c r="Z1114" s="118" t="str">
        <f>+VLOOKUP(Agencia[[#This Row],[Filtro Integrado]],Estructura!$I$4:$K$500,3,0)</f>
        <v>FI-993</v>
      </c>
      <c r="AA1114" s="118" t="str">
        <f>+VLOOKUP(Agencia[[#This Row],[Muestra]],Estructura!$M$4:$O$500,3,0)</f>
        <v>M-1080</v>
      </c>
    </row>
    <row r="1115" spans="1:27" ht="57.6" x14ac:dyDescent="0.3">
      <c r="A1115" s="21" t="s">
        <v>1452</v>
      </c>
      <c r="B1115" s="24">
        <f t="shared" ref="B1115:D1115" si="1890">+B1114</f>
        <v>990</v>
      </c>
      <c r="C1115" s="25" t="str">
        <f t="shared" si="1890"/>
        <v>Agencia Información</v>
      </c>
      <c r="D1115" s="25" t="str">
        <f t="shared" si="1890"/>
        <v>Mujeres</v>
      </c>
      <c r="E1115" s="19">
        <v>14</v>
      </c>
      <c r="F1115" s="18" t="s">
        <v>1018</v>
      </c>
      <c r="G1115" s="18" t="s">
        <v>3783</v>
      </c>
      <c r="H1115" s="35" t="s">
        <v>16</v>
      </c>
      <c r="I1115" s="36" t="s">
        <v>381</v>
      </c>
      <c r="J1115" s="9" t="str">
        <f t="shared" ref="J1115:N1115" si="1891">+J1114</f>
        <v>Ninguno</v>
      </c>
      <c r="K1115" s="9" t="s">
        <v>1724</v>
      </c>
      <c r="L1115" s="38" t="str">
        <f t="shared" si="1891"/>
        <v>Periodo 2011-2018</v>
      </c>
      <c r="M1115" s="9" t="str">
        <f t="shared" si="1891"/>
        <v>Número de Casos</v>
      </c>
      <c r="N1115" s="9" t="str">
        <f t="shared" si="1891"/>
        <v>Departamento de Estadísticas e Información de la Salud (DEIS) - Ministerio de Salud</v>
      </c>
      <c r="O1115" s="45" t="str">
        <f>+"Población en Control del Programa de Cáncer de Cuello Uterino en la "&amp;I1115&amp;", "&amp;Agencia[[#This Row],[temporalidad]]</f>
        <v>Población en Control del Programa de Cáncer de Cuello Uterino en la Región de Los Ríos, Periodo 2011-2018</v>
      </c>
      <c r="P1115" s="20"/>
      <c r="Q1115" s="11" t="str">
        <f t="shared" si="1797"/>
        <v>Gráfico de Evolución</v>
      </c>
      <c r="R1115" s="20" t="str">
        <f>Agencia[[#This Row],[territorio]]&amp;" cáncer cuello uterino cérvico útero salud PAP papanicolaou casos control población"</f>
        <v>Región de Los Ríos cáncer cuello uterino cérvico útero salud PAP papanicolaou casos control población</v>
      </c>
      <c r="S1115" s="39" t="str">
        <f>HYPERLINK("https://analytics.zoho.com/open-view/2395394000008099329?ZOHO_CRITERIA=%22Localiza%20CL%22.%22Codreg%22%20%3D%20"&amp;Agencia[[#This Row],[Filtro URL]])</f>
        <v>https://analytics.zoho.com/open-view/2395394000008099329?ZOHO_CRITERIA=%22Localiza%20CL%22.%22Codreg%22%20%3D%2014</v>
      </c>
      <c r="T1115" s="68" t="str">
        <f>"100-R-"&amp;Agencia[[#This Row],[Filtro URL]]</f>
        <v>100-R-14</v>
      </c>
      <c r="U1115" s="50" t="str">
        <f t="shared" si="1865"/>
        <v>#1774B9</v>
      </c>
      <c r="V1115" s="118" t="str">
        <f>+Agencia[[#This Row],[idcoleccion]]&amp;"-"&amp;Agencia[[#This Row],[id]]</f>
        <v>990-1104</v>
      </c>
      <c r="W1115" s="118">
        <f>+VLOOKUP(Agencia[[#This Row],[Filtro URL]],Estructura!$X$4:$Y$500,2,0)</f>
        <v>99200014</v>
      </c>
      <c r="X1115" s="118" t="str">
        <f>+VLOOKUP(Agencia[[#This Row],[tema]],Estructura!$A$4:$C$500,3,0)</f>
        <v>T-999</v>
      </c>
      <c r="Y1115" s="118" t="str">
        <f>+VLOOKUP(Agencia[[#This Row],[contenido]],Estructura!$E$4:$G$500,3,0)</f>
        <v>C-1009</v>
      </c>
      <c r="Z1115" s="118" t="str">
        <f>+VLOOKUP(Agencia[[#This Row],[Filtro Integrado]],Estructura!$I$4:$K$500,3,0)</f>
        <v>FI-993</v>
      </c>
      <c r="AA1115" s="118" t="str">
        <f>+VLOOKUP(Agencia[[#This Row],[Muestra]],Estructura!$M$4:$O$500,3,0)</f>
        <v>M-1080</v>
      </c>
    </row>
    <row r="1116" spans="1:27" ht="57.6" x14ac:dyDescent="0.3">
      <c r="A1116" s="21" t="s">
        <v>1453</v>
      </c>
      <c r="B1116" s="24">
        <f t="shared" ref="B1116:D1116" si="1892">+B1115</f>
        <v>990</v>
      </c>
      <c r="C1116" s="25" t="str">
        <f t="shared" si="1892"/>
        <v>Agencia Información</v>
      </c>
      <c r="D1116" s="25" t="str">
        <f t="shared" si="1892"/>
        <v>Mujeres</v>
      </c>
      <c r="E1116" s="19">
        <v>15</v>
      </c>
      <c r="F1116" s="18" t="s">
        <v>1018</v>
      </c>
      <c r="G1116" s="18" t="s">
        <v>3783</v>
      </c>
      <c r="H1116" s="35" t="s">
        <v>16</v>
      </c>
      <c r="I1116" s="36" t="s">
        <v>382</v>
      </c>
      <c r="J1116" s="9" t="str">
        <f t="shared" ref="J1116:N1116" si="1893">+J1115</f>
        <v>Ninguno</v>
      </c>
      <c r="K1116" s="9" t="s">
        <v>1724</v>
      </c>
      <c r="L1116" s="38" t="str">
        <f t="shared" si="1893"/>
        <v>Periodo 2011-2018</v>
      </c>
      <c r="M1116" s="9" t="str">
        <f t="shared" si="1893"/>
        <v>Número de Casos</v>
      </c>
      <c r="N1116" s="9" t="str">
        <f t="shared" si="1893"/>
        <v>Departamento de Estadísticas e Información de la Salud (DEIS) - Ministerio de Salud</v>
      </c>
      <c r="O1116" s="45" t="str">
        <f>+"Población en Control del Programa de Cáncer de Cuello Uterino en la "&amp;I1116&amp;", "&amp;Agencia[[#This Row],[temporalidad]]</f>
        <v>Población en Control del Programa de Cáncer de Cuello Uterino en la Región de Arica y Parinacota, Periodo 2011-2018</v>
      </c>
      <c r="P1116" s="20"/>
      <c r="Q1116" s="11" t="str">
        <f t="shared" si="1797"/>
        <v>Gráfico de Evolución</v>
      </c>
      <c r="R1116" s="20" t="str">
        <f>Agencia[[#This Row],[territorio]]&amp;" cáncer cuello uterino cérvico útero salud PAP papanicolaou casos control población"</f>
        <v>Región de Arica y Parinacota cáncer cuello uterino cérvico útero salud PAP papanicolaou casos control población</v>
      </c>
      <c r="S1116" s="39" t="str">
        <f>HYPERLINK("https://analytics.zoho.com/open-view/2395394000008099329?ZOHO_CRITERIA=%22Localiza%20CL%22.%22Codreg%22%20%3D%20"&amp;Agencia[[#This Row],[Filtro URL]])</f>
        <v>https://analytics.zoho.com/open-view/2395394000008099329?ZOHO_CRITERIA=%22Localiza%20CL%22.%22Codreg%22%20%3D%2015</v>
      </c>
      <c r="T1116" s="68" t="str">
        <f>"100-R-"&amp;Agencia[[#This Row],[Filtro URL]]</f>
        <v>100-R-15</v>
      </c>
      <c r="U1116" s="50" t="str">
        <f t="shared" si="1865"/>
        <v>#1774B9</v>
      </c>
      <c r="V1116" s="118" t="str">
        <f>+Agencia[[#This Row],[idcoleccion]]&amp;"-"&amp;Agencia[[#This Row],[id]]</f>
        <v>990-1105</v>
      </c>
      <c r="W1116" s="118">
        <f>+VLOOKUP(Agencia[[#This Row],[Filtro URL]],Estructura!$X$4:$Y$500,2,0)</f>
        <v>99200015</v>
      </c>
      <c r="X1116" s="118" t="str">
        <f>+VLOOKUP(Agencia[[#This Row],[tema]],Estructura!$A$4:$C$500,3,0)</f>
        <v>T-999</v>
      </c>
      <c r="Y1116" s="118" t="str">
        <f>+VLOOKUP(Agencia[[#This Row],[contenido]],Estructura!$E$4:$G$500,3,0)</f>
        <v>C-1009</v>
      </c>
      <c r="Z1116" s="118" t="str">
        <f>+VLOOKUP(Agencia[[#This Row],[Filtro Integrado]],Estructura!$I$4:$K$500,3,0)</f>
        <v>FI-993</v>
      </c>
      <c r="AA1116" s="118" t="str">
        <f>+VLOOKUP(Agencia[[#This Row],[Muestra]],Estructura!$M$4:$O$500,3,0)</f>
        <v>M-1080</v>
      </c>
    </row>
    <row r="1117" spans="1:27" ht="57.6" x14ac:dyDescent="0.3">
      <c r="A1117" s="21" t="s">
        <v>1454</v>
      </c>
      <c r="B1117" s="24">
        <f t="shared" ref="B1117:D1117" si="1894">+B1116</f>
        <v>990</v>
      </c>
      <c r="C1117" s="25" t="str">
        <f t="shared" si="1894"/>
        <v>Agencia Información</v>
      </c>
      <c r="D1117" s="25" t="str">
        <f t="shared" si="1894"/>
        <v>Mujeres</v>
      </c>
      <c r="E1117" s="19">
        <v>16</v>
      </c>
      <c r="F1117" s="18" t="s">
        <v>1018</v>
      </c>
      <c r="G1117" s="18" t="s">
        <v>3783</v>
      </c>
      <c r="H1117" s="35" t="s">
        <v>16</v>
      </c>
      <c r="I1117" s="36" t="s">
        <v>383</v>
      </c>
      <c r="J1117" s="9" t="str">
        <f t="shared" ref="J1117:N1117" si="1895">+J1116</f>
        <v>Ninguno</v>
      </c>
      <c r="K1117" s="9" t="s">
        <v>1724</v>
      </c>
      <c r="L1117" s="38" t="str">
        <f t="shared" si="1895"/>
        <v>Periodo 2011-2018</v>
      </c>
      <c r="M1117" s="9" t="str">
        <f t="shared" si="1895"/>
        <v>Número de Casos</v>
      </c>
      <c r="N1117" s="9" t="str">
        <f t="shared" si="1895"/>
        <v>Departamento de Estadísticas e Información de la Salud (DEIS) - Ministerio de Salud</v>
      </c>
      <c r="O1117" s="45" t="str">
        <f>+"Población en Control del Programa de Cáncer de Cuello Uterino en la "&amp;I1117&amp;", "&amp;Agencia[[#This Row],[temporalidad]]</f>
        <v>Población en Control del Programa de Cáncer de Cuello Uterino en la Región de Ñuble, Periodo 2011-2018</v>
      </c>
      <c r="P1117" s="20"/>
      <c r="Q1117" s="11" t="str">
        <f t="shared" si="1797"/>
        <v>Gráfico de Evolución</v>
      </c>
      <c r="R1117" s="20" t="str">
        <f>Agencia[[#This Row],[territorio]]&amp;" cáncer cuello uterino cérvico útero salud PAP papanicolaou casos control población"</f>
        <v>Región de Ñuble cáncer cuello uterino cérvico útero salud PAP papanicolaou casos control población</v>
      </c>
      <c r="S1117" s="39" t="str">
        <f>HYPERLINK("https://analytics.zoho.com/open-view/2395394000008099329?ZOHO_CRITERIA=%22Localiza%20CL%22.%22Codreg%22%20%3D%20"&amp;Agencia[[#This Row],[Filtro URL]])</f>
        <v>https://analytics.zoho.com/open-view/2395394000008099329?ZOHO_CRITERIA=%22Localiza%20CL%22.%22Codreg%22%20%3D%2016</v>
      </c>
      <c r="T1117" s="68" t="str">
        <f>"100-R-"&amp;Agencia[[#This Row],[Filtro URL]]</f>
        <v>100-R-16</v>
      </c>
      <c r="U1117" s="50" t="str">
        <f t="shared" si="1865"/>
        <v>#1774B9</v>
      </c>
      <c r="V1117" s="118" t="str">
        <f>+Agencia[[#This Row],[idcoleccion]]&amp;"-"&amp;Agencia[[#This Row],[id]]</f>
        <v>990-1106</v>
      </c>
      <c r="W1117" s="118">
        <f>+VLOOKUP(Agencia[[#This Row],[Filtro URL]],Estructura!$X$4:$Y$500,2,0)</f>
        <v>99200016</v>
      </c>
      <c r="X1117" s="118" t="str">
        <f>+VLOOKUP(Agencia[[#This Row],[tema]],Estructura!$A$4:$C$500,3,0)</f>
        <v>T-999</v>
      </c>
      <c r="Y1117" s="118" t="str">
        <f>+VLOOKUP(Agencia[[#This Row],[contenido]],Estructura!$E$4:$G$500,3,0)</f>
        <v>C-1009</v>
      </c>
      <c r="Z1117" s="118" t="str">
        <f>+VLOOKUP(Agencia[[#This Row],[Filtro Integrado]],Estructura!$I$4:$K$500,3,0)</f>
        <v>FI-993</v>
      </c>
      <c r="AA1117" s="118" t="str">
        <f>+VLOOKUP(Agencia[[#This Row],[Muestra]],Estructura!$M$4:$O$500,3,0)</f>
        <v>M-1080</v>
      </c>
    </row>
    <row r="1118" spans="1:27" ht="48" x14ac:dyDescent="0.3">
      <c r="A1118" s="21" t="s">
        <v>6248</v>
      </c>
      <c r="B1118" s="24">
        <f t="shared" ref="B1118:C1118" si="1896">+B1117</f>
        <v>990</v>
      </c>
      <c r="C1118" s="25" t="str">
        <f t="shared" si="1896"/>
        <v>Agencia Información</v>
      </c>
      <c r="D1118" s="25" t="s">
        <v>574</v>
      </c>
      <c r="E1118" s="14">
        <v>0</v>
      </c>
      <c r="F1118" s="10" t="s">
        <v>1021</v>
      </c>
      <c r="G1118" s="18" t="s">
        <v>3784</v>
      </c>
      <c r="H1118" s="33" t="s">
        <v>20</v>
      </c>
      <c r="I1118" s="34" t="s">
        <v>15</v>
      </c>
      <c r="J1118" s="9" t="s">
        <v>404</v>
      </c>
      <c r="K1118" s="9" t="s">
        <v>2014</v>
      </c>
      <c r="L1118" s="38" t="s">
        <v>1677</v>
      </c>
      <c r="M1118" s="9" t="s">
        <v>592</v>
      </c>
      <c r="N1118" s="9" t="s">
        <v>910</v>
      </c>
      <c r="O1118" s="45" t="str">
        <f>+"Evolución de Población en Control en el Programa de VIH/SIDA y Variación Anual en "&amp;I1118&amp;", "&amp;Agencia[[#This Row],[temporalidad]]</f>
        <v>Evolución de Población en Control en el Programa de VIH/SIDA y Variación Anual en Chile, Periodo 2012-2018</v>
      </c>
      <c r="P1118" s="20" t="s">
        <v>2012</v>
      </c>
      <c r="Q1118" s="11" t="s">
        <v>821</v>
      </c>
      <c r="R1118" s="20" t="str">
        <f>Agencia[[#This Row],[territorio]]&amp;" VIH SIDA enfermedad transmisión sexual casos control población programa variación anual"</f>
        <v>Chile VIH SIDA enfermedad transmisión sexual casos control población programa variación anual</v>
      </c>
      <c r="S1118" s="39" t="s">
        <v>2013</v>
      </c>
      <c r="T1118" s="68">
        <v>0</v>
      </c>
      <c r="U1118" s="50" t="str">
        <f t="shared" si="1865"/>
        <v>#1774B9</v>
      </c>
      <c r="V1118" s="118" t="str">
        <f>+Agencia[[#This Row],[idcoleccion]]&amp;"-"&amp;Agencia[[#This Row],[id]]</f>
        <v>990-1107</v>
      </c>
      <c r="W1118" s="118">
        <f>+VLOOKUP(Agencia[[#This Row],[Filtro URL]],Estructura!$X$4:$Y$500,2,0)</f>
        <v>99100000</v>
      </c>
      <c r="X1118" s="118" t="str">
        <f>+VLOOKUP(Agencia[[#This Row],[tema]],Estructura!$A$4:$C$500,3,0)</f>
        <v>T-1000</v>
      </c>
      <c r="Y1118" s="118" t="str">
        <f>+VLOOKUP(Agencia[[#This Row],[contenido]],Estructura!$E$4:$G$500,3,0)</f>
        <v>C-1010</v>
      </c>
      <c r="Z1118" s="118" t="str">
        <f>+VLOOKUP(Agencia[[#This Row],[Filtro Integrado]],Estructura!$I$4:$K$500,3,0)</f>
        <v>FI-993</v>
      </c>
      <c r="AA1118" s="118" t="str">
        <f>+VLOOKUP(Agencia[[#This Row],[Muestra]],Estructura!$M$4:$O$500,3,0)</f>
        <v>M-1081</v>
      </c>
    </row>
    <row r="1119" spans="1:27" ht="57.6" x14ac:dyDescent="0.3">
      <c r="A1119" s="21" t="s">
        <v>3801</v>
      </c>
      <c r="B1119" s="24">
        <f t="shared" ref="B1119:D1119" si="1897">+B1118</f>
        <v>990</v>
      </c>
      <c r="C1119" s="25" t="str">
        <f t="shared" si="1897"/>
        <v>Agencia Información</v>
      </c>
      <c r="D1119" s="25" t="str">
        <f t="shared" si="1897"/>
        <v>Salud</v>
      </c>
      <c r="E1119" s="19">
        <v>1</v>
      </c>
      <c r="F1119" s="18" t="s">
        <v>1021</v>
      </c>
      <c r="G1119" s="18" t="s">
        <v>3784</v>
      </c>
      <c r="H1119" s="35" t="s">
        <v>16</v>
      </c>
      <c r="I1119" s="36" t="s">
        <v>368</v>
      </c>
      <c r="J1119" s="9" t="s">
        <v>404</v>
      </c>
      <c r="K1119" s="9" t="s">
        <v>1724</v>
      </c>
      <c r="L1119" s="38" t="str">
        <f>+L1118</f>
        <v>Periodo 2012-2018</v>
      </c>
      <c r="M1119" s="9" t="str">
        <f t="shared" ref="M1119:N1119" si="1898">+M1118</f>
        <v>Número de Casos</v>
      </c>
      <c r="N1119" s="9" t="str">
        <f t="shared" si="1898"/>
        <v>Departamento de Estadísticas e Información de la Salud (DEIS) - Ministerio de Salud</v>
      </c>
      <c r="O1119" s="45" t="str">
        <f>+"Población en Control del Programa de Cáncer de Cuello Uterino en la "&amp;I1119&amp;", "&amp;Agencia[[#This Row],[temporalidad]]</f>
        <v>Población en Control del Programa de Cáncer de Cuello Uterino en la Región de Tarapacá, Periodo 2012-2018</v>
      </c>
      <c r="P1119" s="20"/>
      <c r="Q1119" s="11" t="str">
        <f t="shared" si="1797"/>
        <v>Gráfico de Evolución</v>
      </c>
      <c r="R1119" s="20" t="str">
        <f>Agencia[[#This Row],[territorio]]&amp;" cáncer cuello uterino cérvico útero salud PAP papanicolaou casos control población"</f>
        <v>Región de Tarapacá cáncer cuello uterino cérvico útero salud PAP papanicolaou casos control población</v>
      </c>
      <c r="S1119" s="39" t="str">
        <f>HYPERLINK("https://analytics.zoho.com/open-view/2395394000008099329?ZOHO_CRITERIA=%22Localiza%20CL%22.%22Codreg%22%20%3D%20"&amp;Agencia[[#This Row],[Filtro URL]])</f>
        <v>https://analytics.zoho.com/open-view/2395394000008099329?ZOHO_CRITERIA=%22Localiza%20CL%22.%22Codreg%22%20%3D%201</v>
      </c>
      <c r="T1119" s="68" t="str">
        <f>"100-R-"&amp;Agencia[[#This Row],[Filtro URL]]</f>
        <v>100-R-1</v>
      </c>
      <c r="U1119" s="50" t="str">
        <f t="shared" si="1865"/>
        <v>#1774B9</v>
      </c>
      <c r="V1119" s="118" t="str">
        <f>+Agencia[[#This Row],[idcoleccion]]&amp;"-"&amp;Agencia[[#This Row],[id]]</f>
        <v>990-1108</v>
      </c>
      <c r="W1119" s="118">
        <f>+VLOOKUP(Agencia[[#This Row],[Filtro URL]],Estructura!$X$4:$Y$500,2,0)</f>
        <v>99200001</v>
      </c>
      <c r="X1119" s="118" t="str">
        <f>+VLOOKUP(Agencia[[#This Row],[tema]],Estructura!$A$4:$C$500,3,0)</f>
        <v>T-1000</v>
      </c>
      <c r="Y1119" s="118" t="str">
        <f>+VLOOKUP(Agencia[[#This Row],[contenido]],Estructura!$E$4:$G$500,3,0)</f>
        <v>C-1010</v>
      </c>
      <c r="Z1119" s="118" t="str">
        <f>+VLOOKUP(Agencia[[#This Row],[Filtro Integrado]],Estructura!$I$4:$K$500,3,0)</f>
        <v>FI-993</v>
      </c>
      <c r="AA1119" s="118" t="str">
        <f>+VLOOKUP(Agencia[[#This Row],[Muestra]],Estructura!$M$4:$O$500,3,0)</f>
        <v>M-1080</v>
      </c>
    </row>
    <row r="1120" spans="1:27" ht="57.6" x14ac:dyDescent="0.3">
      <c r="A1120" s="21" t="s">
        <v>3807</v>
      </c>
      <c r="B1120" s="24">
        <f t="shared" ref="B1120:D1120" si="1899">+B1119</f>
        <v>990</v>
      </c>
      <c r="C1120" s="25" t="str">
        <f t="shared" si="1899"/>
        <v>Agencia Información</v>
      </c>
      <c r="D1120" s="25" t="str">
        <f t="shared" si="1899"/>
        <v>Salud</v>
      </c>
      <c r="E1120" s="19">
        <v>2</v>
      </c>
      <c r="F1120" s="18" t="s">
        <v>1021</v>
      </c>
      <c r="G1120" s="18" t="s">
        <v>3784</v>
      </c>
      <c r="H1120" s="35" t="s">
        <v>16</v>
      </c>
      <c r="I1120" s="36" t="s">
        <v>369</v>
      </c>
      <c r="J1120" s="9" t="str">
        <f t="shared" ref="J1120" si="1900">+J1119</f>
        <v>Ninguno</v>
      </c>
      <c r="K1120" s="9" t="s">
        <v>1724</v>
      </c>
      <c r="L1120" s="38" t="str">
        <f t="shared" ref="L1120:N1120" si="1901">+L1119</f>
        <v>Periodo 2012-2018</v>
      </c>
      <c r="M1120" s="9" t="str">
        <f t="shared" si="1901"/>
        <v>Número de Casos</v>
      </c>
      <c r="N1120" s="9" t="str">
        <f t="shared" si="1901"/>
        <v>Departamento de Estadísticas e Información de la Salud (DEIS) - Ministerio de Salud</v>
      </c>
      <c r="O1120" s="45" t="str">
        <f>+"Población en Control del Programa de Cáncer de Cuello Uterino en la "&amp;I1120&amp;", "&amp;Agencia[[#This Row],[temporalidad]]</f>
        <v>Población en Control del Programa de Cáncer de Cuello Uterino en la Región de Antofagasta, Periodo 2012-2018</v>
      </c>
      <c r="P1120" s="20"/>
      <c r="Q1120" s="11" t="str">
        <f t="shared" si="1797"/>
        <v>Gráfico de Evolución</v>
      </c>
      <c r="R1120" s="20" t="str">
        <f>Agencia[[#This Row],[territorio]]&amp;" cáncer cuello uterino cérvico útero salud PAP papanicolaou casos control población"</f>
        <v>Región de Antofagasta cáncer cuello uterino cérvico útero salud PAP papanicolaou casos control población</v>
      </c>
      <c r="S1120" s="39" t="str">
        <f>HYPERLINK("https://analytics.zoho.com/open-view/2395394000008099329?ZOHO_CRITERIA=%22Localiza%20CL%22.%22Codreg%22%20%3D%20"&amp;Agencia[[#This Row],[Filtro URL]])</f>
        <v>https://analytics.zoho.com/open-view/2395394000008099329?ZOHO_CRITERIA=%22Localiza%20CL%22.%22Codreg%22%20%3D%202</v>
      </c>
      <c r="T1120" s="68" t="str">
        <f>"100-R-"&amp;Agencia[[#This Row],[Filtro URL]]</f>
        <v>100-R-2</v>
      </c>
      <c r="U1120" s="50" t="str">
        <f t="shared" si="1865"/>
        <v>#1774B9</v>
      </c>
      <c r="V1120" s="118" t="str">
        <f>+Agencia[[#This Row],[idcoleccion]]&amp;"-"&amp;Agencia[[#This Row],[id]]</f>
        <v>990-1109</v>
      </c>
      <c r="W1120" s="118">
        <f>+VLOOKUP(Agencia[[#This Row],[Filtro URL]],Estructura!$X$4:$Y$500,2,0)</f>
        <v>99200002</v>
      </c>
      <c r="X1120" s="118" t="str">
        <f>+VLOOKUP(Agencia[[#This Row],[tema]],Estructura!$A$4:$C$500,3,0)</f>
        <v>T-1000</v>
      </c>
      <c r="Y1120" s="118" t="str">
        <f>+VLOOKUP(Agencia[[#This Row],[contenido]],Estructura!$E$4:$G$500,3,0)</f>
        <v>C-1010</v>
      </c>
      <c r="Z1120" s="118" t="str">
        <f>+VLOOKUP(Agencia[[#This Row],[Filtro Integrado]],Estructura!$I$4:$K$500,3,0)</f>
        <v>FI-993</v>
      </c>
      <c r="AA1120" s="118" t="str">
        <f>+VLOOKUP(Agencia[[#This Row],[Muestra]],Estructura!$M$4:$O$500,3,0)</f>
        <v>M-1080</v>
      </c>
    </row>
    <row r="1121" spans="1:27" ht="57.6" x14ac:dyDescent="0.3">
      <c r="A1121" s="21" t="s">
        <v>3808</v>
      </c>
      <c r="B1121" s="24">
        <f t="shared" ref="B1121:D1121" si="1902">+B1120</f>
        <v>990</v>
      </c>
      <c r="C1121" s="25" t="str">
        <f t="shared" si="1902"/>
        <v>Agencia Información</v>
      </c>
      <c r="D1121" s="25" t="str">
        <f t="shared" si="1902"/>
        <v>Salud</v>
      </c>
      <c r="E1121" s="19">
        <v>3</v>
      </c>
      <c r="F1121" s="18" t="s">
        <v>1021</v>
      </c>
      <c r="G1121" s="18" t="s">
        <v>3784</v>
      </c>
      <c r="H1121" s="35" t="s">
        <v>16</v>
      </c>
      <c r="I1121" s="36" t="s">
        <v>370</v>
      </c>
      <c r="J1121" s="9" t="str">
        <f t="shared" ref="J1121" si="1903">+J1120</f>
        <v>Ninguno</v>
      </c>
      <c r="K1121" s="9" t="s">
        <v>1724</v>
      </c>
      <c r="L1121" s="38" t="str">
        <f t="shared" ref="L1121:N1121" si="1904">+L1120</f>
        <v>Periodo 2012-2018</v>
      </c>
      <c r="M1121" s="9" t="str">
        <f t="shared" si="1904"/>
        <v>Número de Casos</v>
      </c>
      <c r="N1121" s="9" t="str">
        <f t="shared" si="1904"/>
        <v>Departamento de Estadísticas e Información de la Salud (DEIS) - Ministerio de Salud</v>
      </c>
      <c r="O1121" s="45" t="str">
        <f>+"Población en Control del Programa de Cáncer de Cuello Uterino en la "&amp;I1121&amp;", "&amp;Agencia[[#This Row],[temporalidad]]</f>
        <v>Población en Control del Programa de Cáncer de Cuello Uterino en la Región de Atacama, Periodo 2012-2018</v>
      </c>
      <c r="P1121" s="20"/>
      <c r="Q1121" s="11" t="str">
        <f t="shared" si="1797"/>
        <v>Gráfico de Evolución</v>
      </c>
      <c r="R1121" s="20" t="str">
        <f>Agencia[[#This Row],[territorio]]&amp;" cáncer cuello uterino cérvico útero salud PAP papanicolaou casos control población"</f>
        <v>Región de Atacama cáncer cuello uterino cérvico útero salud PAP papanicolaou casos control población</v>
      </c>
      <c r="S1121" s="39" t="str">
        <f>HYPERLINK("https://analytics.zoho.com/open-view/2395394000008099329?ZOHO_CRITERIA=%22Localiza%20CL%22.%22Codreg%22%20%3D%20"&amp;Agencia[[#This Row],[Filtro URL]])</f>
        <v>https://analytics.zoho.com/open-view/2395394000008099329?ZOHO_CRITERIA=%22Localiza%20CL%22.%22Codreg%22%20%3D%203</v>
      </c>
      <c r="T1121" s="68" t="str">
        <f>"100-R-"&amp;Agencia[[#This Row],[Filtro URL]]</f>
        <v>100-R-3</v>
      </c>
      <c r="U1121" s="50" t="str">
        <f t="shared" si="1865"/>
        <v>#1774B9</v>
      </c>
      <c r="V1121" s="118" t="str">
        <f>+Agencia[[#This Row],[idcoleccion]]&amp;"-"&amp;Agencia[[#This Row],[id]]</f>
        <v>990-1110</v>
      </c>
      <c r="W1121" s="118">
        <f>+VLOOKUP(Agencia[[#This Row],[Filtro URL]],Estructura!$X$4:$Y$500,2,0)</f>
        <v>99200003</v>
      </c>
      <c r="X1121" s="118" t="str">
        <f>+VLOOKUP(Agencia[[#This Row],[tema]],Estructura!$A$4:$C$500,3,0)</f>
        <v>T-1000</v>
      </c>
      <c r="Y1121" s="118" t="str">
        <f>+VLOOKUP(Agencia[[#This Row],[contenido]],Estructura!$E$4:$G$500,3,0)</f>
        <v>C-1010</v>
      </c>
      <c r="Z1121" s="118" t="str">
        <f>+VLOOKUP(Agencia[[#This Row],[Filtro Integrado]],Estructura!$I$4:$K$500,3,0)</f>
        <v>FI-993</v>
      </c>
      <c r="AA1121" s="118" t="str">
        <f>+VLOOKUP(Agencia[[#This Row],[Muestra]],Estructura!$M$4:$O$500,3,0)</f>
        <v>M-1080</v>
      </c>
    </row>
    <row r="1122" spans="1:27" ht="57.6" x14ac:dyDescent="0.3">
      <c r="A1122" s="21" t="s">
        <v>3809</v>
      </c>
      <c r="B1122" s="24">
        <f t="shared" ref="B1122:D1122" si="1905">+B1121</f>
        <v>990</v>
      </c>
      <c r="C1122" s="25" t="str">
        <f t="shared" si="1905"/>
        <v>Agencia Información</v>
      </c>
      <c r="D1122" s="25" t="str">
        <f t="shared" si="1905"/>
        <v>Salud</v>
      </c>
      <c r="E1122" s="19">
        <v>4</v>
      </c>
      <c r="F1122" s="18" t="s">
        <v>1021</v>
      </c>
      <c r="G1122" s="18" t="s">
        <v>3784</v>
      </c>
      <c r="H1122" s="35" t="s">
        <v>16</v>
      </c>
      <c r="I1122" s="36" t="s">
        <v>371</v>
      </c>
      <c r="J1122" s="9" t="str">
        <f t="shared" ref="J1122" si="1906">+J1121</f>
        <v>Ninguno</v>
      </c>
      <c r="K1122" s="9" t="s">
        <v>1724</v>
      </c>
      <c r="L1122" s="38" t="str">
        <f t="shared" ref="L1122:N1122" si="1907">+L1121</f>
        <v>Periodo 2012-2018</v>
      </c>
      <c r="M1122" s="9" t="str">
        <f t="shared" si="1907"/>
        <v>Número de Casos</v>
      </c>
      <c r="N1122" s="9" t="str">
        <f t="shared" si="1907"/>
        <v>Departamento de Estadísticas e Información de la Salud (DEIS) - Ministerio de Salud</v>
      </c>
      <c r="O1122" s="45" t="str">
        <f>+"Población en Control del Programa de Cáncer de Cuello Uterino en la "&amp;I1122&amp;", "&amp;Agencia[[#This Row],[temporalidad]]</f>
        <v>Población en Control del Programa de Cáncer de Cuello Uterino en la Región de Coquimbo, Periodo 2012-2018</v>
      </c>
      <c r="P1122" s="20"/>
      <c r="Q1122" s="11" t="str">
        <f t="shared" si="1797"/>
        <v>Gráfico de Evolución</v>
      </c>
      <c r="R1122" s="20" t="str">
        <f>Agencia[[#This Row],[territorio]]&amp;" cáncer cuello uterino cérvico útero salud PAP papanicolaou casos control población"</f>
        <v>Región de Coquimbo cáncer cuello uterino cérvico útero salud PAP papanicolaou casos control población</v>
      </c>
      <c r="S1122" s="39" t="str">
        <f>HYPERLINK("https://analytics.zoho.com/open-view/2395394000008099329?ZOHO_CRITERIA=%22Localiza%20CL%22.%22Codreg%22%20%3D%20"&amp;Agencia[[#This Row],[Filtro URL]])</f>
        <v>https://analytics.zoho.com/open-view/2395394000008099329?ZOHO_CRITERIA=%22Localiza%20CL%22.%22Codreg%22%20%3D%204</v>
      </c>
      <c r="T1122" s="68" t="str">
        <f>"100-R-"&amp;Agencia[[#This Row],[Filtro URL]]</f>
        <v>100-R-4</v>
      </c>
      <c r="U1122" s="50" t="str">
        <f t="shared" si="1865"/>
        <v>#1774B9</v>
      </c>
      <c r="V1122" s="118" t="str">
        <f>+Agencia[[#This Row],[idcoleccion]]&amp;"-"&amp;Agencia[[#This Row],[id]]</f>
        <v>990-1111</v>
      </c>
      <c r="W1122" s="118">
        <f>+VLOOKUP(Agencia[[#This Row],[Filtro URL]],Estructura!$X$4:$Y$500,2,0)</f>
        <v>99200004</v>
      </c>
      <c r="X1122" s="118" t="str">
        <f>+VLOOKUP(Agencia[[#This Row],[tema]],Estructura!$A$4:$C$500,3,0)</f>
        <v>T-1000</v>
      </c>
      <c r="Y1122" s="118" t="str">
        <f>+VLOOKUP(Agencia[[#This Row],[contenido]],Estructura!$E$4:$G$500,3,0)</f>
        <v>C-1010</v>
      </c>
      <c r="Z1122" s="118" t="str">
        <f>+VLOOKUP(Agencia[[#This Row],[Filtro Integrado]],Estructura!$I$4:$K$500,3,0)</f>
        <v>FI-993</v>
      </c>
      <c r="AA1122" s="118" t="str">
        <f>+VLOOKUP(Agencia[[#This Row],[Muestra]],Estructura!$M$4:$O$500,3,0)</f>
        <v>M-1080</v>
      </c>
    </row>
    <row r="1123" spans="1:27" ht="57.6" x14ac:dyDescent="0.3">
      <c r="A1123" s="21" t="s">
        <v>3810</v>
      </c>
      <c r="B1123" s="24">
        <f t="shared" ref="B1123:D1123" si="1908">+B1122</f>
        <v>990</v>
      </c>
      <c r="C1123" s="25" t="str">
        <f t="shared" si="1908"/>
        <v>Agencia Información</v>
      </c>
      <c r="D1123" s="25" t="str">
        <f t="shared" si="1908"/>
        <v>Salud</v>
      </c>
      <c r="E1123" s="19">
        <v>5</v>
      </c>
      <c r="F1123" s="18" t="s">
        <v>1021</v>
      </c>
      <c r="G1123" s="18" t="s">
        <v>3784</v>
      </c>
      <c r="H1123" s="35" t="s">
        <v>16</v>
      </c>
      <c r="I1123" s="36" t="s">
        <v>372</v>
      </c>
      <c r="J1123" s="9" t="str">
        <f t="shared" ref="J1123" si="1909">+J1122</f>
        <v>Ninguno</v>
      </c>
      <c r="K1123" s="9" t="s">
        <v>1724</v>
      </c>
      <c r="L1123" s="38" t="str">
        <f t="shared" ref="L1123:N1123" si="1910">+L1122</f>
        <v>Periodo 2012-2018</v>
      </c>
      <c r="M1123" s="9" t="str">
        <f t="shared" si="1910"/>
        <v>Número de Casos</v>
      </c>
      <c r="N1123" s="9" t="str">
        <f t="shared" si="1910"/>
        <v>Departamento de Estadísticas e Información de la Salud (DEIS) - Ministerio de Salud</v>
      </c>
      <c r="O1123" s="45" t="str">
        <f>+"Población en Control del Programa de Cáncer de Cuello Uterino en la "&amp;I1123&amp;", "&amp;Agencia[[#This Row],[temporalidad]]</f>
        <v>Población en Control del Programa de Cáncer de Cuello Uterino en la Región de Valparaíso, Periodo 2012-2018</v>
      </c>
      <c r="P1123" s="20"/>
      <c r="Q1123" s="11" t="str">
        <f t="shared" si="1797"/>
        <v>Gráfico de Evolución</v>
      </c>
      <c r="R1123" s="20" t="str">
        <f>Agencia[[#This Row],[territorio]]&amp;" cáncer cuello uterino cérvico útero salud PAP papanicolaou casos control población"</f>
        <v>Región de Valparaíso cáncer cuello uterino cérvico útero salud PAP papanicolaou casos control población</v>
      </c>
      <c r="S1123" s="39" t="str">
        <f>HYPERLINK("https://analytics.zoho.com/open-view/2395394000008099329?ZOHO_CRITERIA=%22Localiza%20CL%22.%22Codreg%22%20%3D%20"&amp;Agencia[[#This Row],[Filtro URL]])</f>
        <v>https://analytics.zoho.com/open-view/2395394000008099329?ZOHO_CRITERIA=%22Localiza%20CL%22.%22Codreg%22%20%3D%205</v>
      </c>
      <c r="T1123" s="68" t="str">
        <f>"100-R-"&amp;Agencia[[#This Row],[Filtro URL]]</f>
        <v>100-R-5</v>
      </c>
      <c r="U1123" s="50" t="str">
        <f t="shared" si="1865"/>
        <v>#1774B9</v>
      </c>
      <c r="V1123" s="118" t="str">
        <f>+Agencia[[#This Row],[idcoleccion]]&amp;"-"&amp;Agencia[[#This Row],[id]]</f>
        <v>990-1112</v>
      </c>
      <c r="W1123" s="118">
        <f>+VLOOKUP(Agencia[[#This Row],[Filtro URL]],Estructura!$X$4:$Y$500,2,0)</f>
        <v>99200005</v>
      </c>
      <c r="X1123" s="118" t="str">
        <f>+VLOOKUP(Agencia[[#This Row],[tema]],Estructura!$A$4:$C$500,3,0)</f>
        <v>T-1000</v>
      </c>
      <c r="Y1123" s="118" t="str">
        <f>+VLOOKUP(Agencia[[#This Row],[contenido]],Estructura!$E$4:$G$500,3,0)</f>
        <v>C-1010</v>
      </c>
      <c r="Z1123" s="118" t="str">
        <f>+VLOOKUP(Agencia[[#This Row],[Filtro Integrado]],Estructura!$I$4:$K$500,3,0)</f>
        <v>FI-993</v>
      </c>
      <c r="AA1123" s="118" t="str">
        <f>+VLOOKUP(Agencia[[#This Row],[Muestra]],Estructura!$M$4:$O$500,3,0)</f>
        <v>M-1080</v>
      </c>
    </row>
    <row r="1124" spans="1:27" ht="57.6" x14ac:dyDescent="0.3">
      <c r="A1124" s="21" t="s">
        <v>3811</v>
      </c>
      <c r="B1124" s="24">
        <f t="shared" ref="B1124:D1124" si="1911">+B1123</f>
        <v>990</v>
      </c>
      <c r="C1124" s="25" t="str">
        <f t="shared" si="1911"/>
        <v>Agencia Información</v>
      </c>
      <c r="D1124" s="25" t="str">
        <f t="shared" si="1911"/>
        <v>Salud</v>
      </c>
      <c r="E1124" s="19">
        <v>6</v>
      </c>
      <c r="F1124" s="18" t="s">
        <v>1021</v>
      </c>
      <c r="G1124" s="18" t="s">
        <v>3784</v>
      </c>
      <c r="H1124" s="35" t="s">
        <v>16</v>
      </c>
      <c r="I1124" s="36" t="s">
        <v>373</v>
      </c>
      <c r="J1124" s="9" t="str">
        <f t="shared" ref="J1124" si="1912">+J1123</f>
        <v>Ninguno</v>
      </c>
      <c r="K1124" s="9" t="s">
        <v>1724</v>
      </c>
      <c r="L1124" s="38" t="str">
        <f t="shared" ref="L1124:N1124" si="1913">+L1123</f>
        <v>Periodo 2012-2018</v>
      </c>
      <c r="M1124" s="9" t="str">
        <f t="shared" si="1913"/>
        <v>Número de Casos</v>
      </c>
      <c r="N1124" s="9" t="str">
        <f t="shared" si="1913"/>
        <v>Departamento de Estadísticas e Información de la Salud (DEIS) - Ministerio de Salud</v>
      </c>
      <c r="O1124" s="45" t="str">
        <f>+"Población en Control del Programa de Cáncer de Cuello Uterino en la "&amp;I1124&amp;", "&amp;Agencia[[#This Row],[temporalidad]]</f>
        <v>Población en Control del Programa de Cáncer de Cuello Uterino en la Región de O'Higgins, Periodo 2012-2018</v>
      </c>
      <c r="P1124" s="20"/>
      <c r="Q1124" s="11" t="str">
        <f t="shared" si="1797"/>
        <v>Gráfico de Evolución</v>
      </c>
      <c r="R1124" s="20" t="str">
        <f>Agencia[[#This Row],[territorio]]&amp;" cáncer cuello uterino cérvico útero salud PAP papanicolaou casos control población"</f>
        <v>Región de O'Higgins cáncer cuello uterino cérvico útero salud PAP papanicolaou casos control población</v>
      </c>
      <c r="S1124" s="39" t="str">
        <f>HYPERLINK("https://analytics.zoho.com/open-view/2395394000008099329?ZOHO_CRITERIA=%22Localiza%20CL%22.%22Codreg%22%20%3D%20"&amp;Agencia[[#This Row],[Filtro URL]])</f>
        <v>https://analytics.zoho.com/open-view/2395394000008099329?ZOHO_CRITERIA=%22Localiza%20CL%22.%22Codreg%22%20%3D%206</v>
      </c>
      <c r="T1124" s="68" t="str">
        <f>"100-R-"&amp;Agencia[[#This Row],[Filtro URL]]</f>
        <v>100-R-6</v>
      </c>
      <c r="U1124" s="50" t="str">
        <f t="shared" si="1865"/>
        <v>#1774B9</v>
      </c>
      <c r="V1124" s="118" t="str">
        <f>+Agencia[[#This Row],[idcoleccion]]&amp;"-"&amp;Agencia[[#This Row],[id]]</f>
        <v>990-1113</v>
      </c>
      <c r="W1124" s="118">
        <f>+VLOOKUP(Agencia[[#This Row],[Filtro URL]],Estructura!$X$4:$Y$500,2,0)</f>
        <v>99200006</v>
      </c>
      <c r="X1124" s="118" t="str">
        <f>+VLOOKUP(Agencia[[#This Row],[tema]],Estructura!$A$4:$C$500,3,0)</f>
        <v>T-1000</v>
      </c>
      <c r="Y1124" s="118" t="str">
        <f>+VLOOKUP(Agencia[[#This Row],[contenido]],Estructura!$E$4:$G$500,3,0)</f>
        <v>C-1010</v>
      </c>
      <c r="Z1124" s="118" t="str">
        <f>+VLOOKUP(Agencia[[#This Row],[Filtro Integrado]],Estructura!$I$4:$K$500,3,0)</f>
        <v>FI-993</v>
      </c>
      <c r="AA1124" s="118" t="str">
        <f>+VLOOKUP(Agencia[[#This Row],[Muestra]],Estructura!$M$4:$O$500,3,0)</f>
        <v>M-1080</v>
      </c>
    </row>
    <row r="1125" spans="1:27" ht="57.6" x14ac:dyDescent="0.3">
      <c r="A1125" s="21" t="s">
        <v>3812</v>
      </c>
      <c r="B1125" s="24">
        <f t="shared" ref="B1125:D1125" si="1914">+B1124</f>
        <v>990</v>
      </c>
      <c r="C1125" s="25" t="str">
        <f t="shared" si="1914"/>
        <v>Agencia Información</v>
      </c>
      <c r="D1125" s="25" t="str">
        <f t="shared" si="1914"/>
        <v>Salud</v>
      </c>
      <c r="E1125" s="19">
        <v>7</v>
      </c>
      <c r="F1125" s="18" t="s">
        <v>1021</v>
      </c>
      <c r="G1125" s="18" t="s">
        <v>3784</v>
      </c>
      <c r="H1125" s="35" t="s">
        <v>16</v>
      </c>
      <c r="I1125" s="36" t="s">
        <v>374</v>
      </c>
      <c r="J1125" s="9" t="str">
        <f t="shared" ref="J1125" si="1915">+J1124</f>
        <v>Ninguno</v>
      </c>
      <c r="K1125" s="9" t="s">
        <v>1724</v>
      </c>
      <c r="L1125" s="38" t="str">
        <f t="shared" ref="L1125:N1125" si="1916">+L1124</f>
        <v>Periodo 2012-2018</v>
      </c>
      <c r="M1125" s="9" t="str">
        <f t="shared" si="1916"/>
        <v>Número de Casos</v>
      </c>
      <c r="N1125" s="9" t="str">
        <f t="shared" si="1916"/>
        <v>Departamento de Estadísticas e Información de la Salud (DEIS) - Ministerio de Salud</v>
      </c>
      <c r="O1125" s="45" t="str">
        <f>+"Población en Control del Programa de Cáncer de Cuello Uterino en la "&amp;I1125&amp;", "&amp;Agencia[[#This Row],[temporalidad]]</f>
        <v>Población en Control del Programa de Cáncer de Cuello Uterino en la Región de Maule, Periodo 2012-2018</v>
      </c>
      <c r="P1125" s="20"/>
      <c r="Q1125" s="11" t="str">
        <f t="shared" si="1797"/>
        <v>Gráfico de Evolución</v>
      </c>
      <c r="R1125" s="20" t="str">
        <f>Agencia[[#This Row],[territorio]]&amp;" cáncer cuello uterino cérvico útero salud PAP papanicolaou casos control población"</f>
        <v>Región de Maule cáncer cuello uterino cérvico útero salud PAP papanicolaou casos control población</v>
      </c>
      <c r="S1125" s="39" t="str">
        <f>HYPERLINK("https://analytics.zoho.com/open-view/2395394000008099329?ZOHO_CRITERIA=%22Localiza%20CL%22.%22Codreg%22%20%3D%20"&amp;Agencia[[#This Row],[Filtro URL]])</f>
        <v>https://analytics.zoho.com/open-view/2395394000008099329?ZOHO_CRITERIA=%22Localiza%20CL%22.%22Codreg%22%20%3D%207</v>
      </c>
      <c r="T1125" s="68" t="str">
        <f>"100-R-"&amp;Agencia[[#This Row],[Filtro URL]]</f>
        <v>100-R-7</v>
      </c>
      <c r="U1125" s="50" t="str">
        <f t="shared" si="1865"/>
        <v>#1774B9</v>
      </c>
      <c r="V1125" s="118" t="str">
        <f>+Agencia[[#This Row],[idcoleccion]]&amp;"-"&amp;Agencia[[#This Row],[id]]</f>
        <v>990-1114</v>
      </c>
      <c r="W1125" s="118">
        <f>+VLOOKUP(Agencia[[#This Row],[Filtro URL]],Estructura!$X$4:$Y$500,2,0)</f>
        <v>99200007</v>
      </c>
      <c r="X1125" s="118" t="str">
        <f>+VLOOKUP(Agencia[[#This Row],[tema]],Estructura!$A$4:$C$500,3,0)</f>
        <v>T-1000</v>
      </c>
      <c r="Y1125" s="118" t="str">
        <f>+VLOOKUP(Agencia[[#This Row],[contenido]],Estructura!$E$4:$G$500,3,0)</f>
        <v>C-1010</v>
      </c>
      <c r="Z1125" s="118" t="str">
        <f>+VLOOKUP(Agencia[[#This Row],[Filtro Integrado]],Estructura!$I$4:$K$500,3,0)</f>
        <v>FI-993</v>
      </c>
      <c r="AA1125" s="118" t="str">
        <f>+VLOOKUP(Agencia[[#This Row],[Muestra]],Estructura!$M$4:$O$500,3,0)</f>
        <v>M-1080</v>
      </c>
    </row>
    <row r="1126" spans="1:27" ht="57.6" x14ac:dyDescent="0.3">
      <c r="A1126" s="21" t="s">
        <v>3813</v>
      </c>
      <c r="B1126" s="24">
        <f t="shared" ref="B1126:D1126" si="1917">+B1125</f>
        <v>990</v>
      </c>
      <c r="C1126" s="25" t="str">
        <f t="shared" si="1917"/>
        <v>Agencia Información</v>
      </c>
      <c r="D1126" s="25" t="str">
        <f t="shared" si="1917"/>
        <v>Salud</v>
      </c>
      <c r="E1126" s="19">
        <v>8</v>
      </c>
      <c r="F1126" s="18" t="s">
        <v>1021</v>
      </c>
      <c r="G1126" s="18" t="s">
        <v>3784</v>
      </c>
      <c r="H1126" s="35" t="s">
        <v>16</v>
      </c>
      <c r="I1126" s="36" t="s">
        <v>375</v>
      </c>
      <c r="J1126" s="9" t="str">
        <f t="shared" ref="J1126" si="1918">+J1125</f>
        <v>Ninguno</v>
      </c>
      <c r="K1126" s="9" t="s">
        <v>1724</v>
      </c>
      <c r="L1126" s="38" t="str">
        <f t="shared" ref="L1126:N1126" si="1919">+L1125</f>
        <v>Periodo 2012-2018</v>
      </c>
      <c r="M1126" s="9" t="str">
        <f t="shared" si="1919"/>
        <v>Número de Casos</v>
      </c>
      <c r="N1126" s="9" t="str">
        <f t="shared" si="1919"/>
        <v>Departamento de Estadísticas e Información de la Salud (DEIS) - Ministerio de Salud</v>
      </c>
      <c r="O1126" s="45" t="str">
        <f>+"Población en Control del Programa de Cáncer de Cuello Uterino en la "&amp;I1126&amp;", "&amp;Agencia[[#This Row],[temporalidad]]</f>
        <v>Población en Control del Programa de Cáncer de Cuello Uterino en la Región del Biobío, Periodo 2012-2018</v>
      </c>
      <c r="P1126" s="20"/>
      <c r="Q1126" s="11" t="str">
        <f t="shared" si="1797"/>
        <v>Gráfico de Evolución</v>
      </c>
      <c r="R1126" s="20" t="str">
        <f>Agencia[[#This Row],[territorio]]&amp;" cáncer cuello uterino cérvico útero salud PAP papanicolaou casos control población"</f>
        <v>Región del Biobío cáncer cuello uterino cérvico útero salud PAP papanicolaou casos control población</v>
      </c>
      <c r="S1126" s="39" t="str">
        <f>HYPERLINK("https://analytics.zoho.com/open-view/2395394000008099329?ZOHO_CRITERIA=%22Localiza%20CL%22.%22Codreg%22%20%3D%20"&amp;Agencia[[#This Row],[Filtro URL]])</f>
        <v>https://analytics.zoho.com/open-view/2395394000008099329?ZOHO_CRITERIA=%22Localiza%20CL%22.%22Codreg%22%20%3D%208</v>
      </c>
      <c r="T1126" s="68" t="str">
        <f>"100-R-"&amp;Agencia[[#This Row],[Filtro URL]]</f>
        <v>100-R-8</v>
      </c>
      <c r="U1126" s="50" t="str">
        <f t="shared" si="1865"/>
        <v>#1774B9</v>
      </c>
      <c r="V1126" s="118" t="str">
        <f>+Agencia[[#This Row],[idcoleccion]]&amp;"-"&amp;Agencia[[#This Row],[id]]</f>
        <v>990-1115</v>
      </c>
      <c r="W1126" s="118">
        <f>+VLOOKUP(Agencia[[#This Row],[Filtro URL]],Estructura!$X$4:$Y$500,2,0)</f>
        <v>99200008</v>
      </c>
      <c r="X1126" s="118" t="str">
        <f>+VLOOKUP(Agencia[[#This Row],[tema]],Estructura!$A$4:$C$500,3,0)</f>
        <v>T-1000</v>
      </c>
      <c r="Y1126" s="118" t="str">
        <f>+VLOOKUP(Agencia[[#This Row],[contenido]],Estructura!$E$4:$G$500,3,0)</f>
        <v>C-1010</v>
      </c>
      <c r="Z1126" s="118" t="str">
        <f>+VLOOKUP(Agencia[[#This Row],[Filtro Integrado]],Estructura!$I$4:$K$500,3,0)</f>
        <v>FI-993</v>
      </c>
      <c r="AA1126" s="118" t="str">
        <f>+VLOOKUP(Agencia[[#This Row],[Muestra]],Estructura!$M$4:$O$500,3,0)</f>
        <v>M-1080</v>
      </c>
    </row>
    <row r="1127" spans="1:27" ht="57.6" x14ac:dyDescent="0.3">
      <c r="A1127" s="21" t="s">
        <v>3814</v>
      </c>
      <c r="B1127" s="24">
        <f t="shared" ref="B1127:D1127" si="1920">+B1126</f>
        <v>990</v>
      </c>
      <c r="C1127" s="25" t="str">
        <f t="shared" si="1920"/>
        <v>Agencia Información</v>
      </c>
      <c r="D1127" s="25" t="str">
        <f t="shared" si="1920"/>
        <v>Salud</v>
      </c>
      <c r="E1127" s="19">
        <v>9</v>
      </c>
      <c r="F1127" s="18" t="s">
        <v>1021</v>
      </c>
      <c r="G1127" s="18" t="s">
        <v>3784</v>
      </c>
      <c r="H1127" s="35" t="s">
        <v>16</v>
      </c>
      <c r="I1127" s="36" t="s">
        <v>376</v>
      </c>
      <c r="J1127" s="9" t="str">
        <f t="shared" ref="J1127" si="1921">+J1126</f>
        <v>Ninguno</v>
      </c>
      <c r="K1127" s="9" t="s">
        <v>1724</v>
      </c>
      <c r="L1127" s="38" t="str">
        <f t="shared" ref="L1127:N1127" si="1922">+L1126</f>
        <v>Periodo 2012-2018</v>
      </c>
      <c r="M1127" s="9" t="str">
        <f t="shared" si="1922"/>
        <v>Número de Casos</v>
      </c>
      <c r="N1127" s="9" t="str">
        <f t="shared" si="1922"/>
        <v>Departamento de Estadísticas e Información de la Salud (DEIS) - Ministerio de Salud</v>
      </c>
      <c r="O1127" s="45" t="str">
        <f>+"Población en Control del Programa de Cáncer de Cuello Uterino en la "&amp;I1127&amp;", "&amp;Agencia[[#This Row],[temporalidad]]</f>
        <v>Población en Control del Programa de Cáncer de Cuello Uterino en la Región de La Araucanía, Periodo 2012-2018</v>
      </c>
      <c r="P1127" s="20"/>
      <c r="Q1127" s="11" t="str">
        <f t="shared" si="1797"/>
        <v>Gráfico de Evolución</v>
      </c>
      <c r="R1127" s="20" t="str">
        <f>Agencia[[#This Row],[territorio]]&amp;" cáncer cuello uterino cérvico útero salud PAP papanicolaou casos control población"</f>
        <v>Región de La Araucanía cáncer cuello uterino cérvico útero salud PAP papanicolaou casos control población</v>
      </c>
      <c r="S1127" s="39" t="str">
        <f>HYPERLINK("https://analytics.zoho.com/open-view/2395394000008099329?ZOHO_CRITERIA=%22Localiza%20CL%22.%22Codreg%22%20%3D%20"&amp;Agencia[[#This Row],[Filtro URL]])</f>
        <v>https://analytics.zoho.com/open-view/2395394000008099329?ZOHO_CRITERIA=%22Localiza%20CL%22.%22Codreg%22%20%3D%209</v>
      </c>
      <c r="T1127" s="68" t="str">
        <f>"100-R-"&amp;Agencia[[#This Row],[Filtro URL]]</f>
        <v>100-R-9</v>
      </c>
      <c r="U1127" s="50" t="str">
        <f t="shared" si="1865"/>
        <v>#1774B9</v>
      </c>
      <c r="V1127" s="118" t="str">
        <f>+Agencia[[#This Row],[idcoleccion]]&amp;"-"&amp;Agencia[[#This Row],[id]]</f>
        <v>990-1116</v>
      </c>
      <c r="W1127" s="118">
        <f>+VLOOKUP(Agencia[[#This Row],[Filtro URL]],Estructura!$X$4:$Y$500,2,0)</f>
        <v>99200009</v>
      </c>
      <c r="X1127" s="118" t="str">
        <f>+VLOOKUP(Agencia[[#This Row],[tema]],Estructura!$A$4:$C$500,3,0)</f>
        <v>T-1000</v>
      </c>
      <c r="Y1127" s="118" t="str">
        <f>+VLOOKUP(Agencia[[#This Row],[contenido]],Estructura!$E$4:$G$500,3,0)</f>
        <v>C-1010</v>
      </c>
      <c r="Z1127" s="118" t="str">
        <f>+VLOOKUP(Agencia[[#This Row],[Filtro Integrado]],Estructura!$I$4:$K$500,3,0)</f>
        <v>FI-993</v>
      </c>
      <c r="AA1127" s="118" t="str">
        <f>+VLOOKUP(Agencia[[#This Row],[Muestra]],Estructura!$M$4:$O$500,3,0)</f>
        <v>M-1080</v>
      </c>
    </row>
    <row r="1128" spans="1:27" ht="57.6" x14ac:dyDescent="0.3">
      <c r="A1128" s="21" t="s">
        <v>3815</v>
      </c>
      <c r="B1128" s="24">
        <f t="shared" ref="B1128:D1128" si="1923">+B1127</f>
        <v>990</v>
      </c>
      <c r="C1128" s="25" t="str">
        <f t="shared" si="1923"/>
        <v>Agencia Información</v>
      </c>
      <c r="D1128" s="25" t="str">
        <f t="shared" si="1923"/>
        <v>Salud</v>
      </c>
      <c r="E1128" s="19">
        <v>10</v>
      </c>
      <c r="F1128" s="18" t="s">
        <v>1021</v>
      </c>
      <c r="G1128" s="18" t="s">
        <v>3784</v>
      </c>
      <c r="H1128" s="35" t="s">
        <v>16</v>
      </c>
      <c r="I1128" s="36" t="s">
        <v>377</v>
      </c>
      <c r="J1128" s="9" t="str">
        <f t="shared" ref="J1128" si="1924">+J1127</f>
        <v>Ninguno</v>
      </c>
      <c r="K1128" s="9" t="s">
        <v>1724</v>
      </c>
      <c r="L1128" s="38" t="str">
        <f t="shared" ref="L1128:N1128" si="1925">+L1127</f>
        <v>Periodo 2012-2018</v>
      </c>
      <c r="M1128" s="9" t="str">
        <f t="shared" si="1925"/>
        <v>Número de Casos</v>
      </c>
      <c r="N1128" s="9" t="str">
        <f t="shared" si="1925"/>
        <v>Departamento de Estadísticas e Información de la Salud (DEIS) - Ministerio de Salud</v>
      </c>
      <c r="O1128" s="45" t="str">
        <f>+"Población en Control del Programa de Cáncer de Cuello Uterino en la "&amp;I1128&amp;", "&amp;Agencia[[#This Row],[temporalidad]]</f>
        <v>Población en Control del Programa de Cáncer de Cuello Uterino en la Región de Los Lagos, Periodo 2012-2018</v>
      </c>
      <c r="P1128" s="20"/>
      <c r="Q1128" s="11" t="str">
        <f t="shared" si="1797"/>
        <v>Gráfico de Evolución</v>
      </c>
      <c r="R1128" s="20" t="str">
        <f>Agencia[[#This Row],[territorio]]&amp;" cáncer cuello uterino cérvico útero salud PAP papanicolaou casos control población"</f>
        <v>Región de Los Lagos cáncer cuello uterino cérvico útero salud PAP papanicolaou casos control población</v>
      </c>
      <c r="S1128" s="39" t="str">
        <f>HYPERLINK("https://analytics.zoho.com/open-view/2395394000008099329?ZOHO_CRITERIA=%22Localiza%20CL%22.%22Codreg%22%20%3D%20"&amp;Agencia[[#This Row],[Filtro URL]])</f>
        <v>https://analytics.zoho.com/open-view/2395394000008099329?ZOHO_CRITERIA=%22Localiza%20CL%22.%22Codreg%22%20%3D%2010</v>
      </c>
      <c r="T1128" s="68" t="str">
        <f>"100-R-"&amp;Agencia[[#This Row],[Filtro URL]]</f>
        <v>100-R-10</v>
      </c>
      <c r="U1128" s="50" t="str">
        <f t="shared" si="1865"/>
        <v>#1774B9</v>
      </c>
      <c r="V1128" s="118" t="str">
        <f>+Agencia[[#This Row],[idcoleccion]]&amp;"-"&amp;Agencia[[#This Row],[id]]</f>
        <v>990-1117</v>
      </c>
      <c r="W1128" s="118">
        <f>+VLOOKUP(Agencia[[#This Row],[Filtro URL]],Estructura!$X$4:$Y$500,2,0)</f>
        <v>99200010</v>
      </c>
      <c r="X1128" s="118" t="str">
        <f>+VLOOKUP(Agencia[[#This Row],[tema]],Estructura!$A$4:$C$500,3,0)</f>
        <v>T-1000</v>
      </c>
      <c r="Y1128" s="118" t="str">
        <f>+VLOOKUP(Agencia[[#This Row],[contenido]],Estructura!$E$4:$G$500,3,0)</f>
        <v>C-1010</v>
      </c>
      <c r="Z1128" s="118" t="str">
        <f>+VLOOKUP(Agencia[[#This Row],[Filtro Integrado]],Estructura!$I$4:$K$500,3,0)</f>
        <v>FI-993</v>
      </c>
      <c r="AA1128" s="118" t="str">
        <f>+VLOOKUP(Agencia[[#This Row],[Muestra]],Estructura!$M$4:$O$500,3,0)</f>
        <v>M-1080</v>
      </c>
    </row>
    <row r="1129" spans="1:27" ht="57.6" x14ac:dyDescent="0.3">
      <c r="A1129" s="21" t="s">
        <v>3816</v>
      </c>
      <c r="B1129" s="24">
        <f t="shared" ref="B1129:D1129" si="1926">+B1128</f>
        <v>990</v>
      </c>
      <c r="C1129" s="25" t="str">
        <f t="shared" si="1926"/>
        <v>Agencia Información</v>
      </c>
      <c r="D1129" s="25" t="str">
        <f t="shared" si="1926"/>
        <v>Salud</v>
      </c>
      <c r="E1129" s="19">
        <v>11</v>
      </c>
      <c r="F1129" s="18" t="s">
        <v>1021</v>
      </c>
      <c r="G1129" s="18" t="s">
        <v>3784</v>
      </c>
      <c r="H1129" s="35" t="s">
        <v>16</v>
      </c>
      <c r="I1129" s="36" t="s">
        <v>378</v>
      </c>
      <c r="J1129" s="9" t="str">
        <f t="shared" ref="J1129" si="1927">+J1128</f>
        <v>Ninguno</v>
      </c>
      <c r="K1129" s="9" t="s">
        <v>1724</v>
      </c>
      <c r="L1129" s="38" t="str">
        <f t="shared" ref="L1129:N1129" si="1928">+L1128</f>
        <v>Periodo 2012-2018</v>
      </c>
      <c r="M1129" s="9" t="str">
        <f t="shared" si="1928"/>
        <v>Número de Casos</v>
      </c>
      <c r="N1129" s="9" t="str">
        <f t="shared" si="1928"/>
        <v>Departamento de Estadísticas e Información de la Salud (DEIS) - Ministerio de Salud</v>
      </c>
      <c r="O1129" s="45" t="str">
        <f>+"Población en Control del Programa de Cáncer de Cuello Uterino en la "&amp;I1129&amp;", "&amp;Agencia[[#This Row],[temporalidad]]</f>
        <v>Población en Control del Programa de Cáncer de Cuello Uterino en la Región de Aysén, Periodo 2012-2018</v>
      </c>
      <c r="P1129" s="20"/>
      <c r="Q1129" s="11" t="str">
        <f t="shared" si="1797"/>
        <v>Gráfico de Evolución</v>
      </c>
      <c r="R1129" s="20" t="str">
        <f>Agencia[[#This Row],[territorio]]&amp;" cáncer cuello uterino cérvico útero salud PAP papanicolaou casos control población"</f>
        <v>Región de Aysén cáncer cuello uterino cérvico útero salud PAP papanicolaou casos control población</v>
      </c>
      <c r="S1129" s="39" t="str">
        <f>HYPERLINK("https://analytics.zoho.com/open-view/2395394000008099329?ZOHO_CRITERIA=%22Localiza%20CL%22.%22Codreg%22%20%3D%20"&amp;Agencia[[#This Row],[Filtro URL]])</f>
        <v>https://analytics.zoho.com/open-view/2395394000008099329?ZOHO_CRITERIA=%22Localiza%20CL%22.%22Codreg%22%20%3D%2011</v>
      </c>
      <c r="T1129" s="68" t="str">
        <f>"100-R-"&amp;Agencia[[#This Row],[Filtro URL]]</f>
        <v>100-R-11</v>
      </c>
      <c r="U1129" s="50" t="str">
        <f t="shared" si="1865"/>
        <v>#1774B9</v>
      </c>
      <c r="V1129" s="118" t="str">
        <f>+Agencia[[#This Row],[idcoleccion]]&amp;"-"&amp;Agencia[[#This Row],[id]]</f>
        <v>990-1118</v>
      </c>
      <c r="W1129" s="118">
        <f>+VLOOKUP(Agencia[[#This Row],[Filtro URL]],Estructura!$X$4:$Y$500,2,0)</f>
        <v>99200011</v>
      </c>
      <c r="X1129" s="118" t="str">
        <f>+VLOOKUP(Agencia[[#This Row],[tema]],Estructura!$A$4:$C$500,3,0)</f>
        <v>T-1000</v>
      </c>
      <c r="Y1129" s="118" t="str">
        <f>+VLOOKUP(Agencia[[#This Row],[contenido]],Estructura!$E$4:$G$500,3,0)</f>
        <v>C-1010</v>
      </c>
      <c r="Z1129" s="118" t="str">
        <f>+VLOOKUP(Agencia[[#This Row],[Filtro Integrado]],Estructura!$I$4:$K$500,3,0)</f>
        <v>FI-993</v>
      </c>
      <c r="AA1129" s="118" t="str">
        <f>+VLOOKUP(Agencia[[#This Row],[Muestra]],Estructura!$M$4:$O$500,3,0)</f>
        <v>M-1080</v>
      </c>
    </row>
    <row r="1130" spans="1:27" ht="57.6" x14ac:dyDescent="0.3">
      <c r="A1130" s="21" t="s">
        <v>3817</v>
      </c>
      <c r="B1130" s="24">
        <f t="shared" ref="B1130:D1130" si="1929">+B1129</f>
        <v>990</v>
      </c>
      <c r="C1130" s="25" t="str">
        <f t="shared" si="1929"/>
        <v>Agencia Información</v>
      </c>
      <c r="D1130" s="25" t="str">
        <f t="shared" si="1929"/>
        <v>Salud</v>
      </c>
      <c r="E1130" s="19">
        <v>12</v>
      </c>
      <c r="F1130" s="18" t="s">
        <v>1021</v>
      </c>
      <c r="G1130" s="18" t="s">
        <v>3784</v>
      </c>
      <c r="H1130" s="35" t="s">
        <v>16</v>
      </c>
      <c r="I1130" s="36" t="s">
        <v>379</v>
      </c>
      <c r="J1130" s="9" t="str">
        <f t="shared" ref="J1130" si="1930">+J1129</f>
        <v>Ninguno</v>
      </c>
      <c r="K1130" s="9" t="s">
        <v>1724</v>
      </c>
      <c r="L1130" s="38" t="str">
        <f t="shared" ref="L1130:N1130" si="1931">+L1129</f>
        <v>Periodo 2012-2018</v>
      </c>
      <c r="M1130" s="9" t="str">
        <f t="shared" si="1931"/>
        <v>Número de Casos</v>
      </c>
      <c r="N1130" s="9" t="str">
        <f t="shared" si="1931"/>
        <v>Departamento de Estadísticas e Información de la Salud (DEIS) - Ministerio de Salud</v>
      </c>
      <c r="O1130" s="45" t="str">
        <f>+"Población en Control del Programa de Cáncer de Cuello Uterino en la "&amp;I1130&amp;", "&amp;Agencia[[#This Row],[temporalidad]]</f>
        <v>Población en Control del Programa de Cáncer de Cuello Uterino en la Región de Magallanes, Periodo 2012-2018</v>
      </c>
      <c r="P1130" s="20"/>
      <c r="Q1130" s="11" t="str">
        <f t="shared" si="1797"/>
        <v>Gráfico de Evolución</v>
      </c>
      <c r="R1130" s="20" t="str">
        <f>Agencia[[#This Row],[territorio]]&amp;" cáncer cuello uterino cérvico útero salud PAP papanicolaou casos control población"</f>
        <v>Región de Magallanes cáncer cuello uterino cérvico útero salud PAP papanicolaou casos control población</v>
      </c>
      <c r="S1130" s="39" t="str">
        <f>HYPERLINK("https://analytics.zoho.com/open-view/2395394000008099329?ZOHO_CRITERIA=%22Localiza%20CL%22.%22Codreg%22%20%3D%20"&amp;Agencia[[#This Row],[Filtro URL]])</f>
        <v>https://analytics.zoho.com/open-view/2395394000008099329?ZOHO_CRITERIA=%22Localiza%20CL%22.%22Codreg%22%20%3D%2012</v>
      </c>
      <c r="T1130" s="68" t="str">
        <f>"100-R-"&amp;Agencia[[#This Row],[Filtro URL]]</f>
        <v>100-R-12</v>
      </c>
      <c r="U1130" s="50" t="str">
        <f t="shared" si="1865"/>
        <v>#1774B9</v>
      </c>
      <c r="V1130" s="118" t="str">
        <f>+Agencia[[#This Row],[idcoleccion]]&amp;"-"&amp;Agencia[[#This Row],[id]]</f>
        <v>990-1119</v>
      </c>
      <c r="W1130" s="118">
        <f>+VLOOKUP(Agencia[[#This Row],[Filtro URL]],Estructura!$X$4:$Y$500,2,0)</f>
        <v>99200012</v>
      </c>
      <c r="X1130" s="118" t="str">
        <f>+VLOOKUP(Agencia[[#This Row],[tema]],Estructura!$A$4:$C$500,3,0)</f>
        <v>T-1000</v>
      </c>
      <c r="Y1130" s="118" t="str">
        <f>+VLOOKUP(Agencia[[#This Row],[contenido]],Estructura!$E$4:$G$500,3,0)</f>
        <v>C-1010</v>
      </c>
      <c r="Z1130" s="118" t="str">
        <f>+VLOOKUP(Agencia[[#This Row],[Filtro Integrado]],Estructura!$I$4:$K$500,3,0)</f>
        <v>FI-993</v>
      </c>
      <c r="AA1130" s="118" t="str">
        <f>+VLOOKUP(Agencia[[#This Row],[Muestra]],Estructura!$M$4:$O$500,3,0)</f>
        <v>M-1080</v>
      </c>
    </row>
    <row r="1131" spans="1:27" ht="57.6" x14ac:dyDescent="0.3">
      <c r="A1131" s="21" t="s">
        <v>3818</v>
      </c>
      <c r="B1131" s="24">
        <f t="shared" ref="B1131:D1131" si="1932">+B1130</f>
        <v>990</v>
      </c>
      <c r="C1131" s="25" t="str">
        <f t="shared" si="1932"/>
        <v>Agencia Información</v>
      </c>
      <c r="D1131" s="25" t="str">
        <f t="shared" si="1932"/>
        <v>Salud</v>
      </c>
      <c r="E1131" s="19">
        <v>13</v>
      </c>
      <c r="F1131" s="18" t="s">
        <v>1021</v>
      </c>
      <c r="G1131" s="18" t="s">
        <v>3784</v>
      </c>
      <c r="H1131" s="35" t="s">
        <v>16</v>
      </c>
      <c r="I1131" s="36" t="s">
        <v>380</v>
      </c>
      <c r="J1131" s="9" t="str">
        <f t="shared" ref="J1131" si="1933">+J1130</f>
        <v>Ninguno</v>
      </c>
      <c r="K1131" s="9" t="s">
        <v>1724</v>
      </c>
      <c r="L1131" s="38" t="str">
        <f t="shared" ref="L1131:N1131" si="1934">+L1130</f>
        <v>Periodo 2012-2018</v>
      </c>
      <c r="M1131" s="9" t="str">
        <f t="shared" si="1934"/>
        <v>Número de Casos</v>
      </c>
      <c r="N1131" s="9" t="str">
        <f t="shared" si="1934"/>
        <v>Departamento de Estadísticas e Información de la Salud (DEIS) - Ministerio de Salud</v>
      </c>
      <c r="O1131" s="45" t="str">
        <f>+"Población en Control del Programa de Cáncer de Cuello Uterino en la "&amp;I1131&amp;", "&amp;Agencia[[#This Row],[temporalidad]]</f>
        <v>Población en Control del Programa de Cáncer de Cuello Uterino en la Región Metropolitana, Periodo 2012-2018</v>
      </c>
      <c r="P1131" s="20"/>
      <c r="Q1131" s="11" t="str">
        <f t="shared" si="1797"/>
        <v>Gráfico de Evolución</v>
      </c>
      <c r="R1131" s="20" t="str">
        <f>Agencia[[#This Row],[territorio]]&amp;" cáncer cuello uterino cérvico útero salud PAP papanicolaou casos control población"</f>
        <v>Región Metropolitana cáncer cuello uterino cérvico útero salud PAP papanicolaou casos control población</v>
      </c>
      <c r="S1131" s="39" t="str">
        <f>HYPERLINK("https://analytics.zoho.com/open-view/2395394000008099329?ZOHO_CRITERIA=%22Localiza%20CL%22.%22Codreg%22%20%3D%20"&amp;Agencia[[#This Row],[Filtro URL]])</f>
        <v>https://analytics.zoho.com/open-view/2395394000008099329?ZOHO_CRITERIA=%22Localiza%20CL%22.%22Codreg%22%20%3D%2013</v>
      </c>
      <c r="T1131" s="68" t="str">
        <f>"200-R-"&amp;Agencia[[#This Row],[Filtro URL]]</f>
        <v>200-R-13</v>
      </c>
      <c r="U1131" s="50" t="str">
        <f t="shared" si="1865"/>
        <v>#1774B9</v>
      </c>
      <c r="V1131" s="118" t="str">
        <f>+Agencia[[#This Row],[idcoleccion]]&amp;"-"&amp;Agencia[[#This Row],[id]]</f>
        <v>990-1120</v>
      </c>
      <c r="W1131" s="118">
        <f>+VLOOKUP(Agencia[[#This Row],[Filtro URL]],Estructura!$X$4:$Y$500,2,0)</f>
        <v>99200013</v>
      </c>
      <c r="X1131" s="118" t="str">
        <f>+VLOOKUP(Agencia[[#This Row],[tema]],Estructura!$A$4:$C$500,3,0)</f>
        <v>T-1000</v>
      </c>
      <c r="Y1131" s="118" t="str">
        <f>+VLOOKUP(Agencia[[#This Row],[contenido]],Estructura!$E$4:$G$500,3,0)</f>
        <v>C-1010</v>
      </c>
      <c r="Z1131" s="118" t="str">
        <f>+VLOOKUP(Agencia[[#This Row],[Filtro Integrado]],Estructura!$I$4:$K$500,3,0)</f>
        <v>FI-993</v>
      </c>
      <c r="AA1131" s="118" t="str">
        <f>+VLOOKUP(Agencia[[#This Row],[Muestra]],Estructura!$M$4:$O$500,3,0)</f>
        <v>M-1080</v>
      </c>
    </row>
    <row r="1132" spans="1:27" ht="57.6" x14ac:dyDescent="0.3">
      <c r="A1132" s="21" t="s">
        <v>3819</v>
      </c>
      <c r="B1132" s="24">
        <f t="shared" ref="B1132:D1132" si="1935">+B1131</f>
        <v>990</v>
      </c>
      <c r="C1132" s="25" t="str">
        <f t="shared" si="1935"/>
        <v>Agencia Información</v>
      </c>
      <c r="D1132" s="25" t="str">
        <f t="shared" si="1935"/>
        <v>Salud</v>
      </c>
      <c r="E1132" s="19">
        <v>14</v>
      </c>
      <c r="F1132" s="18" t="s">
        <v>1021</v>
      </c>
      <c r="G1132" s="18" t="s">
        <v>3784</v>
      </c>
      <c r="H1132" s="35" t="s">
        <v>16</v>
      </c>
      <c r="I1132" s="36" t="s">
        <v>381</v>
      </c>
      <c r="J1132" s="9" t="str">
        <f t="shared" ref="J1132" si="1936">+J1131</f>
        <v>Ninguno</v>
      </c>
      <c r="K1132" s="9" t="s">
        <v>1724</v>
      </c>
      <c r="L1132" s="38" t="str">
        <f t="shared" ref="L1132:N1132" si="1937">+L1131</f>
        <v>Periodo 2012-2018</v>
      </c>
      <c r="M1132" s="9" t="str">
        <f t="shared" si="1937"/>
        <v>Número de Casos</v>
      </c>
      <c r="N1132" s="9" t="str">
        <f t="shared" si="1937"/>
        <v>Departamento de Estadísticas e Información de la Salud (DEIS) - Ministerio de Salud</v>
      </c>
      <c r="O1132" s="45" t="str">
        <f>+"Población en Control del Programa de Cáncer de Cuello Uterino en la "&amp;I1132&amp;", "&amp;Agencia[[#This Row],[temporalidad]]</f>
        <v>Población en Control del Programa de Cáncer de Cuello Uterino en la Región de Los Ríos, Periodo 2012-2018</v>
      </c>
      <c r="P1132" s="20"/>
      <c r="Q1132" s="11" t="str">
        <f t="shared" ref="Q1132:Q1134" si="1938">+Q1131</f>
        <v>Gráfico de Evolución</v>
      </c>
      <c r="R1132" s="20" t="str">
        <f>Agencia[[#This Row],[territorio]]&amp;" cáncer cuello uterino cérvico útero salud PAP papanicolaou casos control población"</f>
        <v>Región de Los Ríos cáncer cuello uterino cérvico útero salud PAP papanicolaou casos control población</v>
      </c>
      <c r="S1132" s="39" t="str">
        <f>HYPERLINK("https://analytics.zoho.com/open-view/2395394000008099329?ZOHO_CRITERIA=%22Localiza%20CL%22.%22Codreg%22%20%3D%20"&amp;Agencia[[#This Row],[Filtro URL]])</f>
        <v>https://analytics.zoho.com/open-view/2395394000008099329?ZOHO_CRITERIA=%22Localiza%20CL%22.%22Codreg%22%20%3D%2014</v>
      </c>
      <c r="T1132" s="68" t="str">
        <f>"100-R-"&amp;Agencia[[#This Row],[Filtro URL]]</f>
        <v>100-R-14</v>
      </c>
      <c r="U1132" s="50" t="str">
        <f t="shared" si="1865"/>
        <v>#1774B9</v>
      </c>
      <c r="V1132" s="118" t="str">
        <f>+Agencia[[#This Row],[idcoleccion]]&amp;"-"&amp;Agencia[[#This Row],[id]]</f>
        <v>990-1121</v>
      </c>
      <c r="W1132" s="118">
        <f>+VLOOKUP(Agencia[[#This Row],[Filtro URL]],Estructura!$X$4:$Y$500,2,0)</f>
        <v>99200014</v>
      </c>
      <c r="X1132" s="118" t="str">
        <f>+VLOOKUP(Agencia[[#This Row],[tema]],Estructura!$A$4:$C$500,3,0)</f>
        <v>T-1000</v>
      </c>
      <c r="Y1132" s="118" t="str">
        <f>+VLOOKUP(Agencia[[#This Row],[contenido]],Estructura!$E$4:$G$500,3,0)</f>
        <v>C-1010</v>
      </c>
      <c r="Z1132" s="118" t="str">
        <f>+VLOOKUP(Agencia[[#This Row],[Filtro Integrado]],Estructura!$I$4:$K$500,3,0)</f>
        <v>FI-993</v>
      </c>
      <c r="AA1132" s="118" t="str">
        <f>+VLOOKUP(Agencia[[#This Row],[Muestra]],Estructura!$M$4:$O$500,3,0)</f>
        <v>M-1080</v>
      </c>
    </row>
    <row r="1133" spans="1:27" ht="57.6" x14ac:dyDescent="0.3">
      <c r="A1133" s="21" t="s">
        <v>3820</v>
      </c>
      <c r="B1133" s="24">
        <f t="shared" ref="B1133:D1133" si="1939">+B1132</f>
        <v>990</v>
      </c>
      <c r="C1133" s="25" t="str">
        <f t="shared" si="1939"/>
        <v>Agencia Información</v>
      </c>
      <c r="D1133" s="25" t="str">
        <f t="shared" si="1939"/>
        <v>Salud</v>
      </c>
      <c r="E1133" s="19">
        <v>15</v>
      </c>
      <c r="F1133" s="18" t="s">
        <v>1021</v>
      </c>
      <c r="G1133" s="18" t="s">
        <v>3784</v>
      </c>
      <c r="H1133" s="35" t="s">
        <v>16</v>
      </c>
      <c r="I1133" s="36" t="s">
        <v>382</v>
      </c>
      <c r="J1133" s="9" t="str">
        <f t="shared" ref="J1133" si="1940">+J1132</f>
        <v>Ninguno</v>
      </c>
      <c r="K1133" s="9" t="s">
        <v>1724</v>
      </c>
      <c r="L1133" s="38" t="str">
        <f t="shared" ref="L1133:N1133" si="1941">+L1132</f>
        <v>Periodo 2012-2018</v>
      </c>
      <c r="M1133" s="9" t="str">
        <f t="shared" si="1941"/>
        <v>Número de Casos</v>
      </c>
      <c r="N1133" s="9" t="str">
        <f t="shared" si="1941"/>
        <v>Departamento de Estadísticas e Información de la Salud (DEIS) - Ministerio de Salud</v>
      </c>
      <c r="O1133" s="45" t="str">
        <f>+"Población en Control del Programa de Cáncer de Cuello Uterino en la "&amp;I1133&amp;", "&amp;Agencia[[#This Row],[temporalidad]]</f>
        <v>Población en Control del Programa de Cáncer de Cuello Uterino en la Región de Arica y Parinacota, Periodo 2012-2018</v>
      </c>
      <c r="P1133" s="20"/>
      <c r="Q1133" s="11" t="str">
        <f t="shared" si="1938"/>
        <v>Gráfico de Evolución</v>
      </c>
      <c r="R1133" s="20" t="str">
        <f>Agencia[[#This Row],[territorio]]&amp;" cáncer cuello uterino cérvico útero salud PAP papanicolaou casos control población"</f>
        <v>Región de Arica y Parinacota cáncer cuello uterino cérvico útero salud PAP papanicolaou casos control población</v>
      </c>
      <c r="S1133" s="39" t="str">
        <f>HYPERLINK("https://analytics.zoho.com/open-view/2395394000008099329?ZOHO_CRITERIA=%22Localiza%20CL%22.%22Codreg%22%20%3D%20"&amp;Agencia[[#This Row],[Filtro URL]])</f>
        <v>https://analytics.zoho.com/open-view/2395394000008099329?ZOHO_CRITERIA=%22Localiza%20CL%22.%22Codreg%22%20%3D%2015</v>
      </c>
      <c r="T1133" s="68" t="str">
        <f>"100-R-"&amp;Agencia[[#This Row],[Filtro URL]]</f>
        <v>100-R-15</v>
      </c>
      <c r="U1133" s="50" t="str">
        <f t="shared" si="1865"/>
        <v>#1774B9</v>
      </c>
      <c r="V1133" s="118" t="str">
        <f>+Agencia[[#This Row],[idcoleccion]]&amp;"-"&amp;Agencia[[#This Row],[id]]</f>
        <v>990-1122</v>
      </c>
      <c r="W1133" s="118">
        <f>+VLOOKUP(Agencia[[#This Row],[Filtro URL]],Estructura!$X$4:$Y$500,2,0)</f>
        <v>99200015</v>
      </c>
      <c r="X1133" s="118" t="str">
        <f>+VLOOKUP(Agencia[[#This Row],[tema]],Estructura!$A$4:$C$500,3,0)</f>
        <v>T-1000</v>
      </c>
      <c r="Y1133" s="118" t="str">
        <f>+VLOOKUP(Agencia[[#This Row],[contenido]],Estructura!$E$4:$G$500,3,0)</f>
        <v>C-1010</v>
      </c>
      <c r="Z1133" s="118" t="str">
        <f>+VLOOKUP(Agencia[[#This Row],[Filtro Integrado]],Estructura!$I$4:$K$500,3,0)</f>
        <v>FI-993</v>
      </c>
      <c r="AA1133" s="118" t="str">
        <f>+VLOOKUP(Agencia[[#This Row],[Muestra]],Estructura!$M$4:$O$500,3,0)</f>
        <v>M-1080</v>
      </c>
    </row>
    <row r="1134" spans="1:27" ht="57.6" x14ac:dyDescent="0.3">
      <c r="A1134" s="21" t="s">
        <v>3821</v>
      </c>
      <c r="B1134" s="24">
        <f t="shared" ref="B1134:D1134" si="1942">+B1133</f>
        <v>990</v>
      </c>
      <c r="C1134" s="25" t="str">
        <f t="shared" si="1942"/>
        <v>Agencia Información</v>
      </c>
      <c r="D1134" s="25" t="str">
        <f t="shared" si="1942"/>
        <v>Salud</v>
      </c>
      <c r="E1134" s="19">
        <v>16</v>
      </c>
      <c r="F1134" s="18" t="s">
        <v>1021</v>
      </c>
      <c r="G1134" s="18" t="s">
        <v>3784</v>
      </c>
      <c r="H1134" s="35" t="s">
        <v>16</v>
      </c>
      <c r="I1134" s="36" t="s">
        <v>383</v>
      </c>
      <c r="J1134" s="9" t="str">
        <f t="shared" ref="J1134" si="1943">+J1133</f>
        <v>Ninguno</v>
      </c>
      <c r="K1134" s="9" t="s">
        <v>1724</v>
      </c>
      <c r="L1134" s="38" t="str">
        <f t="shared" ref="L1134:N1134" si="1944">+L1133</f>
        <v>Periodo 2012-2018</v>
      </c>
      <c r="M1134" s="9" t="str">
        <f t="shared" si="1944"/>
        <v>Número de Casos</v>
      </c>
      <c r="N1134" s="9" t="str">
        <f t="shared" si="1944"/>
        <v>Departamento de Estadísticas e Información de la Salud (DEIS) - Ministerio de Salud</v>
      </c>
      <c r="O1134" s="45" t="str">
        <f>+"Población en Control del Programa de Cáncer de Cuello Uterino en la "&amp;I1134&amp;", "&amp;Agencia[[#This Row],[temporalidad]]</f>
        <v>Población en Control del Programa de Cáncer de Cuello Uterino en la Región de Ñuble, Periodo 2012-2018</v>
      </c>
      <c r="P1134" s="20"/>
      <c r="Q1134" s="11" t="str">
        <f t="shared" si="1938"/>
        <v>Gráfico de Evolución</v>
      </c>
      <c r="R1134" s="20" t="str">
        <f>Agencia[[#This Row],[territorio]]&amp;" cáncer cuello uterino cérvico útero salud PAP papanicolaou casos control población"</f>
        <v>Región de Ñuble cáncer cuello uterino cérvico útero salud PAP papanicolaou casos control población</v>
      </c>
      <c r="S1134" s="39" t="str">
        <f>HYPERLINK("https://analytics.zoho.com/open-view/2395394000008099329?ZOHO_CRITERIA=%22Localiza%20CL%22.%22Codreg%22%20%3D%20"&amp;Agencia[[#This Row],[Filtro URL]])</f>
        <v>https://analytics.zoho.com/open-view/2395394000008099329?ZOHO_CRITERIA=%22Localiza%20CL%22.%22Codreg%22%20%3D%2016</v>
      </c>
      <c r="T1134" s="68" t="str">
        <f>"100-R-"&amp;Agencia[[#This Row],[Filtro URL]]</f>
        <v>100-R-16</v>
      </c>
      <c r="U1134" s="50" t="str">
        <f t="shared" si="1865"/>
        <v>#1774B9</v>
      </c>
      <c r="V1134" s="118" t="str">
        <f>+Agencia[[#This Row],[idcoleccion]]&amp;"-"&amp;Agencia[[#This Row],[id]]</f>
        <v>990-1123</v>
      </c>
      <c r="W1134" s="118">
        <f>+VLOOKUP(Agencia[[#This Row],[Filtro URL]],Estructura!$X$4:$Y$500,2,0)</f>
        <v>99200016</v>
      </c>
      <c r="X1134" s="118" t="str">
        <f>+VLOOKUP(Agencia[[#This Row],[tema]],Estructura!$A$4:$C$500,3,0)</f>
        <v>T-1000</v>
      </c>
      <c r="Y1134" s="118" t="str">
        <f>+VLOOKUP(Agencia[[#This Row],[contenido]],Estructura!$E$4:$G$500,3,0)</f>
        <v>C-1010</v>
      </c>
      <c r="Z1134" s="118" t="str">
        <f>+VLOOKUP(Agencia[[#This Row],[Filtro Integrado]],Estructura!$I$4:$K$500,3,0)</f>
        <v>FI-993</v>
      </c>
      <c r="AA1134" s="118" t="str">
        <f>+VLOOKUP(Agencia[[#This Row],[Muestra]],Estructura!$M$4:$O$500,3,0)</f>
        <v>M-1080</v>
      </c>
    </row>
    <row r="1135" spans="1:27" ht="61.2" x14ac:dyDescent="0.3">
      <c r="A1135" s="21" t="s">
        <v>1455</v>
      </c>
      <c r="B1135" s="24">
        <f t="shared" ref="B1135:C1135" si="1945">+B1134</f>
        <v>990</v>
      </c>
      <c r="C1135" s="25" t="str">
        <f t="shared" si="1945"/>
        <v>Agencia Información</v>
      </c>
      <c r="D1135" s="25" t="s">
        <v>508</v>
      </c>
      <c r="E1135" s="14">
        <v>0</v>
      </c>
      <c r="F1135" s="10" t="s">
        <v>5298</v>
      </c>
      <c r="G1135" s="10" t="s">
        <v>3795</v>
      </c>
      <c r="H1135" s="33" t="s">
        <v>20</v>
      </c>
      <c r="I1135" s="34" t="s">
        <v>15</v>
      </c>
      <c r="J1135" s="9" t="s">
        <v>404</v>
      </c>
      <c r="K1135" s="9" t="s">
        <v>3799</v>
      </c>
      <c r="L1135" s="38" t="s">
        <v>3797</v>
      </c>
      <c r="M1135" s="9" t="s">
        <v>3798</v>
      </c>
      <c r="N1135" s="9" t="s">
        <v>431</v>
      </c>
      <c r="O1135" s="45" t="str">
        <f>+"Cantidad de Predios Agrícolas por Comuna en "&amp;I1135&amp;", "&amp;Agencia[[#This Row],[temporalidad]]</f>
        <v>Cantidad de Predios Agrícolas por Comuna en Chile, Periodo 2006-2019</v>
      </c>
      <c r="P1135" s="20" t="s">
        <v>3800</v>
      </c>
      <c r="Q1135" s="11" t="s">
        <v>584</v>
      </c>
      <c r="R1135" s="20" t="str">
        <f>Agencia[[#This Row],[territorio]]&amp;" catastro predio municipal municipio agrícola territorio"</f>
        <v>Chile catastro predio municipal municipio agrícola territorio</v>
      </c>
      <c r="S1135" s="39" t="s">
        <v>3796</v>
      </c>
      <c r="T1135" s="112">
        <v>0</v>
      </c>
      <c r="U1135" s="50" t="str">
        <f t="shared" si="1865"/>
        <v>#1774B9</v>
      </c>
      <c r="V1135" s="118" t="str">
        <f>+Agencia[[#This Row],[idcoleccion]]&amp;"-"&amp;Agencia[[#This Row],[id]]</f>
        <v>990-1124</v>
      </c>
      <c r="W1135" s="118">
        <f>+VLOOKUP(Agencia[[#This Row],[Filtro URL]],Estructura!$X$4:$Y$500,2,0)</f>
        <v>99100000</v>
      </c>
      <c r="X1135" s="118" t="str">
        <f>+VLOOKUP(Agencia[[#This Row],[tema]],Estructura!$A$4:$C$500,3,0)</f>
        <v>T-1055</v>
      </c>
      <c r="Y1135" s="118" t="str">
        <f>+VLOOKUP(Agencia[[#This Row],[contenido]],Estructura!$E$4:$G$500,3,0)</f>
        <v>C-1015</v>
      </c>
      <c r="Z1135" s="118" t="str">
        <f>+VLOOKUP(Agencia[[#This Row],[Filtro Integrado]],Estructura!$I$4:$K$500,3,0)</f>
        <v>FI-993</v>
      </c>
      <c r="AA1135" s="118" t="str">
        <f>+VLOOKUP(Agencia[[#This Row],[Muestra]],Estructura!$M$4:$O$500,3,0)</f>
        <v>M-1086</v>
      </c>
    </row>
    <row r="1136" spans="1:27" ht="57.6" x14ac:dyDescent="0.3">
      <c r="A1136" s="21" t="s">
        <v>3822</v>
      </c>
      <c r="B1136" s="9">
        <f>+B1135</f>
        <v>990</v>
      </c>
      <c r="C1136" s="10" t="str">
        <f>+C1135</f>
        <v>Agencia Información</v>
      </c>
      <c r="D1136" s="10" t="str">
        <f>+D1135</f>
        <v>Gobiernos locales</v>
      </c>
      <c r="E1136" s="19">
        <v>1</v>
      </c>
      <c r="F1136" s="18" t="str">
        <f>+F1135</f>
        <v>Predios Agrícolas</v>
      </c>
      <c r="G1136" s="18" t="str">
        <f>+G1135</f>
        <v>Gestión Municipal Territorial</v>
      </c>
      <c r="H1136" s="56" t="s">
        <v>16</v>
      </c>
      <c r="I1136" s="36" t="s">
        <v>368</v>
      </c>
      <c r="J1136" s="9" t="s">
        <v>404</v>
      </c>
      <c r="K1136" s="9" t="s">
        <v>3799</v>
      </c>
      <c r="L1136" s="38" t="str">
        <f>+L1135</f>
        <v>Periodo 2006-2019</v>
      </c>
      <c r="M1136" s="9" t="str">
        <f>+M1135</f>
        <v>Número de Predios</v>
      </c>
      <c r="N1136" s="9" t="str">
        <f>+N1135</f>
        <v>Sistema Nacional de Información Municipal</v>
      </c>
      <c r="O1136" s="45" t="str">
        <f>+"Cantidad de Predios Agrícolas por Comuna en la "&amp;I1136&amp;", "&amp;Agencia[[#This Row],[temporalidad]]</f>
        <v>Cantidad de Predios Agrícolas por Comuna en la Región de Tarapacá, Periodo 2006-2019</v>
      </c>
      <c r="P1136" s="20"/>
      <c r="Q1136" s="11" t="str">
        <f>+Q1135</f>
        <v>Gráfico</v>
      </c>
      <c r="R1136" s="20" t="str">
        <f>Agencia[[#This Row],[territorio]]&amp;" catastro predio municipal municipio agrícola territorio"</f>
        <v>Región de Tarapacá catastro predio municipal municipio agrícola territorio</v>
      </c>
      <c r="S1136" s="39" t="str">
        <f>HYPERLINK("https://analytics.zoho.com/open-view/2395394000008464535?ZOHO_CRITERIA=%22Localiza%20CL%22.%22Codreg%22%20%3D%20"&amp;Agencia[[#This Row],[Filtro URL]])</f>
        <v>https://analytics.zoho.com/open-view/2395394000008464535?ZOHO_CRITERIA=%22Localiza%20CL%22.%22Codreg%22%20%3D%201</v>
      </c>
      <c r="T1136" s="113" t="str">
        <f>"100-C-"&amp;Agencia[[#This Row],[Filtro URL]]</f>
        <v>100-C-1</v>
      </c>
      <c r="U1136" s="50" t="str">
        <f>+U1135</f>
        <v>#1774B9</v>
      </c>
      <c r="V1136" s="118" t="str">
        <f>+Agencia[[#This Row],[idcoleccion]]&amp;"-"&amp;Agencia[[#This Row],[id]]</f>
        <v>990-1125</v>
      </c>
      <c r="W1136" s="118">
        <f>+VLOOKUP(Agencia[[#This Row],[Filtro URL]],Estructura!$X$4:$Y$500,2,0)</f>
        <v>99200001</v>
      </c>
      <c r="X1136" s="118" t="str">
        <f>+VLOOKUP(Agencia[[#This Row],[tema]],Estructura!$A$4:$C$500,3,0)</f>
        <v>T-1055</v>
      </c>
      <c r="Y1136" s="118" t="str">
        <f>+VLOOKUP(Agencia[[#This Row],[contenido]],Estructura!$E$4:$G$500,3,0)</f>
        <v>C-1015</v>
      </c>
      <c r="Z1136" s="118" t="str">
        <f>+VLOOKUP(Agencia[[#This Row],[Filtro Integrado]],Estructura!$I$4:$K$500,3,0)</f>
        <v>FI-993</v>
      </c>
      <c r="AA1136" s="118" t="str">
        <f>+VLOOKUP(Agencia[[#This Row],[Muestra]],Estructura!$M$4:$O$500,3,0)</f>
        <v>M-1086</v>
      </c>
    </row>
    <row r="1137" spans="1:27" ht="57.6" x14ac:dyDescent="0.3">
      <c r="A1137" s="21" t="s">
        <v>3828</v>
      </c>
      <c r="B1137" s="9">
        <f t="shared" ref="B1137:D1137" si="1946">+B1136</f>
        <v>990</v>
      </c>
      <c r="C1137" s="10" t="str">
        <f t="shared" si="1946"/>
        <v>Agencia Información</v>
      </c>
      <c r="D1137" s="10" t="str">
        <f t="shared" si="1946"/>
        <v>Gobiernos locales</v>
      </c>
      <c r="E1137" s="19">
        <v>2</v>
      </c>
      <c r="F1137" s="18" t="str">
        <f t="shared" ref="F1137:G1151" si="1947">+F1136</f>
        <v>Predios Agrícolas</v>
      </c>
      <c r="G1137" s="18" t="str">
        <f t="shared" si="1947"/>
        <v>Gestión Municipal Territorial</v>
      </c>
      <c r="H1137" s="56" t="s">
        <v>16</v>
      </c>
      <c r="I1137" s="36" t="s">
        <v>369</v>
      </c>
      <c r="J1137" s="9" t="str">
        <f t="shared" ref="J1137:J1151" si="1948">+J1136</f>
        <v>Ninguno</v>
      </c>
      <c r="K1137" s="9" t="s">
        <v>3799</v>
      </c>
      <c r="L1137" s="38" t="str">
        <f t="shared" ref="L1137:N1137" si="1949">+L1136</f>
        <v>Periodo 2006-2019</v>
      </c>
      <c r="M1137" s="9" t="str">
        <f t="shared" si="1949"/>
        <v>Número de Predios</v>
      </c>
      <c r="N1137" s="9" t="str">
        <f t="shared" si="1949"/>
        <v>Sistema Nacional de Información Municipal</v>
      </c>
      <c r="O1137" s="45" t="str">
        <f>+"Cantidad de Predios Agrícolas por Comuna en la "&amp;I1137&amp;", "&amp;Agencia[[#This Row],[temporalidad]]</f>
        <v>Cantidad de Predios Agrícolas por Comuna en la Región de Antofagasta, Periodo 2006-2019</v>
      </c>
      <c r="P1137" s="20"/>
      <c r="Q1137" s="11" t="str">
        <f t="shared" ref="Q1137:Q1151" si="1950">+Q1136</f>
        <v>Gráfico</v>
      </c>
      <c r="R1137" s="20" t="str">
        <f>Agencia[[#This Row],[territorio]]&amp;" catastro predio municipal municipio agrícola territorio"</f>
        <v>Región de Antofagasta catastro predio municipal municipio agrícola territorio</v>
      </c>
      <c r="S1137" s="39" t="str">
        <f>HYPERLINK("https://analytics.zoho.com/open-view/2395394000008464535?ZOHO_CRITERIA=%22Localiza%20CL%22.%22Codreg%22%20%3D%20"&amp;Agencia[[#This Row],[Filtro URL]])</f>
        <v>https://analytics.zoho.com/open-view/2395394000008464535?ZOHO_CRITERIA=%22Localiza%20CL%22.%22Codreg%22%20%3D%202</v>
      </c>
      <c r="T1137" s="113" t="str">
        <f>"100-C-"&amp;Agencia[[#This Row],[Filtro URL]]</f>
        <v>100-C-2</v>
      </c>
      <c r="U1137" s="50" t="str">
        <f t="shared" si="1865"/>
        <v>#1774B9</v>
      </c>
      <c r="V1137" s="118" t="str">
        <f>+Agencia[[#This Row],[idcoleccion]]&amp;"-"&amp;Agencia[[#This Row],[id]]</f>
        <v>990-1126</v>
      </c>
      <c r="W1137" s="118">
        <f>+VLOOKUP(Agencia[[#This Row],[Filtro URL]],Estructura!$X$4:$Y$500,2,0)</f>
        <v>99200002</v>
      </c>
      <c r="X1137" s="118" t="str">
        <f>+VLOOKUP(Agencia[[#This Row],[tema]],Estructura!$A$4:$C$500,3,0)</f>
        <v>T-1055</v>
      </c>
      <c r="Y1137" s="118" t="str">
        <f>+VLOOKUP(Agencia[[#This Row],[contenido]],Estructura!$E$4:$G$500,3,0)</f>
        <v>C-1015</v>
      </c>
      <c r="Z1137" s="118" t="str">
        <f>+VLOOKUP(Agencia[[#This Row],[Filtro Integrado]],Estructura!$I$4:$K$500,3,0)</f>
        <v>FI-993</v>
      </c>
      <c r="AA1137" s="118" t="str">
        <f>+VLOOKUP(Agencia[[#This Row],[Muestra]],Estructura!$M$4:$O$500,3,0)</f>
        <v>M-1086</v>
      </c>
    </row>
    <row r="1138" spans="1:27" ht="57.6" x14ac:dyDescent="0.3">
      <c r="A1138" s="21" t="s">
        <v>3829</v>
      </c>
      <c r="B1138" s="9">
        <f t="shared" ref="B1138:D1138" si="1951">+B1137</f>
        <v>990</v>
      </c>
      <c r="C1138" s="10" t="str">
        <f t="shared" si="1951"/>
        <v>Agencia Información</v>
      </c>
      <c r="D1138" s="10" t="str">
        <f t="shared" si="1951"/>
        <v>Gobiernos locales</v>
      </c>
      <c r="E1138" s="19">
        <v>3</v>
      </c>
      <c r="F1138" s="18" t="str">
        <f t="shared" si="1947"/>
        <v>Predios Agrícolas</v>
      </c>
      <c r="G1138" s="18" t="str">
        <f t="shared" si="1947"/>
        <v>Gestión Municipal Territorial</v>
      </c>
      <c r="H1138" s="56" t="s">
        <v>16</v>
      </c>
      <c r="I1138" s="36" t="s">
        <v>370</v>
      </c>
      <c r="J1138" s="9" t="str">
        <f t="shared" si="1948"/>
        <v>Ninguno</v>
      </c>
      <c r="K1138" s="9" t="s">
        <v>3799</v>
      </c>
      <c r="L1138" s="38" t="str">
        <f t="shared" ref="L1138:N1138" si="1952">+L1137</f>
        <v>Periodo 2006-2019</v>
      </c>
      <c r="M1138" s="9" t="str">
        <f t="shared" si="1952"/>
        <v>Número de Predios</v>
      </c>
      <c r="N1138" s="9" t="str">
        <f t="shared" si="1952"/>
        <v>Sistema Nacional de Información Municipal</v>
      </c>
      <c r="O1138" s="45" t="str">
        <f>+"Cantidad de Predios Agrícolas por Comuna en la "&amp;I1138&amp;", "&amp;Agencia[[#This Row],[temporalidad]]</f>
        <v>Cantidad de Predios Agrícolas por Comuna en la Región de Atacama, Periodo 2006-2019</v>
      </c>
      <c r="P1138" s="20"/>
      <c r="Q1138" s="11" t="str">
        <f t="shared" si="1950"/>
        <v>Gráfico</v>
      </c>
      <c r="R1138" s="20" t="str">
        <f>Agencia[[#This Row],[territorio]]&amp;" catastro predio municipal municipio agrícola territorio"</f>
        <v>Región de Atacama catastro predio municipal municipio agrícola territorio</v>
      </c>
      <c r="S1138" s="39" t="str">
        <f>HYPERLINK("https://analytics.zoho.com/open-view/2395394000008464535?ZOHO_CRITERIA=%22Localiza%20CL%22.%22Codreg%22%20%3D%20"&amp;Agencia[[#This Row],[Filtro URL]])</f>
        <v>https://analytics.zoho.com/open-view/2395394000008464535?ZOHO_CRITERIA=%22Localiza%20CL%22.%22Codreg%22%20%3D%203</v>
      </c>
      <c r="T1138" s="113" t="str">
        <f>"100-C-"&amp;Agencia[[#This Row],[Filtro URL]]</f>
        <v>100-C-3</v>
      </c>
      <c r="U1138" s="50" t="str">
        <f t="shared" si="1865"/>
        <v>#1774B9</v>
      </c>
      <c r="V1138" s="118" t="str">
        <f>+Agencia[[#This Row],[idcoleccion]]&amp;"-"&amp;Agencia[[#This Row],[id]]</f>
        <v>990-1127</v>
      </c>
      <c r="W1138" s="118">
        <f>+VLOOKUP(Agencia[[#This Row],[Filtro URL]],Estructura!$X$4:$Y$500,2,0)</f>
        <v>99200003</v>
      </c>
      <c r="X1138" s="118" t="str">
        <f>+VLOOKUP(Agencia[[#This Row],[tema]],Estructura!$A$4:$C$500,3,0)</f>
        <v>T-1055</v>
      </c>
      <c r="Y1138" s="118" t="str">
        <f>+VLOOKUP(Agencia[[#This Row],[contenido]],Estructura!$E$4:$G$500,3,0)</f>
        <v>C-1015</v>
      </c>
      <c r="Z1138" s="118" t="str">
        <f>+VLOOKUP(Agencia[[#This Row],[Filtro Integrado]],Estructura!$I$4:$K$500,3,0)</f>
        <v>FI-993</v>
      </c>
      <c r="AA1138" s="118" t="str">
        <f>+VLOOKUP(Agencia[[#This Row],[Muestra]],Estructura!$M$4:$O$500,3,0)</f>
        <v>M-1086</v>
      </c>
    </row>
    <row r="1139" spans="1:27" ht="57.6" x14ac:dyDescent="0.3">
      <c r="A1139" s="21" t="s">
        <v>3830</v>
      </c>
      <c r="B1139" s="9">
        <f t="shared" ref="B1139:D1139" si="1953">+B1138</f>
        <v>990</v>
      </c>
      <c r="C1139" s="10" t="str">
        <f t="shared" si="1953"/>
        <v>Agencia Información</v>
      </c>
      <c r="D1139" s="10" t="str">
        <f t="shared" si="1953"/>
        <v>Gobiernos locales</v>
      </c>
      <c r="E1139" s="19">
        <v>4</v>
      </c>
      <c r="F1139" s="18" t="str">
        <f t="shared" si="1947"/>
        <v>Predios Agrícolas</v>
      </c>
      <c r="G1139" s="18" t="str">
        <f t="shared" si="1947"/>
        <v>Gestión Municipal Territorial</v>
      </c>
      <c r="H1139" s="56" t="s">
        <v>16</v>
      </c>
      <c r="I1139" s="36" t="s">
        <v>371</v>
      </c>
      <c r="J1139" s="9" t="str">
        <f t="shared" si="1948"/>
        <v>Ninguno</v>
      </c>
      <c r="K1139" s="9" t="s">
        <v>3799</v>
      </c>
      <c r="L1139" s="38" t="str">
        <f t="shared" ref="L1139:N1139" si="1954">+L1138</f>
        <v>Periodo 2006-2019</v>
      </c>
      <c r="M1139" s="9" t="str">
        <f t="shared" si="1954"/>
        <v>Número de Predios</v>
      </c>
      <c r="N1139" s="9" t="str">
        <f t="shared" si="1954"/>
        <v>Sistema Nacional de Información Municipal</v>
      </c>
      <c r="O1139" s="45" t="str">
        <f>+"Cantidad de Predios Agrícolas por Comuna en la "&amp;I1139&amp;", "&amp;Agencia[[#This Row],[temporalidad]]</f>
        <v>Cantidad de Predios Agrícolas por Comuna en la Región de Coquimbo, Periodo 2006-2019</v>
      </c>
      <c r="P1139" s="20"/>
      <c r="Q1139" s="11" t="str">
        <f t="shared" si="1950"/>
        <v>Gráfico</v>
      </c>
      <c r="R1139" s="20" t="str">
        <f>Agencia[[#This Row],[territorio]]&amp;" catastro predio municipal municipio agrícola territorio"</f>
        <v>Región de Coquimbo catastro predio municipal municipio agrícola territorio</v>
      </c>
      <c r="S1139" s="39" t="str">
        <f>HYPERLINK("https://analytics.zoho.com/open-view/2395394000008464535?ZOHO_CRITERIA=%22Localiza%20CL%22.%22Codreg%22%20%3D%20"&amp;Agencia[[#This Row],[Filtro URL]])</f>
        <v>https://analytics.zoho.com/open-view/2395394000008464535?ZOHO_CRITERIA=%22Localiza%20CL%22.%22Codreg%22%20%3D%204</v>
      </c>
      <c r="T1139" s="113" t="str">
        <f>"100-C-"&amp;Agencia[[#This Row],[Filtro URL]]</f>
        <v>100-C-4</v>
      </c>
      <c r="U1139" s="50" t="str">
        <f t="shared" si="1865"/>
        <v>#1774B9</v>
      </c>
      <c r="V1139" s="118" t="str">
        <f>+Agencia[[#This Row],[idcoleccion]]&amp;"-"&amp;Agencia[[#This Row],[id]]</f>
        <v>990-1128</v>
      </c>
      <c r="W1139" s="118">
        <f>+VLOOKUP(Agencia[[#This Row],[Filtro URL]],Estructura!$X$4:$Y$500,2,0)</f>
        <v>99200004</v>
      </c>
      <c r="X1139" s="118" t="str">
        <f>+VLOOKUP(Agencia[[#This Row],[tema]],Estructura!$A$4:$C$500,3,0)</f>
        <v>T-1055</v>
      </c>
      <c r="Y1139" s="118" t="str">
        <f>+VLOOKUP(Agencia[[#This Row],[contenido]],Estructura!$E$4:$G$500,3,0)</f>
        <v>C-1015</v>
      </c>
      <c r="Z1139" s="118" t="str">
        <f>+VLOOKUP(Agencia[[#This Row],[Filtro Integrado]],Estructura!$I$4:$K$500,3,0)</f>
        <v>FI-993</v>
      </c>
      <c r="AA1139" s="118" t="str">
        <f>+VLOOKUP(Agencia[[#This Row],[Muestra]],Estructura!$M$4:$O$500,3,0)</f>
        <v>M-1086</v>
      </c>
    </row>
    <row r="1140" spans="1:27" ht="57.6" x14ac:dyDescent="0.3">
      <c r="A1140" s="21" t="s">
        <v>3831</v>
      </c>
      <c r="B1140" s="9">
        <f t="shared" ref="B1140:D1140" si="1955">+B1139</f>
        <v>990</v>
      </c>
      <c r="C1140" s="10" t="str">
        <f t="shared" si="1955"/>
        <v>Agencia Información</v>
      </c>
      <c r="D1140" s="10" t="str">
        <f t="shared" si="1955"/>
        <v>Gobiernos locales</v>
      </c>
      <c r="E1140" s="19">
        <v>5</v>
      </c>
      <c r="F1140" s="18" t="str">
        <f t="shared" si="1947"/>
        <v>Predios Agrícolas</v>
      </c>
      <c r="G1140" s="18" t="str">
        <f t="shared" si="1947"/>
        <v>Gestión Municipal Territorial</v>
      </c>
      <c r="H1140" s="56" t="s">
        <v>16</v>
      </c>
      <c r="I1140" s="36" t="s">
        <v>372</v>
      </c>
      <c r="J1140" s="9" t="str">
        <f t="shared" si="1948"/>
        <v>Ninguno</v>
      </c>
      <c r="K1140" s="9" t="s">
        <v>3799</v>
      </c>
      <c r="L1140" s="38" t="str">
        <f t="shared" ref="L1140:N1140" si="1956">+L1139</f>
        <v>Periodo 2006-2019</v>
      </c>
      <c r="M1140" s="9" t="str">
        <f t="shared" si="1956"/>
        <v>Número de Predios</v>
      </c>
      <c r="N1140" s="9" t="str">
        <f t="shared" si="1956"/>
        <v>Sistema Nacional de Información Municipal</v>
      </c>
      <c r="O1140" s="45" t="str">
        <f>+"Cantidad de Predios Agrícolas por Comuna en la "&amp;I1140&amp;", "&amp;Agencia[[#This Row],[temporalidad]]</f>
        <v>Cantidad de Predios Agrícolas por Comuna en la Región de Valparaíso, Periodo 2006-2019</v>
      </c>
      <c r="P1140" s="20"/>
      <c r="Q1140" s="11" t="str">
        <f t="shared" si="1950"/>
        <v>Gráfico</v>
      </c>
      <c r="R1140" s="20" t="str">
        <f>Agencia[[#This Row],[territorio]]&amp;" catastro predio municipal municipio agrícola territorio"</f>
        <v>Región de Valparaíso catastro predio municipal municipio agrícola territorio</v>
      </c>
      <c r="S1140" s="39" t="str">
        <f>HYPERLINK("https://analytics.zoho.com/open-view/2395394000008464535?ZOHO_CRITERIA=%22Localiza%20CL%22.%22Codreg%22%20%3D%20"&amp;Agencia[[#This Row],[Filtro URL]])</f>
        <v>https://analytics.zoho.com/open-view/2395394000008464535?ZOHO_CRITERIA=%22Localiza%20CL%22.%22Codreg%22%20%3D%205</v>
      </c>
      <c r="T1140" s="113" t="str">
        <f>"100-C-"&amp;Agencia[[#This Row],[Filtro URL]]</f>
        <v>100-C-5</v>
      </c>
      <c r="U1140" s="50" t="str">
        <f t="shared" si="1865"/>
        <v>#1774B9</v>
      </c>
      <c r="V1140" s="118" t="str">
        <f>+Agencia[[#This Row],[idcoleccion]]&amp;"-"&amp;Agencia[[#This Row],[id]]</f>
        <v>990-1129</v>
      </c>
      <c r="W1140" s="118">
        <f>+VLOOKUP(Agencia[[#This Row],[Filtro URL]],Estructura!$X$4:$Y$500,2,0)</f>
        <v>99200005</v>
      </c>
      <c r="X1140" s="118" t="str">
        <f>+VLOOKUP(Agencia[[#This Row],[tema]],Estructura!$A$4:$C$500,3,0)</f>
        <v>T-1055</v>
      </c>
      <c r="Y1140" s="118" t="str">
        <f>+VLOOKUP(Agencia[[#This Row],[contenido]],Estructura!$E$4:$G$500,3,0)</f>
        <v>C-1015</v>
      </c>
      <c r="Z1140" s="118" t="str">
        <f>+VLOOKUP(Agencia[[#This Row],[Filtro Integrado]],Estructura!$I$4:$K$500,3,0)</f>
        <v>FI-993</v>
      </c>
      <c r="AA1140" s="118" t="str">
        <f>+VLOOKUP(Agencia[[#This Row],[Muestra]],Estructura!$M$4:$O$500,3,0)</f>
        <v>M-1086</v>
      </c>
    </row>
    <row r="1141" spans="1:27" ht="57.6" x14ac:dyDescent="0.3">
      <c r="A1141" s="21" t="s">
        <v>3832</v>
      </c>
      <c r="B1141" s="9">
        <f t="shared" ref="B1141:D1141" si="1957">+B1140</f>
        <v>990</v>
      </c>
      <c r="C1141" s="10" t="str">
        <f t="shared" si="1957"/>
        <v>Agencia Información</v>
      </c>
      <c r="D1141" s="10" t="str">
        <f t="shared" si="1957"/>
        <v>Gobiernos locales</v>
      </c>
      <c r="E1141" s="19">
        <v>6</v>
      </c>
      <c r="F1141" s="18" t="str">
        <f t="shared" si="1947"/>
        <v>Predios Agrícolas</v>
      </c>
      <c r="G1141" s="18" t="str">
        <f t="shared" si="1947"/>
        <v>Gestión Municipal Territorial</v>
      </c>
      <c r="H1141" s="56" t="s">
        <v>16</v>
      </c>
      <c r="I1141" s="36" t="s">
        <v>373</v>
      </c>
      <c r="J1141" s="9" t="str">
        <f t="shared" si="1948"/>
        <v>Ninguno</v>
      </c>
      <c r="K1141" s="9" t="s">
        <v>3799</v>
      </c>
      <c r="L1141" s="38" t="str">
        <f t="shared" ref="L1141:N1141" si="1958">+L1140</f>
        <v>Periodo 2006-2019</v>
      </c>
      <c r="M1141" s="9" t="str">
        <f t="shared" si="1958"/>
        <v>Número de Predios</v>
      </c>
      <c r="N1141" s="9" t="str">
        <f t="shared" si="1958"/>
        <v>Sistema Nacional de Información Municipal</v>
      </c>
      <c r="O1141" s="45" t="str">
        <f>+"Cantidad de Predios Agrícolas por Comuna en la "&amp;I1141&amp;", "&amp;Agencia[[#This Row],[temporalidad]]</f>
        <v>Cantidad de Predios Agrícolas por Comuna en la Región de O'Higgins, Periodo 2006-2019</v>
      </c>
      <c r="P1141" s="20"/>
      <c r="Q1141" s="11" t="str">
        <f t="shared" si="1950"/>
        <v>Gráfico</v>
      </c>
      <c r="R1141" s="20" t="str">
        <f>Agencia[[#This Row],[territorio]]&amp;" catastro predio municipal municipio agrícola territorio"</f>
        <v>Región de O'Higgins catastro predio municipal municipio agrícola territorio</v>
      </c>
      <c r="S1141" s="39" t="str">
        <f>HYPERLINK("https://analytics.zoho.com/open-view/2395394000008464535?ZOHO_CRITERIA=%22Localiza%20CL%22.%22Codreg%22%20%3D%20"&amp;Agencia[[#This Row],[Filtro URL]])</f>
        <v>https://analytics.zoho.com/open-view/2395394000008464535?ZOHO_CRITERIA=%22Localiza%20CL%22.%22Codreg%22%20%3D%206</v>
      </c>
      <c r="T1141" s="113" t="str">
        <f>"100-C-"&amp;Agencia[[#This Row],[Filtro URL]]</f>
        <v>100-C-6</v>
      </c>
      <c r="U1141" s="50" t="str">
        <f t="shared" si="1865"/>
        <v>#1774B9</v>
      </c>
      <c r="V1141" s="118" t="str">
        <f>+Agencia[[#This Row],[idcoleccion]]&amp;"-"&amp;Agencia[[#This Row],[id]]</f>
        <v>990-1130</v>
      </c>
      <c r="W1141" s="118">
        <f>+VLOOKUP(Agencia[[#This Row],[Filtro URL]],Estructura!$X$4:$Y$500,2,0)</f>
        <v>99200006</v>
      </c>
      <c r="X1141" s="118" t="str">
        <f>+VLOOKUP(Agencia[[#This Row],[tema]],Estructura!$A$4:$C$500,3,0)</f>
        <v>T-1055</v>
      </c>
      <c r="Y1141" s="118" t="str">
        <f>+VLOOKUP(Agencia[[#This Row],[contenido]],Estructura!$E$4:$G$500,3,0)</f>
        <v>C-1015</v>
      </c>
      <c r="Z1141" s="118" t="str">
        <f>+VLOOKUP(Agencia[[#This Row],[Filtro Integrado]],Estructura!$I$4:$K$500,3,0)</f>
        <v>FI-993</v>
      </c>
      <c r="AA1141" s="118" t="str">
        <f>+VLOOKUP(Agencia[[#This Row],[Muestra]],Estructura!$M$4:$O$500,3,0)</f>
        <v>M-1086</v>
      </c>
    </row>
    <row r="1142" spans="1:27" ht="57.6" x14ac:dyDescent="0.3">
      <c r="A1142" s="21" t="s">
        <v>3833</v>
      </c>
      <c r="B1142" s="9">
        <f t="shared" ref="B1142:D1142" si="1959">+B1141</f>
        <v>990</v>
      </c>
      <c r="C1142" s="10" t="str">
        <f t="shared" si="1959"/>
        <v>Agencia Información</v>
      </c>
      <c r="D1142" s="10" t="str">
        <f t="shared" si="1959"/>
        <v>Gobiernos locales</v>
      </c>
      <c r="E1142" s="19">
        <v>7</v>
      </c>
      <c r="F1142" s="18" t="str">
        <f t="shared" si="1947"/>
        <v>Predios Agrícolas</v>
      </c>
      <c r="G1142" s="18" t="str">
        <f t="shared" si="1947"/>
        <v>Gestión Municipal Territorial</v>
      </c>
      <c r="H1142" s="56" t="s">
        <v>16</v>
      </c>
      <c r="I1142" s="36" t="s">
        <v>374</v>
      </c>
      <c r="J1142" s="9" t="str">
        <f t="shared" si="1948"/>
        <v>Ninguno</v>
      </c>
      <c r="K1142" s="9" t="s">
        <v>3799</v>
      </c>
      <c r="L1142" s="38" t="str">
        <f t="shared" ref="L1142:N1142" si="1960">+L1141</f>
        <v>Periodo 2006-2019</v>
      </c>
      <c r="M1142" s="9" t="str">
        <f t="shared" si="1960"/>
        <v>Número de Predios</v>
      </c>
      <c r="N1142" s="9" t="str">
        <f t="shared" si="1960"/>
        <v>Sistema Nacional de Información Municipal</v>
      </c>
      <c r="O1142" s="45" t="str">
        <f>+"Cantidad de Predios Agrícolas por Comuna en la "&amp;I1142&amp;", "&amp;Agencia[[#This Row],[temporalidad]]</f>
        <v>Cantidad de Predios Agrícolas por Comuna en la Región de Maule, Periodo 2006-2019</v>
      </c>
      <c r="P1142" s="20"/>
      <c r="Q1142" s="11" t="str">
        <f t="shared" si="1950"/>
        <v>Gráfico</v>
      </c>
      <c r="R1142" s="20" t="str">
        <f>Agencia[[#This Row],[territorio]]&amp;" catastro predio municipal municipio agrícola territorio"</f>
        <v>Región de Maule catastro predio municipal municipio agrícola territorio</v>
      </c>
      <c r="S1142" s="39" t="str">
        <f>HYPERLINK("https://analytics.zoho.com/open-view/2395394000008464535?ZOHO_CRITERIA=%22Localiza%20CL%22.%22Codreg%22%20%3D%20"&amp;Agencia[[#This Row],[Filtro URL]])</f>
        <v>https://analytics.zoho.com/open-view/2395394000008464535?ZOHO_CRITERIA=%22Localiza%20CL%22.%22Codreg%22%20%3D%207</v>
      </c>
      <c r="T1142" s="113" t="str">
        <f>"100-C-"&amp;Agencia[[#This Row],[Filtro URL]]</f>
        <v>100-C-7</v>
      </c>
      <c r="U1142" s="50" t="str">
        <f t="shared" si="1865"/>
        <v>#1774B9</v>
      </c>
      <c r="V1142" s="118" t="str">
        <f>+Agencia[[#This Row],[idcoleccion]]&amp;"-"&amp;Agencia[[#This Row],[id]]</f>
        <v>990-1131</v>
      </c>
      <c r="W1142" s="118">
        <f>+VLOOKUP(Agencia[[#This Row],[Filtro URL]],Estructura!$X$4:$Y$500,2,0)</f>
        <v>99200007</v>
      </c>
      <c r="X1142" s="118" t="str">
        <f>+VLOOKUP(Agencia[[#This Row],[tema]],Estructura!$A$4:$C$500,3,0)</f>
        <v>T-1055</v>
      </c>
      <c r="Y1142" s="118" t="str">
        <f>+VLOOKUP(Agencia[[#This Row],[contenido]],Estructura!$E$4:$G$500,3,0)</f>
        <v>C-1015</v>
      </c>
      <c r="Z1142" s="118" t="str">
        <f>+VLOOKUP(Agencia[[#This Row],[Filtro Integrado]],Estructura!$I$4:$K$500,3,0)</f>
        <v>FI-993</v>
      </c>
      <c r="AA1142" s="118" t="str">
        <f>+VLOOKUP(Agencia[[#This Row],[Muestra]],Estructura!$M$4:$O$500,3,0)</f>
        <v>M-1086</v>
      </c>
    </row>
    <row r="1143" spans="1:27" ht="57.6" x14ac:dyDescent="0.3">
      <c r="A1143" s="21" t="s">
        <v>3834</v>
      </c>
      <c r="B1143" s="9">
        <f t="shared" ref="B1143:D1143" si="1961">+B1142</f>
        <v>990</v>
      </c>
      <c r="C1143" s="10" t="str">
        <f t="shared" si="1961"/>
        <v>Agencia Información</v>
      </c>
      <c r="D1143" s="10" t="str">
        <f t="shared" si="1961"/>
        <v>Gobiernos locales</v>
      </c>
      <c r="E1143" s="19">
        <v>8</v>
      </c>
      <c r="F1143" s="18" t="str">
        <f t="shared" si="1947"/>
        <v>Predios Agrícolas</v>
      </c>
      <c r="G1143" s="18" t="str">
        <f t="shared" si="1947"/>
        <v>Gestión Municipal Territorial</v>
      </c>
      <c r="H1143" s="56" t="s">
        <v>16</v>
      </c>
      <c r="I1143" s="36" t="s">
        <v>375</v>
      </c>
      <c r="J1143" s="9" t="str">
        <f t="shared" si="1948"/>
        <v>Ninguno</v>
      </c>
      <c r="K1143" s="9" t="s">
        <v>3799</v>
      </c>
      <c r="L1143" s="38" t="str">
        <f t="shared" ref="L1143:N1143" si="1962">+L1142</f>
        <v>Periodo 2006-2019</v>
      </c>
      <c r="M1143" s="9" t="str">
        <f t="shared" si="1962"/>
        <v>Número de Predios</v>
      </c>
      <c r="N1143" s="9" t="str">
        <f t="shared" si="1962"/>
        <v>Sistema Nacional de Información Municipal</v>
      </c>
      <c r="O1143" s="45" t="str">
        <f>+"Cantidad de Predios Agrícolas por Comuna en la "&amp;I1143&amp;", "&amp;Agencia[[#This Row],[temporalidad]]</f>
        <v>Cantidad de Predios Agrícolas por Comuna en la Región del Biobío, Periodo 2006-2019</v>
      </c>
      <c r="P1143" s="20"/>
      <c r="Q1143" s="11" t="str">
        <f t="shared" si="1950"/>
        <v>Gráfico</v>
      </c>
      <c r="R1143" s="20" t="str">
        <f>Agencia[[#This Row],[territorio]]&amp;" catastro predio municipal municipio agrícola territorio"</f>
        <v>Región del Biobío catastro predio municipal municipio agrícola territorio</v>
      </c>
      <c r="S1143" s="39" t="str">
        <f>HYPERLINK("https://analytics.zoho.com/open-view/2395394000008464535?ZOHO_CRITERIA=%22Localiza%20CL%22.%22Codreg%22%20%3D%20"&amp;Agencia[[#This Row],[Filtro URL]])</f>
        <v>https://analytics.zoho.com/open-view/2395394000008464535?ZOHO_CRITERIA=%22Localiza%20CL%22.%22Codreg%22%20%3D%208</v>
      </c>
      <c r="T1143" s="113" t="str">
        <f>"100-C-"&amp;Agencia[[#This Row],[Filtro URL]]</f>
        <v>100-C-8</v>
      </c>
      <c r="U1143" s="50" t="str">
        <f t="shared" si="1865"/>
        <v>#1774B9</v>
      </c>
      <c r="V1143" s="118" t="str">
        <f>+Agencia[[#This Row],[idcoleccion]]&amp;"-"&amp;Agencia[[#This Row],[id]]</f>
        <v>990-1132</v>
      </c>
      <c r="W1143" s="118">
        <f>+VLOOKUP(Agencia[[#This Row],[Filtro URL]],Estructura!$X$4:$Y$500,2,0)</f>
        <v>99200008</v>
      </c>
      <c r="X1143" s="118" t="str">
        <f>+VLOOKUP(Agencia[[#This Row],[tema]],Estructura!$A$4:$C$500,3,0)</f>
        <v>T-1055</v>
      </c>
      <c r="Y1143" s="118" t="str">
        <f>+VLOOKUP(Agencia[[#This Row],[contenido]],Estructura!$E$4:$G$500,3,0)</f>
        <v>C-1015</v>
      </c>
      <c r="Z1143" s="118" t="str">
        <f>+VLOOKUP(Agencia[[#This Row],[Filtro Integrado]],Estructura!$I$4:$K$500,3,0)</f>
        <v>FI-993</v>
      </c>
      <c r="AA1143" s="118" t="str">
        <f>+VLOOKUP(Agencia[[#This Row],[Muestra]],Estructura!$M$4:$O$500,3,0)</f>
        <v>M-1086</v>
      </c>
    </row>
    <row r="1144" spans="1:27" ht="57.6" x14ac:dyDescent="0.3">
      <c r="A1144" s="21" t="s">
        <v>3835</v>
      </c>
      <c r="B1144" s="9">
        <f t="shared" ref="B1144:D1144" si="1963">+B1143</f>
        <v>990</v>
      </c>
      <c r="C1144" s="10" t="str">
        <f t="shared" si="1963"/>
        <v>Agencia Información</v>
      </c>
      <c r="D1144" s="10" t="str">
        <f t="shared" si="1963"/>
        <v>Gobiernos locales</v>
      </c>
      <c r="E1144" s="19">
        <v>9</v>
      </c>
      <c r="F1144" s="18" t="str">
        <f t="shared" si="1947"/>
        <v>Predios Agrícolas</v>
      </c>
      <c r="G1144" s="18" t="str">
        <f t="shared" si="1947"/>
        <v>Gestión Municipal Territorial</v>
      </c>
      <c r="H1144" s="56" t="s">
        <v>16</v>
      </c>
      <c r="I1144" s="36" t="s">
        <v>376</v>
      </c>
      <c r="J1144" s="9" t="str">
        <f t="shared" si="1948"/>
        <v>Ninguno</v>
      </c>
      <c r="K1144" s="9" t="s">
        <v>3799</v>
      </c>
      <c r="L1144" s="38" t="str">
        <f t="shared" ref="L1144:N1144" si="1964">+L1143</f>
        <v>Periodo 2006-2019</v>
      </c>
      <c r="M1144" s="9" t="str">
        <f t="shared" si="1964"/>
        <v>Número de Predios</v>
      </c>
      <c r="N1144" s="9" t="str">
        <f t="shared" si="1964"/>
        <v>Sistema Nacional de Información Municipal</v>
      </c>
      <c r="O1144" s="45" t="str">
        <f>+"Cantidad de Predios Agrícolas por Comuna en la "&amp;I1144&amp;", "&amp;Agencia[[#This Row],[temporalidad]]</f>
        <v>Cantidad de Predios Agrícolas por Comuna en la Región de La Araucanía, Periodo 2006-2019</v>
      </c>
      <c r="P1144" s="20"/>
      <c r="Q1144" s="11" t="str">
        <f t="shared" si="1950"/>
        <v>Gráfico</v>
      </c>
      <c r="R1144" s="20" t="str">
        <f>Agencia[[#This Row],[territorio]]&amp;" catastro predio municipal municipio agrícola territorio"</f>
        <v>Región de La Araucanía catastro predio municipal municipio agrícola territorio</v>
      </c>
      <c r="S1144" s="39" t="str">
        <f>HYPERLINK("https://analytics.zoho.com/open-view/2395394000008464535?ZOHO_CRITERIA=%22Localiza%20CL%22.%22Codreg%22%20%3D%20"&amp;Agencia[[#This Row],[Filtro URL]])</f>
        <v>https://analytics.zoho.com/open-view/2395394000008464535?ZOHO_CRITERIA=%22Localiza%20CL%22.%22Codreg%22%20%3D%209</v>
      </c>
      <c r="T1144" s="113" t="str">
        <f>"100-C-"&amp;Agencia[[#This Row],[Filtro URL]]</f>
        <v>100-C-9</v>
      </c>
      <c r="U1144" s="50" t="str">
        <f t="shared" si="1865"/>
        <v>#1774B9</v>
      </c>
      <c r="V1144" s="118" t="str">
        <f>+Agencia[[#This Row],[idcoleccion]]&amp;"-"&amp;Agencia[[#This Row],[id]]</f>
        <v>990-1133</v>
      </c>
      <c r="W1144" s="118">
        <f>+VLOOKUP(Agencia[[#This Row],[Filtro URL]],Estructura!$X$4:$Y$500,2,0)</f>
        <v>99200009</v>
      </c>
      <c r="X1144" s="118" t="str">
        <f>+VLOOKUP(Agencia[[#This Row],[tema]],Estructura!$A$4:$C$500,3,0)</f>
        <v>T-1055</v>
      </c>
      <c r="Y1144" s="118" t="str">
        <f>+VLOOKUP(Agencia[[#This Row],[contenido]],Estructura!$E$4:$G$500,3,0)</f>
        <v>C-1015</v>
      </c>
      <c r="Z1144" s="118" t="str">
        <f>+VLOOKUP(Agencia[[#This Row],[Filtro Integrado]],Estructura!$I$4:$K$500,3,0)</f>
        <v>FI-993</v>
      </c>
      <c r="AA1144" s="118" t="str">
        <f>+VLOOKUP(Agencia[[#This Row],[Muestra]],Estructura!$M$4:$O$500,3,0)</f>
        <v>M-1086</v>
      </c>
    </row>
    <row r="1145" spans="1:27" ht="57.6" x14ac:dyDescent="0.3">
      <c r="A1145" s="21" t="s">
        <v>3836</v>
      </c>
      <c r="B1145" s="9">
        <f t="shared" ref="B1145:D1145" si="1965">+B1144</f>
        <v>990</v>
      </c>
      <c r="C1145" s="10" t="str">
        <f t="shared" si="1965"/>
        <v>Agencia Información</v>
      </c>
      <c r="D1145" s="10" t="str">
        <f t="shared" si="1965"/>
        <v>Gobiernos locales</v>
      </c>
      <c r="E1145" s="19">
        <v>10</v>
      </c>
      <c r="F1145" s="18" t="str">
        <f t="shared" si="1947"/>
        <v>Predios Agrícolas</v>
      </c>
      <c r="G1145" s="18" t="str">
        <f t="shared" si="1947"/>
        <v>Gestión Municipal Territorial</v>
      </c>
      <c r="H1145" s="56" t="s">
        <v>16</v>
      </c>
      <c r="I1145" s="36" t="s">
        <v>377</v>
      </c>
      <c r="J1145" s="9" t="str">
        <f t="shared" si="1948"/>
        <v>Ninguno</v>
      </c>
      <c r="K1145" s="9" t="s">
        <v>3799</v>
      </c>
      <c r="L1145" s="38" t="str">
        <f t="shared" ref="L1145:N1145" si="1966">+L1144</f>
        <v>Periodo 2006-2019</v>
      </c>
      <c r="M1145" s="9" t="str">
        <f t="shared" si="1966"/>
        <v>Número de Predios</v>
      </c>
      <c r="N1145" s="9" t="str">
        <f t="shared" si="1966"/>
        <v>Sistema Nacional de Información Municipal</v>
      </c>
      <c r="O1145" s="45" t="str">
        <f>+"Cantidad de Predios Agrícolas por Comuna en la "&amp;I1145&amp;", "&amp;Agencia[[#This Row],[temporalidad]]</f>
        <v>Cantidad de Predios Agrícolas por Comuna en la Región de Los Lagos, Periodo 2006-2019</v>
      </c>
      <c r="P1145" s="20"/>
      <c r="Q1145" s="11" t="str">
        <f t="shared" si="1950"/>
        <v>Gráfico</v>
      </c>
      <c r="R1145" s="20" t="str">
        <f>Agencia[[#This Row],[territorio]]&amp;" catastro predio municipal municipio agrícola territorio"</f>
        <v>Región de Los Lagos catastro predio municipal municipio agrícola territorio</v>
      </c>
      <c r="S1145" s="39" t="str">
        <f>HYPERLINK("https://analytics.zoho.com/open-view/2395394000008464535?ZOHO_CRITERIA=%22Localiza%20CL%22.%22Codreg%22%20%3D%20"&amp;Agencia[[#This Row],[Filtro URL]])</f>
        <v>https://analytics.zoho.com/open-view/2395394000008464535?ZOHO_CRITERIA=%22Localiza%20CL%22.%22Codreg%22%20%3D%2010</v>
      </c>
      <c r="T1145" s="113" t="str">
        <f>"100-C-"&amp;Agencia[[#This Row],[Filtro URL]]</f>
        <v>100-C-10</v>
      </c>
      <c r="U1145" s="50" t="str">
        <f t="shared" si="1865"/>
        <v>#1774B9</v>
      </c>
      <c r="V1145" s="118" t="str">
        <f>+Agencia[[#This Row],[idcoleccion]]&amp;"-"&amp;Agencia[[#This Row],[id]]</f>
        <v>990-1134</v>
      </c>
      <c r="W1145" s="118">
        <f>+VLOOKUP(Agencia[[#This Row],[Filtro URL]],Estructura!$X$4:$Y$500,2,0)</f>
        <v>99200010</v>
      </c>
      <c r="X1145" s="118" t="str">
        <f>+VLOOKUP(Agencia[[#This Row],[tema]],Estructura!$A$4:$C$500,3,0)</f>
        <v>T-1055</v>
      </c>
      <c r="Y1145" s="118" t="str">
        <f>+VLOOKUP(Agencia[[#This Row],[contenido]],Estructura!$E$4:$G$500,3,0)</f>
        <v>C-1015</v>
      </c>
      <c r="Z1145" s="118" t="str">
        <f>+VLOOKUP(Agencia[[#This Row],[Filtro Integrado]],Estructura!$I$4:$K$500,3,0)</f>
        <v>FI-993</v>
      </c>
      <c r="AA1145" s="118" t="str">
        <f>+VLOOKUP(Agencia[[#This Row],[Muestra]],Estructura!$M$4:$O$500,3,0)</f>
        <v>M-1086</v>
      </c>
    </row>
    <row r="1146" spans="1:27" ht="57.6" x14ac:dyDescent="0.3">
      <c r="A1146" s="21" t="s">
        <v>3837</v>
      </c>
      <c r="B1146" s="9">
        <f t="shared" ref="B1146:D1146" si="1967">+B1145</f>
        <v>990</v>
      </c>
      <c r="C1146" s="10" t="str">
        <f t="shared" si="1967"/>
        <v>Agencia Información</v>
      </c>
      <c r="D1146" s="10" t="str">
        <f t="shared" si="1967"/>
        <v>Gobiernos locales</v>
      </c>
      <c r="E1146" s="19">
        <v>11</v>
      </c>
      <c r="F1146" s="18" t="str">
        <f t="shared" si="1947"/>
        <v>Predios Agrícolas</v>
      </c>
      <c r="G1146" s="18" t="str">
        <f t="shared" si="1947"/>
        <v>Gestión Municipal Territorial</v>
      </c>
      <c r="H1146" s="56" t="s">
        <v>16</v>
      </c>
      <c r="I1146" s="36" t="s">
        <v>378</v>
      </c>
      <c r="J1146" s="9" t="str">
        <f t="shared" si="1948"/>
        <v>Ninguno</v>
      </c>
      <c r="K1146" s="9" t="s">
        <v>3799</v>
      </c>
      <c r="L1146" s="38" t="str">
        <f t="shared" ref="L1146:N1146" si="1968">+L1145</f>
        <v>Periodo 2006-2019</v>
      </c>
      <c r="M1146" s="9" t="str">
        <f t="shared" si="1968"/>
        <v>Número de Predios</v>
      </c>
      <c r="N1146" s="9" t="str">
        <f t="shared" si="1968"/>
        <v>Sistema Nacional de Información Municipal</v>
      </c>
      <c r="O1146" s="45" t="str">
        <f>+"Cantidad de Predios Agrícolas por Comuna en la "&amp;I1146&amp;", "&amp;Agencia[[#This Row],[temporalidad]]</f>
        <v>Cantidad de Predios Agrícolas por Comuna en la Región de Aysén, Periodo 2006-2019</v>
      </c>
      <c r="P1146" s="20"/>
      <c r="Q1146" s="11" t="str">
        <f t="shared" si="1950"/>
        <v>Gráfico</v>
      </c>
      <c r="R1146" s="20" t="str">
        <f>Agencia[[#This Row],[territorio]]&amp;" catastro predio municipal municipio agrícola territorio"</f>
        <v>Región de Aysén catastro predio municipal municipio agrícola territorio</v>
      </c>
      <c r="S1146" s="39" t="str">
        <f>HYPERLINK("https://analytics.zoho.com/open-view/2395394000008464535?ZOHO_CRITERIA=%22Localiza%20CL%22.%22Codreg%22%20%3D%20"&amp;Agencia[[#This Row],[Filtro URL]])</f>
        <v>https://analytics.zoho.com/open-view/2395394000008464535?ZOHO_CRITERIA=%22Localiza%20CL%22.%22Codreg%22%20%3D%2011</v>
      </c>
      <c r="T1146" s="113" t="str">
        <f>"100-C-"&amp;Agencia[[#This Row],[Filtro URL]]</f>
        <v>100-C-11</v>
      </c>
      <c r="U1146" s="50" t="str">
        <f t="shared" si="1865"/>
        <v>#1774B9</v>
      </c>
      <c r="V1146" s="118" t="str">
        <f>+Agencia[[#This Row],[idcoleccion]]&amp;"-"&amp;Agencia[[#This Row],[id]]</f>
        <v>990-1135</v>
      </c>
      <c r="W1146" s="118">
        <f>+VLOOKUP(Agencia[[#This Row],[Filtro URL]],Estructura!$X$4:$Y$500,2,0)</f>
        <v>99200011</v>
      </c>
      <c r="X1146" s="118" t="str">
        <f>+VLOOKUP(Agencia[[#This Row],[tema]],Estructura!$A$4:$C$500,3,0)</f>
        <v>T-1055</v>
      </c>
      <c r="Y1146" s="118" t="str">
        <f>+VLOOKUP(Agencia[[#This Row],[contenido]],Estructura!$E$4:$G$500,3,0)</f>
        <v>C-1015</v>
      </c>
      <c r="Z1146" s="118" t="str">
        <f>+VLOOKUP(Agencia[[#This Row],[Filtro Integrado]],Estructura!$I$4:$K$500,3,0)</f>
        <v>FI-993</v>
      </c>
      <c r="AA1146" s="118" t="str">
        <f>+VLOOKUP(Agencia[[#This Row],[Muestra]],Estructura!$M$4:$O$500,3,0)</f>
        <v>M-1086</v>
      </c>
    </row>
    <row r="1147" spans="1:27" ht="57.6" x14ac:dyDescent="0.3">
      <c r="A1147" s="21" t="s">
        <v>3838</v>
      </c>
      <c r="B1147" s="9">
        <f t="shared" ref="B1147:D1147" si="1969">+B1146</f>
        <v>990</v>
      </c>
      <c r="C1147" s="10" t="str">
        <f t="shared" si="1969"/>
        <v>Agencia Información</v>
      </c>
      <c r="D1147" s="10" t="str">
        <f t="shared" si="1969"/>
        <v>Gobiernos locales</v>
      </c>
      <c r="E1147" s="19">
        <v>12</v>
      </c>
      <c r="F1147" s="18" t="str">
        <f t="shared" si="1947"/>
        <v>Predios Agrícolas</v>
      </c>
      <c r="G1147" s="18" t="str">
        <f t="shared" si="1947"/>
        <v>Gestión Municipal Territorial</v>
      </c>
      <c r="H1147" s="56" t="s">
        <v>16</v>
      </c>
      <c r="I1147" s="36" t="s">
        <v>379</v>
      </c>
      <c r="J1147" s="9" t="str">
        <f t="shared" si="1948"/>
        <v>Ninguno</v>
      </c>
      <c r="K1147" s="9" t="s">
        <v>3799</v>
      </c>
      <c r="L1147" s="38" t="str">
        <f t="shared" ref="L1147:N1147" si="1970">+L1146</f>
        <v>Periodo 2006-2019</v>
      </c>
      <c r="M1147" s="9" t="str">
        <f t="shared" si="1970"/>
        <v>Número de Predios</v>
      </c>
      <c r="N1147" s="9" t="str">
        <f t="shared" si="1970"/>
        <v>Sistema Nacional de Información Municipal</v>
      </c>
      <c r="O1147" s="45" t="str">
        <f>+"Cantidad de Predios Agrícolas por Comuna en la "&amp;I1147&amp;", "&amp;Agencia[[#This Row],[temporalidad]]</f>
        <v>Cantidad de Predios Agrícolas por Comuna en la Región de Magallanes, Periodo 2006-2019</v>
      </c>
      <c r="P1147" s="20"/>
      <c r="Q1147" s="11" t="str">
        <f t="shared" si="1950"/>
        <v>Gráfico</v>
      </c>
      <c r="R1147" s="20" t="str">
        <f>Agencia[[#This Row],[territorio]]&amp;" catastro predio municipal municipio agrícola territorio"</f>
        <v>Región de Magallanes catastro predio municipal municipio agrícola territorio</v>
      </c>
      <c r="S1147" s="39" t="str">
        <f>HYPERLINK("https://analytics.zoho.com/open-view/2395394000008464535?ZOHO_CRITERIA=%22Localiza%20CL%22.%22Codreg%22%20%3D%20"&amp;Agencia[[#This Row],[Filtro URL]])</f>
        <v>https://analytics.zoho.com/open-view/2395394000008464535?ZOHO_CRITERIA=%22Localiza%20CL%22.%22Codreg%22%20%3D%2012</v>
      </c>
      <c r="T1147" s="113" t="str">
        <f>"100-C-"&amp;Agencia[[#This Row],[Filtro URL]]</f>
        <v>100-C-12</v>
      </c>
      <c r="U1147" s="50" t="str">
        <f t="shared" si="1865"/>
        <v>#1774B9</v>
      </c>
      <c r="V1147" s="118" t="str">
        <f>+Agencia[[#This Row],[idcoleccion]]&amp;"-"&amp;Agencia[[#This Row],[id]]</f>
        <v>990-1136</v>
      </c>
      <c r="W1147" s="118">
        <f>+VLOOKUP(Agencia[[#This Row],[Filtro URL]],Estructura!$X$4:$Y$500,2,0)</f>
        <v>99200012</v>
      </c>
      <c r="X1147" s="118" t="str">
        <f>+VLOOKUP(Agencia[[#This Row],[tema]],Estructura!$A$4:$C$500,3,0)</f>
        <v>T-1055</v>
      </c>
      <c r="Y1147" s="118" t="str">
        <f>+VLOOKUP(Agencia[[#This Row],[contenido]],Estructura!$E$4:$G$500,3,0)</f>
        <v>C-1015</v>
      </c>
      <c r="Z1147" s="118" t="str">
        <f>+VLOOKUP(Agencia[[#This Row],[Filtro Integrado]],Estructura!$I$4:$K$500,3,0)</f>
        <v>FI-993</v>
      </c>
      <c r="AA1147" s="118" t="str">
        <f>+VLOOKUP(Agencia[[#This Row],[Muestra]],Estructura!$M$4:$O$500,3,0)</f>
        <v>M-1086</v>
      </c>
    </row>
    <row r="1148" spans="1:27" ht="57.6" x14ac:dyDescent="0.3">
      <c r="A1148" s="21" t="s">
        <v>3839</v>
      </c>
      <c r="B1148" s="9">
        <f t="shared" ref="B1148:D1148" si="1971">+B1147</f>
        <v>990</v>
      </c>
      <c r="C1148" s="10" t="str">
        <f t="shared" si="1971"/>
        <v>Agencia Información</v>
      </c>
      <c r="D1148" s="10" t="str">
        <f t="shared" si="1971"/>
        <v>Gobiernos locales</v>
      </c>
      <c r="E1148" s="19">
        <v>13</v>
      </c>
      <c r="F1148" s="18" t="str">
        <f t="shared" si="1947"/>
        <v>Predios Agrícolas</v>
      </c>
      <c r="G1148" s="18" t="str">
        <f t="shared" si="1947"/>
        <v>Gestión Municipal Territorial</v>
      </c>
      <c r="H1148" s="56" t="s">
        <v>16</v>
      </c>
      <c r="I1148" s="36" t="s">
        <v>380</v>
      </c>
      <c r="J1148" s="9" t="str">
        <f t="shared" si="1948"/>
        <v>Ninguno</v>
      </c>
      <c r="K1148" s="9" t="s">
        <v>3799</v>
      </c>
      <c r="L1148" s="38" t="str">
        <f t="shared" ref="L1148:N1148" si="1972">+L1147</f>
        <v>Periodo 2006-2019</v>
      </c>
      <c r="M1148" s="9" t="str">
        <f t="shared" si="1972"/>
        <v>Número de Predios</v>
      </c>
      <c r="N1148" s="9" t="str">
        <f t="shared" si="1972"/>
        <v>Sistema Nacional de Información Municipal</v>
      </c>
      <c r="O1148" s="45" t="str">
        <f>+"Cantidad de Predios Agrícolas por Comuna en la "&amp;I1148&amp;", "&amp;Agencia[[#This Row],[temporalidad]]</f>
        <v>Cantidad de Predios Agrícolas por Comuna en la Región Metropolitana, Periodo 2006-2019</v>
      </c>
      <c r="P1148" s="20"/>
      <c r="Q1148" s="11" t="str">
        <f t="shared" si="1950"/>
        <v>Gráfico</v>
      </c>
      <c r="R1148" s="20" t="str">
        <f>Agencia[[#This Row],[territorio]]&amp;" catastro predio municipal municipio agrícola territorio"</f>
        <v>Región Metropolitana catastro predio municipal municipio agrícola territorio</v>
      </c>
      <c r="S1148" s="39" t="str">
        <f>HYPERLINK("https://analytics.zoho.com/open-view/2395394000008464535?ZOHO_CRITERIA=%22Localiza%20CL%22.%22Codreg%22%20%3D%20"&amp;Agencia[[#This Row],[Filtro URL]])</f>
        <v>https://analytics.zoho.com/open-view/2395394000008464535?ZOHO_CRITERIA=%22Localiza%20CL%22.%22Codreg%22%20%3D%2013</v>
      </c>
      <c r="T1148" s="113" t="str">
        <f>"200-C-"&amp;Agencia[[#This Row],[Filtro URL]]</f>
        <v>200-C-13</v>
      </c>
      <c r="U1148" s="50" t="str">
        <f t="shared" si="1865"/>
        <v>#1774B9</v>
      </c>
      <c r="V1148" s="118" t="str">
        <f>+Agencia[[#This Row],[idcoleccion]]&amp;"-"&amp;Agencia[[#This Row],[id]]</f>
        <v>990-1137</v>
      </c>
      <c r="W1148" s="118">
        <f>+VLOOKUP(Agencia[[#This Row],[Filtro URL]],Estructura!$X$4:$Y$500,2,0)</f>
        <v>99200013</v>
      </c>
      <c r="X1148" s="118" t="str">
        <f>+VLOOKUP(Agencia[[#This Row],[tema]],Estructura!$A$4:$C$500,3,0)</f>
        <v>T-1055</v>
      </c>
      <c r="Y1148" s="118" t="str">
        <f>+VLOOKUP(Agencia[[#This Row],[contenido]],Estructura!$E$4:$G$500,3,0)</f>
        <v>C-1015</v>
      </c>
      <c r="Z1148" s="118" t="str">
        <f>+VLOOKUP(Agencia[[#This Row],[Filtro Integrado]],Estructura!$I$4:$K$500,3,0)</f>
        <v>FI-993</v>
      </c>
      <c r="AA1148" s="118" t="str">
        <f>+VLOOKUP(Agencia[[#This Row],[Muestra]],Estructura!$M$4:$O$500,3,0)</f>
        <v>M-1086</v>
      </c>
    </row>
    <row r="1149" spans="1:27" ht="57.6" x14ac:dyDescent="0.3">
      <c r="A1149" s="21" t="s">
        <v>3840</v>
      </c>
      <c r="B1149" s="9">
        <f t="shared" ref="B1149:D1149" si="1973">+B1148</f>
        <v>990</v>
      </c>
      <c r="C1149" s="10" t="str">
        <f t="shared" si="1973"/>
        <v>Agencia Información</v>
      </c>
      <c r="D1149" s="10" t="str">
        <f t="shared" si="1973"/>
        <v>Gobiernos locales</v>
      </c>
      <c r="E1149" s="19">
        <v>14</v>
      </c>
      <c r="F1149" s="18" t="str">
        <f t="shared" si="1947"/>
        <v>Predios Agrícolas</v>
      </c>
      <c r="G1149" s="18" t="str">
        <f t="shared" si="1947"/>
        <v>Gestión Municipal Territorial</v>
      </c>
      <c r="H1149" s="56" t="s">
        <v>16</v>
      </c>
      <c r="I1149" s="36" t="s">
        <v>381</v>
      </c>
      <c r="J1149" s="9" t="str">
        <f t="shared" si="1948"/>
        <v>Ninguno</v>
      </c>
      <c r="K1149" s="9" t="s">
        <v>3799</v>
      </c>
      <c r="L1149" s="38" t="str">
        <f t="shared" ref="L1149:N1149" si="1974">+L1148</f>
        <v>Periodo 2006-2019</v>
      </c>
      <c r="M1149" s="9" t="str">
        <f t="shared" si="1974"/>
        <v>Número de Predios</v>
      </c>
      <c r="N1149" s="9" t="str">
        <f t="shared" si="1974"/>
        <v>Sistema Nacional de Información Municipal</v>
      </c>
      <c r="O1149" s="45" t="str">
        <f>+"Cantidad de Predios Agrícolas por Comuna en la "&amp;I1149&amp;", "&amp;Agencia[[#This Row],[temporalidad]]</f>
        <v>Cantidad de Predios Agrícolas por Comuna en la Región de Los Ríos, Periodo 2006-2019</v>
      </c>
      <c r="P1149" s="20"/>
      <c r="Q1149" s="11" t="str">
        <f t="shared" si="1950"/>
        <v>Gráfico</v>
      </c>
      <c r="R1149" s="20" t="str">
        <f>Agencia[[#This Row],[territorio]]&amp;" catastro predio municipal municipio agrícola territorio"</f>
        <v>Región de Los Ríos catastro predio municipal municipio agrícola territorio</v>
      </c>
      <c r="S1149" s="39" t="str">
        <f>HYPERLINK("https://analytics.zoho.com/open-view/2395394000008464535?ZOHO_CRITERIA=%22Localiza%20CL%22.%22Codreg%22%20%3D%20"&amp;Agencia[[#This Row],[Filtro URL]])</f>
        <v>https://analytics.zoho.com/open-view/2395394000008464535?ZOHO_CRITERIA=%22Localiza%20CL%22.%22Codreg%22%20%3D%2014</v>
      </c>
      <c r="T1149" s="113" t="str">
        <f>"100-C-"&amp;Agencia[[#This Row],[Filtro URL]]</f>
        <v>100-C-14</v>
      </c>
      <c r="U1149" s="50" t="str">
        <f t="shared" si="1865"/>
        <v>#1774B9</v>
      </c>
      <c r="V1149" s="118" t="str">
        <f>+Agencia[[#This Row],[idcoleccion]]&amp;"-"&amp;Agencia[[#This Row],[id]]</f>
        <v>990-1138</v>
      </c>
      <c r="W1149" s="118">
        <f>+VLOOKUP(Agencia[[#This Row],[Filtro URL]],Estructura!$X$4:$Y$500,2,0)</f>
        <v>99200014</v>
      </c>
      <c r="X1149" s="118" t="str">
        <f>+VLOOKUP(Agencia[[#This Row],[tema]],Estructura!$A$4:$C$500,3,0)</f>
        <v>T-1055</v>
      </c>
      <c r="Y1149" s="118" t="str">
        <f>+VLOOKUP(Agencia[[#This Row],[contenido]],Estructura!$E$4:$G$500,3,0)</f>
        <v>C-1015</v>
      </c>
      <c r="Z1149" s="118" t="str">
        <f>+VLOOKUP(Agencia[[#This Row],[Filtro Integrado]],Estructura!$I$4:$K$500,3,0)</f>
        <v>FI-993</v>
      </c>
      <c r="AA1149" s="118" t="str">
        <f>+VLOOKUP(Agencia[[#This Row],[Muestra]],Estructura!$M$4:$O$500,3,0)</f>
        <v>M-1086</v>
      </c>
    </row>
    <row r="1150" spans="1:27" ht="57.6" x14ac:dyDescent="0.3">
      <c r="A1150" s="21" t="s">
        <v>3841</v>
      </c>
      <c r="B1150" s="9">
        <f t="shared" ref="B1150:D1150" si="1975">+B1149</f>
        <v>990</v>
      </c>
      <c r="C1150" s="10" t="str">
        <f t="shared" si="1975"/>
        <v>Agencia Información</v>
      </c>
      <c r="D1150" s="10" t="str">
        <f t="shared" si="1975"/>
        <v>Gobiernos locales</v>
      </c>
      <c r="E1150" s="19">
        <v>15</v>
      </c>
      <c r="F1150" s="18" t="str">
        <f t="shared" si="1947"/>
        <v>Predios Agrícolas</v>
      </c>
      <c r="G1150" s="18" t="str">
        <f t="shared" si="1947"/>
        <v>Gestión Municipal Territorial</v>
      </c>
      <c r="H1150" s="56" t="s">
        <v>16</v>
      </c>
      <c r="I1150" s="36" t="s">
        <v>382</v>
      </c>
      <c r="J1150" s="9" t="str">
        <f t="shared" si="1948"/>
        <v>Ninguno</v>
      </c>
      <c r="K1150" s="9" t="s">
        <v>3799</v>
      </c>
      <c r="L1150" s="38" t="str">
        <f t="shared" ref="L1150:N1150" si="1976">+L1149</f>
        <v>Periodo 2006-2019</v>
      </c>
      <c r="M1150" s="9" t="str">
        <f t="shared" si="1976"/>
        <v>Número de Predios</v>
      </c>
      <c r="N1150" s="9" t="str">
        <f t="shared" si="1976"/>
        <v>Sistema Nacional de Información Municipal</v>
      </c>
      <c r="O1150" s="45" t="str">
        <f>+"Cantidad de Predios Agrícolas por Comuna en la "&amp;I1150&amp;", "&amp;Agencia[[#This Row],[temporalidad]]</f>
        <v>Cantidad de Predios Agrícolas por Comuna en la Región de Arica y Parinacota, Periodo 2006-2019</v>
      </c>
      <c r="P1150" s="20"/>
      <c r="Q1150" s="11" t="str">
        <f t="shared" si="1950"/>
        <v>Gráfico</v>
      </c>
      <c r="R1150" s="20" t="str">
        <f>Agencia[[#This Row],[territorio]]&amp;" catastro predio municipal municipio agrícola territorio"</f>
        <v>Región de Arica y Parinacota catastro predio municipal municipio agrícola territorio</v>
      </c>
      <c r="S1150" s="39" t="str">
        <f>HYPERLINK("https://analytics.zoho.com/open-view/2395394000008464535?ZOHO_CRITERIA=%22Localiza%20CL%22.%22Codreg%22%20%3D%20"&amp;Agencia[[#This Row],[Filtro URL]])</f>
        <v>https://analytics.zoho.com/open-view/2395394000008464535?ZOHO_CRITERIA=%22Localiza%20CL%22.%22Codreg%22%20%3D%2015</v>
      </c>
      <c r="T1150" s="113" t="str">
        <f>"100-C-"&amp;Agencia[[#This Row],[Filtro URL]]</f>
        <v>100-C-15</v>
      </c>
      <c r="U1150" s="50" t="str">
        <f t="shared" si="1865"/>
        <v>#1774B9</v>
      </c>
      <c r="V1150" s="118" t="str">
        <f>+Agencia[[#This Row],[idcoleccion]]&amp;"-"&amp;Agencia[[#This Row],[id]]</f>
        <v>990-1139</v>
      </c>
      <c r="W1150" s="118">
        <f>+VLOOKUP(Agencia[[#This Row],[Filtro URL]],Estructura!$X$4:$Y$500,2,0)</f>
        <v>99200015</v>
      </c>
      <c r="X1150" s="118" t="str">
        <f>+VLOOKUP(Agencia[[#This Row],[tema]],Estructura!$A$4:$C$500,3,0)</f>
        <v>T-1055</v>
      </c>
      <c r="Y1150" s="118" t="str">
        <f>+VLOOKUP(Agencia[[#This Row],[contenido]],Estructura!$E$4:$G$500,3,0)</f>
        <v>C-1015</v>
      </c>
      <c r="Z1150" s="118" t="str">
        <f>+VLOOKUP(Agencia[[#This Row],[Filtro Integrado]],Estructura!$I$4:$K$500,3,0)</f>
        <v>FI-993</v>
      </c>
      <c r="AA1150" s="118" t="str">
        <f>+VLOOKUP(Agencia[[#This Row],[Muestra]],Estructura!$M$4:$O$500,3,0)</f>
        <v>M-1086</v>
      </c>
    </row>
    <row r="1151" spans="1:27" ht="57.6" x14ac:dyDescent="0.3">
      <c r="A1151" s="21" t="s">
        <v>3842</v>
      </c>
      <c r="B1151" s="24">
        <f t="shared" ref="B1151:D1151" si="1977">+B1150</f>
        <v>990</v>
      </c>
      <c r="C1151" s="25" t="str">
        <f t="shared" si="1977"/>
        <v>Agencia Información</v>
      </c>
      <c r="D1151" s="25" t="str">
        <f t="shared" si="1977"/>
        <v>Gobiernos locales</v>
      </c>
      <c r="E1151" s="46">
        <v>16</v>
      </c>
      <c r="F1151" s="18" t="str">
        <f t="shared" si="1947"/>
        <v>Predios Agrícolas</v>
      </c>
      <c r="G1151" s="18" t="str">
        <f t="shared" si="1947"/>
        <v>Gestión Municipal Territorial</v>
      </c>
      <c r="H1151" s="44" t="s">
        <v>16</v>
      </c>
      <c r="I1151" s="58" t="s">
        <v>383</v>
      </c>
      <c r="J1151" s="24" t="str">
        <f t="shared" si="1948"/>
        <v>Ninguno</v>
      </c>
      <c r="K1151" s="9" t="s">
        <v>3799</v>
      </c>
      <c r="L1151" s="59" t="str">
        <f t="shared" ref="L1151:N1151" si="1978">+L1150</f>
        <v>Periodo 2006-2019</v>
      </c>
      <c r="M1151" s="24" t="str">
        <f t="shared" si="1978"/>
        <v>Número de Predios</v>
      </c>
      <c r="N1151" s="24" t="str">
        <f t="shared" si="1978"/>
        <v>Sistema Nacional de Información Municipal</v>
      </c>
      <c r="O1151" s="45" t="str">
        <f>+"Cantidad de Predios Agrícolas por Comuna en la "&amp;I1151&amp;", "&amp;Agencia[[#This Row],[temporalidad]]</f>
        <v>Cantidad de Predios Agrícolas por Comuna en la Región de Ñuble, Periodo 2006-2019</v>
      </c>
      <c r="P1151" s="27"/>
      <c r="Q1151" s="28" t="str">
        <f t="shared" si="1950"/>
        <v>Gráfico</v>
      </c>
      <c r="R1151" s="20" t="str">
        <f>Agencia[[#This Row],[territorio]]&amp;" catastro predio municipal municipio agrícola territorio"</f>
        <v>Región de Ñuble catastro predio municipal municipio agrícola territorio</v>
      </c>
      <c r="S1151" s="39" t="str">
        <f>HYPERLINK("https://analytics.zoho.com/open-view/2395394000008464535?ZOHO_CRITERIA=%22Localiza%20CL%22.%22Codreg%22%20%3D%20"&amp;Agencia[[#This Row],[Filtro URL]])</f>
        <v>https://analytics.zoho.com/open-view/2395394000008464535?ZOHO_CRITERIA=%22Localiza%20CL%22.%22Codreg%22%20%3D%2016</v>
      </c>
      <c r="T1151" s="113" t="str">
        <f>"100-C-"&amp;Agencia[[#This Row],[Filtro URL]]</f>
        <v>100-C-16</v>
      </c>
      <c r="U1151" s="120" t="str">
        <f t="shared" si="1865"/>
        <v>#1774B9</v>
      </c>
      <c r="V1151" s="118" t="str">
        <f>+Agencia[[#This Row],[idcoleccion]]&amp;"-"&amp;Agencia[[#This Row],[id]]</f>
        <v>990-1140</v>
      </c>
      <c r="W1151" s="118">
        <f>+VLOOKUP(Agencia[[#This Row],[Filtro URL]],Estructura!$X$4:$Y$500,2,0)</f>
        <v>99200016</v>
      </c>
      <c r="X1151" s="118" t="str">
        <f>+VLOOKUP(Agencia[[#This Row],[tema]],Estructura!$A$4:$C$500,3,0)</f>
        <v>T-1055</v>
      </c>
      <c r="Y1151" s="118" t="str">
        <f>+VLOOKUP(Agencia[[#This Row],[contenido]],Estructura!$E$4:$G$500,3,0)</f>
        <v>C-1015</v>
      </c>
      <c r="Z1151" s="118" t="str">
        <f>+VLOOKUP(Agencia[[#This Row],[Filtro Integrado]],Estructura!$I$4:$K$500,3,0)</f>
        <v>FI-993</v>
      </c>
      <c r="AA1151" s="118" t="str">
        <f>+VLOOKUP(Agencia[[#This Row],[Muestra]],Estructura!$M$4:$O$500,3,0)</f>
        <v>M-1086</v>
      </c>
    </row>
    <row r="1152" spans="1:27" ht="81.599999999999994" x14ac:dyDescent="0.3">
      <c r="A1152" s="21" t="s">
        <v>3843</v>
      </c>
      <c r="B1152" s="24">
        <v>990</v>
      </c>
      <c r="C1152" s="25" t="s">
        <v>401</v>
      </c>
      <c r="D1152" s="10" t="s">
        <v>574</v>
      </c>
      <c r="E1152" s="14">
        <v>0</v>
      </c>
      <c r="F1152" s="10" t="s">
        <v>3802</v>
      </c>
      <c r="G1152" s="10" t="s">
        <v>3802</v>
      </c>
      <c r="H1152" s="33" t="s">
        <v>20</v>
      </c>
      <c r="I1152" s="34" t="s">
        <v>15</v>
      </c>
      <c r="J1152" s="9" t="s">
        <v>16</v>
      </c>
      <c r="K1152" s="9" t="s">
        <v>3803</v>
      </c>
      <c r="L1152" s="9" t="s">
        <v>614</v>
      </c>
      <c r="M1152" s="9" t="s">
        <v>3804</v>
      </c>
      <c r="N1152" s="9" t="s">
        <v>910</v>
      </c>
      <c r="O1152" s="20" t="s">
        <v>4686</v>
      </c>
      <c r="P1152" s="20" t="s">
        <v>3805</v>
      </c>
      <c r="Q1152" s="11" t="s">
        <v>584</v>
      </c>
      <c r="R1152" s="20" t="s">
        <v>4687</v>
      </c>
      <c r="S1152" s="102" t="s">
        <v>3806</v>
      </c>
      <c r="T1152" s="111" t="s">
        <v>855</v>
      </c>
      <c r="U1152" s="50" t="s">
        <v>399</v>
      </c>
      <c r="V1152" s="118" t="str">
        <f>+Agencia[[#This Row],[idcoleccion]]&amp;"-"&amp;Agencia[[#This Row],[id]]</f>
        <v>990-1141</v>
      </c>
      <c r="W1152" s="118">
        <f>+VLOOKUP(Agencia[[#This Row],[Filtro URL]],Estructura!$X$4:$Y$500,2,0)</f>
        <v>99100000</v>
      </c>
      <c r="X1152" s="118" t="str">
        <f>+VLOOKUP(Agencia[[#This Row],[tema]],Estructura!$A$4:$C$500,3,0)</f>
        <v>T-1047</v>
      </c>
      <c r="Y1152" s="118" t="str">
        <f>+VLOOKUP(Agencia[[#This Row],[contenido]],Estructura!$E$4:$G$500,3,0)</f>
        <v>C-1013</v>
      </c>
      <c r="Z1152" s="118" t="str">
        <f>+VLOOKUP(Agencia[[#This Row],[Filtro Integrado]],Estructura!$I$4:$K$500,3,0)</f>
        <v>FI-992</v>
      </c>
      <c r="AA1152" s="118" t="str">
        <f>+VLOOKUP(Agencia[[#This Row],[Muestra]],Estructura!$M$4:$O$500,3,0)</f>
        <v>M-1087</v>
      </c>
    </row>
    <row r="1153" spans="1:27" ht="57.6" x14ac:dyDescent="0.3">
      <c r="A1153" s="21" t="s">
        <v>3844</v>
      </c>
      <c r="B1153" s="24">
        <v>990</v>
      </c>
      <c r="C1153" s="25" t="s">
        <v>401</v>
      </c>
      <c r="D1153" s="10" t="s">
        <v>574</v>
      </c>
      <c r="E1153" s="19">
        <v>1</v>
      </c>
      <c r="F1153" s="10" t="s">
        <v>3802</v>
      </c>
      <c r="G1153" s="10" t="s">
        <v>3802</v>
      </c>
      <c r="H1153" s="35" t="s">
        <v>16</v>
      </c>
      <c r="I1153" s="36" t="s">
        <v>368</v>
      </c>
      <c r="J1153" s="9" t="s">
        <v>404</v>
      </c>
      <c r="K1153" s="9" t="s">
        <v>3803</v>
      </c>
      <c r="L1153" s="9" t="s">
        <v>614</v>
      </c>
      <c r="M1153" s="9" t="s">
        <v>3804</v>
      </c>
      <c r="N1153" s="9" t="s">
        <v>910</v>
      </c>
      <c r="O1153" s="20" t="s">
        <v>4313</v>
      </c>
      <c r="P1153" s="20"/>
      <c r="Q1153" s="11" t="s">
        <v>584</v>
      </c>
      <c r="R1153" s="20" t="s">
        <v>4688</v>
      </c>
      <c r="S1153" s="39" t="s">
        <v>4314</v>
      </c>
      <c r="T1153" s="111" t="s">
        <v>3757</v>
      </c>
      <c r="U1153" s="50" t="s">
        <v>399</v>
      </c>
      <c r="V1153" s="118" t="str">
        <f>+Agencia[[#This Row],[idcoleccion]]&amp;"-"&amp;Agencia[[#This Row],[id]]</f>
        <v>990-1142</v>
      </c>
      <c r="W1153" s="118">
        <f>+VLOOKUP(Agencia[[#This Row],[Filtro URL]],Estructura!$X$4:$Y$500,2,0)</f>
        <v>99200001</v>
      </c>
      <c r="X1153" s="118" t="str">
        <f>+VLOOKUP(Agencia[[#This Row],[tema]],Estructura!$A$4:$C$500,3,0)</f>
        <v>T-1047</v>
      </c>
      <c r="Y1153" s="118" t="str">
        <f>+VLOOKUP(Agencia[[#This Row],[contenido]],Estructura!$E$4:$G$500,3,0)</f>
        <v>C-1013</v>
      </c>
      <c r="Z1153" s="118" t="str">
        <f>+VLOOKUP(Agencia[[#This Row],[Filtro Integrado]],Estructura!$I$4:$K$500,3,0)</f>
        <v>FI-993</v>
      </c>
      <c r="AA1153" s="118" t="str">
        <f>+VLOOKUP(Agencia[[#This Row],[Muestra]],Estructura!$M$4:$O$500,3,0)</f>
        <v>M-1087</v>
      </c>
    </row>
    <row r="1154" spans="1:27" ht="57.6" x14ac:dyDescent="0.3">
      <c r="A1154" s="21" t="s">
        <v>3848</v>
      </c>
      <c r="B1154" s="24">
        <v>990</v>
      </c>
      <c r="C1154" s="25" t="s">
        <v>401</v>
      </c>
      <c r="D1154" s="10" t="s">
        <v>574</v>
      </c>
      <c r="E1154" s="19">
        <v>2</v>
      </c>
      <c r="F1154" s="10" t="s">
        <v>3802</v>
      </c>
      <c r="G1154" s="10" t="s">
        <v>3802</v>
      </c>
      <c r="H1154" s="35" t="s">
        <v>16</v>
      </c>
      <c r="I1154" s="36" t="s">
        <v>369</v>
      </c>
      <c r="J1154" s="9" t="s">
        <v>404</v>
      </c>
      <c r="K1154" s="9" t="s">
        <v>3803</v>
      </c>
      <c r="L1154" s="9" t="s">
        <v>614</v>
      </c>
      <c r="M1154" s="9" t="s">
        <v>3804</v>
      </c>
      <c r="N1154" s="9" t="s">
        <v>910</v>
      </c>
      <c r="O1154" s="20" t="s">
        <v>4315</v>
      </c>
      <c r="P1154" s="20"/>
      <c r="Q1154" s="11" t="s">
        <v>584</v>
      </c>
      <c r="R1154" s="20" t="s">
        <v>4689</v>
      </c>
      <c r="S1154" s="39" t="s">
        <v>4316</v>
      </c>
      <c r="T1154" s="111" t="s">
        <v>3745</v>
      </c>
      <c r="U1154" s="120" t="s">
        <v>399</v>
      </c>
      <c r="V1154" s="118" t="str">
        <f>+Agencia[[#This Row],[idcoleccion]]&amp;"-"&amp;Agencia[[#This Row],[id]]</f>
        <v>990-1143</v>
      </c>
      <c r="W1154" s="118">
        <f>+VLOOKUP(Agencia[[#This Row],[Filtro URL]],Estructura!$X$4:$Y$500,2,0)</f>
        <v>99200002</v>
      </c>
      <c r="X1154" s="118" t="str">
        <f>+VLOOKUP(Agencia[[#This Row],[tema]],Estructura!$A$4:$C$500,3,0)</f>
        <v>T-1047</v>
      </c>
      <c r="Y1154" s="118" t="str">
        <f>+VLOOKUP(Agencia[[#This Row],[contenido]],Estructura!$E$4:$G$500,3,0)</f>
        <v>C-1013</v>
      </c>
      <c r="Z1154" s="118" t="str">
        <f>+VLOOKUP(Agencia[[#This Row],[Filtro Integrado]],Estructura!$I$4:$K$500,3,0)</f>
        <v>FI-993</v>
      </c>
      <c r="AA1154" s="118" t="str">
        <f>+VLOOKUP(Agencia[[#This Row],[Muestra]],Estructura!$M$4:$O$500,3,0)</f>
        <v>M-1087</v>
      </c>
    </row>
    <row r="1155" spans="1:27" ht="57.6" x14ac:dyDescent="0.3">
      <c r="A1155" s="21" t="s">
        <v>3849</v>
      </c>
      <c r="B1155" s="24">
        <v>990</v>
      </c>
      <c r="C1155" s="25" t="s">
        <v>401</v>
      </c>
      <c r="D1155" s="10" t="s">
        <v>574</v>
      </c>
      <c r="E1155" s="19">
        <v>3</v>
      </c>
      <c r="F1155" s="10" t="s">
        <v>3802</v>
      </c>
      <c r="G1155" s="10" t="s">
        <v>3802</v>
      </c>
      <c r="H1155" s="35" t="s">
        <v>16</v>
      </c>
      <c r="I1155" s="36" t="s">
        <v>370</v>
      </c>
      <c r="J1155" s="9" t="s">
        <v>404</v>
      </c>
      <c r="K1155" s="9" t="s">
        <v>3803</v>
      </c>
      <c r="L1155" s="9" t="s">
        <v>614</v>
      </c>
      <c r="M1155" s="9" t="s">
        <v>3804</v>
      </c>
      <c r="N1155" s="9" t="s">
        <v>910</v>
      </c>
      <c r="O1155" s="20" t="s">
        <v>4317</v>
      </c>
      <c r="P1155" s="20"/>
      <c r="Q1155" s="11" t="s">
        <v>584</v>
      </c>
      <c r="R1155" s="20" t="s">
        <v>4690</v>
      </c>
      <c r="S1155" s="39" t="s">
        <v>4318</v>
      </c>
      <c r="T1155" s="111" t="s">
        <v>3747</v>
      </c>
      <c r="U1155" s="50" t="s">
        <v>399</v>
      </c>
      <c r="V1155" s="118" t="str">
        <f>+Agencia[[#This Row],[idcoleccion]]&amp;"-"&amp;Agencia[[#This Row],[id]]</f>
        <v>990-1144</v>
      </c>
      <c r="W1155" s="118">
        <f>+VLOOKUP(Agencia[[#This Row],[Filtro URL]],Estructura!$X$4:$Y$500,2,0)</f>
        <v>99200003</v>
      </c>
      <c r="X1155" s="118" t="str">
        <f>+VLOOKUP(Agencia[[#This Row],[tema]],Estructura!$A$4:$C$500,3,0)</f>
        <v>T-1047</v>
      </c>
      <c r="Y1155" s="118" t="str">
        <f>+VLOOKUP(Agencia[[#This Row],[contenido]],Estructura!$E$4:$G$500,3,0)</f>
        <v>C-1013</v>
      </c>
      <c r="Z1155" s="118" t="str">
        <f>+VLOOKUP(Agencia[[#This Row],[Filtro Integrado]],Estructura!$I$4:$K$500,3,0)</f>
        <v>FI-993</v>
      </c>
      <c r="AA1155" s="118" t="str">
        <f>+VLOOKUP(Agencia[[#This Row],[Muestra]],Estructura!$M$4:$O$500,3,0)</f>
        <v>M-1087</v>
      </c>
    </row>
    <row r="1156" spans="1:27" ht="57.6" x14ac:dyDescent="0.3">
      <c r="A1156" s="21" t="s">
        <v>3850</v>
      </c>
      <c r="B1156" s="24">
        <v>990</v>
      </c>
      <c r="C1156" s="25" t="s">
        <v>401</v>
      </c>
      <c r="D1156" s="10" t="s">
        <v>574</v>
      </c>
      <c r="E1156" s="19">
        <v>4</v>
      </c>
      <c r="F1156" s="10" t="s">
        <v>3802</v>
      </c>
      <c r="G1156" s="10" t="s">
        <v>3802</v>
      </c>
      <c r="H1156" s="35" t="s">
        <v>16</v>
      </c>
      <c r="I1156" s="36" t="s">
        <v>371</v>
      </c>
      <c r="J1156" s="9" t="s">
        <v>404</v>
      </c>
      <c r="K1156" s="9" t="s">
        <v>3803</v>
      </c>
      <c r="L1156" s="9" t="s">
        <v>614</v>
      </c>
      <c r="M1156" s="9" t="s">
        <v>3804</v>
      </c>
      <c r="N1156" s="9" t="s">
        <v>910</v>
      </c>
      <c r="O1156" s="20" t="s">
        <v>4319</v>
      </c>
      <c r="P1156" s="20"/>
      <c r="Q1156" s="11" t="s">
        <v>584</v>
      </c>
      <c r="R1156" s="20" t="s">
        <v>4691</v>
      </c>
      <c r="S1156" s="39" t="s">
        <v>4320</v>
      </c>
      <c r="T1156" s="111" t="s">
        <v>3749</v>
      </c>
      <c r="U1156" s="50" t="s">
        <v>399</v>
      </c>
      <c r="V1156" s="118" t="str">
        <f>+Agencia[[#This Row],[idcoleccion]]&amp;"-"&amp;Agencia[[#This Row],[id]]</f>
        <v>990-1145</v>
      </c>
      <c r="W1156" s="118">
        <f>+VLOOKUP(Agencia[[#This Row],[Filtro URL]],Estructura!$X$4:$Y$500,2,0)</f>
        <v>99200004</v>
      </c>
      <c r="X1156" s="118" t="str">
        <f>+VLOOKUP(Agencia[[#This Row],[tema]],Estructura!$A$4:$C$500,3,0)</f>
        <v>T-1047</v>
      </c>
      <c r="Y1156" s="118" t="str">
        <f>+VLOOKUP(Agencia[[#This Row],[contenido]],Estructura!$E$4:$G$500,3,0)</f>
        <v>C-1013</v>
      </c>
      <c r="Z1156" s="118" t="str">
        <f>+VLOOKUP(Agencia[[#This Row],[Filtro Integrado]],Estructura!$I$4:$K$500,3,0)</f>
        <v>FI-993</v>
      </c>
      <c r="AA1156" s="118" t="str">
        <f>+VLOOKUP(Agencia[[#This Row],[Muestra]],Estructura!$M$4:$O$500,3,0)</f>
        <v>M-1087</v>
      </c>
    </row>
    <row r="1157" spans="1:27" ht="57.6" x14ac:dyDescent="0.3">
      <c r="A1157" s="21" t="s">
        <v>3851</v>
      </c>
      <c r="B1157" s="24">
        <v>990</v>
      </c>
      <c r="C1157" s="25" t="s">
        <v>401</v>
      </c>
      <c r="D1157" s="10" t="s">
        <v>574</v>
      </c>
      <c r="E1157" s="19">
        <v>5</v>
      </c>
      <c r="F1157" s="10" t="s">
        <v>3802</v>
      </c>
      <c r="G1157" s="10" t="s">
        <v>3802</v>
      </c>
      <c r="H1157" s="35" t="s">
        <v>16</v>
      </c>
      <c r="I1157" s="36" t="s">
        <v>372</v>
      </c>
      <c r="J1157" s="9" t="s">
        <v>404</v>
      </c>
      <c r="K1157" s="9" t="s">
        <v>3803</v>
      </c>
      <c r="L1157" s="9" t="s">
        <v>614</v>
      </c>
      <c r="M1157" s="9" t="s">
        <v>3804</v>
      </c>
      <c r="N1157" s="9" t="s">
        <v>910</v>
      </c>
      <c r="O1157" s="20" t="s">
        <v>4321</v>
      </c>
      <c r="P1157" s="20"/>
      <c r="Q1157" s="11" t="s">
        <v>584</v>
      </c>
      <c r="R1157" s="20" t="s">
        <v>4692</v>
      </c>
      <c r="S1157" s="39" t="s">
        <v>4322</v>
      </c>
      <c r="T1157" s="111" t="s">
        <v>3758</v>
      </c>
      <c r="U1157" s="120" t="s">
        <v>399</v>
      </c>
      <c r="V1157" s="118" t="str">
        <f>+Agencia[[#This Row],[idcoleccion]]&amp;"-"&amp;Agencia[[#This Row],[id]]</f>
        <v>990-1146</v>
      </c>
      <c r="W1157" s="118">
        <f>+VLOOKUP(Agencia[[#This Row],[Filtro URL]],Estructura!$X$4:$Y$500,2,0)</f>
        <v>99200005</v>
      </c>
      <c r="X1157" s="118" t="str">
        <f>+VLOOKUP(Agencia[[#This Row],[tema]],Estructura!$A$4:$C$500,3,0)</f>
        <v>T-1047</v>
      </c>
      <c r="Y1157" s="118" t="str">
        <f>+VLOOKUP(Agencia[[#This Row],[contenido]],Estructura!$E$4:$G$500,3,0)</f>
        <v>C-1013</v>
      </c>
      <c r="Z1157" s="118" t="str">
        <f>+VLOOKUP(Agencia[[#This Row],[Filtro Integrado]],Estructura!$I$4:$K$500,3,0)</f>
        <v>FI-993</v>
      </c>
      <c r="AA1157" s="118" t="str">
        <f>+VLOOKUP(Agencia[[#This Row],[Muestra]],Estructura!$M$4:$O$500,3,0)</f>
        <v>M-1087</v>
      </c>
    </row>
    <row r="1158" spans="1:27" ht="57.6" x14ac:dyDescent="0.3">
      <c r="A1158" s="21" t="s">
        <v>3852</v>
      </c>
      <c r="B1158" s="24">
        <v>990</v>
      </c>
      <c r="C1158" s="25" t="s">
        <v>401</v>
      </c>
      <c r="D1158" s="10" t="s">
        <v>574</v>
      </c>
      <c r="E1158" s="19">
        <v>6</v>
      </c>
      <c r="F1158" s="10" t="s">
        <v>3802</v>
      </c>
      <c r="G1158" s="10" t="s">
        <v>3802</v>
      </c>
      <c r="H1158" s="35" t="s">
        <v>16</v>
      </c>
      <c r="I1158" s="36" t="s">
        <v>373</v>
      </c>
      <c r="J1158" s="9" t="s">
        <v>404</v>
      </c>
      <c r="K1158" s="9" t="s">
        <v>3803</v>
      </c>
      <c r="L1158" s="9" t="s">
        <v>614</v>
      </c>
      <c r="M1158" s="9" t="s">
        <v>3804</v>
      </c>
      <c r="N1158" s="9" t="s">
        <v>910</v>
      </c>
      <c r="O1158" s="20" t="s">
        <v>4323</v>
      </c>
      <c r="P1158" s="20"/>
      <c r="Q1158" s="11" t="s">
        <v>584</v>
      </c>
      <c r="R1158" s="20" t="s">
        <v>4693</v>
      </c>
      <c r="S1158" s="39" t="s">
        <v>4324</v>
      </c>
      <c r="T1158" s="111" t="s">
        <v>3756</v>
      </c>
      <c r="U1158" s="50" t="s">
        <v>399</v>
      </c>
      <c r="V1158" s="118" t="str">
        <f>+Agencia[[#This Row],[idcoleccion]]&amp;"-"&amp;Agencia[[#This Row],[id]]</f>
        <v>990-1147</v>
      </c>
      <c r="W1158" s="118">
        <f>+VLOOKUP(Agencia[[#This Row],[Filtro URL]],Estructura!$X$4:$Y$500,2,0)</f>
        <v>99200006</v>
      </c>
      <c r="X1158" s="118" t="str">
        <f>+VLOOKUP(Agencia[[#This Row],[tema]],Estructura!$A$4:$C$500,3,0)</f>
        <v>T-1047</v>
      </c>
      <c r="Y1158" s="118" t="str">
        <f>+VLOOKUP(Agencia[[#This Row],[contenido]],Estructura!$E$4:$G$500,3,0)</f>
        <v>C-1013</v>
      </c>
      <c r="Z1158" s="118" t="str">
        <f>+VLOOKUP(Agencia[[#This Row],[Filtro Integrado]],Estructura!$I$4:$K$500,3,0)</f>
        <v>FI-993</v>
      </c>
      <c r="AA1158" s="118" t="str">
        <f>+VLOOKUP(Agencia[[#This Row],[Muestra]],Estructura!$M$4:$O$500,3,0)</f>
        <v>M-1087</v>
      </c>
    </row>
    <row r="1159" spans="1:27" ht="57.6" x14ac:dyDescent="0.3">
      <c r="A1159" s="21" t="s">
        <v>3853</v>
      </c>
      <c r="B1159" s="24">
        <v>990</v>
      </c>
      <c r="C1159" s="25" t="s">
        <v>401</v>
      </c>
      <c r="D1159" s="10" t="s">
        <v>574</v>
      </c>
      <c r="E1159" s="19">
        <v>7</v>
      </c>
      <c r="F1159" s="10" t="s">
        <v>3802</v>
      </c>
      <c r="G1159" s="10" t="s">
        <v>3802</v>
      </c>
      <c r="H1159" s="35" t="s">
        <v>16</v>
      </c>
      <c r="I1159" s="36" t="s">
        <v>374</v>
      </c>
      <c r="J1159" s="9" t="s">
        <v>404</v>
      </c>
      <c r="K1159" s="9" t="s">
        <v>3803</v>
      </c>
      <c r="L1159" s="9" t="s">
        <v>614</v>
      </c>
      <c r="M1159" s="9" t="s">
        <v>3804</v>
      </c>
      <c r="N1159" s="9" t="s">
        <v>910</v>
      </c>
      <c r="O1159" s="20" t="s">
        <v>4325</v>
      </c>
      <c r="P1159" s="20"/>
      <c r="Q1159" s="11" t="s">
        <v>584</v>
      </c>
      <c r="R1159" s="20" t="s">
        <v>4694</v>
      </c>
      <c r="S1159" s="39" t="s">
        <v>4326</v>
      </c>
      <c r="T1159" s="111" t="s">
        <v>3754</v>
      </c>
      <c r="U1159" s="50" t="s">
        <v>399</v>
      </c>
      <c r="V1159" s="118" t="str">
        <f>+Agencia[[#This Row],[idcoleccion]]&amp;"-"&amp;Agencia[[#This Row],[id]]</f>
        <v>990-1148</v>
      </c>
      <c r="W1159" s="118">
        <f>+VLOOKUP(Agencia[[#This Row],[Filtro URL]],Estructura!$X$4:$Y$500,2,0)</f>
        <v>99200007</v>
      </c>
      <c r="X1159" s="118" t="str">
        <f>+VLOOKUP(Agencia[[#This Row],[tema]],Estructura!$A$4:$C$500,3,0)</f>
        <v>T-1047</v>
      </c>
      <c r="Y1159" s="118" t="str">
        <f>+VLOOKUP(Agencia[[#This Row],[contenido]],Estructura!$E$4:$G$500,3,0)</f>
        <v>C-1013</v>
      </c>
      <c r="Z1159" s="118" t="str">
        <f>+VLOOKUP(Agencia[[#This Row],[Filtro Integrado]],Estructura!$I$4:$K$500,3,0)</f>
        <v>FI-993</v>
      </c>
      <c r="AA1159" s="118" t="str">
        <f>+VLOOKUP(Agencia[[#This Row],[Muestra]],Estructura!$M$4:$O$500,3,0)</f>
        <v>M-1087</v>
      </c>
    </row>
    <row r="1160" spans="1:27" ht="57.6" x14ac:dyDescent="0.3">
      <c r="A1160" s="21" t="s">
        <v>3854</v>
      </c>
      <c r="B1160" s="24">
        <v>990</v>
      </c>
      <c r="C1160" s="25" t="s">
        <v>401</v>
      </c>
      <c r="D1160" s="10" t="s">
        <v>574</v>
      </c>
      <c r="E1160" s="19">
        <v>8</v>
      </c>
      <c r="F1160" s="10" t="s">
        <v>3802</v>
      </c>
      <c r="G1160" s="10" t="s">
        <v>3802</v>
      </c>
      <c r="H1160" s="35" t="s">
        <v>16</v>
      </c>
      <c r="I1160" s="36" t="s">
        <v>375</v>
      </c>
      <c r="J1160" s="9" t="s">
        <v>404</v>
      </c>
      <c r="K1160" s="9" t="s">
        <v>3803</v>
      </c>
      <c r="L1160" s="9" t="s">
        <v>614</v>
      </c>
      <c r="M1160" s="9" t="s">
        <v>3804</v>
      </c>
      <c r="N1160" s="9" t="s">
        <v>910</v>
      </c>
      <c r="O1160" s="20" t="s">
        <v>4327</v>
      </c>
      <c r="P1160" s="20"/>
      <c r="Q1160" s="11" t="s">
        <v>584</v>
      </c>
      <c r="R1160" s="20" t="s">
        <v>4695</v>
      </c>
      <c r="S1160" s="39" t="s">
        <v>4328</v>
      </c>
      <c r="T1160" s="111" t="s">
        <v>3759</v>
      </c>
      <c r="U1160" s="120" t="s">
        <v>399</v>
      </c>
      <c r="V1160" s="118" t="str">
        <f>+Agencia[[#This Row],[idcoleccion]]&amp;"-"&amp;Agencia[[#This Row],[id]]</f>
        <v>990-1149</v>
      </c>
      <c r="W1160" s="118">
        <f>+VLOOKUP(Agencia[[#This Row],[Filtro URL]],Estructura!$X$4:$Y$500,2,0)</f>
        <v>99200008</v>
      </c>
      <c r="X1160" s="118" t="str">
        <f>+VLOOKUP(Agencia[[#This Row],[tema]],Estructura!$A$4:$C$500,3,0)</f>
        <v>T-1047</v>
      </c>
      <c r="Y1160" s="118" t="str">
        <f>+VLOOKUP(Agencia[[#This Row],[contenido]],Estructura!$E$4:$G$500,3,0)</f>
        <v>C-1013</v>
      </c>
      <c r="Z1160" s="118" t="str">
        <f>+VLOOKUP(Agencia[[#This Row],[Filtro Integrado]],Estructura!$I$4:$K$500,3,0)</f>
        <v>FI-993</v>
      </c>
      <c r="AA1160" s="118" t="str">
        <f>+VLOOKUP(Agencia[[#This Row],[Muestra]],Estructura!$M$4:$O$500,3,0)</f>
        <v>M-1087</v>
      </c>
    </row>
    <row r="1161" spans="1:27" ht="57.6" x14ac:dyDescent="0.3">
      <c r="A1161" s="21" t="s">
        <v>3855</v>
      </c>
      <c r="B1161" s="24">
        <v>990</v>
      </c>
      <c r="C1161" s="25" t="s">
        <v>401</v>
      </c>
      <c r="D1161" s="10" t="s">
        <v>574</v>
      </c>
      <c r="E1161" s="19">
        <v>9</v>
      </c>
      <c r="F1161" s="10" t="s">
        <v>3802</v>
      </c>
      <c r="G1161" s="10" t="s">
        <v>3802</v>
      </c>
      <c r="H1161" s="35" t="s">
        <v>16</v>
      </c>
      <c r="I1161" s="36" t="s">
        <v>376</v>
      </c>
      <c r="J1161" s="9" t="s">
        <v>404</v>
      </c>
      <c r="K1161" s="9" t="s">
        <v>3803</v>
      </c>
      <c r="L1161" s="9" t="s">
        <v>614</v>
      </c>
      <c r="M1161" s="9" t="s">
        <v>3804</v>
      </c>
      <c r="N1161" s="9" t="s">
        <v>910</v>
      </c>
      <c r="O1161" s="20" t="s">
        <v>4329</v>
      </c>
      <c r="P1161" s="20"/>
      <c r="Q1161" s="11" t="s">
        <v>584</v>
      </c>
      <c r="R1161" s="20" t="s">
        <v>4696</v>
      </c>
      <c r="S1161" s="39" t="s">
        <v>4330</v>
      </c>
      <c r="T1161" s="111" t="s">
        <v>3750</v>
      </c>
      <c r="U1161" s="50" t="s">
        <v>399</v>
      </c>
      <c r="V1161" s="118" t="str">
        <f>+Agencia[[#This Row],[idcoleccion]]&amp;"-"&amp;Agencia[[#This Row],[id]]</f>
        <v>990-1150</v>
      </c>
      <c r="W1161" s="118">
        <f>+VLOOKUP(Agencia[[#This Row],[Filtro URL]],Estructura!$X$4:$Y$500,2,0)</f>
        <v>99200009</v>
      </c>
      <c r="X1161" s="118" t="str">
        <f>+VLOOKUP(Agencia[[#This Row],[tema]],Estructura!$A$4:$C$500,3,0)</f>
        <v>T-1047</v>
      </c>
      <c r="Y1161" s="118" t="str">
        <f>+VLOOKUP(Agencia[[#This Row],[contenido]],Estructura!$E$4:$G$500,3,0)</f>
        <v>C-1013</v>
      </c>
      <c r="Z1161" s="118" t="str">
        <f>+VLOOKUP(Agencia[[#This Row],[Filtro Integrado]],Estructura!$I$4:$K$500,3,0)</f>
        <v>FI-993</v>
      </c>
      <c r="AA1161" s="118" t="str">
        <f>+VLOOKUP(Agencia[[#This Row],[Muestra]],Estructura!$M$4:$O$500,3,0)</f>
        <v>M-1087</v>
      </c>
    </row>
    <row r="1162" spans="1:27" ht="57.6" x14ac:dyDescent="0.3">
      <c r="A1162" s="21" t="s">
        <v>3856</v>
      </c>
      <c r="B1162" s="24">
        <v>990</v>
      </c>
      <c r="C1162" s="25" t="s">
        <v>401</v>
      </c>
      <c r="D1162" s="10" t="s">
        <v>574</v>
      </c>
      <c r="E1162" s="19">
        <v>10</v>
      </c>
      <c r="F1162" s="10" t="s">
        <v>3802</v>
      </c>
      <c r="G1162" s="10" t="s">
        <v>3802</v>
      </c>
      <c r="H1162" s="35" t="s">
        <v>16</v>
      </c>
      <c r="I1162" s="36" t="s">
        <v>377</v>
      </c>
      <c r="J1162" s="9" t="s">
        <v>404</v>
      </c>
      <c r="K1162" s="9" t="s">
        <v>3803</v>
      </c>
      <c r="L1162" s="9" t="s">
        <v>614</v>
      </c>
      <c r="M1162" s="9" t="s">
        <v>3804</v>
      </c>
      <c r="N1162" s="9" t="s">
        <v>910</v>
      </c>
      <c r="O1162" s="20" t="s">
        <v>4331</v>
      </c>
      <c r="P1162" s="20"/>
      <c r="Q1162" s="11" t="s">
        <v>584</v>
      </c>
      <c r="R1162" s="20" t="s">
        <v>4697</v>
      </c>
      <c r="S1162" s="39" t="s">
        <v>4332</v>
      </c>
      <c r="T1162" s="111" t="s">
        <v>3751</v>
      </c>
      <c r="U1162" s="50" t="s">
        <v>399</v>
      </c>
      <c r="V1162" s="118" t="str">
        <f>+Agencia[[#This Row],[idcoleccion]]&amp;"-"&amp;Agencia[[#This Row],[id]]</f>
        <v>990-1151</v>
      </c>
      <c r="W1162" s="118">
        <f>+VLOOKUP(Agencia[[#This Row],[Filtro URL]],Estructura!$X$4:$Y$500,2,0)</f>
        <v>99200010</v>
      </c>
      <c r="X1162" s="118" t="str">
        <f>+VLOOKUP(Agencia[[#This Row],[tema]],Estructura!$A$4:$C$500,3,0)</f>
        <v>T-1047</v>
      </c>
      <c r="Y1162" s="118" t="str">
        <f>+VLOOKUP(Agencia[[#This Row],[contenido]],Estructura!$E$4:$G$500,3,0)</f>
        <v>C-1013</v>
      </c>
      <c r="Z1162" s="118" t="str">
        <f>+VLOOKUP(Agencia[[#This Row],[Filtro Integrado]],Estructura!$I$4:$K$500,3,0)</f>
        <v>FI-993</v>
      </c>
      <c r="AA1162" s="118" t="str">
        <f>+VLOOKUP(Agencia[[#This Row],[Muestra]],Estructura!$M$4:$O$500,3,0)</f>
        <v>M-1087</v>
      </c>
    </row>
    <row r="1163" spans="1:27" ht="57.6" x14ac:dyDescent="0.3">
      <c r="A1163" s="21" t="s">
        <v>3857</v>
      </c>
      <c r="B1163" s="24">
        <v>990</v>
      </c>
      <c r="C1163" s="25" t="s">
        <v>401</v>
      </c>
      <c r="D1163" s="10" t="s">
        <v>574</v>
      </c>
      <c r="E1163" s="19">
        <v>11</v>
      </c>
      <c r="F1163" s="10" t="s">
        <v>3802</v>
      </c>
      <c r="G1163" s="10" t="s">
        <v>3802</v>
      </c>
      <c r="H1163" s="35" t="s">
        <v>16</v>
      </c>
      <c r="I1163" s="36" t="s">
        <v>378</v>
      </c>
      <c r="J1163" s="9" t="s">
        <v>404</v>
      </c>
      <c r="K1163" s="9" t="s">
        <v>3803</v>
      </c>
      <c r="L1163" s="9" t="s">
        <v>614</v>
      </c>
      <c r="M1163" s="9" t="s">
        <v>3804</v>
      </c>
      <c r="N1163" s="9" t="s">
        <v>910</v>
      </c>
      <c r="O1163" s="20" t="s">
        <v>4333</v>
      </c>
      <c r="P1163" s="20"/>
      <c r="Q1163" s="11" t="s">
        <v>584</v>
      </c>
      <c r="R1163" s="20" t="s">
        <v>4698</v>
      </c>
      <c r="S1163" s="39" t="s">
        <v>4334</v>
      </c>
      <c r="T1163" s="111" t="s">
        <v>3748</v>
      </c>
      <c r="U1163" s="120" t="s">
        <v>399</v>
      </c>
      <c r="V1163" s="118" t="str">
        <f>+Agencia[[#This Row],[idcoleccion]]&amp;"-"&amp;Agencia[[#This Row],[id]]</f>
        <v>990-1152</v>
      </c>
      <c r="W1163" s="118">
        <f>+VLOOKUP(Agencia[[#This Row],[Filtro URL]],Estructura!$X$4:$Y$500,2,0)</f>
        <v>99200011</v>
      </c>
      <c r="X1163" s="118" t="str">
        <f>+VLOOKUP(Agencia[[#This Row],[tema]],Estructura!$A$4:$C$500,3,0)</f>
        <v>T-1047</v>
      </c>
      <c r="Y1163" s="118" t="str">
        <f>+VLOOKUP(Agencia[[#This Row],[contenido]],Estructura!$E$4:$G$500,3,0)</f>
        <v>C-1013</v>
      </c>
      <c r="Z1163" s="118" t="str">
        <f>+VLOOKUP(Agencia[[#This Row],[Filtro Integrado]],Estructura!$I$4:$K$500,3,0)</f>
        <v>FI-993</v>
      </c>
      <c r="AA1163" s="118" t="str">
        <f>+VLOOKUP(Agencia[[#This Row],[Muestra]],Estructura!$M$4:$O$500,3,0)</f>
        <v>M-1087</v>
      </c>
    </row>
    <row r="1164" spans="1:27" ht="57.6" x14ac:dyDescent="0.3">
      <c r="A1164" s="21" t="s">
        <v>3858</v>
      </c>
      <c r="B1164" s="24">
        <v>990</v>
      </c>
      <c r="C1164" s="25" t="s">
        <v>401</v>
      </c>
      <c r="D1164" s="10" t="s">
        <v>574</v>
      </c>
      <c r="E1164" s="19">
        <v>12</v>
      </c>
      <c r="F1164" s="10" t="s">
        <v>3802</v>
      </c>
      <c r="G1164" s="10" t="s">
        <v>3802</v>
      </c>
      <c r="H1164" s="35" t="s">
        <v>16</v>
      </c>
      <c r="I1164" s="36" t="s">
        <v>379</v>
      </c>
      <c r="J1164" s="9" t="s">
        <v>404</v>
      </c>
      <c r="K1164" s="9" t="s">
        <v>3803</v>
      </c>
      <c r="L1164" s="9" t="s">
        <v>614</v>
      </c>
      <c r="M1164" s="9" t="s">
        <v>3804</v>
      </c>
      <c r="N1164" s="9" t="s">
        <v>910</v>
      </c>
      <c r="O1164" s="20" t="s">
        <v>4335</v>
      </c>
      <c r="P1164" s="20"/>
      <c r="Q1164" s="11" t="s">
        <v>584</v>
      </c>
      <c r="R1164" s="20" t="s">
        <v>4699</v>
      </c>
      <c r="S1164" s="39" t="s">
        <v>4336</v>
      </c>
      <c r="T1164" s="111" t="s">
        <v>3753</v>
      </c>
      <c r="U1164" s="50" t="s">
        <v>399</v>
      </c>
      <c r="V1164" s="118" t="str">
        <f>+Agencia[[#This Row],[idcoleccion]]&amp;"-"&amp;Agencia[[#This Row],[id]]</f>
        <v>990-1153</v>
      </c>
      <c r="W1164" s="118">
        <f>+VLOOKUP(Agencia[[#This Row],[Filtro URL]],Estructura!$X$4:$Y$500,2,0)</f>
        <v>99200012</v>
      </c>
      <c r="X1164" s="118" t="str">
        <f>+VLOOKUP(Agencia[[#This Row],[tema]],Estructura!$A$4:$C$500,3,0)</f>
        <v>T-1047</v>
      </c>
      <c r="Y1164" s="118" t="str">
        <f>+VLOOKUP(Agencia[[#This Row],[contenido]],Estructura!$E$4:$G$500,3,0)</f>
        <v>C-1013</v>
      </c>
      <c r="Z1164" s="118" t="str">
        <f>+VLOOKUP(Agencia[[#This Row],[Filtro Integrado]],Estructura!$I$4:$K$500,3,0)</f>
        <v>FI-993</v>
      </c>
      <c r="AA1164" s="118" t="str">
        <f>+VLOOKUP(Agencia[[#This Row],[Muestra]],Estructura!$M$4:$O$500,3,0)</f>
        <v>M-1087</v>
      </c>
    </row>
    <row r="1165" spans="1:27" ht="57.6" x14ac:dyDescent="0.3">
      <c r="A1165" s="21" t="s">
        <v>3859</v>
      </c>
      <c r="B1165" s="24">
        <v>990</v>
      </c>
      <c r="C1165" s="25" t="s">
        <v>401</v>
      </c>
      <c r="D1165" s="10" t="s">
        <v>574</v>
      </c>
      <c r="E1165" s="19">
        <v>13</v>
      </c>
      <c r="F1165" s="10" t="s">
        <v>3802</v>
      </c>
      <c r="G1165" s="10" t="s">
        <v>3802</v>
      </c>
      <c r="H1165" s="35" t="s">
        <v>16</v>
      </c>
      <c r="I1165" s="36" t="s">
        <v>380</v>
      </c>
      <c r="J1165" s="9" t="s">
        <v>404</v>
      </c>
      <c r="K1165" s="9" t="s">
        <v>3803</v>
      </c>
      <c r="L1165" s="9" t="s">
        <v>614</v>
      </c>
      <c r="M1165" s="9" t="s">
        <v>3804</v>
      </c>
      <c r="N1165" s="9" t="s">
        <v>910</v>
      </c>
      <c r="O1165" s="20" t="s">
        <v>4337</v>
      </c>
      <c r="P1165" s="20"/>
      <c r="Q1165" s="11" t="s">
        <v>584</v>
      </c>
      <c r="R1165" s="20" t="s">
        <v>4700</v>
      </c>
      <c r="S1165" s="39" t="s">
        <v>4338</v>
      </c>
      <c r="T1165" s="111" t="s">
        <v>3760</v>
      </c>
      <c r="U1165" s="50" t="s">
        <v>399</v>
      </c>
      <c r="V1165" s="118" t="str">
        <f>+Agencia[[#This Row],[idcoleccion]]&amp;"-"&amp;Agencia[[#This Row],[id]]</f>
        <v>990-1154</v>
      </c>
      <c r="W1165" s="118">
        <f>+VLOOKUP(Agencia[[#This Row],[Filtro URL]],Estructura!$X$4:$Y$500,2,0)</f>
        <v>99200013</v>
      </c>
      <c r="X1165" s="118" t="str">
        <f>+VLOOKUP(Agencia[[#This Row],[tema]],Estructura!$A$4:$C$500,3,0)</f>
        <v>T-1047</v>
      </c>
      <c r="Y1165" s="118" t="str">
        <f>+VLOOKUP(Agencia[[#This Row],[contenido]],Estructura!$E$4:$G$500,3,0)</f>
        <v>C-1013</v>
      </c>
      <c r="Z1165" s="118" t="str">
        <f>+VLOOKUP(Agencia[[#This Row],[Filtro Integrado]],Estructura!$I$4:$K$500,3,0)</f>
        <v>FI-993</v>
      </c>
      <c r="AA1165" s="118" t="str">
        <f>+VLOOKUP(Agencia[[#This Row],[Muestra]],Estructura!$M$4:$O$500,3,0)</f>
        <v>M-1087</v>
      </c>
    </row>
    <row r="1166" spans="1:27" ht="57.6" x14ac:dyDescent="0.3">
      <c r="A1166" s="21" t="s">
        <v>3860</v>
      </c>
      <c r="B1166" s="24">
        <v>990</v>
      </c>
      <c r="C1166" s="25" t="s">
        <v>401</v>
      </c>
      <c r="D1166" s="10" t="s">
        <v>574</v>
      </c>
      <c r="E1166" s="19">
        <v>14</v>
      </c>
      <c r="F1166" s="10" t="s">
        <v>3802</v>
      </c>
      <c r="G1166" s="10" t="s">
        <v>3802</v>
      </c>
      <c r="H1166" s="35" t="s">
        <v>16</v>
      </c>
      <c r="I1166" s="36" t="s">
        <v>381</v>
      </c>
      <c r="J1166" s="9" t="s">
        <v>404</v>
      </c>
      <c r="K1166" s="9" t="s">
        <v>3803</v>
      </c>
      <c r="L1166" s="9" t="s">
        <v>614</v>
      </c>
      <c r="M1166" s="9" t="s">
        <v>3804</v>
      </c>
      <c r="N1166" s="9" t="s">
        <v>910</v>
      </c>
      <c r="O1166" s="20" t="s">
        <v>4339</v>
      </c>
      <c r="P1166" s="20"/>
      <c r="Q1166" s="11" t="s">
        <v>584</v>
      </c>
      <c r="R1166" s="20" t="s">
        <v>4701</v>
      </c>
      <c r="S1166" s="39" t="s">
        <v>4340</v>
      </c>
      <c r="T1166" s="111" t="s">
        <v>3752</v>
      </c>
      <c r="U1166" s="120" t="s">
        <v>399</v>
      </c>
      <c r="V1166" s="118" t="str">
        <f>+Agencia[[#This Row],[idcoleccion]]&amp;"-"&amp;Agencia[[#This Row],[id]]</f>
        <v>990-1155</v>
      </c>
      <c r="W1166" s="118">
        <f>+VLOOKUP(Agencia[[#This Row],[Filtro URL]],Estructura!$X$4:$Y$500,2,0)</f>
        <v>99200014</v>
      </c>
      <c r="X1166" s="118" t="str">
        <f>+VLOOKUP(Agencia[[#This Row],[tema]],Estructura!$A$4:$C$500,3,0)</f>
        <v>T-1047</v>
      </c>
      <c r="Y1166" s="118" t="str">
        <f>+VLOOKUP(Agencia[[#This Row],[contenido]],Estructura!$E$4:$G$500,3,0)</f>
        <v>C-1013</v>
      </c>
      <c r="Z1166" s="118" t="str">
        <f>+VLOOKUP(Agencia[[#This Row],[Filtro Integrado]],Estructura!$I$4:$K$500,3,0)</f>
        <v>FI-993</v>
      </c>
      <c r="AA1166" s="118" t="str">
        <f>+VLOOKUP(Agencia[[#This Row],[Muestra]],Estructura!$M$4:$O$500,3,0)</f>
        <v>M-1087</v>
      </c>
    </row>
    <row r="1167" spans="1:27" ht="57.6" x14ac:dyDescent="0.3">
      <c r="A1167" s="21" t="s">
        <v>3861</v>
      </c>
      <c r="B1167" s="24">
        <v>990</v>
      </c>
      <c r="C1167" s="25" t="s">
        <v>401</v>
      </c>
      <c r="D1167" s="10" t="s">
        <v>574</v>
      </c>
      <c r="E1167" s="19">
        <v>15</v>
      </c>
      <c r="F1167" s="10" t="s">
        <v>3802</v>
      </c>
      <c r="G1167" s="10" t="s">
        <v>3802</v>
      </c>
      <c r="H1167" s="35" t="s">
        <v>16</v>
      </c>
      <c r="I1167" s="36" t="s">
        <v>382</v>
      </c>
      <c r="J1167" s="9" t="s">
        <v>404</v>
      </c>
      <c r="K1167" s="9" t="s">
        <v>3803</v>
      </c>
      <c r="L1167" s="9" t="s">
        <v>614</v>
      </c>
      <c r="M1167" s="9" t="s">
        <v>3804</v>
      </c>
      <c r="N1167" s="9" t="s">
        <v>910</v>
      </c>
      <c r="O1167" s="20" t="s">
        <v>4311</v>
      </c>
      <c r="P1167" s="20"/>
      <c r="Q1167" s="11" t="s">
        <v>584</v>
      </c>
      <c r="R1167" s="20" t="s">
        <v>4702</v>
      </c>
      <c r="S1167" s="39" t="s">
        <v>4312</v>
      </c>
      <c r="T1167" s="111" t="s">
        <v>3746</v>
      </c>
      <c r="U1167" s="50" t="s">
        <v>399</v>
      </c>
      <c r="V1167" s="118" t="str">
        <f>+Agencia[[#This Row],[idcoleccion]]&amp;"-"&amp;Agencia[[#This Row],[id]]</f>
        <v>990-1156</v>
      </c>
      <c r="W1167" s="118">
        <f>+VLOOKUP(Agencia[[#This Row],[Filtro URL]],Estructura!$X$4:$Y$500,2,0)</f>
        <v>99200015</v>
      </c>
      <c r="X1167" s="118" t="str">
        <f>+VLOOKUP(Agencia[[#This Row],[tema]],Estructura!$A$4:$C$500,3,0)</f>
        <v>T-1047</v>
      </c>
      <c r="Y1167" s="118" t="str">
        <f>+VLOOKUP(Agencia[[#This Row],[contenido]],Estructura!$E$4:$G$500,3,0)</f>
        <v>C-1013</v>
      </c>
      <c r="Z1167" s="118" t="str">
        <f>+VLOOKUP(Agencia[[#This Row],[Filtro Integrado]],Estructura!$I$4:$K$500,3,0)</f>
        <v>FI-993</v>
      </c>
      <c r="AA1167" s="118" t="str">
        <f>+VLOOKUP(Agencia[[#This Row],[Muestra]],Estructura!$M$4:$O$500,3,0)</f>
        <v>M-1087</v>
      </c>
    </row>
    <row r="1168" spans="1:27" ht="57.6" x14ac:dyDescent="0.3">
      <c r="A1168" s="21" t="s">
        <v>3862</v>
      </c>
      <c r="B1168" s="24">
        <v>990</v>
      </c>
      <c r="C1168" s="25" t="s">
        <v>401</v>
      </c>
      <c r="D1168" s="10" t="s">
        <v>574</v>
      </c>
      <c r="E1168" s="19">
        <v>16</v>
      </c>
      <c r="F1168" s="10" t="s">
        <v>3802</v>
      </c>
      <c r="G1168" s="10" t="s">
        <v>3802</v>
      </c>
      <c r="H1168" s="35" t="s">
        <v>16</v>
      </c>
      <c r="I1168" s="36" t="s">
        <v>383</v>
      </c>
      <c r="J1168" s="9" t="s">
        <v>404</v>
      </c>
      <c r="K1168" s="9" t="s">
        <v>3803</v>
      </c>
      <c r="L1168" s="9" t="s">
        <v>614</v>
      </c>
      <c r="M1168" s="9" t="s">
        <v>3804</v>
      </c>
      <c r="N1168" s="9" t="s">
        <v>910</v>
      </c>
      <c r="O1168" s="20" t="s">
        <v>4703</v>
      </c>
      <c r="P1168" s="20"/>
      <c r="Q1168" s="11" t="s">
        <v>584</v>
      </c>
      <c r="R1168" s="20" t="s">
        <v>4704</v>
      </c>
      <c r="S1168" s="39" t="s">
        <v>4705</v>
      </c>
      <c r="T1168" s="111" t="s">
        <v>3755</v>
      </c>
      <c r="U1168" s="50" t="s">
        <v>399</v>
      </c>
      <c r="V1168" s="118" t="str">
        <f>+Agencia[[#This Row],[idcoleccion]]&amp;"-"&amp;Agencia[[#This Row],[id]]</f>
        <v>990-1157</v>
      </c>
      <c r="W1168" s="118">
        <f>+VLOOKUP(Agencia[[#This Row],[Filtro URL]],Estructura!$X$4:$Y$500,2,0)</f>
        <v>99200016</v>
      </c>
      <c r="X1168" s="118" t="str">
        <f>+VLOOKUP(Agencia[[#This Row],[tema]],Estructura!$A$4:$C$500,3,0)</f>
        <v>T-1047</v>
      </c>
      <c r="Y1168" s="118" t="str">
        <f>+VLOOKUP(Agencia[[#This Row],[contenido]],Estructura!$E$4:$G$500,3,0)</f>
        <v>C-1013</v>
      </c>
      <c r="Z1168" s="118" t="str">
        <f>+VLOOKUP(Agencia[[#This Row],[Filtro Integrado]],Estructura!$I$4:$K$500,3,0)</f>
        <v>FI-993</v>
      </c>
      <c r="AA1168" s="118" t="str">
        <f>+VLOOKUP(Agencia[[#This Row],[Muestra]],Estructura!$M$4:$O$500,3,0)</f>
        <v>M-1087</v>
      </c>
    </row>
    <row r="1169" spans="1:27" ht="71.400000000000006" x14ac:dyDescent="0.3">
      <c r="A1169" s="21" t="s">
        <v>3863</v>
      </c>
      <c r="B1169" s="24">
        <v>990</v>
      </c>
      <c r="C1169" s="25" t="s">
        <v>401</v>
      </c>
      <c r="D1169" s="10" t="s">
        <v>574</v>
      </c>
      <c r="E1169" s="14">
        <v>0</v>
      </c>
      <c r="F1169" s="10" t="s">
        <v>3802</v>
      </c>
      <c r="G1169" s="10" t="s">
        <v>3802</v>
      </c>
      <c r="H1169" s="33" t="s">
        <v>20</v>
      </c>
      <c r="I1169" s="34" t="s">
        <v>15</v>
      </c>
      <c r="J1169" s="9" t="s">
        <v>3823</v>
      </c>
      <c r="K1169" s="9" t="s">
        <v>3824</v>
      </c>
      <c r="L1169" s="9" t="s">
        <v>614</v>
      </c>
      <c r="M1169" s="9" t="s">
        <v>3804</v>
      </c>
      <c r="N1169" s="9" t="s">
        <v>910</v>
      </c>
      <c r="O1169" s="20" t="s">
        <v>4706</v>
      </c>
      <c r="P1169" s="20" t="s">
        <v>3825</v>
      </c>
      <c r="Q1169" s="11" t="s">
        <v>3826</v>
      </c>
      <c r="R1169" s="20" t="s">
        <v>4707</v>
      </c>
      <c r="S1169" s="39" t="s">
        <v>3827</v>
      </c>
      <c r="T1169" s="111" t="s">
        <v>1033</v>
      </c>
      <c r="U1169" s="120" t="s">
        <v>399</v>
      </c>
      <c r="V1169" s="118" t="str">
        <f>+Agencia[[#This Row],[idcoleccion]]&amp;"-"&amp;Agencia[[#This Row],[id]]</f>
        <v>990-1158</v>
      </c>
      <c r="W1169" s="118">
        <f>+VLOOKUP(Agencia[[#This Row],[Filtro URL]],Estructura!$X$4:$Y$500,2,0)</f>
        <v>99100000</v>
      </c>
      <c r="X1169" s="118" t="str">
        <f>+VLOOKUP(Agencia[[#This Row],[tema]],Estructura!$A$4:$C$500,3,0)</f>
        <v>T-1047</v>
      </c>
      <c r="Y1169" s="118" t="str">
        <f>+VLOOKUP(Agencia[[#This Row],[contenido]],Estructura!$E$4:$G$500,3,0)</f>
        <v>C-1013</v>
      </c>
      <c r="Z1169" s="118" t="str">
        <f>+VLOOKUP(Agencia[[#This Row],[Filtro Integrado]],Estructura!$I$4:$K$500,3,0)</f>
        <v>FI-1003</v>
      </c>
      <c r="AA1169" s="118" t="str">
        <f>+VLOOKUP(Agencia[[#This Row],[Muestra]],Estructura!$M$4:$O$500,3,0)</f>
        <v>M-1088</v>
      </c>
    </row>
    <row r="1170" spans="1:27" ht="57.6" x14ac:dyDescent="0.3">
      <c r="A1170" s="21" t="s">
        <v>3864</v>
      </c>
      <c r="B1170" s="24">
        <v>990</v>
      </c>
      <c r="C1170" s="25" t="s">
        <v>401</v>
      </c>
      <c r="D1170" s="10" t="s">
        <v>574</v>
      </c>
      <c r="E1170" s="19">
        <v>1</v>
      </c>
      <c r="F1170" s="10" t="s">
        <v>3802</v>
      </c>
      <c r="G1170" s="10" t="s">
        <v>3802</v>
      </c>
      <c r="H1170" s="35" t="s">
        <v>16</v>
      </c>
      <c r="I1170" s="36" t="s">
        <v>368</v>
      </c>
      <c r="J1170" s="9" t="s">
        <v>1606</v>
      </c>
      <c r="K1170" s="9" t="s">
        <v>3824</v>
      </c>
      <c r="L1170" s="9" t="s">
        <v>614</v>
      </c>
      <c r="M1170" s="9" t="s">
        <v>3804</v>
      </c>
      <c r="N1170" s="9" t="s">
        <v>910</v>
      </c>
      <c r="O1170" s="20" t="s">
        <v>4341</v>
      </c>
      <c r="P1170" s="20"/>
      <c r="Q1170" s="11" t="s">
        <v>3826</v>
      </c>
      <c r="R1170" s="20" t="s">
        <v>4708</v>
      </c>
      <c r="S1170" s="39" t="s">
        <v>4342</v>
      </c>
      <c r="T1170" s="111" t="s">
        <v>3741</v>
      </c>
      <c r="U1170" s="50" t="s">
        <v>399</v>
      </c>
      <c r="V1170" s="118" t="str">
        <f>+Agencia[[#This Row],[idcoleccion]]&amp;"-"&amp;Agencia[[#This Row],[id]]</f>
        <v>990-1159</v>
      </c>
      <c r="W1170" s="118">
        <f>+VLOOKUP(Agencia[[#This Row],[Filtro URL]],Estructura!$X$4:$Y$500,2,0)</f>
        <v>99200001</v>
      </c>
      <c r="X1170" s="118" t="str">
        <f>+VLOOKUP(Agencia[[#This Row],[tema]],Estructura!$A$4:$C$500,3,0)</f>
        <v>T-1047</v>
      </c>
      <c r="Y1170" s="118" t="str">
        <f>+VLOOKUP(Agencia[[#This Row],[contenido]],Estructura!$E$4:$G$500,3,0)</f>
        <v>C-1013</v>
      </c>
      <c r="Z1170" s="118" t="str">
        <f>+VLOOKUP(Agencia[[#This Row],[Filtro Integrado]],Estructura!$I$4:$K$500,3,0)</f>
        <v>FI-1001</v>
      </c>
      <c r="AA1170" s="118" t="str">
        <f>+VLOOKUP(Agencia[[#This Row],[Muestra]],Estructura!$M$4:$O$500,3,0)</f>
        <v>M-1088</v>
      </c>
    </row>
    <row r="1171" spans="1:27" ht="57.6" x14ac:dyDescent="0.3">
      <c r="A1171" s="21" t="s">
        <v>3868</v>
      </c>
      <c r="B1171" s="24">
        <v>990</v>
      </c>
      <c r="C1171" s="25" t="s">
        <v>401</v>
      </c>
      <c r="D1171" s="10" t="s">
        <v>574</v>
      </c>
      <c r="E1171" s="19">
        <v>2</v>
      </c>
      <c r="F1171" s="10" t="s">
        <v>3802</v>
      </c>
      <c r="G1171" s="10" t="s">
        <v>3802</v>
      </c>
      <c r="H1171" s="35" t="s">
        <v>16</v>
      </c>
      <c r="I1171" s="36" t="s">
        <v>369</v>
      </c>
      <c r="J1171" s="9" t="s">
        <v>1606</v>
      </c>
      <c r="K1171" s="9" t="s">
        <v>3824</v>
      </c>
      <c r="L1171" s="9" t="s">
        <v>614</v>
      </c>
      <c r="M1171" s="9" t="s">
        <v>3804</v>
      </c>
      <c r="N1171" s="9" t="s">
        <v>910</v>
      </c>
      <c r="O1171" s="20" t="s">
        <v>4343</v>
      </c>
      <c r="P1171" s="20"/>
      <c r="Q1171" s="11" t="s">
        <v>3826</v>
      </c>
      <c r="R1171" s="20" t="s">
        <v>4709</v>
      </c>
      <c r="S1171" s="39" t="s">
        <v>4344</v>
      </c>
      <c r="T1171" s="111" t="s">
        <v>3729</v>
      </c>
      <c r="U1171" s="50" t="s">
        <v>399</v>
      </c>
      <c r="V1171" s="118" t="str">
        <f>+Agencia[[#This Row],[idcoleccion]]&amp;"-"&amp;Agencia[[#This Row],[id]]</f>
        <v>990-1160</v>
      </c>
      <c r="W1171" s="118">
        <f>+VLOOKUP(Agencia[[#This Row],[Filtro URL]],Estructura!$X$4:$Y$500,2,0)</f>
        <v>99200002</v>
      </c>
      <c r="X1171" s="118" t="str">
        <f>+VLOOKUP(Agencia[[#This Row],[tema]],Estructura!$A$4:$C$500,3,0)</f>
        <v>T-1047</v>
      </c>
      <c r="Y1171" s="118" t="str">
        <f>+VLOOKUP(Agencia[[#This Row],[contenido]],Estructura!$E$4:$G$500,3,0)</f>
        <v>C-1013</v>
      </c>
      <c r="Z1171" s="118" t="str">
        <f>+VLOOKUP(Agencia[[#This Row],[Filtro Integrado]],Estructura!$I$4:$K$500,3,0)</f>
        <v>FI-1001</v>
      </c>
      <c r="AA1171" s="118" t="str">
        <f>+VLOOKUP(Agencia[[#This Row],[Muestra]],Estructura!$M$4:$O$500,3,0)</f>
        <v>M-1088</v>
      </c>
    </row>
    <row r="1172" spans="1:27" ht="57.6" x14ac:dyDescent="0.3">
      <c r="A1172" s="21" t="s">
        <v>3870</v>
      </c>
      <c r="B1172" s="24">
        <v>990</v>
      </c>
      <c r="C1172" s="25" t="s">
        <v>401</v>
      </c>
      <c r="D1172" s="10" t="s">
        <v>574</v>
      </c>
      <c r="E1172" s="19">
        <v>3</v>
      </c>
      <c r="F1172" s="10" t="s">
        <v>3802</v>
      </c>
      <c r="G1172" s="10" t="s">
        <v>3802</v>
      </c>
      <c r="H1172" s="35" t="s">
        <v>16</v>
      </c>
      <c r="I1172" s="36" t="s">
        <v>370</v>
      </c>
      <c r="J1172" s="9" t="s">
        <v>1606</v>
      </c>
      <c r="K1172" s="9" t="s">
        <v>3824</v>
      </c>
      <c r="L1172" s="9" t="s">
        <v>614</v>
      </c>
      <c r="M1172" s="9" t="s">
        <v>3804</v>
      </c>
      <c r="N1172" s="9" t="s">
        <v>910</v>
      </c>
      <c r="O1172" s="20" t="s">
        <v>4345</v>
      </c>
      <c r="P1172" s="20"/>
      <c r="Q1172" s="11" t="s">
        <v>3826</v>
      </c>
      <c r="R1172" s="20" t="s">
        <v>4710</v>
      </c>
      <c r="S1172" s="39" t="s">
        <v>4346</v>
      </c>
      <c r="T1172" s="111" t="s">
        <v>3731</v>
      </c>
      <c r="U1172" s="120" t="s">
        <v>399</v>
      </c>
      <c r="V1172" s="118" t="str">
        <f>+Agencia[[#This Row],[idcoleccion]]&amp;"-"&amp;Agencia[[#This Row],[id]]</f>
        <v>990-1161</v>
      </c>
      <c r="W1172" s="118">
        <f>+VLOOKUP(Agencia[[#This Row],[Filtro URL]],Estructura!$X$4:$Y$500,2,0)</f>
        <v>99200003</v>
      </c>
      <c r="X1172" s="118" t="str">
        <f>+VLOOKUP(Agencia[[#This Row],[tema]],Estructura!$A$4:$C$500,3,0)</f>
        <v>T-1047</v>
      </c>
      <c r="Y1172" s="118" t="str">
        <f>+VLOOKUP(Agencia[[#This Row],[contenido]],Estructura!$E$4:$G$500,3,0)</f>
        <v>C-1013</v>
      </c>
      <c r="Z1172" s="118" t="str">
        <f>+VLOOKUP(Agencia[[#This Row],[Filtro Integrado]],Estructura!$I$4:$K$500,3,0)</f>
        <v>FI-1001</v>
      </c>
      <c r="AA1172" s="118" t="str">
        <f>+VLOOKUP(Agencia[[#This Row],[Muestra]],Estructura!$M$4:$O$500,3,0)</f>
        <v>M-1088</v>
      </c>
    </row>
    <row r="1173" spans="1:27" ht="57.6" x14ac:dyDescent="0.3">
      <c r="A1173" s="21" t="s">
        <v>3871</v>
      </c>
      <c r="B1173" s="24">
        <v>990</v>
      </c>
      <c r="C1173" s="25" t="s">
        <v>401</v>
      </c>
      <c r="D1173" s="10" t="s">
        <v>574</v>
      </c>
      <c r="E1173" s="19">
        <v>4</v>
      </c>
      <c r="F1173" s="10" t="s">
        <v>3802</v>
      </c>
      <c r="G1173" s="10" t="s">
        <v>3802</v>
      </c>
      <c r="H1173" s="35" t="s">
        <v>16</v>
      </c>
      <c r="I1173" s="36" t="s">
        <v>371</v>
      </c>
      <c r="J1173" s="9" t="s">
        <v>1606</v>
      </c>
      <c r="K1173" s="9" t="s">
        <v>3824</v>
      </c>
      <c r="L1173" s="9" t="s">
        <v>614</v>
      </c>
      <c r="M1173" s="9" t="s">
        <v>3804</v>
      </c>
      <c r="N1173" s="9" t="s">
        <v>910</v>
      </c>
      <c r="O1173" s="20" t="s">
        <v>4347</v>
      </c>
      <c r="P1173" s="20"/>
      <c r="Q1173" s="11" t="s">
        <v>3826</v>
      </c>
      <c r="R1173" s="20" t="s">
        <v>4711</v>
      </c>
      <c r="S1173" s="39" t="s">
        <v>4348</v>
      </c>
      <c r="T1173" s="111" t="s">
        <v>3733</v>
      </c>
      <c r="U1173" s="50" t="s">
        <v>399</v>
      </c>
      <c r="V1173" s="118" t="str">
        <f>+Agencia[[#This Row],[idcoleccion]]&amp;"-"&amp;Agencia[[#This Row],[id]]</f>
        <v>990-1162</v>
      </c>
      <c r="W1173" s="118">
        <f>+VLOOKUP(Agencia[[#This Row],[Filtro URL]],Estructura!$X$4:$Y$500,2,0)</f>
        <v>99200004</v>
      </c>
      <c r="X1173" s="118" t="str">
        <f>+VLOOKUP(Agencia[[#This Row],[tema]],Estructura!$A$4:$C$500,3,0)</f>
        <v>T-1047</v>
      </c>
      <c r="Y1173" s="118" t="str">
        <f>+VLOOKUP(Agencia[[#This Row],[contenido]],Estructura!$E$4:$G$500,3,0)</f>
        <v>C-1013</v>
      </c>
      <c r="Z1173" s="118" t="str">
        <f>+VLOOKUP(Agencia[[#This Row],[Filtro Integrado]],Estructura!$I$4:$K$500,3,0)</f>
        <v>FI-1001</v>
      </c>
      <c r="AA1173" s="118" t="str">
        <f>+VLOOKUP(Agencia[[#This Row],[Muestra]],Estructura!$M$4:$O$500,3,0)</f>
        <v>M-1088</v>
      </c>
    </row>
    <row r="1174" spans="1:27" ht="57.6" x14ac:dyDescent="0.3">
      <c r="A1174" s="21" t="s">
        <v>3872</v>
      </c>
      <c r="B1174" s="24">
        <v>990</v>
      </c>
      <c r="C1174" s="25" t="s">
        <v>401</v>
      </c>
      <c r="D1174" s="10" t="s">
        <v>574</v>
      </c>
      <c r="E1174" s="19">
        <v>5</v>
      </c>
      <c r="F1174" s="10" t="s">
        <v>3802</v>
      </c>
      <c r="G1174" s="10" t="s">
        <v>3802</v>
      </c>
      <c r="H1174" s="35" t="s">
        <v>16</v>
      </c>
      <c r="I1174" s="36" t="s">
        <v>372</v>
      </c>
      <c r="J1174" s="9" t="s">
        <v>1606</v>
      </c>
      <c r="K1174" s="9" t="s">
        <v>3824</v>
      </c>
      <c r="L1174" s="9" t="s">
        <v>614</v>
      </c>
      <c r="M1174" s="9" t="s">
        <v>3804</v>
      </c>
      <c r="N1174" s="9" t="s">
        <v>910</v>
      </c>
      <c r="O1174" s="20" t="s">
        <v>4349</v>
      </c>
      <c r="P1174" s="20"/>
      <c r="Q1174" s="11" t="s">
        <v>3826</v>
      </c>
      <c r="R1174" s="20" t="s">
        <v>4712</v>
      </c>
      <c r="S1174" s="39" t="s">
        <v>4350</v>
      </c>
      <c r="T1174" s="111" t="s">
        <v>3742</v>
      </c>
      <c r="U1174" s="50" t="s">
        <v>399</v>
      </c>
      <c r="V1174" s="118" t="str">
        <f>+Agencia[[#This Row],[idcoleccion]]&amp;"-"&amp;Agencia[[#This Row],[id]]</f>
        <v>990-1163</v>
      </c>
      <c r="W1174" s="118">
        <f>+VLOOKUP(Agencia[[#This Row],[Filtro URL]],Estructura!$X$4:$Y$500,2,0)</f>
        <v>99200005</v>
      </c>
      <c r="X1174" s="118" t="str">
        <f>+VLOOKUP(Agencia[[#This Row],[tema]],Estructura!$A$4:$C$500,3,0)</f>
        <v>T-1047</v>
      </c>
      <c r="Y1174" s="118" t="str">
        <f>+VLOOKUP(Agencia[[#This Row],[contenido]],Estructura!$E$4:$G$500,3,0)</f>
        <v>C-1013</v>
      </c>
      <c r="Z1174" s="118" t="str">
        <f>+VLOOKUP(Agencia[[#This Row],[Filtro Integrado]],Estructura!$I$4:$K$500,3,0)</f>
        <v>FI-1001</v>
      </c>
      <c r="AA1174" s="118" t="str">
        <f>+VLOOKUP(Agencia[[#This Row],[Muestra]],Estructura!$M$4:$O$500,3,0)</f>
        <v>M-1088</v>
      </c>
    </row>
    <row r="1175" spans="1:27" ht="57.6" x14ac:dyDescent="0.3">
      <c r="A1175" s="21" t="s">
        <v>3873</v>
      </c>
      <c r="B1175" s="24">
        <v>990</v>
      </c>
      <c r="C1175" s="25" t="s">
        <v>401</v>
      </c>
      <c r="D1175" s="10" t="s">
        <v>574</v>
      </c>
      <c r="E1175" s="19">
        <v>6</v>
      </c>
      <c r="F1175" s="10" t="s">
        <v>3802</v>
      </c>
      <c r="G1175" s="10" t="s">
        <v>3802</v>
      </c>
      <c r="H1175" s="35" t="s">
        <v>16</v>
      </c>
      <c r="I1175" s="36" t="s">
        <v>373</v>
      </c>
      <c r="J1175" s="9" t="s">
        <v>1606</v>
      </c>
      <c r="K1175" s="9" t="s">
        <v>3824</v>
      </c>
      <c r="L1175" s="9" t="s">
        <v>614</v>
      </c>
      <c r="M1175" s="9" t="s">
        <v>3804</v>
      </c>
      <c r="N1175" s="9" t="s">
        <v>910</v>
      </c>
      <c r="O1175" s="20" t="s">
        <v>4351</v>
      </c>
      <c r="P1175" s="20"/>
      <c r="Q1175" s="11" t="s">
        <v>3826</v>
      </c>
      <c r="R1175" s="20" t="s">
        <v>4713</v>
      </c>
      <c r="S1175" s="39" t="s">
        <v>4352</v>
      </c>
      <c r="T1175" s="111" t="s">
        <v>3740</v>
      </c>
      <c r="U1175" s="120" t="s">
        <v>399</v>
      </c>
      <c r="V1175" s="118" t="str">
        <f>+Agencia[[#This Row],[idcoleccion]]&amp;"-"&amp;Agencia[[#This Row],[id]]</f>
        <v>990-1164</v>
      </c>
      <c r="W1175" s="118">
        <f>+VLOOKUP(Agencia[[#This Row],[Filtro URL]],Estructura!$X$4:$Y$500,2,0)</f>
        <v>99200006</v>
      </c>
      <c r="X1175" s="118" t="str">
        <f>+VLOOKUP(Agencia[[#This Row],[tema]],Estructura!$A$4:$C$500,3,0)</f>
        <v>T-1047</v>
      </c>
      <c r="Y1175" s="118" t="str">
        <f>+VLOOKUP(Agencia[[#This Row],[contenido]],Estructura!$E$4:$G$500,3,0)</f>
        <v>C-1013</v>
      </c>
      <c r="Z1175" s="118" t="str">
        <f>+VLOOKUP(Agencia[[#This Row],[Filtro Integrado]],Estructura!$I$4:$K$500,3,0)</f>
        <v>FI-1001</v>
      </c>
      <c r="AA1175" s="118" t="str">
        <f>+VLOOKUP(Agencia[[#This Row],[Muestra]],Estructura!$M$4:$O$500,3,0)</f>
        <v>M-1088</v>
      </c>
    </row>
    <row r="1176" spans="1:27" ht="57.6" x14ac:dyDescent="0.3">
      <c r="A1176" s="21" t="s">
        <v>3874</v>
      </c>
      <c r="B1176" s="24">
        <v>990</v>
      </c>
      <c r="C1176" s="25" t="s">
        <v>401</v>
      </c>
      <c r="D1176" s="10" t="s">
        <v>574</v>
      </c>
      <c r="E1176" s="19">
        <v>7</v>
      </c>
      <c r="F1176" s="10" t="s">
        <v>3802</v>
      </c>
      <c r="G1176" s="10" t="s">
        <v>3802</v>
      </c>
      <c r="H1176" s="35" t="s">
        <v>16</v>
      </c>
      <c r="I1176" s="36" t="s">
        <v>374</v>
      </c>
      <c r="J1176" s="9" t="s">
        <v>1606</v>
      </c>
      <c r="K1176" s="9" t="s">
        <v>3824</v>
      </c>
      <c r="L1176" s="9" t="s">
        <v>614</v>
      </c>
      <c r="M1176" s="9" t="s">
        <v>3804</v>
      </c>
      <c r="N1176" s="9" t="s">
        <v>910</v>
      </c>
      <c r="O1176" s="20" t="s">
        <v>4353</v>
      </c>
      <c r="P1176" s="20"/>
      <c r="Q1176" s="11" t="s">
        <v>3826</v>
      </c>
      <c r="R1176" s="20" t="s">
        <v>4714</v>
      </c>
      <c r="S1176" s="39" t="s">
        <v>4354</v>
      </c>
      <c r="T1176" s="111" t="s">
        <v>3738</v>
      </c>
      <c r="U1176" s="50" t="s">
        <v>399</v>
      </c>
      <c r="V1176" s="118" t="str">
        <f>+Agencia[[#This Row],[idcoleccion]]&amp;"-"&amp;Agencia[[#This Row],[id]]</f>
        <v>990-1165</v>
      </c>
      <c r="W1176" s="118">
        <f>+VLOOKUP(Agencia[[#This Row],[Filtro URL]],Estructura!$X$4:$Y$500,2,0)</f>
        <v>99200007</v>
      </c>
      <c r="X1176" s="118" t="str">
        <f>+VLOOKUP(Agencia[[#This Row],[tema]],Estructura!$A$4:$C$500,3,0)</f>
        <v>T-1047</v>
      </c>
      <c r="Y1176" s="118" t="str">
        <f>+VLOOKUP(Agencia[[#This Row],[contenido]],Estructura!$E$4:$G$500,3,0)</f>
        <v>C-1013</v>
      </c>
      <c r="Z1176" s="118" t="str">
        <f>+VLOOKUP(Agencia[[#This Row],[Filtro Integrado]],Estructura!$I$4:$K$500,3,0)</f>
        <v>FI-1001</v>
      </c>
      <c r="AA1176" s="118" t="str">
        <f>+VLOOKUP(Agencia[[#This Row],[Muestra]],Estructura!$M$4:$O$500,3,0)</f>
        <v>M-1088</v>
      </c>
    </row>
    <row r="1177" spans="1:27" ht="57.6" x14ac:dyDescent="0.3">
      <c r="A1177" s="21" t="s">
        <v>3875</v>
      </c>
      <c r="B1177" s="24">
        <v>990</v>
      </c>
      <c r="C1177" s="25" t="s">
        <v>401</v>
      </c>
      <c r="D1177" s="10" t="s">
        <v>574</v>
      </c>
      <c r="E1177" s="19">
        <v>8</v>
      </c>
      <c r="F1177" s="10" t="s">
        <v>3802</v>
      </c>
      <c r="G1177" s="10" t="s">
        <v>3802</v>
      </c>
      <c r="H1177" s="35" t="s">
        <v>16</v>
      </c>
      <c r="I1177" s="36" t="s">
        <v>375</v>
      </c>
      <c r="J1177" s="9" t="s">
        <v>1606</v>
      </c>
      <c r="K1177" s="9" t="s">
        <v>3824</v>
      </c>
      <c r="L1177" s="9" t="s">
        <v>614</v>
      </c>
      <c r="M1177" s="9" t="s">
        <v>3804</v>
      </c>
      <c r="N1177" s="9" t="s">
        <v>910</v>
      </c>
      <c r="O1177" s="20" t="s">
        <v>4355</v>
      </c>
      <c r="P1177" s="20"/>
      <c r="Q1177" s="11" t="s">
        <v>3826</v>
      </c>
      <c r="R1177" s="20" t="s">
        <v>4715</v>
      </c>
      <c r="S1177" s="39" t="s">
        <v>4356</v>
      </c>
      <c r="T1177" s="111" t="s">
        <v>3743</v>
      </c>
      <c r="U1177" s="50" t="s">
        <v>399</v>
      </c>
      <c r="V1177" s="118" t="str">
        <f>+Agencia[[#This Row],[idcoleccion]]&amp;"-"&amp;Agencia[[#This Row],[id]]</f>
        <v>990-1166</v>
      </c>
      <c r="W1177" s="118">
        <f>+VLOOKUP(Agencia[[#This Row],[Filtro URL]],Estructura!$X$4:$Y$500,2,0)</f>
        <v>99200008</v>
      </c>
      <c r="X1177" s="118" t="str">
        <f>+VLOOKUP(Agencia[[#This Row],[tema]],Estructura!$A$4:$C$500,3,0)</f>
        <v>T-1047</v>
      </c>
      <c r="Y1177" s="118" t="str">
        <f>+VLOOKUP(Agencia[[#This Row],[contenido]],Estructura!$E$4:$G$500,3,0)</f>
        <v>C-1013</v>
      </c>
      <c r="Z1177" s="118" t="str">
        <f>+VLOOKUP(Agencia[[#This Row],[Filtro Integrado]],Estructura!$I$4:$K$500,3,0)</f>
        <v>FI-1001</v>
      </c>
      <c r="AA1177" s="118" t="str">
        <f>+VLOOKUP(Agencia[[#This Row],[Muestra]],Estructura!$M$4:$O$500,3,0)</f>
        <v>M-1088</v>
      </c>
    </row>
    <row r="1178" spans="1:27" ht="57.6" x14ac:dyDescent="0.3">
      <c r="A1178" s="21" t="s">
        <v>3876</v>
      </c>
      <c r="B1178" s="24">
        <v>990</v>
      </c>
      <c r="C1178" s="25" t="s">
        <v>401</v>
      </c>
      <c r="D1178" s="10" t="s">
        <v>574</v>
      </c>
      <c r="E1178" s="19">
        <v>9</v>
      </c>
      <c r="F1178" s="10" t="s">
        <v>3802</v>
      </c>
      <c r="G1178" s="10" t="s">
        <v>3802</v>
      </c>
      <c r="H1178" s="35" t="s">
        <v>16</v>
      </c>
      <c r="I1178" s="36" t="s">
        <v>376</v>
      </c>
      <c r="J1178" s="9" t="s">
        <v>1606</v>
      </c>
      <c r="K1178" s="9" t="s">
        <v>3824</v>
      </c>
      <c r="L1178" s="9" t="s">
        <v>614</v>
      </c>
      <c r="M1178" s="9" t="s">
        <v>3804</v>
      </c>
      <c r="N1178" s="9" t="s">
        <v>910</v>
      </c>
      <c r="O1178" s="20" t="s">
        <v>4357</v>
      </c>
      <c r="P1178" s="20"/>
      <c r="Q1178" s="11" t="s">
        <v>3826</v>
      </c>
      <c r="R1178" s="20" t="s">
        <v>4716</v>
      </c>
      <c r="S1178" s="39" t="s">
        <v>4358</v>
      </c>
      <c r="T1178" s="111" t="s">
        <v>3734</v>
      </c>
      <c r="U1178" s="120" t="s">
        <v>399</v>
      </c>
      <c r="V1178" s="118" t="str">
        <f>+Agencia[[#This Row],[idcoleccion]]&amp;"-"&amp;Agencia[[#This Row],[id]]</f>
        <v>990-1167</v>
      </c>
      <c r="W1178" s="118">
        <f>+VLOOKUP(Agencia[[#This Row],[Filtro URL]],Estructura!$X$4:$Y$500,2,0)</f>
        <v>99200009</v>
      </c>
      <c r="X1178" s="118" t="str">
        <f>+VLOOKUP(Agencia[[#This Row],[tema]],Estructura!$A$4:$C$500,3,0)</f>
        <v>T-1047</v>
      </c>
      <c r="Y1178" s="118" t="str">
        <f>+VLOOKUP(Agencia[[#This Row],[contenido]],Estructura!$E$4:$G$500,3,0)</f>
        <v>C-1013</v>
      </c>
      <c r="Z1178" s="118" t="str">
        <f>+VLOOKUP(Agencia[[#This Row],[Filtro Integrado]],Estructura!$I$4:$K$500,3,0)</f>
        <v>FI-1001</v>
      </c>
      <c r="AA1178" s="118" t="str">
        <f>+VLOOKUP(Agencia[[#This Row],[Muestra]],Estructura!$M$4:$O$500,3,0)</f>
        <v>M-1088</v>
      </c>
    </row>
    <row r="1179" spans="1:27" ht="57.6" x14ac:dyDescent="0.3">
      <c r="A1179" s="21" t="s">
        <v>3877</v>
      </c>
      <c r="B1179" s="24">
        <v>990</v>
      </c>
      <c r="C1179" s="25" t="s">
        <v>401</v>
      </c>
      <c r="D1179" s="10" t="s">
        <v>574</v>
      </c>
      <c r="E1179" s="19">
        <v>10</v>
      </c>
      <c r="F1179" s="10" t="s">
        <v>3802</v>
      </c>
      <c r="G1179" s="10" t="s">
        <v>3802</v>
      </c>
      <c r="H1179" s="35" t="s">
        <v>16</v>
      </c>
      <c r="I1179" s="36" t="s">
        <v>377</v>
      </c>
      <c r="J1179" s="9" t="s">
        <v>1606</v>
      </c>
      <c r="K1179" s="9" t="s">
        <v>3824</v>
      </c>
      <c r="L1179" s="9" t="s">
        <v>614</v>
      </c>
      <c r="M1179" s="9" t="s">
        <v>3804</v>
      </c>
      <c r="N1179" s="9" t="s">
        <v>910</v>
      </c>
      <c r="O1179" s="20" t="s">
        <v>4359</v>
      </c>
      <c r="P1179" s="20"/>
      <c r="Q1179" s="11" t="s">
        <v>3826</v>
      </c>
      <c r="R1179" s="20" t="s">
        <v>4717</v>
      </c>
      <c r="S1179" s="39" t="s">
        <v>4360</v>
      </c>
      <c r="T1179" s="111" t="s">
        <v>3735</v>
      </c>
      <c r="U1179" s="50" t="s">
        <v>399</v>
      </c>
      <c r="V1179" s="118" t="str">
        <f>+Agencia[[#This Row],[idcoleccion]]&amp;"-"&amp;Agencia[[#This Row],[id]]</f>
        <v>990-1168</v>
      </c>
      <c r="W1179" s="118">
        <f>+VLOOKUP(Agencia[[#This Row],[Filtro URL]],Estructura!$X$4:$Y$500,2,0)</f>
        <v>99200010</v>
      </c>
      <c r="X1179" s="118" t="str">
        <f>+VLOOKUP(Agencia[[#This Row],[tema]],Estructura!$A$4:$C$500,3,0)</f>
        <v>T-1047</v>
      </c>
      <c r="Y1179" s="118" t="str">
        <f>+VLOOKUP(Agencia[[#This Row],[contenido]],Estructura!$E$4:$G$500,3,0)</f>
        <v>C-1013</v>
      </c>
      <c r="Z1179" s="118" t="str">
        <f>+VLOOKUP(Agencia[[#This Row],[Filtro Integrado]],Estructura!$I$4:$K$500,3,0)</f>
        <v>FI-1001</v>
      </c>
      <c r="AA1179" s="118" t="str">
        <f>+VLOOKUP(Agencia[[#This Row],[Muestra]],Estructura!$M$4:$O$500,3,0)</f>
        <v>M-1088</v>
      </c>
    </row>
    <row r="1180" spans="1:27" ht="57.6" x14ac:dyDescent="0.3">
      <c r="A1180" s="21" t="s">
        <v>3878</v>
      </c>
      <c r="B1180" s="24">
        <v>990</v>
      </c>
      <c r="C1180" s="25" t="s">
        <v>401</v>
      </c>
      <c r="D1180" s="10" t="s">
        <v>574</v>
      </c>
      <c r="E1180" s="19">
        <v>11</v>
      </c>
      <c r="F1180" s="10" t="s">
        <v>3802</v>
      </c>
      <c r="G1180" s="10" t="s">
        <v>3802</v>
      </c>
      <c r="H1180" s="35" t="s">
        <v>16</v>
      </c>
      <c r="I1180" s="36" t="s">
        <v>378</v>
      </c>
      <c r="J1180" s="9" t="s">
        <v>1606</v>
      </c>
      <c r="K1180" s="9" t="s">
        <v>3824</v>
      </c>
      <c r="L1180" s="9" t="s">
        <v>614</v>
      </c>
      <c r="M1180" s="9" t="s">
        <v>3804</v>
      </c>
      <c r="N1180" s="9" t="s">
        <v>910</v>
      </c>
      <c r="O1180" s="20" t="s">
        <v>4361</v>
      </c>
      <c r="P1180" s="20"/>
      <c r="Q1180" s="11" t="s">
        <v>3826</v>
      </c>
      <c r="R1180" s="20" t="s">
        <v>4718</v>
      </c>
      <c r="S1180" s="39" t="s">
        <v>4362</v>
      </c>
      <c r="T1180" s="111" t="s">
        <v>3732</v>
      </c>
      <c r="U1180" s="50" t="s">
        <v>399</v>
      </c>
      <c r="V1180" s="118" t="str">
        <f>+Agencia[[#This Row],[idcoleccion]]&amp;"-"&amp;Agencia[[#This Row],[id]]</f>
        <v>990-1169</v>
      </c>
      <c r="W1180" s="118">
        <f>+VLOOKUP(Agencia[[#This Row],[Filtro URL]],Estructura!$X$4:$Y$500,2,0)</f>
        <v>99200011</v>
      </c>
      <c r="X1180" s="118" t="str">
        <f>+VLOOKUP(Agencia[[#This Row],[tema]],Estructura!$A$4:$C$500,3,0)</f>
        <v>T-1047</v>
      </c>
      <c r="Y1180" s="118" t="str">
        <f>+VLOOKUP(Agencia[[#This Row],[contenido]],Estructura!$E$4:$G$500,3,0)</f>
        <v>C-1013</v>
      </c>
      <c r="Z1180" s="118" t="str">
        <f>+VLOOKUP(Agencia[[#This Row],[Filtro Integrado]],Estructura!$I$4:$K$500,3,0)</f>
        <v>FI-1001</v>
      </c>
      <c r="AA1180" s="118" t="str">
        <f>+VLOOKUP(Agencia[[#This Row],[Muestra]],Estructura!$M$4:$O$500,3,0)</f>
        <v>M-1088</v>
      </c>
    </row>
    <row r="1181" spans="1:27" ht="57.6" x14ac:dyDescent="0.3">
      <c r="A1181" s="21" t="s">
        <v>3879</v>
      </c>
      <c r="B1181" s="24">
        <v>990</v>
      </c>
      <c r="C1181" s="25" t="s">
        <v>401</v>
      </c>
      <c r="D1181" s="10" t="s">
        <v>574</v>
      </c>
      <c r="E1181" s="19">
        <v>12</v>
      </c>
      <c r="F1181" s="10" t="s">
        <v>3802</v>
      </c>
      <c r="G1181" s="10" t="s">
        <v>3802</v>
      </c>
      <c r="H1181" s="35" t="s">
        <v>16</v>
      </c>
      <c r="I1181" s="36" t="s">
        <v>379</v>
      </c>
      <c r="J1181" s="9" t="s">
        <v>1606</v>
      </c>
      <c r="K1181" s="9" t="s">
        <v>3824</v>
      </c>
      <c r="L1181" s="9" t="s">
        <v>614</v>
      </c>
      <c r="M1181" s="9" t="s">
        <v>3804</v>
      </c>
      <c r="N1181" s="9" t="s">
        <v>910</v>
      </c>
      <c r="O1181" s="20" t="s">
        <v>4363</v>
      </c>
      <c r="P1181" s="20"/>
      <c r="Q1181" s="11" t="s">
        <v>3826</v>
      </c>
      <c r="R1181" s="20" t="s">
        <v>4719</v>
      </c>
      <c r="S1181" s="39" t="s">
        <v>4364</v>
      </c>
      <c r="T1181" s="111" t="s">
        <v>3737</v>
      </c>
      <c r="U1181" s="120" t="s">
        <v>399</v>
      </c>
      <c r="V1181" s="118" t="str">
        <f>+Agencia[[#This Row],[idcoleccion]]&amp;"-"&amp;Agencia[[#This Row],[id]]</f>
        <v>990-1170</v>
      </c>
      <c r="W1181" s="118">
        <f>+VLOOKUP(Agencia[[#This Row],[Filtro URL]],Estructura!$X$4:$Y$500,2,0)</f>
        <v>99200012</v>
      </c>
      <c r="X1181" s="118" t="str">
        <f>+VLOOKUP(Agencia[[#This Row],[tema]],Estructura!$A$4:$C$500,3,0)</f>
        <v>T-1047</v>
      </c>
      <c r="Y1181" s="118" t="str">
        <f>+VLOOKUP(Agencia[[#This Row],[contenido]],Estructura!$E$4:$G$500,3,0)</f>
        <v>C-1013</v>
      </c>
      <c r="Z1181" s="118" t="str">
        <f>+VLOOKUP(Agencia[[#This Row],[Filtro Integrado]],Estructura!$I$4:$K$500,3,0)</f>
        <v>FI-1001</v>
      </c>
      <c r="AA1181" s="118" t="str">
        <f>+VLOOKUP(Agencia[[#This Row],[Muestra]],Estructura!$M$4:$O$500,3,0)</f>
        <v>M-1088</v>
      </c>
    </row>
    <row r="1182" spans="1:27" ht="57.6" x14ac:dyDescent="0.3">
      <c r="A1182" s="21" t="s">
        <v>3880</v>
      </c>
      <c r="B1182" s="24">
        <v>990</v>
      </c>
      <c r="C1182" s="25" t="s">
        <v>401</v>
      </c>
      <c r="D1182" s="10" t="s">
        <v>574</v>
      </c>
      <c r="E1182" s="19">
        <v>13</v>
      </c>
      <c r="F1182" s="10" t="s">
        <v>3802</v>
      </c>
      <c r="G1182" s="10" t="s">
        <v>3802</v>
      </c>
      <c r="H1182" s="35" t="s">
        <v>16</v>
      </c>
      <c r="I1182" s="36" t="s">
        <v>380</v>
      </c>
      <c r="J1182" s="9" t="s">
        <v>1606</v>
      </c>
      <c r="K1182" s="9" t="s">
        <v>3824</v>
      </c>
      <c r="L1182" s="9" t="s">
        <v>614</v>
      </c>
      <c r="M1182" s="9" t="s">
        <v>3804</v>
      </c>
      <c r="N1182" s="9" t="s">
        <v>910</v>
      </c>
      <c r="O1182" s="20" t="s">
        <v>4365</v>
      </c>
      <c r="P1182" s="20"/>
      <c r="Q1182" s="11" t="s">
        <v>3826</v>
      </c>
      <c r="R1182" s="20" t="s">
        <v>4720</v>
      </c>
      <c r="S1182" s="102" t="s">
        <v>4366</v>
      </c>
      <c r="T1182" s="111" t="s">
        <v>3744</v>
      </c>
      <c r="U1182" s="50" t="s">
        <v>399</v>
      </c>
      <c r="V1182" s="118" t="str">
        <f>+Agencia[[#This Row],[idcoleccion]]&amp;"-"&amp;Agencia[[#This Row],[id]]</f>
        <v>990-1171</v>
      </c>
      <c r="W1182" s="118">
        <f>+VLOOKUP(Agencia[[#This Row],[Filtro URL]],Estructura!$X$4:$Y$500,2,0)</f>
        <v>99200013</v>
      </c>
      <c r="X1182" s="118" t="str">
        <f>+VLOOKUP(Agencia[[#This Row],[tema]],Estructura!$A$4:$C$500,3,0)</f>
        <v>T-1047</v>
      </c>
      <c r="Y1182" s="118" t="str">
        <f>+VLOOKUP(Agencia[[#This Row],[contenido]],Estructura!$E$4:$G$500,3,0)</f>
        <v>C-1013</v>
      </c>
      <c r="Z1182" s="118" t="str">
        <f>+VLOOKUP(Agencia[[#This Row],[Filtro Integrado]],Estructura!$I$4:$K$500,3,0)</f>
        <v>FI-1001</v>
      </c>
      <c r="AA1182" s="118" t="str">
        <f>+VLOOKUP(Agencia[[#This Row],[Muestra]],Estructura!$M$4:$O$500,3,0)</f>
        <v>M-1088</v>
      </c>
    </row>
    <row r="1183" spans="1:27" ht="57.6" x14ac:dyDescent="0.3">
      <c r="A1183" s="21" t="s">
        <v>3881</v>
      </c>
      <c r="B1183" s="24">
        <v>990</v>
      </c>
      <c r="C1183" s="25" t="s">
        <v>401</v>
      </c>
      <c r="D1183" s="10" t="s">
        <v>574</v>
      </c>
      <c r="E1183" s="19">
        <v>14</v>
      </c>
      <c r="F1183" s="10" t="s">
        <v>3802</v>
      </c>
      <c r="G1183" s="10" t="s">
        <v>3802</v>
      </c>
      <c r="H1183" s="35" t="s">
        <v>16</v>
      </c>
      <c r="I1183" s="36" t="s">
        <v>381</v>
      </c>
      <c r="J1183" s="9" t="s">
        <v>1606</v>
      </c>
      <c r="K1183" s="9" t="s">
        <v>3824</v>
      </c>
      <c r="L1183" s="9" t="s">
        <v>614</v>
      </c>
      <c r="M1183" s="9" t="s">
        <v>3804</v>
      </c>
      <c r="N1183" s="9" t="s">
        <v>910</v>
      </c>
      <c r="O1183" s="20" t="s">
        <v>4367</v>
      </c>
      <c r="P1183" s="20"/>
      <c r="Q1183" s="11" t="s">
        <v>3826</v>
      </c>
      <c r="R1183" s="20" t="s">
        <v>4721</v>
      </c>
      <c r="S1183" s="39" t="s">
        <v>4368</v>
      </c>
      <c r="T1183" s="111" t="s">
        <v>3736</v>
      </c>
      <c r="U1183" s="50" t="s">
        <v>399</v>
      </c>
      <c r="V1183" s="118" t="str">
        <f>+Agencia[[#This Row],[idcoleccion]]&amp;"-"&amp;Agencia[[#This Row],[id]]</f>
        <v>990-1172</v>
      </c>
      <c r="W1183" s="118">
        <f>+VLOOKUP(Agencia[[#This Row],[Filtro URL]],Estructura!$X$4:$Y$500,2,0)</f>
        <v>99200014</v>
      </c>
      <c r="X1183" s="118" t="str">
        <f>+VLOOKUP(Agencia[[#This Row],[tema]],Estructura!$A$4:$C$500,3,0)</f>
        <v>T-1047</v>
      </c>
      <c r="Y1183" s="118" t="str">
        <f>+VLOOKUP(Agencia[[#This Row],[contenido]],Estructura!$E$4:$G$500,3,0)</f>
        <v>C-1013</v>
      </c>
      <c r="Z1183" s="118" t="str">
        <f>+VLOOKUP(Agencia[[#This Row],[Filtro Integrado]],Estructura!$I$4:$K$500,3,0)</f>
        <v>FI-1001</v>
      </c>
      <c r="AA1183" s="118" t="str">
        <f>+VLOOKUP(Agencia[[#This Row],[Muestra]],Estructura!$M$4:$O$500,3,0)</f>
        <v>M-1088</v>
      </c>
    </row>
    <row r="1184" spans="1:27" ht="57.6" x14ac:dyDescent="0.3">
      <c r="A1184" s="21" t="s">
        <v>3882</v>
      </c>
      <c r="B1184" s="24">
        <v>990</v>
      </c>
      <c r="C1184" s="25" t="s">
        <v>401</v>
      </c>
      <c r="D1184" s="10" t="s">
        <v>574</v>
      </c>
      <c r="E1184" s="19">
        <v>15</v>
      </c>
      <c r="F1184" s="10" t="s">
        <v>3802</v>
      </c>
      <c r="G1184" s="10" t="s">
        <v>3802</v>
      </c>
      <c r="H1184" s="35" t="s">
        <v>16</v>
      </c>
      <c r="I1184" s="36" t="s">
        <v>382</v>
      </c>
      <c r="J1184" s="9" t="s">
        <v>1606</v>
      </c>
      <c r="K1184" s="9" t="s">
        <v>3824</v>
      </c>
      <c r="L1184" s="9" t="s">
        <v>614</v>
      </c>
      <c r="M1184" s="9" t="s">
        <v>3804</v>
      </c>
      <c r="N1184" s="9" t="s">
        <v>910</v>
      </c>
      <c r="O1184" s="20" t="s">
        <v>4369</v>
      </c>
      <c r="P1184" s="20"/>
      <c r="Q1184" s="11" t="s">
        <v>3826</v>
      </c>
      <c r="R1184" s="20" t="s">
        <v>4722</v>
      </c>
      <c r="S1184" s="39" t="s">
        <v>4370</v>
      </c>
      <c r="T1184" s="111" t="s">
        <v>3730</v>
      </c>
      <c r="U1184" s="120" t="s">
        <v>399</v>
      </c>
      <c r="V1184" s="118" t="str">
        <f>+Agencia[[#This Row],[idcoleccion]]&amp;"-"&amp;Agencia[[#This Row],[id]]</f>
        <v>990-1173</v>
      </c>
      <c r="W1184" s="118">
        <f>+VLOOKUP(Agencia[[#This Row],[Filtro URL]],Estructura!$X$4:$Y$500,2,0)</f>
        <v>99200015</v>
      </c>
      <c r="X1184" s="118" t="str">
        <f>+VLOOKUP(Agencia[[#This Row],[tema]],Estructura!$A$4:$C$500,3,0)</f>
        <v>T-1047</v>
      </c>
      <c r="Y1184" s="118" t="str">
        <f>+VLOOKUP(Agencia[[#This Row],[contenido]],Estructura!$E$4:$G$500,3,0)</f>
        <v>C-1013</v>
      </c>
      <c r="Z1184" s="118" t="str">
        <f>+VLOOKUP(Agencia[[#This Row],[Filtro Integrado]],Estructura!$I$4:$K$500,3,0)</f>
        <v>FI-1001</v>
      </c>
      <c r="AA1184" s="118" t="str">
        <f>+VLOOKUP(Agencia[[#This Row],[Muestra]],Estructura!$M$4:$O$500,3,0)</f>
        <v>M-1088</v>
      </c>
    </row>
    <row r="1185" spans="1:27" ht="57.6" x14ac:dyDescent="0.3">
      <c r="A1185" s="21" t="s">
        <v>3883</v>
      </c>
      <c r="B1185" s="24">
        <v>990</v>
      </c>
      <c r="C1185" s="25" t="s">
        <v>401</v>
      </c>
      <c r="D1185" s="10" t="s">
        <v>574</v>
      </c>
      <c r="E1185" s="19">
        <v>16</v>
      </c>
      <c r="F1185" s="10" t="s">
        <v>3802</v>
      </c>
      <c r="G1185" s="10" t="s">
        <v>3802</v>
      </c>
      <c r="H1185" s="35" t="s">
        <v>16</v>
      </c>
      <c r="I1185" s="36" t="s">
        <v>383</v>
      </c>
      <c r="J1185" s="9" t="s">
        <v>1606</v>
      </c>
      <c r="K1185" s="9" t="s">
        <v>3824</v>
      </c>
      <c r="L1185" s="9" t="s">
        <v>614</v>
      </c>
      <c r="M1185" s="9" t="s">
        <v>3804</v>
      </c>
      <c r="N1185" s="9" t="s">
        <v>910</v>
      </c>
      <c r="O1185" s="20" t="s">
        <v>4723</v>
      </c>
      <c r="P1185" s="20"/>
      <c r="Q1185" s="11" t="s">
        <v>3826</v>
      </c>
      <c r="R1185" s="20" t="s">
        <v>4724</v>
      </c>
      <c r="S1185" s="39" t="s">
        <v>4725</v>
      </c>
      <c r="T1185" s="111" t="s">
        <v>3739</v>
      </c>
      <c r="U1185" s="50" t="s">
        <v>399</v>
      </c>
      <c r="V1185" s="118" t="str">
        <f>+Agencia[[#This Row],[idcoleccion]]&amp;"-"&amp;Agencia[[#This Row],[id]]</f>
        <v>990-1174</v>
      </c>
      <c r="W1185" s="118">
        <f>+VLOOKUP(Agencia[[#This Row],[Filtro URL]],Estructura!$X$4:$Y$500,2,0)</f>
        <v>99200016</v>
      </c>
      <c r="X1185" s="118" t="str">
        <f>+VLOOKUP(Agencia[[#This Row],[tema]],Estructura!$A$4:$C$500,3,0)</f>
        <v>T-1047</v>
      </c>
      <c r="Y1185" s="118" t="str">
        <f>+VLOOKUP(Agencia[[#This Row],[contenido]],Estructura!$E$4:$G$500,3,0)</f>
        <v>C-1013</v>
      </c>
      <c r="Z1185" s="118" t="str">
        <f>+VLOOKUP(Agencia[[#This Row],[Filtro Integrado]],Estructura!$I$4:$K$500,3,0)</f>
        <v>FI-1001</v>
      </c>
      <c r="AA1185" s="118" t="str">
        <f>+VLOOKUP(Agencia[[#This Row],[Muestra]],Estructura!$M$4:$O$500,3,0)</f>
        <v>M-1088</v>
      </c>
    </row>
    <row r="1186" spans="1:27" ht="81.599999999999994" x14ac:dyDescent="0.3">
      <c r="A1186" s="21" t="s">
        <v>3884</v>
      </c>
      <c r="B1186" s="24">
        <v>990</v>
      </c>
      <c r="C1186" s="25" t="s">
        <v>401</v>
      </c>
      <c r="D1186" s="10" t="s">
        <v>574</v>
      </c>
      <c r="E1186" s="14">
        <v>0</v>
      </c>
      <c r="F1186" s="10" t="s">
        <v>3802</v>
      </c>
      <c r="G1186" s="10" t="s">
        <v>3802</v>
      </c>
      <c r="H1186" s="33" t="s">
        <v>20</v>
      </c>
      <c r="I1186" s="34" t="s">
        <v>15</v>
      </c>
      <c r="J1186" s="9" t="s">
        <v>16</v>
      </c>
      <c r="K1186" s="9" t="s">
        <v>3803</v>
      </c>
      <c r="L1186" s="9" t="s">
        <v>614</v>
      </c>
      <c r="M1186" s="9" t="s">
        <v>3804</v>
      </c>
      <c r="N1186" s="9" t="s">
        <v>910</v>
      </c>
      <c r="O1186" s="20" t="s">
        <v>4726</v>
      </c>
      <c r="P1186" s="20" t="s">
        <v>3845</v>
      </c>
      <c r="Q1186" s="11" t="s">
        <v>584</v>
      </c>
      <c r="R1186" s="20" t="s">
        <v>3846</v>
      </c>
      <c r="S1186" s="102" t="s">
        <v>3847</v>
      </c>
      <c r="T1186" s="70" t="s">
        <v>855</v>
      </c>
      <c r="U1186" s="50" t="s">
        <v>399</v>
      </c>
      <c r="V1186" s="118" t="str">
        <f>+Agencia[[#This Row],[idcoleccion]]&amp;"-"&amp;Agencia[[#This Row],[id]]</f>
        <v>990-1175</v>
      </c>
      <c r="W1186" s="118">
        <f>+VLOOKUP(Agencia[[#This Row],[Filtro URL]],Estructura!$X$4:$Y$500,2,0)</f>
        <v>99100000</v>
      </c>
      <c r="X1186" s="118" t="str">
        <f>+VLOOKUP(Agencia[[#This Row],[tema]],Estructura!$A$4:$C$500,3,0)</f>
        <v>T-1047</v>
      </c>
      <c r="Y1186" s="118" t="str">
        <f>+VLOOKUP(Agencia[[#This Row],[contenido]],Estructura!$E$4:$G$500,3,0)</f>
        <v>C-1013</v>
      </c>
      <c r="Z1186" s="118" t="str">
        <f>+VLOOKUP(Agencia[[#This Row],[Filtro Integrado]],Estructura!$I$4:$K$500,3,0)</f>
        <v>FI-992</v>
      </c>
      <c r="AA1186" s="118" t="str">
        <f>+VLOOKUP(Agencia[[#This Row],[Muestra]],Estructura!$M$4:$O$500,3,0)</f>
        <v>M-1087</v>
      </c>
    </row>
    <row r="1187" spans="1:27" ht="57.6" x14ac:dyDescent="0.3">
      <c r="A1187" s="21" t="s">
        <v>3885</v>
      </c>
      <c r="B1187" s="24">
        <v>990</v>
      </c>
      <c r="C1187" s="25" t="s">
        <v>401</v>
      </c>
      <c r="D1187" s="10" t="s">
        <v>574</v>
      </c>
      <c r="E1187" s="19">
        <v>1</v>
      </c>
      <c r="F1187" s="10" t="s">
        <v>3802</v>
      </c>
      <c r="G1187" s="10" t="s">
        <v>3802</v>
      </c>
      <c r="H1187" s="35" t="s">
        <v>16</v>
      </c>
      <c r="I1187" s="36" t="s">
        <v>368</v>
      </c>
      <c r="J1187" s="9" t="s">
        <v>404</v>
      </c>
      <c r="K1187" s="9" t="s">
        <v>3803</v>
      </c>
      <c r="L1187" s="9" t="s">
        <v>614</v>
      </c>
      <c r="M1187" s="9" t="s">
        <v>3804</v>
      </c>
      <c r="N1187" s="9" t="s">
        <v>910</v>
      </c>
      <c r="O1187" s="20" t="s">
        <v>4727</v>
      </c>
      <c r="P1187" s="20"/>
      <c r="Q1187" s="11" t="s">
        <v>584</v>
      </c>
      <c r="R1187" s="20" t="s">
        <v>4728</v>
      </c>
      <c r="S1187" s="102" t="s">
        <v>4371</v>
      </c>
      <c r="T1187" s="70" t="s">
        <v>3757</v>
      </c>
      <c r="U1187" s="120" t="s">
        <v>399</v>
      </c>
      <c r="V1187" s="118" t="str">
        <f>+Agencia[[#This Row],[idcoleccion]]&amp;"-"&amp;Agencia[[#This Row],[id]]</f>
        <v>990-1176</v>
      </c>
      <c r="W1187" s="118">
        <f>+VLOOKUP(Agencia[[#This Row],[Filtro URL]],Estructura!$X$4:$Y$500,2,0)</f>
        <v>99200001</v>
      </c>
      <c r="X1187" s="118" t="str">
        <f>+VLOOKUP(Agencia[[#This Row],[tema]],Estructura!$A$4:$C$500,3,0)</f>
        <v>T-1047</v>
      </c>
      <c r="Y1187" s="118" t="str">
        <f>+VLOOKUP(Agencia[[#This Row],[contenido]],Estructura!$E$4:$G$500,3,0)</f>
        <v>C-1013</v>
      </c>
      <c r="Z1187" s="118" t="str">
        <f>+VLOOKUP(Agencia[[#This Row],[Filtro Integrado]],Estructura!$I$4:$K$500,3,0)</f>
        <v>FI-993</v>
      </c>
      <c r="AA1187" s="118" t="str">
        <f>+VLOOKUP(Agencia[[#This Row],[Muestra]],Estructura!$M$4:$O$500,3,0)</f>
        <v>M-1087</v>
      </c>
    </row>
    <row r="1188" spans="1:27" ht="57.6" x14ac:dyDescent="0.3">
      <c r="A1188" s="21" t="s">
        <v>3888</v>
      </c>
      <c r="B1188" s="24">
        <v>990</v>
      </c>
      <c r="C1188" s="25" t="s">
        <v>401</v>
      </c>
      <c r="D1188" s="10" t="s">
        <v>574</v>
      </c>
      <c r="E1188" s="19">
        <v>2</v>
      </c>
      <c r="F1188" s="10" t="s">
        <v>3802</v>
      </c>
      <c r="G1188" s="10" t="s">
        <v>3802</v>
      </c>
      <c r="H1188" s="35" t="s">
        <v>16</v>
      </c>
      <c r="I1188" s="36" t="s">
        <v>369</v>
      </c>
      <c r="J1188" s="9" t="s">
        <v>404</v>
      </c>
      <c r="K1188" s="9" t="s">
        <v>3803</v>
      </c>
      <c r="L1188" s="9" t="s">
        <v>614</v>
      </c>
      <c r="M1188" s="9" t="s">
        <v>3804</v>
      </c>
      <c r="N1188" s="9" t="s">
        <v>910</v>
      </c>
      <c r="O1188" s="20" t="s">
        <v>4729</v>
      </c>
      <c r="P1188" s="20"/>
      <c r="Q1188" s="11" t="s">
        <v>584</v>
      </c>
      <c r="R1188" s="20" t="s">
        <v>4730</v>
      </c>
      <c r="S1188" s="39" t="s">
        <v>4372</v>
      </c>
      <c r="T1188" s="70" t="s">
        <v>3745</v>
      </c>
      <c r="U1188" s="50" t="s">
        <v>399</v>
      </c>
      <c r="V1188" s="118" t="str">
        <f>+Agencia[[#This Row],[idcoleccion]]&amp;"-"&amp;Agencia[[#This Row],[id]]</f>
        <v>990-1177</v>
      </c>
      <c r="W1188" s="118">
        <f>+VLOOKUP(Agencia[[#This Row],[Filtro URL]],Estructura!$X$4:$Y$500,2,0)</f>
        <v>99200002</v>
      </c>
      <c r="X1188" s="118" t="str">
        <f>+VLOOKUP(Agencia[[#This Row],[tema]],Estructura!$A$4:$C$500,3,0)</f>
        <v>T-1047</v>
      </c>
      <c r="Y1188" s="118" t="str">
        <f>+VLOOKUP(Agencia[[#This Row],[contenido]],Estructura!$E$4:$G$500,3,0)</f>
        <v>C-1013</v>
      </c>
      <c r="Z1188" s="118" t="str">
        <f>+VLOOKUP(Agencia[[#This Row],[Filtro Integrado]],Estructura!$I$4:$K$500,3,0)</f>
        <v>FI-993</v>
      </c>
      <c r="AA1188" s="118" t="str">
        <f>+VLOOKUP(Agencia[[#This Row],[Muestra]],Estructura!$M$4:$O$500,3,0)</f>
        <v>M-1087</v>
      </c>
    </row>
    <row r="1189" spans="1:27" ht="57.6" x14ac:dyDescent="0.3">
      <c r="A1189" s="21" t="s">
        <v>3889</v>
      </c>
      <c r="B1189" s="24">
        <v>990</v>
      </c>
      <c r="C1189" s="25" t="s">
        <v>401</v>
      </c>
      <c r="D1189" s="10" t="s">
        <v>574</v>
      </c>
      <c r="E1189" s="19">
        <v>3</v>
      </c>
      <c r="F1189" s="10" t="s">
        <v>3802</v>
      </c>
      <c r="G1189" s="10" t="s">
        <v>3802</v>
      </c>
      <c r="H1189" s="35" t="s">
        <v>16</v>
      </c>
      <c r="I1189" s="36" t="s">
        <v>370</v>
      </c>
      <c r="J1189" s="9" t="s">
        <v>404</v>
      </c>
      <c r="K1189" s="9" t="s">
        <v>3803</v>
      </c>
      <c r="L1189" s="9" t="s">
        <v>614</v>
      </c>
      <c r="M1189" s="9" t="s">
        <v>3804</v>
      </c>
      <c r="N1189" s="9" t="s">
        <v>910</v>
      </c>
      <c r="O1189" s="20" t="s">
        <v>4731</v>
      </c>
      <c r="P1189" s="20"/>
      <c r="Q1189" s="11" t="s">
        <v>584</v>
      </c>
      <c r="R1189" s="20" t="s">
        <v>4732</v>
      </c>
      <c r="S1189" s="39" t="s">
        <v>4373</v>
      </c>
      <c r="T1189" s="70" t="s">
        <v>3747</v>
      </c>
      <c r="U1189" s="50" t="s">
        <v>399</v>
      </c>
      <c r="V1189" s="118" t="str">
        <f>+Agencia[[#This Row],[idcoleccion]]&amp;"-"&amp;Agencia[[#This Row],[id]]</f>
        <v>990-1178</v>
      </c>
      <c r="W1189" s="118">
        <f>+VLOOKUP(Agencia[[#This Row],[Filtro URL]],Estructura!$X$4:$Y$500,2,0)</f>
        <v>99200003</v>
      </c>
      <c r="X1189" s="118" t="str">
        <f>+VLOOKUP(Agencia[[#This Row],[tema]],Estructura!$A$4:$C$500,3,0)</f>
        <v>T-1047</v>
      </c>
      <c r="Y1189" s="118" t="str">
        <f>+VLOOKUP(Agencia[[#This Row],[contenido]],Estructura!$E$4:$G$500,3,0)</f>
        <v>C-1013</v>
      </c>
      <c r="Z1189" s="118" t="str">
        <f>+VLOOKUP(Agencia[[#This Row],[Filtro Integrado]],Estructura!$I$4:$K$500,3,0)</f>
        <v>FI-993</v>
      </c>
      <c r="AA1189" s="118" t="str">
        <f>+VLOOKUP(Agencia[[#This Row],[Muestra]],Estructura!$M$4:$O$500,3,0)</f>
        <v>M-1087</v>
      </c>
    </row>
    <row r="1190" spans="1:27" ht="57.6" x14ac:dyDescent="0.3">
      <c r="A1190" s="21" t="s">
        <v>3890</v>
      </c>
      <c r="B1190" s="24">
        <v>990</v>
      </c>
      <c r="C1190" s="25" t="s">
        <v>401</v>
      </c>
      <c r="D1190" s="10" t="s">
        <v>574</v>
      </c>
      <c r="E1190" s="19">
        <v>4</v>
      </c>
      <c r="F1190" s="10" t="s">
        <v>3802</v>
      </c>
      <c r="G1190" s="10" t="s">
        <v>3802</v>
      </c>
      <c r="H1190" s="35" t="s">
        <v>16</v>
      </c>
      <c r="I1190" s="36" t="s">
        <v>371</v>
      </c>
      <c r="J1190" s="9" t="s">
        <v>404</v>
      </c>
      <c r="K1190" s="9" t="s">
        <v>3803</v>
      </c>
      <c r="L1190" s="9" t="s">
        <v>614</v>
      </c>
      <c r="M1190" s="9" t="s">
        <v>3804</v>
      </c>
      <c r="N1190" s="9" t="s">
        <v>910</v>
      </c>
      <c r="O1190" s="20" t="s">
        <v>4733</v>
      </c>
      <c r="P1190" s="20"/>
      <c r="Q1190" s="11" t="s">
        <v>584</v>
      </c>
      <c r="R1190" s="20" t="s">
        <v>4734</v>
      </c>
      <c r="S1190" s="39" t="s">
        <v>4374</v>
      </c>
      <c r="T1190" s="70" t="s">
        <v>3749</v>
      </c>
      <c r="U1190" s="120" t="s">
        <v>399</v>
      </c>
      <c r="V1190" s="118" t="str">
        <f>+Agencia[[#This Row],[idcoleccion]]&amp;"-"&amp;Agencia[[#This Row],[id]]</f>
        <v>990-1179</v>
      </c>
      <c r="W1190" s="118">
        <f>+VLOOKUP(Agencia[[#This Row],[Filtro URL]],Estructura!$X$4:$Y$500,2,0)</f>
        <v>99200004</v>
      </c>
      <c r="X1190" s="118" t="str">
        <f>+VLOOKUP(Agencia[[#This Row],[tema]],Estructura!$A$4:$C$500,3,0)</f>
        <v>T-1047</v>
      </c>
      <c r="Y1190" s="118" t="str">
        <f>+VLOOKUP(Agencia[[#This Row],[contenido]],Estructura!$E$4:$G$500,3,0)</f>
        <v>C-1013</v>
      </c>
      <c r="Z1190" s="118" t="str">
        <f>+VLOOKUP(Agencia[[#This Row],[Filtro Integrado]],Estructura!$I$4:$K$500,3,0)</f>
        <v>FI-993</v>
      </c>
      <c r="AA1190" s="118" t="str">
        <f>+VLOOKUP(Agencia[[#This Row],[Muestra]],Estructura!$M$4:$O$500,3,0)</f>
        <v>M-1087</v>
      </c>
    </row>
    <row r="1191" spans="1:27" ht="57.6" x14ac:dyDescent="0.3">
      <c r="A1191" s="21" t="s">
        <v>3891</v>
      </c>
      <c r="B1191" s="24">
        <v>990</v>
      </c>
      <c r="C1191" s="25" t="s">
        <v>401</v>
      </c>
      <c r="D1191" s="10" t="s">
        <v>574</v>
      </c>
      <c r="E1191" s="19">
        <v>5</v>
      </c>
      <c r="F1191" s="10" t="s">
        <v>3802</v>
      </c>
      <c r="G1191" s="10" t="s">
        <v>3802</v>
      </c>
      <c r="H1191" s="35" t="s">
        <v>16</v>
      </c>
      <c r="I1191" s="36" t="s">
        <v>372</v>
      </c>
      <c r="J1191" s="9" t="s">
        <v>404</v>
      </c>
      <c r="K1191" s="9" t="s">
        <v>3803</v>
      </c>
      <c r="L1191" s="9" t="s">
        <v>614</v>
      </c>
      <c r="M1191" s="9" t="s">
        <v>3804</v>
      </c>
      <c r="N1191" s="9" t="s">
        <v>910</v>
      </c>
      <c r="O1191" s="20" t="s">
        <v>4735</v>
      </c>
      <c r="P1191" s="20"/>
      <c r="Q1191" s="11" t="s">
        <v>584</v>
      </c>
      <c r="R1191" s="20" t="s">
        <v>4736</v>
      </c>
      <c r="S1191" s="39" t="s">
        <v>4375</v>
      </c>
      <c r="T1191" s="70" t="s">
        <v>3758</v>
      </c>
      <c r="U1191" s="50" t="s">
        <v>399</v>
      </c>
      <c r="V1191" s="118" t="str">
        <f>+Agencia[[#This Row],[idcoleccion]]&amp;"-"&amp;Agencia[[#This Row],[id]]</f>
        <v>990-1180</v>
      </c>
      <c r="W1191" s="118">
        <f>+VLOOKUP(Agencia[[#This Row],[Filtro URL]],Estructura!$X$4:$Y$500,2,0)</f>
        <v>99200005</v>
      </c>
      <c r="X1191" s="118" t="str">
        <f>+VLOOKUP(Agencia[[#This Row],[tema]],Estructura!$A$4:$C$500,3,0)</f>
        <v>T-1047</v>
      </c>
      <c r="Y1191" s="118" t="str">
        <f>+VLOOKUP(Agencia[[#This Row],[contenido]],Estructura!$E$4:$G$500,3,0)</f>
        <v>C-1013</v>
      </c>
      <c r="Z1191" s="118" t="str">
        <f>+VLOOKUP(Agencia[[#This Row],[Filtro Integrado]],Estructura!$I$4:$K$500,3,0)</f>
        <v>FI-993</v>
      </c>
      <c r="AA1191" s="118" t="str">
        <f>+VLOOKUP(Agencia[[#This Row],[Muestra]],Estructura!$M$4:$O$500,3,0)</f>
        <v>M-1087</v>
      </c>
    </row>
    <row r="1192" spans="1:27" ht="57.6" x14ac:dyDescent="0.3">
      <c r="A1192" s="21" t="s">
        <v>3892</v>
      </c>
      <c r="B1192" s="24">
        <v>990</v>
      </c>
      <c r="C1192" s="25" t="s">
        <v>401</v>
      </c>
      <c r="D1192" s="10" t="s">
        <v>574</v>
      </c>
      <c r="E1192" s="19">
        <v>6</v>
      </c>
      <c r="F1192" s="10" t="s">
        <v>3802</v>
      </c>
      <c r="G1192" s="10" t="s">
        <v>3802</v>
      </c>
      <c r="H1192" s="35" t="s">
        <v>16</v>
      </c>
      <c r="I1192" s="36" t="s">
        <v>373</v>
      </c>
      <c r="J1192" s="9" t="s">
        <v>404</v>
      </c>
      <c r="K1192" s="9" t="s">
        <v>3803</v>
      </c>
      <c r="L1192" s="9" t="s">
        <v>614</v>
      </c>
      <c r="M1192" s="9" t="s">
        <v>3804</v>
      </c>
      <c r="N1192" s="9" t="s">
        <v>910</v>
      </c>
      <c r="O1192" s="20" t="s">
        <v>4737</v>
      </c>
      <c r="P1192" s="20"/>
      <c r="Q1192" s="11" t="s">
        <v>584</v>
      </c>
      <c r="R1192" s="20" t="s">
        <v>4738</v>
      </c>
      <c r="S1192" s="39" t="s">
        <v>4376</v>
      </c>
      <c r="T1192" s="70" t="s">
        <v>3756</v>
      </c>
      <c r="U1192" s="50" t="s">
        <v>399</v>
      </c>
      <c r="V1192" s="118" t="str">
        <f>+Agencia[[#This Row],[idcoleccion]]&amp;"-"&amp;Agencia[[#This Row],[id]]</f>
        <v>990-1181</v>
      </c>
      <c r="W1192" s="118">
        <f>+VLOOKUP(Agencia[[#This Row],[Filtro URL]],Estructura!$X$4:$Y$500,2,0)</f>
        <v>99200006</v>
      </c>
      <c r="X1192" s="118" t="str">
        <f>+VLOOKUP(Agencia[[#This Row],[tema]],Estructura!$A$4:$C$500,3,0)</f>
        <v>T-1047</v>
      </c>
      <c r="Y1192" s="118" t="str">
        <f>+VLOOKUP(Agencia[[#This Row],[contenido]],Estructura!$E$4:$G$500,3,0)</f>
        <v>C-1013</v>
      </c>
      <c r="Z1192" s="118" t="str">
        <f>+VLOOKUP(Agencia[[#This Row],[Filtro Integrado]],Estructura!$I$4:$K$500,3,0)</f>
        <v>FI-993</v>
      </c>
      <c r="AA1192" s="118" t="str">
        <f>+VLOOKUP(Agencia[[#This Row],[Muestra]],Estructura!$M$4:$O$500,3,0)</f>
        <v>M-1087</v>
      </c>
    </row>
    <row r="1193" spans="1:27" ht="57.6" x14ac:dyDescent="0.3">
      <c r="A1193" s="21" t="s">
        <v>3893</v>
      </c>
      <c r="B1193" s="24">
        <v>990</v>
      </c>
      <c r="C1193" s="25" t="s">
        <v>401</v>
      </c>
      <c r="D1193" s="10" t="s">
        <v>574</v>
      </c>
      <c r="E1193" s="19">
        <v>7</v>
      </c>
      <c r="F1193" s="10" t="s">
        <v>3802</v>
      </c>
      <c r="G1193" s="10" t="s">
        <v>3802</v>
      </c>
      <c r="H1193" s="35" t="s">
        <v>16</v>
      </c>
      <c r="I1193" s="36" t="s">
        <v>374</v>
      </c>
      <c r="J1193" s="9" t="s">
        <v>404</v>
      </c>
      <c r="K1193" s="9" t="s">
        <v>3803</v>
      </c>
      <c r="L1193" s="9" t="s">
        <v>614</v>
      </c>
      <c r="M1193" s="9" t="s">
        <v>3804</v>
      </c>
      <c r="N1193" s="9" t="s">
        <v>910</v>
      </c>
      <c r="O1193" s="20" t="s">
        <v>4739</v>
      </c>
      <c r="P1193" s="20"/>
      <c r="Q1193" s="11" t="s">
        <v>584</v>
      </c>
      <c r="R1193" s="20" t="s">
        <v>4740</v>
      </c>
      <c r="S1193" s="39" t="s">
        <v>4377</v>
      </c>
      <c r="T1193" s="70" t="s">
        <v>3754</v>
      </c>
      <c r="U1193" s="120" t="s">
        <v>399</v>
      </c>
      <c r="V1193" s="118" t="str">
        <f>+Agencia[[#This Row],[idcoleccion]]&amp;"-"&amp;Agencia[[#This Row],[id]]</f>
        <v>990-1182</v>
      </c>
      <c r="W1193" s="118">
        <f>+VLOOKUP(Agencia[[#This Row],[Filtro URL]],Estructura!$X$4:$Y$500,2,0)</f>
        <v>99200007</v>
      </c>
      <c r="X1193" s="118" t="str">
        <f>+VLOOKUP(Agencia[[#This Row],[tema]],Estructura!$A$4:$C$500,3,0)</f>
        <v>T-1047</v>
      </c>
      <c r="Y1193" s="118" t="str">
        <f>+VLOOKUP(Agencia[[#This Row],[contenido]],Estructura!$E$4:$G$500,3,0)</f>
        <v>C-1013</v>
      </c>
      <c r="Z1193" s="118" t="str">
        <f>+VLOOKUP(Agencia[[#This Row],[Filtro Integrado]],Estructura!$I$4:$K$500,3,0)</f>
        <v>FI-993</v>
      </c>
      <c r="AA1193" s="118" t="str">
        <f>+VLOOKUP(Agencia[[#This Row],[Muestra]],Estructura!$M$4:$O$500,3,0)</f>
        <v>M-1087</v>
      </c>
    </row>
    <row r="1194" spans="1:27" ht="57.6" x14ac:dyDescent="0.3">
      <c r="A1194" s="21" t="s">
        <v>3894</v>
      </c>
      <c r="B1194" s="24">
        <v>990</v>
      </c>
      <c r="C1194" s="25" t="s">
        <v>401</v>
      </c>
      <c r="D1194" s="10" t="s">
        <v>574</v>
      </c>
      <c r="E1194" s="19">
        <v>8</v>
      </c>
      <c r="F1194" s="10" t="s">
        <v>3802</v>
      </c>
      <c r="G1194" s="10" t="s">
        <v>3802</v>
      </c>
      <c r="H1194" s="35" t="s">
        <v>16</v>
      </c>
      <c r="I1194" s="36" t="s">
        <v>375</v>
      </c>
      <c r="J1194" s="9" t="s">
        <v>404</v>
      </c>
      <c r="K1194" s="9" t="s">
        <v>3803</v>
      </c>
      <c r="L1194" s="9" t="s">
        <v>614</v>
      </c>
      <c r="M1194" s="9" t="s">
        <v>3804</v>
      </c>
      <c r="N1194" s="9" t="s">
        <v>910</v>
      </c>
      <c r="O1194" s="20" t="s">
        <v>4741</v>
      </c>
      <c r="P1194" s="20"/>
      <c r="Q1194" s="11" t="s">
        <v>584</v>
      </c>
      <c r="R1194" s="20" t="s">
        <v>4742</v>
      </c>
      <c r="S1194" s="39" t="s">
        <v>4378</v>
      </c>
      <c r="T1194" s="70" t="s">
        <v>3759</v>
      </c>
      <c r="U1194" s="50" t="s">
        <v>399</v>
      </c>
      <c r="V1194" s="118" t="str">
        <f>+Agencia[[#This Row],[idcoleccion]]&amp;"-"&amp;Agencia[[#This Row],[id]]</f>
        <v>990-1183</v>
      </c>
      <c r="W1194" s="118">
        <f>+VLOOKUP(Agencia[[#This Row],[Filtro URL]],Estructura!$X$4:$Y$500,2,0)</f>
        <v>99200008</v>
      </c>
      <c r="X1194" s="118" t="str">
        <f>+VLOOKUP(Agencia[[#This Row],[tema]],Estructura!$A$4:$C$500,3,0)</f>
        <v>T-1047</v>
      </c>
      <c r="Y1194" s="118" t="str">
        <f>+VLOOKUP(Agencia[[#This Row],[contenido]],Estructura!$E$4:$G$500,3,0)</f>
        <v>C-1013</v>
      </c>
      <c r="Z1194" s="118" t="str">
        <f>+VLOOKUP(Agencia[[#This Row],[Filtro Integrado]],Estructura!$I$4:$K$500,3,0)</f>
        <v>FI-993</v>
      </c>
      <c r="AA1194" s="118" t="str">
        <f>+VLOOKUP(Agencia[[#This Row],[Muestra]],Estructura!$M$4:$O$500,3,0)</f>
        <v>M-1087</v>
      </c>
    </row>
    <row r="1195" spans="1:27" ht="57.6" x14ac:dyDescent="0.3">
      <c r="A1195" s="21" t="s">
        <v>3895</v>
      </c>
      <c r="B1195" s="24">
        <v>990</v>
      </c>
      <c r="C1195" s="25" t="s">
        <v>401</v>
      </c>
      <c r="D1195" s="10" t="s">
        <v>574</v>
      </c>
      <c r="E1195" s="19">
        <v>9</v>
      </c>
      <c r="F1195" s="10" t="s">
        <v>3802</v>
      </c>
      <c r="G1195" s="10" t="s">
        <v>3802</v>
      </c>
      <c r="H1195" s="35" t="s">
        <v>16</v>
      </c>
      <c r="I1195" s="36" t="s">
        <v>376</v>
      </c>
      <c r="J1195" s="9" t="s">
        <v>404</v>
      </c>
      <c r="K1195" s="9" t="s">
        <v>3803</v>
      </c>
      <c r="L1195" s="9" t="s">
        <v>614</v>
      </c>
      <c r="M1195" s="9" t="s">
        <v>3804</v>
      </c>
      <c r="N1195" s="9" t="s">
        <v>910</v>
      </c>
      <c r="O1195" s="20" t="s">
        <v>4743</v>
      </c>
      <c r="P1195" s="20"/>
      <c r="Q1195" s="11" t="s">
        <v>584</v>
      </c>
      <c r="R1195" s="20" t="s">
        <v>4744</v>
      </c>
      <c r="S1195" s="39" t="s">
        <v>4379</v>
      </c>
      <c r="T1195" s="70" t="s">
        <v>3750</v>
      </c>
      <c r="U1195" s="50" t="s">
        <v>399</v>
      </c>
      <c r="V1195" s="118" t="str">
        <f>+Agencia[[#This Row],[idcoleccion]]&amp;"-"&amp;Agencia[[#This Row],[id]]</f>
        <v>990-1184</v>
      </c>
      <c r="W1195" s="118">
        <f>+VLOOKUP(Agencia[[#This Row],[Filtro URL]],Estructura!$X$4:$Y$500,2,0)</f>
        <v>99200009</v>
      </c>
      <c r="X1195" s="118" t="str">
        <f>+VLOOKUP(Agencia[[#This Row],[tema]],Estructura!$A$4:$C$500,3,0)</f>
        <v>T-1047</v>
      </c>
      <c r="Y1195" s="118" t="str">
        <f>+VLOOKUP(Agencia[[#This Row],[contenido]],Estructura!$E$4:$G$500,3,0)</f>
        <v>C-1013</v>
      </c>
      <c r="Z1195" s="118" t="str">
        <f>+VLOOKUP(Agencia[[#This Row],[Filtro Integrado]],Estructura!$I$4:$K$500,3,0)</f>
        <v>FI-993</v>
      </c>
      <c r="AA1195" s="118" t="str">
        <f>+VLOOKUP(Agencia[[#This Row],[Muestra]],Estructura!$M$4:$O$500,3,0)</f>
        <v>M-1087</v>
      </c>
    </row>
    <row r="1196" spans="1:27" ht="57.6" x14ac:dyDescent="0.3">
      <c r="A1196" s="21" t="s">
        <v>3896</v>
      </c>
      <c r="B1196" s="24">
        <v>990</v>
      </c>
      <c r="C1196" s="25" t="s">
        <v>401</v>
      </c>
      <c r="D1196" s="10" t="s">
        <v>574</v>
      </c>
      <c r="E1196" s="19">
        <v>10</v>
      </c>
      <c r="F1196" s="10" t="s">
        <v>3802</v>
      </c>
      <c r="G1196" s="10" t="s">
        <v>3802</v>
      </c>
      <c r="H1196" s="35" t="s">
        <v>16</v>
      </c>
      <c r="I1196" s="36" t="s">
        <v>377</v>
      </c>
      <c r="J1196" s="9" t="s">
        <v>404</v>
      </c>
      <c r="K1196" s="9" t="s">
        <v>3803</v>
      </c>
      <c r="L1196" s="9" t="s">
        <v>614</v>
      </c>
      <c r="M1196" s="9" t="s">
        <v>3804</v>
      </c>
      <c r="N1196" s="9" t="s">
        <v>910</v>
      </c>
      <c r="O1196" s="20" t="s">
        <v>4745</v>
      </c>
      <c r="P1196" s="20"/>
      <c r="Q1196" s="11" t="s">
        <v>584</v>
      </c>
      <c r="R1196" s="20" t="s">
        <v>4746</v>
      </c>
      <c r="S1196" s="39" t="s">
        <v>4380</v>
      </c>
      <c r="T1196" s="70" t="s">
        <v>3751</v>
      </c>
      <c r="U1196" s="120" t="s">
        <v>399</v>
      </c>
      <c r="V1196" s="118" t="str">
        <f>+Agencia[[#This Row],[idcoleccion]]&amp;"-"&amp;Agencia[[#This Row],[id]]</f>
        <v>990-1185</v>
      </c>
      <c r="W1196" s="118">
        <f>+VLOOKUP(Agencia[[#This Row],[Filtro URL]],Estructura!$X$4:$Y$500,2,0)</f>
        <v>99200010</v>
      </c>
      <c r="X1196" s="118" t="str">
        <f>+VLOOKUP(Agencia[[#This Row],[tema]],Estructura!$A$4:$C$500,3,0)</f>
        <v>T-1047</v>
      </c>
      <c r="Y1196" s="118" t="str">
        <f>+VLOOKUP(Agencia[[#This Row],[contenido]],Estructura!$E$4:$G$500,3,0)</f>
        <v>C-1013</v>
      </c>
      <c r="Z1196" s="118" t="str">
        <f>+VLOOKUP(Agencia[[#This Row],[Filtro Integrado]],Estructura!$I$4:$K$500,3,0)</f>
        <v>FI-993</v>
      </c>
      <c r="AA1196" s="118" t="str">
        <f>+VLOOKUP(Agencia[[#This Row],[Muestra]],Estructura!$M$4:$O$500,3,0)</f>
        <v>M-1087</v>
      </c>
    </row>
    <row r="1197" spans="1:27" ht="57.6" x14ac:dyDescent="0.3">
      <c r="A1197" s="21" t="s">
        <v>3897</v>
      </c>
      <c r="B1197" s="24">
        <v>990</v>
      </c>
      <c r="C1197" s="25" t="s">
        <v>401</v>
      </c>
      <c r="D1197" s="10" t="s">
        <v>574</v>
      </c>
      <c r="E1197" s="19">
        <v>11</v>
      </c>
      <c r="F1197" s="10" t="s">
        <v>3802</v>
      </c>
      <c r="G1197" s="10" t="s">
        <v>3802</v>
      </c>
      <c r="H1197" s="35" t="s">
        <v>16</v>
      </c>
      <c r="I1197" s="36" t="s">
        <v>378</v>
      </c>
      <c r="J1197" s="9" t="s">
        <v>404</v>
      </c>
      <c r="K1197" s="9" t="s">
        <v>3803</v>
      </c>
      <c r="L1197" s="9" t="s">
        <v>614</v>
      </c>
      <c r="M1197" s="9" t="s">
        <v>3804</v>
      </c>
      <c r="N1197" s="9" t="s">
        <v>910</v>
      </c>
      <c r="O1197" s="20" t="s">
        <v>4747</v>
      </c>
      <c r="P1197" s="20"/>
      <c r="Q1197" s="11" t="s">
        <v>584</v>
      </c>
      <c r="R1197" s="20" t="s">
        <v>4748</v>
      </c>
      <c r="S1197" s="39" t="s">
        <v>4381</v>
      </c>
      <c r="T1197" s="70" t="s">
        <v>3748</v>
      </c>
      <c r="U1197" s="50" t="s">
        <v>399</v>
      </c>
      <c r="V1197" s="118" t="str">
        <f>+Agencia[[#This Row],[idcoleccion]]&amp;"-"&amp;Agencia[[#This Row],[id]]</f>
        <v>990-1186</v>
      </c>
      <c r="W1197" s="118">
        <f>+VLOOKUP(Agencia[[#This Row],[Filtro URL]],Estructura!$X$4:$Y$500,2,0)</f>
        <v>99200011</v>
      </c>
      <c r="X1197" s="118" t="str">
        <f>+VLOOKUP(Agencia[[#This Row],[tema]],Estructura!$A$4:$C$500,3,0)</f>
        <v>T-1047</v>
      </c>
      <c r="Y1197" s="118" t="str">
        <f>+VLOOKUP(Agencia[[#This Row],[contenido]],Estructura!$E$4:$G$500,3,0)</f>
        <v>C-1013</v>
      </c>
      <c r="Z1197" s="118" t="str">
        <f>+VLOOKUP(Agencia[[#This Row],[Filtro Integrado]],Estructura!$I$4:$K$500,3,0)</f>
        <v>FI-993</v>
      </c>
      <c r="AA1197" s="118" t="str">
        <f>+VLOOKUP(Agencia[[#This Row],[Muestra]],Estructura!$M$4:$O$500,3,0)</f>
        <v>M-1087</v>
      </c>
    </row>
    <row r="1198" spans="1:27" ht="57.6" x14ac:dyDescent="0.3">
      <c r="A1198" s="21" t="s">
        <v>3898</v>
      </c>
      <c r="B1198" s="24">
        <v>990</v>
      </c>
      <c r="C1198" s="25" t="s">
        <v>401</v>
      </c>
      <c r="D1198" s="10" t="s">
        <v>574</v>
      </c>
      <c r="E1198" s="19">
        <v>12</v>
      </c>
      <c r="F1198" s="10" t="s">
        <v>3802</v>
      </c>
      <c r="G1198" s="10" t="s">
        <v>3802</v>
      </c>
      <c r="H1198" s="35" t="s">
        <v>16</v>
      </c>
      <c r="I1198" s="36" t="s">
        <v>379</v>
      </c>
      <c r="J1198" s="9" t="s">
        <v>404</v>
      </c>
      <c r="K1198" s="9" t="s">
        <v>3803</v>
      </c>
      <c r="L1198" s="9" t="s">
        <v>614</v>
      </c>
      <c r="M1198" s="9" t="s">
        <v>3804</v>
      </c>
      <c r="N1198" s="9" t="s">
        <v>910</v>
      </c>
      <c r="O1198" s="20" t="s">
        <v>4749</v>
      </c>
      <c r="P1198" s="20"/>
      <c r="Q1198" s="11" t="s">
        <v>584</v>
      </c>
      <c r="R1198" s="20" t="s">
        <v>4750</v>
      </c>
      <c r="S1198" s="39" t="s">
        <v>4382</v>
      </c>
      <c r="T1198" s="70" t="s">
        <v>3753</v>
      </c>
      <c r="U1198" s="50" t="s">
        <v>399</v>
      </c>
      <c r="V1198" s="118" t="str">
        <f>+Agencia[[#This Row],[idcoleccion]]&amp;"-"&amp;Agencia[[#This Row],[id]]</f>
        <v>990-1187</v>
      </c>
      <c r="W1198" s="118">
        <f>+VLOOKUP(Agencia[[#This Row],[Filtro URL]],Estructura!$X$4:$Y$500,2,0)</f>
        <v>99200012</v>
      </c>
      <c r="X1198" s="118" t="str">
        <f>+VLOOKUP(Agencia[[#This Row],[tema]],Estructura!$A$4:$C$500,3,0)</f>
        <v>T-1047</v>
      </c>
      <c r="Y1198" s="118" t="str">
        <f>+VLOOKUP(Agencia[[#This Row],[contenido]],Estructura!$E$4:$G$500,3,0)</f>
        <v>C-1013</v>
      </c>
      <c r="Z1198" s="118" t="str">
        <f>+VLOOKUP(Agencia[[#This Row],[Filtro Integrado]],Estructura!$I$4:$K$500,3,0)</f>
        <v>FI-993</v>
      </c>
      <c r="AA1198" s="118" t="str">
        <f>+VLOOKUP(Agencia[[#This Row],[Muestra]],Estructura!$M$4:$O$500,3,0)</f>
        <v>M-1087</v>
      </c>
    </row>
    <row r="1199" spans="1:27" ht="57.6" x14ac:dyDescent="0.3">
      <c r="A1199" s="21" t="s">
        <v>3899</v>
      </c>
      <c r="B1199" s="24">
        <v>990</v>
      </c>
      <c r="C1199" s="25" t="s">
        <v>401</v>
      </c>
      <c r="D1199" s="10" t="s">
        <v>574</v>
      </c>
      <c r="E1199" s="19">
        <v>13</v>
      </c>
      <c r="F1199" s="10" t="s">
        <v>3802</v>
      </c>
      <c r="G1199" s="10" t="s">
        <v>3802</v>
      </c>
      <c r="H1199" s="35" t="s">
        <v>16</v>
      </c>
      <c r="I1199" s="36" t="s">
        <v>380</v>
      </c>
      <c r="J1199" s="9" t="s">
        <v>404</v>
      </c>
      <c r="K1199" s="9" t="s">
        <v>3803</v>
      </c>
      <c r="L1199" s="9" t="s">
        <v>614</v>
      </c>
      <c r="M1199" s="9" t="s">
        <v>3804</v>
      </c>
      <c r="N1199" s="9" t="s">
        <v>910</v>
      </c>
      <c r="O1199" s="20" t="s">
        <v>4751</v>
      </c>
      <c r="P1199" s="20"/>
      <c r="Q1199" s="11" t="s">
        <v>584</v>
      </c>
      <c r="R1199" s="20" t="s">
        <v>4752</v>
      </c>
      <c r="S1199" s="39" t="s">
        <v>4383</v>
      </c>
      <c r="T1199" s="70" t="s">
        <v>3760</v>
      </c>
      <c r="U1199" s="120" t="s">
        <v>399</v>
      </c>
      <c r="V1199" s="118" t="str">
        <f>+Agencia[[#This Row],[idcoleccion]]&amp;"-"&amp;Agencia[[#This Row],[id]]</f>
        <v>990-1188</v>
      </c>
      <c r="W1199" s="118">
        <f>+VLOOKUP(Agencia[[#This Row],[Filtro URL]],Estructura!$X$4:$Y$500,2,0)</f>
        <v>99200013</v>
      </c>
      <c r="X1199" s="118" t="str">
        <f>+VLOOKUP(Agencia[[#This Row],[tema]],Estructura!$A$4:$C$500,3,0)</f>
        <v>T-1047</v>
      </c>
      <c r="Y1199" s="118" t="str">
        <f>+VLOOKUP(Agencia[[#This Row],[contenido]],Estructura!$E$4:$G$500,3,0)</f>
        <v>C-1013</v>
      </c>
      <c r="Z1199" s="118" t="str">
        <f>+VLOOKUP(Agencia[[#This Row],[Filtro Integrado]],Estructura!$I$4:$K$500,3,0)</f>
        <v>FI-993</v>
      </c>
      <c r="AA1199" s="118" t="str">
        <f>+VLOOKUP(Agencia[[#This Row],[Muestra]],Estructura!$M$4:$O$500,3,0)</f>
        <v>M-1087</v>
      </c>
    </row>
    <row r="1200" spans="1:27" ht="57.6" x14ac:dyDescent="0.3">
      <c r="A1200" s="21" t="s">
        <v>3900</v>
      </c>
      <c r="B1200" s="24">
        <v>990</v>
      </c>
      <c r="C1200" s="25" t="s">
        <v>401</v>
      </c>
      <c r="D1200" s="10" t="s">
        <v>574</v>
      </c>
      <c r="E1200" s="19">
        <v>14</v>
      </c>
      <c r="F1200" s="10" t="s">
        <v>3802</v>
      </c>
      <c r="G1200" s="10" t="s">
        <v>3802</v>
      </c>
      <c r="H1200" s="35" t="s">
        <v>16</v>
      </c>
      <c r="I1200" s="36" t="s">
        <v>381</v>
      </c>
      <c r="J1200" s="9" t="s">
        <v>404</v>
      </c>
      <c r="K1200" s="9" t="s">
        <v>3803</v>
      </c>
      <c r="L1200" s="9" t="s">
        <v>614</v>
      </c>
      <c r="M1200" s="9" t="s">
        <v>3804</v>
      </c>
      <c r="N1200" s="9" t="s">
        <v>910</v>
      </c>
      <c r="O1200" s="20" t="s">
        <v>4753</v>
      </c>
      <c r="P1200" s="20"/>
      <c r="Q1200" s="11" t="s">
        <v>584</v>
      </c>
      <c r="R1200" s="20" t="s">
        <v>4754</v>
      </c>
      <c r="S1200" s="39" t="s">
        <v>4384</v>
      </c>
      <c r="T1200" s="70" t="s">
        <v>3752</v>
      </c>
      <c r="U1200" s="50" t="s">
        <v>399</v>
      </c>
      <c r="V1200" s="118" t="str">
        <f>+Agencia[[#This Row],[idcoleccion]]&amp;"-"&amp;Agencia[[#This Row],[id]]</f>
        <v>990-1189</v>
      </c>
      <c r="W1200" s="118">
        <f>+VLOOKUP(Agencia[[#This Row],[Filtro URL]],Estructura!$X$4:$Y$500,2,0)</f>
        <v>99200014</v>
      </c>
      <c r="X1200" s="118" t="str">
        <f>+VLOOKUP(Agencia[[#This Row],[tema]],Estructura!$A$4:$C$500,3,0)</f>
        <v>T-1047</v>
      </c>
      <c r="Y1200" s="118" t="str">
        <f>+VLOOKUP(Agencia[[#This Row],[contenido]],Estructura!$E$4:$G$500,3,0)</f>
        <v>C-1013</v>
      </c>
      <c r="Z1200" s="118" t="str">
        <f>+VLOOKUP(Agencia[[#This Row],[Filtro Integrado]],Estructura!$I$4:$K$500,3,0)</f>
        <v>FI-993</v>
      </c>
      <c r="AA1200" s="118" t="str">
        <f>+VLOOKUP(Agencia[[#This Row],[Muestra]],Estructura!$M$4:$O$500,3,0)</f>
        <v>M-1087</v>
      </c>
    </row>
    <row r="1201" spans="1:27" ht="57.6" x14ac:dyDescent="0.3">
      <c r="A1201" s="21" t="s">
        <v>3901</v>
      </c>
      <c r="B1201" s="24">
        <v>990</v>
      </c>
      <c r="C1201" s="25" t="s">
        <v>401</v>
      </c>
      <c r="D1201" s="10" t="s">
        <v>574</v>
      </c>
      <c r="E1201" s="19">
        <v>15</v>
      </c>
      <c r="F1201" s="10" t="s">
        <v>3802</v>
      </c>
      <c r="G1201" s="10" t="s">
        <v>3802</v>
      </c>
      <c r="H1201" s="35" t="s">
        <v>16</v>
      </c>
      <c r="I1201" s="36" t="s">
        <v>382</v>
      </c>
      <c r="J1201" s="9" t="s">
        <v>404</v>
      </c>
      <c r="K1201" s="9" t="s">
        <v>3803</v>
      </c>
      <c r="L1201" s="9" t="s">
        <v>614</v>
      </c>
      <c r="M1201" s="9" t="s">
        <v>3804</v>
      </c>
      <c r="N1201" s="9" t="s">
        <v>910</v>
      </c>
      <c r="O1201" s="20" t="s">
        <v>4755</v>
      </c>
      <c r="P1201" s="20"/>
      <c r="Q1201" s="11" t="s">
        <v>584</v>
      </c>
      <c r="R1201" s="20" t="s">
        <v>4756</v>
      </c>
      <c r="S1201" s="39" t="s">
        <v>4385</v>
      </c>
      <c r="T1201" s="70" t="s">
        <v>3746</v>
      </c>
      <c r="U1201" s="50" t="s">
        <v>399</v>
      </c>
      <c r="V1201" s="118" t="str">
        <f>+Agencia[[#This Row],[idcoleccion]]&amp;"-"&amp;Agencia[[#This Row],[id]]</f>
        <v>990-1190</v>
      </c>
      <c r="W1201" s="118">
        <f>+VLOOKUP(Agencia[[#This Row],[Filtro URL]],Estructura!$X$4:$Y$500,2,0)</f>
        <v>99200015</v>
      </c>
      <c r="X1201" s="118" t="str">
        <f>+VLOOKUP(Agencia[[#This Row],[tema]],Estructura!$A$4:$C$500,3,0)</f>
        <v>T-1047</v>
      </c>
      <c r="Y1201" s="118" t="str">
        <f>+VLOOKUP(Agencia[[#This Row],[contenido]],Estructura!$E$4:$G$500,3,0)</f>
        <v>C-1013</v>
      </c>
      <c r="Z1201" s="118" t="str">
        <f>+VLOOKUP(Agencia[[#This Row],[Filtro Integrado]],Estructura!$I$4:$K$500,3,0)</f>
        <v>FI-993</v>
      </c>
      <c r="AA1201" s="118" t="str">
        <f>+VLOOKUP(Agencia[[#This Row],[Muestra]],Estructura!$M$4:$O$500,3,0)</f>
        <v>M-1087</v>
      </c>
    </row>
    <row r="1202" spans="1:27" ht="57.6" x14ac:dyDescent="0.3">
      <c r="A1202" s="21" t="s">
        <v>3902</v>
      </c>
      <c r="B1202" s="24">
        <v>990</v>
      </c>
      <c r="C1202" s="25" t="s">
        <v>401</v>
      </c>
      <c r="D1202" s="10" t="s">
        <v>574</v>
      </c>
      <c r="E1202" s="19">
        <v>16</v>
      </c>
      <c r="F1202" s="10" t="s">
        <v>3802</v>
      </c>
      <c r="G1202" s="10" t="s">
        <v>3802</v>
      </c>
      <c r="H1202" s="35" t="s">
        <v>16</v>
      </c>
      <c r="I1202" s="36" t="s">
        <v>383</v>
      </c>
      <c r="J1202" s="9" t="s">
        <v>404</v>
      </c>
      <c r="K1202" s="9" t="s">
        <v>3803</v>
      </c>
      <c r="L1202" s="9" t="s">
        <v>614</v>
      </c>
      <c r="M1202" s="9" t="s">
        <v>3804</v>
      </c>
      <c r="N1202" s="9" t="s">
        <v>910</v>
      </c>
      <c r="O1202" s="20" t="s">
        <v>4757</v>
      </c>
      <c r="P1202" s="20"/>
      <c r="Q1202" s="11" t="s">
        <v>584</v>
      </c>
      <c r="R1202" s="20" t="s">
        <v>4758</v>
      </c>
      <c r="S1202" s="39" t="s">
        <v>4759</v>
      </c>
      <c r="T1202" s="70" t="s">
        <v>3755</v>
      </c>
      <c r="U1202" s="120" t="s">
        <v>399</v>
      </c>
      <c r="V1202" s="118" t="str">
        <f>+Agencia[[#This Row],[idcoleccion]]&amp;"-"&amp;Agencia[[#This Row],[id]]</f>
        <v>990-1191</v>
      </c>
      <c r="W1202" s="118">
        <f>+VLOOKUP(Agencia[[#This Row],[Filtro URL]],Estructura!$X$4:$Y$500,2,0)</f>
        <v>99200016</v>
      </c>
      <c r="X1202" s="118" t="str">
        <f>+VLOOKUP(Agencia[[#This Row],[tema]],Estructura!$A$4:$C$500,3,0)</f>
        <v>T-1047</v>
      </c>
      <c r="Y1202" s="118" t="str">
        <f>+VLOOKUP(Agencia[[#This Row],[contenido]],Estructura!$E$4:$G$500,3,0)</f>
        <v>C-1013</v>
      </c>
      <c r="Z1202" s="118" t="str">
        <f>+VLOOKUP(Agencia[[#This Row],[Filtro Integrado]],Estructura!$I$4:$K$500,3,0)</f>
        <v>FI-993</v>
      </c>
      <c r="AA1202" s="118" t="str">
        <f>+VLOOKUP(Agencia[[#This Row],[Muestra]],Estructura!$M$4:$O$500,3,0)</f>
        <v>M-1087</v>
      </c>
    </row>
    <row r="1203" spans="1:27" ht="51" x14ac:dyDescent="0.3">
      <c r="A1203" s="21" t="s">
        <v>3903</v>
      </c>
      <c r="B1203" s="24">
        <v>990</v>
      </c>
      <c r="C1203" s="25" t="s">
        <v>401</v>
      </c>
      <c r="D1203" s="10" t="s">
        <v>462</v>
      </c>
      <c r="E1203" s="14">
        <v>0</v>
      </c>
      <c r="F1203" s="10" t="s">
        <v>906</v>
      </c>
      <c r="G1203" s="10" t="s">
        <v>3762</v>
      </c>
      <c r="H1203" s="33" t="s">
        <v>20</v>
      </c>
      <c r="I1203" s="34" t="s">
        <v>15</v>
      </c>
      <c r="J1203" s="9" t="s">
        <v>16</v>
      </c>
      <c r="K1203" s="9" t="s">
        <v>3865</v>
      </c>
      <c r="L1203" s="9" t="s">
        <v>907</v>
      </c>
      <c r="M1203" s="9" t="s">
        <v>908</v>
      </c>
      <c r="N1203" s="9" t="s">
        <v>910</v>
      </c>
      <c r="O1203" s="20" t="s">
        <v>4760</v>
      </c>
      <c r="P1203" s="20" t="s">
        <v>3866</v>
      </c>
      <c r="Q1203" s="11" t="s">
        <v>584</v>
      </c>
      <c r="R1203" s="20" t="s">
        <v>4761</v>
      </c>
      <c r="S1203" s="39" t="s">
        <v>3867</v>
      </c>
      <c r="T1203" s="70" t="s">
        <v>855</v>
      </c>
      <c r="U1203" s="50" t="s">
        <v>399</v>
      </c>
      <c r="V1203" s="118" t="str">
        <f>+Agencia[[#This Row],[idcoleccion]]&amp;"-"&amp;Agencia[[#This Row],[id]]</f>
        <v>990-1192</v>
      </c>
      <c r="W1203" s="118">
        <f>+VLOOKUP(Agencia[[#This Row],[Filtro URL]],Estructura!$X$4:$Y$500,2,0)</f>
        <v>99100000</v>
      </c>
      <c r="X1203" s="118" t="str">
        <f>+VLOOKUP(Agencia[[#This Row],[tema]],Estructura!$A$4:$C$500,3,0)</f>
        <v>T-1040</v>
      </c>
      <c r="Y1203" s="118" t="str">
        <f>+VLOOKUP(Agencia[[#This Row],[contenido]],Estructura!$E$4:$G$500,3,0)</f>
        <v>C-996</v>
      </c>
      <c r="Z1203" s="118" t="str">
        <f>+VLOOKUP(Agencia[[#This Row],[Filtro Integrado]],Estructura!$I$4:$K$500,3,0)</f>
        <v>FI-992</v>
      </c>
      <c r="AA1203" s="118" t="str">
        <f>+VLOOKUP(Agencia[[#This Row],[Muestra]],Estructura!$M$4:$O$500,3,0)</f>
        <v>M-1089</v>
      </c>
    </row>
    <row r="1204" spans="1:27" ht="57.6" x14ac:dyDescent="0.3">
      <c r="A1204" s="21" t="s">
        <v>3904</v>
      </c>
      <c r="B1204" s="24">
        <v>990</v>
      </c>
      <c r="C1204" s="25" t="s">
        <v>401</v>
      </c>
      <c r="D1204" s="10" t="s">
        <v>462</v>
      </c>
      <c r="E1204" s="19">
        <v>1</v>
      </c>
      <c r="F1204" s="10" t="s">
        <v>906</v>
      </c>
      <c r="G1204" s="10" t="s">
        <v>3762</v>
      </c>
      <c r="H1204" s="35" t="s">
        <v>16</v>
      </c>
      <c r="I1204" s="36" t="s">
        <v>368</v>
      </c>
      <c r="J1204" s="9" t="s">
        <v>404</v>
      </c>
      <c r="K1204" s="9" t="s">
        <v>3869</v>
      </c>
      <c r="L1204" s="9" t="s">
        <v>907</v>
      </c>
      <c r="M1204" s="9" t="s">
        <v>908</v>
      </c>
      <c r="N1204" s="9" t="s">
        <v>910</v>
      </c>
      <c r="O1204" s="20" t="s">
        <v>4762</v>
      </c>
      <c r="P1204" s="20"/>
      <c r="Q1204" s="11" t="s">
        <v>584</v>
      </c>
      <c r="R1204" s="20" t="s">
        <v>4763</v>
      </c>
      <c r="S1204" s="39" t="s">
        <v>4386</v>
      </c>
      <c r="T1204" s="70" t="s">
        <v>3757</v>
      </c>
      <c r="U1204" s="50" t="s">
        <v>399</v>
      </c>
      <c r="V1204" s="118" t="str">
        <f>+Agencia[[#This Row],[idcoleccion]]&amp;"-"&amp;Agencia[[#This Row],[id]]</f>
        <v>990-1193</v>
      </c>
      <c r="W1204" s="118">
        <f>+VLOOKUP(Agencia[[#This Row],[Filtro URL]],Estructura!$X$4:$Y$500,2,0)</f>
        <v>99200001</v>
      </c>
      <c r="X1204" s="118" t="str">
        <f>+VLOOKUP(Agencia[[#This Row],[tema]],Estructura!$A$4:$C$500,3,0)</f>
        <v>T-1040</v>
      </c>
      <c r="Y1204" s="118" t="str">
        <f>+VLOOKUP(Agencia[[#This Row],[contenido]],Estructura!$E$4:$G$500,3,0)</f>
        <v>C-996</v>
      </c>
      <c r="Z1204" s="118" t="str">
        <f>+VLOOKUP(Agencia[[#This Row],[Filtro Integrado]],Estructura!$I$4:$K$500,3,0)</f>
        <v>FI-993</v>
      </c>
      <c r="AA1204" s="118" t="str">
        <f>+VLOOKUP(Agencia[[#This Row],[Muestra]],Estructura!$M$4:$O$500,3,0)</f>
        <v>M-1090</v>
      </c>
    </row>
    <row r="1205" spans="1:27" ht="57.6" x14ac:dyDescent="0.3">
      <c r="A1205" s="21" t="s">
        <v>3913</v>
      </c>
      <c r="B1205" s="24">
        <v>990</v>
      </c>
      <c r="C1205" s="25" t="s">
        <v>401</v>
      </c>
      <c r="D1205" s="10" t="s">
        <v>462</v>
      </c>
      <c r="E1205" s="19">
        <v>2</v>
      </c>
      <c r="F1205" s="10" t="s">
        <v>906</v>
      </c>
      <c r="G1205" s="10" t="s">
        <v>3762</v>
      </c>
      <c r="H1205" s="35" t="s">
        <v>16</v>
      </c>
      <c r="I1205" s="36" t="s">
        <v>369</v>
      </c>
      <c r="J1205" s="9" t="s">
        <v>404</v>
      </c>
      <c r="K1205" s="9" t="s">
        <v>3869</v>
      </c>
      <c r="L1205" s="9" t="s">
        <v>907</v>
      </c>
      <c r="M1205" s="9" t="s">
        <v>908</v>
      </c>
      <c r="N1205" s="9" t="s">
        <v>910</v>
      </c>
      <c r="O1205" s="20" t="s">
        <v>4764</v>
      </c>
      <c r="P1205" s="20"/>
      <c r="Q1205" s="11" t="s">
        <v>584</v>
      </c>
      <c r="R1205" s="20" t="s">
        <v>4765</v>
      </c>
      <c r="S1205" s="39" t="s">
        <v>4387</v>
      </c>
      <c r="T1205" s="70" t="s">
        <v>3745</v>
      </c>
      <c r="U1205" s="120" t="s">
        <v>399</v>
      </c>
      <c r="V1205" s="118" t="str">
        <f>+Agencia[[#This Row],[idcoleccion]]&amp;"-"&amp;Agencia[[#This Row],[id]]</f>
        <v>990-1194</v>
      </c>
      <c r="W1205" s="118">
        <f>+VLOOKUP(Agencia[[#This Row],[Filtro URL]],Estructura!$X$4:$Y$500,2,0)</f>
        <v>99200002</v>
      </c>
      <c r="X1205" s="118" t="str">
        <f>+VLOOKUP(Agencia[[#This Row],[tema]],Estructura!$A$4:$C$500,3,0)</f>
        <v>T-1040</v>
      </c>
      <c r="Y1205" s="118" t="str">
        <f>+VLOOKUP(Agencia[[#This Row],[contenido]],Estructura!$E$4:$G$500,3,0)</f>
        <v>C-996</v>
      </c>
      <c r="Z1205" s="118" t="str">
        <f>+VLOOKUP(Agencia[[#This Row],[Filtro Integrado]],Estructura!$I$4:$K$500,3,0)</f>
        <v>FI-993</v>
      </c>
      <c r="AA1205" s="118" t="str">
        <f>+VLOOKUP(Agencia[[#This Row],[Muestra]],Estructura!$M$4:$O$500,3,0)</f>
        <v>M-1090</v>
      </c>
    </row>
    <row r="1206" spans="1:27" ht="57.6" x14ac:dyDescent="0.3">
      <c r="A1206" s="21" t="s">
        <v>3914</v>
      </c>
      <c r="B1206" s="24">
        <v>990</v>
      </c>
      <c r="C1206" s="25" t="s">
        <v>401</v>
      </c>
      <c r="D1206" s="10" t="s">
        <v>462</v>
      </c>
      <c r="E1206" s="19">
        <v>3</v>
      </c>
      <c r="F1206" s="10" t="s">
        <v>906</v>
      </c>
      <c r="G1206" s="10" t="s">
        <v>3762</v>
      </c>
      <c r="H1206" s="35" t="s">
        <v>16</v>
      </c>
      <c r="I1206" s="36" t="s">
        <v>370</v>
      </c>
      <c r="J1206" s="9" t="s">
        <v>404</v>
      </c>
      <c r="K1206" s="9" t="s">
        <v>3869</v>
      </c>
      <c r="L1206" s="9" t="s">
        <v>907</v>
      </c>
      <c r="M1206" s="9" t="s">
        <v>908</v>
      </c>
      <c r="N1206" s="9" t="s">
        <v>910</v>
      </c>
      <c r="O1206" s="20" t="s">
        <v>4766</v>
      </c>
      <c r="P1206" s="20"/>
      <c r="Q1206" s="11" t="s">
        <v>584</v>
      </c>
      <c r="R1206" s="20" t="s">
        <v>4767</v>
      </c>
      <c r="S1206" s="39" t="s">
        <v>4388</v>
      </c>
      <c r="T1206" s="70" t="s">
        <v>3747</v>
      </c>
      <c r="U1206" s="50" t="s">
        <v>399</v>
      </c>
      <c r="V1206" s="118" t="str">
        <f>+Agencia[[#This Row],[idcoleccion]]&amp;"-"&amp;Agencia[[#This Row],[id]]</f>
        <v>990-1195</v>
      </c>
      <c r="W1206" s="118">
        <f>+VLOOKUP(Agencia[[#This Row],[Filtro URL]],Estructura!$X$4:$Y$500,2,0)</f>
        <v>99200003</v>
      </c>
      <c r="X1206" s="118" t="str">
        <f>+VLOOKUP(Agencia[[#This Row],[tema]],Estructura!$A$4:$C$500,3,0)</f>
        <v>T-1040</v>
      </c>
      <c r="Y1206" s="118" t="str">
        <f>+VLOOKUP(Agencia[[#This Row],[contenido]],Estructura!$E$4:$G$500,3,0)</f>
        <v>C-996</v>
      </c>
      <c r="Z1206" s="118" t="str">
        <f>+VLOOKUP(Agencia[[#This Row],[Filtro Integrado]],Estructura!$I$4:$K$500,3,0)</f>
        <v>FI-993</v>
      </c>
      <c r="AA1206" s="118" t="str">
        <f>+VLOOKUP(Agencia[[#This Row],[Muestra]],Estructura!$M$4:$O$500,3,0)</f>
        <v>M-1090</v>
      </c>
    </row>
    <row r="1207" spans="1:27" ht="57.6" x14ac:dyDescent="0.3">
      <c r="A1207" s="21" t="s">
        <v>3915</v>
      </c>
      <c r="B1207" s="24">
        <v>990</v>
      </c>
      <c r="C1207" s="25" t="s">
        <v>401</v>
      </c>
      <c r="D1207" s="10" t="s">
        <v>462</v>
      </c>
      <c r="E1207" s="19">
        <v>4</v>
      </c>
      <c r="F1207" s="10" t="s">
        <v>906</v>
      </c>
      <c r="G1207" s="10" t="s">
        <v>3762</v>
      </c>
      <c r="H1207" s="35" t="s">
        <v>16</v>
      </c>
      <c r="I1207" s="36" t="s">
        <v>371</v>
      </c>
      <c r="J1207" s="9" t="s">
        <v>404</v>
      </c>
      <c r="K1207" s="9" t="s">
        <v>3869</v>
      </c>
      <c r="L1207" s="9" t="s">
        <v>907</v>
      </c>
      <c r="M1207" s="9" t="s">
        <v>908</v>
      </c>
      <c r="N1207" s="9" t="s">
        <v>910</v>
      </c>
      <c r="O1207" s="20" t="s">
        <v>4768</v>
      </c>
      <c r="P1207" s="20"/>
      <c r="Q1207" s="11" t="s">
        <v>584</v>
      </c>
      <c r="R1207" s="20" t="s">
        <v>4769</v>
      </c>
      <c r="S1207" s="39" t="s">
        <v>4389</v>
      </c>
      <c r="T1207" s="70" t="s">
        <v>3749</v>
      </c>
      <c r="U1207" s="50" t="s">
        <v>399</v>
      </c>
      <c r="V1207" s="118" t="str">
        <f>+Agencia[[#This Row],[idcoleccion]]&amp;"-"&amp;Agencia[[#This Row],[id]]</f>
        <v>990-1196</v>
      </c>
      <c r="W1207" s="118">
        <f>+VLOOKUP(Agencia[[#This Row],[Filtro URL]],Estructura!$X$4:$Y$500,2,0)</f>
        <v>99200004</v>
      </c>
      <c r="X1207" s="118" t="str">
        <f>+VLOOKUP(Agencia[[#This Row],[tema]],Estructura!$A$4:$C$500,3,0)</f>
        <v>T-1040</v>
      </c>
      <c r="Y1207" s="118" t="str">
        <f>+VLOOKUP(Agencia[[#This Row],[contenido]],Estructura!$E$4:$G$500,3,0)</f>
        <v>C-996</v>
      </c>
      <c r="Z1207" s="118" t="str">
        <f>+VLOOKUP(Agencia[[#This Row],[Filtro Integrado]],Estructura!$I$4:$K$500,3,0)</f>
        <v>FI-993</v>
      </c>
      <c r="AA1207" s="118" t="str">
        <f>+VLOOKUP(Agencia[[#This Row],[Muestra]],Estructura!$M$4:$O$500,3,0)</f>
        <v>M-1090</v>
      </c>
    </row>
    <row r="1208" spans="1:27" ht="57.6" x14ac:dyDescent="0.3">
      <c r="A1208" s="21" t="s">
        <v>3916</v>
      </c>
      <c r="B1208" s="24">
        <v>990</v>
      </c>
      <c r="C1208" s="25" t="s">
        <v>401</v>
      </c>
      <c r="D1208" s="10" t="s">
        <v>462</v>
      </c>
      <c r="E1208" s="19">
        <v>5</v>
      </c>
      <c r="F1208" s="10" t="s">
        <v>906</v>
      </c>
      <c r="G1208" s="10" t="s">
        <v>3762</v>
      </c>
      <c r="H1208" s="35" t="s">
        <v>16</v>
      </c>
      <c r="I1208" s="36" t="s">
        <v>372</v>
      </c>
      <c r="J1208" s="9" t="s">
        <v>404</v>
      </c>
      <c r="K1208" s="9" t="s">
        <v>3869</v>
      </c>
      <c r="L1208" s="9" t="s">
        <v>907</v>
      </c>
      <c r="M1208" s="9" t="s">
        <v>908</v>
      </c>
      <c r="N1208" s="9" t="s">
        <v>910</v>
      </c>
      <c r="O1208" s="20" t="s">
        <v>4770</v>
      </c>
      <c r="P1208" s="20"/>
      <c r="Q1208" s="11" t="s">
        <v>584</v>
      </c>
      <c r="R1208" s="20" t="s">
        <v>4771</v>
      </c>
      <c r="S1208" s="39" t="s">
        <v>4390</v>
      </c>
      <c r="T1208" s="70" t="s">
        <v>3758</v>
      </c>
      <c r="U1208" s="120" t="s">
        <v>399</v>
      </c>
      <c r="V1208" s="118" t="str">
        <f>+Agencia[[#This Row],[idcoleccion]]&amp;"-"&amp;Agencia[[#This Row],[id]]</f>
        <v>990-1197</v>
      </c>
      <c r="W1208" s="118">
        <f>+VLOOKUP(Agencia[[#This Row],[Filtro URL]],Estructura!$X$4:$Y$500,2,0)</f>
        <v>99200005</v>
      </c>
      <c r="X1208" s="118" t="str">
        <f>+VLOOKUP(Agencia[[#This Row],[tema]],Estructura!$A$4:$C$500,3,0)</f>
        <v>T-1040</v>
      </c>
      <c r="Y1208" s="118" t="str">
        <f>+VLOOKUP(Agencia[[#This Row],[contenido]],Estructura!$E$4:$G$500,3,0)</f>
        <v>C-996</v>
      </c>
      <c r="Z1208" s="118" t="str">
        <f>+VLOOKUP(Agencia[[#This Row],[Filtro Integrado]],Estructura!$I$4:$K$500,3,0)</f>
        <v>FI-993</v>
      </c>
      <c r="AA1208" s="118" t="str">
        <f>+VLOOKUP(Agencia[[#This Row],[Muestra]],Estructura!$M$4:$O$500,3,0)</f>
        <v>M-1090</v>
      </c>
    </row>
    <row r="1209" spans="1:27" ht="57.6" x14ac:dyDescent="0.3">
      <c r="A1209" s="21" t="s">
        <v>3917</v>
      </c>
      <c r="B1209" s="24">
        <v>990</v>
      </c>
      <c r="C1209" s="25" t="s">
        <v>401</v>
      </c>
      <c r="D1209" s="10" t="s">
        <v>462</v>
      </c>
      <c r="E1209" s="19">
        <v>6</v>
      </c>
      <c r="F1209" s="10" t="s">
        <v>906</v>
      </c>
      <c r="G1209" s="10" t="s">
        <v>3762</v>
      </c>
      <c r="H1209" s="35" t="s">
        <v>16</v>
      </c>
      <c r="I1209" s="36" t="s">
        <v>373</v>
      </c>
      <c r="J1209" s="9" t="s">
        <v>404</v>
      </c>
      <c r="K1209" s="9" t="s">
        <v>3869</v>
      </c>
      <c r="L1209" s="9" t="s">
        <v>907</v>
      </c>
      <c r="M1209" s="9" t="s">
        <v>908</v>
      </c>
      <c r="N1209" s="9" t="s">
        <v>910</v>
      </c>
      <c r="O1209" s="20" t="s">
        <v>4772</v>
      </c>
      <c r="P1209" s="20"/>
      <c r="Q1209" s="11" t="s">
        <v>584</v>
      </c>
      <c r="R1209" s="20" t="s">
        <v>4773</v>
      </c>
      <c r="S1209" s="39" t="s">
        <v>4391</v>
      </c>
      <c r="T1209" s="70" t="s">
        <v>3756</v>
      </c>
      <c r="U1209" s="50" t="s">
        <v>399</v>
      </c>
      <c r="V1209" s="118" t="str">
        <f>+Agencia[[#This Row],[idcoleccion]]&amp;"-"&amp;Agencia[[#This Row],[id]]</f>
        <v>990-1198</v>
      </c>
      <c r="W1209" s="118">
        <f>+VLOOKUP(Agencia[[#This Row],[Filtro URL]],Estructura!$X$4:$Y$500,2,0)</f>
        <v>99200006</v>
      </c>
      <c r="X1209" s="118" t="str">
        <f>+VLOOKUP(Agencia[[#This Row],[tema]],Estructura!$A$4:$C$500,3,0)</f>
        <v>T-1040</v>
      </c>
      <c r="Y1209" s="118" t="str">
        <f>+VLOOKUP(Agencia[[#This Row],[contenido]],Estructura!$E$4:$G$500,3,0)</f>
        <v>C-996</v>
      </c>
      <c r="Z1209" s="118" t="str">
        <f>+VLOOKUP(Agencia[[#This Row],[Filtro Integrado]],Estructura!$I$4:$K$500,3,0)</f>
        <v>FI-993</v>
      </c>
      <c r="AA1209" s="118" t="str">
        <f>+VLOOKUP(Agencia[[#This Row],[Muestra]],Estructura!$M$4:$O$500,3,0)</f>
        <v>M-1090</v>
      </c>
    </row>
    <row r="1210" spans="1:27" ht="57.6" x14ac:dyDescent="0.3">
      <c r="A1210" s="21" t="s">
        <v>3918</v>
      </c>
      <c r="B1210" s="24">
        <v>990</v>
      </c>
      <c r="C1210" s="25" t="s">
        <v>401</v>
      </c>
      <c r="D1210" s="10" t="s">
        <v>462</v>
      </c>
      <c r="E1210" s="19">
        <v>7</v>
      </c>
      <c r="F1210" s="10" t="s">
        <v>906</v>
      </c>
      <c r="G1210" s="10" t="s">
        <v>3762</v>
      </c>
      <c r="H1210" s="35" t="s">
        <v>16</v>
      </c>
      <c r="I1210" s="36" t="s">
        <v>374</v>
      </c>
      <c r="J1210" s="9" t="s">
        <v>404</v>
      </c>
      <c r="K1210" s="9" t="s">
        <v>3869</v>
      </c>
      <c r="L1210" s="9" t="s">
        <v>907</v>
      </c>
      <c r="M1210" s="9" t="s">
        <v>908</v>
      </c>
      <c r="N1210" s="9" t="s">
        <v>910</v>
      </c>
      <c r="O1210" s="20" t="s">
        <v>4774</v>
      </c>
      <c r="P1210" s="20"/>
      <c r="Q1210" s="11" t="s">
        <v>584</v>
      </c>
      <c r="R1210" s="20" t="s">
        <v>4775</v>
      </c>
      <c r="S1210" s="39" t="s">
        <v>4392</v>
      </c>
      <c r="T1210" s="70" t="s">
        <v>3754</v>
      </c>
      <c r="U1210" s="50" t="s">
        <v>399</v>
      </c>
      <c r="V1210" s="118" t="str">
        <f>+Agencia[[#This Row],[idcoleccion]]&amp;"-"&amp;Agencia[[#This Row],[id]]</f>
        <v>990-1199</v>
      </c>
      <c r="W1210" s="118">
        <f>+VLOOKUP(Agencia[[#This Row],[Filtro URL]],Estructura!$X$4:$Y$500,2,0)</f>
        <v>99200007</v>
      </c>
      <c r="X1210" s="118" t="str">
        <f>+VLOOKUP(Agencia[[#This Row],[tema]],Estructura!$A$4:$C$500,3,0)</f>
        <v>T-1040</v>
      </c>
      <c r="Y1210" s="118" t="str">
        <f>+VLOOKUP(Agencia[[#This Row],[contenido]],Estructura!$E$4:$G$500,3,0)</f>
        <v>C-996</v>
      </c>
      <c r="Z1210" s="118" t="str">
        <f>+VLOOKUP(Agencia[[#This Row],[Filtro Integrado]],Estructura!$I$4:$K$500,3,0)</f>
        <v>FI-993</v>
      </c>
      <c r="AA1210" s="118" t="str">
        <f>+VLOOKUP(Agencia[[#This Row],[Muestra]],Estructura!$M$4:$O$500,3,0)</f>
        <v>M-1090</v>
      </c>
    </row>
    <row r="1211" spans="1:27" ht="57.6" x14ac:dyDescent="0.3">
      <c r="A1211" s="21" t="s">
        <v>3919</v>
      </c>
      <c r="B1211" s="24">
        <v>990</v>
      </c>
      <c r="C1211" s="25" t="s">
        <v>401</v>
      </c>
      <c r="D1211" s="10" t="s">
        <v>462</v>
      </c>
      <c r="E1211" s="19">
        <v>8</v>
      </c>
      <c r="F1211" s="10" t="s">
        <v>906</v>
      </c>
      <c r="G1211" s="10" t="s">
        <v>3762</v>
      </c>
      <c r="H1211" s="35" t="s">
        <v>16</v>
      </c>
      <c r="I1211" s="36" t="s">
        <v>375</v>
      </c>
      <c r="J1211" s="9" t="s">
        <v>404</v>
      </c>
      <c r="K1211" s="9" t="s">
        <v>3869</v>
      </c>
      <c r="L1211" s="9" t="s">
        <v>907</v>
      </c>
      <c r="M1211" s="9" t="s">
        <v>908</v>
      </c>
      <c r="N1211" s="9" t="s">
        <v>910</v>
      </c>
      <c r="O1211" s="20" t="s">
        <v>4776</v>
      </c>
      <c r="P1211" s="20"/>
      <c r="Q1211" s="11" t="s">
        <v>584</v>
      </c>
      <c r="R1211" s="20" t="s">
        <v>4777</v>
      </c>
      <c r="S1211" s="39" t="s">
        <v>4393</v>
      </c>
      <c r="T1211" s="70" t="s">
        <v>3759</v>
      </c>
      <c r="U1211" s="120" t="s">
        <v>399</v>
      </c>
      <c r="V1211" s="118" t="str">
        <f>+Agencia[[#This Row],[idcoleccion]]&amp;"-"&amp;Agencia[[#This Row],[id]]</f>
        <v>990-1200</v>
      </c>
      <c r="W1211" s="118">
        <f>+VLOOKUP(Agencia[[#This Row],[Filtro URL]],Estructura!$X$4:$Y$500,2,0)</f>
        <v>99200008</v>
      </c>
      <c r="X1211" s="118" t="str">
        <f>+VLOOKUP(Agencia[[#This Row],[tema]],Estructura!$A$4:$C$500,3,0)</f>
        <v>T-1040</v>
      </c>
      <c r="Y1211" s="118" t="str">
        <f>+VLOOKUP(Agencia[[#This Row],[contenido]],Estructura!$E$4:$G$500,3,0)</f>
        <v>C-996</v>
      </c>
      <c r="Z1211" s="118" t="str">
        <f>+VLOOKUP(Agencia[[#This Row],[Filtro Integrado]],Estructura!$I$4:$K$500,3,0)</f>
        <v>FI-993</v>
      </c>
      <c r="AA1211" s="118" t="str">
        <f>+VLOOKUP(Agencia[[#This Row],[Muestra]],Estructura!$M$4:$O$500,3,0)</f>
        <v>M-1090</v>
      </c>
    </row>
    <row r="1212" spans="1:27" ht="57.6" x14ac:dyDescent="0.3">
      <c r="A1212" s="21" t="s">
        <v>3920</v>
      </c>
      <c r="B1212" s="24">
        <v>990</v>
      </c>
      <c r="C1212" s="25" t="s">
        <v>401</v>
      </c>
      <c r="D1212" s="10" t="s">
        <v>462</v>
      </c>
      <c r="E1212" s="19">
        <v>9</v>
      </c>
      <c r="F1212" s="10" t="s">
        <v>906</v>
      </c>
      <c r="G1212" s="10" t="s">
        <v>3762</v>
      </c>
      <c r="H1212" s="35" t="s">
        <v>16</v>
      </c>
      <c r="I1212" s="36" t="s">
        <v>376</v>
      </c>
      <c r="J1212" s="9" t="s">
        <v>404</v>
      </c>
      <c r="K1212" s="9" t="s">
        <v>3869</v>
      </c>
      <c r="L1212" s="9" t="s">
        <v>907</v>
      </c>
      <c r="M1212" s="9" t="s">
        <v>908</v>
      </c>
      <c r="N1212" s="9" t="s">
        <v>910</v>
      </c>
      <c r="O1212" s="20" t="s">
        <v>4778</v>
      </c>
      <c r="P1212" s="20"/>
      <c r="Q1212" s="11" t="s">
        <v>584</v>
      </c>
      <c r="R1212" s="20" t="s">
        <v>4779</v>
      </c>
      <c r="S1212" s="39" t="s">
        <v>4394</v>
      </c>
      <c r="T1212" s="70" t="s">
        <v>3750</v>
      </c>
      <c r="U1212" s="50" t="s">
        <v>399</v>
      </c>
      <c r="V1212" s="118" t="str">
        <f>+Agencia[[#This Row],[idcoleccion]]&amp;"-"&amp;Agencia[[#This Row],[id]]</f>
        <v>990-1201</v>
      </c>
      <c r="W1212" s="118">
        <f>+VLOOKUP(Agencia[[#This Row],[Filtro URL]],Estructura!$X$4:$Y$500,2,0)</f>
        <v>99200009</v>
      </c>
      <c r="X1212" s="118" t="str">
        <f>+VLOOKUP(Agencia[[#This Row],[tema]],Estructura!$A$4:$C$500,3,0)</f>
        <v>T-1040</v>
      </c>
      <c r="Y1212" s="118" t="str">
        <f>+VLOOKUP(Agencia[[#This Row],[contenido]],Estructura!$E$4:$G$500,3,0)</f>
        <v>C-996</v>
      </c>
      <c r="Z1212" s="118" t="str">
        <f>+VLOOKUP(Agencia[[#This Row],[Filtro Integrado]],Estructura!$I$4:$K$500,3,0)</f>
        <v>FI-993</v>
      </c>
      <c r="AA1212" s="118" t="str">
        <f>+VLOOKUP(Agencia[[#This Row],[Muestra]],Estructura!$M$4:$O$500,3,0)</f>
        <v>M-1090</v>
      </c>
    </row>
    <row r="1213" spans="1:27" ht="57.6" x14ac:dyDescent="0.3">
      <c r="A1213" s="21" t="s">
        <v>3921</v>
      </c>
      <c r="B1213" s="24">
        <v>990</v>
      </c>
      <c r="C1213" s="25" t="s">
        <v>401</v>
      </c>
      <c r="D1213" s="10" t="s">
        <v>462</v>
      </c>
      <c r="E1213" s="19">
        <v>10</v>
      </c>
      <c r="F1213" s="10" t="s">
        <v>906</v>
      </c>
      <c r="G1213" s="10" t="s">
        <v>3762</v>
      </c>
      <c r="H1213" s="35" t="s">
        <v>16</v>
      </c>
      <c r="I1213" s="36" t="s">
        <v>377</v>
      </c>
      <c r="J1213" s="9" t="s">
        <v>404</v>
      </c>
      <c r="K1213" s="9" t="s">
        <v>3869</v>
      </c>
      <c r="L1213" s="9" t="s">
        <v>907</v>
      </c>
      <c r="M1213" s="9" t="s">
        <v>908</v>
      </c>
      <c r="N1213" s="9" t="s">
        <v>910</v>
      </c>
      <c r="O1213" s="20" t="s">
        <v>4780</v>
      </c>
      <c r="P1213" s="20"/>
      <c r="Q1213" s="11" t="s">
        <v>584</v>
      </c>
      <c r="R1213" s="20" t="s">
        <v>4781</v>
      </c>
      <c r="S1213" s="39" t="s">
        <v>4395</v>
      </c>
      <c r="T1213" s="70" t="s">
        <v>3751</v>
      </c>
      <c r="U1213" s="50" t="s">
        <v>399</v>
      </c>
      <c r="V1213" s="118" t="str">
        <f>+Agencia[[#This Row],[idcoleccion]]&amp;"-"&amp;Agencia[[#This Row],[id]]</f>
        <v>990-1202</v>
      </c>
      <c r="W1213" s="118">
        <f>+VLOOKUP(Agencia[[#This Row],[Filtro URL]],Estructura!$X$4:$Y$500,2,0)</f>
        <v>99200010</v>
      </c>
      <c r="X1213" s="118" t="str">
        <f>+VLOOKUP(Agencia[[#This Row],[tema]],Estructura!$A$4:$C$500,3,0)</f>
        <v>T-1040</v>
      </c>
      <c r="Y1213" s="118" t="str">
        <f>+VLOOKUP(Agencia[[#This Row],[contenido]],Estructura!$E$4:$G$500,3,0)</f>
        <v>C-996</v>
      </c>
      <c r="Z1213" s="118" t="str">
        <f>+VLOOKUP(Agencia[[#This Row],[Filtro Integrado]],Estructura!$I$4:$K$500,3,0)</f>
        <v>FI-993</v>
      </c>
      <c r="AA1213" s="118" t="str">
        <f>+VLOOKUP(Agencia[[#This Row],[Muestra]],Estructura!$M$4:$O$500,3,0)</f>
        <v>M-1090</v>
      </c>
    </row>
    <row r="1214" spans="1:27" ht="57.6" x14ac:dyDescent="0.3">
      <c r="A1214" s="21" t="s">
        <v>3922</v>
      </c>
      <c r="B1214" s="24">
        <v>990</v>
      </c>
      <c r="C1214" s="25" t="s">
        <v>401</v>
      </c>
      <c r="D1214" s="10" t="s">
        <v>462</v>
      </c>
      <c r="E1214" s="19">
        <v>11</v>
      </c>
      <c r="F1214" s="10" t="s">
        <v>906</v>
      </c>
      <c r="G1214" s="10" t="s">
        <v>3762</v>
      </c>
      <c r="H1214" s="35" t="s">
        <v>16</v>
      </c>
      <c r="I1214" s="36" t="s">
        <v>378</v>
      </c>
      <c r="J1214" s="9" t="s">
        <v>404</v>
      </c>
      <c r="K1214" s="9" t="s">
        <v>3869</v>
      </c>
      <c r="L1214" s="9" t="s">
        <v>907</v>
      </c>
      <c r="M1214" s="9" t="s">
        <v>908</v>
      </c>
      <c r="N1214" s="9" t="s">
        <v>910</v>
      </c>
      <c r="O1214" s="20" t="s">
        <v>4782</v>
      </c>
      <c r="P1214" s="20"/>
      <c r="Q1214" s="11" t="s">
        <v>584</v>
      </c>
      <c r="R1214" s="20" t="s">
        <v>4783</v>
      </c>
      <c r="S1214" s="39" t="s">
        <v>4396</v>
      </c>
      <c r="T1214" s="70" t="s">
        <v>3748</v>
      </c>
      <c r="U1214" s="120" t="s">
        <v>399</v>
      </c>
      <c r="V1214" s="118" t="str">
        <f>+Agencia[[#This Row],[idcoleccion]]&amp;"-"&amp;Agencia[[#This Row],[id]]</f>
        <v>990-1203</v>
      </c>
      <c r="W1214" s="118">
        <f>+VLOOKUP(Agencia[[#This Row],[Filtro URL]],Estructura!$X$4:$Y$500,2,0)</f>
        <v>99200011</v>
      </c>
      <c r="X1214" s="118" t="str">
        <f>+VLOOKUP(Agencia[[#This Row],[tema]],Estructura!$A$4:$C$500,3,0)</f>
        <v>T-1040</v>
      </c>
      <c r="Y1214" s="118" t="str">
        <f>+VLOOKUP(Agencia[[#This Row],[contenido]],Estructura!$E$4:$G$500,3,0)</f>
        <v>C-996</v>
      </c>
      <c r="Z1214" s="118" t="str">
        <f>+VLOOKUP(Agencia[[#This Row],[Filtro Integrado]],Estructura!$I$4:$K$500,3,0)</f>
        <v>FI-993</v>
      </c>
      <c r="AA1214" s="118" t="str">
        <f>+VLOOKUP(Agencia[[#This Row],[Muestra]],Estructura!$M$4:$O$500,3,0)</f>
        <v>M-1090</v>
      </c>
    </row>
    <row r="1215" spans="1:27" ht="57.6" x14ac:dyDescent="0.3">
      <c r="A1215" s="21" t="s">
        <v>3923</v>
      </c>
      <c r="B1215" s="24">
        <v>990</v>
      </c>
      <c r="C1215" s="25" t="s">
        <v>401</v>
      </c>
      <c r="D1215" s="10" t="s">
        <v>462</v>
      </c>
      <c r="E1215" s="19">
        <v>12</v>
      </c>
      <c r="F1215" s="10" t="s">
        <v>906</v>
      </c>
      <c r="G1215" s="10" t="s">
        <v>3762</v>
      </c>
      <c r="H1215" s="35" t="s">
        <v>16</v>
      </c>
      <c r="I1215" s="36" t="s">
        <v>379</v>
      </c>
      <c r="J1215" s="9" t="s">
        <v>404</v>
      </c>
      <c r="K1215" s="9" t="s">
        <v>3869</v>
      </c>
      <c r="L1215" s="9" t="s">
        <v>907</v>
      </c>
      <c r="M1215" s="9" t="s">
        <v>908</v>
      </c>
      <c r="N1215" s="9" t="s">
        <v>910</v>
      </c>
      <c r="O1215" s="20" t="s">
        <v>4784</v>
      </c>
      <c r="P1215" s="20"/>
      <c r="Q1215" s="11" t="s">
        <v>584</v>
      </c>
      <c r="R1215" s="20" t="s">
        <v>4785</v>
      </c>
      <c r="S1215" s="39" t="s">
        <v>4397</v>
      </c>
      <c r="T1215" s="70" t="s">
        <v>3753</v>
      </c>
      <c r="U1215" s="50" t="s">
        <v>399</v>
      </c>
      <c r="V1215" s="118" t="str">
        <f>+Agencia[[#This Row],[idcoleccion]]&amp;"-"&amp;Agencia[[#This Row],[id]]</f>
        <v>990-1204</v>
      </c>
      <c r="W1215" s="118">
        <f>+VLOOKUP(Agencia[[#This Row],[Filtro URL]],Estructura!$X$4:$Y$500,2,0)</f>
        <v>99200012</v>
      </c>
      <c r="X1215" s="118" t="str">
        <f>+VLOOKUP(Agencia[[#This Row],[tema]],Estructura!$A$4:$C$500,3,0)</f>
        <v>T-1040</v>
      </c>
      <c r="Y1215" s="118" t="str">
        <f>+VLOOKUP(Agencia[[#This Row],[contenido]],Estructura!$E$4:$G$500,3,0)</f>
        <v>C-996</v>
      </c>
      <c r="Z1215" s="118" t="str">
        <f>+VLOOKUP(Agencia[[#This Row],[Filtro Integrado]],Estructura!$I$4:$K$500,3,0)</f>
        <v>FI-993</v>
      </c>
      <c r="AA1215" s="118" t="str">
        <f>+VLOOKUP(Agencia[[#This Row],[Muestra]],Estructura!$M$4:$O$500,3,0)</f>
        <v>M-1090</v>
      </c>
    </row>
    <row r="1216" spans="1:27" ht="57.6" x14ac:dyDescent="0.3">
      <c r="A1216" s="21" t="s">
        <v>3924</v>
      </c>
      <c r="B1216" s="24">
        <v>990</v>
      </c>
      <c r="C1216" s="25" t="s">
        <v>401</v>
      </c>
      <c r="D1216" s="10" t="s">
        <v>462</v>
      </c>
      <c r="E1216" s="19">
        <v>13</v>
      </c>
      <c r="F1216" s="10" t="s">
        <v>906</v>
      </c>
      <c r="G1216" s="10" t="s">
        <v>3762</v>
      </c>
      <c r="H1216" s="35" t="s">
        <v>16</v>
      </c>
      <c r="I1216" s="36" t="s">
        <v>380</v>
      </c>
      <c r="J1216" s="9" t="s">
        <v>404</v>
      </c>
      <c r="K1216" s="9" t="s">
        <v>3869</v>
      </c>
      <c r="L1216" s="9" t="s">
        <v>907</v>
      </c>
      <c r="M1216" s="9" t="s">
        <v>908</v>
      </c>
      <c r="N1216" s="9" t="s">
        <v>910</v>
      </c>
      <c r="O1216" s="20" t="s">
        <v>4786</v>
      </c>
      <c r="P1216" s="20"/>
      <c r="Q1216" s="11" t="s">
        <v>584</v>
      </c>
      <c r="R1216" s="20" t="s">
        <v>4787</v>
      </c>
      <c r="S1216" s="39" t="s">
        <v>4398</v>
      </c>
      <c r="T1216" s="70" t="s">
        <v>3760</v>
      </c>
      <c r="U1216" s="50" t="s">
        <v>399</v>
      </c>
      <c r="V1216" s="118" t="str">
        <f>+Agencia[[#This Row],[idcoleccion]]&amp;"-"&amp;Agencia[[#This Row],[id]]</f>
        <v>990-1205</v>
      </c>
      <c r="W1216" s="118">
        <f>+VLOOKUP(Agencia[[#This Row],[Filtro URL]],Estructura!$X$4:$Y$500,2,0)</f>
        <v>99200013</v>
      </c>
      <c r="X1216" s="118" t="str">
        <f>+VLOOKUP(Agencia[[#This Row],[tema]],Estructura!$A$4:$C$500,3,0)</f>
        <v>T-1040</v>
      </c>
      <c r="Y1216" s="118" t="str">
        <f>+VLOOKUP(Agencia[[#This Row],[contenido]],Estructura!$E$4:$G$500,3,0)</f>
        <v>C-996</v>
      </c>
      <c r="Z1216" s="118" t="str">
        <f>+VLOOKUP(Agencia[[#This Row],[Filtro Integrado]],Estructura!$I$4:$K$500,3,0)</f>
        <v>FI-993</v>
      </c>
      <c r="AA1216" s="118" t="str">
        <f>+VLOOKUP(Agencia[[#This Row],[Muestra]],Estructura!$M$4:$O$500,3,0)</f>
        <v>M-1090</v>
      </c>
    </row>
    <row r="1217" spans="1:27" ht="57.6" x14ac:dyDescent="0.3">
      <c r="A1217" s="21" t="s">
        <v>3925</v>
      </c>
      <c r="B1217" s="24">
        <v>990</v>
      </c>
      <c r="C1217" s="25" t="s">
        <v>401</v>
      </c>
      <c r="D1217" s="10" t="s">
        <v>462</v>
      </c>
      <c r="E1217" s="19">
        <v>14</v>
      </c>
      <c r="F1217" s="10" t="s">
        <v>906</v>
      </c>
      <c r="G1217" s="10" t="s">
        <v>3762</v>
      </c>
      <c r="H1217" s="35" t="s">
        <v>16</v>
      </c>
      <c r="I1217" s="36" t="s">
        <v>381</v>
      </c>
      <c r="J1217" s="9" t="s">
        <v>404</v>
      </c>
      <c r="K1217" s="9" t="s">
        <v>3869</v>
      </c>
      <c r="L1217" s="9" t="s">
        <v>907</v>
      </c>
      <c r="M1217" s="9" t="s">
        <v>908</v>
      </c>
      <c r="N1217" s="9" t="s">
        <v>910</v>
      </c>
      <c r="O1217" s="20" t="s">
        <v>4788</v>
      </c>
      <c r="P1217" s="20"/>
      <c r="Q1217" s="11" t="s">
        <v>584</v>
      </c>
      <c r="R1217" s="20" t="s">
        <v>4789</v>
      </c>
      <c r="S1217" s="39" t="s">
        <v>4399</v>
      </c>
      <c r="T1217" s="70" t="s">
        <v>3752</v>
      </c>
      <c r="U1217" s="120" t="s">
        <v>399</v>
      </c>
      <c r="V1217" s="118" t="str">
        <f>+Agencia[[#This Row],[idcoleccion]]&amp;"-"&amp;Agencia[[#This Row],[id]]</f>
        <v>990-1206</v>
      </c>
      <c r="W1217" s="118">
        <f>+VLOOKUP(Agencia[[#This Row],[Filtro URL]],Estructura!$X$4:$Y$500,2,0)</f>
        <v>99200014</v>
      </c>
      <c r="X1217" s="118" t="str">
        <f>+VLOOKUP(Agencia[[#This Row],[tema]],Estructura!$A$4:$C$500,3,0)</f>
        <v>T-1040</v>
      </c>
      <c r="Y1217" s="118" t="str">
        <f>+VLOOKUP(Agencia[[#This Row],[contenido]],Estructura!$E$4:$G$500,3,0)</f>
        <v>C-996</v>
      </c>
      <c r="Z1217" s="118" t="str">
        <f>+VLOOKUP(Agencia[[#This Row],[Filtro Integrado]],Estructura!$I$4:$K$500,3,0)</f>
        <v>FI-993</v>
      </c>
      <c r="AA1217" s="118" t="str">
        <f>+VLOOKUP(Agencia[[#This Row],[Muestra]],Estructura!$M$4:$O$500,3,0)</f>
        <v>M-1090</v>
      </c>
    </row>
    <row r="1218" spans="1:27" ht="57.6" x14ac:dyDescent="0.3">
      <c r="A1218" s="21" t="s">
        <v>3926</v>
      </c>
      <c r="B1218" s="24">
        <v>990</v>
      </c>
      <c r="C1218" s="25" t="s">
        <v>401</v>
      </c>
      <c r="D1218" s="10" t="s">
        <v>462</v>
      </c>
      <c r="E1218" s="19">
        <v>15</v>
      </c>
      <c r="F1218" s="10" t="s">
        <v>906</v>
      </c>
      <c r="G1218" s="10" t="s">
        <v>3762</v>
      </c>
      <c r="H1218" s="35" t="s">
        <v>16</v>
      </c>
      <c r="I1218" s="36" t="s">
        <v>382</v>
      </c>
      <c r="J1218" s="9" t="s">
        <v>404</v>
      </c>
      <c r="K1218" s="9" t="s">
        <v>3869</v>
      </c>
      <c r="L1218" s="9" t="s">
        <v>907</v>
      </c>
      <c r="M1218" s="9" t="s">
        <v>908</v>
      </c>
      <c r="N1218" s="9" t="s">
        <v>910</v>
      </c>
      <c r="O1218" s="20" t="s">
        <v>4790</v>
      </c>
      <c r="P1218" s="20"/>
      <c r="Q1218" s="11" t="s">
        <v>584</v>
      </c>
      <c r="R1218" s="20" t="s">
        <v>4791</v>
      </c>
      <c r="S1218" s="39" t="s">
        <v>4400</v>
      </c>
      <c r="T1218" s="70" t="s">
        <v>3746</v>
      </c>
      <c r="U1218" s="50" t="s">
        <v>399</v>
      </c>
      <c r="V1218" s="118" t="str">
        <f>+Agencia[[#This Row],[idcoleccion]]&amp;"-"&amp;Agencia[[#This Row],[id]]</f>
        <v>990-1207</v>
      </c>
      <c r="W1218" s="118">
        <f>+VLOOKUP(Agencia[[#This Row],[Filtro URL]],Estructura!$X$4:$Y$500,2,0)</f>
        <v>99200015</v>
      </c>
      <c r="X1218" s="118" t="str">
        <f>+VLOOKUP(Agencia[[#This Row],[tema]],Estructura!$A$4:$C$500,3,0)</f>
        <v>T-1040</v>
      </c>
      <c r="Y1218" s="118" t="str">
        <f>+VLOOKUP(Agencia[[#This Row],[contenido]],Estructura!$E$4:$G$500,3,0)</f>
        <v>C-996</v>
      </c>
      <c r="Z1218" s="118" t="str">
        <f>+VLOOKUP(Agencia[[#This Row],[Filtro Integrado]],Estructura!$I$4:$K$500,3,0)</f>
        <v>FI-993</v>
      </c>
      <c r="AA1218" s="118" t="str">
        <f>+VLOOKUP(Agencia[[#This Row],[Muestra]],Estructura!$M$4:$O$500,3,0)</f>
        <v>M-1090</v>
      </c>
    </row>
    <row r="1219" spans="1:27" ht="57.6" x14ac:dyDescent="0.3">
      <c r="A1219" s="21" t="s">
        <v>3927</v>
      </c>
      <c r="B1219" s="24">
        <v>990</v>
      </c>
      <c r="C1219" s="25" t="s">
        <v>401</v>
      </c>
      <c r="D1219" s="10" t="s">
        <v>462</v>
      </c>
      <c r="E1219" s="19">
        <v>16</v>
      </c>
      <c r="F1219" s="10" t="s">
        <v>906</v>
      </c>
      <c r="G1219" s="10" t="s">
        <v>3762</v>
      </c>
      <c r="H1219" s="35" t="s">
        <v>16</v>
      </c>
      <c r="I1219" s="36" t="s">
        <v>383</v>
      </c>
      <c r="J1219" s="9" t="s">
        <v>404</v>
      </c>
      <c r="K1219" s="9" t="s">
        <v>3869</v>
      </c>
      <c r="L1219" s="9" t="s">
        <v>907</v>
      </c>
      <c r="M1219" s="9" t="s">
        <v>908</v>
      </c>
      <c r="N1219" s="9" t="s">
        <v>910</v>
      </c>
      <c r="O1219" s="20" t="s">
        <v>4792</v>
      </c>
      <c r="P1219" s="20"/>
      <c r="Q1219" s="11" t="s">
        <v>584</v>
      </c>
      <c r="R1219" s="20" t="s">
        <v>4793</v>
      </c>
      <c r="S1219" s="39" t="s">
        <v>4794</v>
      </c>
      <c r="T1219" s="70" t="s">
        <v>3755</v>
      </c>
      <c r="U1219" s="50" t="s">
        <v>399</v>
      </c>
      <c r="V1219" s="118" t="str">
        <f>+Agencia[[#This Row],[idcoleccion]]&amp;"-"&amp;Agencia[[#This Row],[id]]</f>
        <v>990-1208</v>
      </c>
      <c r="W1219" s="118">
        <f>+VLOOKUP(Agencia[[#This Row],[Filtro URL]],Estructura!$X$4:$Y$500,2,0)</f>
        <v>99200016</v>
      </c>
      <c r="X1219" s="118" t="str">
        <f>+VLOOKUP(Agencia[[#This Row],[tema]],Estructura!$A$4:$C$500,3,0)</f>
        <v>T-1040</v>
      </c>
      <c r="Y1219" s="118" t="str">
        <f>+VLOOKUP(Agencia[[#This Row],[contenido]],Estructura!$E$4:$G$500,3,0)</f>
        <v>C-996</v>
      </c>
      <c r="Z1219" s="118" t="str">
        <f>+VLOOKUP(Agencia[[#This Row],[Filtro Integrado]],Estructura!$I$4:$K$500,3,0)</f>
        <v>FI-993</v>
      </c>
      <c r="AA1219" s="118" t="str">
        <f>+VLOOKUP(Agencia[[#This Row],[Muestra]],Estructura!$M$4:$O$500,3,0)</f>
        <v>M-1090</v>
      </c>
    </row>
    <row r="1220" spans="1:27" ht="61.2" x14ac:dyDescent="0.3">
      <c r="A1220" s="21" t="s">
        <v>3928</v>
      </c>
      <c r="B1220" s="24">
        <v>990</v>
      </c>
      <c r="C1220" s="25" t="s">
        <v>401</v>
      </c>
      <c r="D1220" s="10" t="s">
        <v>574</v>
      </c>
      <c r="E1220" s="14">
        <v>0</v>
      </c>
      <c r="F1220" s="10" t="s">
        <v>3802</v>
      </c>
      <c r="G1220" s="10" t="s">
        <v>3802</v>
      </c>
      <c r="H1220" s="33" t="s">
        <v>20</v>
      </c>
      <c r="I1220" s="34" t="s">
        <v>15</v>
      </c>
      <c r="J1220" s="9" t="s">
        <v>16</v>
      </c>
      <c r="K1220" s="9" t="s">
        <v>3824</v>
      </c>
      <c r="L1220" s="9" t="s">
        <v>614</v>
      </c>
      <c r="M1220" s="9" t="s">
        <v>3804</v>
      </c>
      <c r="N1220" s="9" t="s">
        <v>910</v>
      </c>
      <c r="O1220" s="20" t="s">
        <v>4795</v>
      </c>
      <c r="P1220" s="20" t="s">
        <v>3886</v>
      </c>
      <c r="Q1220" s="11" t="s">
        <v>584</v>
      </c>
      <c r="R1220" s="20" t="s">
        <v>4796</v>
      </c>
      <c r="S1220" s="39" t="s">
        <v>3887</v>
      </c>
      <c r="T1220" s="70" t="s">
        <v>855</v>
      </c>
      <c r="U1220" s="120" t="s">
        <v>399</v>
      </c>
      <c r="V1220" s="118" t="str">
        <f>+Agencia[[#This Row],[idcoleccion]]&amp;"-"&amp;Agencia[[#This Row],[id]]</f>
        <v>990-1209</v>
      </c>
      <c r="W1220" s="118">
        <f>+VLOOKUP(Agencia[[#This Row],[Filtro URL]],Estructura!$X$4:$Y$500,2,0)</f>
        <v>99100000</v>
      </c>
      <c r="X1220" s="118" t="str">
        <f>+VLOOKUP(Agencia[[#This Row],[tema]],Estructura!$A$4:$C$500,3,0)</f>
        <v>T-1047</v>
      </c>
      <c r="Y1220" s="118" t="str">
        <f>+VLOOKUP(Agencia[[#This Row],[contenido]],Estructura!$E$4:$G$500,3,0)</f>
        <v>C-1013</v>
      </c>
      <c r="Z1220" s="118" t="str">
        <f>+VLOOKUP(Agencia[[#This Row],[Filtro Integrado]],Estructura!$I$4:$K$500,3,0)</f>
        <v>FI-992</v>
      </c>
      <c r="AA1220" s="118" t="str">
        <f>+VLOOKUP(Agencia[[#This Row],[Muestra]],Estructura!$M$4:$O$500,3,0)</f>
        <v>M-1088</v>
      </c>
    </row>
    <row r="1221" spans="1:27" ht="57.6" x14ac:dyDescent="0.3">
      <c r="A1221" s="21" t="s">
        <v>3929</v>
      </c>
      <c r="B1221" s="24">
        <v>990</v>
      </c>
      <c r="C1221" s="25" t="s">
        <v>401</v>
      </c>
      <c r="D1221" s="10" t="s">
        <v>574</v>
      </c>
      <c r="E1221" s="19">
        <v>1</v>
      </c>
      <c r="F1221" s="10" t="s">
        <v>3802</v>
      </c>
      <c r="G1221" s="10" t="s">
        <v>3802</v>
      </c>
      <c r="H1221" s="35" t="s">
        <v>16</v>
      </c>
      <c r="I1221" s="36" t="s">
        <v>368</v>
      </c>
      <c r="J1221" s="9" t="s">
        <v>404</v>
      </c>
      <c r="K1221" s="9" t="s">
        <v>3824</v>
      </c>
      <c r="L1221" s="9" t="s">
        <v>614</v>
      </c>
      <c r="M1221" s="9" t="s">
        <v>3804</v>
      </c>
      <c r="N1221" s="9" t="s">
        <v>910</v>
      </c>
      <c r="O1221" s="20" t="s">
        <v>4797</v>
      </c>
      <c r="P1221" s="20"/>
      <c r="Q1221" s="11" t="s">
        <v>584</v>
      </c>
      <c r="R1221" s="20" t="s">
        <v>4798</v>
      </c>
      <c r="S1221" s="39" t="s">
        <v>4401</v>
      </c>
      <c r="T1221" s="70" t="s">
        <v>3757</v>
      </c>
      <c r="U1221" s="50" t="s">
        <v>399</v>
      </c>
      <c r="V1221" s="118" t="str">
        <f>+Agencia[[#This Row],[idcoleccion]]&amp;"-"&amp;Agencia[[#This Row],[id]]</f>
        <v>990-1210</v>
      </c>
      <c r="W1221" s="118">
        <f>+VLOOKUP(Agencia[[#This Row],[Filtro URL]],Estructura!$X$4:$Y$500,2,0)</f>
        <v>99200001</v>
      </c>
      <c r="X1221" s="118" t="str">
        <f>+VLOOKUP(Agencia[[#This Row],[tema]],Estructura!$A$4:$C$500,3,0)</f>
        <v>T-1047</v>
      </c>
      <c r="Y1221" s="118" t="str">
        <f>+VLOOKUP(Agencia[[#This Row],[contenido]],Estructura!$E$4:$G$500,3,0)</f>
        <v>C-1013</v>
      </c>
      <c r="Z1221" s="118" t="str">
        <f>+VLOOKUP(Agencia[[#This Row],[Filtro Integrado]],Estructura!$I$4:$K$500,3,0)</f>
        <v>FI-993</v>
      </c>
      <c r="AA1221" s="118" t="str">
        <f>+VLOOKUP(Agencia[[#This Row],[Muestra]],Estructura!$M$4:$O$500,3,0)</f>
        <v>M-1088</v>
      </c>
    </row>
    <row r="1222" spans="1:27" ht="57.6" x14ac:dyDescent="0.3">
      <c r="A1222" s="21" t="s">
        <v>3932</v>
      </c>
      <c r="B1222" s="24">
        <v>990</v>
      </c>
      <c r="C1222" s="25" t="s">
        <v>401</v>
      </c>
      <c r="D1222" s="10" t="s">
        <v>574</v>
      </c>
      <c r="E1222" s="19">
        <v>2</v>
      </c>
      <c r="F1222" s="10" t="s">
        <v>3802</v>
      </c>
      <c r="G1222" s="10" t="s">
        <v>3802</v>
      </c>
      <c r="H1222" s="35" t="s">
        <v>16</v>
      </c>
      <c r="I1222" s="36" t="s">
        <v>369</v>
      </c>
      <c r="J1222" s="9" t="s">
        <v>404</v>
      </c>
      <c r="K1222" s="9" t="s">
        <v>3824</v>
      </c>
      <c r="L1222" s="9" t="s">
        <v>614</v>
      </c>
      <c r="M1222" s="9" t="s">
        <v>3804</v>
      </c>
      <c r="N1222" s="9" t="s">
        <v>910</v>
      </c>
      <c r="O1222" s="20" t="s">
        <v>4799</v>
      </c>
      <c r="P1222" s="20"/>
      <c r="Q1222" s="11" t="s">
        <v>584</v>
      </c>
      <c r="R1222" s="20" t="s">
        <v>4800</v>
      </c>
      <c r="S1222" s="39" t="s">
        <v>4402</v>
      </c>
      <c r="T1222" s="70" t="s">
        <v>3745</v>
      </c>
      <c r="U1222" s="50" t="s">
        <v>399</v>
      </c>
      <c r="V1222" s="118" t="str">
        <f>+Agencia[[#This Row],[idcoleccion]]&amp;"-"&amp;Agencia[[#This Row],[id]]</f>
        <v>990-1211</v>
      </c>
      <c r="W1222" s="118">
        <f>+VLOOKUP(Agencia[[#This Row],[Filtro URL]],Estructura!$X$4:$Y$500,2,0)</f>
        <v>99200002</v>
      </c>
      <c r="X1222" s="118" t="str">
        <f>+VLOOKUP(Agencia[[#This Row],[tema]],Estructura!$A$4:$C$500,3,0)</f>
        <v>T-1047</v>
      </c>
      <c r="Y1222" s="118" t="str">
        <f>+VLOOKUP(Agencia[[#This Row],[contenido]],Estructura!$E$4:$G$500,3,0)</f>
        <v>C-1013</v>
      </c>
      <c r="Z1222" s="118" t="str">
        <f>+VLOOKUP(Agencia[[#This Row],[Filtro Integrado]],Estructura!$I$4:$K$500,3,0)</f>
        <v>FI-993</v>
      </c>
      <c r="AA1222" s="118" t="str">
        <f>+VLOOKUP(Agencia[[#This Row],[Muestra]],Estructura!$M$4:$O$500,3,0)</f>
        <v>M-1088</v>
      </c>
    </row>
    <row r="1223" spans="1:27" ht="57.6" x14ac:dyDescent="0.3">
      <c r="A1223" s="21" t="s">
        <v>3933</v>
      </c>
      <c r="B1223" s="24">
        <v>990</v>
      </c>
      <c r="C1223" s="25" t="s">
        <v>401</v>
      </c>
      <c r="D1223" s="10" t="s">
        <v>574</v>
      </c>
      <c r="E1223" s="19">
        <v>3</v>
      </c>
      <c r="F1223" s="10" t="s">
        <v>3802</v>
      </c>
      <c r="G1223" s="10" t="s">
        <v>3802</v>
      </c>
      <c r="H1223" s="35" t="s">
        <v>16</v>
      </c>
      <c r="I1223" s="36" t="s">
        <v>370</v>
      </c>
      <c r="J1223" s="9" t="s">
        <v>404</v>
      </c>
      <c r="K1223" s="9" t="s">
        <v>3824</v>
      </c>
      <c r="L1223" s="9" t="s">
        <v>614</v>
      </c>
      <c r="M1223" s="9" t="s">
        <v>3804</v>
      </c>
      <c r="N1223" s="9" t="s">
        <v>910</v>
      </c>
      <c r="O1223" s="20" t="s">
        <v>4801</v>
      </c>
      <c r="P1223" s="20"/>
      <c r="Q1223" s="11" t="s">
        <v>584</v>
      </c>
      <c r="R1223" s="20" t="s">
        <v>4802</v>
      </c>
      <c r="S1223" s="39" t="s">
        <v>4403</v>
      </c>
      <c r="T1223" s="70" t="s">
        <v>3747</v>
      </c>
      <c r="U1223" s="120" t="s">
        <v>399</v>
      </c>
      <c r="V1223" s="118" t="str">
        <f>+Agencia[[#This Row],[idcoleccion]]&amp;"-"&amp;Agencia[[#This Row],[id]]</f>
        <v>990-1212</v>
      </c>
      <c r="W1223" s="118">
        <f>+VLOOKUP(Agencia[[#This Row],[Filtro URL]],Estructura!$X$4:$Y$500,2,0)</f>
        <v>99200003</v>
      </c>
      <c r="X1223" s="118" t="str">
        <f>+VLOOKUP(Agencia[[#This Row],[tema]],Estructura!$A$4:$C$500,3,0)</f>
        <v>T-1047</v>
      </c>
      <c r="Y1223" s="118" t="str">
        <f>+VLOOKUP(Agencia[[#This Row],[contenido]],Estructura!$E$4:$G$500,3,0)</f>
        <v>C-1013</v>
      </c>
      <c r="Z1223" s="118" t="str">
        <f>+VLOOKUP(Agencia[[#This Row],[Filtro Integrado]],Estructura!$I$4:$K$500,3,0)</f>
        <v>FI-993</v>
      </c>
      <c r="AA1223" s="118" t="str">
        <f>+VLOOKUP(Agencia[[#This Row],[Muestra]],Estructura!$M$4:$O$500,3,0)</f>
        <v>M-1088</v>
      </c>
    </row>
    <row r="1224" spans="1:27" ht="57.6" x14ac:dyDescent="0.3">
      <c r="A1224" s="21" t="s">
        <v>3934</v>
      </c>
      <c r="B1224" s="24">
        <v>990</v>
      </c>
      <c r="C1224" s="25" t="s">
        <v>401</v>
      </c>
      <c r="D1224" s="10" t="s">
        <v>574</v>
      </c>
      <c r="E1224" s="19">
        <v>4</v>
      </c>
      <c r="F1224" s="10" t="s">
        <v>3802</v>
      </c>
      <c r="G1224" s="10" t="s">
        <v>3802</v>
      </c>
      <c r="H1224" s="35" t="s">
        <v>16</v>
      </c>
      <c r="I1224" s="36" t="s">
        <v>371</v>
      </c>
      <c r="J1224" s="9" t="s">
        <v>404</v>
      </c>
      <c r="K1224" s="9" t="s">
        <v>3824</v>
      </c>
      <c r="L1224" s="9" t="s">
        <v>614</v>
      </c>
      <c r="M1224" s="9" t="s">
        <v>3804</v>
      </c>
      <c r="N1224" s="9" t="s">
        <v>910</v>
      </c>
      <c r="O1224" s="20" t="s">
        <v>4803</v>
      </c>
      <c r="P1224" s="20"/>
      <c r="Q1224" s="11" t="s">
        <v>584</v>
      </c>
      <c r="R1224" s="20" t="s">
        <v>4804</v>
      </c>
      <c r="S1224" s="39" t="s">
        <v>4404</v>
      </c>
      <c r="T1224" s="70" t="s">
        <v>3749</v>
      </c>
      <c r="U1224" s="50" t="s">
        <v>399</v>
      </c>
      <c r="V1224" s="118" t="str">
        <f>+Agencia[[#This Row],[idcoleccion]]&amp;"-"&amp;Agencia[[#This Row],[id]]</f>
        <v>990-1213</v>
      </c>
      <c r="W1224" s="118">
        <f>+VLOOKUP(Agencia[[#This Row],[Filtro URL]],Estructura!$X$4:$Y$500,2,0)</f>
        <v>99200004</v>
      </c>
      <c r="X1224" s="118" t="str">
        <f>+VLOOKUP(Agencia[[#This Row],[tema]],Estructura!$A$4:$C$500,3,0)</f>
        <v>T-1047</v>
      </c>
      <c r="Y1224" s="118" t="str">
        <f>+VLOOKUP(Agencia[[#This Row],[contenido]],Estructura!$E$4:$G$500,3,0)</f>
        <v>C-1013</v>
      </c>
      <c r="Z1224" s="118" t="str">
        <f>+VLOOKUP(Agencia[[#This Row],[Filtro Integrado]],Estructura!$I$4:$K$500,3,0)</f>
        <v>FI-993</v>
      </c>
      <c r="AA1224" s="118" t="str">
        <f>+VLOOKUP(Agencia[[#This Row],[Muestra]],Estructura!$M$4:$O$500,3,0)</f>
        <v>M-1088</v>
      </c>
    </row>
    <row r="1225" spans="1:27" ht="57.6" x14ac:dyDescent="0.3">
      <c r="A1225" s="21" t="s">
        <v>3935</v>
      </c>
      <c r="B1225" s="24">
        <v>990</v>
      </c>
      <c r="C1225" s="25" t="s">
        <v>401</v>
      </c>
      <c r="D1225" s="10" t="s">
        <v>574</v>
      </c>
      <c r="E1225" s="19">
        <v>5</v>
      </c>
      <c r="F1225" s="10" t="s">
        <v>3802</v>
      </c>
      <c r="G1225" s="10" t="s">
        <v>3802</v>
      </c>
      <c r="H1225" s="35" t="s">
        <v>16</v>
      </c>
      <c r="I1225" s="36" t="s">
        <v>372</v>
      </c>
      <c r="J1225" s="9" t="s">
        <v>404</v>
      </c>
      <c r="K1225" s="9" t="s">
        <v>3824</v>
      </c>
      <c r="L1225" s="9" t="s">
        <v>614</v>
      </c>
      <c r="M1225" s="9" t="s">
        <v>3804</v>
      </c>
      <c r="N1225" s="9" t="s">
        <v>910</v>
      </c>
      <c r="O1225" s="20" t="s">
        <v>4805</v>
      </c>
      <c r="P1225" s="20"/>
      <c r="Q1225" s="11" t="s">
        <v>584</v>
      </c>
      <c r="R1225" s="20" t="s">
        <v>4806</v>
      </c>
      <c r="S1225" s="39" t="s">
        <v>4405</v>
      </c>
      <c r="T1225" s="70" t="s">
        <v>3758</v>
      </c>
      <c r="U1225" s="50" t="s">
        <v>399</v>
      </c>
      <c r="V1225" s="118" t="str">
        <f>+Agencia[[#This Row],[idcoleccion]]&amp;"-"&amp;Agencia[[#This Row],[id]]</f>
        <v>990-1214</v>
      </c>
      <c r="W1225" s="118">
        <f>+VLOOKUP(Agencia[[#This Row],[Filtro URL]],Estructura!$X$4:$Y$500,2,0)</f>
        <v>99200005</v>
      </c>
      <c r="X1225" s="118" t="str">
        <f>+VLOOKUP(Agencia[[#This Row],[tema]],Estructura!$A$4:$C$500,3,0)</f>
        <v>T-1047</v>
      </c>
      <c r="Y1225" s="118" t="str">
        <f>+VLOOKUP(Agencia[[#This Row],[contenido]],Estructura!$E$4:$G$500,3,0)</f>
        <v>C-1013</v>
      </c>
      <c r="Z1225" s="118" t="str">
        <f>+VLOOKUP(Agencia[[#This Row],[Filtro Integrado]],Estructura!$I$4:$K$500,3,0)</f>
        <v>FI-993</v>
      </c>
      <c r="AA1225" s="118" t="str">
        <f>+VLOOKUP(Agencia[[#This Row],[Muestra]],Estructura!$M$4:$O$500,3,0)</f>
        <v>M-1088</v>
      </c>
    </row>
    <row r="1226" spans="1:27" ht="57.6" x14ac:dyDescent="0.3">
      <c r="A1226" s="21" t="s">
        <v>3936</v>
      </c>
      <c r="B1226" s="24">
        <v>990</v>
      </c>
      <c r="C1226" s="25" t="s">
        <v>401</v>
      </c>
      <c r="D1226" s="10" t="s">
        <v>574</v>
      </c>
      <c r="E1226" s="19">
        <v>6</v>
      </c>
      <c r="F1226" s="10" t="s">
        <v>3802</v>
      </c>
      <c r="G1226" s="10" t="s">
        <v>3802</v>
      </c>
      <c r="H1226" s="35" t="s">
        <v>16</v>
      </c>
      <c r="I1226" s="36" t="s">
        <v>373</v>
      </c>
      <c r="J1226" s="9" t="s">
        <v>404</v>
      </c>
      <c r="K1226" s="9" t="s">
        <v>3824</v>
      </c>
      <c r="L1226" s="9" t="s">
        <v>614</v>
      </c>
      <c r="M1226" s="9" t="s">
        <v>3804</v>
      </c>
      <c r="N1226" s="9" t="s">
        <v>910</v>
      </c>
      <c r="O1226" s="20" t="s">
        <v>4807</v>
      </c>
      <c r="P1226" s="20"/>
      <c r="Q1226" s="11" t="s">
        <v>584</v>
      </c>
      <c r="R1226" s="20" t="s">
        <v>4808</v>
      </c>
      <c r="S1226" s="39" t="s">
        <v>4406</v>
      </c>
      <c r="T1226" s="70" t="s">
        <v>3756</v>
      </c>
      <c r="U1226" s="120" t="s">
        <v>399</v>
      </c>
      <c r="V1226" s="118" t="str">
        <f>+Agencia[[#This Row],[idcoleccion]]&amp;"-"&amp;Agencia[[#This Row],[id]]</f>
        <v>990-1215</v>
      </c>
      <c r="W1226" s="118">
        <f>+VLOOKUP(Agencia[[#This Row],[Filtro URL]],Estructura!$X$4:$Y$500,2,0)</f>
        <v>99200006</v>
      </c>
      <c r="X1226" s="118" t="str">
        <f>+VLOOKUP(Agencia[[#This Row],[tema]],Estructura!$A$4:$C$500,3,0)</f>
        <v>T-1047</v>
      </c>
      <c r="Y1226" s="118" t="str">
        <f>+VLOOKUP(Agencia[[#This Row],[contenido]],Estructura!$E$4:$G$500,3,0)</f>
        <v>C-1013</v>
      </c>
      <c r="Z1226" s="118" t="str">
        <f>+VLOOKUP(Agencia[[#This Row],[Filtro Integrado]],Estructura!$I$4:$K$500,3,0)</f>
        <v>FI-993</v>
      </c>
      <c r="AA1226" s="118" t="str">
        <f>+VLOOKUP(Agencia[[#This Row],[Muestra]],Estructura!$M$4:$O$500,3,0)</f>
        <v>M-1088</v>
      </c>
    </row>
    <row r="1227" spans="1:27" ht="57.6" x14ac:dyDescent="0.3">
      <c r="A1227" s="21" t="s">
        <v>3937</v>
      </c>
      <c r="B1227" s="24">
        <v>990</v>
      </c>
      <c r="C1227" s="25" t="s">
        <v>401</v>
      </c>
      <c r="D1227" s="10" t="s">
        <v>574</v>
      </c>
      <c r="E1227" s="19">
        <v>7</v>
      </c>
      <c r="F1227" s="10" t="s">
        <v>3802</v>
      </c>
      <c r="G1227" s="10" t="s">
        <v>3802</v>
      </c>
      <c r="H1227" s="35" t="s">
        <v>16</v>
      </c>
      <c r="I1227" s="36" t="s">
        <v>374</v>
      </c>
      <c r="J1227" s="9" t="s">
        <v>404</v>
      </c>
      <c r="K1227" s="9" t="s">
        <v>3824</v>
      </c>
      <c r="L1227" s="9" t="s">
        <v>614</v>
      </c>
      <c r="M1227" s="9" t="s">
        <v>3804</v>
      </c>
      <c r="N1227" s="9" t="s">
        <v>910</v>
      </c>
      <c r="O1227" s="20" t="s">
        <v>4809</v>
      </c>
      <c r="P1227" s="20"/>
      <c r="Q1227" s="11" t="s">
        <v>584</v>
      </c>
      <c r="R1227" s="20" t="s">
        <v>4810</v>
      </c>
      <c r="S1227" s="39" t="s">
        <v>4407</v>
      </c>
      <c r="T1227" s="70" t="s">
        <v>3754</v>
      </c>
      <c r="U1227" s="50" t="s">
        <v>399</v>
      </c>
      <c r="V1227" s="118" t="str">
        <f>+Agencia[[#This Row],[idcoleccion]]&amp;"-"&amp;Agencia[[#This Row],[id]]</f>
        <v>990-1216</v>
      </c>
      <c r="W1227" s="118">
        <f>+VLOOKUP(Agencia[[#This Row],[Filtro URL]],Estructura!$X$4:$Y$500,2,0)</f>
        <v>99200007</v>
      </c>
      <c r="X1227" s="118" t="str">
        <f>+VLOOKUP(Agencia[[#This Row],[tema]],Estructura!$A$4:$C$500,3,0)</f>
        <v>T-1047</v>
      </c>
      <c r="Y1227" s="118" t="str">
        <f>+VLOOKUP(Agencia[[#This Row],[contenido]],Estructura!$E$4:$G$500,3,0)</f>
        <v>C-1013</v>
      </c>
      <c r="Z1227" s="118" t="str">
        <f>+VLOOKUP(Agencia[[#This Row],[Filtro Integrado]],Estructura!$I$4:$K$500,3,0)</f>
        <v>FI-993</v>
      </c>
      <c r="AA1227" s="118" t="str">
        <f>+VLOOKUP(Agencia[[#This Row],[Muestra]],Estructura!$M$4:$O$500,3,0)</f>
        <v>M-1088</v>
      </c>
    </row>
    <row r="1228" spans="1:27" ht="57.6" x14ac:dyDescent="0.3">
      <c r="A1228" s="21" t="s">
        <v>3938</v>
      </c>
      <c r="B1228" s="24">
        <v>990</v>
      </c>
      <c r="C1228" s="25" t="s">
        <v>401</v>
      </c>
      <c r="D1228" s="10" t="s">
        <v>574</v>
      </c>
      <c r="E1228" s="19">
        <v>8</v>
      </c>
      <c r="F1228" s="10" t="s">
        <v>3802</v>
      </c>
      <c r="G1228" s="10" t="s">
        <v>3802</v>
      </c>
      <c r="H1228" s="35" t="s">
        <v>16</v>
      </c>
      <c r="I1228" s="36" t="s">
        <v>375</v>
      </c>
      <c r="J1228" s="9" t="s">
        <v>404</v>
      </c>
      <c r="K1228" s="9" t="s">
        <v>3824</v>
      </c>
      <c r="L1228" s="9" t="s">
        <v>614</v>
      </c>
      <c r="M1228" s="9" t="s">
        <v>3804</v>
      </c>
      <c r="N1228" s="9" t="s">
        <v>910</v>
      </c>
      <c r="O1228" s="20" t="s">
        <v>4811</v>
      </c>
      <c r="P1228" s="20"/>
      <c r="Q1228" s="11" t="s">
        <v>584</v>
      </c>
      <c r="R1228" s="20" t="s">
        <v>4812</v>
      </c>
      <c r="S1228" s="39" t="s">
        <v>4408</v>
      </c>
      <c r="T1228" s="70" t="s">
        <v>3759</v>
      </c>
      <c r="U1228" s="50" t="s">
        <v>399</v>
      </c>
      <c r="V1228" s="118" t="str">
        <f>+Agencia[[#This Row],[idcoleccion]]&amp;"-"&amp;Agencia[[#This Row],[id]]</f>
        <v>990-1217</v>
      </c>
      <c r="W1228" s="118">
        <f>+VLOOKUP(Agencia[[#This Row],[Filtro URL]],Estructura!$X$4:$Y$500,2,0)</f>
        <v>99200008</v>
      </c>
      <c r="X1228" s="118" t="str">
        <f>+VLOOKUP(Agencia[[#This Row],[tema]],Estructura!$A$4:$C$500,3,0)</f>
        <v>T-1047</v>
      </c>
      <c r="Y1228" s="118" t="str">
        <f>+VLOOKUP(Agencia[[#This Row],[contenido]],Estructura!$E$4:$G$500,3,0)</f>
        <v>C-1013</v>
      </c>
      <c r="Z1228" s="118" t="str">
        <f>+VLOOKUP(Agencia[[#This Row],[Filtro Integrado]],Estructura!$I$4:$K$500,3,0)</f>
        <v>FI-993</v>
      </c>
      <c r="AA1228" s="118" t="str">
        <f>+VLOOKUP(Agencia[[#This Row],[Muestra]],Estructura!$M$4:$O$500,3,0)</f>
        <v>M-1088</v>
      </c>
    </row>
    <row r="1229" spans="1:27" ht="57.6" x14ac:dyDescent="0.3">
      <c r="A1229" s="21" t="s">
        <v>3939</v>
      </c>
      <c r="B1229" s="24">
        <v>990</v>
      </c>
      <c r="C1229" s="25" t="s">
        <v>401</v>
      </c>
      <c r="D1229" s="10" t="s">
        <v>574</v>
      </c>
      <c r="E1229" s="19">
        <v>9</v>
      </c>
      <c r="F1229" s="10" t="s">
        <v>3802</v>
      </c>
      <c r="G1229" s="10" t="s">
        <v>3802</v>
      </c>
      <c r="H1229" s="35" t="s">
        <v>16</v>
      </c>
      <c r="I1229" s="36" t="s">
        <v>376</v>
      </c>
      <c r="J1229" s="9" t="s">
        <v>404</v>
      </c>
      <c r="K1229" s="9" t="s">
        <v>3824</v>
      </c>
      <c r="L1229" s="9" t="s">
        <v>614</v>
      </c>
      <c r="M1229" s="9" t="s">
        <v>3804</v>
      </c>
      <c r="N1229" s="9" t="s">
        <v>910</v>
      </c>
      <c r="O1229" s="20" t="s">
        <v>4813</v>
      </c>
      <c r="P1229" s="20"/>
      <c r="Q1229" s="11" t="s">
        <v>584</v>
      </c>
      <c r="R1229" s="20" t="s">
        <v>4814</v>
      </c>
      <c r="S1229" s="39" t="s">
        <v>4409</v>
      </c>
      <c r="T1229" s="70" t="s">
        <v>3750</v>
      </c>
      <c r="U1229" s="120" t="s">
        <v>399</v>
      </c>
      <c r="V1229" s="118" t="str">
        <f>+Agencia[[#This Row],[idcoleccion]]&amp;"-"&amp;Agencia[[#This Row],[id]]</f>
        <v>990-1218</v>
      </c>
      <c r="W1229" s="118">
        <f>+VLOOKUP(Agencia[[#This Row],[Filtro URL]],Estructura!$X$4:$Y$500,2,0)</f>
        <v>99200009</v>
      </c>
      <c r="X1229" s="118" t="str">
        <f>+VLOOKUP(Agencia[[#This Row],[tema]],Estructura!$A$4:$C$500,3,0)</f>
        <v>T-1047</v>
      </c>
      <c r="Y1229" s="118" t="str">
        <f>+VLOOKUP(Agencia[[#This Row],[contenido]],Estructura!$E$4:$G$500,3,0)</f>
        <v>C-1013</v>
      </c>
      <c r="Z1229" s="118" t="str">
        <f>+VLOOKUP(Agencia[[#This Row],[Filtro Integrado]],Estructura!$I$4:$K$500,3,0)</f>
        <v>FI-993</v>
      </c>
      <c r="AA1229" s="118" t="str">
        <f>+VLOOKUP(Agencia[[#This Row],[Muestra]],Estructura!$M$4:$O$500,3,0)</f>
        <v>M-1088</v>
      </c>
    </row>
    <row r="1230" spans="1:27" ht="57.6" x14ac:dyDescent="0.3">
      <c r="A1230" s="21" t="s">
        <v>3940</v>
      </c>
      <c r="B1230" s="24">
        <v>990</v>
      </c>
      <c r="C1230" s="25" t="s">
        <v>401</v>
      </c>
      <c r="D1230" s="10" t="s">
        <v>574</v>
      </c>
      <c r="E1230" s="19">
        <v>10</v>
      </c>
      <c r="F1230" s="10" t="s">
        <v>3802</v>
      </c>
      <c r="G1230" s="10" t="s">
        <v>3802</v>
      </c>
      <c r="H1230" s="35" t="s">
        <v>16</v>
      </c>
      <c r="I1230" s="36" t="s">
        <v>377</v>
      </c>
      <c r="J1230" s="9" t="s">
        <v>404</v>
      </c>
      <c r="K1230" s="9" t="s">
        <v>3824</v>
      </c>
      <c r="L1230" s="9" t="s">
        <v>614</v>
      </c>
      <c r="M1230" s="9" t="s">
        <v>3804</v>
      </c>
      <c r="N1230" s="9" t="s">
        <v>910</v>
      </c>
      <c r="O1230" s="20" t="s">
        <v>4815</v>
      </c>
      <c r="P1230" s="20"/>
      <c r="Q1230" s="11" t="s">
        <v>584</v>
      </c>
      <c r="R1230" s="20" t="s">
        <v>4816</v>
      </c>
      <c r="S1230" s="39" t="s">
        <v>4410</v>
      </c>
      <c r="T1230" s="70" t="s">
        <v>3751</v>
      </c>
      <c r="U1230" s="50" t="s">
        <v>399</v>
      </c>
      <c r="V1230" s="118" t="str">
        <f>+Agencia[[#This Row],[idcoleccion]]&amp;"-"&amp;Agencia[[#This Row],[id]]</f>
        <v>990-1219</v>
      </c>
      <c r="W1230" s="118">
        <f>+VLOOKUP(Agencia[[#This Row],[Filtro URL]],Estructura!$X$4:$Y$500,2,0)</f>
        <v>99200010</v>
      </c>
      <c r="X1230" s="118" t="str">
        <f>+VLOOKUP(Agencia[[#This Row],[tema]],Estructura!$A$4:$C$500,3,0)</f>
        <v>T-1047</v>
      </c>
      <c r="Y1230" s="118" t="str">
        <f>+VLOOKUP(Agencia[[#This Row],[contenido]],Estructura!$E$4:$G$500,3,0)</f>
        <v>C-1013</v>
      </c>
      <c r="Z1230" s="118" t="str">
        <f>+VLOOKUP(Agencia[[#This Row],[Filtro Integrado]],Estructura!$I$4:$K$500,3,0)</f>
        <v>FI-993</v>
      </c>
      <c r="AA1230" s="118" t="str">
        <f>+VLOOKUP(Agencia[[#This Row],[Muestra]],Estructura!$M$4:$O$500,3,0)</f>
        <v>M-1088</v>
      </c>
    </row>
    <row r="1231" spans="1:27" ht="57.6" x14ac:dyDescent="0.3">
      <c r="A1231" s="21" t="s">
        <v>3941</v>
      </c>
      <c r="B1231" s="24">
        <v>990</v>
      </c>
      <c r="C1231" s="25" t="s">
        <v>401</v>
      </c>
      <c r="D1231" s="10" t="s">
        <v>574</v>
      </c>
      <c r="E1231" s="19">
        <v>11</v>
      </c>
      <c r="F1231" s="10" t="s">
        <v>3802</v>
      </c>
      <c r="G1231" s="10" t="s">
        <v>3802</v>
      </c>
      <c r="H1231" s="35" t="s">
        <v>16</v>
      </c>
      <c r="I1231" s="36" t="s">
        <v>378</v>
      </c>
      <c r="J1231" s="9" t="s">
        <v>404</v>
      </c>
      <c r="K1231" s="9" t="s">
        <v>3824</v>
      </c>
      <c r="L1231" s="9" t="s">
        <v>614</v>
      </c>
      <c r="M1231" s="9" t="s">
        <v>3804</v>
      </c>
      <c r="N1231" s="9" t="s">
        <v>910</v>
      </c>
      <c r="O1231" s="20" t="s">
        <v>4817</v>
      </c>
      <c r="P1231" s="20"/>
      <c r="Q1231" s="11" t="s">
        <v>584</v>
      </c>
      <c r="R1231" s="20" t="s">
        <v>4818</v>
      </c>
      <c r="S1231" s="39" t="s">
        <v>4411</v>
      </c>
      <c r="T1231" s="70" t="s">
        <v>3748</v>
      </c>
      <c r="U1231" s="50" t="s">
        <v>399</v>
      </c>
      <c r="V1231" s="118" t="str">
        <f>+Agencia[[#This Row],[idcoleccion]]&amp;"-"&amp;Agencia[[#This Row],[id]]</f>
        <v>990-1220</v>
      </c>
      <c r="W1231" s="118">
        <f>+VLOOKUP(Agencia[[#This Row],[Filtro URL]],Estructura!$X$4:$Y$500,2,0)</f>
        <v>99200011</v>
      </c>
      <c r="X1231" s="118" t="str">
        <f>+VLOOKUP(Agencia[[#This Row],[tema]],Estructura!$A$4:$C$500,3,0)</f>
        <v>T-1047</v>
      </c>
      <c r="Y1231" s="118" t="str">
        <f>+VLOOKUP(Agencia[[#This Row],[contenido]],Estructura!$E$4:$G$500,3,0)</f>
        <v>C-1013</v>
      </c>
      <c r="Z1231" s="118" t="str">
        <f>+VLOOKUP(Agencia[[#This Row],[Filtro Integrado]],Estructura!$I$4:$K$500,3,0)</f>
        <v>FI-993</v>
      </c>
      <c r="AA1231" s="118" t="str">
        <f>+VLOOKUP(Agencia[[#This Row],[Muestra]],Estructura!$M$4:$O$500,3,0)</f>
        <v>M-1088</v>
      </c>
    </row>
    <row r="1232" spans="1:27" ht="57.6" x14ac:dyDescent="0.3">
      <c r="A1232" s="21" t="s">
        <v>3942</v>
      </c>
      <c r="B1232" s="24">
        <v>990</v>
      </c>
      <c r="C1232" s="25" t="s">
        <v>401</v>
      </c>
      <c r="D1232" s="10" t="s">
        <v>574</v>
      </c>
      <c r="E1232" s="19">
        <v>12</v>
      </c>
      <c r="F1232" s="10" t="s">
        <v>3802</v>
      </c>
      <c r="G1232" s="10" t="s">
        <v>3802</v>
      </c>
      <c r="H1232" s="35" t="s">
        <v>16</v>
      </c>
      <c r="I1232" s="36" t="s">
        <v>379</v>
      </c>
      <c r="J1232" s="9" t="s">
        <v>404</v>
      </c>
      <c r="K1232" s="9" t="s">
        <v>3824</v>
      </c>
      <c r="L1232" s="9" t="s">
        <v>614</v>
      </c>
      <c r="M1232" s="9" t="s">
        <v>3804</v>
      </c>
      <c r="N1232" s="9" t="s">
        <v>910</v>
      </c>
      <c r="O1232" s="20" t="s">
        <v>4819</v>
      </c>
      <c r="P1232" s="20"/>
      <c r="Q1232" s="11" t="s">
        <v>584</v>
      </c>
      <c r="R1232" s="20" t="s">
        <v>4820</v>
      </c>
      <c r="S1232" s="39" t="s">
        <v>4412</v>
      </c>
      <c r="T1232" s="70" t="s">
        <v>3753</v>
      </c>
      <c r="U1232" s="120" t="s">
        <v>399</v>
      </c>
      <c r="V1232" s="118" t="str">
        <f>+Agencia[[#This Row],[idcoleccion]]&amp;"-"&amp;Agencia[[#This Row],[id]]</f>
        <v>990-1221</v>
      </c>
      <c r="W1232" s="118">
        <f>+VLOOKUP(Agencia[[#This Row],[Filtro URL]],Estructura!$X$4:$Y$500,2,0)</f>
        <v>99200012</v>
      </c>
      <c r="X1232" s="118" t="str">
        <f>+VLOOKUP(Agencia[[#This Row],[tema]],Estructura!$A$4:$C$500,3,0)</f>
        <v>T-1047</v>
      </c>
      <c r="Y1232" s="118" t="str">
        <f>+VLOOKUP(Agencia[[#This Row],[contenido]],Estructura!$E$4:$G$500,3,0)</f>
        <v>C-1013</v>
      </c>
      <c r="Z1232" s="118" t="str">
        <f>+VLOOKUP(Agencia[[#This Row],[Filtro Integrado]],Estructura!$I$4:$K$500,3,0)</f>
        <v>FI-993</v>
      </c>
      <c r="AA1232" s="118" t="str">
        <f>+VLOOKUP(Agencia[[#This Row],[Muestra]],Estructura!$M$4:$O$500,3,0)</f>
        <v>M-1088</v>
      </c>
    </row>
    <row r="1233" spans="1:27" ht="57.6" x14ac:dyDescent="0.3">
      <c r="A1233" s="21" t="s">
        <v>3943</v>
      </c>
      <c r="B1233" s="24">
        <v>990</v>
      </c>
      <c r="C1233" s="25" t="s">
        <v>401</v>
      </c>
      <c r="D1233" s="10" t="s">
        <v>574</v>
      </c>
      <c r="E1233" s="19">
        <v>13</v>
      </c>
      <c r="F1233" s="10" t="s">
        <v>3802</v>
      </c>
      <c r="G1233" s="10" t="s">
        <v>3802</v>
      </c>
      <c r="H1233" s="35" t="s">
        <v>16</v>
      </c>
      <c r="I1233" s="36" t="s">
        <v>380</v>
      </c>
      <c r="J1233" s="9" t="s">
        <v>404</v>
      </c>
      <c r="K1233" s="9" t="s">
        <v>3824</v>
      </c>
      <c r="L1233" s="9" t="s">
        <v>614</v>
      </c>
      <c r="M1233" s="9" t="s">
        <v>3804</v>
      </c>
      <c r="N1233" s="9" t="s">
        <v>910</v>
      </c>
      <c r="O1233" s="20" t="s">
        <v>4821</v>
      </c>
      <c r="P1233" s="20"/>
      <c r="Q1233" s="11" t="s">
        <v>584</v>
      </c>
      <c r="R1233" s="20" t="s">
        <v>4822</v>
      </c>
      <c r="S1233" s="39" t="s">
        <v>4413</v>
      </c>
      <c r="T1233" s="70" t="s">
        <v>3760</v>
      </c>
      <c r="U1233" s="50" t="s">
        <v>399</v>
      </c>
      <c r="V1233" s="118" t="str">
        <f>+Agencia[[#This Row],[idcoleccion]]&amp;"-"&amp;Agencia[[#This Row],[id]]</f>
        <v>990-1222</v>
      </c>
      <c r="W1233" s="118">
        <f>+VLOOKUP(Agencia[[#This Row],[Filtro URL]],Estructura!$X$4:$Y$500,2,0)</f>
        <v>99200013</v>
      </c>
      <c r="X1233" s="118" t="str">
        <f>+VLOOKUP(Agencia[[#This Row],[tema]],Estructura!$A$4:$C$500,3,0)</f>
        <v>T-1047</v>
      </c>
      <c r="Y1233" s="118" t="str">
        <f>+VLOOKUP(Agencia[[#This Row],[contenido]],Estructura!$E$4:$G$500,3,0)</f>
        <v>C-1013</v>
      </c>
      <c r="Z1233" s="118" t="str">
        <f>+VLOOKUP(Agencia[[#This Row],[Filtro Integrado]],Estructura!$I$4:$K$500,3,0)</f>
        <v>FI-993</v>
      </c>
      <c r="AA1233" s="118" t="str">
        <f>+VLOOKUP(Agencia[[#This Row],[Muestra]],Estructura!$M$4:$O$500,3,0)</f>
        <v>M-1088</v>
      </c>
    </row>
    <row r="1234" spans="1:27" ht="57.6" x14ac:dyDescent="0.3">
      <c r="A1234" s="21" t="s">
        <v>3944</v>
      </c>
      <c r="B1234" s="24">
        <v>990</v>
      </c>
      <c r="C1234" s="25" t="s">
        <v>401</v>
      </c>
      <c r="D1234" s="10" t="s">
        <v>574</v>
      </c>
      <c r="E1234" s="19">
        <v>14</v>
      </c>
      <c r="F1234" s="10" t="s">
        <v>3802</v>
      </c>
      <c r="G1234" s="10" t="s">
        <v>3802</v>
      </c>
      <c r="H1234" s="35" t="s">
        <v>16</v>
      </c>
      <c r="I1234" s="36" t="s">
        <v>381</v>
      </c>
      <c r="J1234" s="9" t="s">
        <v>404</v>
      </c>
      <c r="K1234" s="9" t="s">
        <v>3824</v>
      </c>
      <c r="L1234" s="9" t="s">
        <v>614</v>
      </c>
      <c r="M1234" s="9" t="s">
        <v>3804</v>
      </c>
      <c r="N1234" s="9" t="s">
        <v>910</v>
      </c>
      <c r="O1234" s="20" t="s">
        <v>4823</v>
      </c>
      <c r="P1234" s="20"/>
      <c r="Q1234" s="11" t="s">
        <v>584</v>
      </c>
      <c r="R1234" s="20" t="s">
        <v>4824</v>
      </c>
      <c r="S1234" s="39" t="s">
        <v>4414</v>
      </c>
      <c r="T1234" s="70" t="s">
        <v>3752</v>
      </c>
      <c r="U1234" s="50" t="s">
        <v>399</v>
      </c>
      <c r="V1234" s="118" t="str">
        <f>+Agencia[[#This Row],[idcoleccion]]&amp;"-"&amp;Agencia[[#This Row],[id]]</f>
        <v>990-1223</v>
      </c>
      <c r="W1234" s="118">
        <f>+VLOOKUP(Agencia[[#This Row],[Filtro URL]],Estructura!$X$4:$Y$500,2,0)</f>
        <v>99200014</v>
      </c>
      <c r="X1234" s="118" t="str">
        <f>+VLOOKUP(Agencia[[#This Row],[tema]],Estructura!$A$4:$C$500,3,0)</f>
        <v>T-1047</v>
      </c>
      <c r="Y1234" s="118" t="str">
        <f>+VLOOKUP(Agencia[[#This Row],[contenido]],Estructura!$E$4:$G$500,3,0)</f>
        <v>C-1013</v>
      </c>
      <c r="Z1234" s="118" t="str">
        <f>+VLOOKUP(Agencia[[#This Row],[Filtro Integrado]],Estructura!$I$4:$K$500,3,0)</f>
        <v>FI-993</v>
      </c>
      <c r="AA1234" s="118" t="str">
        <f>+VLOOKUP(Agencia[[#This Row],[Muestra]],Estructura!$M$4:$O$500,3,0)</f>
        <v>M-1088</v>
      </c>
    </row>
    <row r="1235" spans="1:27" ht="57.6" x14ac:dyDescent="0.3">
      <c r="A1235" s="21" t="s">
        <v>3946</v>
      </c>
      <c r="B1235" s="24">
        <v>990</v>
      </c>
      <c r="C1235" s="25" t="s">
        <v>401</v>
      </c>
      <c r="D1235" s="10" t="s">
        <v>574</v>
      </c>
      <c r="E1235" s="19">
        <v>15</v>
      </c>
      <c r="F1235" s="10" t="s">
        <v>3802</v>
      </c>
      <c r="G1235" s="10" t="s">
        <v>3802</v>
      </c>
      <c r="H1235" s="35" t="s">
        <v>16</v>
      </c>
      <c r="I1235" s="36" t="s">
        <v>382</v>
      </c>
      <c r="J1235" s="9" t="s">
        <v>404</v>
      </c>
      <c r="K1235" s="9" t="s">
        <v>3824</v>
      </c>
      <c r="L1235" s="9" t="s">
        <v>614</v>
      </c>
      <c r="M1235" s="9" t="s">
        <v>3804</v>
      </c>
      <c r="N1235" s="9" t="s">
        <v>910</v>
      </c>
      <c r="O1235" s="20" t="s">
        <v>4825</v>
      </c>
      <c r="P1235" s="20"/>
      <c r="Q1235" s="11" t="s">
        <v>584</v>
      </c>
      <c r="R1235" s="20" t="s">
        <v>4826</v>
      </c>
      <c r="S1235" s="39" t="s">
        <v>4415</v>
      </c>
      <c r="T1235" s="70" t="s">
        <v>3746</v>
      </c>
      <c r="U1235" s="120" t="s">
        <v>399</v>
      </c>
      <c r="V1235" s="118" t="str">
        <f>+Agencia[[#This Row],[idcoleccion]]&amp;"-"&amp;Agencia[[#This Row],[id]]</f>
        <v>990-1224</v>
      </c>
      <c r="W1235" s="118">
        <f>+VLOOKUP(Agencia[[#This Row],[Filtro URL]],Estructura!$X$4:$Y$500,2,0)</f>
        <v>99200015</v>
      </c>
      <c r="X1235" s="118" t="str">
        <f>+VLOOKUP(Agencia[[#This Row],[tema]],Estructura!$A$4:$C$500,3,0)</f>
        <v>T-1047</v>
      </c>
      <c r="Y1235" s="118" t="str">
        <f>+VLOOKUP(Agencia[[#This Row],[contenido]],Estructura!$E$4:$G$500,3,0)</f>
        <v>C-1013</v>
      </c>
      <c r="Z1235" s="118" t="str">
        <f>+VLOOKUP(Agencia[[#This Row],[Filtro Integrado]],Estructura!$I$4:$K$500,3,0)</f>
        <v>FI-993</v>
      </c>
      <c r="AA1235" s="118" t="str">
        <f>+VLOOKUP(Agencia[[#This Row],[Muestra]],Estructura!$M$4:$O$500,3,0)</f>
        <v>M-1088</v>
      </c>
    </row>
    <row r="1236" spans="1:27" ht="57.6" x14ac:dyDescent="0.3">
      <c r="A1236" s="21" t="s">
        <v>3947</v>
      </c>
      <c r="B1236" s="24">
        <v>990</v>
      </c>
      <c r="C1236" s="25" t="s">
        <v>401</v>
      </c>
      <c r="D1236" s="10" t="s">
        <v>574</v>
      </c>
      <c r="E1236" s="19">
        <v>16</v>
      </c>
      <c r="F1236" s="10" t="s">
        <v>3802</v>
      </c>
      <c r="G1236" s="10" t="s">
        <v>3802</v>
      </c>
      <c r="H1236" s="35" t="s">
        <v>16</v>
      </c>
      <c r="I1236" s="36" t="s">
        <v>383</v>
      </c>
      <c r="J1236" s="9" t="s">
        <v>404</v>
      </c>
      <c r="K1236" s="9" t="s">
        <v>3824</v>
      </c>
      <c r="L1236" s="9" t="s">
        <v>614</v>
      </c>
      <c r="M1236" s="9" t="s">
        <v>3804</v>
      </c>
      <c r="N1236" s="9" t="s">
        <v>910</v>
      </c>
      <c r="O1236" s="20" t="s">
        <v>4827</v>
      </c>
      <c r="P1236" s="20"/>
      <c r="Q1236" s="11" t="s">
        <v>584</v>
      </c>
      <c r="R1236" s="20" t="s">
        <v>4828</v>
      </c>
      <c r="S1236" s="39" t="s">
        <v>4829</v>
      </c>
      <c r="T1236" s="70" t="s">
        <v>3755</v>
      </c>
      <c r="U1236" s="50" t="s">
        <v>399</v>
      </c>
      <c r="V1236" s="118" t="str">
        <f>+Agencia[[#This Row],[idcoleccion]]&amp;"-"&amp;Agencia[[#This Row],[id]]</f>
        <v>990-1225</v>
      </c>
      <c r="W1236" s="118">
        <f>+VLOOKUP(Agencia[[#This Row],[Filtro URL]],Estructura!$X$4:$Y$500,2,0)</f>
        <v>99200016</v>
      </c>
      <c r="X1236" s="118" t="str">
        <f>+VLOOKUP(Agencia[[#This Row],[tema]],Estructura!$A$4:$C$500,3,0)</f>
        <v>T-1047</v>
      </c>
      <c r="Y1236" s="118" t="str">
        <f>+VLOOKUP(Agencia[[#This Row],[contenido]],Estructura!$E$4:$G$500,3,0)</f>
        <v>C-1013</v>
      </c>
      <c r="Z1236" s="118" t="str">
        <f>+VLOOKUP(Agencia[[#This Row],[Filtro Integrado]],Estructura!$I$4:$K$500,3,0)</f>
        <v>FI-993</v>
      </c>
      <c r="AA1236" s="118" t="str">
        <f>+VLOOKUP(Agencia[[#This Row],[Muestra]],Estructura!$M$4:$O$500,3,0)</f>
        <v>M-1088</v>
      </c>
    </row>
    <row r="1237" spans="1:27" ht="61.2" x14ac:dyDescent="0.3">
      <c r="A1237" s="21" t="s">
        <v>3948</v>
      </c>
      <c r="B1237" s="24">
        <v>990</v>
      </c>
      <c r="C1237" s="25" t="s">
        <v>401</v>
      </c>
      <c r="D1237" s="10" t="s">
        <v>3905</v>
      </c>
      <c r="E1237" s="14">
        <v>0</v>
      </c>
      <c r="F1237" s="10" t="s">
        <v>3906</v>
      </c>
      <c r="G1237" s="10" t="s">
        <v>4685</v>
      </c>
      <c r="H1237" s="33" t="s">
        <v>20</v>
      </c>
      <c r="I1237" s="34" t="s">
        <v>15</v>
      </c>
      <c r="J1237" s="9" t="s">
        <v>16</v>
      </c>
      <c r="K1237" s="9" t="s">
        <v>3908</v>
      </c>
      <c r="L1237" s="9" t="s">
        <v>3909</v>
      </c>
      <c r="M1237" s="9" t="s">
        <v>3910</v>
      </c>
      <c r="N1237" s="9" t="s">
        <v>1459</v>
      </c>
      <c r="O1237" s="20" t="s">
        <v>4830</v>
      </c>
      <c r="P1237" s="20" t="s">
        <v>3911</v>
      </c>
      <c r="Q1237" s="11" t="s">
        <v>821</v>
      </c>
      <c r="R1237" s="20" t="s">
        <v>4831</v>
      </c>
      <c r="S1237" s="39" t="s">
        <v>3912</v>
      </c>
      <c r="T1237" s="70" t="s">
        <v>855</v>
      </c>
      <c r="U1237" s="50" t="s">
        <v>399</v>
      </c>
      <c r="V1237" s="118" t="str">
        <f>+Agencia[[#This Row],[idcoleccion]]&amp;"-"&amp;Agencia[[#This Row],[id]]</f>
        <v>990-1226</v>
      </c>
      <c r="W1237" s="118">
        <f>+VLOOKUP(Agencia[[#This Row],[Filtro URL]],Estructura!$X$4:$Y$500,2,0)</f>
        <v>99100000</v>
      </c>
      <c r="X1237" s="118" t="str">
        <f>+VLOOKUP(Agencia[[#This Row],[tema]],Estructura!$A$4:$C$500,3,0)</f>
        <v>T-1048</v>
      </c>
      <c r="Y1237" s="118" t="str">
        <f>+VLOOKUP(Agencia[[#This Row],[contenido]],Estructura!$E$4:$G$500,3,0)</f>
        <v>C-1016</v>
      </c>
      <c r="Z1237" s="118" t="str">
        <f>+VLOOKUP(Agencia[[#This Row],[Filtro Integrado]],Estructura!$I$4:$K$500,3,0)</f>
        <v>FI-992</v>
      </c>
      <c r="AA1237" s="118" t="str">
        <f>+VLOOKUP(Agencia[[#This Row],[Muestra]],Estructura!$M$4:$O$500,3,0)</f>
        <v>M-1091</v>
      </c>
    </row>
    <row r="1238" spans="1:27" ht="60" x14ac:dyDescent="0.3">
      <c r="A1238" s="21" t="s">
        <v>3949</v>
      </c>
      <c r="B1238" s="24">
        <v>990</v>
      </c>
      <c r="C1238" s="25" t="s">
        <v>401</v>
      </c>
      <c r="D1238" s="10" t="s">
        <v>3905</v>
      </c>
      <c r="E1238" s="19">
        <v>1</v>
      </c>
      <c r="F1238" s="10" t="s">
        <v>3906</v>
      </c>
      <c r="G1238" s="10" t="s">
        <v>4685</v>
      </c>
      <c r="H1238" s="35" t="s">
        <v>16</v>
      </c>
      <c r="I1238" s="36" t="s">
        <v>368</v>
      </c>
      <c r="J1238" s="9" t="s">
        <v>404</v>
      </c>
      <c r="K1238" s="9" t="s">
        <v>3908</v>
      </c>
      <c r="L1238" s="9" t="s">
        <v>3909</v>
      </c>
      <c r="M1238" s="9" t="s">
        <v>3910</v>
      </c>
      <c r="N1238" s="9" t="s">
        <v>1459</v>
      </c>
      <c r="O1238" s="20" t="s">
        <v>4832</v>
      </c>
      <c r="P1238" s="20"/>
      <c r="Q1238" s="11" t="s">
        <v>821</v>
      </c>
      <c r="R1238" s="20" t="s">
        <v>4833</v>
      </c>
      <c r="S1238" s="39" t="s">
        <v>4416</v>
      </c>
      <c r="T1238" s="70" t="s">
        <v>3757</v>
      </c>
      <c r="U1238" s="120" t="s">
        <v>399</v>
      </c>
      <c r="V1238" s="118" t="str">
        <f>+Agencia[[#This Row],[idcoleccion]]&amp;"-"&amp;Agencia[[#This Row],[id]]</f>
        <v>990-1227</v>
      </c>
      <c r="W1238" s="118">
        <f>+VLOOKUP(Agencia[[#This Row],[Filtro URL]],Estructura!$X$4:$Y$500,2,0)</f>
        <v>99200001</v>
      </c>
      <c r="X1238" s="118" t="str">
        <f>+VLOOKUP(Agencia[[#This Row],[tema]],Estructura!$A$4:$C$500,3,0)</f>
        <v>T-1048</v>
      </c>
      <c r="Y1238" s="118" t="str">
        <f>+VLOOKUP(Agencia[[#This Row],[contenido]],Estructura!$E$4:$G$500,3,0)</f>
        <v>C-1016</v>
      </c>
      <c r="Z1238" s="118" t="str">
        <f>+VLOOKUP(Agencia[[#This Row],[Filtro Integrado]],Estructura!$I$4:$K$500,3,0)</f>
        <v>FI-993</v>
      </c>
      <c r="AA1238" s="118" t="str">
        <f>+VLOOKUP(Agencia[[#This Row],[Muestra]],Estructura!$M$4:$O$500,3,0)</f>
        <v>M-1091</v>
      </c>
    </row>
    <row r="1239" spans="1:27" ht="60" x14ac:dyDescent="0.3">
      <c r="A1239" s="21" t="s">
        <v>3953</v>
      </c>
      <c r="B1239" s="24">
        <v>990</v>
      </c>
      <c r="C1239" s="25" t="s">
        <v>401</v>
      </c>
      <c r="D1239" s="10" t="s">
        <v>3905</v>
      </c>
      <c r="E1239" s="19">
        <v>2</v>
      </c>
      <c r="F1239" s="10" t="s">
        <v>3906</v>
      </c>
      <c r="G1239" s="10" t="s">
        <v>4685</v>
      </c>
      <c r="H1239" s="35" t="s">
        <v>16</v>
      </c>
      <c r="I1239" s="36" t="s">
        <v>369</v>
      </c>
      <c r="J1239" s="9" t="s">
        <v>404</v>
      </c>
      <c r="K1239" s="9" t="s">
        <v>3908</v>
      </c>
      <c r="L1239" s="9" t="s">
        <v>3909</v>
      </c>
      <c r="M1239" s="9" t="s">
        <v>3910</v>
      </c>
      <c r="N1239" s="9" t="s">
        <v>1459</v>
      </c>
      <c r="O1239" s="20" t="s">
        <v>4834</v>
      </c>
      <c r="P1239" s="20"/>
      <c r="Q1239" s="11" t="s">
        <v>821</v>
      </c>
      <c r="R1239" s="20" t="s">
        <v>4835</v>
      </c>
      <c r="S1239" s="39" t="s">
        <v>4417</v>
      </c>
      <c r="T1239" s="70" t="s">
        <v>3745</v>
      </c>
      <c r="U1239" s="50" t="s">
        <v>399</v>
      </c>
      <c r="V1239" s="118" t="str">
        <f>+Agencia[[#This Row],[idcoleccion]]&amp;"-"&amp;Agencia[[#This Row],[id]]</f>
        <v>990-1228</v>
      </c>
      <c r="W1239" s="118">
        <f>+VLOOKUP(Agencia[[#This Row],[Filtro URL]],Estructura!$X$4:$Y$500,2,0)</f>
        <v>99200002</v>
      </c>
      <c r="X1239" s="118" t="str">
        <f>+VLOOKUP(Agencia[[#This Row],[tema]],Estructura!$A$4:$C$500,3,0)</f>
        <v>T-1048</v>
      </c>
      <c r="Y1239" s="118" t="str">
        <f>+VLOOKUP(Agencia[[#This Row],[contenido]],Estructura!$E$4:$G$500,3,0)</f>
        <v>C-1016</v>
      </c>
      <c r="Z1239" s="118" t="str">
        <f>+VLOOKUP(Agencia[[#This Row],[Filtro Integrado]],Estructura!$I$4:$K$500,3,0)</f>
        <v>FI-993</v>
      </c>
      <c r="AA1239" s="118" t="str">
        <f>+VLOOKUP(Agencia[[#This Row],[Muestra]],Estructura!$M$4:$O$500,3,0)</f>
        <v>M-1091</v>
      </c>
    </row>
    <row r="1240" spans="1:27" ht="60" x14ac:dyDescent="0.3">
      <c r="A1240" s="21" t="s">
        <v>3954</v>
      </c>
      <c r="B1240" s="24">
        <v>990</v>
      </c>
      <c r="C1240" s="25" t="s">
        <v>401</v>
      </c>
      <c r="D1240" s="10" t="s">
        <v>3905</v>
      </c>
      <c r="E1240" s="19">
        <v>3</v>
      </c>
      <c r="F1240" s="10" t="s">
        <v>3906</v>
      </c>
      <c r="G1240" s="10" t="s">
        <v>4685</v>
      </c>
      <c r="H1240" s="35" t="s">
        <v>16</v>
      </c>
      <c r="I1240" s="36" t="s">
        <v>370</v>
      </c>
      <c r="J1240" s="9" t="s">
        <v>404</v>
      </c>
      <c r="K1240" s="9" t="s">
        <v>3908</v>
      </c>
      <c r="L1240" s="9" t="s">
        <v>3909</v>
      </c>
      <c r="M1240" s="9" t="s">
        <v>3910</v>
      </c>
      <c r="N1240" s="9" t="s">
        <v>1459</v>
      </c>
      <c r="O1240" s="20" t="s">
        <v>4836</v>
      </c>
      <c r="P1240" s="20"/>
      <c r="Q1240" s="11" t="s">
        <v>821</v>
      </c>
      <c r="R1240" s="20" t="s">
        <v>4837</v>
      </c>
      <c r="S1240" s="39" t="s">
        <v>4418</v>
      </c>
      <c r="T1240" s="70" t="s">
        <v>3747</v>
      </c>
      <c r="U1240" s="50" t="s">
        <v>399</v>
      </c>
      <c r="V1240" s="118" t="str">
        <f>+Agencia[[#This Row],[idcoleccion]]&amp;"-"&amp;Agencia[[#This Row],[id]]</f>
        <v>990-1229</v>
      </c>
      <c r="W1240" s="118">
        <f>+VLOOKUP(Agencia[[#This Row],[Filtro URL]],Estructura!$X$4:$Y$500,2,0)</f>
        <v>99200003</v>
      </c>
      <c r="X1240" s="118" t="str">
        <f>+VLOOKUP(Agencia[[#This Row],[tema]],Estructura!$A$4:$C$500,3,0)</f>
        <v>T-1048</v>
      </c>
      <c r="Y1240" s="118" t="str">
        <f>+VLOOKUP(Agencia[[#This Row],[contenido]],Estructura!$E$4:$G$500,3,0)</f>
        <v>C-1016</v>
      </c>
      <c r="Z1240" s="118" t="str">
        <f>+VLOOKUP(Agencia[[#This Row],[Filtro Integrado]],Estructura!$I$4:$K$500,3,0)</f>
        <v>FI-993</v>
      </c>
      <c r="AA1240" s="118" t="str">
        <f>+VLOOKUP(Agencia[[#This Row],[Muestra]],Estructura!$M$4:$O$500,3,0)</f>
        <v>M-1091</v>
      </c>
    </row>
    <row r="1241" spans="1:27" ht="60" x14ac:dyDescent="0.3">
      <c r="A1241" s="21" t="s">
        <v>3955</v>
      </c>
      <c r="B1241" s="24">
        <v>990</v>
      </c>
      <c r="C1241" s="25" t="s">
        <v>401</v>
      </c>
      <c r="D1241" s="10" t="s">
        <v>3905</v>
      </c>
      <c r="E1241" s="19">
        <v>4</v>
      </c>
      <c r="F1241" s="10" t="s">
        <v>3906</v>
      </c>
      <c r="G1241" s="10" t="s">
        <v>4685</v>
      </c>
      <c r="H1241" s="35" t="s">
        <v>16</v>
      </c>
      <c r="I1241" s="36" t="s">
        <v>371</v>
      </c>
      <c r="J1241" s="9" t="s">
        <v>404</v>
      </c>
      <c r="K1241" s="9" t="s">
        <v>3908</v>
      </c>
      <c r="L1241" s="9" t="s">
        <v>3909</v>
      </c>
      <c r="M1241" s="9" t="s">
        <v>3910</v>
      </c>
      <c r="N1241" s="9" t="s">
        <v>1459</v>
      </c>
      <c r="O1241" s="20" t="s">
        <v>4838</v>
      </c>
      <c r="P1241" s="20"/>
      <c r="Q1241" s="11" t="s">
        <v>821</v>
      </c>
      <c r="R1241" s="20" t="s">
        <v>4839</v>
      </c>
      <c r="S1241" s="39" t="s">
        <v>4419</v>
      </c>
      <c r="T1241" s="70" t="s">
        <v>3749</v>
      </c>
      <c r="U1241" s="120" t="s">
        <v>399</v>
      </c>
      <c r="V1241" s="118" t="str">
        <f>+Agencia[[#This Row],[idcoleccion]]&amp;"-"&amp;Agencia[[#This Row],[id]]</f>
        <v>990-1230</v>
      </c>
      <c r="W1241" s="118">
        <f>+VLOOKUP(Agencia[[#This Row],[Filtro URL]],Estructura!$X$4:$Y$500,2,0)</f>
        <v>99200004</v>
      </c>
      <c r="X1241" s="118" t="str">
        <f>+VLOOKUP(Agencia[[#This Row],[tema]],Estructura!$A$4:$C$500,3,0)</f>
        <v>T-1048</v>
      </c>
      <c r="Y1241" s="118" t="str">
        <f>+VLOOKUP(Agencia[[#This Row],[contenido]],Estructura!$E$4:$G$500,3,0)</f>
        <v>C-1016</v>
      </c>
      <c r="Z1241" s="118" t="str">
        <f>+VLOOKUP(Agencia[[#This Row],[Filtro Integrado]],Estructura!$I$4:$K$500,3,0)</f>
        <v>FI-993</v>
      </c>
      <c r="AA1241" s="118" t="str">
        <f>+VLOOKUP(Agencia[[#This Row],[Muestra]],Estructura!$M$4:$O$500,3,0)</f>
        <v>M-1091</v>
      </c>
    </row>
    <row r="1242" spans="1:27" ht="60" x14ac:dyDescent="0.3">
      <c r="A1242" s="21" t="s">
        <v>3956</v>
      </c>
      <c r="B1242" s="24">
        <v>990</v>
      </c>
      <c r="C1242" s="25" t="s">
        <v>401</v>
      </c>
      <c r="D1242" s="10" t="s">
        <v>3905</v>
      </c>
      <c r="E1242" s="19">
        <v>5</v>
      </c>
      <c r="F1242" s="10" t="s">
        <v>3906</v>
      </c>
      <c r="G1242" s="10" t="s">
        <v>4685</v>
      </c>
      <c r="H1242" s="35" t="s">
        <v>16</v>
      </c>
      <c r="I1242" s="36" t="s">
        <v>372</v>
      </c>
      <c r="J1242" s="9" t="s">
        <v>404</v>
      </c>
      <c r="K1242" s="9" t="s">
        <v>3908</v>
      </c>
      <c r="L1242" s="9" t="s">
        <v>3909</v>
      </c>
      <c r="M1242" s="9" t="s">
        <v>3910</v>
      </c>
      <c r="N1242" s="9" t="s">
        <v>1459</v>
      </c>
      <c r="O1242" s="20" t="s">
        <v>4840</v>
      </c>
      <c r="P1242" s="20"/>
      <c r="Q1242" s="11" t="s">
        <v>821</v>
      </c>
      <c r="R1242" s="20" t="s">
        <v>4841</v>
      </c>
      <c r="S1242" s="39" t="s">
        <v>4420</v>
      </c>
      <c r="T1242" s="70" t="s">
        <v>3758</v>
      </c>
      <c r="U1242" s="50" t="s">
        <v>399</v>
      </c>
      <c r="V1242" s="118" t="str">
        <f>+Agencia[[#This Row],[idcoleccion]]&amp;"-"&amp;Agencia[[#This Row],[id]]</f>
        <v>990-1231</v>
      </c>
      <c r="W1242" s="118">
        <f>+VLOOKUP(Agencia[[#This Row],[Filtro URL]],Estructura!$X$4:$Y$500,2,0)</f>
        <v>99200005</v>
      </c>
      <c r="X1242" s="118" t="str">
        <f>+VLOOKUP(Agencia[[#This Row],[tema]],Estructura!$A$4:$C$500,3,0)</f>
        <v>T-1048</v>
      </c>
      <c r="Y1242" s="118" t="str">
        <f>+VLOOKUP(Agencia[[#This Row],[contenido]],Estructura!$E$4:$G$500,3,0)</f>
        <v>C-1016</v>
      </c>
      <c r="Z1242" s="118" t="str">
        <f>+VLOOKUP(Agencia[[#This Row],[Filtro Integrado]],Estructura!$I$4:$K$500,3,0)</f>
        <v>FI-993</v>
      </c>
      <c r="AA1242" s="118" t="str">
        <f>+VLOOKUP(Agencia[[#This Row],[Muestra]],Estructura!$M$4:$O$500,3,0)</f>
        <v>M-1091</v>
      </c>
    </row>
    <row r="1243" spans="1:27" ht="60" x14ac:dyDescent="0.3">
      <c r="A1243" s="21" t="s">
        <v>3957</v>
      </c>
      <c r="B1243" s="24">
        <v>990</v>
      </c>
      <c r="C1243" s="25" t="s">
        <v>401</v>
      </c>
      <c r="D1243" s="10" t="s">
        <v>3905</v>
      </c>
      <c r="E1243" s="19">
        <v>6</v>
      </c>
      <c r="F1243" s="10" t="s">
        <v>3906</v>
      </c>
      <c r="G1243" s="10" t="s">
        <v>4685</v>
      </c>
      <c r="H1243" s="35" t="s">
        <v>16</v>
      </c>
      <c r="I1243" s="36" t="s">
        <v>373</v>
      </c>
      <c r="J1243" s="9" t="s">
        <v>404</v>
      </c>
      <c r="K1243" s="9" t="s">
        <v>3908</v>
      </c>
      <c r="L1243" s="9" t="s">
        <v>3909</v>
      </c>
      <c r="M1243" s="9" t="s">
        <v>3910</v>
      </c>
      <c r="N1243" s="9" t="s">
        <v>1459</v>
      </c>
      <c r="O1243" s="20" t="s">
        <v>4842</v>
      </c>
      <c r="P1243" s="20"/>
      <c r="Q1243" s="11" t="s">
        <v>821</v>
      </c>
      <c r="R1243" s="20" t="s">
        <v>4843</v>
      </c>
      <c r="S1243" s="39" t="s">
        <v>4421</v>
      </c>
      <c r="T1243" s="70" t="s">
        <v>3756</v>
      </c>
      <c r="U1243" s="50" t="s">
        <v>399</v>
      </c>
      <c r="V1243" s="118" t="str">
        <f>+Agencia[[#This Row],[idcoleccion]]&amp;"-"&amp;Agencia[[#This Row],[id]]</f>
        <v>990-1232</v>
      </c>
      <c r="W1243" s="118">
        <f>+VLOOKUP(Agencia[[#This Row],[Filtro URL]],Estructura!$X$4:$Y$500,2,0)</f>
        <v>99200006</v>
      </c>
      <c r="X1243" s="118" t="str">
        <f>+VLOOKUP(Agencia[[#This Row],[tema]],Estructura!$A$4:$C$500,3,0)</f>
        <v>T-1048</v>
      </c>
      <c r="Y1243" s="118" t="str">
        <f>+VLOOKUP(Agencia[[#This Row],[contenido]],Estructura!$E$4:$G$500,3,0)</f>
        <v>C-1016</v>
      </c>
      <c r="Z1243" s="118" t="str">
        <f>+VLOOKUP(Agencia[[#This Row],[Filtro Integrado]],Estructura!$I$4:$K$500,3,0)</f>
        <v>FI-993</v>
      </c>
      <c r="AA1243" s="118" t="str">
        <f>+VLOOKUP(Agencia[[#This Row],[Muestra]],Estructura!$M$4:$O$500,3,0)</f>
        <v>M-1091</v>
      </c>
    </row>
    <row r="1244" spans="1:27" ht="60" x14ac:dyDescent="0.3">
      <c r="A1244" s="21" t="s">
        <v>3958</v>
      </c>
      <c r="B1244" s="24">
        <v>990</v>
      </c>
      <c r="C1244" s="25" t="s">
        <v>401</v>
      </c>
      <c r="D1244" s="10" t="s">
        <v>3905</v>
      </c>
      <c r="E1244" s="19">
        <v>7</v>
      </c>
      <c r="F1244" s="10" t="s">
        <v>3906</v>
      </c>
      <c r="G1244" s="10" t="s">
        <v>4685</v>
      </c>
      <c r="H1244" s="35" t="s">
        <v>16</v>
      </c>
      <c r="I1244" s="36" t="s">
        <v>374</v>
      </c>
      <c r="J1244" s="9" t="s">
        <v>404</v>
      </c>
      <c r="K1244" s="9" t="s">
        <v>3908</v>
      </c>
      <c r="L1244" s="9" t="s">
        <v>3909</v>
      </c>
      <c r="M1244" s="9" t="s">
        <v>3910</v>
      </c>
      <c r="N1244" s="9" t="s">
        <v>1459</v>
      </c>
      <c r="O1244" s="20" t="s">
        <v>4844</v>
      </c>
      <c r="P1244" s="20"/>
      <c r="Q1244" s="11" t="s">
        <v>821</v>
      </c>
      <c r="R1244" s="20" t="s">
        <v>4845</v>
      </c>
      <c r="S1244" s="39" t="s">
        <v>4422</v>
      </c>
      <c r="T1244" s="70" t="s">
        <v>3754</v>
      </c>
      <c r="U1244" s="120" t="s">
        <v>399</v>
      </c>
      <c r="V1244" s="118" t="str">
        <f>+Agencia[[#This Row],[idcoleccion]]&amp;"-"&amp;Agencia[[#This Row],[id]]</f>
        <v>990-1233</v>
      </c>
      <c r="W1244" s="118">
        <f>+VLOOKUP(Agencia[[#This Row],[Filtro URL]],Estructura!$X$4:$Y$500,2,0)</f>
        <v>99200007</v>
      </c>
      <c r="X1244" s="118" t="str">
        <f>+VLOOKUP(Agencia[[#This Row],[tema]],Estructura!$A$4:$C$500,3,0)</f>
        <v>T-1048</v>
      </c>
      <c r="Y1244" s="118" t="str">
        <f>+VLOOKUP(Agencia[[#This Row],[contenido]],Estructura!$E$4:$G$500,3,0)</f>
        <v>C-1016</v>
      </c>
      <c r="Z1244" s="118" t="str">
        <f>+VLOOKUP(Agencia[[#This Row],[Filtro Integrado]],Estructura!$I$4:$K$500,3,0)</f>
        <v>FI-993</v>
      </c>
      <c r="AA1244" s="118" t="str">
        <f>+VLOOKUP(Agencia[[#This Row],[Muestra]],Estructura!$M$4:$O$500,3,0)</f>
        <v>M-1091</v>
      </c>
    </row>
    <row r="1245" spans="1:27" ht="60" x14ac:dyDescent="0.3">
      <c r="A1245" s="21" t="s">
        <v>3959</v>
      </c>
      <c r="B1245" s="24">
        <v>990</v>
      </c>
      <c r="C1245" s="25" t="s">
        <v>401</v>
      </c>
      <c r="D1245" s="10" t="s">
        <v>3905</v>
      </c>
      <c r="E1245" s="19">
        <v>8</v>
      </c>
      <c r="F1245" s="10" t="s">
        <v>3906</v>
      </c>
      <c r="G1245" s="10" t="s">
        <v>4685</v>
      </c>
      <c r="H1245" s="35" t="s">
        <v>16</v>
      </c>
      <c r="I1245" s="36" t="s">
        <v>375</v>
      </c>
      <c r="J1245" s="9" t="s">
        <v>404</v>
      </c>
      <c r="K1245" s="9" t="s">
        <v>3908</v>
      </c>
      <c r="L1245" s="9" t="s">
        <v>3909</v>
      </c>
      <c r="M1245" s="9" t="s">
        <v>3910</v>
      </c>
      <c r="N1245" s="9" t="s">
        <v>1459</v>
      </c>
      <c r="O1245" s="20" t="s">
        <v>4846</v>
      </c>
      <c r="P1245" s="20"/>
      <c r="Q1245" s="11" t="s">
        <v>821</v>
      </c>
      <c r="R1245" s="20" t="s">
        <v>4847</v>
      </c>
      <c r="S1245" s="39" t="s">
        <v>4423</v>
      </c>
      <c r="T1245" s="70" t="s">
        <v>3759</v>
      </c>
      <c r="U1245" s="50" t="s">
        <v>399</v>
      </c>
      <c r="V1245" s="118" t="str">
        <f>+Agencia[[#This Row],[idcoleccion]]&amp;"-"&amp;Agencia[[#This Row],[id]]</f>
        <v>990-1234</v>
      </c>
      <c r="W1245" s="118">
        <f>+VLOOKUP(Agencia[[#This Row],[Filtro URL]],Estructura!$X$4:$Y$500,2,0)</f>
        <v>99200008</v>
      </c>
      <c r="X1245" s="118" t="str">
        <f>+VLOOKUP(Agencia[[#This Row],[tema]],Estructura!$A$4:$C$500,3,0)</f>
        <v>T-1048</v>
      </c>
      <c r="Y1245" s="118" t="str">
        <f>+VLOOKUP(Agencia[[#This Row],[contenido]],Estructura!$E$4:$G$500,3,0)</f>
        <v>C-1016</v>
      </c>
      <c r="Z1245" s="118" t="str">
        <f>+VLOOKUP(Agencia[[#This Row],[Filtro Integrado]],Estructura!$I$4:$K$500,3,0)</f>
        <v>FI-993</v>
      </c>
      <c r="AA1245" s="118" t="str">
        <f>+VLOOKUP(Agencia[[#This Row],[Muestra]],Estructura!$M$4:$O$500,3,0)</f>
        <v>M-1091</v>
      </c>
    </row>
    <row r="1246" spans="1:27" ht="60" x14ac:dyDescent="0.3">
      <c r="A1246" s="21" t="s">
        <v>3960</v>
      </c>
      <c r="B1246" s="24">
        <v>990</v>
      </c>
      <c r="C1246" s="25" t="s">
        <v>401</v>
      </c>
      <c r="D1246" s="10" t="s">
        <v>3905</v>
      </c>
      <c r="E1246" s="19">
        <v>9</v>
      </c>
      <c r="F1246" s="10" t="s">
        <v>3906</v>
      </c>
      <c r="G1246" s="10" t="s">
        <v>4685</v>
      </c>
      <c r="H1246" s="35" t="s">
        <v>16</v>
      </c>
      <c r="I1246" s="36" t="s">
        <v>376</v>
      </c>
      <c r="J1246" s="9" t="s">
        <v>404</v>
      </c>
      <c r="K1246" s="9" t="s">
        <v>3908</v>
      </c>
      <c r="L1246" s="9" t="s">
        <v>3909</v>
      </c>
      <c r="M1246" s="9" t="s">
        <v>3910</v>
      </c>
      <c r="N1246" s="9" t="s">
        <v>1459</v>
      </c>
      <c r="O1246" s="20" t="s">
        <v>4848</v>
      </c>
      <c r="P1246" s="20"/>
      <c r="Q1246" s="11" t="s">
        <v>821</v>
      </c>
      <c r="R1246" s="20" t="s">
        <v>4849</v>
      </c>
      <c r="S1246" s="39" t="s">
        <v>4424</v>
      </c>
      <c r="T1246" s="70" t="s">
        <v>3750</v>
      </c>
      <c r="U1246" s="50" t="s">
        <v>399</v>
      </c>
      <c r="V1246" s="118" t="str">
        <f>+Agencia[[#This Row],[idcoleccion]]&amp;"-"&amp;Agencia[[#This Row],[id]]</f>
        <v>990-1235</v>
      </c>
      <c r="W1246" s="118">
        <f>+VLOOKUP(Agencia[[#This Row],[Filtro URL]],Estructura!$X$4:$Y$500,2,0)</f>
        <v>99200009</v>
      </c>
      <c r="X1246" s="118" t="str">
        <f>+VLOOKUP(Agencia[[#This Row],[tema]],Estructura!$A$4:$C$500,3,0)</f>
        <v>T-1048</v>
      </c>
      <c r="Y1246" s="118" t="str">
        <f>+VLOOKUP(Agencia[[#This Row],[contenido]],Estructura!$E$4:$G$500,3,0)</f>
        <v>C-1016</v>
      </c>
      <c r="Z1246" s="118" t="str">
        <f>+VLOOKUP(Agencia[[#This Row],[Filtro Integrado]],Estructura!$I$4:$K$500,3,0)</f>
        <v>FI-993</v>
      </c>
      <c r="AA1246" s="118" t="str">
        <f>+VLOOKUP(Agencia[[#This Row],[Muestra]],Estructura!$M$4:$O$500,3,0)</f>
        <v>M-1091</v>
      </c>
    </row>
    <row r="1247" spans="1:27" ht="60" x14ac:dyDescent="0.3">
      <c r="A1247" s="21" t="s">
        <v>3961</v>
      </c>
      <c r="B1247" s="24">
        <v>990</v>
      </c>
      <c r="C1247" s="25" t="s">
        <v>401</v>
      </c>
      <c r="D1247" s="10" t="s">
        <v>3905</v>
      </c>
      <c r="E1247" s="19">
        <v>10</v>
      </c>
      <c r="F1247" s="10" t="s">
        <v>3906</v>
      </c>
      <c r="G1247" s="10" t="s">
        <v>4685</v>
      </c>
      <c r="H1247" s="35" t="s">
        <v>16</v>
      </c>
      <c r="I1247" s="36" t="s">
        <v>377</v>
      </c>
      <c r="J1247" s="9" t="s">
        <v>404</v>
      </c>
      <c r="K1247" s="9" t="s">
        <v>3908</v>
      </c>
      <c r="L1247" s="9" t="s">
        <v>3909</v>
      </c>
      <c r="M1247" s="9" t="s">
        <v>3910</v>
      </c>
      <c r="N1247" s="9" t="s">
        <v>1459</v>
      </c>
      <c r="O1247" s="20" t="s">
        <v>4850</v>
      </c>
      <c r="P1247" s="20"/>
      <c r="Q1247" s="11" t="s">
        <v>821</v>
      </c>
      <c r="R1247" s="20" t="s">
        <v>4851</v>
      </c>
      <c r="S1247" s="39" t="s">
        <v>4425</v>
      </c>
      <c r="T1247" s="70" t="s">
        <v>3751</v>
      </c>
      <c r="U1247" s="120" t="s">
        <v>399</v>
      </c>
      <c r="V1247" s="118" t="str">
        <f>+Agencia[[#This Row],[idcoleccion]]&amp;"-"&amp;Agencia[[#This Row],[id]]</f>
        <v>990-1236</v>
      </c>
      <c r="W1247" s="118">
        <f>+VLOOKUP(Agencia[[#This Row],[Filtro URL]],Estructura!$X$4:$Y$500,2,0)</f>
        <v>99200010</v>
      </c>
      <c r="X1247" s="118" t="str">
        <f>+VLOOKUP(Agencia[[#This Row],[tema]],Estructura!$A$4:$C$500,3,0)</f>
        <v>T-1048</v>
      </c>
      <c r="Y1247" s="118" t="str">
        <f>+VLOOKUP(Agencia[[#This Row],[contenido]],Estructura!$E$4:$G$500,3,0)</f>
        <v>C-1016</v>
      </c>
      <c r="Z1247" s="118" t="str">
        <f>+VLOOKUP(Agencia[[#This Row],[Filtro Integrado]],Estructura!$I$4:$K$500,3,0)</f>
        <v>FI-993</v>
      </c>
      <c r="AA1247" s="118" t="str">
        <f>+VLOOKUP(Agencia[[#This Row],[Muestra]],Estructura!$M$4:$O$500,3,0)</f>
        <v>M-1091</v>
      </c>
    </row>
    <row r="1248" spans="1:27" ht="60" x14ac:dyDescent="0.3">
      <c r="A1248" s="21" t="s">
        <v>3962</v>
      </c>
      <c r="B1248" s="24">
        <v>990</v>
      </c>
      <c r="C1248" s="25" t="s">
        <v>401</v>
      </c>
      <c r="D1248" s="10" t="s">
        <v>3905</v>
      </c>
      <c r="E1248" s="19">
        <v>11</v>
      </c>
      <c r="F1248" s="10" t="s">
        <v>3906</v>
      </c>
      <c r="G1248" s="10" t="s">
        <v>4685</v>
      </c>
      <c r="H1248" s="35" t="s">
        <v>16</v>
      </c>
      <c r="I1248" s="36" t="s">
        <v>378</v>
      </c>
      <c r="J1248" s="9" t="s">
        <v>404</v>
      </c>
      <c r="K1248" s="9" t="s">
        <v>3908</v>
      </c>
      <c r="L1248" s="9" t="s">
        <v>3909</v>
      </c>
      <c r="M1248" s="9" t="s">
        <v>3910</v>
      </c>
      <c r="N1248" s="9" t="s">
        <v>1459</v>
      </c>
      <c r="O1248" s="20" t="s">
        <v>4852</v>
      </c>
      <c r="P1248" s="20"/>
      <c r="Q1248" s="11" t="s">
        <v>821</v>
      </c>
      <c r="R1248" s="20" t="s">
        <v>4853</v>
      </c>
      <c r="S1248" s="39" t="s">
        <v>4426</v>
      </c>
      <c r="T1248" s="70" t="s">
        <v>3748</v>
      </c>
      <c r="U1248" s="50" t="s">
        <v>399</v>
      </c>
      <c r="V1248" s="118" t="str">
        <f>+Agencia[[#This Row],[idcoleccion]]&amp;"-"&amp;Agencia[[#This Row],[id]]</f>
        <v>990-1237</v>
      </c>
      <c r="W1248" s="118">
        <f>+VLOOKUP(Agencia[[#This Row],[Filtro URL]],Estructura!$X$4:$Y$500,2,0)</f>
        <v>99200011</v>
      </c>
      <c r="X1248" s="118" t="str">
        <f>+VLOOKUP(Agencia[[#This Row],[tema]],Estructura!$A$4:$C$500,3,0)</f>
        <v>T-1048</v>
      </c>
      <c r="Y1248" s="118" t="str">
        <f>+VLOOKUP(Agencia[[#This Row],[contenido]],Estructura!$E$4:$G$500,3,0)</f>
        <v>C-1016</v>
      </c>
      <c r="Z1248" s="118" t="str">
        <f>+VLOOKUP(Agencia[[#This Row],[Filtro Integrado]],Estructura!$I$4:$K$500,3,0)</f>
        <v>FI-993</v>
      </c>
      <c r="AA1248" s="118" t="str">
        <f>+VLOOKUP(Agencia[[#This Row],[Muestra]],Estructura!$M$4:$O$500,3,0)</f>
        <v>M-1091</v>
      </c>
    </row>
    <row r="1249" spans="1:27" ht="60" x14ac:dyDescent="0.3">
      <c r="A1249" s="21" t="s">
        <v>3963</v>
      </c>
      <c r="B1249" s="24">
        <v>990</v>
      </c>
      <c r="C1249" s="25" t="s">
        <v>401</v>
      </c>
      <c r="D1249" s="10" t="s">
        <v>3905</v>
      </c>
      <c r="E1249" s="19">
        <v>12</v>
      </c>
      <c r="F1249" s="10" t="s">
        <v>3906</v>
      </c>
      <c r="G1249" s="10" t="s">
        <v>4685</v>
      </c>
      <c r="H1249" s="35" t="s">
        <v>16</v>
      </c>
      <c r="I1249" s="36" t="s">
        <v>379</v>
      </c>
      <c r="J1249" s="9" t="s">
        <v>404</v>
      </c>
      <c r="K1249" s="9" t="s">
        <v>3908</v>
      </c>
      <c r="L1249" s="9" t="s">
        <v>3909</v>
      </c>
      <c r="M1249" s="9" t="s">
        <v>3910</v>
      </c>
      <c r="N1249" s="9" t="s">
        <v>1459</v>
      </c>
      <c r="O1249" s="20" t="s">
        <v>4854</v>
      </c>
      <c r="P1249" s="20"/>
      <c r="Q1249" s="11" t="s">
        <v>821</v>
      </c>
      <c r="R1249" s="20" t="s">
        <v>4855</v>
      </c>
      <c r="S1249" s="39" t="s">
        <v>4427</v>
      </c>
      <c r="T1249" s="70" t="s">
        <v>3753</v>
      </c>
      <c r="U1249" s="50" t="s">
        <v>399</v>
      </c>
      <c r="V1249" s="118" t="str">
        <f>+Agencia[[#This Row],[idcoleccion]]&amp;"-"&amp;Agencia[[#This Row],[id]]</f>
        <v>990-1238</v>
      </c>
      <c r="W1249" s="118">
        <f>+VLOOKUP(Agencia[[#This Row],[Filtro URL]],Estructura!$X$4:$Y$500,2,0)</f>
        <v>99200012</v>
      </c>
      <c r="X1249" s="118" t="str">
        <f>+VLOOKUP(Agencia[[#This Row],[tema]],Estructura!$A$4:$C$500,3,0)</f>
        <v>T-1048</v>
      </c>
      <c r="Y1249" s="118" t="str">
        <f>+VLOOKUP(Agencia[[#This Row],[contenido]],Estructura!$E$4:$G$500,3,0)</f>
        <v>C-1016</v>
      </c>
      <c r="Z1249" s="118" t="str">
        <f>+VLOOKUP(Agencia[[#This Row],[Filtro Integrado]],Estructura!$I$4:$K$500,3,0)</f>
        <v>FI-993</v>
      </c>
      <c r="AA1249" s="118" t="str">
        <f>+VLOOKUP(Agencia[[#This Row],[Muestra]],Estructura!$M$4:$O$500,3,0)</f>
        <v>M-1091</v>
      </c>
    </row>
    <row r="1250" spans="1:27" ht="60" x14ac:dyDescent="0.3">
      <c r="A1250" s="21" t="s">
        <v>3964</v>
      </c>
      <c r="B1250" s="24">
        <v>990</v>
      </c>
      <c r="C1250" s="25" t="s">
        <v>401</v>
      </c>
      <c r="D1250" s="10" t="s">
        <v>3905</v>
      </c>
      <c r="E1250" s="19">
        <v>13</v>
      </c>
      <c r="F1250" s="10" t="s">
        <v>3906</v>
      </c>
      <c r="G1250" s="10" t="s">
        <v>4685</v>
      </c>
      <c r="H1250" s="35" t="s">
        <v>16</v>
      </c>
      <c r="I1250" s="36" t="s">
        <v>380</v>
      </c>
      <c r="J1250" s="9" t="s">
        <v>404</v>
      </c>
      <c r="K1250" s="9" t="s">
        <v>3908</v>
      </c>
      <c r="L1250" s="9" t="s">
        <v>3909</v>
      </c>
      <c r="M1250" s="9" t="s">
        <v>3910</v>
      </c>
      <c r="N1250" s="9" t="s">
        <v>1459</v>
      </c>
      <c r="O1250" s="20" t="s">
        <v>4856</v>
      </c>
      <c r="P1250" s="20"/>
      <c r="Q1250" s="11" t="s">
        <v>821</v>
      </c>
      <c r="R1250" s="20" t="s">
        <v>4857</v>
      </c>
      <c r="S1250" s="39" t="s">
        <v>4428</v>
      </c>
      <c r="T1250" s="70" t="s">
        <v>3760</v>
      </c>
      <c r="U1250" s="120" t="s">
        <v>399</v>
      </c>
      <c r="V1250" s="118" t="str">
        <f>+Agencia[[#This Row],[idcoleccion]]&amp;"-"&amp;Agencia[[#This Row],[id]]</f>
        <v>990-1239</v>
      </c>
      <c r="W1250" s="118">
        <f>+VLOOKUP(Agencia[[#This Row],[Filtro URL]],Estructura!$X$4:$Y$500,2,0)</f>
        <v>99200013</v>
      </c>
      <c r="X1250" s="118" t="str">
        <f>+VLOOKUP(Agencia[[#This Row],[tema]],Estructura!$A$4:$C$500,3,0)</f>
        <v>T-1048</v>
      </c>
      <c r="Y1250" s="118" t="str">
        <f>+VLOOKUP(Agencia[[#This Row],[contenido]],Estructura!$E$4:$G$500,3,0)</f>
        <v>C-1016</v>
      </c>
      <c r="Z1250" s="118" t="str">
        <f>+VLOOKUP(Agencia[[#This Row],[Filtro Integrado]],Estructura!$I$4:$K$500,3,0)</f>
        <v>FI-993</v>
      </c>
      <c r="AA1250" s="118" t="str">
        <f>+VLOOKUP(Agencia[[#This Row],[Muestra]],Estructura!$M$4:$O$500,3,0)</f>
        <v>M-1091</v>
      </c>
    </row>
    <row r="1251" spans="1:27" ht="60" x14ac:dyDescent="0.3">
      <c r="A1251" s="21" t="s">
        <v>3965</v>
      </c>
      <c r="B1251" s="24">
        <v>990</v>
      </c>
      <c r="C1251" s="25" t="s">
        <v>401</v>
      </c>
      <c r="D1251" s="10" t="s">
        <v>3905</v>
      </c>
      <c r="E1251" s="19">
        <v>14</v>
      </c>
      <c r="F1251" s="10" t="s">
        <v>3906</v>
      </c>
      <c r="G1251" s="10" t="s">
        <v>4685</v>
      </c>
      <c r="H1251" s="35" t="s">
        <v>16</v>
      </c>
      <c r="I1251" s="36" t="s">
        <v>381</v>
      </c>
      <c r="J1251" s="9" t="s">
        <v>404</v>
      </c>
      <c r="K1251" s="9" t="s">
        <v>3908</v>
      </c>
      <c r="L1251" s="9" t="s">
        <v>3909</v>
      </c>
      <c r="M1251" s="9" t="s">
        <v>3910</v>
      </c>
      <c r="N1251" s="9" t="s">
        <v>1459</v>
      </c>
      <c r="O1251" s="20" t="s">
        <v>4858</v>
      </c>
      <c r="P1251" s="20"/>
      <c r="Q1251" s="11" t="s">
        <v>821</v>
      </c>
      <c r="R1251" s="20" t="s">
        <v>4859</v>
      </c>
      <c r="S1251" s="39" t="s">
        <v>4429</v>
      </c>
      <c r="T1251" s="70" t="s">
        <v>3752</v>
      </c>
      <c r="U1251" s="50" t="s">
        <v>399</v>
      </c>
      <c r="V1251" s="118" t="str">
        <f>+Agencia[[#This Row],[idcoleccion]]&amp;"-"&amp;Agencia[[#This Row],[id]]</f>
        <v>990-1240</v>
      </c>
      <c r="W1251" s="118">
        <f>+VLOOKUP(Agencia[[#This Row],[Filtro URL]],Estructura!$X$4:$Y$500,2,0)</f>
        <v>99200014</v>
      </c>
      <c r="X1251" s="118" t="str">
        <f>+VLOOKUP(Agencia[[#This Row],[tema]],Estructura!$A$4:$C$500,3,0)</f>
        <v>T-1048</v>
      </c>
      <c r="Y1251" s="118" t="str">
        <f>+VLOOKUP(Agencia[[#This Row],[contenido]],Estructura!$E$4:$G$500,3,0)</f>
        <v>C-1016</v>
      </c>
      <c r="Z1251" s="118" t="str">
        <f>+VLOOKUP(Agencia[[#This Row],[Filtro Integrado]],Estructura!$I$4:$K$500,3,0)</f>
        <v>FI-993</v>
      </c>
      <c r="AA1251" s="118" t="str">
        <f>+VLOOKUP(Agencia[[#This Row],[Muestra]],Estructura!$M$4:$O$500,3,0)</f>
        <v>M-1091</v>
      </c>
    </row>
    <row r="1252" spans="1:27" ht="60" x14ac:dyDescent="0.3">
      <c r="A1252" s="21" t="s">
        <v>3966</v>
      </c>
      <c r="B1252" s="24">
        <v>990</v>
      </c>
      <c r="C1252" s="25" t="s">
        <v>401</v>
      </c>
      <c r="D1252" s="10" t="s">
        <v>3905</v>
      </c>
      <c r="E1252" s="19">
        <v>15</v>
      </c>
      <c r="F1252" s="10" t="s">
        <v>3906</v>
      </c>
      <c r="G1252" s="10" t="s">
        <v>4685</v>
      </c>
      <c r="H1252" s="35" t="s">
        <v>16</v>
      </c>
      <c r="I1252" s="36" t="s">
        <v>382</v>
      </c>
      <c r="J1252" s="9" t="s">
        <v>404</v>
      </c>
      <c r="K1252" s="9" t="s">
        <v>3908</v>
      </c>
      <c r="L1252" s="9" t="s">
        <v>3909</v>
      </c>
      <c r="M1252" s="9" t="s">
        <v>3910</v>
      </c>
      <c r="N1252" s="9" t="s">
        <v>1459</v>
      </c>
      <c r="O1252" s="20" t="s">
        <v>4860</v>
      </c>
      <c r="P1252" s="20"/>
      <c r="Q1252" s="11" t="s">
        <v>821</v>
      </c>
      <c r="R1252" s="20" t="s">
        <v>4861</v>
      </c>
      <c r="S1252" s="39" t="s">
        <v>4430</v>
      </c>
      <c r="T1252" s="70" t="s">
        <v>3746</v>
      </c>
      <c r="U1252" s="50" t="s">
        <v>399</v>
      </c>
      <c r="V1252" s="118" t="str">
        <f>+Agencia[[#This Row],[idcoleccion]]&amp;"-"&amp;Agencia[[#This Row],[id]]</f>
        <v>990-1241</v>
      </c>
      <c r="W1252" s="118">
        <f>+VLOOKUP(Agencia[[#This Row],[Filtro URL]],Estructura!$X$4:$Y$500,2,0)</f>
        <v>99200015</v>
      </c>
      <c r="X1252" s="118" t="str">
        <f>+VLOOKUP(Agencia[[#This Row],[tema]],Estructura!$A$4:$C$500,3,0)</f>
        <v>T-1048</v>
      </c>
      <c r="Y1252" s="118" t="str">
        <f>+VLOOKUP(Agencia[[#This Row],[contenido]],Estructura!$E$4:$G$500,3,0)</f>
        <v>C-1016</v>
      </c>
      <c r="Z1252" s="118" t="str">
        <f>+VLOOKUP(Agencia[[#This Row],[Filtro Integrado]],Estructura!$I$4:$K$500,3,0)</f>
        <v>FI-993</v>
      </c>
      <c r="AA1252" s="118" t="str">
        <f>+VLOOKUP(Agencia[[#This Row],[Muestra]],Estructura!$M$4:$O$500,3,0)</f>
        <v>M-1091</v>
      </c>
    </row>
    <row r="1253" spans="1:27" ht="60" x14ac:dyDescent="0.3">
      <c r="A1253" s="21" t="s">
        <v>3968</v>
      </c>
      <c r="B1253" s="24">
        <v>990</v>
      </c>
      <c r="C1253" s="25" t="s">
        <v>401</v>
      </c>
      <c r="D1253" s="10" t="s">
        <v>3905</v>
      </c>
      <c r="E1253" s="19">
        <v>16</v>
      </c>
      <c r="F1253" s="10" t="s">
        <v>3906</v>
      </c>
      <c r="G1253" s="10" t="s">
        <v>4685</v>
      </c>
      <c r="H1253" s="35" t="s">
        <v>16</v>
      </c>
      <c r="I1253" s="36" t="s">
        <v>383</v>
      </c>
      <c r="J1253" s="9" t="s">
        <v>404</v>
      </c>
      <c r="K1253" s="9" t="s">
        <v>3908</v>
      </c>
      <c r="L1253" s="9" t="s">
        <v>3909</v>
      </c>
      <c r="M1253" s="9" t="s">
        <v>3910</v>
      </c>
      <c r="N1253" s="9" t="s">
        <v>1459</v>
      </c>
      <c r="O1253" s="20" t="s">
        <v>4862</v>
      </c>
      <c r="P1253" s="20"/>
      <c r="Q1253" s="11" t="s">
        <v>821</v>
      </c>
      <c r="R1253" s="20" t="s">
        <v>4863</v>
      </c>
      <c r="S1253" s="39" t="s">
        <v>4864</v>
      </c>
      <c r="T1253" s="70" t="s">
        <v>3755</v>
      </c>
      <c r="U1253" s="120" t="s">
        <v>399</v>
      </c>
      <c r="V1253" s="118" t="str">
        <f>+Agencia[[#This Row],[idcoleccion]]&amp;"-"&amp;Agencia[[#This Row],[id]]</f>
        <v>990-1242</v>
      </c>
      <c r="W1253" s="118">
        <f>+VLOOKUP(Agencia[[#This Row],[Filtro URL]],Estructura!$X$4:$Y$500,2,0)</f>
        <v>99200016</v>
      </c>
      <c r="X1253" s="118" t="str">
        <f>+VLOOKUP(Agencia[[#This Row],[tema]],Estructura!$A$4:$C$500,3,0)</f>
        <v>T-1048</v>
      </c>
      <c r="Y1253" s="118" t="str">
        <f>+VLOOKUP(Agencia[[#This Row],[contenido]],Estructura!$E$4:$G$500,3,0)</f>
        <v>C-1016</v>
      </c>
      <c r="Z1253" s="118" t="str">
        <f>+VLOOKUP(Agencia[[#This Row],[Filtro Integrado]],Estructura!$I$4:$K$500,3,0)</f>
        <v>FI-993</v>
      </c>
      <c r="AA1253" s="118" t="str">
        <f>+VLOOKUP(Agencia[[#This Row],[Muestra]],Estructura!$M$4:$O$500,3,0)</f>
        <v>M-1091</v>
      </c>
    </row>
    <row r="1254" spans="1:27" ht="48" x14ac:dyDescent="0.3">
      <c r="A1254" s="21" t="s">
        <v>3969</v>
      </c>
      <c r="B1254" s="24">
        <v>990</v>
      </c>
      <c r="C1254" s="25" t="s">
        <v>401</v>
      </c>
      <c r="D1254" s="10" t="s">
        <v>3905</v>
      </c>
      <c r="E1254" s="14">
        <v>0</v>
      </c>
      <c r="F1254" s="10" t="s">
        <v>1468</v>
      </c>
      <c r="G1254" s="10" t="s">
        <v>4685</v>
      </c>
      <c r="H1254" s="33" t="s">
        <v>20</v>
      </c>
      <c r="I1254" s="34" t="s">
        <v>15</v>
      </c>
      <c r="J1254" s="9" t="s">
        <v>16</v>
      </c>
      <c r="K1254" s="9" t="s">
        <v>3930</v>
      </c>
      <c r="L1254" s="9" t="s">
        <v>1470</v>
      </c>
      <c r="M1254" s="9" t="s">
        <v>1469</v>
      </c>
      <c r="N1254" s="9" t="s">
        <v>1459</v>
      </c>
      <c r="O1254" s="20" t="s">
        <v>4865</v>
      </c>
      <c r="P1254" s="20"/>
      <c r="Q1254" s="11" t="s">
        <v>821</v>
      </c>
      <c r="R1254" s="20" t="s">
        <v>4866</v>
      </c>
      <c r="S1254" s="39" t="s">
        <v>3931</v>
      </c>
      <c r="T1254" s="70" t="s">
        <v>855</v>
      </c>
      <c r="U1254" s="50" t="s">
        <v>399</v>
      </c>
      <c r="V1254" s="118" t="str">
        <f>+Agencia[[#This Row],[idcoleccion]]&amp;"-"&amp;Agencia[[#This Row],[id]]</f>
        <v>990-1243</v>
      </c>
      <c r="W1254" s="118">
        <f>+VLOOKUP(Agencia[[#This Row],[Filtro URL]],Estructura!$X$4:$Y$500,2,0)</f>
        <v>99100000</v>
      </c>
      <c r="X1254" s="118" t="str">
        <f>+VLOOKUP(Agencia[[#This Row],[tema]],Estructura!$A$4:$C$500,3,0)</f>
        <v>T-1007</v>
      </c>
      <c r="Y1254" s="118" t="str">
        <f>+VLOOKUP(Agencia[[#This Row],[contenido]],Estructura!$E$4:$G$500,3,0)</f>
        <v>C-1016</v>
      </c>
      <c r="Z1254" s="118" t="str">
        <f>+VLOOKUP(Agencia[[#This Row],[Filtro Integrado]],Estructura!$I$4:$K$500,3,0)</f>
        <v>FI-992</v>
      </c>
      <c r="AA1254" s="118" t="str">
        <f>+VLOOKUP(Agencia[[#This Row],[Muestra]],Estructura!$M$4:$O$500,3,0)</f>
        <v>M-1092</v>
      </c>
    </row>
    <row r="1255" spans="1:27" ht="57.6" x14ac:dyDescent="0.3">
      <c r="A1255" s="21" t="s">
        <v>3970</v>
      </c>
      <c r="B1255" s="24">
        <v>990</v>
      </c>
      <c r="C1255" s="25" t="s">
        <v>401</v>
      </c>
      <c r="D1255" s="10" t="s">
        <v>3905</v>
      </c>
      <c r="E1255" s="19">
        <v>1</v>
      </c>
      <c r="F1255" s="10" t="s">
        <v>1468</v>
      </c>
      <c r="G1255" s="10" t="s">
        <v>4685</v>
      </c>
      <c r="H1255" s="35" t="s">
        <v>16</v>
      </c>
      <c r="I1255" s="36" t="s">
        <v>368</v>
      </c>
      <c r="J1255" s="9" t="s">
        <v>404</v>
      </c>
      <c r="K1255" s="9" t="s">
        <v>3930</v>
      </c>
      <c r="L1255" s="9" t="s">
        <v>1470</v>
      </c>
      <c r="M1255" s="9" t="s">
        <v>1469</v>
      </c>
      <c r="N1255" s="9" t="s">
        <v>1459</v>
      </c>
      <c r="O1255" s="20" t="s">
        <v>4867</v>
      </c>
      <c r="P1255" s="20"/>
      <c r="Q1255" s="11" t="s">
        <v>821</v>
      </c>
      <c r="R1255" s="20" t="s">
        <v>4868</v>
      </c>
      <c r="S1255" s="39" t="s">
        <v>4431</v>
      </c>
      <c r="T1255" s="70" t="s">
        <v>3757</v>
      </c>
      <c r="U1255" s="50" t="s">
        <v>399</v>
      </c>
      <c r="V1255" s="118" t="str">
        <f>+Agencia[[#This Row],[idcoleccion]]&amp;"-"&amp;Agencia[[#This Row],[id]]</f>
        <v>990-1244</v>
      </c>
      <c r="W1255" s="118">
        <f>+VLOOKUP(Agencia[[#This Row],[Filtro URL]],Estructura!$X$4:$Y$500,2,0)</f>
        <v>99200001</v>
      </c>
      <c r="X1255" s="118" t="str">
        <f>+VLOOKUP(Agencia[[#This Row],[tema]],Estructura!$A$4:$C$500,3,0)</f>
        <v>T-1007</v>
      </c>
      <c r="Y1255" s="118" t="str">
        <f>+VLOOKUP(Agencia[[#This Row],[contenido]],Estructura!$E$4:$G$500,3,0)</f>
        <v>C-1016</v>
      </c>
      <c r="Z1255" s="118" t="str">
        <f>+VLOOKUP(Agencia[[#This Row],[Filtro Integrado]],Estructura!$I$4:$K$500,3,0)</f>
        <v>FI-993</v>
      </c>
      <c r="AA1255" s="118" t="str">
        <f>+VLOOKUP(Agencia[[#This Row],[Muestra]],Estructura!$M$4:$O$500,3,0)</f>
        <v>M-1092</v>
      </c>
    </row>
    <row r="1256" spans="1:27" ht="57.6" x14ac:dyDescent="0.3">
      <c r="A1256" s="21" t="s">
        <v>3973</v>
      </c>
      <c r="B1256" s="24">
        <v>990</v>
      </c>
      <c r="C1256" s="25" t="s">
        <v>401</v>
      </c>
      <c r="D1256" s="10" t="s">
        <v>3905</v>
      </c>
      <c r="E1256" s="19">
        <v>2</v>
      </c>
      <c r="F1256" s="10" t="s">
        <v>1468</v>
      </c>
      <c r="G1256" s="10" t="s">
        <v>4685</v>
      </c>
      <c r="H1256" s="35" t="s">
        <v>16</v>
      </c>
      <c r="I1256" s="36" t="s">
        <v>369</v>
      </c>
      <c r="J1256" s="9" t="s">
        <v>404</v>
      </c>
      <c r="K1256" s="9" t="s">
        <v>3930</v>
      </c>
      <c r="L1256" s="9" t="s">
        <v>1470</v>
      </c>
      <c r="M1256" s="9" t="s">
        <v>1469</v>
      </c>
      <c r="N1256" s="9" t="s">
        <v>1459</v>
      </c>
      <c r="O1256" s="20" t="s">
        <v>4869</v>
      </c>
      <c r="P1256" s="20"/>
      <c r="Q1256" s="11" t="s">
        <v>821</v>
      </c>
      <c r="R1256" s="20" t="s">
        <v>4870</v>
      </c>
      <c r="S1256" s="39" t="s">
        <v>4432</v>
      </c>
      <c r="T1256" s="70" t="s">
        <v>3745</v>
      </c>
      <c r="U1256" s="120" t="s">
        <v>399</v>
      </c>
      <c r="V1256" s="118" t="str">
        <f>+Agencia[[#This Row],[idcoleccion]]&amp;"-"&amp;Agencia[[#This Row],[id]]</f>
        <v>990-1245</v>
      </c>
      <c r="W1256" s="118">
        <f>+VLOOKUP(Agencia[[#This Row],[Filtro URL]],Estructura!$X$4:$Y$500,2,0)</f>
        <v>99200002</v>
      </c>
      <c r="X1256" s="118" t="str">
        <f>+VLOOKUP(Agencia[[#This Row],[tema]],Estructura!$A$4:$C$500,3,0)</f>
        <v>T-1007</v>
      </c>
      <c r="Y1256" s="118" t="str">
        <f>+VLOOKUP(Agencia[[#This Row],[contenido]],Estructura!$E$4:$G$500,3,0)</f>
        <v>C-1016</v>
      </c>
      <c r="Z1256" s="118" t="str">
        <f>+VLOOKUP(Agencia[[#This Row],[Filtro Integrado]],Estructura!$I$4:$K$500,3,0)</f>
        <v>FI-993</v>
      </c>
      <c r="AA1256" s="118" t="str">
        <f>+VLOOKUP(Agencia[[#This Row],[Muestra]],Estructura!$M$4:$O$500,3,0)</f>
        <v>M-1092</v>
      </c>
    </row>
    <row r="1257" spans="1:27" ht="57.6" x14ac:dyDescent="0.3">
      <c r="A1257" s="21" t="s">
        <v>3975</v>
      </c>
      <c r="B1257" s="24">
        <v>990</v>
      </c>
      <c r="C1257" s="25" t="s">
        <v>401</v>
      </c>
      <c r="D1257" s="10" t="s">
        <v>3905</v>
      </c>
      <c r="E1257" s="19">
        <v>3</v>
      </c>
      <c r="F1257" s="10" t="s">
        <v>1468</v>
      </c>
      <c r="G1257" s="10" t="s">
        <v>4685</v>
      </c>
      <c r="H1257" s="35" t="s">
        <v>16</v>
      </c>
      <c r="I1257" s="36" t="s">
        <v>370</v>
      </c>
      <c r="J1257" s="9" t="s">
        <v>404</v>
      </c>
      <c r="K1257" s="9" t="s">
        <v>3930</v>
      </c>
      <c r="L1257" s="9" t="s">
        <v>1470</v>
      </c>
      <c r="M1257" s="9" t="s">
        <v>1469</v>
      </c>
      <c r="N1257" s="9" t="s">
        <v>1459</v>
      </c>
      <c r="O1257" s="20" t="s">
        <v>4871</v>
      </c>
      <c r="P1257" s="20"/>
      <c r="Q1257" s="11" t="s">
        <v>821</v>
      </c>
      <c r="R1257" s="20" t="s">
        <v>4872</v>
      </c>
      <c r="S1257" s="39" t="s">
        <v>4433</v>
      </c>
      <c r="T1257" s="70" t="s">
        <v>3747</v>
      </c>
      <c r="U1257" s="50" t="s">
        <v>399</v>
      </c>
      <c r="V1257" s="118" t="str">
        <f>+Agencia[[#This Row],[idcoleccion]]&amp;"-"&amp;Agencia[[#This Row],[id]]</f>
        <v>990-1246</v>
      </c>
      <c r="W1257" s="118">
        <f>+VLOOKUP(Agencia[[#This Row],[Filtro URL]],Estructura!$X$4:$Y$500,2,0)</f>
        <v>99200003</v>
      </c>
      <c r="X1257" s="118" t="str">
        <f>+VLOOKUP(Agencia[[#This Row],[tema]],Estructura!$A$4:$C$500,3,0)</f>
        <v>T-1007</v>
      </c>
      <c r="Y1257" s="118" t="str">
        <f>+VLOOKUP(Agencia[[#This Row],[contenido]],Estructura!$E$4:$G$500,3,0)</f>
        <v>C-1016</v>
      </c>
      <c r="Z1257" s="118" t="str">
        <f>+VLOOKUP(Agencia[[#This Row],[Filtro Integrado]],Estructura!$I$4:$K$500,3,0)</f>
        <v>FI-993</v>
      </c>
      <c r="AA1257" s="118" t="str">
        <f>+VLOOKUP(Agencia[[#This Row],[Muestra]],Estructura!$M$4:$O$500,3,0)</f>
        <v>M-1092</v>
      </c>
    </row>
    <row r="1258" spans="1:27" ht="57.6" x14ac:dyDescent="0.3">
      <c r="A1258" s="21" t="s">
        <v>3977</v>
      </c>
      <c r="B1258" s="24">
        <v>990</v>
      </c>
      <c r="C1258" s="25" t="s">
        <v>401</v>
      </c>
      <c r="D1258" s="10" t="s">
        <v>3905</v>
      </c>
      <c r="E1258" s="19">
        <v>4</v>
      </c>
      <c r="F1258" s="10" t="s">
        <v>1468</v>
      </c>
      <c r="G1258" s="10" t="s">
        <v>4685</v>
      </c>
      <c r="H1258" s="35" t="s">
        <v>16</v>
      </c>
      <c r="I1258" s="36" t="s">
        <v>371</v>
      </c>
      <c r="J1258" s="9" t="s">
        <v>404</v>
      </c>
      <c r="K1258" s="9" t="s">
        <v>3930</v>
      </c>
      <c r="L1258" s="9" t="s">
        <v>1470</v>
      </c>
      <c r="M1258" s="9" t="s">
        <v>1469</v>
      </c>
      <c r="N1258" s="9" t="s">
        <v>1459</v>
      </c>
      <c r="O1258" s="20" t="s">
        <v>4873</v>
      </c>
      <c r="P1258" s="20"/>
      <c r="Q1258" s="11" t="s">
        <v>821</v>
      </c>
      <c r="R1258" s="20" t="s">
        <v>4874</v>
      </c>
      <c r="S1258" s="39" t="s">
        <v>4434</v>
      </c>
      <c r="T1258" s="70" t="s">
        <v>3749</v>
      </c>
      <c r="U1258" s="50" t="s">
        <v>399</v>
      </c>
      <c r="V1258" s="118" t="str">
        <f>+Agencia[[#This Row],[idcoleccion]]&amp;"-"&amp;Agencia[[#This Row],[id]]</f>
        <v>990-1247</v>
      </c>
      <c r="W1258" s="118">
        <f>+VLOOKUP(Agencia[[#This Row],[Filtro URL]],Estructura!$X$4:$Y$500,2,0)</f>
        <v>99200004</v>
      </c>
      <c r="X1258" s="118" t="str">
        <f>+VLOOKUP(Agencia[[#This Row],[tema]],Estructura!$A$4:$C$500,3,0)</f>
        <v>T-1007</v>
      </c>
      <c r="Y1258" s="118" t="str">
        <f>+VLOOKUP(Agencia[[#This Row],[contenido]],Estructura!$E$4:$G$500,3,0)</f>
        <v>C-1016</v>
      </c>
      <c r="Z1258" s="118" t="str">
        <f>+VLOOKUP(Agencia[[#This Row],[Filtro Integrado]],Estructura!$I$4:$K$500,3,0)</f>
        <v>FI-993</v>
      </c>
      <c r="AA1258" s="118" t="str">
        <f>+VLOOKUP(Agencia[[#This Row],[Muestra]],Estructura!$M$4:$O$500,3,0)</f>
        <v>M-1092</v>
      </c>
    </row>
    <row r="1259" spans="1:27" ht="57.6" x14ac:dyDescent="0.3">
      <c r="A1259" s="21" t="s">
        <v>3978</v>
      </c>
      <c r="B1259" s="24">
        <v>990</v>
      </c>
      <c r="C1259" s="25" t="s">
        <v>401</v>
      </c>
      <c r="D1259" s="10" t="s">
        <v>3905</v>
      </c>
      <c r="E1259" s="19">
        <v>5</v>
      </c>
      <c r="F1259" s="10" t="s">
        <v>1468</v>
      </c>
      <c r="G1259" s="10" t="s">
        <v>4685</v>
      </c>
      <c r="H1259" s="35" t="s">
        <v>16</v>
      </c>
      <c r="I1259" s="36" t="s">
        <v>372</v>
      </c>
      <c r="J1259" s="9" t="s">
        <v>404</v>
      </c>
      <c r="K1259" s="9" t="s">
        <v>3930</v>
      </c>
      <c r="L1259" s="9" t="s">
        <v>1470</v>
      </c>
      <c r="M1259" s="9" t="s">
        <v>1469</v>
      </c>
      <c r="N1259" s="9" t="s">
        <v>1459</v>
      </c>
      <c r="O1259" s="20" t="s">
        <v>4875</v>
      </c>
      <c r="P1259" s="20"/>
      <c r="Q1259" s="11" t="s">
        <v>821</v>
      </c>
      <c r="R1259" s="20" t="s">
        <v>4876</v>
      </c>
      <c r="S1259" s="39" t="s">
        <v>4435</v>
      </c>
      <c r="T1259" s="70" t="s">
        <v>3758</v>
      </c>
      <c r="U1259" s="120" t="s">
        <v>399</v>
      </c>
      <c r="V1259" s="118" t="str">
        <f>+Agencia[[#This Row],[idcoleccion]]&amp;"-"&amp;Agencia[[#This Row],[id]]</f>
        <v>990-1248</v>
      </c>
      <c r="W1259" s="118">
        <f>+VLOOKUP(Agencia[[#This Row],[Filtro URL]],Estructura!$X$4:$Y$500,2,0)</f>
        <v>99200005</v>
      </c>
      <c r="X1259" s="118" t="str">
        <f>+VLOOKUP(Agencia[[#This Row],[tema]],Estructura!$A$4:$C$500,3,0)</f>
        <v>T-1007</v>
      </c>
      <c r="Y1259" s="118" t="str">
        <f>+VLOOKUP(Agencia[[#This Row],[contenido]],Estructura!$E$4:$G$500,3,0)</f>
        <v>C-1016</v>
      </c>
      <c r="Z1259" s="118" t="str">
        <f>+VLOOKUP(Agencia[[#This Row],[Filtro Integrado]],Estructura!$I$4:$K$500,3,0)</f>
        <v>FI-993</v>
      </c>
      <c r="AA1259" s="118" t="str">
        <f>+VLOOKUP(Agencia[[#This Row],[Muestra]],Estructura!$M$4:$O$500,3,0)</f>
        <v>M-1092</v>
      </c>
    </row>
    <row r="1260" spans="1:27" ht="57.6" x14ac:dyDescent="0.3">
      <c r="A1260" s="21" t="s">
        <v>3979</v>
      </c>
      <c r="B1260" s="24">
        <v>990</v>
      </c>
      <c r="C1260" s="25" t="s">
        <v>401</v>
      </c>
      <c r="D1260" s="10" t="s">
        <v>3905</v>
      </c>
      <c r="E1260" s="19">
        <v>6</v>
      </c>
      <c r="F1260" s="10" t="s">
        <v>1468</v>
      </c>
      <c r="G1260" s="10" t="s">
        <v>4685</v>
      </c>
      <c r="H1260" s="35" t="s">
        <v>16</v>
      </c>
      <c r="I1260" s="36" t="s">
        <v>373</v>
      </c>
      <c r="J1260" s="9" t="s">
        <v>404</v>
      </c>
      <c r="K1260" s="9" t="s">
        <v>3930</v>
      </c>
      <c r="L1260" s="9" t="s">
        <v>1470</v>
      </c>
      <c r="M1260" s="9" t="s">
        <v>1469</v>
      </c>
      <c r="N1260" s="9" t="s">
        <v>1459</v>
      </c>
      <c r="O1260" s="20" t="s">
        <v>4877</v>
      </c>
      <c r="P1260" s="20"/>
      <c r="Q1260" s="11" t="s">
        <v>821</v>
      </c>
      <c r="R1260" s="20" t="s">
        <v>4878</v>
      </c>
      <c r="S1260" s="39" t="s">
        <v>4436</v>
      </c>
      <c r="T1260" s="70" t="s">
        <v>3756</v>
      </c>
      <c r="U1260" s="50" t="s">
        <v>399</v>
      </c>
      <c r="V1260" s="118" t="str">
        <f>+Agencia[[#This Row],[idcoleccion]]&amp;"-"&amp;Agencia[[#This Row],[id]]</f>
        <v>990-1249</v>
      </c>
      <c r="W1260" s="118">
        <f>+VLOOKUP(Agencia[[#This Row],[Filtro URL]],Estructura!$X$4:$Y$500,2,0)</f>
        <v>99200006</v>
      </c>
      <c r="X1260" s="118" t="str">
        <f>+VLOOKUP(Agencia[[#This Row],[tema]],Estructura!$A$4:$C$500,3,0)</f>
        <v>T-1007</v>
      </c>
      <c r="Y1260" s="118" t="str">
        <f>+VLOOKUP(Agencia[[#This Row],[contenido]],Estructura!$E$4:$G$500,3,0)</f>
        <v>C-1016</v>
      </c>
      <c r="Z1260" s="118" t="str">
        <f>+VLOOKUP(Agencia[[#This Row],[Filtro Integrado]],Estructura!$I$4:$K$500,3,0)</f>
        <v>FI-993</v>
      </c>
      <c r="AA1260" s="118" t="str">
        <f>+VLOOKUP(Agencia[[#This Row],[Muestra]],Estructura!$M$4:$O$500,3,0)</f>
        <v>M-1092</v>
      </c>
    </row>
    <row r="1261" spans="1:27" ht="57.6" x14ac:dyDescent="0.3">
      <c r="A1261" s="21" t="s">
        <v>3980</v>
      </c>
      <c r="B1261" s="24">
        <v>990</v>
      </c>
      <c r="C1261" s="25" t="s">
        <v>401</v>
      </c>
      <c r="D1261" s="10" t="s">
        <v>3905</v>
      </c>
      <c r="E1261" s="19">
        <v>7</v>
      </c>
      <c r="F1261" s="10" t="s">
        <v>1468</v>
      </c>
      <c r="G1261" s="10" t="s">
        <v>4685</v>
      </c>
      <c r="H1261" s="35" t="s">
        <v>16</v>
      </c>
      <c r="I1261" s="36" t="s">
        <v>374</v>
      </c>
      <c r="J1261" s="9" t="s">
        <v>404</v>
      </c>
      <c r="K1261" s="9" t="s">
        <v>3930</v>
      </c>
      <c r="L1261" s="9" t="s">
        <v>1470</v>
      </c>
      <c r="M1261" s="9" t="s">
        <v>1469</v>
      </c>
      <c r="N1261" s="9" t="s">
        <v>1459</v>
      </c>
      <c r="O1261" s="20" t="s">
        <v>4879</v>
      </c>
      <c r="P1261" s="20"/>
      <c r="Q1261" s="11" t="s">
        <v>821</v>
      </c>
      <c r="R1261" s="20" t="s">
        <v>4880</v>
      </c>
      <c r="S1261" s="39" t="s">
        <v>4437</v>
      </c>
      <c r="T1261" s="70" t="s">
        <v>3754</v>
      </c>
      <c r="U1261" s="50" t="s">
        <v>399</v>
      </c>
      <c r="V1261" s="118" t="str">
        <f>+Agencia[[#This Row],[idcoleccion]]&amp;"-"&amp;Agencia[[#This Row],[id]]</f>
        <v>990-1250</v>
      </c>
      <c r="W1261" s="118">
        <f>+VLOOKUP(Agencia[[#This Row],[Filtro URL]],Estructura!$X$4:$Y$500,2,0)</f>
        <v>99200007</v>
      </c>
      <c r="X1261" s="118" t="str">
        <f>+VLOOKUP(Agencia[[#This Row],[tema]],Estructura!$A$4:$C$500,3,0)</f>
        <v>T-1007</v>
      </c>
      <c r="Y1261" s="118" t="str">
        <f>+VLOOKUP(Agencia[[#This Row],[contenido]],Estructura!$E$4:$G$500,3,0)</f>
        <v>C-1016</v>
      </c>
      <c r="Z1261" s="118" t="str">
        <f>+VLOOKUP(Agencia[[#This Row],[Filtro Integrado]],Estructura!$I$4:$K$500,3,0)</f>
        <v>FI-993</v>
      </c>
      <c r="AA1261" s="118" t="str">
        <f>+VLOOKUP(Agencia[[#This Row],[Muestra]],Estructura!$M$4:$O$500,3,0)</f>
        <v>M-1092</v>
      </c>
    </row>
    <row r="1262" spans="1:27" ht="57.6" x14ac:dyDescent="0.3">
      <c r="A1262" s="21" t="s">
        <v>3981</v>
      </c>
      <c r="B1262" s="24">
        <v>990</v>
      </c>
      <c r="C1262" s="25" t="s">
        <v>401</v>
      </c>
      <c r="D1262" s="10" t="s">
        <v>3905</v>
      </c>
      <c r="E1262" s="19">
        <v>8</v>
      </c>
      <c r="F1262" s="10" t="s">
        <v>1468</v>
      </c>
      <c r="G1262" s="10" t="s">
        <v>4685</v>
      </c>
      <c r="H1262" s="35" t="s">
        <v>16</v>
      </c>
      <c r="I1262" s="36" t="s">
        <v>375</v>
      </c>
      <c r="J1262" s="9" t="s">
        <v>404</v>
      </c>
      <c r="K1262" s="9" t="s">
        <v>3930</v>
      </c>
      <c r="L1262" s="9" t="s">
        <v>1470</v>
      </c>
      <c r="M1262" s="9" t="s">
        <v>1469</v>
      </c>
      <c r="N1262" s="9" t="s">
        <v>1459</v>
      </c>
      <c r="O1262" s="20" t="s">
        <v>4881</v>
      </c>
      <c r="P1262" s="20"/>
      <c r="Q1262" s="11" t="s">
        <v>821</v>
      </c>
      <c r="R1262" s="20" t="s">
        <v>4882</v>
      </c>
      <c r="S1262" s="39" t="s">
        <v>4438</v>
      </c>
      <c r="T1262" s="70" t="s">
        <v>3759</v>
      </c>
      <c r="U1262" s="120" t="s">
        <v>399</v>
      </c>
      <c r="V1262" s="118" t="str">
        <f>+Agencia[[#This Row],[idcoleccion]]&amp;"-"&amp;Agencia[[#This Row],[id]]</f>
        <v>990-1251</v>
      </c>
      <c r="W1262" s="118">
        <f>+VLOOKUP(Agencia[[#This Row],[Filtro URL]],Estructura!$X$4:$Y$500,2,0)</f>
        <v>99200008</v>
      </c>
      <c r="X1262" s="118" t="str">
        <f>+VLOOKUP(Agencia[[#This Row],[tema]],Estructura!$A$4:$C$500,3,0)</f>
        <v>T-1007</v>
      </c>
      <c r="Y1262" s="118" t="str">
        <f>+VLOOKUP(Agencia[[#This Row],[contenido]],Estructura!$E$4:$G$500,3,0)</f>
        <v>C-1016</v>
      </c>
      <c r="Z1262" s="118" t="str">
        <f>+VLOOKUP(Agencia[[#This Row],[Filtro Integrado]],Estructura!$I$4:$K$500,3,0)</f>
        <v>FI-993</v>
      </c>
      <c r="AA1262" s="118" t="str">
        <f>+VLOOKUP(Agencia[[#This Row],[Muestra]],Estructura!$M$4:$O$500,3,0)</f>
        <v>M-1092</v>
      </c>
    </row>
    <row r="1263" spans="1:27" ht="57.6" x14ac:dyDescent="0.3">
      <c r="A1263" s="21" t="s">
        <v>3982</v>
      </c>
      <c r="B1263" s="24">
        <v>990</v>
      </c>
      <c r="C1263" s="25" t="s">
        <v>401</v>
      </c>
      <c r="D1263" s="10" t="s">
        <v>3905</v>
      </c>
      <c r="E1263" s="19">
        <v>9</v>
      </c>
      <c r="F1263" s="10" t="s">
        <v>1468</v>
      </c>
      <c r="G1263" s="10" t="s">
        <v>4685</v>
      </c>
      <c r="H1263" s="35" t="s">
        <v>16</v>
      </c>
      <c r="I1263" s="36" t="s">
        <v>376</v>
      </c>
      <c r="J1263" s="9" t="s">
        <v>404</v>
      </c>
      <c r="K1263" s="9" t="s">
        <v>3930</v>
      </c>
      <c r="L1263" s="9" t="s">
        <v>1470</v>
      </c>
      <c r="M1263" s="9" t="s">
        <v>1469</v>
      </c>
      <c r="N1263" s="9" t="s">
        <v>1459</v>
      </c>
      <c r="O1263" s="20" t="s">
        <v>4883</v>
      </c>
      <c r="P1263" s="20"/>
      <c r="Q1263" s="11" t="s">
        <v>821</v>
      </c>
      <c r="R1263" s="20" t="s">
        <v>4884</v>
      </c>
      <c r="S1263" s="39" t="s">
        <v>4439</v>
      </c>
      <c r="T1263" s="70" t="s">
        <v>3750</v>
      </c>
      <c r="U1263" s="50" t="s">
        <v>399</v>
      </c>
      <c r="V1263" s="118" t="str">
        <f>+Agencia[[#This Row],[idcoleccion]]&amp;"-"&amp;Agencia[[#This Row],[id]]</f>
        <v>990-1252</v>
      </c>
      <c r="W1263" s="118">
        <f>+VLOOKUP(Agencia[[#This Row],[Filtro URL]],Estructura!$X$4:$Y$500,2,0)</f>
        <v>99200009</v>
      </c>
      <c r="X1263" s="118" t="str">
        <f>+VLOOKUP(Agencia[[#This Row],[tema]],Estructura!$A$4:$C$500,3,0)</f>
        <v>T-1007</v>
      </c>
      <c r="Y1263" s="118" t="str">
        <f>+VLOOKUP(Agencia[[#This Row],[contenido]],Estructura!$E$4:$G$500,3,0)</f>
        <v>C-1016</v>
      </c>
      <c r="Z1263" s="118" t="str">
        <f>+VLOOKUP(Agencia[[#This Row],[Filtro Integrado]],Estructura!$I$4:$K$500,3,0)</f>
        <v>FI-993</v>
      </c>
      <c r="AA1263" s="118" t="str">
        <f>+VLOOKUP(Agencia[[#This Row],[Muestra]],Estructura!$M$4:$O$500,3,0)</f>
        <v>M-1092</v>
      </c>
    </row>
    <row r="1264" spans="1:27" ht="57.6" x14ac:dyDescent="0.3">
      <c r="A1264" s="21" t="s">
        <v>3983</v>
      </c>
      <c r="B1264" s="24">
        <v>990</v>
      </c>
      <c r="C1264" s="25" t="s">
        <v>401</v>
      </c>
      <c r="D1264" s="10" t="s">
        <v>3905</v>
      </c>
      <c r="E1264" s="19">
        <v>10</v>
      </c>
      <c r="F1264" s="10" t="s">
        <v>1468</v>
      </c>
      <c r="G1264" s="10" t="s">
        <v>4685</v>
      </c>
      <c r="H1264" s="35" t="s">
        <v>16</v>
      </c>
      <c r="I1264" s="36" t="s">
        <v>377</v>
      </c>
      <c r="J1264" s="9" t="s">
        <v>404</v>
      </c>
      <c r="K1264" s="9" t="s">
        <v>3930</v>
      </c>
      <c r="L1264" s="9" t="s">
        <v>1470</v>
      </c>
      <c r="M1264" s="9" t="s">
        <v>1469</v>
      </c>
      <c r="N1264" s="9" t="s">
        <v>1459</v>
      </c>
      <c r="O1264" s="20" t="s">
        <v>4885</v>
      </c>
      <c r="P1264" s="20"/>
      <c r="Q1264" s="11" t="s">
        <v>821</v>
      </c>
      <c r="R1264" s="20" t="s">
        <v>4886</v>
      </c>
      <c r="S1264" s="39" t="s">
        <v>4440</v>
      </c>
      <c r="T1264" s="70" t="s">
        <v>3751</v>
      </c>
      <c r="U1264" s="50" t="s">
        <v>399</v>
      </c>
      <c r="V1264" s="118" t="str">
        <f>+Agencia[[#This Row],[idcoleccion]]&amp;"-"&amp;Agencia[[#This Row],[id]]</f>
        <v>990-1253</v>
      </c>
      <c r="W1264" s="118">
        <f>+VLOOKUP(Agencia[[#This Row],[Filtro URL]],Estructura!$X$4:$Y$500,2,0)</f>
        <v>99200010</v>
      </c>
      <c r="X1264" s="118" t="str">
        <f>+VLOOKUP(Agencia[[#This Row],[tema]],Estructura!$A$4:$C$500,3,0)</f>
        <v>T-1007</v>
      </c>
      <c r="Y1264" s="118" t="str">
        <f>+VLOOKUP(Agencia[[#This Row],[contenido]],Estructura!$E$4:$G$500,3,0)</f>
        <v>C-1016</v>
      </c>
      <c r="Z1264" s="118" t="str">
        <f>+VLOOKUP(Agencia[[#This Row],[Filtro Integrado]],Estructura!$I$4:$K$500,3,0)</f>
        <v>FI-993</v>
      </c>
      <c r="AA1264" s="118" t="str">
        <f>+VLOOKUP(Agencia[[#This Row],[Muestra]],Estructura!$M$4:$O$500,3,0)</f>
        <v>M-1092</v>
      </c>
    </row>
    <row r="1265" spans="1:27" ht="57.6" x14ac:dyDescent="0.3">
      <c r="A1265" s="21" t="s">
        <v>3984</v>
      </c>
      <c r="B1265" s="24">
        <v>990</v>
      </c>
      <c r="C1265" s="25" t="s">
        <v>401</v>
      </c>
      <c r="D1265" s="10" t="s">
        <v>3905</v>
      </c>
      <c r="E1265" s="19">
        <v>11</v>
      </c>
      <c r="F1265" s="10" t="s">
        <v>1468</v>
      </c>
      <c r="G1265" s="10" t="s">
        <v>4685</v>
      </c>
      <c r="H1265" s="35" t="s">
        <v>16</v>
      </c>
      <c r="I1265" s="36" t="s">
        <v>378</v>
      </c>
      <c r="J1265" s="9" t="s">
        <v>404</v>
      </c>
      <c r="K1265" s="9" t="s">
        <v>3930</v>
      </c>
      <c r="L1265" s="9" t="s">
        <v>1470</v>
      </c>
      <c r="M1265" s="9" t="s">
        <v>1469</v>
      </c>
      <c r="N1265" s="9" t="s">
        <v>1459</v>
      </c>
      <c r="O1265" s="20" t="s">
        <v>4887</v>
      </c>
      <c r="P1265" s="20"/>
      <c r="Q1265" s="11" t="s">
        <v>821</v>
      </c>
      <c r="R1265" s="20" t="s">
        <v>4888</v>
      </c>
      <c r="S1265" s="39" t="s">
        <v>4441</v>
      </c>
      <c r="T1265" s="70" t="s">
        <v>3748</v>
      </c>
      <c r="U1265" s="120" t="s">
        <v>399</v>
      </c>
      <c r="V1265" s="118" t="str">
        <f>+Agencia[[#This Row],[idcoleccion]]&amp;"-"&amp;Agencia[[#This Row],[id]]</f>
        <v>990-1254</v>
      </c>
      <c r="W1265" s="118">
        <f>+VLOOKUP(Agencia[[#This Row],[Filtro URL]],Estructura!$X$4:$Y$500,2,0)</f>
        <v>99200011</v>
      </c>
      <c r="X1265" s="118" t="str">
        <f>+VLOOKUP(Agencia[[#This Row],[tema]],Estructura!$A$4:$C$500,3,0)</f>
        <v>T-1007</v>
      </c>
      <c r="Y1265" s="118" t="str">
        <f>+VLOOKUP(Agencia[[#This Row],[contenido]],Estructura!$E$4:$G$500,3,0)</f>
        <v>C-1016</v>
      </c>
      <c r="Z1265" s="118" t="str">
        <f>+VLOOKUP(Agencia[[#This Row],[Filtro Integrado]],Estructura!$I$4:$K$500,3,0)</f>
        <v>FI-993</v>
      </c>
      <c r="AA1265" s="118" t="str">
        <f>+VLOOKUP(Agencia[[#This Row],[Muestra]],Estructura!$M$4:$O$500,3,0)</f>
        <v>M-1092</v>
      </c>
    </row>
    <row r="1266" spans="1:27" ht="57.6" x14ac:dyDescent="0.3">
      <c r="A1266" s="21" t="s">
        <v>3985</v>
      </c>
      <c r="B1266" s="24">
        <v>990</v>
      </c>
      <c r="C1266" s="25" t="s">
        <v>401</v>
      </c>
      <c r="D1266" s="10" t="s">
        <v>3905</v>
      </c>
      <c r="E1266" s="19">
        <v>12</v>
      </c>
      <c r="F1266" s="10" t="s">
        <v>1468</v>
      </c>
      <c r="G1266" s="10" t="s">
        <v>4685</v>
      </c>
      <c r="H1266" s="35" t="s">
        <v>16</v>
      </c>
      <c r="I1266" s="36" t="s">
        <v>379</v>
      </c>
      <c r="J1266" s="9" t="s">
        <v>404</v>
      </c>
      <c r="K1266" s="9" t="s">
        <v>3930</v>
      </c>
      <c r="L1266" s="9" t="s">
        <v>1470</v>
      </c>
      <c r="M1266" s="9" t="s">
        <v>1469</v>
      </c>
      <c r="N1266" s="9" t="s">
        <v>1459</v>
      </c>
      <c r="O1266" s="20" t="s">
        <v>4889</v>
      </c>
      <c r="P1266" s="20"/>
      <c r="Q1266" s="11" t="s">
        <v>821</v>
      </c>
      <c r="R1266" s="20" t="s">
        <v>4890</v>
      </c>
      <c r="S1266" s="39" t="s">
        <v>4442</v>
      </c>
      <c r="T1266" s="70" t="s">
        <v>3753</v>
      </c>
      <c r="U1266" s="50" t="s">
        <v>399</v>
      </c>
      <c r="V1266" s="118" t="str">
        <f>+Agencia[[#This Row],[idcoleccion]]&amp;"-"&amp;Agencia[[#This Row],[id]]</f>
        <v>990-1255</v>
      </c>
      <c r="W1266" s="118">
        <f>+VLOOKUP(Agencia[[#This Row],[Filtro URL]],Estructura!$X$4:$Y$500,2,0)</f>
        <v>99200012</v>
      </c>
      <c r="X1266" s="118" t="str">
        <f>+VLOOKUP(Agencia[[#This Row],[tema]],Estructura!$A$4:$C$500,3,0)</f>
        <v>T-1007</v>
      </c>
      <c r="Y1266" s="118" t="str">
        <f>+VLOOKUP(Agencia[[#This Row],[contenido]],Estructura!$E$4:$G$500,3,0)</f>
        <v>C-1016</v>
      </c>
      <c r="Z1266" s="118" t="str">
        <f>+VLOOKUP(Agencia[[#This Row],[Filtro Integrado]],Estructura!$I$4:$K$500,3,0)</f>
        <v>FI-993</v>
      </c>
      <c r="AA1266" s="118" t="str">
        <f>+VLOOKUP(Agencia[[#This Row],[Muestra]],Estructura!$M$4:$O$500,3,0)</f>
        <v>M-1092</v>
      </c>
    </row>
    <row r="1267" spans="1:27" ht="57.6" x14ac:dyDescent="0.3">
      <c r="A1267" s="21" t="s">
        <v>3986</v>
      </c>
      <c r="B1267" s="24">
        <v>990</v>
      </c>
      <c r="C1267" s="25" t="s">
        <v>401</v>
      </c>
      <c r="D1267" s="10" t="s">
        <v>3905</v>
      </c>
      <c r="E1267" s="19">
        <v>13</v>
      </c>
      <c r="F1267" s="10" t="s">
        <v>1468</v>
      </c>
      <c r="G1267" s="10" t="s">
        <v>4685</v>
      </c>
      <c r="H1267" s="35" t="s">
        <v>16</v>
      </c>
      <c r="I1267" s="36" t="s">
        <v>380</v>
      </c>
      <c r="J1267" s="9" t="s">
        <v>404</v>
      </c>
      <c r="K1267" s="9" t="s">
        <v>3930</v>
      </c>
      <c r="L1267" s="9" t="s">
        <v>1470</v>
      </c>
      <c r="M1267" s="9" t="s">
        <v>1469</v>
      </c>
      <c r="N1267" s="9" t="s">
        <v>1459</v>
      </c>
      <c r="O1267" s="20" t="s">
        <v>4891</v>
      </c>
      <c r="P1267" s="20" t="s">
        <v>3945</v>
      </c>
      <c r="Q1267" s="11" t="s">
        <v>821</v>
      </c>
      <c r="R1267" s="20" t="s">
        <v>4892</v>
      </c>
      <c r="S1267" s="39" t="s">
        <v>4443</v>
      </c>
      <c r="T1267" s="70" t="s">
        <v>3760</v>
      </c>
      <c r="U1267" s="50" t="s">
        <v>399</v>
      </c>
      <c r="V1267" s="118" t="str">
        <f>+Agencia[[#This Row],[idcoleccion]]&amp;"-"&amp;Agencia[[#This Row],[id]]</f>
        <v>990-1256</v>
      </c>
      <c r="W1267" s="118">
        <f>+VLOOKUP(Agencia[[#This Row],[Filtro URL]],Estructura!$X$4:$Y$500,2,0)</f>
        <v>99200013</v>
      </c>
      <c r="X1267" s="118" t="str">
        <f>+VLOOKUP(Agencia[[#This Row],[tema]],Estructura!$A$4:$C$500,3,0)</f>
        <v>T-1007</v>
      </c>
      <c r="Y1267" s="118" t="str">
        <f>+VLOOKUP(Agencia[[#This Row],[contenido]],Estructura!$E$4:$G$500,3,0)</f>
        <v>C-1016</v>
      </c>
      <c r="Z1267" s="118" t="str">
        <f>+VLOOKUP(Agencia[[#This Row],[Filtro Integrado]],Estructura!$I$4:$K$500,3,0)</f>
        <v>FI-993</v>
      </c>
      <c r="AA1267" s="118" t="str">
        <f>+VLOOKUP(Agencia[[#This Row],[Muestra]],Estructura!$M$4:$O$500,3,0)</f>
        <v>M-1092</v>
      </c>
    </row>
    <row r="1268" spans="1:27" ht="57.6" x14ac:dyDescent="0.3">
      <c r="A1268" s="21" t="s">
        <v>3987</v>
      </c>
      <c r="B1268" s="24">
        <v>990</v>
      </c>
      <c r="C1268" s="25" t="s">
        <v>401</v>
      </c>
      <c r="D1268" s="10" t="s">
        <v>3905</v>
      </c>
      <c r="E1268" s="19">
        <v>14</v>
      </c>
      <c r="F1268" s="10" t="s">
        <v>1468</v>
      </c>
      <c r="G1268" s="10" t="s">
        <v>4685</v>
      </c>
      <c r="H1268" s="35" t="s">
        <v>16</v>
      </c>
      <c r="I1268" s="36" t="s">
        <v>381</v>
      </c>
      <c r="J1268" s="9" t="s">
        <v>404</v>
      </c>
      <c r="K1268" s="9" t="s">
        <v>3930</v>
      </c>
      <c r="L1268" s="9" t="s">
        <v>1470</v>
      </c>
      <c r="M1268" s="9" t="s">
        <v>1469</v>
      </c>
      <c r="N1268" s="9" t="s">
        <v>1459</v>
      </c>
      <c r="O1268" s="20" t="s">
        <v>4893</v>
      </c>
      <c r="P1268" s="20"/>
      <c r="Q1268" s="11" t="s">
        <v>821</v>
      </c>
      <c r="R1268" s="20" t="s">
        <v>4894</v>
      </c>
      <c r="S1268" s="39" t="s">
        <v>4444</v>
      </c>
      <c r="T1268" s="70" t="s">
        <v>3752</v>
      </c>
      <c r="U1268" s="120" t="s">
        <v>399</v>
      </c>
      <c r="V1268" s="118" t="str">
        <f>+Agencia[[#This Row],[idcoleccion]]&amp;"-"&amp;Agencia[[#This Row],[id]]</f>
        <v>990-1257</v>
      </c>
      <c r="W1268" s="118">
        <f>+VLOOKUP(Agencia[[#This Row],[Filtro URL]],Estructura!$X$4:$Y$500,2,0)</f>
        <v>99200014</v>
      </c>
      <c r="X1268" s="118" t="str">
        <f>+VLOOKUP(Agencia[[#This Row],[tema]],Estructura!$A$4:$C$500,3,0)</f>
        <v>T-1007</v>
      </c>
      <c r="Y1268" s="118" t="str">
        <f>+VLOOKUP(Agencia[[#This Row],[contenido]],Estructura!$E$4:$G$500,3,0)</f>
        <v>C-1016</v>
      </c>
      <c r="Z1268" s="118" t="str">
        <f>+VLOOKUP(Agencia[[#This Row],[Filtro Integrado]],Estructura!$I$4:$K$500,3,0)</f>
        <v>FI-993</v>
      </c>
      <c r="AA1268" s="118" t="str">
        <f>+VLOOKUP(Agencia[[#This Row],[Muestra]],Estructura!$M$4:$O$500,3,0)</f>
        <v>M-1092</v>
      </c>
    </row>
    <row r="1269" spans="1:27" ht="57.6" x14ac:dyDescent="0.3">
      <c r="A1269" s="21" t="s">
        <v>3988</v>
      </c>
      <c r="B1269" s="24">
        <v>990</v>
      </c>
      <c r="C1269" s="25" t="s">
        <v>401</v>
      </c>
      <c r="D1269" s="10" t="s">
        <v>3905</v>
      </c>
      <c r="E1269" s="19">
        <v>15</v>
      </c>
      <c r="F1269" s="10" t="s">
        <v>1468</v>
      </c>
      <c r="G1269" s="10" t="s">
        <v>4685</v>
      </c>
      <c r="H1269" s="35" t="s">
        <v>16</v>
      </c>
      <c r="I1269" s="36" t="s">
        <v>382</v>
      </c>
      <c r="J1269" s="9" t="s">
        <v>404</v>
      </c>
      <c r="K1269" s="9" t="s">
        <v>3930</v>
      </c>
      <c r="L1269" s="9" t="s">
        <v>1470</v>
      </c>
      <c r="M1269" s="9" t="s">
        <v>1469</v>
      </c>
      <c r="N1269" s="9" t="s">
        <v>1459</v>
      </c>
      <c r="O1269" s="20" t="s">
        <v>4895</v>
      </c>
      <c r="P1269" s="20"/>
      <c r="Q1269" s="11" t="s">
        <v>821</v>
      </c>
      <c r="R1269" s="20" t="s">
        <v>4896</v>
      </c>
      <c r="S1269" s="39" t="s">
        <v>4445</v>
      </c>
      <c r="T1269" s="70" t="s">
        <v>3746</v>
      </c>
      <c r="U1269" s="50" t="s">
        <v>399</v>
      </c>
      <c r="V1269" s="118" t="str">
        <f>+Agencia[[#This Row],[idcoleccion]]&amp;"-"&amp;Agencia[[#This Row],[id]]</f>
        <v>990-1258</v>
      </c>
      <c r="W1269" s="118">
        <f>+VLOOKUP(Agencia[[#This Row],[Filtro URL]],Estructura!$X$4:$Y$500,2,0)</f>
        <v>99200015</v>
      </c>
      <c r="X1269" s="118" t="str">
        <f>+VLOOKUP(Agencia[[#This Row],[tema]],Estructura!$A$4:$C$500,3,0)</f>
        <v>T-1007</v>
      </c>
      <c r="Y1269" s="118" t="str">
        <f>+VLOOKUP(Agencia[[#This Row],[contenido]],Estructura!$E$4:$G$500,3,0)</f>
        <v>C-1016</v>
      </c>
      <c r="Z1269" s="118" t="str">
        <f>+VLOOKUP(Agencia[[#This Row],[Filtro Integrado]],Estructura!$I$4:$K$500,3,0)</f>
        <v>FI-993</v>
      </c>
      <c r="AA1269" s="118" t="str">
        <f>+VLOOKUP(Agencia[[#This Row],[Muestra]],Estructura!$M$4:$O$500,3,0)</f>
        <v>M-1092</v>
      </c>
    </row>
    <row r="1270" spans="1:27" ht="57.6" x14ac:dyDescent="0.3">
      <c r="A1270" s="21" t="s">
        <v>3989</v>
      </c>
      <c r="B1270" s="24">
        <v>990</v>
      </c>
      <c r="C1270" s="25" t="s">
        <v>401</v>
      </c>
      <c r="D1270" s="10" t="s">
        <v>3905</v>
      </c>
      <c r="E1270" s="19">
        <v>16</v>
      </c>
      <c r="F1270" s="10" t="s">
        <v>1468</v>
      </c>
      <c r="G1270" s="10" t="s">
        <v>4685</v>
      </c>
      <c r="H1270" s="35" t="s">
        <v>16</v>
      </c>
      <c r="I1270" s="36" t="s">
        <v>383</v>
      </c>
      <c r="J1270" s="9" t="s">
        <v>404</v>
      </c>
      <c r="K1270" s="9" t="s">
        <v>3930</v>
      </c>
      <c r="L1270" s="9" t="s">
        <v>1470</v>
      </c>
      <c r="M1270" s="9" t="s">
        <v>1469</v>
      </c>
      <c r="N1270" s="9" t="s">
        <v>1459</v>
      </c>
      <c r="O1270" s="20" t="s">
        <v>4897</v>
      </c>
      <c r="P1270" s="20"/>
      <c r="Q1270" s="11" t="s">
        <v>821</v>
      </c>
      <c r="R1270" s="20" t="s">
        <v>4898</v>
      </c>
      <c r="S1270" s="39" t="s">
        <v>4899</v>
      </c>
      <c r="T1270" s="70" t="s">
        <v>3755</v>
      </c>
      <c r="U1270" s="50" t="s">
        <v>399</v>
      </c>
      <c r="V1270" s="118" t="str">
        <f>+Agencia[[#This Row],[idcoleccion]]&amp;"-"&amp;Agencia[[#This Row],[id]]</f>
        <v>990-1259</v>
      </c>
      <c r="W1270" s="118">
        <f>+VLOOKUP(Agencia[[#This Row],[Filtro URL]],Estructura!$X$4:$Y$500,2,0)</f>
        <v>99200016</v>
      </c>
      <c r="X1270" s="118" t="str">
        <f>+VLOOKUP(Agencia[[#This Row],[tema]],Estructura!$A$4:$C$500,3,0)</f>
        <v>T-1007</v>
      </c>
      <c r="Y1270" s="118" t="str">
        <f>+VLOOKUP(Agencia[[#This Row],[contenido]],Estructura!$E$4:$G$500,3,0)</f>
        <v>C-1016</v>
      </c>
      <c r="Z1270" s="118" t="str">
        <f>+VLOOKUP(Agencia[[#This Row],[Filtro Integrado]],Estructura!$I$4:$K$500,3,0)</f>
        <v>FI-993</v>
      </c>
      <c r="AA1270" s="118" t="str">
        <f>+VLOOKUP(Agencia[[#This Row],[Muestra]],Estructura!$M$4:$O$500,3,0)</f>
        <v>M-1092</v>
      </c>
    </row>
    <row r="1271" spans="1:27" ht="48" x14ac:dyDescent="0.3">
      <c r="A1271" s="21" t="s">
        <v>3990</v>
      </c>
      <c r="B1271" s="24">
        <v>990</v>
      </c>
      <c r="C1271" s="25" t="s">
        <v>401</v>
      </c>
      <c r="D1271" s="10" t="s">
        <v>3905</v>
      </c>
      <c r="E1271" s="14">
        <v>0</v>
      </c>
      <c r="F1271" s="10" t="s">
        <v>3907</v>
      </c>
      <c r="G1271" s="10" t="s">
        <v>4685</v>
      </c>
      <c r="H1271" s="33" t="s">
        <v>20</v>
      </c>
      <c r="I1271" s="34" t="s">
        <v>15</v>
      </c>
      <c r="J1271" s="9" t="s">
        <v>3950</v>
      </c>
      <c r="K1271" s="9" t="s">
        <v>3951</v>
      </c>
      <c r="L1271" s="9" t="s">
        <v>3909</v>
      </c>
      <c r="M1271" s="9" t="s">
        <v>3910</v>
      </c>
      <c r="N1271" s="9" t="s">
        <v>1459</v>
      </c>
      <c r="O1271" s="20" t="s">
        <v>4900</v>
      </c>
      <c r="P1271" s="20"/>
      <c r="Q1271" s="11" t="s">
        <v>3826</v>
      </c>
      <c r="R1271" s="20" t="s">
        <v>4901</v>
      </c>
      <c r="S1271" s="39" t="s">
        <v>3952</v>
      </c>
      <c r="T1271" s="70" t="s">
        <v>1033</v>
      </c>
      <c r="U1271" s="120" t="s">
        <v>399</v>
      </c>
      <c r="V1271" s="118" t="str">
        <f>+Agencia[[#This Row],[idcoleccion]]&amp;"-"&amp;Agencia[[#This Row],[id]]</f>
        <v>990-1260</v>
      </c>
      <c r="W1271" s="118">
        <f>+VLOOKUP(Agencia[[#This Row],[Filtro URL]],Estructura!$X$4:$Y$500,2,0)</f>
        <v>99100000</v>
      </c>
      <c r="X1271" s="118" t="str">
        <f>+VLOOKUP(Agencia[[#This Row],[tema]],Estructura!$A$4:$C$500,3,0)</f>
        <v>T-1049</v>
      </c>
      <c r="Y1271" s="118" t="str">
        <f>+VLOOKUP(Agencia[[#This Row],[contenido]],Estructura!$E$4:$G$500,3,0)</f>
        <v>C-1016</v>
      </c>
      <c r="Z1271" s="118" t="str">
        <f>+VLOOKUP(Agencia[[#This Row],[Filtro Integrado]],Estructura!$I$4:$K$500,3,0)</f>
        <v>FI-1004</v>
      </c>
      <c r="AA1271" s="118" t="str">
        <f>+VLOOKUP(Agencia[[#This Row],[Muestra]],Estructura!$M$4:$O$500,3,0)</f>
        <v>M-1093</v>
      </c>
    </row>
    <row r="1272" spans="1:27" ht="57.6" x14ac:dyDescent="0.3">
      <c r="A1272" s="21" t="s">
        <v>3991</v>
      </c>
      <c r="B1272" s="24">
        <v>990</v>
      </c>
      <c r="C1272" s="25" t="s">
        <v>401</v>
      </c>
      <c r="D1272" s="10" t="s">
        <v>3905</v>
      </c>
      <c r="E1272" s="19">
        <v>1</v>
      </c>
      <c r="F1272" s="10" t="s">
        <v>3907</v>
      </c>
      <c r="G1272" s="10" t="s">
        <v>4685</v>
      </c>
      <c r="H1272" s="35" t="s">
        <v>16</v>
      </c>
      <c r="I1272" s="36" t="s">
        <v>368</v>
      </c>
      <c r="J1272" s="9" t="s">
        <v>16</v>
      </c>
      <c r="K1272" s="9" t="s">
        <v>3951</v>
      </c>
      <c r="L1272" s="9" t="s">
        <v>3909</v>
      </c>
      <c r="M1272" s="9" t="s">
        <v>3910</v>
      </c>
      <c r="N1272" s="9" t="s">
        <v>1459</v>
      </c>
      <c r="O1272" s="20" t="s">
        <v>4902</v>
      </c>
      <c r="P1272" s="20"/>
      <c r="Q1272" s="11" t="s">
        <v>3826</v>
      </c>
      <c r="R1272" s="20" t="s">
        <v>4903</v>
      </c>
      <c r="S1272" s="39" t="s">
        <v>4446</v>
      </c>
      <c r="T1272" s="70" t="s">
        <v>3741</v>
      </c>
      <c r="U1272" s="50" t="s">
        <v>399</v>
      </c>
      <c r="V1272" s="118" t="str">
        <f>+Agencia[[#This Row],[idcoleccion]]&amp;"-"&amp;Agencia[[#This Row],[id]]</f>
        <v>990-1261</v>
      </c>
      <c r="W1272" s="118">
        <f>+VLOOKUP(Agencia[[#This Row],[Filtro URL]],Estructura!$X$4:$Y$500,2,0)</f>
        <v>99200001</v>
      </c>
      <c r="X1272" s="118" t="str">
        <f>+VLOOKUP(Agencia[[#This Row],[tema]],Estructura!$A$4:$C$500,3,0)</f>
        <v>T-1049</v>
      </c>
      <c r="Y1272" s="118" t="str">
        <f>+VLOOKUP(Agencia[[#This Row],[contenido]],Estructura!$E$4:$G$500,3,0)</f>
        <v>C-1016</v>
      </c>
      <c r="Z1272" s="118" t="str">
        <f>+VLOOKUP(Agencia[[#This Row],[Filtro Integrado]],Estructura!$I$4:$K$500,3,0)</f>
        <v>FI-992</v>
      </c>
      <c r="AA1272" s="118" t="str">
        <f>+VLOOKUP(Agencia[[#This Row],[Muestra]],Estructura!$M$4:$O$500,3,0)</f>
        <v>M-1093</v>
      </c>
    </row>
    <row r="1273" spans="1:27" ht="57.6" x14ac:dyDescent="0.3">
      <c r="A1273" s="21" t="s">
        <v>3993</v>
      </c>
      <c r="B1273" s="24">
        <v>990</v>
      </c>
      <c r="C1273" s="25" t="s">
        <v>401</v>
      </c>
      <c r="D1273" s="10" t="s">
        <v>3905</v>
      </c>
      <c r="E1273" s="19">
        <v>2</v>
      </c>
      <c r="F1273" s="10" t="s">
        <v>3907</v>
      </c>
      <c r="G1273" s="10" t="s">
        <v>4685</v>
      </c>
      <c r="H1273" s="35" t="s">
        <v>16</v>
      </c>
      <c r="I1273" s="36" t="s">
        <v>369</v>
      </c>
      <c r="J1273" s="9" t="s">
        <v>16</v>
      </c>
      <c r="K1273" s="9" t="s">
        <v>3951</v>
      </c>
      <c r="L1273" s="9" t="s">
        <v>3909</v>
      </c>
      <c r="M1273" s="9" t="s">
        <v>3910</v>
      </c>
      <c r="N1273" s="9" t="s">
        <v>1459</v>
      </c>
      <c r="O1273" s="20" t="s">
        <v>4904</v>
      </c>
      <c r="P1273" s="20"/>
      <c r="Q1273" s="11" t="s">
        <v>3826</v>
      </c>
      <c r="R1273" s="20" t="s">
        <v>4905</v>
      </c>
      <c r="S1273" s="39" t="s">
        <v>4447</v>
      </c>
      <c r="T1273" s="70" t="s">
        <v>3729</v>
      </c>
      <c r="U1273" s="50" t="s">
        <v>399</v>
      </c>
      <c r="V1273" s="118" t="str">
        <f>+Agencia[[#This Row],[idcoleccion]]&amp;"-"&amp;Agencia[[#This Row],[id]]</f>
        <v>990-1262</v>
      </c>
      <c r="W1273" s="118">
        <f>+VLOOKUP(Agencia[[#This Row],[Filtro URL]],Estructura!$X$4:$Y$500,2,0)</f>
        <v>99200002</v>
      </c>
      <c r="X1273" s="118" t="str">
        <f>+VLOOKUP(Agencia[[#This Row],[tema]],Estructura!$A$4:$C$500,3,0)</f>
        <v>T-1049</v>
      </c>
      <c r="Y1273" s="118" t="str">
        <f>+VLOOKUP(Agencia[[#This Row],[contenido]],Estructura!$E$4:$G$500,3,0)</f>
        <v>C-1016</v>
      </c>
      <c r="Z1273" s="118" t="str">
        <f>+VLOOKUP(Agencia[[#This Row],[Filtro Integrado]],Estructura!$I$4:$K$500,3,0)</f>
        <v>FI-992</v>
      </c>
      <c r="AA1273" s="118" t="str">
        <f>+VLOOKUP(Agencia[[#This Row],[Muestra]],Estructura!$M$4:$O$500,3,0)</f>
        <v>M-1093</v>
      </c>
    </row>
    <row r="1274" spans="1:27" ht="57.6" x14ac:dyDescent="0.3">
      <c r="A1274" s="21" t="s">
        <v>3994</v>
      </c>
      <c r="B1274" s="24">
        <v>990</v>
      </c>
      <c r="C1274" s="25" t="s">
        <v>401</v>
      </c>
      <c r="D1274" s="10" t="s">
        <v>3905</v>
      </c>
      <c r="E1274" s="19">
        <v>3</v>
      </c>
      <c r="F1274" s="10" t="s">
        <v>3907</v>
      </c>
      <c r="G1274" s="10" t="s">
        <v>4685</v>
      </c>
      <c r="H1274" s="35" t="s">
        <v>16</v>
      </c>
      <c r="I1274" s="36" t="s">
        <v>370</v>
      </c>
      <c r="J1274" s="9" t="s">
        <v>16</v>
      </c>
      <c r="K1274" s="9" t="s">
        <v>3951</v>
      </c>
      <c r="L1274" s="9" t="s">
        <v>3909</v>
      </c>
      <c r="M1274" s="9" t="s">
        <v>3910</v>
      </c>
      <c r="N1274" s="9" t="s">
        <v>1459</v>
      </c>
      <c r="O1274" s="20" t="s">
        <v>4906</v>
      </c>
      <c r="P1274" s="20"/>
      <c r="Q1274" s="11" t="s">
        <v>3826</v>
      </c>
      <c r="R1274" s="20" t="s">
        <v>4907</v>
      </c>
      <c r="S1274" s="39" t="s">
        <v>4448</v>
      </c>
      <c r="T1274" s="70" t="s">
        <v>3731</v>
      </c>
      <c r="U1274" s="120" t="s">
        <v>399</v>
      </c>
      <c r="V1274" s="118" t="str">
        <f>+Agencia[[#This Row],[idcoleccion]]&amp;"-"&amp;Agencia[[#This Row],[id]]</f>
        <v>990-1263</v>
      </c>
      <c r="W1274" s="118">
        <f>+VLOOKUP(Agencia[[#This Row],[Filtro URL]],Estructura!$X$4:$Y$500,2,0)</f>
        <v>99200003</v>
      </c>
      <c r="X1274" s="118" t="str">
        <f>+VLOOKUP(Agencia[[#This Row],[tema]],Estructura!$A$4:$C$500,3,0)</f>
        <v>T-1049</v>
      </c>
      <c r="Y1274" s="118" t="str">
        <f>+VLOOKUP(Agencia[[#This Row],[contenido]],Estructura!$E$4:$G$500,3,0)</f>
        <v>C-1016</v>
      </c>
      <c r="Z1274" s="118" t="str">
        <f>+VLOOKUP(Agencia[[#This Row],[Filtro Integrado]],Estructura!$I$4:$K$500,3,0)</f>
        <v>FI-992</v>
      </c>
      <c r="AA1274" s="118" t="str">
        <f>+VLOOKUP(Agencia[[#This Row],[Muestra]],Estructura!$M$4:$O$500,3,0)</f>
        <v>M-1093</v>
      </c>
    </row>
    <row r="1275" spans="1:27" ht="57.6" x14ac:dyDescent="0.3">
      <c r="A1275" s="21" t="s">
        <v>3995</v>
      </c>
      <c r="B1275" s="24">
        <v>990</v>
      </c>
      <c r="C1275" s="25" t="s">
        <v>401</v>
      </c>
      <c r="D1275" s="10" t="s">
        <v>3905</v>
      </c>
      <c r="E1275" s="19">
        <v>4</v>
      </c>
      <c r="F1275" s="10" t="s">
        <v>3907</v>
      </c>
      <c r="G1275" s="10" t="s">
        <v>4685</v>
      </c>
      <c r="H1275" s="35" t="s">
        <v>16</v>
      </c>
      <c r="I1275" s="36" t="s">
        <v>371</v>
      </c>
      <c r="J1275" s="9" t="s">
        <v>16</v>
      </c>
      <c r="K1275" s="9" t="s">
        <v>3951</v>
      </c>
      <c r="L1275" s="9" t="s">
        <v>3909</v>
      </c>
      <c r="M1275" s="9" t="s">
        <v>3910</v>
      </c>
      <c r="N1275" s="9" t="s">
        <v>1459</v>
      </c>
      <c r="O1275" s="20" t="s">
        <v>4908</v>
      </c>
      <c r="P1275" s="20"/>
      <c r="Q1275" s="11" t="s">
        <v>3826</v>
      </c>
      <c r="R1275" s="20" t="s">
        <v>4909</v>
      </c>
      <c r="S1275" s="39" t="s">
        <v>4449</v>
      </c>
      <c r="T1275" s="70" t="s">
        <v>3733</v>
      </c>
      <c r="U1275" s="50" t="s">
        <v>399</v>
      </c>
      <c r="V1275" s="118" t="str">
        <f>+Agencia[[#This Row],[idcoleccion]]&amp;"-"&amp;Agencia[[#This Row],[id]]</f>
        <v>990-1264</v>
      </c>
      <c r="W1275" s="118">
        <f>+VLOOKUP(Agencia[[#This Row],[Filtro URL]],Estructura!$X$4:$Y$500,2,0)</f>
        <v>99200004</v>
      </c>
      <c r="X1275" s="118" t="str">
        <f>+VLOOKUP(Agencia[[#This Row],[tema]],Estructura!$A$4:$C$500,3,0)</f>
        <v>T-1049</v>
      </c>
      <c r="Y1275" s="118" t="str">
        <f>+VLOOKUP(Agencia[[#This Row],[contenido]],Estructura!$E$4:$G$500,3,0)</f>
        <v>C-1016</v>
      </c>
      <c r="Z1275" s="118" t="str">
        <f>+VLOOKUP(Agencia[[#This Row],[Filtro Integrado]],Estructura!$I$4:$K$500,3,0)</f>
        <v>FI-992</v>
      </c>
      <c r="AA1275" s="118" t="str">
        <f>+VLOOKUP(Agencia[[#This Row],[Muestra]],Estructura!$M$4:$O$500,3,0)</f>
        <v>M-1093</v>
      </c>
    </row>
    <row r="1276" spans="1:27" ht="57.6" x14ac:dyDescent="0.3">
      <c r="A1276" s="21" t="s">
        <v>3996</v>
      </c>
      <c r="B1276" s="24">
        <v>990</v>
      </c>
      <c r="C1276" s="25" t="s">
        <v>401</v>
      </c>
      <c r="D1276" s="10" t="s">
        <v>3905</v>
      </c>
      <c r="E1276" s="19">
        <v>5</v>
      </c>
      <c r="F1276" s="10" t="s">
        <v>3907</v>
      </c>
      <c r="G1276" s="10" t="s">
        <v>4685</v>
      </c>
      <c r="H1276" s="35" t="s">
        <v>16</v>
      </c>
      <c r="I1276" s="36" t="s">
        <v>372</v>
      </c>
      <c r="J1276" s="9" t="s">
        <v>16</v>
      </c>
      <c r="K1276" s="9" t="s">
        <v>3951</v>
      </c>
      <c r="L1276" s="9" t="s">
        <v>3909</v>
      </c>
      <c r="M1276" s="9" t="s">
        <v>3910</v>
      </c>
      <c r="N1276" s="9" t="s">
        <v>1459</v>
      </c>
      <c r="O1276" s="20" t="s">
        <v>4910</v>
      </c>
      <c r="P1276" s="20"/>
      <c r="Q1276" s="11" t="s">
        <v>3826</v>
      </c>
      <c r="R1276" s="20" t="s">
        <v>4911</v>
      </c>
      <c r="S1276" s="39" t="s">
        <v>4450</v>
      </c>
      <c r="T1276" s="70" t="s">
        <v>3742</v>
      </c>
      <c r="U1276" s="50" t="s">
        <v>399</v>
      </c>
      <c r="V1276" s="118" t="str">
        <f>+Agencia[[#This Row],[idcoleccion]]&amp;"-"&amp;Agencia[[#This Row],[id]]</f>
        <v>990-1265</v>
      </c>
      <c r="W1276" s="118">
        <f>+VLOOKUP(Agencia[[#This Row],[Filtro URL]],Estructura!$X$4:$Y$500,2,0)</f>
        <v>99200005</v>
      </c>
      <c r="X1276" s="118" t="str">
        <f>+VLOOKUP(Agencia[[#This Row],[tema]],Estructura!$A$4:$C$500,3,0)</f>
        <v>T-1049</v>
      </c>
      <c r="Y1276" s="118" t="str">
        <f>+VLOOKUP(Agencia[[#This Row],[contenido]],Estructura!$E$4:$G$500,3,0)</f>
        <v>C-1016</v>
      </c>
      <c r="Z1276" s="118" t="str">
        <f>+VLOOKUP(Agencia[[#This Row],[Filtro Integrado]],Estructura!$I$4:$K$500,3,0)</f>
        <v>FI-992</v>
      </c>
      <c r="AA1276" s="118" t="str">
        <f>+VLOOKUP(Agencia[[#This Row],[Muestra]],Estructura!$M$4:$O$500,3,0)</f>
        <v>M-1093</v>
      </c>
    </row>
    <row r="1277" spans="1:27" ht="57.6" x14ac:dyDescent="0.3">
      <c r="A1277" s="21" t="s">
        <v>3998</v>
      </c>
      <c r="B1277" s="24">
        <v>990</v>
      </c>
      <c r="C1277" s="25" t="s">
        <v>401</v>
      </c>
      <c r="D1277" s="10" t="s">
        <v>3905</v>
      </c>
      <c r="E1277" s="19">
        <v>6</v>
      </c>
      <c r="F1277" s="10" t="s">
        <v>3907</v>
      </c>
      <c r="G1277" s="10" t="s">
        <v>4685</v>
      </c>
      <c r="H1277" s="35" t="s">
        <v>16</v>
      </c>
      <c r="I1277" s="36" t="s">
        <v>373</v>
      </c>
      <c r="J1277" s="9" t="s">
        <v>16</v>
      </c>
      <c r="K1277" s="9" t="s">
        <v>3951</v>
      </c>
      <c r="L1277" s="9" t="s">
        <v>3909</v>
      </c>
      <c r="M1277" s="9" t="s">
        <v>3910</v>
      </c>
      <c r="N1277" s="9" t="s">
        <v>1459</v>
      </c>
      <c r="O1277" s="20" t="s">
        <v>4912</v>
      </c>
      <c r="P1277" s="20"/>
      <c r="Q1277" s="11" t="s">
        <v>3826</v>
      </c>
      <c r="R1277" s="20" t="s">
        <v>4913</v>
      </c>
      <c r="S1277" s="39" t="s">
        <v>4451</v>
      </c>
      <c r="T1277" s="70" t="s">
        <v>3740</v>
      </c>
      <c r="U1277" s="120" t="s">
        <v>399</v>
      </c>
      <c r="V1277" s="118" t="str">
        <f>+Agencia[[#This Row],[idcoleccion]]&amp;"-"&amp;Agencia[[#This Row],[id]]</f>
        <v>990-1266</v>
      </c>
      <c r="W1277" s="118">
        <f>+VLOOKUP(Agencia[[#This Row],[Filtro URL]],Estructura!$X$4:$Y$500,2,0)</f>
        <v>99200006</v>
      </c>
      <c r="X1277" s="118" t="str">
        <f>+VLOOKUP(Agencia[[#This Row],[tema]],Estructura!$A$4:$C$500,3,0)</f>
        <v>T-1049</v>
      </c>
      <c r="Y1277" s="118" t="str">
        <f>+VLOOKUP(Agencia[[#This Row],[contenido]],Estructura!$E$4:$G$500,3,0)</f>
        <v>C-1016</v>
      </c>
      <c r="Z1277" s="118" t="str">
        <f>+VLOOKUP(Agencia[[#This Row],[Filtro Integrado]],Estructura!$I$4:$K$500,3,0)</f>
        <v>FI-992</v>
      </c>
      <c r="AA1277" s="118" t="str">
        <f>+VLOOKUP(Agencia[[#This Row],[Muestra]],Estructura!$M$4:$O$500,3,0)</f>
        <v>M-1093</v>
      </c>
    </row>
    <row r="1278" spans="1:27" ht="57.6" x14ac:dyDescent="0.3">
      <c r="A1278" s="21" t="s">
        <v>3999</v>
      </c>
      <c r="B1278" s="24">
        <v>990</v>
      </c>
      <c r="C1278" s="25" t="s">
        <v>401</v>
      </c>
      <c r="D1278" s="10" t="s">
        <v>3905</v>
      </c>
      <c r="E1278" s="19">
        <v>7</v>
      </c>
      <c r="F1278" s="10" t="s">
        <v>3907</v>
      </c>
      <c r="G1278" s="10" t="s">
        <v>4685</v>
      </c>
      <c r="H1278" s="35" t="s">
        <v>16</v>
      </c>
      <c r="I1278" s="36" t="s">
        <v>374</v>
      </c>
      <c r="J1278" s="9" t="s">
        <v>16</v>
      </c>
      <c r="K1278" s="9" t="s">
        <v>3951</v>
      </c>
      <c r="L1278" s="9" t="s">
        <v>3909</v>
      </c>
      <c r="M1278" s="9" t="s">
        <v>3910</v>
      </c>
      <c r="N1278" s="9" t="s">
        <v>1459</v>
      </c>
      <c r="O1278" s="20" t="s">
        <v>4914</v>
      </c>
      <c r="P1278" s="20"/>
      <c r="Q1278" s="11" t="s">
        <v>3826</v>
      </c>
      <c r="R1278" s="20" t="s">
        <v>4915</v>
      </c>
      <c r="S1278" s="39" t="s">
        <v>4452</v>
      </c>
      <c r="T1278" s="70" t="s">
        <v>3738</v>
      </c>
      <c r="U1278" s="50" t="s">
        <v>399</v>
      </c>
      <c r="V1278" s="118" t="str">
        <f>+Agencia[[#This Row],[idcoleccion]]&amp;"-"&amp;Agencia[[#This Row],[id]]</f>
        <v>990-1267</v>
      </c>
      <c r="W1278" s="118">
        <f>+VLOOKUP(Agencia[[#This Row],[Filtro URL]],Estructura!$X$4:$Y$500,2,0)</f>
        <v>99200007</v>
      </c>
      <c r="X1278" s="118" t="str">
        <f>+VLOOKUP(Agencia[[#This Row],[tema]],Estructura!$A$4:$C$500,3,0)</f>
        <v>T-1049</v>
      </c>
      <c r="Y1278" s="118" t="str">
        <f>+VLOOKUP(Agencia[[#This Row],[contenido]],Estructura!$E$4:$G$500,3,0)</f>
        <v>C-1016</v>
      </c>
      <c r="Z1278" s="118" t="str">
        <f>+VLOOKUP(Agencia[[#This Row],[Filtro Integrado]],Estructura!$I$4:$K$500,3,0)</f>
        <v>FI-992</v>
      </c>
      <c r="AA1278" s="118" t="str">
        <f>+VLOOKUP(Agencia[[#This Row],[Muestra]],Estructura!$M$4:$O$500,3,0)</f>
        <v>M-1093</v>
      </c>
    </row>
    <row r="1279" spans="1:27" ht="57.6" x14ac:dyDescent="0.3">
      <c r="A1279" s="21" t="s">
        <v>4000</v>
      </c>
      <c r="B1279" s="24">
        <v>990</v>
      </c>
      <c r="C1279" s="25" t="s">
        <v>401</v>
      </c>
      <c r="D1279" s="10" t="s">
        <v>3905</v>
      </c>
      <c r="E1279" s="19">
        <v>8</v>
      </c>
      <c r="F1279" s="10" t="s">
        <v>3907</v>
      </c>
      <c r="G1279" s="10" t="s">
        <v>4685</v>
      </c>
      <c r="H1279" s="35" t="s">
        <v>16</v>
      </c>
      <c r="I1279" s="36" t="s">
        <v>375</v>
      </c>
      <c r="J1279" s="9" t="s">
        <v>16</v>
      </c>
      <c r="K1279" s="9" t="s">
        <v>3951</v>
      </c>
      <c r="L1279" s="9" t="s">
        <v>3909</v>
      </c>
      <c r="M1279" s="9" t="s">
        <v>3910</v>
      </c>
      <c r="N1279" s="9" t="s">
        <v>1459</v>
      </c>
      <c r="O1279" s="20" t="s">
        <v>4916</v>
      </c>
      <c r="P1279" s="20"/>
      <c r="Q1279" s="11" t="s">
        <v>3826</v>
      </c>
      <c r="R1279" s="20" t="s">
        <v>4917</v>
      </c>
      <c r="S1279" s="39" t="s">
        <v>4453</v>
      </c>
      <c r="T1279" s="70" t="s">
        <v>3743</v>
      </c>
      <c r="U1279" s="50" t="s">
        <v>399</v>
      </c>
      <c r="V1279" s="118" t="str">
        <f>+Agencia[[#This Row],[idcoleccion]]&amp;"-"&amp;Agencia[[#This Row],[id]]</f>
        <v>990-1268</v>
      </c>
      <c r="W1279" s="118">
        <f>+VLOOKUP(Agencia[[#This Row],[Filtro URL]],Estructura!$X$4:$Y$500,2,0)</f>
        <v>99200008</v>
      </c>
      <c r="X1279" s="118" t="str">
        <f>+VLOOKUP(Agencia[[#This Row],[tema]],Estructura!$A$4:$C$500,3,0)</f>
        <v>T-1049</v>
      </c>
      <c r="Y1279" s="118" t="str">
        <f>+VLOOKUP(Agencia[[#This Row],[contenido]],Estructura!$E$4:$G$500,3,0)</f>
        <v>C-1016</v>
      </c>
      <c r="Z1279" s="118" t="str">
        <f>+VLOOKUP(Agencia[[#This Row],[Filtro Integrado]],Estructura!$I$4:$K$500,3,0)</f>
        <v>FI-992</v>
      </c>
      <c r="AA1279" s="118" t="str">
        <f>+VLOOKUP(Agencia[[#This Row],[Muestra]],Estructura!$M$4:$O$500,3,0)</f>
        <v>M-1093</v>
      </c>
    </row>
    <row r="1280" spans="1:27" ht="57.6" x14ac:dyDescent="0.3">
      <c r="A1280" s="21" t="s">
        <v>4001</v>
      </c>
      <c r="B1280" s="24">
        <v>990</v>
      </c>
      <c r="C1280" s="25" t="s">
        <v>401</v>
      </c>
      <c r="D1280" s="10" t="s">
        <v>3905</v>
      </c>
      <c r="E1280" s="19">
        <v>9</v>
      </c>
      <c r="F1280" s="10" t="s">
        <v>3907</v>
      </c>
      <c r="G1280" s="10" t="s">
        <v>4685</v>
      </c>
      <c r="H1280" s="35" t="s">
        <v>16</v>
      </c>
      <c r="I1280" s="36" t="s">
        <v>376</v>
      </c>
      <c r="J1280" s="9" t="s">
        <v>16</v>
      </c>
      <c r="K1280" s="9" t="s">
        <v>3951</v>
      </c>
      <c r="L1280" s="9" t="s">
        <v>3909</v>
      </c>
      <c r="M1280" s="9" t="s">
        <v>3910</v>
      </c>
      <c r="N1280" s="9" t="s">
        <v>1459</v>
      </c>
      <c r="O1280" s="20" t="s">
        <v>4918</v>
      </c>
      <c r="P1280" s="20"/>
      <c r="Q1280" s="11" t="s">
        <v>3826</v>
      </c>
      <c r="R1280" s="20" t="s">
        <v>4919</v>
      </c>
      <c r="S1280" s="39" t="s">
        <v>4454</v>
      </c>
      <c r="T1280" s="70" t="s">
        <v>3734</v>
      </c>
      <c r="U1280" s="120" t="s">
        <v>399</v>
      </c>
      <c r="V1280" s="118" t="str">
        <f>+Agencia[[#This Row],[idcoleccion]]&amp;"-"&amp;Agencia[[#This Row],[id]]</f>
        <v>990-1269</v>
      </c>
      <c r="W1280" s="118">
        <f>+VLOOKUP(Agencia[[#This Row],[Filtro URL]],Estructura!$X$4:$Y$500,2,0)</f>
        <v>99200009</v>
      </c>
      <c r="X1280" s="118" t="str">
        <f>+VLOOKUP(Agencia[[#This Row],[tema]],Estructura!$A$4:$C$500,3,0)</f>
        <v>T-1049</v>
      </c>
      <c r="Y1280" s="118" t="str">
        <f>+VLOOKUP(Agencia[[#This Row],[contenido]],Estructura!$E$4:$G$500,3,0)</f>
        <v>C-1016</v>
      </c>
      <c r="Z1280" s="118" t="str">
        <f>+VLOOKUP(Agencia[[#This Row],[Filtro Integrado]],Estructura!$I$4:$K$500,3,0)</f>
        <v>FI-992</v>
      </c>
      <c r="AA1280" s="118" t="str">
        <f>+VLOOKUP(Agencia[[#This Row],[Muestra]],Estructura!$M$4:$O$500,3,0)</f>
        <v>M-1093</v>
      </c>
    </row>
    <row r="1281" spans="1:27" ht="57.6" x14ac:dyDescent="0.3">
      <c r="A1281" s="21" t="s">
        <v>4002</v>
      </c>
      <c r="B1281" s="24">
        <v>990</v>
      </c>
      <c r="C1281" s="25" t="s">
        <v>401</v>
      </c>
      <c r="D1281" s="10" t="s">
        <v>3905</v>
      </c>
      <c r="E1281" s="19">
        <v>10</v>
      </c>
      <c r="F1281" s="10" t="s">
        <v>3907</v>
      </c>
      <c r="G1281" s="10" t="s">
        <v>4685</v>
      </c>
      <c r="H1281" s="35" t="s">
        <v>16</v>
      </c>
      <c r="I1281" s="36" t="s">
        <v>377</v>
      </c>
      <c r="J1281" s="9" t="s">
        <v>16</v>
      </c>
      <c r="K1281" s="9" t="s">
        <v>3951</v>
      </c>
      <c r="L1281" s="9" t="s">
        <v>3909</v>
      </c>
      <c r="M1281" s="9" t="s">
        <v>3910</v>
      </c>
      <c r="N1281" s="9" t="s">
        <v>1459</v>
      </c>
      <c r="O1281" s="20" t="s">
        <v>4920</v>
      </c>
      <c r="P1281" s="20"/>
      <c r="Q1281" s="11" t="s">
        <v>3826</v>
      </c>
      <c r="R1281" s="20" t="s">
        <v>4921</v>
      </c>
      <c r="S1281" s="39" t="s">
        <v>4455</v>
      </c>
      <c r="T1281" s="70" t="s">
        <v>3735</v>
      </c>
      <c r="U1281" s="50" t="s">
        <v>399</v>
      </c>
      <c r="V1281" s="118" t="str">
        <f>+Agencia[[#This Row],[idcoleccion]]&amp;"-"&amp;Agencia[[#This Row],[id]]</f>
        <v>990-1270</v>
      </c>
      <c r="W1281" s="118">
        <f>+VLOOKUP(Agencia[[#This Row],[Filtro URL]],Estructura!$X$4:$Y$500,2,0)</f>
        <v>99200010</v>
      </c>
      <c r="X1281" s="118" t="str">
        <f>+VLOOKUP(Agencia[[#This Row],[tema]],Estructura!$A$4:$C$500,3,0)</f>
        <v>T-1049</v>
      </c>
      <c r="Y1281" s="118" t="str">
        <f>+VLOOKUP(Agencia[[#This Row],[contenido]],Estructura!$E$4:$G$500,3,0)</f>
        <v>C-1016</v>
      </c>
      <c r="Z1281" s="118" t="str">
        <f>+VLOOKUP(Agencia[[#This Row],[Filtro Integrado]],Estructura!$I$4:$K$500,3,0)</f>
        <v>FI-992</v>
      </c>
      <c r="AA1281" s="118" t="str">
        <f>+VLOOKUP(Agencia[[#This Row],[Muestra]],Estructura!$M$4:$O$500,3,0)</f>
        <v>M-1093</v>
      </c>
    </row>
    <row r="1282" spans="1:27" ht="57.6" x14ac:dyDescent="0.3">
      <c r="A1282" s="21" t="s">
        <v>4003</v>
      </c>
      <c r="B1282" s="24">
        <v>990</v>
      </c>
      <c r="C1282" s="25" t="s">
        <v>401</v>
      </c>
      <c r="D1282" s="10" t="s">
        <v>3905</v>
      </c>
      <c r="E1282" s="19">
        <v>11</v>
      </c>
      <c r="F1282" s="10" t="s">
        <v>3907</v>
      </c>
      <c r="G1282" s="10" t="s">
        <v>4685</v>
      </c>
      <c r="H1282" s="35" t="s">
        <v>16</v>
      </c>
      <c r="I1282" s="36" t="s">
        <v>378</v>
      </c>
      <c r="J1282" s="9" t="s">
        <v>16</v>
      </c>
      <c r="K1282" s="9" t="s">
        <v>3951</v>
      </c>
      <c r="L1282" s="9" t="s">
        <v>3909</v>
      </c>
      <c r="M1282" s="9" t="s">
        <v>3910</v>
      </c>
      <c r="N1282" s="9" t="s">
        <v>1459</v>
      </c>
      <c r="O1282" s="20" t="s">
        <v>4922</v>
      </c>
      <c r="P1282" s="20"/>
      <c r="Q1282" s="11" t="s">
        <v>3826</v>
      </c>
      <c r="R1282" s="20" t="s">
        <v>4923</v>
      </c>
      <c r="S1282" s="39" t="s">
        <v>4456</v>
      </c>
      <c r="T1282" s="70" t="s">
        <v>3732</v>
      </c>
      <c r="U1282" s="50" t="s">
        <v>399</v>
      </c>
      <c r="V1282" s="118" t="str">
        <f>+Agencia[[#This Row],[idcoleccion]]&amp;"-"&amp;Agencia[[#This Row],[id]]</f>
        <v>990-1271</v>
      </c>
      <c r="W1282" s="118">
        <f>+VLOOKUP(Agencia[[#This Row],[Filtro URL]],Estructura!$X$4:$Y$500,2,0)</f>
        <v>99200011</v>
      </c>
      <c r="X1282" s="118" t="str">
        <f>+VLOOKUP(Agencia[[#This Row],[tema]],Estructura!$A$4:$C$500,3,0)</f>
        <v>T-1049</v>
      </c>
      <c r="Y1282" s="118" t="str">
        <f>+VLOOKUP(Agencia[[#This Row],[contenido]],Estructura!$E$4:$G$500,3,0)</f>
        <v>C-1016</v>
      </c>
      <c r="Z1282" s="118" t="str">
        <f>+VLOOKUP(Agencia[[#This Row],[Filtro Integrado]],Estructura!$I$4:$K$500,3,0)</f>
        <v>FI-992</v>
      </c>
      <c r="AA1282" s="118" t="str">
        <f>+VLOOKUP(Agencia[[#This Row],[Muestra]],Estructura!$M$4:$O$500,3,0)</f>
        <v>M-1093</v>
      </c>
    </row>
    <row r="1283" spans="1:27" ht="57.6" x14ac:dyDescent="0.3">
      <c r="A1283" s="21" t="s">
        <v>4004</v>
      </c>
      <c r="B1283" s="24">
        <v>990</v>
      </c>
      <c r="C1283" s="25" t="s">
        <v>401</v>
      </c>
      <c r="D1283" s="10" t="s">
        <v>3905</v>
      </c>
      <c r="E1283" s="19">
        <v>12</v>
      </c>
      <c r="F1283" s="10" t="s">
        <v>3907</v>
      </c>
      <c r="G1283" s="10" t="s">
        <v>4685</v>
      </c>
      <c r="H1283" s="35" t="s">
        <v>16</v>
      </c>
      <c r="I1283" s="36" t="s">
        <v>379</v>
      </c>
      <c r="J1283" s="9" t="s">
        <v>16</v>
      </c>
      <c r="K1283" s="9" t="s">
        <v>3951</v>
      </c>
      <c r="L1283" s="9" t="s">
        <v>3909</v>
      </c>
      <c r="M1283" s="9" t="s">
        <v>3910</v>
      </c>
      <c r="N1283" s="9" t="s">
        <v>1459</v>
      </c>
      <c r="O1283" s="20" t="s">
        <v>4924</v>
      </c>
      <c r="P1283" s="20"/>
      <c r="Q1283" s="11" t="s">
        <v>3826</v>
      </c>
      <c r="R1283" s="20" t="s">
        <v>4925</v>
      </c>
      <c r="S1283" s="39" t="s">
        <v>4457</v>
      </c>
      <c r="T1283" s="70" t="s">
        <v>3737</v>
      </c>
      <c r="U1283" s="120" t="s">
        <v>399</v>
      </c>
      <c r="V1283" s="118" t="str">
        <f>+Agencia[[#This Row],[idcoleccion]]&amp;"-"&amp;Agencia[[#This Row],[id]]</f>
        <v>990-1272</v>
      </c>
      <c r="W1283" s="118">
        <f>+VLOOKUP(Agencia[[#This Row],[Filtro URL]],Estructura!$X$4:$Y$500,2,0)</f>
        <v>99200012</v>
      </c>
      <c r="X1283" s="118" t="str">
        <f>+VLOOKUP(Agencia[[#This Row],[tema]],Estructura!$A$4:$C$500,3,0)</f>
        <v>T-1049</v>
      </c>
      <c r="Y1283" s="118" t="str">
        <f>+VLOOKUP(Agencia[[#This Row],[contenido]],Estructura!$E$4:$G$500,3,0)</f>
        <v>C-1016</v>
      </c>
      <c r="Z1283" s="118" t="str">
        <f>+VLOOKUP(Agencia[[#This Row],[Filtro Integrado]],Estructura!$I$4:$K$500,3,0)</f>
        <v>FI-992</v>
      </c>
      <c r="AA1283" s="118" t="str">
        <f>+VLOOKUP(Agencia[[#This Row],[Muestra]],Estructura!$M$4:$O$500,3,0)</f>
        <v>M-1093</v>
      </c>
    </row>
    <row r="1284" spans="1:27" ht="57.6" x14ac:dyDescent="0.3">
      <c r="A1284" s="21" t="s">
        <v>4005</v>
      </c>
      <c r="B1284" s="24">
        <v>990</v>
      </c>
      <c r="C1284" s="25" t="s">
        <v>401</v>
      </c>
      <c r="D1284" s="10" t="s">
        <v>3905</v>
      </c>
      <c r="E1284" s="19">
        <v>13</v>
      </c>
      <c r="F1284" s="10" t="s">
        <v>3907</v>
      </c>
      <c r="G1284" s="10" t="s">
        <v>4685</v>
      </c>
      <c r="H1284" s="35" t="s">
        <v>16</v>
      </c>
      <c r="I1284" s="36" t="s">
        <v>380</v>
      </c>
      <c r="J1284" s="9" t="s">
        <v>16</v>
      </c>
      <c r="K1284" s="9" t="s">
        <v>3951</v>
      </c>
      <c r="L1284" s="9" t="s">
        <v>3909</v>
      </c>
      <c r="M1284" s="9" t="s">
        <v>3910</v>
      </c>
      <c r="N1284" s="9" t="s">
        <v>1459</v>
      </c>
      <c r="O1284" s="20" t="s">
        <v>4926</v>
      </c>
      <c r="P1284" s="20"/>
      <c r="Q1284" s="11" t="s">
        <v>3826</v>
      </c>
      <c r="R1284" s="20" t="s">
        <v>4927</v>
      </c>
      <c r="S1284" s="39" t="s">
        <v>4458</v>
      </c>
      <c r="T1284" s="70" t="s">
        <v>3744</v>
      </c>
      <c r="U1284" s="50" t="s">
        <v>399</v>
      </c>
      <c r="V1284" s="118" t="str">
        <f>+Agencia[[#This Row],[idcoleccion]]&amp;"-"&amp;Agencia[[#This Row],[id]]</f>
        <v>990-1273</v>
      </c>
      <c r="W1284" s="118">
        <f>+VLOOKUP(Agencia[[#This Row],[Filtro URL]],Estructura!$X$4:$Y$500,2,0)</f>
        <v>99200013</v>
      </c>
      <c r="X1284" s="118" t="str">
        <f>+VLOOKUP(Agencia[[#This Row],[tema]],Estructura!$A$4:$C$500,3,0)</f>
        <v>T-1049</v>
      </c>
      <c r="Y1284" s="118" t="str">
        <f>+VLOOKUP(Agencia[[#This Row],[contenido]],Estructura!$E$4:$G$500,3,0)</f>
        <v>C-1016</v>
      </c>
      <c r="Z1284" s="118" t="str">
        <f>+VLOOKUP(Agencia[[#This Row],[Filtro Integrado]],Estructura!$I$4:$K$500,3,0)</f>
        <v>FI-992</v>
      </c>
      <c r="AA1284" s="118" t="str">
        <f>+VLOOKUP(Agencia[[#This Row],[Muestra]],Estructura!$M$4:$O$500,3,0)</f>
        <v>M-1093</v>
      </c>
    </row>
    <row r="1285" spans="1:27" ht="61.2" x14ac:dyDescent="0.3">
      <c r="A1285" s="21" t="s">
        <v>4006</v>
      </c>
      <c r="B1285" s="24">
        <v>990</v>
      </c>
      <c r="C1285" s="25" t="s">
        <v>401</v>
      </c>
      <c r="D1285" s="10" t="s">
        <v>3905</v>
      </c>
      <c r="E1285" s="19">
        <v>14</v>
      </c>
      <c r="F1285" s="10" t="s">
        <v>3907</v>
      </c>
      <c r="G1285" s="10" t="s">
        <v>4685</v>
      </c>
      <c r="H1285" s="35" t="s">
        <v>16</v>
      </c>
      <c r="I1285" s="36" t="s">
        <v>381</v>
      </c>
      <c r="J1285" s="9" t="s">
        <v>16</v>
      </c>
      <c r="K1285" s="9" t="s">
        <v>3951</v>
      </c>
      <c r="L1285" s="9" t="s">
        <v>3909</v>
      </c>
      <c r="M1285" s="9" t="s">
        <v>3910</v>
      </c>
      <c r="N1285" s="9" t="s">
        <v>1459</v>
      </c>
      <c r="O1285" s="20" t="s">
        <v>4928</v>
      </c>
      <c r="P1285" s="20" t="s">
        <v>3967</v>
      </c>
      <c r="Q1285" s="11" t="s">
        <v>3826</v>
      </c>
      <c r="R1285" s="20" t="s">
        <v>4929</v>
      </c>
      <c r="S1285" s="39" t="s">
        <v>4459</v>
      </c>
      <c r="T1285" s="70" t="s">
        <v>3736</v>
      </c>
      <c r="U1285" s="50" t="s">
        <v>399</v>
      </c>
      <c r="V1285" s="118" t="str">
        <f>+Agencia[[#This Row],[idcoleccion]]&amp;"-"&amp;Agencia[[#This Row],[id]]</f>
        <v>990-1274</v>
      </c>
      <c r="W1285" s="118">
        <f>+VLOOKUP(Agencia[[#This Row],[Filtro URL]],Estructura!$X$4:$Y$500,2,0)</f>
        <v>99200014</v>
      </c>
      <c r="X1285" s="118" t="str">
        <f>+VLOOKUP(Agencia[[#This Row],[tema]],Estructura!$A$4:$C$500,3,0)</f>
        <v>T-1049</v>
      </c>
      <c r="Y1285" s="118" t="str">
        <f>+VLOOKUP(Agencia[[#This Row],[contenido]],Estructura!$E$4:$G$500,3,0)</f>
        <v>C-1016</v>
      </c>
      <c r="Z1285" s="118" t="str">
        <f>+VLOOKUP(Agencia[[#This Row],[Filtro Integrado]],Estructura!$I$4:$K$500,3,0)</f>
        <v>FI-992</v>
      </c>
      <c r="AA1285" s="118" t="str">
        <f>+VLOOKUP(Agencia[[#This Row],[Muestra]],Estructura!$M$4:$O$500,3,0)</f>
        <v>M-1093</v>
      </c>
    </row>
    <row r="1286" spans="1:27" ht="57.6" x14ac:dyDescent="0.3">
      <c r="A1286" s="21" t="s">
        <v>4007</v>
      </c>
      <c r="B1286" s="24">
        <v>990</v>
      </c>
      <c r="C1286" s="25" t="s">
        <v>401</v>
      </c>
      <c r="D1286" s="10" t="s">
        <v>3905</v>
      </c>
      <c r="E1286" s="19">
        <v>15</v>
      </c>
      <c r="F1286" s="10" t="s">
        <v>3907</v>
      </c>
      <c r="G1286" s="10" t="s">
        <v>4685</v>
      </c>
      <c r="H1286" s="35" t="s">
        <v>16</v>
      </c>
      <c r="I1286" s="36" t="s">
        <v>382</v>
      </c>
      <c r="J1286" s="9" t="s">
        <v>16</v>
      </c>
      <c r="K1286" s="9" t="s">
        <v>3951</v>
      </c>
      <c r="L1286" s="9" t="s">
        <v>3909</v>
      </c>
      <c r="M1286" s="9" t="s">
        <v>3910</v>
      </c>
      <c r="N1286" s="9" t="s">
        <v>1459</v>
      </c>
      <c r="O1286" s="20" t="s">
        <v>4930</v>
      </c>
      <c r="P1286" s="20"/>
      <c r="Q1286" s="11" t="s">
        <v>3826</v>
      </c>
      <c r="R1286" s="20" t="s">
        <v>4931</v>
      </c>
      <c r="S1286" s="39" t="s">
        <v>4460</v>
      </c>
      <c r="T1286" s="70" t="s">
        <v>3730</v>
      </c>
      <c r="U1286" s="120" t="s">
        <v>399</v>
      </c>
      <c r="V1286" s="118" t="str">
        <f>+Agencia[[#This Row],[idcoleccion]]&amp;"-"&amp;Agencia[[#This Row],[id]]</f>
        <v>990-1275</v>
      </c>
      <c r="W1286" s="118">
        <f>+VLOOKUP(Agencia[[#This Row],[Filtro URL]],Estructura!$X$4:$Y$500,2,0)</f>
        <v>99200015</v>
      </c>
      <c r="X1286" s="118" t="str">
        <f>+VLOOKUP(Agencia[[#This Row],[tema]],Estructura!$A$4:$C$500,3,0)</f>
        <v>T-1049</v>
      </c>
      <c r="Y1286" s="118" t="str">
        <f>+VLOOKUP(Agencia[[#This Row],[contenido]],Estructura!$E$4:$G$500,3,0)</f>
        <v>C-1016</v>
      </c>
      <c r="Z1286" s="118" t="str">
        <f>+VLOOKUP(Agencia[[#This Row],[Filtro Integrado]],Estructura!$I$4:$K$500,3,0)</f>
        <v>FI-992</v>
      </c>
      <c r="AA1286" s="118" t="str">
        <f>+VLOOKUP(Agencia[[#This Row],[Muestra]],Estructura!$M$4:$O$500,3,0)</f>
        <v>M-1093</v>
      </c>
    </row>
    <row r="1287" spans="1:27" ht="57.6" x14ac:dyDescent="0.3">
      <c r="A1287" s="21" t="s">
        <v>4008</v>
      </c>
      <c r="B1287" s="24">
        <v>990</v>
      </c>
      <c r="C1287" s="25" t="s">
        <v>401</v>
      </c>
      <c r="D1287" s="10" t="s">
        <v>3905</v>
      </c>
      <c r="E1287" s="19">
        <v>16</v>
      </c>
      <c r="F1287" s="10" t="s">
        <v>3907</v>
      </c>
      <c r="G1287" s="10" t="s">
        <v>4685</v>
      </c>
      <c r="H1287" s="35" t="s">
        <v>16</v>
      </c>
      <c r="I1287" s="36" t="s">
        <v>383</v>
      </c>
      <c r="J1287" s="9" t="s">
        <v>16</v>
      </c>
      <c r="K1287" s="9" t="s">
        <v>3951</v>
      </c>
      <c r="L1287" s="9" t="s">
        <v>3909</v>
      </c>
      <c r="M1287" s="9" t="s">
        <v>3910</v>
      </c>
      <c r="N1287" s="9" t="s">
        <v>1459</v>
      </c>
      <c r="O1287" s="20" t="s">
        <v>4932</v>
      </c>
      <c r="P1287" s="20"/>
      <c r="Q1287" s="11" t="s">
        <v>3826</v>
      </c>
      <c r="R1287" s="20" t="s">
        <v>4933</v>
      </c>
      <c r="S1287" s="39" t="s">
        <v>4934</v>
      </c>
      <c r="T1287" s="70" t="s">
        <v>3739</v>
      </c>
      <c r="U1287" s="50" t="s">
        <v>399</v>
      </c>
      <c r="V1287" s="118" t="str">
        <f>+Agencia[[#This Row],[idcoleccion]]&amp;"-"&amp;Agencia[[#This Row],[id]]</f>
        <v>990-1276</v>
      </c>
      <c r="W1287" s="118">
        <f>+VLOOKUP(Agencia[[#This Row],[Filtro URL]],Estructura!$X$4:$Y$500,2,0)</f>
        <v>99200016</v>
      </c>
      <c r="X1287" s="118" t="str">
        <f>+VLOOKUP(Agencia[[#This Row],[tema]],Estructura!$A$4:$C$500,3,0)</f>
        <v>T-1049</v>
      </c>
      <c r="Y1287" s="118" t="str">
        <f>+VLOOKUP(Agencia[[#This Row],[contenido]],Estructura!$E$4:$G$500,3,0)</f>
        <v>C-1016</v>
      </c>
      <c r="Z1287" s="118" t="str">
        <f>+VLOOKUP(Agencia[[#This Row],[Filtro Integrado]],Estructura!$I$4:$K$500,3,0)</f>
        <v>FI-992</v>
      </c>
      <c r="AA1287" s="118" t="str">
        <f>+VLOOKUP(Agencia[[#This Row],[Muestra]],Estructura!$M$4:$O$500,3,0)</f>
        <v>M-1093</v>
      </c>
    </row>
    <row r="1288" spans="1:27" ht="48" x14ac:dyDescent="0.3">
      <c r="A1288" s="21" t="s">
        <v>4009</v>
      </c>
      <c r="B1288" s="24">
        <v>990</v>
      </c>
      <c r="C1288" s="25" t="s">
        <v>401</v>
      </c>
      <c r="D1288" s="10" t="s">
        <v>3905</v>
      </c>
      <c r="E1288" s="14">
        <v>0</v>
      </c>
      <c r="F1288" s="10" t="s">
        <v>1468</v>
      </c>
      <c r="G1288" s="10" t="s">
        <v>4685</v>
      </c>
      <c r="H1288" s="33" t="s">
        <v>20</v>
      </c>
      <c r="I1288" s="34" t="s">
        <v>15</v>
      </c>
      <c r="J1288" s="9" t="s">
        <v>3950</v>
      </c>
      <c r="K1288" s="9" t="s">
        <v>3971</v>
      </c>
      <c r="L1288" s="9" t="s">
        <v>1470</v>
      </c>
      <c r="M1288" s="9" t="s">
        <v>1469</v>
      </c>
      <c r="N1288" s="9" t="s">
        <v>1459</v>
      </c>
      <c r="O1288" s="20" t="s">
        <v>4935</v>
      </c>
      <c r="P1288" s="20"/>
      <c r="Q1288" s="11" t="s">
        <v>3826</v>
      </c>
      <c r="R1288" s="20" t="s">
        <v>4936</v>
      </c>
      <c r="S1288" s="39" t="s">
        <v>3972</v>
      </c>
      <c r="T1288" s="70" t="s">
        <v>1033</v>
      </c>
      <c r="U1288" s="50" t="s">
        <v>399</v>
      </c>
      <c r="V1288" s="118" t="str">
        <f>+Agencia[[#This Row],[idcoleccion]]&amp;"-"&amp;Agencia[[#This Row],[id]]</f>
        <v>990-1277</v>
      </c>
      <c r="W1288" s="118">
        <f>+VLOOKUP(Agencia[[#This Row],[Filtro URL]],Estructura!$X$4:$Y$500,2,0)</f>
        <v>99100000</v>
      </c>
      <c r="X1288" s="118" t="str">
        <f>+VLOOKUP(Agencia[[#This Row],[tema]],Estructura!$A$4:$C$500,3,0)</f>
        <v>T-1007</v>
      </c>
      <c r="Y1288" s="118" t="str">
        <f>+VLOOKUP(Agencia[[#This Row],[contenido]],Estructura!$E$4:$G$500,3,0)</f>
        <v>C-1016</v>
      </c>
      <c r="Z1288" s="118" t="str">
        <f>+VLOOKUP(Agencia[[#This Row],[Filtro Integrado]],Estructura!$I$4:$K$500,3,0)</f>
        <v>FI-1004</v>
      </c>
      <c r="AA1288" s="118" t="str">
        <f>+VLOOKUP(Agencia[[#This Row],[Muestra]],Estructura!$M$4:$O$500,3,0)</f>
        <v>M-1094</v>
      </c>
    </row>
    <row r="1289" spans="1:27" ht="57.6" x14ac:dyDescent="0.3">
      <c r="A1289" s="21" t="s">
        <v>4010</v>
      </c>
      <c r="B1289" s="24">
        <v>990</v>
      </c>
      <c r="C1289" s="25" t="s">
        <v>401</v>
      </c>
      <c r="D1289" s="10" t="s">
        <v>3905</v>
      </c>
      <c r="E1289" s="19">
        <v>1</v>
      </c>
      <c r="F1289" s="10" t="s">
        <v>1468</v>
      </c>
      <c r="G1289" s="10" t="s">
        <v>4685</v>
      </c>
      <c r="H1289" s="35" t="s">
        <v>16</v>
      </c>
      <c r="I1289" s="36" t="s">
        <v>368</v>
      </c>
      <c r="J1289" s="9" t="s">
        <v>3974</v>
      </c>
      <c r="K1289" s="9" t="s">
        <v>3971</v>
      </c>
      <c r="L1289" s="9" t="s">
        <v>1470</v>
      </c>
      <c r="M1289" s="9" t="s">
        <v>1469</v>
      </c>
      <c r="N1289" s="9" t="s">
        <v>1459</v>
      </c>
      <c r="O1289" s="20" t="s">
        <v>4937</v>
      </c>
      <c r="P1289" s="20"/>
      <c r="Q1289" s="11" t="s">
        <v>3826</v>
      </c>
      <c r="R1289" s="20" t="s">
        <v>4938</v>
      </c>
      <c r="S1289" s="39" t="s">
        <v>4461</v>
      </c>
      <c r="T1289" s="70" t="s">
        <v>3741</v>
      </c>
      <c r="U1289" s="120" t="s">
        <v>399</v>
      </c>
      <c r="V1289" s="118" t="str">
        <f>+Agencia[[#This Row],[idcoleccion]]&amp;"-"&amp;Agencia[[#This Row],[id]]</f>
        <v>990-1278</v>
      </c>
      <c r="W1289" s="118">
        <f>+VLOOKUP(Agencia[[#This Row],[Filtro URL]],Estructura!$X$4:$Y$500,2,0)</f>
        <v>99200001</v>
      </c>
      <c r="X1289" s="118" t="str">
        <f>+VLOOKUP(Agencia[[#This Row],[tema]],Estructura!$A$4:$C$500,3,0)</f>
        <v>T-1007</v>
      </c>
      <c r="Y1289" s="118" t="str">
        <f>+VLOOKUP(Agencia[[#This Row],[contenido]],Estructura!$E$4:$G$500,3,0)</f>
        <v>C-1016</v>
      </c>
      <c r="Z1289" s="118" t="str">
        <f>+VLOOKUP(Agencia[[#This Row],[Filtro Integrado]],Estructura!$I$4:$K$500,3,0)</f>
        <v>FI-1005</v>
      </c>
      <c r="AA1289" s="118" t="str">
        <f>+VLOOKUP(Agencia[[#This Row],[Muestra]],Estructura!$M$4:$O$500,3,0)</f>
        <v>M-1094</v>
      </c>
    </row>
    <row r="1290" spans="1:27" ht="81.599999999999994" x14ac:dyDescent="0.3">
      <c r="A1290" s="21" t="s">
        <v>4014</v>
      </c>
      <c r="B1290" s="24">
        <v>990</v>
      </c>
      <c r="C1290" s="25" t="s">
        <v>401</v>
      </c>
      <c r="D1290" s="10" t="s">
        <v>3905</v>
      </c>
      <c r="E1290" s="19">
        <v>2</v>
      </c>
      <c r="F1290" s="10" t="s">
        <v>1468</v>
      </c>
      <c r="G1290" s="10" t="s">
        <v>4685</v>
      </c>
      <c r="H1290" s="35" t="s">
        <v>16</v>
      </c>
      <c r="I1290" s="36" t="s">
        <v>369</v>
      </c>
      <c r="J1290" s="9" t="s">
        <v>3974</v>
      </c>
      <c r="K1290" s="9" t="s">
        <v>3971</v>
      </c>
      <c r="L1290" s="9" t="s">
        <v>1470</v>
      </c>
      <c r="M1290" s="9" t="s">
        <v>1469</v>
      </c>
      <c r="N1290" s="9" t="s">
        <v>1459</v>
      </c>
      <c r="O1290" s="20" t="s">
        <v>4939</v>
      </c>
      <c r="P1290" s="20" t="s">
        <v>3976</v>
      </c>
      <c r="Q1290" s="11" t="s">
        <v>3826</v>
      </c>
      <c r="R1290" s="20" t="s">
        <v>4940</v>
      </c>
      <c r="S1290" s="39" t="s">
        <v>4462</v>
      </c>
      <c r="T1290" s="70" t="s">
        <v>3729</v>
      </c>
      <c r="U1290" s="50" t="s">
        <v>399</v>
      </c>
      <c r="V1290" s="118" t="str">
        <f>+Agencia[[#This Row],[idcoleccion]]&amp;"-"&amp;Agencia[[#This Row],[id]]</f>
        <v>990-1279</v>
      </c>
      <c r="W1290" s="118">
        <f>+VLOOKUP(Agencia[[#This Row],[Filtro URL]],Estructura!$X$4:$Y$500,2,0)</f>
        <v>99200002</v>
      </c>
      <c r="X1290" s="118" t="str">
        <f>+VLOOKUP(Agencia[[#This Row],[tema]],Estructura!$A$4:$C$500,3,0)</f>
        <v>T-1007</v>
      </c>
      <c r="Y1290" s="118" t="str">
        <f>+VLOOKUP(Agencia[[#This Row],[contenido]],Estructura!$E$4:$G$500,3,0)</f>
        <v>C-1016</v>
      </c>
      <c r="Z1290" s="118" t="str">
        <f>+VLOOKUP(Agencia[[#This Row],[Filtro Integrado]],Estructura!$I$4:$K$500,3,0)</f>
        <v>FI-1005</v>
      </c>
      <c r="AA1290" s="118" t="str">
        <f>+VLOOKUP(Agencia[[#This Row],[Muestra]],Estructura!$M$4:$O$500,3,0)</f>
        <v>M-1094</v>
      </c>
    </row>
    <row r="1291" spans="1:27" ht="57.6" x14ac:dyDescent="0.3">
      <c r="A1291" s="21" t="s">
        <v>4015</v>
      </c>
      <c r="B1291" s="24">
        <v>990</v>
      </c>
      <c r="C1291" s="25" t="s">
        <v>401</v>
      </c>
      <c r="D1291" s="10" t="s">
        <v>3905</v>
      </c>
      <c r="E1291" s="19">
        <v>3</v>
      </c>
      <c r="F1291" s="10" t="s">
        <v>1468</v>
      </c>
      <c r="G1291" s="10" t="s">
        <v>4685</v>
      </c>
      <c r="H1291" s="35" t="s">
        <v>16</v>
      </c>
      <c r="I1291" s="36" t="s">
        <v>370</v>
      </c>
      <c r="J1291" s="9" t="s">
        <v>3974</v>
      </c>
      <c r="K1291" s="9" t="s">
        <v>3971</v>
      </c>
      <c r="L1291" s="9" t="s">
        <v>1470</v>
      </c>
      <c r="M1291" s="9" t="s">
        <v>1469</v>
      </c>
      <c r="N1291" s="9" t="s">
        <v>1459</v>
      </c>
      <c r="O1291" s="20" t="s">
        <v>4941</v>
      </c>
      <c r="P1291" s="20"/>
      <c r="Q1291" s="11" t="s">
        <v>3826</v>
      </c>
      <c r="R1291" s="20" t="s">
        <v>4942</v>
      </c>
      <c r="S1291" s="39" t="s">
        <v>4463</v>
      </c>
      <c r="T1291" s="70" t="s">
        <v>3731</v>
      </c>
      <c r="U1291" s="50" t="s">
        <v>399</v>
      </c>
      <c r="V1291" s="118" t="str">
        <f>+Agencia[[#This Row],[idcoleccion]]&amp;"-"&amp;Agencia[[#This Row],[id]]</f>
        <v>990-1280</v>
      </c>
      <c r="W1291" s="118">
        <f>+VLOOKUP(Agencia[[#This Row],[Filtro URL]],Estructura!$X$4:$Y$500,2,0)</f>
        <v>99200003</v>
      </c>
      <c r="X1291" s="118" t="str">
        <f>+VLOOKUP(Agencia[[#This Row],[tema]],Estructura!$A$4:$C$500,3,0)</f>
        <v>T-1007</v>
      </c>
      <c r="Y1291" s="118" t="str">
        <f>+VLOOKUP(Agencia[[#This Row],[contenido]],Estructura!$E$4:$G$500,3,0)</f>
        <v>C-1016</v>
      </c>
      <c r="Z1291" s="118" t="str">
        <f>+VLOOKUP(Agencia[[#This Row],[Filtro Integrado]],Estructura!$I$4:$K$500,3,0)</f>
        <v>FI-1005</v>
      </c>
      <c r="AA1291" s="118" t="str">
        <f>+VLOOKUP(Agencia[[#This Row],[Muestra]],Estructura!$M$4:$O$500,3,0)</f>
        <v>M-1094</v>
      </c>
    </row>
    <row r="1292" spans="1:27" ht="57.6" x14ac:dyDescent="0.3">
      <c r="A1292" s="21" t="s">
        <v>4016</v>
      </c>
      <c r="B1292" s="24">
        <v>990</v>
      </c>
      <c r="C1292" s="25" t="s">
        <v>401</v>
      </c>
      <c r="D1292" s="10" t="s">
        <v>3905</v>
      </c>
      <c r="E1292" s="19">
        <v>4</v>
      </c>
      <c r="F1292" s="10" t="s">
        <v>1468</v>
      </c>
      <c r="G1292" s="10" t="s">
        <v>4685</v>
      </c>
      <c r="H1292" s="35" t="s">
        <v>16</v>
      </c>
      <c r="I1292" s="36" t="s">
        <v>371</v>
      </c>
      <c r="J1292" s="9" t="s">
        <v>3974</v>
      </c>
      <c r="K1292" s="9" t="s">
        <v>3971</v>
      </c>
      <c r="L1292" s="9" t="s">
        <v>1470</v>
      </c>
      <c r="M1292" s="9" t="s">
        <v>1469</v>
      </c>
      <c r="N1292" s="9" t="s">
        <v>1459</v>
      </c>
      <c r="O1292" s="20" t="s">
        <v>4943</v>
      </c>
      <c r="P1292" s="20"/>
      <c r="Q1292" s="11" t="s">
        <v>3826</v>
      </c>
      <c r="R1292" s="20" t="s">
        <v>4944</v>
      </c>
      <c r="S1292" s="39" t="s">
        <v>4464</v>
      </c>
      <c r="T1292" s="70" t="s">
        <v>3733</v>
      </c>
      <c r="U1292" s="120" t="s">
        <v>399</v>
      </c>
      <c r="V1292" s="118" t="str">
        <f>+Agencia[[#This Row],[idcoleccion]]&amp;"-"&amp;Agencia[[#This Row],[id]]</f>
        <v>990-1281</v>
      </c>
      <c r="W1292" s="118">
        <f>+VLOOKUP(Agencia[[#This Row],[Filtro URL]],Estructura!$X$4:$Y$500,2,0)</f>
        <v>99200004</v>
      </c>
      <c r="X1292" s="118" t="str">
        <f>+VLOOKUP(Agencia[[#This Row],[tema]],Estructura!$A$4:$C$500,3,0)</f>
        <v>T-1007</v>
      </c>
      <c r="Y1292" s="118" t="str">
        <f>+VLOOKUP(Agencia[[#This Row],[contenido]],Estructura!$E$4:$G$500,3,0)</f>
        <v>C-1016</v>
      </c>
      <c r="Z1292" s="118" t="str">
        <f>+VLOOKUP(Agencia[[#This Row],[Filtro Integrado]],Estructura!$I$4:$K$500,3,0)</f>
        <v>FI-1005</v>
      </c>
      <c r="AA1292" s="118" t="str">
        <f>+VLOOKUP(Agencia[[#This Row],[Muestra]],Estructura!$M$4:$O$500,3,0)</f>
        <v>M-1094</v>
      </c>
    </row>
    <row r="1293" spans="1:27" ht="57.6" x14ac:dyDescent="0.3">
      <c r="A1293" s="21" t="s">
        <v>4017</v>
      </c>
      <c r="B1293" s="24">
        <v>990</v>
      </c>
      <c r="C1293" s="25" t="s">
        <v>401</v>
      </c>
      <c r="D1293" s="10" t="s">
        <v>3905</v>
      </c>
      <c r="E1293" s="19">
        <v>5</v>
      </c>
      <c r="F1293" s="10" t="s">
        <v>1468</v>
      </c>
      <c r="G1293" s="10" t="s">
        <v>4685</v>
      </c>
      <c r="H1293" s="35" t="s">
        <v>16</v>
      </c>
      <c r="I1293" s="36" t="s">
        <v>372</v>
      </c>
      <c r="J1293" s="9" t="s">
        <v>3974</v>
      </c>
      <c r="K1293" s="9" t="s">
        <v>3971</v>
      </c>
      <c r="L1293" s="9" t="s">
        <v>1470</v>
      </c>
      <c r="M1293" s="9" t="s">
        <v>1469</v>
      </c>
      <c r="N1293" s="9" t="s">
        <v>1459</v>
      </c>
      <c r="O1293" s="20" t="s">
        <v>4945</v>
      </c>
      <c r="P1293" s="20"/>
      <c r="Q1293" s="11" t="s">
        <v>3826</v>
      </c>
      <c r="R1293" s="20" t="s">
        <v>4946</v>
      </c>
      <c r="S1293" s="39" t="s">
        <v>4465</v>
      </c>
      <c r="T1293" s="70" t="s">
        <v>3742</v>
      </c>
      <c r="U1293" s="50" t="s">
        <v>399</v>
      </c>
      <c r="V1293" s="118" t="str">
        <f>+Agencia[[#This Row],[idcoleccion]]&amp;"-"&amp;Agencia[[#This Row],[id]]</f>
        <v>990-1282</v>
      </c>
      <c r="W1293" s="118">
        <f>+VLOOKUP(Agencia[[#This Row],[Filtro URL]],Estructura!$X$4:$Y$500,2,0)</f>
        <v>99200005</v>
      </c>
      <c r="X1293" s="118" t="str">
        <f>+VLOOKUP(Agencia[[#This Row],[tema]],Estructura!$A$4:$C$500,3,0)</f>
        <v>T-1007</v>
      </c>
      <c r="Y1293" s="118" t="str">
        <f>+VLOOKUP(Agencia[[#This Row],[contenido]],Estructura!$E$4:$G$500,3,0)</f>
        <v>C-1016</v>
      </c>
      <c r="Z1293" s="118" t="str">
        <f>+VLOOKUP(Agencia[[#This Row],[Filtro Integrado]],Estructura!$I$4:$K$500,3,0)</f>
        <v>FI-1005</v>
      </c>
      <c r="AA1293" s="118" t="str">
        <f>+VLOOKUP(Agencia[[#This Row],[Muestra]],Estructura!$M$4:$O$500,3,0)</f>
        <v>M-1094</v>
      </c>
    </row>
    <row r="1294" spans="1:27" ht="57.6" x14ac:dyDescent="0.3">
      <c r="A1294" s="21" t="s">
        <v>4018</v>
      </c>
      <c r="B1294" s="24">
        <v>990</v>
      </c>
      <c r="C1294" s="25" t="s">
        <v>401</v>
      </c>
      <c r="D1294" s="10" t="s">
        <v>3905</v>
      </c>
      <c r="E1294" s="19">
        <v>6</v>
      </c>
      <c r="F1294" s="10" t="s">
        <v>1468</v>
      </c>
      <c r="G1294" s="10" t="s">
        <v>4685</v>
      </c>
      <c r="H1294" s="35" t="s">
        <v>16</v>
      </c>
      <c r="I1294" s="36" t="s">
        <v>373</v>
      </c>
      <c r="J1294" s="9" t="s">
        <v>3974</v>
      </c>
      <c r="K1294" s="9" t="s">
        <v>3971</v>
      </c>
      <c r="L1294" s="9" t="s">
        <v>1470</v>
      </c>
      <c r="M1294" s="9" t="s">
        <v>1469</v>
      </c>
      <c r="N1294" s="9" t="s">
        <v>1459</v>
      </c>
      <c r="O1294" s="20" t="s">
        <v>4947</v>
      </c>
      <c r="P1294" s="20"/>
      <c r="Q1294" s="11" t="s">
        <v>3826</v>
      </c>
      <c r="R1294" s="20" t="s">
        <v>4948</v>
      </c>
      <c r="S1294" s="39" t="s">
        <v>4466</v>
      </c>
      <c r="T1294" s="70" t="s">
        <v>3740</v>
      </c>
      <c r="U1294" s="50" t="s">
        <v>399</v>
      </c>
      <c r="V1294" s="118" t="str">
        <f>+Agencia[[#This Row],[idcoleccion]]&amp;"-"&amp;Agencia[[#This Row],[id]]</f>
        <v>990-1283</v>
      </c>
      <c r="W1294" s="118">
        <f>+VLOOKUP(Agencia[[#This Row],[Filtro URL]],Estructura!$X$4:$Y$500,2,0)</f>
        <v>99200006</v>
      </c>
      <c r="X1294" s="118" t="str">
        <f>+VLOOKUP(Agencia[[#This Row],[tema]],Estructura!$A$4:$C$500,3,0)</f>
        <v>T-1007</v>
      </c>
      <c r="Y1294" s="118" t="str">
        <f>+VLOOKUP(Agencia[[#This Row],[contenido]],Estructura!$E$4:$G$500,3,0)</f>
        <v>C-1016</v>
      </c>
      <c r="Z1294" s="118" t="str">
        <f>+VLOOKUP(Agencia[[#This Row],[Filtro Integrado]],Estructura!$I$4:$K$500,3,0)</f>
        <v>FI-1005</v>
      </c>
      <c r="AA1294" s="118" t="str">
        <f>+VLOOKUP(Agencia[[#This Row],[Muestra]],Estructura!$M$4:$O$500,3,0)</f>
        <v>M-1094</v>
      </c>
    </row>
    <row r="1295" spans="1:27" ht="57.6" x14ac:dyDescent="0.3">
      <c r="A1295" s="21" t="s">
        <v>4019</v>
      </c>
      <c r="B1295" s="24">
        <v>990</v>
      </c>
      <c r="C1295" s="25" t="s">
        <v>401</v>
      </c>
      <c r="D1295" s="10" t="s">
        <v>3905</v>
      </c>
      <c r="E1295" s="19">
        <v>7</v>
      </c>
      <c r="F1295" s="10" t="s">
        <v>1468</v>
      </c>
      <c r="G1295" s="10" t="s">
        <v>4685</v>
      </c>
      <c r="H1295" s="35" t="s">
        <v>16</v>
      </c>
      <c r="I1295" s="36" t="s">
        <v>374</v>
      </c>
      <c r="J1295" s="9" t="s">
        <v>3974</v>
      </c>
      <c r="K1295" s="9" t="s">
        <v>3971</v>
      </c>
      <c r="L1295" s="9" t="s">
        <v>1470</v>
      </c>
      <c r="M1295" s="9" t="s">
        <v>1469</v>
      </c>
      <c r="N1295" s="9" t="s">
        <v>1459</v>
      </c>
      <c r="O1295" s="20" t="s">
        <v>4949</v>
      </c>
      <c r="P1295" s="20"/>
      <c r="Q1295" s="11" t="s">
        <v>3826</v>
      </c>
      <c r="R1295" s="20" t="s">
        <v>4950</v>
      </c>
      <c r="S1295" s="39" t="s">
        <v>4467</v>
      </c>
      <c r="T1295" s="70" t="s">
        <v>3738</v>
      </c>
      <c r="U1295" s="120" t="s">
        <v>399</v>
      </c>
      <c r="V1295" s="118" t="str">
        <f>+Agencia[[#This Row],[idcoleccion]]&amp;"-"&amp;Agencia[[#This Row],[id]]</f>
        <v>990-1284</v>
      </c>
      <c r="W1295" s="118">
        <f>+VLOOKUP(Agencia[[#This Row],[Filtro URL]],Estructura!$X$4:$Y$500,2,0)</f>
        <v>99200007</v>
      </c>
      <c r="X1295" s="118" t="str">
        <f>+VLOOKUP(Agencia[[#This Row],[tema]],Estructura!$A$4:$C$500,3,0)</f>
        <v>T-1007</v>
      </c>
      <c r="Y1295" s="118" t="str">
        <f>+VLOOKUP(Agencia[[#This Row],[contenido]],Estructura!$E$4:$G$500,3,0)</f>
        <v>C-1016</v>
      </c>
      <c r="Z1295" s="118" t="str">
        <f>+VLOOKUP(Agencia[[#This Row],[Filtro Integrado]],Estructura!$I$4:$K$500,3,0)</f>
        <v>FI-1005</v>
      </c>
      <c r="AA1295" s="118" t="str">
        <f>+VLOOKUP(Agencia[[#This Row],[Muestra]],Estructura!$M$4:$O$500,3,0)</f>
        <v>M-1094</v>
      </c>
    </row>
    <row r="1296" spans="1:27" ht="57.6" x14ac:dyDescent="0.3">
      <c r="A1296" s="21" t="s">
        <v>4020</v>
      </c>
      <c r="B1296" s="24">
        <v>990</v>
      </c>
      <c r="C1296" s="25" t="s">
        <v>401</v>
      </c>
      <c r="D1296" s="10" t="s">
        <v>3905</v>
      </c>
      <c r="E1296" s="19">
        <v>8</v>
      </c>
      <c r="F1296" s="10" t="s">
        <v>1468</v>
      </c>
      <c r="G1296" s="10" t="s">
        <v>4685</v>
      </c>
      <c r="H1296" s="35" t="s">
        <v>16</v>
      </c>
      <c r="I1296" s="36" t="s">
        <v>375</v>
      </c>
      <c r="J1296" s="9" t="s">
        <v>3974</v>
      </c>
      <c r="K1296" s="9" t="s">
        <v>3971</v>
      </c>
      <c r="L1296" s="9" t="s">
        <v>1470</v>
      </c>
      <c r="M1296" s="9" t="s">
        <v>1469</v>
      </c>
      <c r="N1296" s="9" t="s">
        <v>1459</v>
      </c>
      <c r="O1296" s="20" t="s">
        <v>4951</v>
      </c>
      <c r="P1296" s="20"/>
      <c r="Q1296" s="11" t="s">
        <v>3826</v>
      </c>
      <c r="R1296" s="20" t="s">
        <v>4952</v>
      </c>
      <c r="S1296" s="39" t="s">
        <v>4468</v>
      </c>
      <c r="T1296" s="70" t="s">
        <v>3743</v>
      </c>
      <c r="U1296" s="50" t="s">
        <v>399</v>
      </c>
      <c r="V1296" s="118" t="str">
        <f>+Agencia[[#This Row],[idcoleccion]]&amp;"-"&amp;Agencia[[#This Row],[id]]</f>
        <v>990-1285</v>
      </c>
      <c r="W1296" s="118">
        <f>+VLOOKUP(Agencia[[#This Row],[Filtro URL]],Estructura!$X$4:$Y$500,2,0)</f>
        <v>99200008</v>
      </c>
      <c r="X1296" s="118" t="str">
        <f>+VLOOKUP(Agencia[[#This Row],[tema]],Estructura!$A$4:$C$500,3,0)</f>
        <v>T-1007</v>
      </c>
      <c r="Y1296" s="118" t="str">
        <f>+VLOOKUP(Agencia[[#This Row],[contenido]],Estructura!$E$4:$G$500,3,0)</f>
        <v>C-1016</v>
      </c>
      <c r="Z1296" s="118" t="str">
        <f>+VLOOKUP(Agencia[[#This Row],[Filtro Integrado]],Estructura!$I$4:$K$500,3,0)</f>
        <v>FI-1005</v>
      </c>
      <c r="AA1296" s="118" t="str">
        <f>+VLOOKUP(Agencia[[#This Row],[Muestra]],Estructura!$M$4:$O$500,3,0)</f>
        <v>M-1094</v>
      </c>
    </row>
    <row r="1297" spans="1:27" ht="57.6" x14ac:dyDescent="0.3">
      <c r="A1297" s="21" t="s">
        <v>4021</v>
      </c>
      <c r="B1297" s="24">
        <v>990</v>
      </c>
      <c r="C1297" s="25" t="s">
        <v>401</v>
      </c>
      <c r="D1297" s="10" t="s">
        <v>3905</v>
      </c>
      <c r="E1297" s="19">
        <v>9</v>
      </c>
      <c r="F1297" s="10" t="s">
        <v>1468</v>
      </c>
      <c r="G1297" s="10" t="s">
        <v>4685</v>
      </c>
      <c r="H1297" s="35" t="s">
        <v>16</v>
      </c>
      <c r="I1297" s="36" t="s">
        <v>376</v>
      </c>
      <c r="J1297" s="9" t="s">
        <v>3974</v>
      </c>
      <c r="K1297" s="9" t="s">
        <v>3971</v>
      </c>
      <c r="L1297" s="9" t="s">
        <v>1470</v>
      </c>
      <c r="M1297" s="9" t="s">
        <v>1469</v>
      </c>
      <c r="N1297" s="9" t="s">
        <v>1459</v>
      </c>
      <c r="O1297" s="20" t="s">
        <v>4953</v>
      </c>
      <c r="P1297" s="20"/>
      <c r="Q1297" s="11" t="s">
        <v>3826</v>
      </c>
      <c r="R1297" s="20" t="s">
        <v>4954</v>
      </c>
      <c r="S1297" s="39" t="s">
        <v>4469</v>
      </c>
      <c r="T1297" s="70" t="s">
        <v>3734</v>
      </c>
      <c r="U1297" s="50" t="s">
        <v>399</v>
      </c>
      <c r="V1297" s="118" t="str">
        <f>+Agencia[[#This Row],[idcoleccion]]&amp;"-"&amp;Agencia[[#This Row],[id]]</f>
        <v>990-1286</v>
      </c>
      <c r="W1297" s="118">
        <f>+VLOOKUP(Agencia[[#This Row],[Filtro URL]],Estructura!$X$4:$Y$500,2,0)</f>
        <v>99200009</v>
      </c>
      <c r="X1297" s="118" t="str">
        <f>+VLOOKUP(Agencia[[#This Row],[tema]],Estructura!$A$4:$C$500,3,0)</f>
        <v>T-1007</v>
      </c>
      <c r="Y1297" s="118" t="str">
        <f>+VLOOKUP(Agencia[[#This Row],[contenido]],Estructura!$E$4:$G$500,3,0)</f>
        <v>C-1016</v>
      </c>
      <c r="Z1297" s="118" t="str">
        <f>+VLOOKUP(Agencia[[#This Row],[Filtro Integrado]],Estructura!$I$4:$K$500,3,0)</f>
        <v>FI-1005</v>
      </c>
      <c r="AA1297" s="118" t="str">
        <f>+VLOOKUP(Agencia[[#This Row],[Muestra]],Estructura!$M$4:$O$500,3,0)</f>
        <v>M-1094</v>
      </c>
    </row>
    <row r="1298" spans="1:27" ht="57.6" x14ac:dyDescent="0.3">
      <c r="A1298" s="21" t="s">
        <v>4022</v>
      </c>
      <c r="B1298" s="24">
        <v>990</v>
      </c>
      <c r="C1298" s="25" t="s">
        <v>401</v>
      </c>
      <c r="D1298" s="10" t="s">
        <v>3905</v>
      </c>
      <c r="E1298" s="19">
        <v>10</v>
      </c>
      <c r="F1298" s="10" t="s">
        <v>1468</v>
      </c>
      <c r="G1298" s="10" t="s">
        <v>4685</v>
      </c>
      <c r="H1298" s="35" t="s">
        <v>16</v>
      </c>
      <c r="I1298" s="36" t="s">
        <v>377</v>
      </c>
      <c r="J1298" s="9" t="s">
        <v>3974</v>
      </c>
      <c r="K1298" s="9" t="s">
        <v>3971</v>
      </c>
      <c r="L1298" s="9" t="s">
        <v>1470</v>
      </c>
      <c r="M1298" s="9" t="s">
        <v>1469</v>
      </c>
      <c r="N1298" s="9" t="s">
        <v>1459</v>
      </c>
      <c r="O1298" s="20" t="s">
        <v>4955</v>
      </c>
      <c r="P1298" s="20"/>
      <c r="Q1298" s="11" t="s">
        <v>3826</v>
      </c>
      <c r="R1298" s="20" t="s">
        <v>4956</v>
      </c>
      <c r="S1298" s="39" t="s">
        <v>4470</v>
      </c>
      <c r="T1298" s="70" t="s">
        <v>3735</v>
      </c>
      <c r="U1298" s="120" t="s">
        <v>399</v>
      </c>
      <c r="V1298" s="118" t="str">
        <f>+Agencia[[#This Row],[idcoleccion]]&amp;"-"&amp;Agencia[[#This Row],[id]]</f>
        <v>990-1287</v>
      </c>
      <c r="W1298" s="118">
        <f>+VLOOKUP(Agencia[[#This Row],[Filtro URL]],Estructura!$X$4:$Y$500,2,0)</f>
        <v>99200010</v>
      </c>
      <c r="X1298" s="118" t="str">
        <f>+VLOOKUP(Agencia[[#This Row],[tema]],Estructura!$A$4:$C$500,3,0)</f>
        <v>T-1007</v>
      </c>
      <c r="Y1298" s="118" t="str">
        <f>+VLOOKUP(Agencia[[#This Row],[contenido]],Estructura!$E$4:$G$500,3,0)</f>
        <v>C-1016</v>
      </c>
      <c r="Z1298" s="118" t="str">
        <f>+VLOOKUP(Agencia[[#This Row],[Filtro Integrado]],Estructura!$I$4:$K$500,3,0)</f>
        <v>FI-1005</v>
      </c>
      <c r="AA1298" s="118" t="str">
        <f>+VLOOKUP(Agencia[[#This Row],[Muestra]],Estructura!$M$4:$O$500,3,0)</f>
        <v>M-1094</v>
      </c>
    </row>
    <row r="1299" spans="1:27" ht="57.6" x14ac:dyDescent="0.3">
      <c r="A1299" s="21" t="s">
        <v>4023</v>
      </c>
      <c r="B1299" s="24">
        <v>990</v>
      </c>
      <c r="C1299" s="25" t="s">
        <v>401</v>
      </c>
      <c r="D1299" s="10" t="s">
        <v>3905</v>
      </c>
      <c r="E1299" s="19">
        <v>11</v>
      </c>
      <c r="F1299" s="10" t="s">
        <v>1468</v>
      </c>
      <c r="G1299" s="10" t="s">
        <v>4685</v>
      </c>
      <c r="H1299" s="35" t="s">
        <v>16</v>
      </c>
      <c r="I1299" s="36" t="s">
        <v>378</v>
      </c>
      <c r="J1299" s="9" t="s">
        <v>3974</v>
      </c>
      <c r="K1299" s="9" t="s">
        <v>3971</v>
      </c>
      <c r="L1299" s="9" t="s">
        <v>1470</v>
      </c>
      <c r="M1299" s="9" t="s">
        <v>1469</v>
      </c>
      <c r="N1299" s="9" t="s">
        <v>1459</v>
      </c>
      <c r="O1299" s="20" t="s">
        <v>4957</v>
      </c>
      <c r="P1299" s="20"/>
      <c r="Q1299" s="11" t="s">
        <v>3826</v>
      </c>
      <c r="R1299" s="20" t="s">
        <v>4958</v>
      </c>
      <c r="S1299" s="39" t="s">
        <v>4471</v>
      </c>
      <c r="T1299" s="70" t="s">
        <v>3732</v>
      </c>
      <c r="U1299" s="50" t="s">
        <v>399</v>
      </c>
      <c r="V1299" s="118" t="str">
        <f>+Agencia[[#This Row],[idcoleccion]]&amp;"-"&amp;Agencia[[#This Row],[id]]</f>
        <v>990-1288</v>
      </c>
      <c r="W1299" s="118">
        <f>+VLOOKUP(Agencia[[#This Row],[Filtro URL]],Estructura!$X$4:$Y$500,2,0)</f>
        <v>99200011</v>
      </c>
      <c r="X1299" s="118" t="str">
        <f>+VLOOKUP(Agencia[[#This Row],[tema]],Estructura!$A$4:$C$500,3,0)</f>
        <v>T-1007</v>
      </c>
      <c r="Y1299" s="118" t="str">
        <f>+VLOOKUP(Agencia[[#This Row],[contenido]],Estructura!$E$4:$G$500,3,0)</f>
        <v>C-1016</v>
      </c>
      <c r="Z1299" s="118" t="str">
        <f>+VLOOKUP(Agencia[[#This Row],[Filtro Integrado]],Estructura!$I$4:$K$500,3,0)</f>
        <v>FI-1005</v>
      </c>
      <c r="AA1299" s="118" t="str">
        <f>+VLOOKUP(Agencia[[#This Row],[Muestra]],Estructura!$M$4:$O$500,3,0)</f>
        <v>M-1094</v>
      </c>
    </row>
    <row r="1300" spans="1:27" ht="57.6" x14ac:dyDescent="0.3">
      <c r="A1300" s="21" t="s">
        <v>4024</v>
      </c>
      <c r="B1300" s="24">
        <v>990</v>
      </c>
      <c r="C1300" s="25" t="s">
        <v>401</v>
      </c>
      <c r="D1300" s="10" t="s">
        <v>3905</v>
      </c>
      <c r="E1300" s="19">
        <v>12</v>
      </c>
      <c r="F1300" s="10" t="s">
        <v>1468</v>
      </c>
      <c r="G1300" s="10" t="s">
        <v>4685</v>
      </c>
      <c r="H1300" s="35" t="s">
        <v>16</v>
      </c>
      <c r="I1300" s="36" t="s">
        <v>379</v>
      </c>
      <c r="J1300" s="9" t="s">
        <v>3974</v>
      </c>
      <c r="K1300" s="9" t="s">
        <v>3971</v>
      </c>
      <c r="L1300" s="9" t="s">
        <v>1470</v>
      </c>
      <c r="M1300" s="9" t="s">
        <v>1469</v>
      </c>
      <c r="N1300" s="9" t="s">
        <v>1459</v>
      </c>
      <c r="O1300" s="20" t="s">
        <v>4959</v>
      </c>
      <c r="P1300" s="20"/>
      <c r="Q1300" s="11" t="s">
        <v>3826</v>
      </c>
      <c r="R1300" s="20" t="s">
        <v>4960</v>
      </c>
      <c r="S1300" s="39" t="s">
        <v>4472</v>
      </c>
      <c r="T1300" s="70" t="s">
        <v>3737</v>
      </c>
      <c r="U1300" s="50" t="s">
        <v>399</v>
      </c>
      <c r="V1300" s="118" t="str">
        <f>+Agencia[[#This Row],[idcoleccion]]&amp;"-"&amp;Agencia[[#This Row],[id]]</f>
        <v>990-1289</v>
      </c>
      <c r="W1300" s="118">
        <f>+VLOOKUP(Agencia[[#This Row],[Filtro URL]],Estructura!$X$4:$Y$500,2,0)</f>
        <v>99200012</v>
      </c>
      <c r="X1300" s="118" t="str">
        <f>+VLOOKUP(Agencia[[#This Row],[tema]],Estructura!$A$4:$C$500,3,0)</f>
        <v>T-1007</v>
      </c>
      <c r="Y1300" s="118" t="str">
        <f>+VLOOKUP(Agencia[[#This Row],[contenido]],Estructura!$E$4:$G$500,3,0)</f>
        <v>C-1016</v>
      </c>
      <c r="Z1300" s="118" t="str">
        <f>+VLOOKUP(Agencia[[#This Row],[Filtro Integrado]],Estructura!$I$4:$K$500,3,0)</f>
        <v>FI-1005</v>
      </c>
      <c r="AA1300" s="118" t="str">
        <f>+VLOOKUP(Agencia[[#This Row],[Muestra]],Estructura!$M$4:$O$500,3,0)</f>
        <v>M-1094</v>
      </c>
    </row>
    <row r="1301" spans="1:27" ht="57.6" x14ac:dyDescent="0.3">
      <c r="A1301" s="21" t="s">
        <v>4025</v>
      </c>
      <c r="B1301" s="24">
        <v>990</v>
      </c>
      <c r="C1301" s="25" t="s">
        <v>401</v>
      </c>
      <c r="D1301" s="10" t="s">
        <v>3905</v>
      </c>
      <c r="E1301" s="19">
        <v>13</v>
      </c>
      <c r="F1301" s="10" t="s">
        <v>1468</v>
      </c>
      <c r="G1301" s="10" t="s">
        <v>4685</v>
      </c>
      <c r="H1301" s="35" t="s">
        <v>16</v>
      </c>
      <c r="I1301" s="36" t="s">
        <v>380</v>
      </c>
      <c r="J1301" s="9" t="s">
        <v>3974</v>
      </c>
      <c r="K1301" s="9" t="s">
        <v>3971</v>
      </c>
      <c r="L1301" s="9" t="s">
        <v>1470</v>
      </c>
      <c r="M1301" s="9" t="s">
        <v>1469</v>
      </c>
      <c r="N1301" s="9" t="s">
        <v>1459</v>
      </c>
      <c r="O1301" s="20" t="s">
        <v>4961</v>
      </c>
      <c r="P1301" s="20"/>
      <c r="Q1301" s="11" t="s">
        <v>3826</v>
      </c>
      <c r="R1301" s="20" t="s">
        <v>4962</v>
      </c>
      <c r="S1301" s="39" t="s">
        <v>4473</v>
      </c>
      <c r="T1301" s="70" t="s">
        <v>3744</v>
      </c>
      <c r="U1301" s="120" t="s">
        <v>399</v>
      </c>
      <c r="V1301" s="118" t="str">
        <f>+Agencia[[#This Row],[idcoleccion]]&amp;"-"&amp;Agencia[[#This Row],[id]]</f>
        <v>990-1290</v>
      </c>
      <c r="W1301" s="118">
        <f>+VLOOKUP(Agencia[[#This Row],[Filtro URL]],Estructura!$X$4:$Y$500,2,0)</f>
        <v>99200013</v>
      </c>
      <c r="X1301" s="118" t="str">
        <f>+VLOOKUP(Agencia[[#This Row],[tema]],Estructura!$A$4:$C$500,3,0)</f>
        <v>T-1007</v>
      </c>
      <c r="Y1301" s="118" t="str">
        <f>+VLOOKUP(Agencia[[#This Row],[contenido]],Estructura!$E$4:$G$500,3,0)</f>
        <v>C-1016</v>
      </c>
      <c r="Z1301" s="118" t="str">
        <f>+VLOOKUP(Agencia[[#This Row],[Filtro Integrado]],Estructura!$I$4:$K$500,3,0)</f>
        <v>FI-1005</v>
      </c>
      <c r="AA1301" s="118" t="str">
        <f>+VLOOKUP(Agencia[[#This Row],[Muestra]],Estructura!$M$4:$O$500,3,0)</f>
        <v>M-1094</v>
      </c>
    </row>
    <row r="1302" spans="1:27" ht="57.6" x14ac:dyDescent="0.3">
      <c r="A1302" s="21" t="s">
        <v>4026</v>
      </c>
      <c r="B1302" s="24">
        <v>990</v>
      </c>
      <c r="C1302" s="25" t="s">
        <v>401</v>
      </c>
      <c r="D1302" s="10" t="s">
        <v>3905</v>
      </c>
      <c r="E1302" s="19">
        <v>14</v>
      </c>
      <c r="F1302" s="10" t="s">
        <v>1468</v>
      </c>
      <c r="G1302" s="10" t="s">
        <v>4685</v>
      </c>
      <c r="H1302" s="35" t="s">
        <v>16</v>
      </c>
      <c r="I1302" s="36" t="s">
        <v>381</v>
      </c>
      <c r="J1302" s="9" t="s">
        <v>3974</v>
      </c>
      <c r="K1302" s="9" t="s">
        <v>3971</v>
      </c>
      <c r="L1302" s="9" t="s">
        <v>1470</v>
      </c>
      <c r="M1302" s="9" t="s">
        <v>1469</v>
      </c>
      <c r="N1302" s="9" t="s">
        <v>1459</v>
      </c>
      <c r="O1302" s="20" t="s">
        <v>4963</v>
      </c>
      <c r="P1302" s="20"/>
      <c r="Q1302" s="11" t="s">
        <v>3826</v>
      </c>
      <c r="R1302" s="20" t="s">
        <v>4964</v>
      </c>
      <c r="S1302" s="39" t="s">
        <v>4474</v>
      </c>
      <c r="T1302" s="70" t="s">
        <v>3736</v>
      </c>
      <c r="U1302" s="50" t="s">
        <v>399</v>
      </c>
      <c r="V1302" s="118" t="str">
        <f>+Agencia[[#This Row],[idcoleccion]]&amp;"-"&amp;Agencia[[#This Row],[id]]</f>
        <v>990-1291</v>
      </c>
      <c r="W1302" s="118">
        <f>+VLOOKUP(Agencia[[#This Row],[Filtro URL]],Estructura!$X$4:$Y$500,2,0)</f>
        <v>99200014</v>
      </c>
      <c r="X1302" s="118" t="str">
        <f>+VLOOKUP(Agencia[[#This Row],[tema]],Estructura!$A$4:$C$500,3,0)</f>
        <v>T-1007</v>
      </c>
      <c r="Y1302" s="118" t="str">
        <f>+VLOOKUP(Agencia[[#This Row],[contenido]],Estructura!$E$4:$G$500,3,0)</f>
        <v>C-1016</v>
      </c>
      <c r="Z1302" s="118" t="str">
        <f>+VLOOKUP(Agencia[[#This Row],[Filtro Integrado]],Estructura!$I$4:$K$500,3,0)</f>
        <v>FI-1005</v>
      </c>
      <c r="AA1302" s="118" t="str">
        <f>+VLOOKUP(Agencia[[#This Row],[Muestra]],Estructura!$M$4:$O$500,3,0)</f>
        <v>M-1094</v>
      </c>
    </row>
    <row r="1303" spans="1:27" ht="57.6" x14ac:dyDescent="0.3">
      <c r="A1303" s="21" t="s">
        <v>4027</v>
      </c>
      <c r="B1303" s="24">
        <v>990</v>
      </c>
      <c r="C1303" s="25" t="s">
        <v>401</v>
      </c>
      <c r="D1303" s="10" t="s">
        <v>3905</v>
      </c>
      <c r="E1303" s="19">
        <v>15</v>
      </c>
      <c r="F1303" s="10" t="s">
        <v>1468</v>
      </c>
      <c r="G1303" s="10" t="s">
        <v>4685</v>
      </c>
      <c r="H1303" s="35" t="s">
        <v>16</v>
      </c>
      <c r="I1303" s="36" t="s">
        <v>382</v>
      </c>
      <c r="J1303" s="9" t="s">
        <v>3974</v>
      </c>
      <c r="K1303" s="9" t="s">
        <v>3971</v>
      </c>
      <c r="L1303" s="9" t="s">
        <v>1470</v>
      </c>
      <c r="M1303" s="9" t="s">
        <v>1469</v>
      </c>
      <c r="N1303" s="9" t="s">
        <v>1459</v>
      </c>
      <c r="O1303" s="20" t="s">
        <v>4965</v>
      </c>
      <c r="P1303" s="20"/>
      <c r="Q1303" s="11" t="s">
        <v>3826</v>
      </c>
      <c r="R1303" s="20" t="s">
        <v>4966</v>
      </c>
      <c r="S1303" s="39" t="s">
        <v>4475</v>
      </c>
      <c r="T1303" s="70" t="s">
        <v>3730</v>
      </c>
      <c r="U1303" s="50" t="s">
        <v>399</v>
      </c>
      <c r="V1303" s="118" t="str">
        <f>+Agencia[[#This Row],[idcoleccion]]&amp;"-"&amp;Agencia[[#This Row],[id]]</f>
        <v>990-1292</v>
      </c>
      <c r="W1303" s="118">
        <f>+VLOOKUP(Agencia[[#This Row],[Filtro URL]],Estructura!$X$4:$Y$500,2,0)</f>
        <v>99200015</v>
      </c>
      <c r="X1303" s="118" t="str">
        <f>+VLOOKUP(Agencia[[#This Row],[tema]],Estructura!$A$4:$C$500,3,0)</f>
        <v>T-1007</v>
      </c>
      <c r="Y1303" s="118" t="str">
        <f>+VLOOKUP(Agencia[[#This Row],[contenido]],Estructura!$E$4:$G$500,3,0)</f>
        <v>C-1016</v>
      </c>
      <c r="Z1303" s="118" t="str">
        <f>+VLOOKUP(Agencia[[#This Row],[Filtro Integrado]],Estructura!$I$4:$K$500,3,0)</f>
        <v>FI-1005</v>
      </c>
      <c r="AA1303" s="118" t="str">
        <f>+VLOOKUP(Agencia[[#This Row],[Muestra]],Estructura!$M$4:$O$500,3,0)</f>
        <v>M-1094</v>
      </c>
    </row>
    <row r="1304" spans="1:27" ht="57.6" x14ac:dyDescent="0.3">
      <c r="A1304" s="21" t="s">
        <v>4028</v>
      </c>
      <c r="B1304" s="24">
        <v>990</v>
      </c>
      <c r="C1304" s="25" t="s">
        <v>401</v>
      </c>
      <c r="D1304" s="10" t="s">
        <v>3905</v>
      </c>
      <c r="E1304" s="19">
        <v>16</v>
      </c>
      <c r="F1304" s="10" t="s">
        <v>1468</v>
      </c>
      <c r="G1304" s="10" t="s">
        <v>4685</v>
      </c>
      <c r="H1304" s="35" t="s">
        <v>16</v>
      </c>
      <c r="I1304" s="36" t="s">
        <v>383</v>
      </c>
      <c r="J1304" s="9" t="s">
        <v>3974</v>
      </c>
      <c r="K1304" s="9" t="s">
        <v>3971</v>
      </c>
      <c r="L1304" s="9" t="s">
        <v>1470</v>
      </c>
      <c r="M1304" s="9" t="s">
        <v>1469</v>
      </c>
      <c r="N1304" s="9" t="s">
        <v>1459</v>
      </c>
      <c r="O1304" s="20" t="s">
        <v>4967</v>
      </c>
      <c r="P1304" s="20"/>
      <c r="Q1304" s="11" t="s">
        <v>3826</v>
      </c>
      <c r="R1304" s="20" t="s">
        <v>4968</v>
      </c>
      <c r="S1304" s="39" t="s">
        <v>4969</v>
      </c>
      <c r="T1304" s="70" t="s">
        <v>3739</v>
      </c>
      <c r="U1304" s="120" t="s">
        <v>399</v>
      </c>
      <c r="V1304" s="118" t="str">
        <f>+Agencia[[#This Row],[idcoleccion]]&amp;"-"&amp;Agencia[[#This Row],[id]]</f>
        <v>990-1293</v>
      </c>
      <c r="W1304" s="118">
        <f>+VLOOKUP(Agencia[[#This Row],[Filtro URL]],Estructura!$X$4:$Y$500,2,0)</f>
        <v>99200016</v>
      </c>
      <c r="X1304" s="118" t="str">
        <f>+VLOOKUP(Agencia[[#This Row],[tema]],Estructura!$A$4:$C$500,3,0)</f>
        <v>T-1007</v>
      </c>
      <c r="Y1304" s="118" t="str">
        <f>+VLOOKUP(Agencia[[#This Row],[contenido]],Estructura!$E$4:$G$500,3,0)</f>
        <v>C-1016</v>
      </c>
      <c r="Z1304" s="118" t="str">
        <f>+VLOOKUP(Agencia[[#This Row],[Filtro Integrado]],Estructura!$I$4:$K$500,3,0)</f>
        <v>FI-1005</v>
      </c>
      <c r="AA1304" s="118" t="str">
        <f>+VLOOKUP(Agencia[[#This Row],[Muestra]],Estructura!$M$4:$O$500,3,0)</f>
        <v>M-1094</v>
      </c>
    </row>
    <row r="1305" spans="1:27" ht="36" x14ac:dyDescent="0.3">
      <c r="A1305" s="21" t="s">
        <v>4029</v>
      </c>
      <c r="B1305" s="24">
        <v>990</v>
      </c>
      <c r="C1305" s="25" t="s">
        <v>401</v>
      </c>
      <c r="D1305" s="10" t="s">
        <v>3905</v>
      </c>
      <c r="E1305" s="14">
        <v>0</v>
      </c>
      <c r="F1305" s="10" t="s">
        <v>3907</v>
      </c>
      <c r="G1305" s="10" t="s">
        <v>4685</v>
      </c>
      <c r="H1305" s="33" t="s">
        <v>20</v>
      </c>
      <c r="I1305" s="34" t="s">
        <v>15</v>
      </c>
      <c r="J1305" s="9" t="s">
        <v>1032</v>
      </c>
      <c r="K1305" s="9" t="s">
        <v>5294</v>
      </c>
      <c r="L1305" s="9" t="s">
        <v>3909</v>
      </c>
      <c r="M1305" s="9" t="s">
        <v>3910</v>
      </c>
      <c r="N1305" s="9" t="s">
        <v>1459</v>
      </c>
      <c r="O1305" s="20" t="s">
        <v>4970</v>
      </c>
      <c r="P1305" s="20"/>
      <c r="Q1305" s="11" t="s">
        <v>821</v>
      </c>
      <c r="R1305" s="20" t="s">
        <v>4971</v>
      </c>
      <c r="S1305" s="39" t="s">
        <v>3992</v>
      </c>
      <c r="T1305" s="70" t="s">
        <v>1033</v>
      </c>
      <c r="U1305" s="50" t="s">
        <v>399</v>
      </c>
      <c r="V1305" s="118" t="str">
        <f>+Agencia[[#This Row],[idcoleccion]]&amp;"-"&amp;Agencia[[#This Row],[id]]</f>
        <v>990-1294</v>
      </c>
      <c r="W1305" s="118">
        <f>+VLOOKUP(Agencia[[#This Row],[Filtro URL]],Estructura!$X$4:$Y$500,2,0)</f>
        <v>99100000</v>
      </c>
      <c r="X1305" s="118" t="str">
        <f>+VLOOKUP(Agencia[[#This Row],[tema]],Estructura!$A$4:$C$500,3,0)</f>
        <v>T-1049</v>
      </c>
      <c r="Y1305" s="118" t="str">
        <f>+VLOOKUP(Agencia[[#This Row],[contenido]],Estructura!$E$4:$G$500,3,0)</f>
        <v>C-1016</v>
      </c>
      <c r="Z1305" s="118" t="str">
        <f>+VLOOKUP(Agencia[[#This Row],[Filtro Integrado]],Estructura!$I$4:$K$500,3,0)</f>
        <v>FI-994</v>
      </c>
      <c r="AA1305" s="118" t="str">
        <f>+VLOOKUP(Agencia[[#This Row],[Muestra]],Estructura!$M$4:$O$500,3,0)</f>
        <v>M-1113</v>
      </c>
    </row>
    <row r="1306" spans="1:27" ht="57.6" x14ac:dyDescent="0.3">
      <c r="A1306" s="21" t="s">
        <v>4030</v>
      </c>
      <c r="B1306" s="24">
        <v>990</v>
      </c>
      <c r="C1306" s="25" t="s">
        <v>401</v>
      </c>
      <c r="D1306" s="10" t="s">
        <v>3905</v>
      </c>
      <c r="E1306" s="19">
        <v>1</v>
      </c>
      <c r="F1306" s="10" t="s">
        <v>3907</v>
      </c>
      <c r="G1306" s="10" t="s">
        <v>4685</v>
      </c>
      <c r="H1306" s="35" t="s">
        <v>16</v>
      </c>
      <c r="I1306" s="36" t="s">
        <v>368</v>
      </c>
      <c r="J1306" s="9" t="s">
        <v>16</v>
      </c>
      <c r="K1306" s="9" t="s">
        <v>5294</v>
      </c>
      <c r="L1306" s="9" t="s">
        <v>3909</v>
      </c>
      <c r="M1306" s="9" t="s">
        <v>3910</v>
      </c>
      <c r="N1306" s="9" t="s">
        <v>1459</v>
      </c>
      <c r="O1306" s="20" t="s">
        <v>4972</v>
      </c>
      <c r="P1306" s="20"/>
      <c r="Q1306" s="11" t="s">
        <v>821</v>
      </c>
      <c r="R1306" s="20" t="s">
        <v>4973</v>
      </c>
      <c r="S1306" s="39" t="s">
        <v>4476</v>
      </c>
      <c r="T1306" s="70" t="s">
        <v>3741</v>
      </c>
      <c r="U1306" s="50" t="s">
        <v>399</v>
      </c>
      <c r="V1306" s="118" t="str">
        <f>+Agencia[[#This Row],[idcoleccion]]&amp;"-"&amp;Agencia[[#This Row],[id]]</f>
        <v>990-1295</v>
      </c>
      <c r="W1306" s="118">
        <f>+VLOOKUP(Agencia[[#This Row],[Filtro URL]],Estructura!$X$4:$Y$500,2,0)</f>
        <v>99200001</v>
      </c>
      <c r="X1306" s="118" t="str">
        <f>+VLOOKUP(Agencia[[#This Row],[tema]],Estructura!$A$4:$C$500,3,0)</f>
        <v>T-1049</v>
      </c>
      <c r="Y1306" s="118" t="str">
        <f>+VLOOKUP(Agencia[[#This Row],[contenido]],Estructura!$E$4:$G$500,3,0)</f>
        <v>C-1016</v>
      </c>
      <c r="Z1306" s="118" t="str">
        <f>+VLOOKUP(Agencia[[#This Row],[Filtro Integrado]],Estructura!$I$4:$K$500,3,0)</f>
        <v>FI-992</v>
      </c>
      <c r="AA1306" s="118" t="str">
        <f>+VLOOKUP(Agencia[[#This Row],[Muestra]],Estructura!$M$4:$O$500,3,0)</f>
        <v>M-1113</v>
      </c>
    </row>
    <row r="1307" spans="1:27" ht="57.6" x14ac:dyDescent="0.3">
      <c r="A1307" s="21" t="s">
        <v>4034</v>
      </c>
      <c r="B1307" s="24">
        <v>990</v>
      </c>
      <c r="C1307" s="25" t="s">
        <v>401</v>
      </c>
      <c r="D1307" s="10" t="s">
        <v>3905</v>
      </c>
      <c r="E1307" s="19">
        <v>2</v>
      </c>
      <c r="F1307" s="10" t="s">
        <v>3907</v>
      </c>
      <c r="G1307" s="10" t="s">
        <v>4685</v>
      </c>
      <c r="H1307" s="35" t="s">
        <v>16</v>
      </c>
      <c r="I1307" s="36" t="s">
        <v>369</v>
      </c>
      <c r="J1307" s="9" t="s">
        <v>16</v>
      </c>
      <c r="K1307" s="9" t="s">
        <v>5294</v>
      </c>
      <c r="L1307" s="9" t="s">
        <v>3909</v>
      </c>
      <c r="M1307" s="9" t="s">
        <v>3910</v>
      </c>
      <c r="N1307" s="9" t="s">
        <v>1459</v>
      </c>
      <c r="O1307" s="20" t="s">
        <v>4974</v>
      </c>
      <c r="P1307" s="20"/>
      <c r="Q1307" s="11" t="s">
        <v>821</v>
      </c>
      <c r="R1307" s="20" t="s">
        <v>4975</v>
      </c>
      <c r="S1307" s="39" t="s">
        <v>4477</v>
      </c>
      <c r="T1307" s="70" t="s">
        <v>3729</v>
      </c>
      <c r="U1307" s="120" t="s">
        <v>399</v>
      </c>
      <c r="V1307" s="118" t="str">
        <f>+Agencia[[#This Row],[idcoleccion]]&amp;"-"&amp;Agencia[[#This Row],[id]]</f>
        <v>990-1296</v>
      </c>
      <c r="W1307" s="118">
        <f>+VLOOKUP(Agencia[[#This Row],[Filtro URL]],Estructura!$X$4:$Y$500,2,0)</f>
        <v>99200002</v>
      </c>
      <c r="X1307" s="118" t="str">
        <f>+VLOOKUP(Agencia[[#This Row],[tema]],Estructura!$A$4:$C$500,3,0)</f>
        <v>T-1049</v>
      </c>
      <c r="Y1307" s="118" t="str">
        <f>+VLOOKUP(Agencia[[#This Row],[contenido]],Estructura!$E$4:$G$500,3,0)</f>
        <v>C-1016</v>
      </c>
      <c r="Z1307" s="118" t="str">
        <f>+VLOOKUP(Agencia[[#This Row],[Filtro Integrado]],Estructura!$I$4:$K$500,3,0)</f>
        <v>FI-992</v>
      </c>
      <c r="AA1307" s="118" t="str">
        <f>+VLOOKUP(Agencia[[#This Row],[Muestra]],Estructura!$M$4:$O$500,3,0)</f>
        <v>M-1113</v>
      </c>
    </row>
    <row r="1308" spans="1:27" ht="57.6" x14ac:dyDescent="0.3">
      <c r="A1308" s="21" t="s">
        <v>4039</v>
      </c>
      <c r="B1308" s="24">
        <v>990</v>
      </c>
      <c r="C1308" s="25" t="s">
        <v>401</v>
      </c>
      <c r="D1308" s="10" t="s">
        <v>3905</v>
      </c>
      <c r="E1308" s="19">
        <v>3</v>
      </c>
      <c r="F1308" s="10" t="s">
        <v>3907</v>
      </c>
      <c r="G1308" s="10" t="s">
        <v>4685</v>
      </c>
      <c r="H1308" s="35" t="s">
        <v>16</v>
      </c>
      <c r="I1308" s="36" t="s">
        <v>370</v>
      </c>
      <c r="J1308" s="9" t="s">
        <v>16</v>
      </c>
      <c r="K1308" s="9" t="s">
        <v>5294</v>
      </c>
      <c r="L1308" s="9" t="s">
        <v>3909</v>
      </c>
      <c r="M1308" s="9" t="s">
        <v>3910</v>
      </c>
      <c r="N1308" s="9" t="s">
        <v>1459</v>
      </c>
      <c r="O1308" s="20" t="s">
        <v>4976</v>
      </c>
      <c r="P1308" s="20"/>
      <c r="Q1308" s="11" t="s">
        <v>821</v>
      </c>
      <c r="R1308" s="20" t="s">
        <v>4977</v>
      </c>
      <c r="S1308" s="39" t="s">
        <v>4478</v>
      </c>
      <c r="T1308" s="70" t="s">
        <v>3731</v>
      </c>
      <c r="U1308" s="50" t="s">
        <v>399</v>
      </c>
      <c r="V1308" s="118" t="str">
        <f>+Agencia[[#This Row],[idcoleccion]]&amp;"-"&amp;Agencia[[#This Row],[id]]</f>
        <v>990-1297</v>
      </c>
      <c r="W1308" s="118">
        <f>+VLOOKUP(Agencia[[#This Row],[Filtro URL]],Estructura!$X$4:$Y$500,2,0)</f>
        <v>99200003</v>
      </c>
      <c r="X1308" s="118" t="str">
        <f>+VLOOKUP(Agencia[[#This Row],[tema]],Estructura!$A$4:$C$500,3,0)</f>
        <v>T-1049</v>
      </c>
      <c r="Y1308" s="118" t="str">
        <f>+VLOOKUP(Agencia[[#This Row],[contenido]],Estructura!$E$4:$G$500,3,0)</f>
        <v>C-1016</v>
      </c>
      <c r="Z1308" s="118" t="str">
        <f>+VLOOKUP(Agencia[[#This Row],[Filtro Integrado]],Estructura!$I$4:$K$500,3,0)</f>
        <v>FI-992</v>
      </c>
      <c r="AA1308" s="118" t="str">
        <f>+VLOOKUP(Agencia[[#This Row],[Muestra]],Estructura!$M$4:$O$500,3,0)</f>
        <v>M-1113</v>
      </c>
    </row>
    <row r="1309" spans="1:27" ht="102" x14ac:dyDescent="0.3">
      <c r="A1309" s="21" t="s">
        <v>4043</v>
      </c>
      <c r="B1309" s="24">
        <v>990</v>
      </c>
      <c r="C1309" s="25" t="s">
        <v>401</v>
      </c>
      <c r="D1309" s="10" t="s">
        <v>3905</v>
      </c>
      <c r="E1309" s="19">
        <v>4</v>
      </c>
      <c r="F1309" s="10" t="s">
        <v>3907</v>
      </c>
      <c r="G1309" s="10" t="s">
        <v>4685</v>
      </c>
      <c r="H1309" s="35" t="s">
        <v>16</v>
      </c>
      <c r="I1309" s="36" t="s">
        <v>371</v>
      </c>
      <c r="J1309" s="9" t="s">
        <v>16</v>
      </c>
      <c r="K1309" s="9" t="s">
        <v>5294</v>
      </c>
      <c r="L1309" s="9" t="s">
        <v>3909</v>
      </c>
      <c r="M1309" s="9" t="s">
        <v>3910</v>
      </c>
      <c r="N1309" s="9" t="s">
        <v>1459</v>
      </c>
      <c r="O1309" s="20" t="s">
        <v>4978</v>
      </c>
      <c r="P1309" s="20" t="s">
        <v>3997</v>
      </c>
      <c r="Q1309" s="11" t="s">
        <v>821</v>
      </c>
      <c r="R1309" s="20" t="s">
        <v>4979</v>
      </c>
      <c r="S1309" s="39" t="s">
        <v>4479</v>
      </c>
      <c r="T1309" s="70" t="s">
        <v>3733</v>
      </c>
      <c r="U1309" s="50" t="s">
        <v>399</v>
      </c>
      <c r="V1309" s="118" t="str">
        <f>+Agencia[[#This Row],[idcoleccion]]&amp;"-"&amp;Agencia[[#This Row],[id]]</f>
        <v>990-1298</v>
      </c>
      <c r="W1309" s="118">
        <f>+VLOOKUP(Agencia[[#This Row],[Filtro URL]],Estructura!$X$4:$Y$500,2,0)</f>
        <v>99200004</v>
      </c>
      <c r="X1309" s="118" t="str">
        <f>+VLOOKUP(Agencia[[#This Row],[tema]],Estructura!$A$4:$C$500,3,0)</f>
        <v>T-1049</v>
      </c>
      <c r="Y1309" s="118" t="str">
        <f>+VLOOKUP(Agencia[[#This Row],[contenido]],Estructura!$E$4:$G$500,3,0)</f>
        <v>C-1016</v>
      </c>
      <c r="Z1309" s="118" t="str">
        <f>+VLOOKUP(Agencia[[#This Row],[Filtro Integrado]],Estructura!$I$4:$K$500,3,0)</f>
        <v>FI-992</v>
      </c>
      <c r="AA1309" s="118" t="str">
        <f>+VLOOKUP(Agencia[[#This Row],[Muestra]],Estructura!$M$4:$O$500,3,0)</f>
        <v>M-1113</v>
      </c>
    </row>
    <row r="1310" spans="1:27" ht="57.6" x14ac:dyDescent="0.3">
      <c r="A1310" s="21" t="s">
        <v>4044</v>
      </c>
      <c r="B1310" s="24">
        <v>990</v>
      </c>
      <c r="C1310" s="25" t="s">
        <v>401</v>
      </c>
      <c r="D1310" s="10" t="s">
        <v>3905</v>
      </c>
      <c r="E1310" s="19">
        <v>5</v>
      </c>
      <c r="F1310" s="10" t="s">
        <v>3907</v>
      </c>
      <c r="G1310" s="10" t="s">
        <v>4685</v>
      </c>
      <c r="H1310" s="35" t="s">
        <v>16</v>
      </c>
      <c r="I1310" s="36" t="s">
        <v>372</v>
      </c>
      <c r="J1310" s="9" t="s">
        <v>16</v>
      </c>
      <c r="K1310" s="9" t="s">
        <v>5294</v>
      </c>
      <c r="L1310" s="9" t="s">
        <v>3909</v>
      </c>
      <c r="M1310" s="9" t="s">
        <v>3910</v>
      </c>
      <c r="N1310" s="9" t="s">
        <v>1459</v>
      </c>
      <c r="O1310" s="20" t="s">
        <v>4980</v>
      </c>
      <c r="P1310" s="20"/>
      <c r="Q1310" s="11" t="s">
        <v>821</v>
      </c>
      <c r="R1310" s="20" t="s">
        <v>4981</v>
      </c>
      <c r="S1310" s="39" t="s">
        <v>4480</v>
      </c>
      <c r="T1310" s="70" t="s">
        <v>3742</v>
      </c>
      <c r="U1310" s="120" t="s">
        <v>399</v>
      </c>
      <c r="V1310" s="118" t="str">
        <f>+Agencia[[#This Row],[idcoleccion]]&amp;"-"&amp;Agencia[[#This Row],[id]]</f>
        <v>990-1299</v>
      </c>
      <c r="W1310" s="118">
        <f>+VLOOKUP(Agencia[[#This Row],[Filtro URL]],Estructura!$X$4:$Y$500,2,0)</f>
        <v>99200005</v>
      </c>
      <c r="X1310" s="118" t="str">
        <f>+VLOOKUP(Agencia[[#This Row],[tema]],Estructura!$A$4:$C$500,3,0)</f>
        <v>T-1049</v>
      </c>
      <c r="Y1310" s="118" t="str">
        <f>+VLOOKUP(Agencia[[#This Row],[contenido]],Estructura!$E$4:$G$500,3,0)</f>
        <v>C-1016</v>
      </c>
      <c r="Z1310" s="118" t="str">
        <f>+VLOOKUP(Agencia[[#This Row],[Filtro Integrado]],Estructura!$I$4:$K$500,3,0)</f>
        <v>FI-992</v>
      </c>
      <c r="AA1310" s="118" t="str">
        <f>+VLOOKUP(Agencia[[#This Row],[Muestra]],Estructura!$M$4:$O$500,3,0)</f>
        <v>M-1113</v>
      </c>
    </row>
    <row r="1311" spans="1:27" ht="57.6" x14ac:dyDescent="0.3">
      <c r="A1311" s="21" t="s">
        <v>4045</v>
      </c>
      <c r="B1311" s="24">
        <v>990</v>
      </c>
      <c r="C1311" s="25" t="s">
        <v>401</v>
      </c>
      <c r="D1311" s="10" t="s">
        <v>3905</v>
      </c>
      <c r="E1311" s="19">
        <v>6</v>
      </c>
      <c r="F1311" s="10" t="s">
        <v>3907</v>
      </c>
      <c r="G1311" s="10" t="s">
        <v>4685</v>
      </c>
      <c r="H1311" s="35" t="s">
        <v>16</v>
      </c>
      <c r="I1311" s="36" t="s">
        <v>373</v>
      </c>
      <c r="J1311" s="9" t="s">
        <v>16</v>
      </c>
      <c r="K1311" s="9" t="s">
        <v>5294</v>
      </c>
      <c r="L1311" s="9" t="s">
        <v>3909</v>
      </c>
      <c r="M1311" s="9" t="s">
        <v>3910</v>
      </c>
      <c r="N1311" s="9" t="s">
        <v>1459</v>
      </c>
      <c r="O1311" s="20" t="s">
        <v>4982</v>
      </c>
      <c r="P1311" s="20"/>
      <c r="Q1311" s="11" t="s">
        <v>821</v>
      </c>
      <c r="R1311" s="20" t="s">
        <v>4983</v>
      </c>
      <c r="S1311" s="39" t="s">
        <v>4481</v>
      </c>
      <c r="T1311" s="70" t="s">
        <v>3740</v>
      </c>
      <c r="U1311" s="50" t="s">
        <v>399</v>
      </c>
      <c r="V1311" s="118" t="str">
        <f>+Agencia[[#This Row],[idcoleccion]]&amp;"-"&amp;Agencia[[#This Row],[id]]</f>
        <v>990-1300</v>
      </c>
      <c r="W1311" s="118">
        <f>+VLOOKUP(Agencia[[#This Row],[Filtro URL]],Estructura!$X$4:$Y$500,2,0)</f>
        <v>99200006</v>
      </c>
      <c r="X1311" s="118" t="str">
        <f>+VLOOKUP(Agencia[[#This Row],[tema]],Estructura!$A$4:$C$500,3,0)</f>
        <v>T-1049</v>
      </c>
      <c r="Y1311" s="118" t="str">
        <f>+VLOOKUP(Agencia[[#This Row],[contenido]],Estructura!$E$4:$G$500,3,0)</f>
        <v>C-1016</v>
      </c>
      <c r="Z1311" s="118" t="str">
        <f>+VLOOKUP(Agencia[[#This Row],[Filtro Integrado]],Estructura!$I$4:$K$500,3,0)</f>
        <v>FI-992</v>
      </c>
      <c r="AA1311" s="118" t="str">
        <f>+VLOOKUP(Agencia[[#This Row],[Muestra]],Estructura!$M$4:$O$500,3,0)</f>
        <v>M-1113</v>
      </c>
    </row>
    <row r="1312" spans="1:27" ht="57.6" x14ac:dyDescent="0.3">
      <c r="A1312" s="21" t="s">
        <v>4046</v>
      </c>
      <c r="B1312" s="24">
        <v>990</v>
      </c>
      <c r="C1312" s="25" t="s">
        <v>401</v>
      </c>
      <c r="D1312" s="10" t="s">
        <v>3905</v>
      </c>
      <c r="E1312" s="19">
        <v>7</v>
      </c>
      <c r="F1312" s="10" t="s">
        <v>3907</v>
      </c>
      <c r="G1312" s="10" t="s">
        <v>4685</v>
      </c>
      <c r="H1312" s="35" t="s">
        <v>16</v>
      </c>
      <c r="I1312" s="36" t="s">
        <v>374</v>
      </c>
      <c r="J1312" s="9" t="s">
        <v>16</v>
      </c>
      <c r="K1312" s="9" t="s">
        <v>5294</v>
      </c>
      <c r="L1312" s="9" t="s">
        <v>3909</v>
      </c>
      <c r="M1312" s="9" t="s">
        <v>3910</v>
      </c>
      <c r="N1312" s="9" t="s">
        <v>1459</v>
      </c>
      <c r="O1312" s="20" t="s">
        <v>4984</v>
      </c>
      <c r="P1312" s="20"/>
      <c r="Q1312" s="11" t="s">
        <v>821</v>
      </c>
      <c r="R1312" s="20" t="s">
        <v>4985</v>
      </c>
      <c r="S1312" s="39" t="s">
        <v>4482</v>
      </c>
      <c r="T1312" s="70" t="s">
        <v>3738</v>
      </c>
      <c r="U1312" s="50" t="s">
        <v>399</v>
      </c>
      <c r="V1312" s="118" t="str">
        <f>+Agencia[[#This Row],[idcoleccion]]&amp;"-"&amp;Agencia[[#This Row],[id]]</f>
        <v>990-1301</v>
      </c>
      <c r="W1312" s="118">
        <f>+VLOOKUP(Agencia[[#This Row],[Filtro URL]],Estructura!$X$4:$Y$500,2,0)</f>
        <v>99200007</v>
      </c>
      <c r="X1312" s="118" t="str">
        <f>+VLOOKUP(Agencia[[#This Row],[tema]],Estructura!$A$4:$C$500,3,0)</f>
        <v>T-1049</v>
      </c>
      <c r="Y1312" s="118" t="str">
        <f>+VLOOKUP(Agencia[[#This Row],[contenido]],Estructura!$E$4:$G$500,3,0)</f>
        <v>C-1016</v>
      </c>
      <c r="Z1312" s="118" t="str">
        <f>+VLOOKUP(Agencia[[#This Row],[Filtro Integrado]],Estructura!$I$4:$K$500,3,0)</f>
        <v>FI-992</v>
      </c>
      <c r="AA1312" s="118" t="str">
        <f>+VLOOKUP(Agencia[[#This Row],[Muestra]],Estructura!$M$4:$O$500,3,0)</f>
        <v>M-1113</v>
      </c>
    </row>
    <row r="1313" spans="1:27" ht="57.6" x14ac:dyDescent="0.3">
      <c r="A1313" s="21" t="s">
        <v>4047</v>
      </c>
      <c r="B1313" s="24">
        <v>990</v>
      </c>
      <c r="C1313" s="25" t="s">
        <v>401</v>
      </c>
      <c r="D1313" s="10" t="s">
        <v>3905</v>
      </c>
      <c r="E1313" s="19">
        <v>8</v>
      </c>
      <c r="F1313" s="10" t="s">
        <v>3907</v>
      </c>
      <c r="G1313" s="10" t="s">
        <v>4685</v>
      </c>
      <c r="H1313" s="35" t="s">
        <v>16</v>
      </c>
      <c r="I1313" s="36" t="s">
        <v>375</v>
      </c>
      <c r="J1313" s="9" t="s">
        <v>16</v>
      </c>
      <c r="K1313" s="9" t="s">
        <v>5294</v>
      </c>
      <c r="L1313" s="9" t="s">
        <v>3909</v>
      </c>
      <c r="M1313" s="9" t="s">
        <v>3910</v>
      </c>
      <c r="N1313" s="9" t="s">
        <v>1459</v>
      </c>
      <c r="O1313" s="20" t="s">
        <v>4986</v>
      </c>
      <c r="P1313" s="20"/>
      <c r="Q1313" s="11" t="s">
        <v>821</v>
      </c>
      <c r="R1313" s="20" t="s">
        <v>4987</v>
      </c>
      <c r="S1313" s="39" t="s">
        <v>4483</v>
      </c>
      <c r="T1313" s="70" t="s">
        <v>3743</v>
      </c>
      <c r="U1313" s="120" t="s">
        <v>399</v>
      </c>
      <c r="V1313" s="118" t="str">
        <f>+Agencia[[#This Row],[idcoleccion]]&amp;"-"&amp;Agencia[[#This Row],[id]]</f>
        <v>990-1302</v>
      </c>
      <c r="W1313" s="118">
        <f>+VLOOKUP(Agencia[[#This Row],[Filtro URL]],Estructura!$X$4:$Y$500,2,0)</f>
        <v>99200008</v>
      </c>
      <c r="X1313" s="118" t="str">
        <f>+VLOOKUP(Agencia[[#This Row],[tema]],Estructura!$A$4:$C$500,3,0)</f>
        <v>T-1049</v>
      </c>
      <c r="Y1313" s="118" t="str">
        <f>+VLOOKUP(Agencia[[#This Row],[contenido]],Estructura!$E$4:$G$500,3,0)</f>
        <v>C-1016</v>
      </c>
      <c r="Z1313" s="118" t="str">
        <f>+VLOOKUP(Agencia[[#This Row],[Filtro Integrado]],Estructura!$I$4:$K$500,3,0)</f>
        <v>FI-992</v>
      </c>
      <c r="AA1313" s="118" t="str">
        <f>+VLOOKUP(Agencia[[#This Row],[Muestra]],Estructura!$M$4:$O$500,3,0)</f>
        <v>M-1113</v>
      </c>
    </row>
    <row r="1314" spans="1:27" ht="57.6" x14ac:dyDescent="0.3">
      <c r="A1314" s="21" t="s">
        <v>4048</v>
      </c>
      <c r="B1314" s="24">
        <v>990</v>
      </c>
      <c r="C1314" s="25" t="s">
        <v>401</v>
      </c>
      <c r="D1314" s="10" t="s">
        <v>3905</v>
      </c>
      <c r="E1314" s="19">
        <v>9</v>
      </c>
      <c r="F1314" s="10" t="s">
        <v>3907</v>
      </c>
      <c r="G1314" s="10" t="s">
        <v>4685</v>
      </c>
      <c r="H1314" s="35" t="s">
        <v>16</v>
      </c>
      <c r="I1314" s="36" t="s">
        <v>376</v>
      </c>
      <c r="J1314" s="9" t="s">
        <v>16</v>
      </c>
      <c r="K1314" s="9" t="s">
        <v>5294</v>
      </c>
      <c r="L1314" s="9" t="s">
        <v>3909</v>
      </c>
      <c r="M1314" s="9" t="s">
        <v>3910</v>
      </c>
      <c r="N1314" s="9" t="s">
        <v>1459</v>
      </c>
      <c r="O1314" s="20" t="s">
        <v>4988</v>
      </c>
      <c r="P1314" s="20"/>
      <c r="Q1314" s="11" t="s">
        <v>821</v>
      </c>
      <c r="R1314" s="20" t="s">
        <v>4989</v>
      </c>
      <c r="S1314" s="39" t="s">
        <v>4484</v>
      </c>
      <c r="T1314" s="70" t="s">
        <v>3734</v>
      </c>
      <c r="U1314" s="50" t="s">
        <v>399</v>
      </c>
      <c r="V1314" s="118" t="str">
        <f>+Agencia[[#This Row],[idcoleccion]]&amp;"-"&amp;Agencia[[#This Row],[id]]</f>
        <v>990-1303</v>
      </c>
      <c r="W1314" s="118">
        <f>+VLOOKUP(Agencia[[#This Row],[Filtro URL]],Estructura!$X$4:$Y$500,2,0)</f>
        <v>99200009</v>
      </c>
      <c r="X1314" s="118" t="str">
        <f>+VLOOKUP(Agencia[[#This Row],[tema]],Estructura!$A$4:$C$500,3,0)</f>
        <v>T-1049</v>
      </c>
      <c r="Y1314" s="118" t="str">
        <f>+VLOOKUP(Agencia[[#This Row],[contenido]],Estructura!$E$4:$G$500,3,0)</f>
        <v>C-1016</v>
      </c>
      <c r="Z1314" s="118" t="str">
        <f>+VLOOKUP(Agencia[[#This Row],[Filtro Integrado]],Estructura!$I$4:$K$500,3,0)</f>
        <v>FI-992</v>
      </c>
      <c r="AA1314" s="118" t="str">
        <f>+VLOOKUP(Agencia[[#This Row],[Muestra]],Estructura!$M$4:$O$500,3,0)</f>
        <v>M-1113</v>
      </c>
    </row>
    <row r="1315" spans="1:27" ht="57.6" x14ac:dyDescent="0.3">
      <c r="A1315" s="21" t="s">
        <v>4049</v>
      </c>
      <c r="B1315" s="24">
        <v>990</v>
      </c>
      <c r="C1315" s="25" t="s">
        <v>401</v>
      </c>
      <c r="D1315" s="10" t="s">
        <v>3905</v>
      </c>
      <c r="E1315" s="19">
        <v>10</v>
      </c>
      <c r="F1315" s="10" t="s">
        <v>3907</v>
      </c>
      <c r="G1315" s="10" t="s">
        <v>4685</v>
      </c>
      <c r="H1315" s="35" t="s">
        <v>16</v>
      </c>
      <c r="I1315" s="36" t="s">
        <v>377</v>
      </c>
      <c r="J1315" s="9" t="s">
        <v>16</v>
      </c>
      <c r="K1315" s="9" t="s">
        <v>5294</v>
      </c>
      <c r="L1315" s="9" t="s">
        <v>3909</v>
      </c>
      <c r="M1315" s="9" t="s">
        <v>3910</v>
      </c>
      <c r="N1315" s="9" t="s">
        <v>1459</v>
      </c>
      <c r="O1315" s="20" t="s">
        <v>4990</v>
      </c>
      <c r="P1315" s="20"/>
      <c r="Q1315" s="11" t="s">
        <v>821</v>
      </c>
      <c r="R1315" s="20" t="s">
        <v>4991</v>
      </c>
      <c r="S1315" s="39" t="s">
        <v>4485</v>
      </c>
      <c r="T1315" s="70" t="s">
        <v>3735</v>
      </c>
      <c r="U1315" s="50" t="s">
        <v>399</v>
      </c>
      <c r="V1315" s="118" t="str">
        <f>+Agencia[[#This Row],[idcoleccion]]&amp;"-"&amp;Agencia[[#This Row],[id]]</f>
        <v>990-1304</v>
      </c>
      <c r="W1315" s="118">
        <f>+VLOOKUP(Agencia[[#This Row],[Filtro URL]],Estructura!$X$4:$Y$500,2,0)</f>
        <v>99200010</v>
      </c>
      <c r="X1315" s="118" t="str">
        <f>+VLOOKUP(Agencia[[#This Row],[tema]],Estructura!$A$4:$C$500,3,0)</f>
        <v>T-1049</v>
      </c>
      <c r="Y1315" s="118" t="str">
        <f>+VLOOKUP(Agencia[[#This Row],[contenido]],Estructura!$E$4:$G$500,3,0)</f>
        <v>C-1016</v>
      </c>
      <c r="Z1315" s="118" t="str">
        <f>+VLOOKUP(Agencia[[#This Row],[Filtro Integrado]],Estructura!$I$4:$K$500,3,0)</f>
        <v>FI-992</v>
      </c>
      <c r="AA1315" s="118" t="str">
        <f>+VLOOKUP(Agencia[[#This Row],[Muestra]],Estructura!$M$4:$O$500,3,0)</f>
        <v>M-1113</v>
      </c>
    </row>
    <row r="1316" spans="1:27" ht="57.6" x14ac:dyDescent="0.3">
      <c r="A1316" s="21" t="s">
        <v>4050</v>
      </c>
      <c r="B1316" s="24">
        <v>990</v>
      </c>
      <c r="C1316" s="25" t="s">
        <v>401</v>
      </c>
      <c r="D1316" s="10" t="s">
        <v>3905</v>
      </c>
      <c r="E1316" s="19">
        <v>11</v>
      </c>
      <c r="F1316" s="10" t="s">
        <v>3907</v>
      </c>
      <c r="G1316" s="10" t="s">
        <v>4685</v>
      </c>
      <c r="H1316" s="35" t="s">
        <v>16</v>
      </c>
      <c r="I1316" s="36" t="s">
        <v>378</v>
      </c>
      <c r="J1316" s="9" t="s">
        <v>16</v>
      </c>
      <c r="K1316" s="9" t="s">
        <v>5294</v>
      </c>
      <c r="L1316" s="9" t="s">
        <v>3909</v>
      </c>
      <c r="M1316" s="9" t="s">
        <v>3910</v>
      </c>
      <c r="N1316" s="9" t="s">
        <v>1459</v>
      </c>
      <c r="O1316" s="20" t="s">
        <v>4992</v>
      </c>
      <c r="P1316" s="20"/>
      <c r="Q1316" s="11" t="s">
        <v>821</v>
      </c>
      <c r="R1316" s="20" t="s">
        <v>4993</v>
      </c>
      <c r="S1316" s="39" t="s">
        <v>4486</v>
      </c>
      <c r="T1316" s="70" t="s">
        <v>3732</v>
      </c>
      <c r="U1316" s="120" t="s">
        <v>399</v>
      </c>
      <c r="V1316" s="118" t="str">
        <f>+Agencia[[#This Row],[idcoleccion]]&amp;"-"&amp;Agencia[[#This Row],[id]]</f>
        <v>990-1305</v>
      </c>
      <c r="W1316" s="118">
        <f>+VLOOKUP(Agencia[[#This Row],[Filtro URL]],Estructura!$X$4:$Y$500,2,0)</f>
        <v>99200011</v>
      </c>
      <c r="X1316" s="118" t="str">
        <f>+VLOOKUP(Agencia[[#This Row],[tema]],Estructura!$A$4:$C$500,3,0)</f>
        <v>T-1049</v>
      </c>
      <c r="Y1316" s="118" t="str">
        <f>+VLOOKUP(Agencia[[#This Row],[contenido]],Estructura!$E$4:$G$500,3,0)</f>
        <v>C-1016</v>
      </c>
      <c r="Z1316" s="118" t="str">
        <f>+VLOOKUP(Agencia[[#This Row],[Filtro Integrado]],Estructura!$I$4:$K$500,3,0)</f>
        <v>FI-992</v>
      </c>
      <c r="AA1316" s="118" t="str">
        <f>+VLOOKUP(Agencia[[#This Row],[Muestra]],Estructura!$M$4:$O$500,3,0)</f>
        <v>M-1113</v>
      </c>
    </row>
    <row r="1317" spans="1:27" ht="57.6" x14ac:dyDescent="0.3">
      <c r="A1317" s="21" t="s">
        <v>4051</v>
      </c>
      <c r="B1317" s="24">
        <v>990</v>
      </c>
      <c r="C1317" s="25" t="s">
        <v>401</v>
      </c>
      <c r="D1317" s="10" t="s">
        <v>3905</v>
      </c>
      <c r="E1317" s="19">
        <v>12</v>
      </c>
      <c r="F1317" s="10" t="s">
        <v>3907</v>
      </c>
      <c r="G1317" s="10" t="s">
        <v>4685</v>
      </c>
      <c r="H1317" s="35" t="s">
        <v>16</v>
      </c>
      <c r="I1317" s="36" t="s">
        <v>379</v>
      </c>
      <c r="J1317" s="9" t="s">
        <v>16</v>
      </c>
      <c r="K1317" s="9" t="s">
        <v>5294</v>
      </c>
      <c r="L1317" s="9" t="s">
        <v>3909</v>
      </c>
      <c r="M1317" s="9" t="s">
        <v>3910</v>
      </c>
      <c r="N1317" s="9" t="s">
        <v>1459</v>
      </c>
      <c r="O1317" s="20" t="s">
        <v>4994</v>
      </c>
      <c r="P1317" s="20"/>
      <c r="Q1317" s="11" t="s">
        <v>821</v>
      </c>
      <c r="R1317" s="20" t="s">
        <v>4995</v>
      </c>
      <c r="S1317" s="39" t="s">
        <v>4487</v>
      </c>
      <c r="T1317" s="70" t="s">
        <v>3737</v>
      </c>
      <c r="U1317" s="50" t="s">
        <v>399</v>
      </c>
      <c r="V1317" s="118" t="str">
        <f>+Agencia[[#This Row],[idcoleccion]]&amp;"-"&amp;Agencia[[#This Row],[id]]</f>
        <v>990-1306</v>
      </c>
      <c r="W1317" s="118">
        <f>+VLOOKUP(Agencia[[#This Row],[Filtro URL]],Estructura!$X$4:$Y$500,2,0)</f>
        <v>99200012</v>
      </c>
      <c r="X1317" s="118" t="str">
        <f>+VLOOKUP(Agencia[[#This Row],[tema]],Estructura!$A$4:$C$500,3,0)</f>
        <v>T-1049</v>
      </c>
      <c r="Y1317" s="118" t="str">
        <f>+VLOOKUP(Agencia[[#This Row],[contenido]],Estructura!$E$4:$G$500,3,0)</f>
        <v>C-1016</v>
      </c>
      <c r="Z1317" s="118" t="str">
        <f>+VLOOKUP(Agencia[[#This Row],[Filtro Integrado]],Estructura!$I$4:$K$500,3,0)</f>
        <v>FI-992</v>
      </c>
      <c r="AA1317" s="118" t="str">
        <f>+VLOOKUP(Agencia[[#This Row],[Muestra]],Estructura!$M$4:$O$500,3,0)</f>
        <v>M-1113</v>
      </c>
    </row>
    <row r="1318" spans="1:27" ht="57.6" x14ac:dyDescent="0.3">
      <c r="A1318" s="21" t="s">
        <v>4052</v>
      </c>
      <c r="B1318" s="24">
        <v>990</v>
      </c>
      <c r="C1318" s="25" t="s">
        <v>401</v>
      </c>
      <c r="D1318" s="10" t="s">
        <v>3905</v>
      </c>
      <c r="E1318" s="19">
        <v>13</v>
      </c>
      <c r="F1318" s="10" t="s">
        <v>3907</v>
      </c>
      <c r="G1318" s="10" t="s">
        <v>4685</v>
      </c>
      <c r="H1318" s="35" t="s">
        <v>16</v>
      </c>
      <c r="I1318" s="36" t="s">
        <v>380</v>
      </c>
      <c r="J1318" s="9" t="s">
        <v>16</v>
      </c>
      <c r="K1318" s="9" t="s">
        <v>5294</v>
      </c>
      <c r="L1318" s="9" t="s">
        <v>3909</v>
      </c>
      <c r="M1318" s="9" t="s">
        <v>3910</v>
      </c>
      <c r="N1318" s="9" t="s">
        <v>1459</v>
      </c>
      <c r="O1318" s="20" t="s">
        <v>4996</v>
      </c>
      <c r="P1318" s="20"/>
      <c r="Q1318" s="11" t="s">
        <v>821</v>
      </c>
      <c r="R1318" s="20" t="s">
        <v>4997</v>
      </c>
      <c r="S1318" s="39" t="s">
        <v>4488</v>
      </c>
      <c r="T1318" s="70" t="s">
        <v>3744</v>
      </c>
      <c r="U1318" s="50" t="s">
        <v>399</v>
      </c>
      <c r="V1318" s="118" t="str">
        <f>+Agencia[[#This Row],[idcoleccion]]&amp;"-"&amp;Agencia[[#This Row],[id]]</f>
        <v>990-1307</v>
      </c>
      <c r="W1318" s="118">
        <f>+VLOOKUP(Agencia[[#This Row],[Filtro URL]],Estructura!$X$4:$Y$500,2,0)</f>
        <v>99200013</v>
      </c>
      <c r="X1318" s="118" t="str">
        <f>+VLOOKUP(Agencia[[#This Row],[tema]],Estructura!$A$4:$C$500,3,0)</f>
        <v>T-1049</v>
      </c>
      <c r="Y1318" s="118" t="str">
        <f>+VLOOKUP(Agencia[[#This Row],[contenido]],Estructura!$E$4:$G$500,3,0)</f>
        <v>C-1016</v>
      </c>
      <c r="Z1318" s="118" t="str">
        <f>+VLOOKUP(Agencia[[#This Row],[Filtro Integrado]],Estructura!$I$4:$K$500,3,0)</f>
        <v>FI-992</v>
      </c>
      <c r="AA1318" s="118" t="str">
        <f>+VLOOKUP(Agencia[[#This Row],[Muestra]],Estructura!$M$4:$O$500,3,0)</f>
        <v>M-1113</v>
      </c>
    </row>
    <row r="1319" spans="1:27" ht="57.6" x14ac:dyDescent="0.3">
      <c r="A1319" s="21" t="s">
        <v>4053</v>
      </c>
      <c r="B1319" s="24">
        <v>990</v>
      </c>
      <c r="C1319" s="25" t="s">
        <v>401</v>
      </c>
      <c r="D1319" s="10" t="s">
        <v>3905</v>
      </c>
      <c r="E1319" s="19">
        <v>14</v>
      </c>
      <c r="F1319" s="10" t="s">
        <v>3907</v>
      </c>
      <c r="G1319" s="10" t="s">
        <v>4685</v>
      </c>
      <c r="H1319" s="35" t="s">
        <v>16</v>
      </c>
      <c r="I1319" s="36" t="s">
        <v>381</v>
      </c>
      <c r="J1319" s="9" t="s">
        <v>16</v>
      </c>
      <c r="K1319" s="9" t="s">
        <v>5294</v>
      </c>
      <c r="L1319" s="9" t="s">
        <v>3909</v>
      </c>
      <c r="M1319" s="9" t="s">
        <v>3910</v>
      </c>
      <c r="N1319" s="9" t="s">
        <v>1459</v>
      </c>
      <c r="O1319" s="20" t="s">
        <v>4998</v>
      </c>
      <c r="P1319" s="20"/>
      <c r="Q1319" s="11" t="s">
        <v>821</v>
      </c>
      <c r="R1319" s="20" t="s">
        <v>4999</v>
      </c>
      <c r="S1319" s="39" t="s">
        <v>4489</v>
      </c>
      <c r="T1319" s="70" t="s">
        <v>3736</v>
      </c>
      <c r="U1319" s="120" t="s">
        <v>399</v>
      </c>
      <c r="V1319" s="118" t="str">
        <f>+Agencia[[#This Row],[idcoleccion]]&amp;"-"&amp;Agencia[[#This Row],[id]]</f>
        <v>990-1308</v>
      </c>
      <c r="W1319" s="118">
        <f>+VLOOKUP(Agencia[[#This Row],[Filtro URL]],Estructura!$X$4:$Y$500,2,0)</f>
        <v>99200014</v>
      </c>
      <c r="X1319" s="118" t="str">
        <f>+VLOOKUP(Agencia[[#This Row],[tema]],Estructura!$A$4:$C$500,3,0)</f>
        <v>T-1049</v>
      </c>
      <c r="Y1319" s="118" t="str">
        <f>+VLOOKUP(Agencia[[#This Row],[contenido]],Estructura!$E$4:$G$500,3,0)</f>
        <v>C-1016</v>
      </c>
      <c r="Z1319" s="118" t="str">
        <f>+VLOOKUP(Agencia[[#This Row],[Filtro Integrado]],Estructura!$I$4:$K$500,3,0)</f>
        <v>FI-992</v>
      </c>
      <c r="AA1319" s="118" t="str">
        <f>+VLOOKUP(Agencia[[#This Row],[Muestra]],Estructura!$M$4:$O$500,3,0)</f>
        <v>M-1113</v>
      </c>
    </row>
    <row r="1320" spans="1:27" ht="57.6" x14ac:dyDescent="0.3">
      <c r="A1320" s="21" t="s">
        <v>4054</v>
      </c>
      <c r="B1320" s="24">
        <v>990</v>
      </c>
      <c r="C1320" s="25" t="s">
        <v>401</v>
      </c>
      <c r="D1320" s="10" t="s">
        <v>3905</v>
      </c>
      <c r="E1320" s="19">
        <v>15</v>
      </c>
      <c r="F1320" s="10" t="s">
        <v>3907</v>
      </c>
      <c r="G1320" s="10" t="s">
        <v>4685</v>
      </c>
      <c r="H1320" s="35" t="s">
        <v>16</v>
      </c>
      <c r="I1320" s="36" t="s">
        <v>382</v>
      </c>
      <c r="J1320" s="9" t="s">
        <v>16</v>
      </c>
      <c r="K1320" s="9" t="s">
        <v>5294</v>
      </c>
      <c r="L1320" s="9" t="s">
        <v>3909</v>
      </c>
      <c r="M1320" s="9" t="s">
        <v>3910</v>
      </c>
      <c r="N1320" s="9" t="s">
        <v>1459</v>
      </c>
      <c r="O1320" s="20" t="s">
        <v>5000</v>
      </c>
      <c r="P1320" s="20"/>
      <c r="Q1320" s="11" t="s">
        <v>821</v>
      </c>
      <c r="R1320" s="20" t="s">
        <v>5001</v>
      </c>
      <c r="S1320" s="39" t="s">
        <v>4490</v>
      </c>
      <c r="T1320" s="70" t="s">
        <v>3730</v>
      </c>
      <c r="U1320" s="50" t="s">
        <v>399</v>
      </c>
      <c r="V1320" s="118" t="str">
        <f>+Agencia[[#This Row],[idcoleccion]]&amp;"-"&amp;Agencia[[#This Row],[id]]</f>
        <v>990-1309</v>
      </c>
      <c r="W1320" s="118">
        <f>+VLOOKUP(Agencia[[#This Row],[Filtro URL]],Estructura!$X$4:$Y$500,2,0)</f>
        <v>99200015</v>
      </c>
      <c r="X1320" s="118" t="str">
        <f>+VLOOKUP(Agencia[[#This Row],[tema]],Estructura!$A$4:$C$500,3,0)</f>
        <v>T-1049</v>
      </c>
      <c r="Y1320" s="118" t="str">
        <f>+VLOOKUP(Agencia[[#This Row],[contenido]],Estructura!$E$4:$G$500,3,0)</f>
        <v>C-1016</v>
      </c>
      <c r="Z1320" s="118" t="str">
        <f>+VLOOKUP(Agencia[[#This Row],[Filtro Integrado]],Estructura!$I$4:$K$500,3,0)</f>
        <v>FI-992</v>
      </c>
      <c r="AA1320" s="118" t="str">
        <f>+VLOOKUP(Agencia[[#This Row],[Muestra]],Estructura!$M$4:$O$500,3,0)</f>
        <v>M-1113</v>
      </c>
    </row>
    <row r="1321" spans="1:27" ht="57.6" x14ac:dyDescent="0.3">
      <c r="A1321" s="21" t="s">
        <v>4055</v>
      </c>
      <c r="B1321" s="24">
        <v>990</v>
      </c>
      <c r="C1321" s="25" t="s">
        <v>401</v>
      </c>
      <c r="D1321" s="10" t="s">
        <v>3905</v>
      </c>
      <c r="E1321" s="19">
        <v>16</v>
      </c>
      <c r="F1321" s="10" t="s">
        <v>3907</v>
      </c>
      <c r="G1321" s="10" t="s">
        <v>4685</v>
      </c>
      <c r="H1321" s="35" t="s">
        <v>16</v>
      </c>
      <c r="I1321" s="36" t="s">
        <v>383</v>
      </c>
      <c r="J1321" s="9" t="s">
        <v>16</v>
      </c>
      <c r="K1321" s="9" t="s">
        <v>5294</v>
      </c>
      <c r="L1321" s="9" t="s">
        <v>3909</v>
      </c>
      <c r="M1321" s="9" t="s">
        <v>3910</v>
      </c>
      <c r="N1321" s="9" t="s">
        <v>1459</v>
      </c>
      <c r="O1321" s="20" t="s">
        <v>5002</v>
      </c>
      <c r="P1321" s="20"/>
      <c r="Q1321" s="11" t="s">
        <v>821</v>
      </c>
      <c r="R1321" s="20" t="s">
        <v>5003</v>
      </c>
      <c r="S1321" s="39" t="s">
        <v>5004</v>
      </c>
      <c r="T1321" s="70" t="s">
        <v>3739</v>
      </c>
      <c r="U1321" s="50" t="s">
        <v>399</v>
      </c>
      <c r="V1321" s="118" t="str">
        <f>+Agencia[[#This Row],[idcoleccion]]&amp;"-"&amp;Agencia[[#This Row],[id]]</f>
        <v>990-1310</v>
      </c>
      <c r="W1321" s="118">
        <f>+VLOOKUP(Agencia[[#This Row],[Filtro URL]],Estructura!$X$4:$Y$500,2,0)</f>
        <v>99200016</v>
      </c>
      <c r="X1321" s="118" t="str">
        <f>+VLOOKUP(Agencia[[#This Row],[tema]],Estructura!$A$4:$C$500,3,0)</f>
        <v>T-1049</v>
      </c>
      <c r="Y1321" s="118" t="str">
        <f>+VLOOKUP(Agencia[[#This Row],[contenido]],Estructura!$E$4:$G$500,3,0)</f>
        <v>C-1016</v>
      </c>
      <c r="Z1321" s="118" t="str">
        <f>+VLOOKUP(Agencia[[#This Row],[Filtro Integrado]],Estructura!$I$4:$K$500,3,0)</f>
        <v>FI-992</v>
      </c>
      <c r="AA1321" s="118" t="str">
        <f>+VLOOKUP(Agencia[[#This Row],[Muestra]],Estructura!$M$4:$O$500,3,0)</f>
        <v>M-1113</v>
      </c>
    </row>
    <row r="1322" spans="1:27" ht="71.400000000000006" x14ac:dyDescent="0.3">
      <c r="A1322" s="21" t="s">
        <v>4056</v>
      </c>
      <c r="B1322" s="24">
        <v>990</v>
      </c>
      <c r="C1322" s="25" t="s">
        <v>401</v>
      </c>
      <c r="D1322" s="10" t="s">
        <v>933</v>
      </c>
      <c r="E1322" s="14">
        <v>0</v>
      </c>
      <c r="F1322" s="10" t="s">
        <v>1521</v>
      </c>
      <c r="G1322" s="10" t="s">
        <v>933</v>
      </c>
      <c r="H1322" s="33" t="s">
        <v>20</v>
      </c>
      <c r="I1322" s="34" t="s">
        <v>15</v>
      </c>
      <c r="J1322" s="9" t="s">
        <v>404</v>
      </c>
      <c r="K1322" s="9" t="s">
        <v>4011</v>
      </c>
      <c r="L1322" s="9" t="s">
        <v>614</v>
      </c>
      <c r="M1322" s="9" t="s">
        <v>934</v>
      </c>
      <c r="N1322" s="9" t="s">
        <v>935</v>
      </c>
      <c r="O1322" s="20" t="s">
        <v>5005</v>
      </c>
      <c r="P1322" s="20" t="s">
        <v>4012</v>
      </c>
      <c r="Q1322" s="11" t="s">
        <v>584</v>
      </c>
      <c r="R1322" s="20" t="s">
        <v>5006</v>
      </c>
      <c r="S1322" s="39" t="s">
        <v>4013</v>
      </c>
      <c r="T1322" s="70" t="s">
        <v>855</v>
      </c>
      <c r="U1322" s="120" t="s">
        <v>399</v>
      </c>
      <c r="V1322" s="118" t="str">
        <f>+Agencia[[#This Row],[idcoleccion]]&amp;"-"&amp;Agencia[[#This Row],[id]]</f>
        <v>990-1311</v>
      </c>
      <c r="W1322" s="118">
        <f>+VLOOKUP(Agencia[[#This Row],[Filtro URL]],Estructura!$X$4:$Y$500,2,0)</f>
        <v>99100000</v>
      </c>
      <c r="X1322" s="118" t="str">
        <f>+VLOOKUP(Agencia[[#This Row],[tema]],Estructura!$A$4:$C$500,3,0)</f>
        <v>T-1041</v>
      </c>
      <c r="Y1322" s="118" t="str">
        <f>+VLOOKUP(Agencia[[#This Row],[contenido]],Estructura!$E$4:$G$500,3,0)</f>
        <v>C-1000</v>
      </c>
      <c r="Z1322" s="118" t="str">
        <f>+VLOOKUP(Agencia[[#This Row],[Filtro Integrado]],Estructura!$I$4:$K$500,3,0)</f>
        <v>FI-993</v>
      </c>
      <c r="AA1322" s="118" t="str">
        <f>+VLOOKUP(Agencia[[#This Row],[Muestra]],Estructura!$M$4:$O$500,3,0)</f>
        <v>M-1095</v>
      </c>
    </row>
    <row r="1323" spans="1:27" ht="72" x14ac:dyDescent="0.3">
      <c r="A1323" s="21" t="s">
        <v>4057</v>
      </c>
      <c r="B1323" s="24">
        <v>990</v>
      </c>
      <c r="C1323" s="25" t="s">
        <v>401</v>
      </c>
      <c r="D1323" s="10" t="s">
        <v>933</v>
      </c>
      <c r="E1323" s="19">
        <v>1</v>
      </c>
      <c r="F1323" s="10" t="s">
        <v>1521</v>
      </c>
      <c r="G1323" s="10" t="s">
        <v>933</v>
      </c>
      <c r="H1323" s="35" t="s">
        <v>16</v>
      </c>
      <c r="I1323" s="36" t="s">
        <v>368</v>
      </c>
      <c r="J1323" s="9" t="s">
        <v>404</v>
      </c>
      <c r="K1323" s="9" t="s">
        <v>4011</v>
      </c>
      <c r="L1323" s="9" t="s">
        <v>614</v>
      </c>
      <c r="M1323" s="9" t="s">
        <v>934</v>
      </c>
      <c r="N1323" s="9" t="s">
        <v>935</v>
      </c>
      <c r="O1323" s="20" t="s">
        <v>4491</v>
      </c>
      <c r="P1323" s="20"/>
      <c r="Q1323" s="11" t="s">
        <v>584</v>
      </c>
      <c r="R1323" s="20" t="s">
        <v>5007</v>
      </c>
      <c r="S1323" s="39" t="s">
        <v>4492</v>
      </c>
      <c r="T1323" s="70" t="s">
        <v>3757</v>
      </c>
      <c r="U1323" s="50" t="s">
        <v>399</v>
      </c>
      <c r="V1323" s="118" t="str">
        <f>+Agencia[[#This Row],[idcoleccion]]&amp;"-"&amp;Agencia[[#This Row],[id]]</f>
        <v>990-1312</v>
      </c>
      <c r="W1323" s="118">
        <f>+VLOOKUP(Agencia[[#This Row],[Filtro URL]],Estructura!$X$4:$Y$500,2,0)</f>
        <v>99200001</v>
      </c>
      <c r="X1323" s="118" t="str">
        <f>+VLOOKUP(Agencia[[#This Row],[tema]],Estructura!$A$4:$C$500,3,0)</f>
        <v>T-1041</v>
      </c>
      <c r="Y1323" s="118" t="str">
        <f>+VLOOKUP(Agencia[[#This Row],[contenido]],Estructura!$E$4:$G$500,3,0)</f>
        <v>C-1000</v>
      </c>
      <c r="Z1323" s="118" t="str">
        <f>+VLOOKUP(Agencia[[#This Row],[Filtro Integrado]],Estructura!$I$4:$K$500,3,0)</f>
        <v>FI-993</v>
      </c>
      <c r="AA1323" s="118" t="str">
        <f>+VLOOKUP(Agencia[[#This Row],[Muestra]],Estructura!$M$4:$O$500,3,0)</f>
        <v>M-1095</v>
      </c>
    </row>
    <row r="1324" spans="1:27" ht="72" x14ac:dyDescent="0.3">
      <c r="A1324" s="21" t="s">
        <v>4058</v>
      </c>
      <c r="B1324" s="24">
        <v>990</v>
      </c>
      <c r="C1324" s="25" t="s">
        <v>401</v>
      </c>
      <c r="D1324" s="10" t="s">
        <v>933</v>
      </c>
      <c r="E1324" s="19">
        <v>2</v>
      </c>
      <c r="F1324" s="10" t="s">
        <v>1521</v>
      </c>
      <c r="G1324" s="10" t="s">
        <v>933</v>
      </c>
      <c r="H1324" s="35" t="s">
        <v>16</v>
      </c>
      <c r="I1324" s="36" t="s">
        <v>369</v>
      </c>
      <c r="J1324" s="9" t="s">
        <v>404</v>
      </c>
      <c r="K1324" s="9" t="s">
        <v>4011</v>
      </c>
      <c r="L1324" s="9" t="s">
        <v>614</v>
      </c>
      <c r="M1324" s="9" t="s">
        <v>934</v>
      </c>
      <c r="N1324" s="9" t="s">
        <v>935</v>
      </c>
      <c r="O1324" s="20" t="s">
        <v>4493</v>
      </c>
      <c r="P1324" s="20"/>
      <c r="Q1324" s="11" t="s">
        <v>584</v>
      </c>
      <c r="R1324" s="20" t="s">
        <v>5008</v>
      </c>
      <c r="S1324" s="39" t="s">
        <v>4494</v>
      </c>
      <c r="T1324" s="70" t="s">
        <v>3745</v>
      </c>
      <c r="U1324" s="50" t="s">
        <v>399</v>
      </c>
      <c r="V1324" s="118" t="str">
        <f>+Agencia[[#This Row],[idcoleccion]]&amp;"-"&amp;Agencia[[#This Row],[id]]</f>
        <v>990-1313</v>
      </c>
      <c r="W1324" s="118">
        <f>+VLOOKUP(Agencia[[#This Row],[Filtro URL]],Estructura!$X$4:$Y$500,2,0)</f>
        <v>99200002</v>
      </c>
      <c r="X1324" s="118" t="str">
        <f>+VLOOKUP(Agencia[[#This Row],[tema]],Estructura!$A$4:$C$500,3,0)</f>
        <v>T-1041</v>
      </c>
      <c r="Y1324" s="118" t="str">
        <f>+VLOOKUP(Agencia[[#This Row],[contenido]],Estructura!$E$4:$G$500,3,0)</f>
        <v>C-1000</v>
      </c>
      <c r="Z1324" s="118" t="str">
        <f>+VLOOKUP(Agencia[[#This Row],[Filtro Integrado]],Estructura!$I$4:$K$500,3,0)</f>
        <v>FI-993</v>
      </c>
      <c r="AA1324" s="118" t="str">
        <f>+VLOOKUP(Agencia[[#This Row],[Muestra]],Estructura!$M$4:$O$500,3,0)</f>
        <v>M-1095</v>
      </c>
    </row>
    <row r="1325" spans="1:27" ht="72" x14ac:dyDescent="0.3">
      <c r="A1325" s="21" t="s">
        <v>4059</v>
      </c>
      <c r="B1325" s="24">
        <v>990</v>
      </c>
      <c r="C1325" s="25" t="s">
        <v>401</v>
      </c>
      <c r="D1325" s="10" t="s">
        <v>933</v>
      </c>
      <c r="E1325" s="19">
        <v>3</v>
      </c>
      <c r="F1325" s="10" t="s">
        <v>1521</v>
      </c>
      <c r="G1325" s="10" t="s">
        <v>933</v>
      </c>
      <c r="H1325" s="35" t="s">
        <v>16</v>
      </c>
      <c r="I1325" s="36" t="s">
        <v>370</v>
      </c>
      <c r="J1325" s="9" t="s">
        <v>404</v>
      </c>
      <c r="K1325" s="9" t="s">
        <v>4011</v>
      </c>
      <c r="L1325" s="9" t="s">
        <v>614</v>
      </c>
      <c r="M1325" s="9" t="s">
        <v>934</v>
      </c>
      <c r="N1325" s="9" t="s">
        <v>935</v>
      </c>
      <c r="O1325" s="20" t="s">
        <v>4495</v>
      </c>
      <c r="P1325" s="20"/>
      <c r="Q1325" s="11" t="s">
        <v>584</v>
      </c>
      <c r="R1325" s="20" t="s">
        <v>5009</v>
      </c>
      <c r="S1325" s="39" t="s">
        <v>4496</v>
      </c>
      <c r="T1325" s="70" t="s">
        <v>3747</v>
      </c>
      <c r="U1325" s="120" t="s">
        <v>399</v>
      </c>
      <c r="V1325" s="118" t="str">
        <f>+Agencia[[#This Row],[idcoleccion]]&amp;"-"&amp;Agencia[[#This Row],[id]]</f>
        <v>990-1314</v>
      </c>
      <c r="W1325" s="118">
        <f>+VLOOKUP(Agencia[[#This Row],[Filtro URL]],Estructura!$X$4:$Y$500,2,0)</f>
        <v>99200003</v>
      </c>
      <c r="X1325" s="118" t="str">
        <f>+VLOOKUP(Agencia[[#This Row],[tema]],Estructura!$A$4:$C$500,3,0)</f>
        <v>T-1041</v>
      </c>
      <c r="Y1325" s="118" t="str">
        <f>+VLOOKUP(Agencia[[#This Row],[contenido]],Estructura!$E$4:$G$500,3,0)</f>
        <v>C-1000</v>
      </c>
      <c r="Z1325" s="118" t="str">
        <f>+VLOOKUP(Agencia[[#This Row],[Filtro Integrado]],Estructura!$I$4:$K$500,3,0)</f>
        <v>FI-993</v>
      </c>
      <c r="AA1325" s="118" t="str">
        <f>+VLOOKUP(Agencia[[#This Row],[Muestra]],Estructura!$M$4:$O$500,3,0)</f>
        <v>M-1095</v>
      </c>
    </row>
    <row r="1326" spans="1:27" ht="72" x14ac:dyDescent="0.3">
      <c r="A1326" s="21" t="s">
        <v>4063</v>
      </c>
      <c r="B1326" s="24">
        <v>990</v>
      </c>
      <c r="C1326" s="25" t="s">
        <v>401</v>
      </c>
      <c r="D1326" s="10" t="s">
        <v>933</v>
      </c>
      <c r="E1326" s="19">
        <v>4</v>
      </c>
      <c r="F1326" s="10" t="s">
        <v>1521</v>
      </c>
      <c r="G1326" s="10" t="s">
        <v>933</v>
      </c>
      <c r="H1326" s="35" t="s">
        <v>16</v>
      </c>
      <c r="I1326" s="36" t="s">
        <v>371</v>
      </c>
      <c r="J1326" s="9" t="s">
        <v>404</v>
      </c>
      <c r="K1326" s="9" t="s">
        <v>4011</v>
      </c>
      <c r="L1326" s="9" t="s">
        <v>614</v>
      </c>
      <c r="M1326" s="9" t="s">
        <v>934</v>
      </c>
      <c r="N1326" s="9" t="s">
        <v>935</v>
      </c>
      <c r="O1326" s="20" t="s">
        <v>4497</v>
      </c>
      <c r="P1326" s="20"/>
      <c r="Q1326" s="11" t="s">
        <v>584</v>
      </c>
      <c r="R1326" s="20" t="s">
        <v>5010</v>
      </c>
      <c r="S1326" s="39" t="s">
        <v>4498</v>
      </c>
      <c r="T1326" s="70" t="s">
        <v>3749</v>
      </c>
      <c r="U1326" s="50" t="s">
        <v>399</v>
      </c>
      <c r="V1326" s="118" t="str">
        <f>+Agencia[[#This Row],[idcoleccion]]&amp;"-"&amp;Agencia[[#This Row],[id]]</f>
        <v>990-1315</v>
      </c>
      <c r="W1326" s="118">
        <f>+VLOOKUP(Agencia[[#This Row],[Filtro URL]],Estructura!$X$4:$Y$500,2,0)</f>
        <v>99200004</v>
      </c>
      <c r="X1326" s="118" t="str">
        <f>+VLOOKUP(Agencia[[#This Row],[tema]],Estructura!$A$4:$C$500,3,0)</f>
        <v>T-1041</v>
      </c>
      <c r="Y1326" s="118" t="str">
        <f>+VLOOKUP(Agencia[[#This Row],[contenido]],Estructura!$E$4:$G$500,3,0)</f>
        <v>C-1000</v>
      </c>
      <c r="Z1326" s="118" t="str">
        <f>+VLOOKUP(Agencia[[#This Row],[Filtro Integrado]],Estructura!$I$4:$K$500,3,0)</f>
        <v>FI-993</v>
      </c>
      <c r="AA1326" s="118" t="str">
        <f>+VLOOKUP(Agencia[[#This Row],[Muestra]],Estructura!$M$4:$O$500,3,0)</f>
        <v>M-1095</v>
      </c>
    </row>
    <row r="1327" spans="1:27" ht="72" x14ac:dyDescent="0.3">
      <c r="A1327" s="21" t="s">
        <v>4070</v>
      </c>
      <c r="B1327" s="24">
        <v>990</v>
      </c>
      <c r="C1327" s="25" t="s">
        <v>401</v>
      </c>
      <c r="D1327" s="10" t="s">
        <v>933</v>
      </c>
      <c r="E1327" s="19">
        <v>5</v>
      </c>
      <c r="F1327" s="10" t="s">
        <v>1521</v>
      </c>
      <c r="G1327" s="10" t="s">
        <v>933</v>
      </c>
      <c r="H1327" s="35" t="s">
        <v>16</v>
      </c>
      <c r="I1327" s="36" t="s">
        <v>372</v>
      </c>
      <c r="J1327" s="9" t="s">
        <v>404</v>
      </c>
      <c r="K1327" s="9" t="s">
        <v>4011</v>
      </c>
      <c r="L1327" s="9" t="s">
        <v>614</v>
      </c>
      <c r="M1327" s="9" t="s">
        <v>934</v>
      </c>
      <c r="N1327" s="9" t="s">
        <v>935</v>
      </c>
      <c r="O1327" s="20" t="s">
        <v>4499</v>
      </c>
      <c r="P1327" s="20"/>
      <c r="Q1327" s="11" t="s">
        <v>584</v>
      </c>
      <c r="R1327" s="20" t="s">
        <v>5011</v>
      </c>
      <c r="S1327" s="39" t="s">
        <v>4500</v>
      </c>
      <c r="T1327" s="70" t="s">
        <v>3758</v>
      </c>
      <c r="U1327" s="50" t="s">
        <v>399</v>
      </c>
      <c r="V1327" s="118" t="str">
        <f>+Agencia[[#This Row],[idcoleccion]]&amp;"-"&amp;Agencia[[#This Row],[id]]</f>
        <v>990-1316</v>
      </c>
      <c r="W1327" s="118">
        <f>+VLOOKUP(Agencia[[#This Row],[Filtro URL]],Estructura!$X$4:$Y$500,2,0)</f>
        <v>99200005</v>
      </c>
      <c r="X1327" s="118" t="str">
        <f>+VLOOKUP(Agencia[[#This Row],[tema]],Estructura!$A$4:$C$500,3,0)</f>
        <v>T-1041</v>
      </c>
      <c r="Y1327" s="118" t="str">
        <f>+VLOOKUP(Agencia[[#This Row],[contenido]],Estructura!$E$4:$G$500,3,0)</f>
        <v>C-1000</v>
      </c>
      <c r="Z1327" s="118" t="str">
        <f>+VLOOKUP(Agencia[[#This Row],[Filtro Integrado]],Estructura!$I$4:$K$500,3,0)</f>
        <v>FI-993</v>
      </c>
      <c r="AA1327" s="118" t="str">
        <f>+VLOOKUP(Agencia[[#This Row],[Muestra]],Estructura!$M$4:$O$500,3,0)</f>
        <v>M-1095</v>
      </c>
    </row>
    <row r="1328" spans="1:27" ht="72" x14ac:dyDescent="0.3">
      <c r="A1328" s="21" t="s">
        <v>4074</v>
      </c>
      <c r="B1328" s="24">
        <v>990</v>
      </c>
      <c r="C1328" s="25" t="s">
        <v>401</v>
      </c>
      <c r="D1328" s="10" t="s">
        <v>933</v>
      </c>
      <c r="E1328" s="19">
        <v>6</v>
      </c>
      <c r="F1328" s="10" t="s">
        <v>1521</v>
      </c>
      <c r="G1328" s="10" t="s">
        <v>933</v>
      </c>
      <c r="H1328" s="35" t="s">
        <v>16</v>
      </c>
      <c r="I1328" s="36" t="s">
        <v>373</v>
      </c>
      <c r="J1328" s="9" t="s">
        <v>404</v>
      </c>
      <c r="K1328" s="9" t="s">
        <v>4011</v>
      </c>
      <c r="L1328" s="9" t="s">
        <v>614</v>
      </c>
      <c r="M1328" s="9" t="s">
        <v>934</v>
      </c>
      <c r="N1328" s="9" t="s">
        <v>935</v>
      </c>
      <c r="O1328" s="20" t="s">
        <v>4501</v>
      </c>
      <c r="P1328" s="20"/>
      <c r="Q1328" s="11" t="s">
        <v>584</v>
      </c>
      <c r="R1328" s="20" t="s">
        <v>5012</v>
      </c>
      <c r="S1328" s="39" t="s">
        <v>4502</v>
      </c>
      <c r="T1328" s="70" t="s">
        <v>3756</v>
      </c>
      <c r="U1328" s="120" t="s">
        <v>399</v>
      </c>
      <c r="V1328" s="118" t="str">
        <f>+Agencia[[#This Row],[idcoleccion]]&amp;"-"&amp;Agencia[[#This Row],[id]]</f>
        <v>990-1317</v>
      </c>
      <c r="W1328" s="118">
        <f>+VLOOKUP(Agencia[[#This Row],[Filtro URL]],Estructura!$X$4:$Y$500,2,0)</f>
        <v>99200006</v>
      </c>
      <c r="X1328" s="118" t="str">
        <f>+VLOOKUP(Agencia[[#This Row],[tema]],Estructura!$A$4:$C$500,3,0)</f>
        <v>T-1041</v>
      </c>
      <c r="Y1328" s="118" t="str">
        <f>+VLOOKUP(Agencia[[#This Row],[contenido]],Estructura!$E$4:$G$500,3,0)</f>
        <v>C-1000</v>
      </c>
      <c r="Z1328" s="118" t="str">
        <f>+VLOOKUP(Agencia[[#This Row],[Filtro Integrado]],Estructura!$I$4:$K$500,3,0)</f>
        <v>FI-993</v>
      </c>
      <c r="AA1328" s="118" t="str">
        <f>+VLOOKUP(Agencia[[#This Row],[Muestra]],Estructura!$M$4:$O$500,3,0)</f>
        <v>M-1095</v>
      </c>
    </row>
    <row r="1329" spans="1:27" ht="72" x14ac:dyDescent="0.3">
      <c r="A1329" s="21" t="s">
        <v>4078</v>
      </c>
      <c r="B1329" s="24">
        <v>990</v>
      </c>
      <c r="C1329" s="25" t="s">
        <v>401</v>
      </c>
      <c r="D1329" s="10" t="s">
        <v>933</v>
      </c>
      <c r="E1329" s="19">
        <v>7</v>
      </c>
      <c r="F1329" s="10" t="s">
        <v>1521</v>
      </c>
      <c r="G1329" s="10" t="s">
        <v>933</v>
      </c>
      <c r="H1329" s="35" t="s">
        <v>16</v>
      </c>
      <c r="I1329" s="36" t="s">
        <v>374</v>
      </c>
      <c r="J1329" s="9" t="s">
        <v>404</v>
      </c>
      <c r="K1329" s="9" t="s">
        <v>4011</v>
      </c>
      <c r="L1329" s="9" t="s">
        <v>614</v>
      </c>
      <c r="M1329" s="9" t="s">
        <v>934</v>
      </c>
      <c r="N1329" s="9" t="s">
        <v>935</v>
      </c>
      <c r="O1329" s="20" t="s">
        <v>4503</v>
      </c>
      <c r="P1329" s="20"/>
      <c r="Q1329" s="11" t="s">
        <v>584</v>
      </c>
      <c r="R1329" s="20" t="s">
        <v>5013</v>
      </c>
      <c r="S1329" s="39" t="s">
        <v>4504</v>
      </c>
      <c r="T1329" s="70" t="s">
        <v>3754</v>
      </c>
      <c r="U1329" s="50" t="s">
        <v>399</v>
      </c>
      <c r="V1329" s="118" t="str">
        <f>+Agencia[[#This Row],[idcoleccion]]&amp;"-"&amp;Agencia[[#This Row],[id]]</f>
        <v>990-1318</v>
      </c>
      <c r="W1329" s="118">
        <f>+VLOOKUP(Agencia[[#This Row],[Filtro URL]],Estructura!$X$4:$Y$500,2,0)</f>
        <v>99200007</v>
      </c>
      <c r="X1329" s="118" t="str">
        <f>+VLOOKUP(Agencia[[#This Row],[tema]],Estructura!$A$4:$C$500,3,0)</f>
        <v>T-1041</v>
      </c>
      <c r="Y1329" s="118" t="str">
        <f>+VLOOKUP(Agencia[[#This Row],[contenido]],Estructura!$E$4:$G$500,3,0)</f>
        <v>C-1000</v>
      </c>
      <c r="Z1329" s="118" t="str">
        <f>+VLOOKUP(Agencia[[#This Row],[Filtro Integrado]],Estructura!$I$4:$K$500,3,0)</f>
        <v>FI-993</v>
      </c>
      <c r="AA1329" s="118" t="str">
        <f>+VLOOKUP(Agencia[[#This Row],[Muestra]],Estructura!$M$4:$O$500,3,0)</f>
        <v>M-1095</v>
      </c>
    </row>
    <row r="1330" spans="1:27" ht="72" x14ac:dyDescent="0.3">
      <c r="A1330" s="21" t="s">
        <v>4079</v>
      </c>
      <c r="B1330" s="24">
        <v>990</v>
      </c>
      <c r="C1330" s="25" t="s">
        <v>401</v>
      </c>
      <c r="D1330" s="10" t="s">
        <v>933</v>
      </c>
      <c r="E1330" s="19">
        <v>8</v>
      </c>
      <c r="F1330" s="10" t="s">
        <v>1521</v>
      </c>
      <c r="G1330" s="10" t="s">
        <v>933</v>
      </c>
      <c r="H1330" s="35" t="s">
        <v>16</v>
      </c>
      <c r="I1330" s="36" t="s">
        <v>375</v>
      </c>
      <c r="J1330" s="9" t="s">
        <v>404</v>
      </c>
      <c r="K1330" s="9" t="s">
        <v>4011</v>
      </c>
      <c r="L1330" s="9" t="s">
        <v>614</v>
      </c>
      <c r="M1330" s="9" t="s">
        <v>934</v>
      </c>
      <c r="N1330" s="9" t="s">
        <v>935</v>
      </c>
      <c r="O1330" s="20" t="s">
        <v>4505</v>
      </c>
      <c r="P1330" s="20"/>
      <c r="Q1330" s="11" t="s">
        <v>584</v>
      </c>
      <c r="R1330" s="20" t="s">
        <v>5014</v>
      </c>
      <c r="S1330" s="39" t="s">
        <v>4506</v>
      </c>
      <c r="T1330" s="70" t="s">
        <v>3759</v>
      </c>
      <c r="U1330" s="50" t="s">
        <v>399</v>
      </c>
      <c r="V1330" s="118" t="str">
        <f>+Agencia[[#This Row],[idcoleccion]]&amp;"-"&amp;Agencia[[#This Row],[id]]</f>
        <v>990-1319</v>
      </c>
      <c r="W1330" s="118">
        <f>+VLOOKUP(Agencia[[#This Row],[Filtro URL]],Estructura!$X$4:$Y$500,2,0)</f>
        <v>99200008</v>
      </c>
      <c r="X1330" s="118" t="str">
        <f>+VLOOKUP(Agencia[[#This Row],[tema]],Estructura!$A$4:$C$500,3,0)</f>
        <v>T-1041</v>
      </c>
      <c r="Y1330" s="118" t="str">
        <f>+VLOOKUP(Agencia[[#This Row],[contenido]],Estructura!$E$4:$G$500,3,0)</f>
        <v>C-1000</v>
      </c>
      <c r="Z1330" s="118" t="str">
        <f>+VLOOKUP(Agencia[[#This Row],[Filtro Integrado]],Estructura!$I$4:$K$500,3,0)</f>
        <v>FI-993</v>
      </c>
      <c r="AA1330" s="118" t="str">
        <f>+VLOOKUP(Agencia[[#This Row],[Muestra]],Estructura!$M$4:$O$500,3,0)</f>
        <v>M-1095</v>
      </c>
    </row>
    <row r="1331" spans="1:27" ht="72" x14ac:dyDescent="0.3">
      <c r="A1331" s="21" t="s">
        <v>4080</v>
      </c>
      <c r="B1331" s="24">
        <v>990</v>
      </c>
      <c r="C1331" s="25" t="s">
        <v>401</v>
      </c>
      <c r="D1331" s="10" t="s">
        <v>933</v>
      </c>
      <c r="E1331" s="19">
        <v>9</v>
      </c>
      <c r="F1331" s="10" t="s">
        <v>1521</v>
      </c>
      <c r="G1331" s="10" t="s">
        <v>933</v>
      </c>
      <c r="H1331" s="35" t="s">
        <v>16</v>
      </c>
      <c r="I1331" s="36" t="s">
        <v>376</v>
      </c>
      <c r="J1331" s="9" t="s">
        <v>404</v>
      </c>
      <c r="K1331" s="9" t="s">
        <v>4011</v>
      </c>
      <c r="L1331" s="9" t="s">
        <v>614</v>
      </c>
      <c r="M1331" s="9" t="s">
        <v>934</v>
      </c>
      <c r="N1331" s="9" t="s">
        <v>935</v>
      </c>
      <c r="O1331" s="20" t="s">
        <v>4507</v>
      </c>
      <c r="P1331" s="20"/>
      <c r="Q1331" s="11" t="s">
        <v>584</v>
      </c>
      <c r="R1331" s="20" t="s">
        <v>5015</v>
      </c>
      <c r="S1331" s="39" t="s">
        <v>4508</v>
      </c>
      <c r="T1331" s="70" t="s">
        <v>3750</v>
      </c>
      <c r="U1331" s="120" t="s">
        <v>399</v>
      </c>
      <c r="V1331" s="118" t="str">
        <f>+Agencia[[#This Row],[idcoleccion]]&amp;"-"&amp;Agencia[[#This Row],[id]]</f>
        <v>990-1320</v>
      </c>
      <c r="W1331" s="118">
        <f>+VLOOKUP(Agencia[[#This Row],[Filtro URL]],Estructura!$X$4:$Y$500,2,0)</f>
        <v>99200009</v>
      </c>
      <c r="X1331" s="118" t="str">
        <f>+VLOOKUP(Agencia[[#This Row],[tema]],Estructura!$A$4:$C$500,3,0)</f>
        <v>T-1041</v>
      </c>
      <c r="Y1331" s="118" t="str">
        <f>+VLOOKUP(Agencia[[#This Row],[contenido]],Estructura!$E$4:$G$500,3,0)</f>
        <v>C-1000</v>
      </c>
      <c r="Z1331" s="118" t="str">
        <f>+VLOOKUP(Agencia[[#This Row],[Filtro Integrado]],Estructura!$I$4:$K$500,3,0)</f>
        <v>FI-993</v>
      </c>
      <c r="AA1331" s="118" t="str">
        <f>+VLOOKUP(Agencia[[#This Row],[Muestra]],Estructura!$M$4:$O$500,3,0)</f>
        <v>M-1095</v>
      </c>
    </row>
    <row r="1332" spans="1:27" ht="72" x14ac:dyDescent="0.3">
      <c r="A1332" s="21" t="s">
        <v>4081</v>
      </c>
      <c r="B1332" s="24">
        <v>990</v>
      </c>
      <c r="C1332" s="25" t="s">
        <v>401</v>
      </c>
      <c r="D1332" s="10" t="s">
        <v>933</v>
      </c>
      <c r="E1332" s="19">
        <v>10</v>
      </c>
      <c r="F1332" s="10" t="s">
        <v>1521</v>
      </c>
      <c r="G1332" s="10" t="s">
        <v>933</v>
      </c>
      <c r="H1332" s="35" t="s">
        <v>16</v>
      </c>
      <c r="I1332" s="36" t="s">
        <v>377</v>
      </c>
      <c r="J1332" s="9" t="s">
        <v>404</v>
      </c>
      <c r="K1332" s="9" t="s">
        <v>4011</v>
      </c>
      <c r="L1332" s="9" t="s">
        <v>614</v>
      </c>
      <c r="M1332" s="9" t="s">
        <v>934</v>
      </c>
      <c r="N1332" s="9" t="s">
        <v>935</v>
      </c>
      <c r="O1332" s="20" t="s">
        <v>4509</v>
      </c>
      <c r="P1332" s="20"/>
      <c r="Q1332" s="11" t="s">
        <v>584</v>
      </c>
      <c r="R1332" s="20" t="s">
        <v>5016</v>
      </c>
      <c r="S1332" s="39" t="s">
        <v>4510</v>
      </c>
      <c r="T1332" s="70" t="s">
        <v>3751</v>
      </c>
      <c r="U1332" s="50" t="s">
        <v>399</v>
      </c>
      <c r="V1332" s="118" t="str">
        <f>+Agencia[[#This Row],[idcoleccion]]&amp;"-"&amp;Agencia[[#This Row],[id]]</f>
        <v>990-1321</v>
      </c>
      <c r="W1332" s="118">
        <f>+VLOOKUP(Agencia[[#This Row],[Filtro URL]],Estructura!$X$4:$Y$500,2,0)</f>
        <v>99200010</v>
      </c>
      <c r="X1332" s="118" t="str">
        <f>+VLOOKUP(Agencia[[#This Row],[tema]],Estructura!$A$4:$C$500,3,0)</f>
        <v>T-1041</v>
      </c>
      <c r="Y1332" s="118" t="str">
        <f>+VLOOKUP(Agencia[[#This Row],[contenido]],Estructura!$E$4:$G$500,3,0)</f>
        <v>C-1000</v>
      </c>
      <c r="Z1332" s="118" t="str">
        <f>+VLOOKUP(Agencia[[#This Row],[Filtro Integrado]],Estructura!$I$4:$K$500,3,0)</f>
        <v>FI-993</v>
      </c>
      <c r="AA1332" s="118" t="str">
        <f>+VLOOKUP(Agencia[[#This Row],[Muestra]],Estructura!$M$4:$O$500,3,0)</f>
        <v>M-1095</v>
      </c>
    </row>
    <row r="1333" spans="1:27" ht="72" x14ac:dyDescent="0.3">
      <c r="A1333" s="21" t="s">
        <v>4082</v>
      </c>
      <c r="B1333" s="24">
        <v>990</v>
      </c>
      <c r="C1333" s="25" t="s">
        <v>401</v>
      </c>
      <c r="D1333" s="10" t="s">
        <v>933</v>
      </c>
      <c r="E1333" s="19">
        <v>11</v>
      </c>
      <c r="F1333" s="10" t="s">
        <v>1521</v>
      </c>
      <c r="G1333" s="10" t="s">
        <v>933</v>
      </c>
      <c r="H1333" s="35" t="s">
        <v>16</v>
      </c>
      <c r="I1333" s="36" t="s">
        <v>378</v>
      </c>
      <c r="J1333" s="9" t="s">
        <v>404</v>
      </c>
      <c r="K1333" s="9" t="s">
        <v>4011</v>
      </c>
      <c r="L1333" s="9" t="s">
        <v>614</v>
      </c>
      <c r="M1333" s="9" t="s">
        <v>934</v>
      </c>
      <c r="N1333" s="9" t="s">
        <v>935</v>
      </c>
      <c r="O1333" s="20" t="s">
        <v>4511</v>
      </c>
      <c r="P1333" s="20"/>
      <c r="Q1333" s="11" t="s">
        <v>584</v>
      </c>
      <c r="R1333" s="20" t="s">
        <v>5017</v>
      </c>
      <c r="S1333" s="39" t="s">
        <v>4512</v>
      </c>
      <c r="T1333" s="70" t="s">
        <v>3748</v>
      </c>
      <c r="U1333" s="50" t="s">
        <v>399</v>
      </c>
      <c r="V1333" s="118" t="str">
        <f>+Agencia[[#This Row],[idcoleccion]]&amp;"-"&amp;Agencia[[#This Row],[id]]</f>
        <v>990-1322</v>
      </c>
      <c r="W1333" s="118">
        <f>+VLOOKUP(Agencia[[#This Row],[Filtro URL]],Estructura!$X$4:$Y$500,2,0)</f>
        <v>99200011</v>
      </c>
      <c r="X1333" s="118" t="str">
        <f>+VLOOKUP(Agencia[[#This Row],[tema]],Estructura!$A$4:$C$500,3,0)</f>
        <v>T-1041</v>
      </c>
      <c r="Y1333" s="118" t="str">
        <f>+VLOOKUP(Agencia[[#This Row],[contenido]],Estructura!$E$4:$G$500,3,0)</f>
        <v>C-1000</v>
      </c>
      <c r="Z1333" s="118" t="str">
        <f>+VLOOKUP(Agencia[[#This Row],[Filtro Integrado]],Estructura!$I$4:$K$500,3,0)</f>
        <v>FI-993</v>
      </c>
      <c r="AA1333" s="118" t="str">
        <f>+VLOOKUP(Agencia[[#This Row],[Muestra]],Estructura!$M$4:$O$500,3,0)</f>
        <v>M-1095</v>
      </c>
    </row>
    <row r="1334" spans="1:27" ht="72" x14ac:dyDescent="0.3">
      <c r="A1334" s="21" t="s">
        <v>4083</v>
      </c>
      <c r="B1334" s="24">
        <v>990</v>
      </c>
      <c r="C1334" s="25" t="s">
        <v>401</v>
      </c>
      <c r="D1334" s="10" t="s">
        <v>933</v>
      </c>
      <c r="E1334" s="19">
        <v>12</v>
      </c>
      <c r="F1334" s="10" t="s">
        <v>1521</v>
      </c>
      <c r="G1334" s="10" t="s">
        <v>933</v>
      </c>
      <c r="H1334" s="35" t="s">
        <v>16</v>
      </c>
      <c r="I1334" s="36" t="s">
        <v>379</v>
      </c>
      <c r="J1334" s="9" t="s">
        <v>404</v>
      </c>
      <c r="K1334" s="9" t="s">
        <v>4011</v>
      </c>
      <c r="L1334" s="9" t="s">
        <v>614</v>
      </c>
      <c r="M1334" s="9" t="s">
        <v>934</v>
      </c>
      <c r="N1334" s="9" t="s">
        <v>935</v>
      </c>
      <c r="O1334" s="20" t="s">
        <v>4513</v>
      </c>
      <c r="P1334" s="20"/>
      <c r="Q1334" s="11" t="s">
        <v>584</v>
      </c>
      <c r="R1334" s="20" t="s">
        <v>5018</v>
      </c>
      <c r="S1334" s="39" t="s">
        <v>4514</v>
      </c>
      <c r="T1334" s="70" t="s">
        <v>3753</v>
      </c>
      <c r="U1334" s="120" t="s">
        <v>399</v>
      </c>
      <c r="V1334" s="118" t="str">
        <f>+Agencia[[#This Row],[idcoleccion]]&amp;"-"&amp;Agencia[[#This Row],[id]]</f>
        <v>990-1323</v>
      </c>
      <c r="W1334" s="118">
        <f>+VLOOKUP(Agencia[[#This Row],[Filtro URL]],Estructura!$X$4:$Y$500,2,0)</f>
        <v>99200012</v>
      </c>
      <c r="X1334" s="118" t="str">
        <f>+VLOOKUP(Agencia[[#This Row],[tema]],Estructura!$A$4:$C$500,3,0)</f>
        <v>T-1041</v>
      </c>
      <c r="Y1334" s="118" t="str">
        <f>+VLOOKUP(Agencia[[#This Row],[contenido]],Estructura!$E$4:$G$500,3,0)</f>
        <v>C-1000</v>
      </c>
      <c r="Z1334" s="118" t="str">
        <f>+VLOOKUP(Agencia[[#This Row],[Filtro Integrado]],Estructura!$I$4:$K$500,3,0)</f>
        <v>FI-993</v>
      </c>
      <c r="AA1334" s="118" t="str">
        <f>+VLOOKUP(Agencia[[#This Row],[Muestra]],Estructura!$M$4:$O$500,3,0)</f>
        <v>M-1095</v>
      </c>
    </row>
    <row r="1335" spans="1:27" ht="72" x14ac:dyDescent="0.3">
      <c r="A1335" s="21" t="s">
        <v>4084</v>
      </c>
      <c r="B1335" s="24">
        <v>990</v>
      </c>
      <c r="C1335" s="25" t="s">
        <v>401</v>
      </c>
      <c r="D1335" s="10" t="s">
        <v>933</v>
      </c>
      <c r="E1335" s="19">
        <v>13</v>
      </c>
      <c r="F1335" s="10" t="s">
        <v>1521</v>
      </c>
      <c r="G1335" s="10" t="s">
        <v>933</v>
      </c>
      <c r="H1335" s="35" t="s">
        <v>16</v>
      </c>
      <c r="I1335" s="36" t="s">
        <v>380</v>
      </c>
      <c r="J1335" s="9" t="s">
        <v>404</v>
      </c>
      <c r="K1335" s="9" t="s">
        <v>4011</v>
      </c>
      <c r="L1335" s="9" t="s">
        <v>614</v>
      </c>
      <c r="M1335" s="9" t="s">
        <v>934</v>
      </c>
      <c r="N1335" s="9" t="s">
        <v>935</v>
      </c>
      <c r="O1335" s="20" t="s">
        <v>4515</v>
      </c>
      <c r="P1335" s="20"/>
      <c r="Q1335" s="11" t="s">
        <v>584</v>
      </c>
      <c r="R1335" s="20" t="s">
        <v>5019</v>
      </c>
      <c r="S1335" s="39" t="s">
        <v>4516</v>
      </c>
      <c r="T1335" s="70" t="s">
        <v>3760</v>
      </c>
      <c r="U1335" s="50" t="s">
        <v>399</v>
      </c>
      <c r="V1335" s="118" t="str">
        <f>+Agencia[[#This Row],[idcoleccion]]&amp;"-"&amp;Agencia[[#This Row],[id]]</f>
        <v>990-1324</v>
      </c>
      <c r="W1335" s="118">
        <f>+VLOOKUP(Agencia[[#This Row],[Filtro URL]],Estructura!$X$4:$Y$500,2,0)</f>
        <v>99200013</v>
      </c>
      <c r="X1335" s="118" t="str">
        <f>+VLOOKUP(Agencia[[#This Row],[tema]],Estructura!$A$4:$C$500,3,0)</f>
        <v>T-1041</v>
      </c>
      <c r="Y1335" s="118" t="str">
        <f>+VLOOKUP(Agencia[[#This Row],[contenido]],Estructura!$E$4:$G$500,3,0)</f>
        <v>C-1000</v>
      </c>
      <c r="Z1335" s="118" t="str">
        <f>+VLOOKUP(Agencia[[#This Row],[Filtro Integrado]],Estructura!$I$4:$K$500,3,0)</f>
        <v>FI-993</v>
      </c>
      <c r="AA1335" s="118" t="str">
        <f>+VLOOKUP(Agencia[[#This Row],[Muestra]],Estructura!$M$4:$O$500,3,0)</f>
        <v>M-1095</v>
      </c>
    </row>
    <row r="1336" spans="1:27" ht="72" x14ac:dyDescent="0.3">
      <c r="A1336" s="21" t="s">
        <v>4085</v>
      </c>
      <c r="B1336" s="24">
        <v>990</v>
      </c>
      <c r="C1336" s="25" t="s">
        <v>401</v>
      </c>
      <c r="D1336" s="10" t="s">
        <v>933</v>
      </c>
      <c r="E1336" s="19">
        <v>14</v>
      </c>
      <c r="F1336" s="10" t="s">
        <v>1521</v>
      </c>
      <c r="G1336" s="10" t="s">
        <v>933</v>
      </c>
      <c r="H1336" s="35" t="s">
        <v>16</v>
      </c>
      <c r="I1336" s="36" t="s">
        <v>381</v>
      </c>
      <c r="J1336" s="9" t="s">
        <v>404</v>
      </c>
      <c r="K1336" s="9" t="s">
        <v>4011</v>
      </c>
      <c r="L1336" s="9" t="s">
        <v>614</v>
      </c>
      <c r="M1336" s="9" t="s">
        <v>934</v>
      </c>
      <c r="N1336" s="9" t="s">
        <v>935</v>
      </c>
      <c r="O1336" s="20" t="s">
        <v>5020</v>
      </c>
      <c r="P1336" s="20"/>
      <c r="Q1336" s="11" t="s">
        <v>584</v>
      </c>
      <c r="R1336" s="20" t="s">
        <v>5021</v>
      </c>
      <c r="S1336" s="39" t="s">
        <v>5022</v>
      </c>
      <c r="T1336" s="70" t="s">
        <v>3752</v>
      </c>
      <c r="U1336" s="50" t="s">
        <v>399</v>
      </c>
      <c r="V1336" s="118" t="str">
        <f>+Agencia[[#This Row],[idcoleccion]]&amp;"-"&amp;Agencia[[#This Row],[id]]</f>
        <v>990-1325</v>
      </c>
      <c r="W1336" s="118">
        <f>+VLOOKUP(Agencia[[#This Row],[Filtro URL]],Estructura!$X$4:$Y$500,2,0)</f>
        <v>99200014</v>
      </c>
      <c r="X1336" s="118" t="str">
        <f>+VLOOKUP(Agencia[[#This Row],[tema]],Estructura!$A$4:$C$500,3,0)</f>
        <v>T-1041</v>
      </c>
      <c r="Y1336" s="118" t="str">
        <f>+VLOOKUP(Agencia[[#This Row],[contenido]],Estructura!$E$4:$G$500,3,0)</f>
        <v>C-1000</v>
      </c>
      <c r="Z1336" s="118" t="str">
        <f>+VLOOKUP(Agencia[[#This Row],[Filtro Integrado]],Estructura!$I$4:$K$500,3,0)</f>
        <v>FI-993</v>
      </c>
      <c r="AA1336" s="118" t="str">
        <f>+VLOOKUP(Agencia[[#This Row],[Muestra]],Estructura!$M$4:$O$500,3,0)</f>
        <v>M-1095</v>
      </c>
    </row>
    <row r="1337" spans="1:27" ht="72" x14ac:dyDescent="0.3">
      <c r="A1337" s="21" t="s">
        <v>4086</v>
      </c>
      <c r="B1337" s="24">
        <v>990</v>
      </c>
      <c r="C1337" s="25" t="s">
        <v>401</v>
      </c>
      <c r="D1337" s="10" t="s">
        <v>933</v>
      </c>
      <c r="E1337" s="19">
        <v>15</v>
      </c>
      <c r="F1337" s="10" t="s">
        <v>1521</v>
      </c>
      <c r="G1337" s="10" t="s">
        <v>933</v>
      </c>
      <c r="H1337" s="35" t="s">
        <v>16</v>
      </c>
      <c r="I1337" s="36" t="s">
        <v>382</v>
      </c>
      <c r="J1337" s="9" t="s">
        <v>404</v>
      </c>
      <c r="K1337" s="9" t="s">
        <v>4011</v>
      </c>
      <c r="L1337" s="9" t="s">
        <v>614</v>
      </c>
      <c r="M1337" s="9" t="s">
        <v>934</v>
      </c>
      <c r="N1337" s="9" t="s">
        <v>935</v>
      </c>
      <c r="O1337" s="20" t="s">
        <v>5023</v>
      </c>
      <c r="P1337" s="20"/>
      <c r="Q1337" s="11" t="s">
        <v>584</v>
      </c>
      <c r="R1337" s="20" t="s">
        <v>5024</v>
      </c>
      <c r="S1337" s="39" t="s">
        <v>5025</v>
      </c>
      <c r="T1337" s="70" t="s">
        <v>3746</v>
      </c>
      <c r="U1337" s="120" t="s">
        <v>399</v>
      </c>
      <c r="V1337" s="118" t="str">
        <f>+Agencia[[#This Row],[idcoleccion]]&amp;"-"&amp;Agencia[[#This Row],[id]]</f>
        <v>990-1326</v>
      </c>
      <c r="W1337" s="118">
        <f>+VLOOKUP(Agencia[[#This Row],[Filtro URL]],Estructura!$X$4:$Y$500,2,0)</f>
        <v>99200015</v>
      </c>
      <c r="X1337" s="118" t="str">
        <f>+VLOOKUP(Agencia[[#This Row],[tema]],Estructura!$A$4:$C$500,3,0)</f>
        <v>T-1041</v>
      </c>
      <c r="Y1337" s="118" t="str">
        <f>+VLOOKUP(Agencia[[#This Row],[contenido]],Estructura!$E$4:$G$500,3,0)</f>
        <v>C-1000</v>
      </c>
      <c r="Z1337" s="118" t="str">
        <f>+VLOOKUP(Agencia[[#This Row],[Filtro Integrado]],Estructura!$I$4:$K$500,3,0)</f>
        <v>FI-993</v>
      </c>
      <c r="AA1337" s="118" t="str">
        <f>+VLOOKUP(Agencia[[#This Row],[Muestra]],Estructura!$M$4:$O$500,3,0)</f>
        <v>M-1095</v>
      </c>
    </row>
    <row r="1338" spans="1:27" ht="72" x14ac:dyDescent="0.3">
      <c r="A1338" s="21" t="s">
        <v>4087</v>
      </c>
      <c r="B1338" s="24">
        <v>990</v>
      </c>
      <c r="C1338" s="25" t="s">
        <v>401</v>
      </c>
      <c r="D1338" s="10" t="s">
        <v>933</v>
      </c>
      <c r="E1338" s="19">
        <v>16</v>
      </c>
      <c r="F1338" s="10" t="s">
        <v>1521</v>
      </c>
      <c r="G1338" s="10" t="s">
        <v>933</v>
      </c>
      <c r="H1338" s="35" t="s">
        <v>16</v>
      </c>
      <c r="I1338" s="36" t="s">
        <v>383</v>
      </c>
      <c r="J1338" s="9" t="s">
        <v>404</v>
      </c>
      <c r="K1338" s="9" t="s">
        <v>4011</v>
      </c>
      <c r="L1338" s="9" t="s">
        <v>614</v>
      </c>
      <c r="M1338" s="9" t="s">
        <v>934</v>
      </c>
      <c r="N1338" s="9" t="s">
        <v>935</v>
      </c>
      <c r="O1338" s="20" t="s">
        <v>5026</v>
      </c>
      <c r="P1338" s="20"/>
      <c r="Q1338" s="11" t="s">
        <v>584</v>
      </c>
      <c r="R1338" s="20" t="s">
        <v>5027</v>
      </c>
      <c r="S1338" s="39" t="s">
        <v>5028</v>
      </c>
      <c r="T1338" s="70" t="s">
        <v>3755</v>
      </c>
      <c r="U1338" s="50" t="s">
        <v>399</v>
      </c>
      <c r="V1338" s="118" t="str">
        <f>+Agencia[[#This Row],[idcoleccion]]&amp;"-"&amp;Agencia[[#This Row],[id]]</f>
        <v>990-1327</v>
      </c>
      <c r="W1338" s="118">
        <f>+VLOOKUP(Agencia[[#This Row],[Filtro URL]],Estructura!$X$4:$Y$500,2,0)</f>
        <v>99200016</v>
      </c>
      <c r="X1338" s="118" t="str">
        <f>+VLOOKUP(Agencia[[#This Row],[tema]],Estructura!$A$4:$C$500,3,0)</f>
        <v>T-1041</v>
      </c>
      <c r="Y1338" s="118" t="str">
        <f>+VLOOKUP(Agencia[[#This Row],[contenido]],Estructura!$E$4:$G$500,3,0)</f>
        <v>C-1000</v>
      </c>
      <c r="Z1338" s="118" t="str">
        <f>+VLOOKUP(Agencia[[#This Row],[Filtro Integrado]],Estructura!$I$4:$K$500,3,0)</f>
        <v>FI-993</v>
      </c>
      <c r="AA1338" s="118" t="str">
        <f>+VLOOKUP(Agencia[[#This Row],[Muestra]],Estructura!$M$4:$O$500,3,0)</f>
        <v>M-1095</v>
      </c>
    </row>
    <row r="1339" spans="1:27" ht="40.799999999999997" x14ac:dyDescent="0.3">
      <c r="A1339" s="21" t="s">
        <v>4088</v>
      </c>
      <c r="B1339" s="24">
        <v>990</v>
      </c>
      <c r="C1339" s="25" t="s">
        <v>401</v>
      </c>
      <c r="D1339" s="10" t="s">
        <v>933</v>
      </c>
      <c r="E1339" s="14">
        <v>0</v>
      </c>
      <c r="F1339" s="10" t="s">
        <v>5296</v>
      </c>
      <c r="G1339" s="10" t="s">
        <v>933</v>
      </c>
      <c r="H1339" s="33" t="s">
        <v>20</v>
      </c>
      <c r="I1339" s="34" t="s">
        <v>15</v>
      </c>
      <c r="J1339" s="9" t="s">
        <v>404</v>
      </c>
      <c r="K1339" s="9" t="s">
        <v>4031</v>
      </c>
      <c r="L1339" s="9" t="s">
        <v>614</v>
      </c>
      <c r="M1339" s="9" t="s">
        <v>934</v>
      </c>
      <c r="N1339" s="9" t="s">
        <v>935</v>
      </c>
      <c r="O1339" s="20" t="s">
        <v>5029</v>
      </c>
      <c r="P1339" s="20" t="s">
        <v>4032</v>
      </c>
      <c r="Q1339" s="11" t="s">
        <v>510</v>
      </c>
      <c r="R1339" s="20" t="s">
        <v>5030</v>
      </c>
      <c r="S1339" s="39" t="s">
        <v>4033</v>
      </c>
      <c r="T1339" s="70">
        <v>0</v>
      </c>
      <c r="U1339" s="50" t="s">
        <v>399</v>
      </c>
      <c r="V1339" s="118" t="str">
        <f>+Agencia[[#This Row],[idcoleccion]]&amp;"-"&amp;Agencia[[#This Row],[id]]</f>
        <v>990-1328</v>
      </c>
      <c r="W1339" s="118">
        <f>+VLOOKUP(Agencia[[#This Row],[Filtro URL]],Estructura!$X$4:$Y$500,2,0)</f>
        <v>99100000</v>
      </c>
      <c r="X1339" s="118" t="str">
        <f>+VLOOKUP(Agencia[[#This Row],[tema]],Estructura!$A$4:$C$500,3,0)</f>
        <v>T-1056</v>
      </c>
      <c r="Y1339" s="118" t="str">
        <f>+VLOOKUP(Agencia[[#This Row],[contenido]],Estructura!$E$4:$G$500,3,0)</f>
        <v>C-1000</v>
      </c>
      <c r="Z1339" s="118" t="str">
        <f>+VLOOKUP(Agencia[[#This Row],[Filtro Integrado]],Estructura!$I$4:$K$500,3,0)</f>
        <v>FI-993</v>
      </c>
      <c r="AA1339" s="118" t="str">
        <f>+VLOOKUP(Agencia[[#This Row],[Muestra]],Estructura!$M$4:$O$500,3,0)</f>
        <v>M-1096</v>
      </c>
    </row>
    <row r="1340" spans="1:27" ht="60" x14ac:dyDescent="0.3">
      <c r="A1340" s="21" t="s">
        <v>4089</v>
      </c>
      <c r="B1340" s="24">
        <v>990</v>
      </c>
      <c r="C1340" s="25" t="s">
        <v>401</v>
      </c>
      <c r="D1340" s="10" t="s">
        <v>933</v>
      </c>
      <c r="E1340" s="14">
        <v>0</v>
      </c>
      <c r="F1340" s="10" t="s">
        <v>5295</v>
      </c>
      <c r="G1340" s="10" t="s">
        <v>933</v>
      </c>
      <c r="H1340" s="33" t="s">
        <v>20</v>
      </c>
      <c r="I1340" s="34" t="s">
        <v>15</v>
      </c>
      <c r="J1340" s="9" t="s">
        <v>404</v>
      </c>
      <c r="K1340" s="9" t="s">
        <v>4035</v>
      </c>
      <c r="L1340" s="9" t="s">
        <v>614</v>
      </c>
      <c r="M1340" s="9" t="s">
        <v>4036</v>
      </c>
      <c r="N1340" s="9" t="s">
        <v>935</v>
      </c>
      <c r="O1340" s="20" t="s">
        <v>5031</v>
      </c>
      <c r="P1340" s="20" t="s">
        <v>4037</v>
      </c>
      <c r="Q1340" s="11" t="s">
        <v>584</v>
      </c>
      <c r="R1340" s="20" t="s">
        <v>5032</v>
      </c>
      <c r="S1340" s="39" t="s">
        <v>4038</v>
      </c>
      <c r="T1340" s="70">
        <v>0</v>
      </c>
      <c r="U1340" s="50" t="s">
        <v>399</v>
      </c>
      <c r="V1340" s="118" t="str">
        <f>+Agencia[[#This Row],[idcoleccion]]&amp;"-"&amp;Agencia[[#This Row],[id]]</f>
        <v>990-1329</v>
      </c>
      <c r="W1340" s="118">
        <f>+VLOOKUP(Agencia[[#This Row],[Filtro URL]],Estructura!$X$4:$Y$500,2,0)</f>
        <v>99100000</v>
      </c>
      <c r="X1340" s="118" t="str">
        <f>+VLOOKUP(Agencia[[#This Row],[tema]],Estructura!$A$4:$C$500,3,0)</f>
        <v>T-1057</v>
      </c>
      <c r="Y1340" s="118" t="str">
        <f>+VLOOKUP(Agencia[[#This Row],[contenido]],Estructura!$E$4:$G$500,3,0)</f>
        <v>C-1000</v>
      </c>
      <c r="Z1340" s="118" t="str">
        <f>+VLOOKUP(Agencia[[#This Row],[Filtro Integrado]],Estructura!$I$4:$K$500,3,0)</f>
        <v>FI-993</v>
      </c>
      <c r="AA1340" s="118" t="str">
        <f>+VLOOKUP(Agencia[[#This Row],[Muestra]],Estructura!$M$4:$O$500,3,0)</f>
        <v>M-1097</v>
      </c>
    </row>
    <row r="1341" spans="1:27" ht="61.2" x14ac:dyDescent="0.3">
      <c r="A1341" s="21" t="s">
        <v>4090</v>
      </c>
      <c r="B1341" s="24">
        <v>990</v>
      </c>
      <c r="C1341" s="25" t="s">
        <v>401</v>
      </c>
      <c r="D1341" s="10" t="s">
        <v>933</v>
      </c>
      <c r="E1341" s="14">
        <v>0</v>
      </c>
      <c r="F1341" s="10" t="s">
        <v>4040</v>
      </c>
      <c r="G1341" s="10" t="s">
        <v>933</v>
      </c>
      <c r="H1341" s="33" t="s">
        <v>20</v>
      </c>
      <c r="I1341" s="34" t="s">
        <v>15</v>
      </c>
      <c r="J1341" s="9" t="s">
        <v>1032</v>
      </c>
      <c r="K1341" s="9" t="s">
        <v>4035</v>
      </c>
      <c r="L1341" s="9" t="s">
        <v>614</v>
      </c>
      <c r="M1341" s="9" t="s">
        <v>4036</v>
      </c>
      <c r="N1341" s="9" t="s">
        <v>935</v>
      </c>
      <c r="O1341" s="20" t="s">
        <v>5031</v>
      </c>
      <c r="P1341" s="20" t="s">
        <v>4041</v>
      </c>
      <c r="Q1341" s="11" t="s">
        <v>3826</v>
      </c>
      <c r="R1341" s="20" t="s">
        <v>5033</v>
      </c>
      <c r="S1341" s="39" t="s">
        <v>4042</v>
      </c>
      <c r="T1341" s="70" t="s">
        <v>1033</v>
      </c>
      <c r="U1341" s="50" t="s">
        <v>399</v>
      </c>
      <c r="V1341" s="118" t="str">
        <f>+Agencia[[#This Row],[idcoleccion]]&amp;"-"&amp;Agencia[[#This Row],[id]]</f>
        <v>990-1330</v>
      </c>
      <c r="W1341" s="118">
        <f>+VLOOKUP(Agencia[[#This Row],[Filtro URL]],Estructura!$X$4:$Y$500,2,0)</f>
        <v>99100000</v>
      </c>
      <c r="X1341" s="118" t="str">
        <f>+VLOOKUP(Agencia[[#This Row],[tema]],Estructura!$A$4:$C$500,3,0)</f>
        <v>T-1050</v>
      </c>
      <c r="Y1341" s="118" t="str">
        <f>+VLOOKUP(Agencia[[#This Row],[contenido]],Estructura!$E$4:$G$500,3,0)</f>
        <v>C-1000</v>
      </c>
      <c r="Z1341" s="118" t="str">
        <f>+VLOOKUP(Agencia[[#This Row],[Filtro Integrado]],Estructura!$I$4:$K$500,3,0)</f>
        <v>FI-994</v>
      </c>
      <c r="AA1341" s="118" t="str">
        <f>+VLOOKUP(Agencia[[#This Row],[Muestra]],Estructura!$M$4:$O$500,3,0)</f>
        <v>M-1097</v>
      </c>
    </row>
    <row r="1342" spans="1:27" ht="72" x14ac:dyDescent="0.3">
      <c r="A1342" s="21" t="s">
        <v>4091</v>
      </c>
      <c r="B1342" s="24">
        <v>990</v>
      </c>
      <c r="C1342" s="25" t="s">
        <v>401</v>
      </c>
      <c r="D1342" s="10" t="s">
        <v>933</v>
      </c>
      <c r="E1342" s="19">
        <v>1</v>
      </c>
      <c r="F1342" s="10" t="s">
        <v>4040</v>
      </c>
      <c r="G1342" s="10" t="s">
        <v>933</v>
      </c>
      <c r="H1342" s="35" t="s">
        <v>16</v>
      </c>
      <c r="I1342" s="36" t="s">
        <v>368</v>
      </c>
      <c r="J1342" s="9" t="s">
        <v>18</v>
      </c>
      <c r="K1342" s="9" t="s">
        <v>4035</v>
      </c>
      <c r="L1342" s="9" t="s">
        <v>614</v>
      </c>
      <c r="M1342" s="9" t="s">
        <v>4036</v>
      </c>
      <c r="N1342" s="9" t="s">
        <v>935</v>
      </c>
      <c r="O1342" s="20" t="s">
        <v>4517</v>
      </c>
      <c r="P1342" s="20"/>
      <c r="Q1342" s="11" t="s">
        <v>3826</v>
      </c>
      <c r="R1342" s="20" t="s">
        <v>5034</v>
      </c>
      <c r="S1342" s="39" t="s">
        <v>4518</v>
      </c>
      <c r="T1342" s="70" t="s">
        <v>3741</v>
      </c>
      <c r="U1342" s="120" t="s">
        <v>399</v>
      </c>
      <c r="V1342" s="118" t="str">
        <f>+Agencia[[#This Row],[idcoleccion]]&amp;"-"&amp;Agencia[[#This Row],[id]]</f>
        <v>990-1331</v>
      </c>
      <c r="W1342" s="118">
        <f>+VLOOKUP(Agencia[[#This Row],[Filtro URL]],Estructura!$X$4:$Y$500,2,0)</f>
        <v>99200001</v>
      </c>
      <c r="X1342" s="118" t="str">
        <f>+VLOOKUP(Agencia[[#This Row],[tema]],Estructura!$A$4:$C$500,3,0)</f>
        <v>T-1050</v>
      </c>
      <c r="Y1342" s="118" t="str">
        <f>+VLOOKUP(Agencia[[#This Row],[contenido]],Estructura!$E$4:$G$500,3,0)</f>
        <v>C-1000</v>
      </c>
      <c r="Z1342" s="118" t="str">
        <f>+VLOOKUP(Agencia[[#This Row],[Filtro Integrado]],Estructura!$I$4:$K$500,3,0)</f>
        <v>FI-991</v>
      </c>
      <c r="AA1342" s="118" t="str">
        <f>+VLOOKUP(Agencia[[#This Row],[Muestra]],Estructura!$M$4:$O$500,3,0)</f>
        <v>M-1097</v>
      </c>
    </row>
    <row r="1343" spans="1:27" ht="72" x14ac:dyDescent="0.3">
      <c r="A1343" s="21" t="s">
        <v>4092</v>
      </c>
      <c r="B1343" s="24">
        <v>990</v>
      </c>
      <c r="C1343" s="25" t="s">
        <v>401</v>
      </c>
      <c r="D1343" s="10" t="s">
        <v>933</v>
      </c>
      <c r="E1343" s="19">
        <v>2</v>
      </c>
      <c r="F1343" s="10" t="s">
        <v>4040</v>
      </c>
      <c r="G1343" s="10" t="s">
        <v>933</v>
      </c>
      <c r="H1343" s="35" t="s">
        <v>16</v>
      </c>
      <c r="I1343" s="36" t="s">
        <v>369</v>
      </c>
      <c r="J1343" s="9" t="s">
        <v>18</v>
      </c>
      <c r="K1343" s="9" t="s">
        <v>4035</v>
      </c>
      <c r="L1343" s="9" t="s">
        <v>614</v>
      </c>
      <c r="M1343" s="9" t="s">
        <v>4036</v>
      </c>
      <c r="N1343" s="9" t="s">
        <v>935</v>
      </c>
      <c r="O1343" s="20" t="s">
        <v>4519</v>
      </c>
      <c r="P1343" s="20"/>
      <c r="Q1343" s="11" t="s">
        <v>3826</v>
      </c>
      <c r="R1343" s="20" t="s">
        <v>5035</v>
      </c>
      <c r="S1343" s="39" t="s">
        <v>4520</v>
      </c>
      <c r="T1343" s="70" t="s">
        <v>3729</v>
      </c>
      <c r="U1343" s="50" t="s">
        <v>399</v>
      </c>
      <c r="V1343" s="118" t="str">
        <f>+Agencia[[#This Row],[idcoleccion]]&amp;"-"&amp;Agencia[[#This Row],[id]]</f>
        <v>990-1332</v>
      </c>
      <c r="W1343" s="118">
        <f>+VLOOKUP(Agencia[[#This Row],[Filtro URL]],Estructura!$X$4:$Y$500,2,0)</f>
        <v>99200002</v>
      </c>
      <c r="X1343" s="118" t="str">
        <f>+VLOOKUP(Agencia[[#This Row],[tema]],Estructura!$A$4:$C$500,3,0)</f>
        <v>T-1050</v>
      </c>
      <c r="Y1343" s="118" t="str">
        <f>+VLOOKUP(Agencia[[#This Row],[contenido]],Estructura!$E$4:$G$500,3,0)</f>
        <v>C-1000</v>
      </c>
      <c r="Z1343" s="118" t="str">
        <f>+VLOOKUP(Agencia[[#This Row],[Filtro Integrado]],Estructura!$I$4:$K$500,3,0)</f>
        <v>FI-991</v>
      </c>
      <c r="AA1343" s="118" t="str">
        <f>+VLOOKUP(Agencia[[#This Row],[Muestra]],Estructura!$M$4:$O$500,3,0)</f>
        <v>M-1097</v>
      </c>
    </row>
    <row r="1344" spans="1:27" ht="72" x14ac:dyDescent="0.3">
      <c r="A1344" s="21" t="s">
        <v>4093</v>
      </c>
      <c r="B1344" s="24">
        <v>990</v>
      </c>
      <c r="C1344" s="25" t="s">
        <v>401</v>
      </c>
      <c r="D1344" s="10" t="s">
        <v>933</v>
      </c>
      <c r="E1344" s="19">
        <v>3</v>
      </c>
      <c r="F1344" s="10" t="s">
        <v>4040</v>
      </c>
      <c r="G1344" s="10" t="s">
        <v>933</v>
      </c>
      <c r="H1344" s="35" t="s">
        <v>16</v>
      </c>
      <c r="I1344" s="36" t="s">
        <v>370</v>
      </c>
      <c r="J1344" s="9" t="s">
        <v>18</v>
      </c>
      <c r="K1344" s="9" t="s">
        <v>4035</v>
      </c>
      <c r="L1344" s="9" t="s">
        <v>614</v>
      </c>
      <c r="M1344" s="9" t="s">
        <v>4036</v>
      </c>
      <c r="N1344" s="9" t="s">
        <v>935</v>
      </c>
      <c r="O1344" s="20" t="s">
        <v>4521</v>
      </c>
      <c r="P1344" s="20"/>
      <c r="Q1344" s="11" t="s">
        <v>3826</v>
      </c>
      <c r="R1344" s="20" t="s">
        <v>5036</v>
      </c>
      <c r="S1344" s="39" t="s">
        <v>4522</v>
      </c>
      <c r="T1344" s="70" t="s">
        <v>3731</v>
      </c>
      <c r="U1344" s="50" t="s">
        <v>399</v>
      </c>
      <c r="V1344" s="118" t="str">
        <f>+Agencia[[#This Row],[idcoleccion]]&amp;"-"&amp;Agencia[[#This Row],[id]]</f>
        <v>990-1333</v>
      </c>
      <c r="W1344" s="118">
        <f>+VLOOKUP(Agencia[[#This Row],[Filtro URL]],Estructura!$X$4:$Y$500,2,0)</f>
        <v>99200003</v>
      </c>
      <c r="X1344" s="118" t="str">
        <f>+VLOOKUP(Agencia[[#This Row],[tema]],Estructura!$A$4:$C$500,3,0)</f>
        <v>T-1050</v>
      </c>
      <c r="Y1344" s="118" t="str">
        <f>+VLOOKUP(Agencia[[#This Row],[contenido]],Estructura!$E$4:$G$500,3,0)</f>
        <v>C-1000</v>
      </c>
      <c r="Z1344" s="118" t="str">
        <f>+VLOOKUP(Agencia[[#This Row],[Filtro Integrado]],Estructura!$I$4:$K$500,3,0)</f>
        <v>FI-991</v>
      </c>
      <c r="AA1344" s="118" t="str">
        <f>+VLOOKUP(Agencia[[#This Row],[Muestra]],Estructura!$M$4:$O$500,3,0)</f>
        <v>M-1097</v>
      </c>
    </row>
    <row r="1345" spans="1:27" ht="72" x14ac:dyDescent="0.3">
      <c r="A1345" s="21" t="s">
        <v>4094</v>
      </c>
      <c r="B1345" s="24">
        <v>990</v>
      </c>
      <c r="C1345" s="25" t="s">
        <v>401</v>
      </c>
      <c r="D1345" s="10" t="s">
        <v>933</v>
      </c>
      <c r="E1345" s="19">
        <v>4</v>
      </c>
      <c r="F1345" s="10" t="s">
        <v>4040</v>
      </c>
      <c r="G1345" s="10" t="s">
        <v>933</v>
      </c>
      <c r="H1345" s="35" t="s">
        <v>16</v>
      </c>
      <c r="I1345" s="36" t="s">
        <v>371</v>
      </c>
      <c r="J1345" s="9" t="s">
        <v>18</v>
      </c>
      <c r="K1345" s="9" t="s">
        <v>4035</v>
      </c>
      <c r="L1345" s="9" t="s">
        <v>614</v>
      </c>
      <c r="M1345" s="9" t="s">
        <v>4036</v>
      </c>
      <c r="N1345" s="9" t="s">
        <v>935</v>
      </c>
      <c r="O1345" s="20" t="s">
        <v>4523</v>
      </c>
      <c r="P1345" s="20"/>
      <c r="Q1345" s="11" t="s">
        <v>3826</v>
      </c>
      <c r="R1345" s="20" t="s">
        <v>5037</v>
      </c>
      <c r="S1345" s="39" t="s">
        <v>4524</v>
      </c>
      <c r="T1345" s="70" t="s">
        <v>3733</v>
      </c>
      <c r="U1345" s="120" t="s">
        <v>399</v>
      </c>
      <c r="V1345" s="118" t="str">
        <f>+Agencia[[#This Row],[idcoleccion]]&amp;"-"&amp;Agencia[[#This Row],[id]]</f>
        <v>990-1334</v>
      </c>
      <c r="W1345" s="118">
        <f>+VLOOKUP(Agencia[[#This Row],[Filtro URL]],Estructura!$X$4:$Y$500,2,0)</f>
        <v>99200004</v>
      </c>
      <c r="X1345" s="118" t="str">
        <f>+VLOOKUP(Agencia[[#This Row],[tema]],Estructura!$A$4:$C$500,3,0)</f>
        <v>T-1050</v>
      </c>
      <c r="Y1345" s="118" t="str">
        <f>+VLOOKUP(Agencia[[#This Row],[contenido]],Estructura!$E$4:$G$500,3,0)</f>
        <v>C-1000</v>
      </c>
      <c r="Z1345" s="118" t="str">
        <f>+VLOOKUP(Agencia[[#This Row],[Filtro Integrado]],Estructura!$I$4:$K$500,3,0)</f>
        <v>FI-991</v>
      </c>
      <c r="AA1345" s="118" t="str">
        <f>+VLOOKUP(Agencia[[#This Row],[Muestra]],Estructura!$M$4:$O$500,3,0)</f>
        <v>M-1097</v>
      </c>
    </row>
    <row r="1346" spans="1:27" ht="72" x14ac:dyDescent="0.3">
      <c r="A1346" s="21" t="s">
        <v>4098</v>
      </c>
      <c r="B1346" s="24">
        <v>990</v>
      </c>
      <c r="C1346" s="25" t="s">
        <v>401</v>
      </c>
      <c r="D1346" s="10" t="s">
        <v>933</v>
      </c>
      <c r="E1346" s="19">
        <v>5</v>
      </c>
      <c r="F1346" s="10" t="s">
        <v>4040</v>
      </c>
      <c r="G1346" s="10" t="s">
        <v>933</v>
      </c>
      <c r="H1346" s="35" t="s">
        <v>16</v>
      </c>
      <c r="I1346" s="36" t="s">
        <v>372</v>
      </c>
      <c r="J1346" s="9" t="s">
        <v>18</v>
      </c>
      <c r="K1346" s="9" t="s">
        <v>4035</v>
      </c>
      <c r="L1346" s="9" t="s">
        <v>614</v>
      </c>
      <c r="M1346" s="9" t="s">
        <v>4036</v>
      </c>
      <c r="N1346" s="9" t="s">
        <v>935</v>
      </c>
      <c r="O1346" s="20" t="s">
        <v>4525</v>
      </c>
      <c r="P1346" s="20"/>
      <c r="Q1346" s="11" t="s">
        <v>3826</v>
      </c>
      <c r="R1346" s="20" t="s">
        <v>5038</v>
      </c>
      <c r="S1346" s="39" t="s">
        <v>4526</v>
      </c>
      <c r="T1346" s="70" t="s">
        <v>3742</v>
      </c>
      <c r="U1346" s="50" t="s">
        <v>399</v>
      </c>
      <c r="V1346" s="118" t="str">
        <f>+Agencia[[#This Row],[idcoleccion]]&amp;"-"&amp;Agencia[[#This Row],[id]]</f>
        <v>990-1335</v>
      </c>
      <c r="W1346" s="118">
        <f>+VLOOKUP(Agencia[[#This Row],[Filtro URL]],Estructura!$X$4:$Y$500,2,0)</f>
        <v>99200005</v>
      </c>
      <c r="X1346" s="118" t="str">
        <f>+VLOOKUP(Agencia[[#This Row],[tema]],Estructura!$A$4:$C$500,3,0)</f>
        <v>T-1050</v>
      </c>
      <c r="Y1346" s="118" t="str">
        <f>+VLOOKUP(Agencia[[#This Row],[contenido]],Estructura!$E$4:$G$500,3,0)</f>
        <v>C-1000</v>
      </c>
      <c r="Z1346" s="118" t="str">
        <f>+VLOOKUP(Agencia[[#This Row],[Filtro Integrado]],Estructura!$I$4:$K$500,3,0)</f>
        <v>FI-991</v>
      </c>
      <c r="AA1346" s="118" t="str">
        <f>+VLOOKUP(Agencia[[#This Row],[Muestra]],Estructura!$M$4:$O$500,3,0)</f>
        <v>M-1097</v>
      </c>
    </row>
    <row r="1347" spans="1:27" ht="72" x14ac:dyDescent="0.3">
      <c r="A1347" s="21" t="s">
        <v>4105</v>
      </c>
      <c r="B1347" s="24">
        <v>990</v>
      </c>
      <c r="C1347" s="25" t="s">
        <v>401</v>
      </c>
      <c r="D1347" s="10" t="s">
        <v>933</v>
      </c>
      <c r="E1347" s="19">
        <v>6</v>
      </c>
      <c r="F1347" s="10" t="s">
        <v>4040</v>
      </c>
      <c r="G1347" s="10" t="s">
        <v>933</v>
      </c>
      <c r="H1347" s="35" t="s">
        <v>16</v>
      </c>
      <c r="I1347" s="36" t="s">
        <v>373</v>
      </c>
      <c r="J1347" s="9" t="s">
        <v>18</v>
      </c>
      <c r="K1347" s="9" t="s">
        <v>4035</v>
      </c>
      <c r="L1347" s="9" t="s">
        <v>614</v>
      </c>
      <c r="M1347" s="9" t="s">
        <v>4036</v>
      </c>
      <c r="N1347" s="9" t="s">
        <v>935</v>
      </c>
      <c r="O1347" s="20" t="s">
        <v>4527</v>
      </c>
      <c r="P1347" s="20"/>
      <c r="Q1347" s="11" t="s">
        <v>3826</v>
      </c>
      <c r="R1347" s="20" t="s">
        <v>5039</v>
      </c>
      <c r="S1347" s="39" t="s">
        <v>4528</v>
      </c>
      <c r="T1347" s="70" t="s">
        <v>3740</v>
      </c>
      <c r="U1347" s="50" t="s">
        <v>399</v>
      </c>
      <c r="V1347" s="118" t="str">
        <f>+Agencia[[#This Row],[idcoleccion]]&amp;"-"&amp;Agencia[[#This Row],[id]]</f>
        <v>990-1336</v>
      </c>
      <c r="W1347" s="118">
        <f>+VLOOKUP(Agencia[[#This Row],[Filtro URL]],Estructura!$X$4:$Y$500,2,0)</f>
        <v>99200006</v>
      </c>
      <c r="X1347" s="118" t="str">
        <f>+VLOOKUP(Agencia[[#This Row],[tema]],Estructura!$A$4:$C$500,3,0)</f>
        <v>T-1050</v>
      </c>
      <c r="Y1347" s="118" t="str">
        <f>+VLOOKUP(Agencia[[#This Row],[contenido]],Estructura!$E$4:$G$500,3,0)</f>
        <v>C-1000</v>
      </c>
      <c r="Z1347" s="118" t="str">
        <f>+VLOOKUP(Agencia[[#This Row],[Filtro Integrado]],Estructura!$I$4:$K$500,3,0)</f>
        <v>FI-991</v>
      </c>
      <c r="AA1347" s="118" t="str">
        <f>+VLOOKUP(Agencia[[#This Row],[Muestra]],Estructura!$M$4:$O$500,3,0)</f>
        <v>M-1097</v>
      </c>
    </row>
    <row r="1348" spans="1:27" ht="72" x14ac:dyDescent="0.3">
      <c r="A1348" s="21" t="s">
        <v>4111</v>
      </c>
      <c r="B1348" s="24">
        <v>990</v>
      </c>
      <c r="C1348" s="25" t="s">
        <v>401</v>
      </c>
      <c r="D1348" s="10" t="s">
        <v>933</v>
      </c>
      <c r="E1348" s="19">
        <v>7</v>
      </c>
      <c r="F1348" s="10" t="s">
        <v>4040</v>
      </c>
      <c r="G1348" s="10" t="s">
        <v>933</v>
      </c>
      <c r="H1348" s="35" t="s">
        <v>16</v>
      </c>
      <c r="I1348" s="36" t="s">
        <v>374</v>
      </c>
      <c r="J1348" s="9" t="s">
        <v>18</v>
      </c>
      <c r="K1348" s="9" t="s">
        <v>4035</v>
      </c>
      <c r="L1348" s="9" t="s">
        <v>614</v>
      </c>
      <c r="M1348" s="9" t="s">
        <v>4036</v>
      </c>
      <c r="N1348" s="9" t="s">
        <v>935</v>
      </c>
      <c r="O1348" s="20" t="s">
        <v>4529</v>
      </c>
      <c r="P1348" s="20"/>
      <c r="Q1348" s="11" t="s">
        <v>3826</v>
      </c>
      <c r="R1348" s="20" t="s">
        <v>5040</v>
      </c>
      <c r="S1348" s="39" t="s">
        <v>4530</v>
      </c>
      <c r="T1348" s="70" t="s">
        <v>3738</v>
      </c>
      <c r="U1348" s="120" t="s">
        <v>399</v>
      </c>
      <c r="V1348" s="118" t="str">
        <f>+Agencia[[#This Row],[idcoleccion]]&amp;"-"&amp;Agencia[[#This Row],[id]]</f>
        <v>990-1337</v>
      </c>
      <c r="W1348" s="118">
        <f>+VLOOKUP(Agencia[[#This Row],[Filtro URL]],Estructura!$X$4:$Y$500,2,0)</f>
        <v>99200007</v>
      </c>
      <c r="X1348" s="118" t="str">
        <f>+VLOOKUP(Agencia[[#This Row],[tema]],Estructura!$A$4:$C$500,3,0)</f>
        <v>T-1050</v>
      </c>
      <c r="Y1348" s="118" t="str">
        <f>+VLOOKUP(Agencia[[#This Row],[contenido]],Estructura!$E$4:$G$500,3,0)</f>
        <v>C-1000</v>
      </c>
      <c r="Z1348" s="118" t="str">
        <f>+VLOOKUP(Agencia[[#This Row],[Filtro Integrado]],Estructura!$I$4:$K$500,3,0)</f>
        <v>FI-991</v>
      </c>
      <c r="AA1348" s="118" t="str">
        <f>+VLOOKUP(Agencia[[#This Row],[Muestra]],Estructura!$M$4:$O$500,3,0)</f>
        <v>M-1097</v>
      </c>
    </row>
    <row r="1349" spans="1:27" ht="72" x14ac:dyDescent="0.3">
      <c r="A1349" s="21" t="s">
        <v>4115</v>
      </c>
      <c r="B1349" s="24">
        <v>990</v>
      </c>
      <c r="C1349" s="25" t="s">
        <v>401</v>
      </c>
      <c r="D1349" s="10" t="s">
        <v>933</v>
      </c>
      <c r="E1349" s="19">
        <v>8</v>
      </c>
      <c r="F1349" s="10" t="s">
        <v>4040</v>
      </c>
      <c r="G1349" s="10" t="s">
        <v>933</v>
      </c>
      <c r="H1349" s="35" t="s">
        <v>16</v>
      </c>
      <c r="I1349" s="36" t="s">
        <v>375</v>
      </c>
      <c r="J1349" s="9" t="s">
        <v>18</v>
      </c>
      <c r="K1349" s="9" t="s">
        <v>4035</v>
      </c>
      <c r="L1349" s="9" t="s">
        <v>614</v>
      </c>
      <c r="M1349" s="9" t="s">
        <v>4036</v>
      </c>
      <c r="N1349" s="9" t="s">
        <v>935</v>
      </c>
      <c r="O1349" s="20" t="s">
        <v>4531</v>
      </c>
      <c r="P1349" s="20"/>
      <c r="Q1349" s="11" t="s">
        <v>3826</v>
      </c>
      <c r="R1349" s="20" t="s">
        <v>5041</v>
      </c>
      <c r="S1349" s="39" t="s">
        <v>4532</v>
      </c>
      <c r="T1349" s="70" t="s">
        <v>3743</v>
      </c>
      <c r="U1349" s="50" t="s">
        <v>399</v>
      </c>
      <c r="V1349" s="118" t="str">
        <f>+Agencia[[#This Row],[idcoleccion]]&amp;"-"&amp;Agencia[[#This Row],[id]]</f>
        <v>990-1338</v>
      </c>
      <c r="W1349" s="118">
        <f>+VLOOKUP(Agencia[[#This Row],[Filtro URL]],Estructura!$X$4:$Y$500,2,0)</f>
        <v>99200008</v>
      </c>
      <c r="X1349" s="118" t="str">
        <f>+VLOOKUP(Agencia[[#This Row],[tema]],Estructura!$A$4:$C$500,3,0)</f>
        <v>T-1050</v>
      </c>
      <c r="Y1349" s="118" t="str">
        <f>+VLOOKUP(Agencia[[#This Row],[contenido]],Estructura!$E$4:$G$500,3,0)</f>
        <v>C-1000</v>
      </c>
      <c r="Z1349" s="118" t="str">
        <f>+VLOOKUP(Agencia[[#This Row],[Filtro Integrado]],Estructura!$I$4:$K$500,3,0)</f>
        <v>FI-991</v>
      </c>
      <c r="AA1349" s="118" t="str">
        <f>+VLOOKUP(Agencia[[#This Row],[Muestra]],Estructura!$M$4:$O$500,3,0)</f>
        <v>M-1097</v>
      </c>
    </row>
    <row r="1350" spans="1:27" ht="72" x14ac:dyDescent="0.3">
      <c r="A1350" s="21" t="s">
        <v>4119</v>
      </c>
      <c r="B1350" s="24">
        <v>990</v>
      </c>
      <c r="C1350" s="25" t="s">
        <v>401</v>
      </c>
      <c r="D1350" s="10" t="s">
        <v>933</v>
      </c>
      <c r="E1350" s="19">
        <v>9</v>
      </c>
      <c r="F1350" s="10" t="s">
        <v>4040</v>
      </c>
      <c r="G1350" s="10" t="s">
        <v>933</v>
      </c>
      <c r="H1350" s="35" t="s">
        <v>16</v>
      </c>
      <c r="I1350" s="36" t="s">
        <v>376</v>
      </c>
      <c r="J1350" s="9" t="s">
        <v>18</v>
      </c>
      <c r="K1350" s="9" t="s">
        <v>4035</v>
      </c>
      <c r="L1350" s="9" t="s">
        <v>614</v>
      </c>
      <c r="M1350" s="9" t="s">
        <v>4036</v>
      </c>
      <c r="N1350" s="9" t="s">
        <v>935</v>
      </c>
      <c r="O1350" s="20" t="s">
        <v>4533</v>
      </c>
      <c r="P1350" s="20"/>
      <c r="Q1350" s="11" t="s">
        <v>3826</v>
      </c>
      <c r="R1350" s="20" t="s">
        <v>5042</v>
      </c>
      <c r="S1350" s="39" t="s">
        <v>4534</v>
      </c>
      <c r="T1350" s="70" t="s">
        <v>3734</v>
      </c>
      <c r="U1350" s="50" t="s">
        <v>399</v>
      </c>
      <c r="V1350" s="118" t="str">
        <f>+Agencia[[#This Row],[idcoleccion]]&amp;"-"&amp;Agencia[[#This Row],[id]]</f>
        <v>990-1339</v>
      </c>
      <c r="W1350" s="118">
        <f>+VLOOKUP(Agencia[[#This Row],[Filtro URL]],Estructura!$X$4:$Y$500,2,0)</f>
        <v>99200009</v>
      </c>
      <c r="X1350" s="118" t="str">
        <f>+VLOOKUP(Agencia[[#This Row],[tema]],Estructura!$A$4:$C$500,3,0)</f>
        <v>T-1050</v>
      </c>
      <c r="Y1350" s="118" t="str">
        <f>+VLOOKUP(Agencia[[#This Row],[contenido]],Estructura!$E$4:$G$500,3,0)</f>
        <v>C-1000</v>
      </c>
      <c r="Z1350" s="118" t="str">
        <f>+VLOOKUP(Agencia[[#This Row],[Filtro Integrado]],Estructura!$I$4:$K$500,3,0)</f>
        <v>FI-991</v>
      </c>
      <c r="AA1350" s="118" t="str">
        <f>+VLOOKUP(Agencia[[#This Row],[Muestra]],Estructura!$M$4:$O$500,3,0)</f>
        <v>M-1097</v>
      </c>
    </row>
    <row r="1351" spans="1:27" ht="72" x14ac:dyDescent="0.3">
      <c r="A1351" s="21" t="s">
        <v>4120</v>
      </c>
      <c r="B1351" s="24">
        <v>990</v>
      </c>
      <c r="C1351" s="25" t="s">
        <v>401</v>
      </c>
      <c r="D1351" s="10" t="s">
        <v>933</v>
      </c>
      <c r="E1351" s="19">
        <v>10</v>
      </c>
      <c r="F1351" s="10" t="s">
        <v>4040</v>
      </c>
      <c r="G1351" s="10" t="s">
        <v>933</v>
      </c>
      <c r="H1351" s="35" t="s">
        <v>16</v>
      </c>
      <c r="I1351" s="36" t="s">
        <v>377</v>
      </c>
      <c r="J1351" s="9" t="s">
        <v>18</v>
      </c>
      <c r="K1351" s="9" t="s">
        <v>4035</v>
      </c>
      <c r="L1351" s="9" t="s">
        <v>614</v>
      </c>
      <c r="M1351" s="9" t="s">
        <v>4036</v>
      </c>
      <c r="N1351" s="9" t="s">
        <v>935</v>
      </c>
      <c r="O1351" s="20" t="s">
        <v>4535</v>
      </c>
      <c r="P1351" s="20"/>
      <c r="Q1351" s="11" t="s">
        <v>3826</v>
      </c>
      <c r="R1351" s="20" t="s">
        <v>5043</v>
      </c>
      <c r="S1351" s="39" t="s">
        <v>4536</v>
      </c>
      <c r="T1351" s="70" t="s">
        <v>3735</v>
      </c>
      <c r="U1351" s="120" t="s">
        <v>399</v>
      </c>
      <c r="V1351" s="118" t="str">
        <f>+Agencia[[#This Row],[idcoleccion]]&amp;"-"&amp;Agencia[[#This Row],[id]]</f>
        <v>990-1340</v>
      </c>
      <c r="W1351" s="118">
        <f>+VLOOKUP(Agencia[[#This Row],[Filtro URL]],Estructura!$X$4:$Y$500,2,0)</f>
        <v>99200010</v>
      </c>
      <c r="X1351" s="118" t="str">
        <f>+VLOOKUP(Agencia[[#This Row],[tema]],Estructura!$A$4:$C$500,3,0)</f>
        <v>T-1050</v>
      </c>
      <c r="Y1351" s="118" t="str">
        <f>+VLOOKUP(Agencia[[#This Row],[contenido]],Estructura!$E$4:$G$500,3,0)</f>
        <v>C-1000</v>
      </c>
      <c r="Z1351" s="118" t="str">
        <f>+VLOOKUP(Agencia[[#This Row],[Filtro Integrado]],Estructura!$I$4:$K$500,3,0)</f>
        <v>FI-991</v>
      </c>
      <c r="AA1351" s="118" t="str">
        <f>+VLOOKUP(Agencia[[#This Row],[Muestra]],Estructura!$M$4:$O$500,3,0)</f>
        <v>M-1097</v>
      </c>
    </row>
    <row r="1352" spans="1:27" ht="72" x14ac:dyDescent="0.3">
      <c r="A1352" s="21" t="s">
        <v>4121</v>
      </c>
      <c r="B1352" s="24">
        <v>990</v>
      </c>
      <c r="C1352" s="25" t="s">
        <v>401</v>
      </c>
      <c r="D1352" s="10" t="s">
        <v>933</v>
      </c>
      <c r="E1352" s="19">
        <v>11</v>
      </c>
      <c r="F1352" s="10" t="s">
        <v>4040</v>
      </c>
      <c r="G1352" s="10" t="s">
        <v>933</v>
      </c>
      <c r="H1352" s="35" t="s">
        <v>16</v>
      </c>
      <c r="I1352" s="36" t="s">
        <v>378</v>
      </c>
      <c r="J1352" s="9" t="s">
        <v>18</v>
      </c>
      <c r="K1352" s="9" t="s">
        <v>4035</v>
      </c>
      <c r="L1352" s="9" t="s">
        <v>614</v>
      </c>
      <c r="M1352" s="9" t="s">
        <v>4036</v>
      </c>
      <c r="N1352" s="9" t="s">
        <v>935</v>
      </c>
      <c r="O1352" s="20" t="s">
        <v>4537</v>
      </c>
      <c r="P1352" s="20"/>
      <c r="Q1352" s="11" t="s">
        <v>3826</v>
      </c>
      <c r="R1352" s="20" t="s">
        <v>5044</v>
      </c>
      <c r="S1352" s="39" t="s">
        <v>4538</v>
      </c>
      <c r="T1352" s="70" t="s">
        <v>3732</v>
      </c>
      <c r="U1352" s="50" t="s">
        <v>399</v>
      </c>
      <c r="V1352" s="118" t="str">
        <f>+Agencia[[#This Row],[idcoleccion]]&amp;"-"&amp;Agencia[[#This Row],[id]]</f>
        <v>990-1341</v>
      </c>
      <c r="W1352" s="118">
        <f>+VLOOKUP(Agencia[[#This Row],[Filtro URL]],Estructura!$X$4:$Y$500,2,0)</f>
        <v>99200011</v>
      </c>
      <c r="X1352" s="118" t="str">
        <f>+VLOOKUP(Agencia[[#This Row],[tema]],Estructura!$A$4:$C$500,3,0)</f>
        <v>T-1050</v>
      </c>
      <c r="Y1352" s="118" t="str">
        <f>+VLOOKUP(Agencia[[#This Row],[contenido]],Estructura!$E$4:$G$500,3,0)</f>
        <v>C-1000</v>
      </c>
      <c r="Z1352" s="118" t="str">
        <f>+VLOOKUP(Agencia[[#This Row],[Filtro Integrado]],Estructura!$I$4:$K$500,3,0)</f>
        <v>FI-991</v>
      </c>
      <c r="AA1352" s="118" t="str">
        <f>+VLOOKUP(Agencia[[#This Row],[Muestra]],Estructura!$M$4:$O$500,3,0)</f>
        <v>M-1097</v>
      </c>
    </row>
    <row r="1353" spans="1:27" ht="72" x14ac:dyDescent="0.3">
      <c r="A1353" s="21" t="s">
        <v>4122</v>
      </c>
      <c r="B1353" s="24">
        <v>990</v>
      </c>
      <c r="C1353" s="25" t="s">
        <v>401</v>
      </c>
      <c r="D1353" s="10" t="s">
        <v>933</v>
      </c>
      <c r="E1353" s="19">
        <v>12</v>
      </c>
      <c r="F1353" s="10" t="s">
        <v>4040</v>
      </c>
      <c r="G1353" s="10" t="s">
        <v>933</v>
      </c>
      <c r="H1353" s="35" t="s">
        <v>16</v>
      </c>
      <c r="I1353" s="36" t="s">
        <v>379</v>
      </c>
      <c r="J1353" s="9" t="s">
        <v>18</v>
      </c>
      <c r="K1353" s="9" t="s">
        <v>4035</v>
      </c>
      <c r="L1353" s="9" t="s">
        <v>614</v>
      </c>
      <c r="M1353" s="9" t="s">
        <v>4036</v>
      </c>
      <c r="N1353" s="9" t="s">
        <v>935</v>
      </c>
      <c r="O1353" s="20" t="s">
        <v>4539</v>
      </c>
      <c r="P1353" s="20"/>
      <c r="Q1353" s="11" t="s">
        <v>3826</v>
      </c>
      <c r="R1353" s="20" t="s">
        <v>5045</v>
      </c>
      <c r="S1353" s="39" t="s">
        <v>4540</v>
      </c>
      <c r="T1353" s="70" t="s">
        <v>3737</v>
      </c>
      <c r="U1353" s="50" t="s">
        <v>399</v>
      </c>
      <c r="V1353" s="118" t="str">
        <f>+Agencia[[#This Row],[idcoleccion]]&amp;"-"&amp;Agencia[[#This Row],[id]]</f>
        <v>990-1342</v>
      </c>
      <c r="W1353" s="118">
        <f>+VLOOKUP(Agencia[[#This Row],[Filtro URL]],Estructura!$X$4:$Y$500,2,0)</f>
        <v>99200012</v>
      </c>
      <c r="X1353" s="118" t="str">
        <f>+VLOOKUP(Agencia[[#This Row],[tema]],Estructura!$A$4:$C$500,3,0)</f>
        <v>T-1050</v>
      </c>
      <c r="Y1353" s="118" t="str">
        <f>+VLOOKUP(Agencia[[#This Row],[contenido]],Estructura!$E$4:$G$500,3,0)</f>
        <v>C-1000</v>
      </c>
      <c r="Z1353" s="118" t="str">
        <f>+VLOOKUP(Agencia[[#This Row],[Filtro Integrado]],Estructura!$I$4:$K$500,3,0)</f>
        <v>FI-991</v>
      </c>
      <c r="AA1353" s="118" t="str">
        <f>+VLOOKUP(Agencia[[#This Row],[Muestra]],Estructura!$M$4:$O$500,3,0)</f>
        <v>M-1097</v>
      </c>
    </row>
    <row r="1354" spans="1:27" ht="72" x14ac:dyDescent="0.3">
      <c r="A1354" s="21" t="s">
        <v>4123</v>
      </c>
      <c r="B1354" s="24">
        <v>990</v>
      </c>
      <c r="C1354" s="25" t="s">
        <v>401</v>
      </c>
      <c r="D1354" s="10" t="s">
        <v>933</v>
      </c>
      <c r="E1354" s="19">
        <v>13</v>
      </c>
      <c r="F1354" s="10" t="s">
        <v>4040</v>
      </c>
      <c r="G1354" s="10" t="s">
        <v>933</v>
      </c>
      <c r="H1354" s="35" t="s">
        <v>16</v>
      </c>
      <c r="I1354" s="36" t="s">
        <v>380</v>
      </c>
      <c r="J1354" s="9" t="s">
        <v>18</v>
      </c>
      <c r="K1354" s="9" t="s">
        <v>4035</v>
      </c>
      <c r="L1354" s="9" t="s">
        <v>614</v>
      </c>
      <c r="M1354" s="9" t="s">
        <v>4036</v>
      </c>
      <c r="N1354" s="9" t="s">
        <v>935</v>
      </c>
      <c r="O1354" s="20" t="s">
        <v>5046</v>
      </c>
      <c r="P1354" s="20"/>
      <c r="Q1354" s="11" t="s">
        <v>3826</v>
      </c>
      <c r="R1354" s="20" t="s">
        <v>5047</v>
      </c>
      <c r="S1354" s="39" t="s">
        <v>5048</v>
      </c>
      <c r="T1354" s="70" t="s">
        <v>3744</v>
      </c>
      <c r="U1354" s="120" t="s">
        <v>399</v>
      </c>
      <c r="V1354" s="118" t="str">
        <f>+Agencia[[#This Row],[idcoleccion]]&amp;"-"&amp;Agencia[[#This Row],[id]]</f>
        <v>990-1343</v>
      </c>
      <c r="W1354" s="118">
        <f>+VLOOKUP(Agencia[[#This Row],[Filtro URL]],Estructura!$X$4:$Y$500,2,0)</f>
        <v>99200013</v>
      </c>
      <c r="X1354" s="118" t="str">
        <f>+VLOOKUP(Agencia[[#This Row],[tema]],Estructura!$A$4:$C$500,3,0)</f>
        <v>T-1050</v>
      </c>
      <c r="Y1354" s="118" t="str">
        <f>+VLOOKUP(Agencia[[#This Row],[contenido]],Estructura!$E$4:$G$500,3,0)</f>
        <v>C-1000</v>
      </c>
      <c r="Z1354" s="118" t="str">
        <f>+VLOOKUP(Agencia[[#This Row],[Filtro Integrado]],Estructura!$I$4:$K$500,3,0)</f>
        <v>FI-991</v>
      </c>
      <c r="AA1354" s="118" t="str">
        <f>+VLOOKUP(Agencia[[#This Row],[Muestra]],Estructura!$M$4:$O$500,3,0)</f>
        <v>M-1097</v>
      </c>
    </row>
    <row r="1355" spans="1:27" ht="72" x14ac:dyDescent="0.3">
      <c r="A1355" s="21" t="s">
        <v>4124</v>
      </c>
      <c r="B1355" s="24">
        <v>990</v>
      </c>
      <c r="C1355" s="25" t="s">
        <v>401</v>
      </c>
      <c r="D1355" s="10" t="s">
        <v>933</v>
      </c>
      <c r="E1355" s="19">
        <v>14</v>
      </c>
      <c r="F1355" s="10" t="s">
        <v>4040</v>
      </c>
      <c r="G1355" s="10" t="s">
        <v>933</v>
      </c>
      <c r="H1355" s="35" t="s">
        <v>16</v>
      </c>
      <c r="I1355" s="36" t="s">
        <v>381</v>
      </c>
      <c r="J1355" s="9" t="s">
        <v>18</v>
      </c>
      <c r="K1355" s="9" t="s">
        <v>4035</v>
      </c>
      <c r="L1355" s="9" t="s">
        <v>614</v>
      </c>
      <c r="M1355" s="9" t="s">
        <v>4036</v>
      </c>
      <c r="N1355" s="9" t="s">
        <v>935</v>
      </c>
      <c r="O1355" s="20" t="s">
        <v>5049</v>
      </c>
      <c r="P1355" s="20"/>
      <c r="Q1355" s="11" t="s">
        <v>3826</v>
      </c>
      <c r="R1355" s="20" t="s">
        <v>5050</v>
      </c>
      <c r="S1355" s="39" t="s">
        <v>5051</v>
      </c>
      <c r="T1355" s="70" t="s">
        <v>3736</v>
      </c>
      <c r="U1355" s="50" t="s">
        <v>399</v>
      </c>
      <c r="V1355" s="118" t="str">
        <f>+Agencia[[#This Row],[idcoleccion]]&amp;"-"&amp;Agencia[[#This Row],[id]]</f>
        <v>990-1344</v>
      </c>
      <c r="W1355" s="118">
        <f>+VLOOKUP(Agencia[[#This Row],[Filtro URL]],Estructura!$X$4:$Y$500,2,0)</f>
        <v>99200014</v>
      </c>
      <c r="X1355" s="118" t="str">
        <f>+VLOOKUP(Agencia[[#This Row],[tema]],Estructura!$A$4:$C$500,3,0)</f>
        <v>T-1050</v>
      </c>
      <c r="Y1355" s="118" t="str">
        <f>+VLOOKUP(Agencia[[#This Row],[contenido]],Estructura!$E$4:$G$500,3,0)</f>
        <v>C-1000</v>
      </c>
      <c r="Z1355" s="118" t="str">
        <f>+VLOOKUP(Agencia[[#This Row],[Filtro Integrado]],Estructura!$I$4:$K$500,3,0)</f>
        <v>FI-991</v>
      </c>
      <c r="AA1355" s="118" t="str">
        <f>+VLOOKUP(Agencia[[#This Row],[Muestra]],Estructura!$M$4:$O$500,3,0)</f>
        <v>M-1097</v>
      </c>
    </row>
    <row r="1356" spans="1:27" ht="72" x14ac:dyDescent="0.3">
      <c r="A1356" s="21" t="s">
        <v>4125</v>
      </c>
      <c r="B1356" s="24">
        <v>990</v>
      </c>
      <c r="C1356" s="25" t="s">
        <v>401</v>
      </c>
      <c r="D1356" s="10" t="s">
        <v>933</v>
      </c>
      <c r="E1356" s="19">
        <v>15</v>
      </c>
      <c r="F1356" s="10" t="s">
        <v>4040</v>
      </c>
      <c r="G1356" s="10" t="s">
        <v>933</v>
      </c>
      <c r="H1356" s="35" t="s">
        <v>16</v>
      </c>
      <c r="I1356" s="36" t="s">
        <v>382</v>
      </c>
      <c r="J1356" s="9" t="s">
        <v>18</v>
      </c>
      <c r="K1356" s="9" t="s">
        <v>4035</v>
      </c>
      <c r="L1356" s="9" t="s">
        <v>614</v>
      </c>
      <c r="M1356" s="9" t="s">
        <v>4036</v>
      </c>
      <c r="N1356" s="9" t="s">
        <v>935</v>
      </c>
      <c r="O1356" s="20" t="s">
        <v>5052</v>
      </c>
      <c r="P1356" s="20"/>
      <c r="Q1356" s="11" t="s">
        <v>3826</v>
      </c>
      <c r="R1356" s="20" t="s">
        <v>5053</v>
      </c>
      <c r="S1356" s="39" t="s">
        <v>5054</v>
      </c>
      <c r="T1356" s="70" t="s">
        <v>3730</v>
      </c>
      <c r="U1356" s="50" t="s">
        <v>399</v>
      </c>
      <c r="V1356" s="118" t="str">
        <f>+Agencia[[#This Row],[idcoleccion]]&amp;"-"&amp;Agencia[[#This Row],[id]]</f>
        <v>990-1345</v>
      </c>
      <c r="W1356" s="118">
        <f>+VLOOKUP(Agencia[[#This Row],[Filtro URL]],Estructura!$X$4:$Y$500,2,0)</f>
        <v>99200015</v>
      </c>
      <c r="X1356" s="118" t="str">
        <f>+VLOOKUP(Agencia[[#This Row],[tema]],Estructura!$A$4:$C$500,3,0)</f>
        <v>T-1050</v>
      </c>
      <c r="Y1356" s="118" t="str">
        <f>+VLOOKUP(Agencia[[#This Row],[contenido]],Estructura!$E$4:$G$500,3,0)</f>
        <v>C-1000</v>
      </c>
      <c r="Z1356" s="118" t="str">
        <f>+VLOOKUP(Agencia[[#This Row],[Filtro Integrado]],Estructura!$I$4:$K$500,3,0)</f>
        <v>FI-991</v>
      </c>
      <c r="AA1356" s="118" t="str">
        <f>+VLOOKUP(Agencia[[#This Row],[Muestra]],Estructura!$M$4:$O$500,3,0)</f>
        <v>M-1097</v>
      </c>
    </row>
    <row r="1357" spans="1:27" ht="72" x14ac:dyDescent="0.3">
      <c r="A1357" s="21" t="s">
        <v>4126</v>
      </c>
      <c r="B1357" s="24">
        <v>990</v>
      </c>
      <c r="C1357" s="25" t="s">
        <v>401</v>
      </c>
      <c r="D1357" s="10" t="s">
        <v>933</v>
      </c>
      <c r="E1357" s="19">
        <v>16</v>
      </c>
      <c r="F1357" s="10" t="s">
        <v>4040</v>
      </c>
      <c r="G1357" s="10" t="s">
        <v>933</v>
      </c>
      <c r="H1357" s="35" t="s">
        <v>16</v>
      </c>
      <c r="I1357" s="36" t="s">
        <v>383</v>
      </c>
      <c r="J1357" s="9" t="s">
        <v>18</v>
      </c>
      <c r="K1357" s="9" t="s">
        <v>4035</v>
      </c>
      <c r="L1357" s="9" t="s">
        <v>614</v>
      </c>
      <c r="M1357" s="9" t="s">
        <v>4036</v>
      </c>
      <c r="N1357" s="9" t="s">
        <v>935</v>
      </c>
      <c r="O1357" s="20" t="s">
        <v>5055</v>
      </c>
      <c r="P1357" s="20"/>
      <c r="Q1357" s="11" t="s">
        <v>3826</v>
      </c>
      <c r="R1357" s="20" t="s">
        <v>5056</v>
      </c>
      <c r="S1357" s="39" t="s">
        <v>5057</v>
      </c>
      <c r="T1357" s="70" t="s">
        <v>3739</v>
      </c>
      <c r="U1357" s="120" t="s">
        <v>399</v>
      </c>
      <c r="V1357" s="118" t="str">
        <f>+Agencia[[#This Row],[idcoleccion]]&amp;"-"&amp;Agencia[[#This Row],[id]]</f>
        <v>990-1346</v>
      </c>
      <c r="W1357" s="118">
        <f>+VLOOKUP(Agencia[[#This Row],[Filtro URL]],Estructura!$X$4:$Y$500,2,0)</f>
        <v>99200016</v>
      </c>
      <c r="X1357" s="118" t="str">
        <f>+VLOOKUP(Agencia[[#This Row],[tema]],Estructura!$A$4:$C$500,3,0)</f>
        <v>T-1050</v>
      </c>
      <c r="Y1357" s="118" t="str">
        <f>+VLOOKUP(Agencia[[#This Row],[contenido]],Estructura!$E$4:$G$500,3,0)</f>
        <v>C-1000</v>
      </c>
      <c r="Z1357" s="118" t="str">
        <f>+VLOOKUP(Agencia[[#This Row],[Filtro Integrado]],Estructura!$I$4:$K$500,3,0)</f>
        <v>FI-991</v>
      </c>
      <c r="AA1357" s="118" t="str">
        <f>+VLOOKUP(Agencia[[#This Row],[Muestra]],Estructura!$M$4:$O$500,3,0)</f>
        <v>M-1097</v>
      </c>
    </row>
    <row r="1358" spans="1:27" ht="71.400000000000006" x14ac:dyDescent="0.3">
      <c r="A1358" s="21" t="s">
        <v>4127</v>
      </c>
      <c r="B1358" s="24">
        <v>990</v>
      </c>
      <c r="C1358" s="25" t="s">
        <v>401</v>
      </c>
      <c r="D1358" s="10" t="s">
        <v>933</v>
      </c>
      <c r="E1358" s="14">
        <v>0</v>
      </c>
      <c r="F1358" s="10" t="s">
        <v>1521</v>
      </c>
      <c r="G1358" s="10" t="s">
        <v>933</v>
      </c>
      <c r="H1358" s="33" t="s">
        <v>20</v>
      </c>
      <c r="I1358" s="34" t="s">
        <v>15</v>
      </c>
      <c r="J1358" s="9" t="s">
        <v>404</v>
      </c>
      <c r="K1358" s="9" t="s">
        <v>4060</v>
      </c>
      <c r="L1358" s="9" t="s">
        <v>614</v>
      </c>
      <c r="M1358" s="9" t="s">
        <v>934</v>
      </c>
      <c r="N1358" s="9" t="s">
        <v>935</v>
      </c>
      <c r="O1358" s="20" t="s">
        <v>5058</v>
      </c>
      <c r="P1358" s="20" t="s">
        <v>4061</v>
      </c>
      <c r="Q1358" s="11" t="s">
        <v>584</v>
      </c>
      <c r="R1358" s="20" t="s">
        <v>5059</v>
      </c>
      <c r="S1358" s="39" t="s">
        <v>4062</v>
      </c>
      <c r="T1358" s="70">
        <v>0</v>
      </c>
      <c r="U1358" s="50" t="s">
        <v>399</v>
      </c>
      <c r="V1358" s="118" t="str">
        <f>+Agencia[[#This Row],[idcoleccion]]&amp;"-"&amp;Agencia[[#This Row],[id]]</f>
        <v>990-1347</v>
      </c>
      <c r="W1358" s="118">
        <f>+VLOOKUP(Agencia[[#This Row],[Filtro URL]],Estructura!$X$4:$Y$500,2,0)</f>
        <v>99100000</v>
      </c>
      <c r="X1358" s="118" t="str">
        <f>+VLOOKUP(Agencia[[#This Row],[tema]],Estructura!$A$4:$C$500,3,0)</f>
        <v>T-1041</v>
      </c>
      <c r="Y1358" s="118" t="str">
        <f>+VLOOKUP(Agencia[[#This Row],[contenido]],Estructura!$E$4:$G$500,3,0)</f>
        <v>C-1000</v>
      </c>
      <c r="Z1358" s="118" t="str">
        <f>+VLOOKUP(Agencia[[#This Row],[Filtro Integrado]],Estructura!$I$4:$K$500,3,0)</f>
        <v>FI-993</v>
      </c>
      <c r="AA1358" s="118" t="str">
        <f>+VLOOKUP(Agencia[[#This Row],[Muestra]],Estructura!$M$4:$O$500,3,0)</f>
        <v>M-1022</v>
      </c>
    </row>
    <row r="1359" spans="1:27" ht="30.6" x14ac:dyDescent="0.3">
      <c r="A1359" s="21" t="s">
        <v>4128</v>
      </c>
      <c r="B1359" s="24">
        <v>990</v>
      </c>
      <c r="C1359" s="25" t="s">
        <v>401</v>
      </c>
      <c r="D1359" s="10" t="s">
        <v>574</v>
      </c>
      <c r="E1359" s="14">
        <v>0</v>
      </c>
      <c r="F1359" s="10" t="s">
        <v>4064</v>
      </c>
      <c r="G1359" s="10" t="s">
        <v>3802</v>
      </c>
      <c r="H1359" s="33" t="s">
        <v>20</v>
      </c>
      <c r="I1359" s="34" t="s">
        <v>15</v>
      </c>
      <c r="J1359" s="9" t="s">
        <v>404</v>
      </c>
      <c r="K1359" s="9" t="s">
        <v>4065</v>
      </c>
      <c r="L1359" s="9" t="s">
        <v>614</v>
      </c>
      <c r="M1359" s="9" t="s">
        <v>4066</v>
      </c>
      <c r="N1359" s="9" t="s">
        <v>4067</v>
      </c>
      <c r="O1359" s="20" t="s">
        <v>5060</v>
      </c>
      <c r="P1359" s="20" t="s">
        <v>4068</v>
      </c>
      <c r="Q1359" s="11" t="s">
        <v>510</v>
      </c>
      <c r="R1359" s="20" t="s">
        <v>5061</v>
      </c>
      <c r="S1359" s="39" t="s">
        <v>4069</v>
      </c>
      <c r="T1359" s="70">
        <v>0</v>
      </c>
      <c r="U1359" s="50" t="s">
        <v>399</v>
      </c>
      <c r="V1359" s="118" t="str">
        <f>+Agencia[[#This Row],[idcoleccion]]&amp;"-"&amp;Agencia[[#This Row],[id]]</f>
        <v>990-1348</v>
      </c>
      <c r="W1359" s="118">
        <f>+VLOOKUP(Agencia[[#This Row],[Filtro URL]],Estructura!$X$4:$Y$500,2,0)</f>
        <v>99100000</v>
      </c>
      <c r="X1359" s="118" t="str">
        <f>+VLOOKUP(Agencia[[#This Row],[tema]],Estructura!$A$4:$C$500,3,0)</f>
        <v>T-1051</v>
      </c>
      <c r="Y1359" s="118" t="str">
        <f>+VLOOKUP(Agencia[[#This Row],[contenido]],Estructura!$E$4:$G$500,3,0)</f>
        <v>C-1013</v>
      </c>
      <c r="Z1359" s="118" t="str">
        <f>+VLOOKUP(Agencia[[#This Row],[Filtro Integrado]],Estructura!$I$4:$K$500,3,0)</f>
        <v>FI-993</v>
      </c>
      <c r="AA1359" s="118" t="str">
        <f>+VLOOKUP(Agencia[[#This Row],[Muestra]],Estructura!$M$4:$O$500,3,0)</f>
        <v>M-1098</v>
      </c>
    </row>
    <row r="1360" spans="1:27" ht="61.2" x14ac:dyDescent="0.3">
      <c r="A1360" s="21" t="s">
        <v>4129</v>
      </c>
      <c r="B1360" s="24">
        <v>990</v>
      </c>
      <c r="C1360" s="25" t="s">
        <v>401</v>
      </c>
      <c r="D1360" s="10" t="s">
        <v>574</v>
      </c>
      <c r="E1360" s="14">
        <v>0</v>
      </c>
      <c r="F1360" s="10" t="s">
        <v>4064</v>
      </c>
      <c r="G1360" s="10" t="s">
        <v>3802</v>
      </c>
      <c r="H1360" s="33" t="s">
        <v>20</v>
      </c>
      <c r="I1360" s="34" t="s">
        <v>15</v>
      </c>
      <c r="J1360" s="9" t="s">
        <v>16</v>
      </c>
      <c r="K1360" s="9" t="s">
        <v>4071</v>
      </c>
      <c r="L1360" s="9" t="s">
        <v>614</v>
      </c>
      <c r="M1360" s="9" t="s">
        <v>4066</v>
      </c>
      <c r="N1360" s="9" t="s">
        <v>4067</v>
      </c>
      <c r="O1360" s="20" t="s">
        <v>5062</v>
      </c>
      <c r="P1360" s="20" t="s">
        <v>4072</v>
      </c>
      <c r="Q1360" s="11" t="s">
        <v>3826</v>
      </c>
      <c r="R1360" s="20" t="s">
        <v>5063</v>
      </c>
      <c r="S1360" s="39" t="s">
        <v>4073</v>
      </c>
      <c r="T1360" s="70">
        <v>0</v>
      </c>
      <c r="U1360" s="50" t="s">
        <v>399</v>
      </c>
      <c r="V1360" s="118" t="str">
        <f>+Agencia[[#This Row],[idcoleccion]]&amp;"-"&amp;Agencia[[#This Row],[id]]</f>
        <v>990-1349</v>
      </c>
      <c r="W1360" s="118">
        <f>+VLOOKUP(Agencia[[#This Row],[Filtro URL]],Estructura!$X$4:$Y$500,2,0)</f>
        <v>99100000</v>
      </c>
      <c r="X1360" s="118" t="str">
        <f>+VLOOKUP(Agencia[[#This Row],[tema]],Estructura!$A$4:$C$500,3,0)</f>
        <v>T-1051</v>
      </c>
      <c r="Y1360" s="118" t="str">
        <f>+VLOOKUP(Agencia[[#This Row],[contenido]],Estructura!$E$4:$G$500,3,0)</f>
        <v>C-1013</v>
      </c>
      <c r="Z1360" s="118" t="str">
        <f>+VLOOKUP(Agencia[[#This Row],[Filtro Integrado]],Estructura!$I$4:$K$500,3,0)</f>
        <v>FI-992</v>
      </c>
      <c r="AA1360" s="118" t="str">
        <f>+VLOOKUP(Agencia[[#This Row],[Muestra]],Estructura!$M$4:$O$500,3,0)</f>
        <v>M-1099</v>
      </c>
    </row>
    <row r="1361" spans="1:27" ht="40.799999999999997" x14ac:dyDescent="0.3">
      <c r="A1361" s="21" t="s">
        <v>4130</v>
      </c>
      <c r="B1361" s="24">
        <v>990</v>
      </c>
      <c r="C1361" s="25" t="s">
        <v>401</v>
      </c>
      <c r="D1361" s="10" t="s">
        <v>574</v>
      </c>
      <c r="E1361" s="14">
        <v>0</v>
      </c>
      <c r="F1361" s="10" t="s">
        <v>4064</v>
      </c>
      <c r="G1361" s="10" t="s">
        <v>3802</v>
      </c>
      <c r="H1361" s="33" t="s">
        <v>20</v>
      </c>
      <c r="I1361" s="34" t="s">
        <v>15</v>
      </c>
      <c r="J1361" s="9" t="s">
        <v>1032</v>
      </c>
      <c r="K1361" s="9" t="s">
        <v>4075</v>
      </c>
      <c r="L1361" s="9" t="s">
        <v>614</v>
      </c>
      <c r="M1361" s="9" t="s">
        <v>4066</v>
      </c>
      <c r="N1361" s="9" t="s">
        <v>4067</v>
      </c>
      <c r="O1361" s="20" t="s">
        <v>5064</v>
      </c>
      <c r="P1361" s="20" t="s">
        <v>4076</v>
      </c>
      <c r="Q1361" s="11" t="s">
        <v>3826</v>
      </c>
      <c r="R1361" s="20" t="s">
        <v>5065</v>
      </c>
      <c r="S1361" s="39" t="s">
        <v>4077</v>
      </c>
      <c r="T1361" s="70" t="s">
        <v>1033</v>
      </c>
      <c r="U1361" s="50" t="s">
        <v>399</v>
      </c>
      <c r="V1361" s="118" t="str">
        <f>+Agencia[[#This Row],[idcoleccion]]&amp;"-"&amp;Agencia[[#This Row],[id]]</f>
        <v>990-1350</v>
      </c>
      <c r="W1361" s="118">
        <f>+VLOOKUP(Agencia[[#This Row],[Filtro URL]],Estructura!$X$4:$Y$500,2,0)</f>
        <v>99100000</v>
      </c>
      <c r="X1361" s="118" t="str">
        <f>+VLOOKUP(Agencia[[#This Row],[tema]],Estructura!$A$4:$C$500,3,0)</f>
        <v>T-1051</v>
      </c>
      <c r="Y1361" s="118" t="str">
        <f>+VLOOKUP(Agencia[[#This Row],[contenido]],Estructura!$E$4:$G$500,3,0)</f>
        <v>C-1013</v>
      </c>
      <c r="Z1361" s="118" t="str">
        <f>+VLOOKUP(Agencia[[#This Row],[Filtro Integrado]],Estructura!$I$4:$K$500,3,0)</f>
        <v>FI-994</v>
      </c>
      <c r="AA1361" s="118" t="str">
        <f>+VLOOKUP(Agencia[[#This Row],[Muestra]],Estructura!$M$4:$O$500,3,0)</f>
        <v>M-1100</v>
      </c>
    </row>
    <row r="1362" spans="1:27" ht="57.6" x14ac:dyDescent="0.3">
      <c r="A1362" s="21" t="s">
        <v>4131</v>
      </c>
      <c r="B1362" s="24">
        <v>990</v>
      </c>
      <c r="C1362" s="25" t="s">
        <v>401</v>
      </c>
      <c r="D1362" s="10" t="s">
        <v>574</v>
      </c>
      <c r="E1362" s="19">
        <v>1</v>
      </c>
      <c r="F1362" s="10" t="s">
        <v>4064</v>
      </c>
      <c r="G1362" s="10" t="s">
        <v>3802</v>
      </c>
      <c r="H1362" s="35" t="s">
        <v>16</v>
      </c>
      <c r="I1362" s="36" t="s">
        <v>368</v>
      </c>
      <c r="J1362" s="9" t="s">
        <v>16</v>
      </c>
      <c r="K1362" s="9" t="s">
        <v>4075</v>
      </c>
      <c r="L1362" s="9" t="s">
        <v>614</v>
      </c>
      <c r="M1362" s="9" t="s">
        <v>4066</v>
      </c>
      <c r="N1362" s="9" t="s">
        <v>4067</v>
      </c>
      <c r="O1362" s="20" t="s">
        <v>5066</v>
      </c>
      <c r="P1362" s="20"/>
      <c r="Q1362" s="11" t="s">
        <v>3826</v>
      </c>
      <c r="R1362" s="20" t="s">
        <v>5067</v>
      </c>
      <c r="S1362" s="39" t="s">
        <v>4541</v>
      </c>
      <c r="T1362" s="70" t="s">
        <v>3741</v>
      </c>
      <c r="U1362" s="50" t="s">
        <v>399</v>
      </c>
      <c r="V1362" s="118" t="str">
        <f>+Agencia[[#This Row],[idcoleccion]]&amp;"-"&amp;Agencia[[#This Row],[id]]</f>
        <v>990-1351</v>
      </c>
      <c r="W1362" s="118">
        <f>+VLOOKUP(Agencia[[#This Row],[Filtro URL]],Estructura!$X$4:$Y$500,2,0)</f>
        <v>99200001</v>
      </c>
      <c r="X1362" s="118" t="str">
        <f>+VLOOKUP(Agencia[[#This Row],[tema]],Estructura!$A$4:$C$500,3,0)</f>
        <v>T-1051</v>
      </c>
      <c r="Y1362" s="118" t="str">
        <f>+VLOOKUP(Agencia[[#This Row],[contenido]],Estructura!$E$4:$G$500,3,0)</f>
        <v>C-1013</v>
      </c>
      <c r="Z1362" s="118" t="str">
        <f>+VLOOKUP(Agencia[[#This Row],[Filtro Integrado]],Estructura!$I$4:$K$500,3,0)</f>
        <v>FI-992</v>
      </c>
      <c r="AA1362" s="118" t="str">
        <f>+VLOOKUP(Agencia[[#This Row],[Muestra]],Estructura!$M$4:$O$500,3,0)</f>
        <v>M-1100</v>
      </c>
    </row>
    <row r="1363" spans="1:27" ht="57.6" x14ac:dyDescent="0.3">
      <c r="A1363" s="21" t="s">
        <v>4132</v>
      </c>
      <c r="B1363" s="24">
        <v>990</v>
      </c>
      <c r="C1363" s="25" t="s">
        <v>401</v>
      </c>
      <c r="D1363" s="10" t="s">
        <v>574</v>
      </c>
      <c r="E1363" s="19">
        <v>2</v>
      </c>
      <c r="F1363" s="10" t="s">
        <v>4064</v>
      </c>
      <c r="G1363" s="10" t="s">
        <v>3802</v>
      </c>
      <c r="H1363" s="35" t="s">
        <v>16</v>
      </c>
      <c r="I1363" s="36" t="s">
        <v>369</v>
      </c>
      <c r="J1363" s="9" t="s">
        <v>16</v>
      </c>
      <c r="K1363" s="9" t="s">
        <v>4075</v>
      </c>
      <c r="L1363" s="9" t="s">
        <v>614</v>
      </c>
      <c r="M1363" s="9" t="s">
        <v>4066</v>
      </c>
      <c r="N1363" s="9" t="s">
        <v>4067</v>
      </c>
      <c r="O1363" s="20" t="s">
        <v>5068</v>
      </c>
      <c r="P1363" s="20"/>
      <c r="Q1363" s="11" t="s">
        <v>3826</v>
      </c>
      <c r="R1363" s="20" t="s">
        <v>5069</v>
      </c>
      <c r="S1363" s="39" t="s">
        <v>4542</v>
      </c>
      <c r="T1363" s="70" t="s">
        <v>3729</v>
      </c>
      <c r="U1363" s="120" t="s">
        <v>399</v>
      </c>
      <c r="V1363" s="118" t="str">
        <f>+Agencia[[#This Row],[idcoleccion]]&amp;"-"&amp;Agencia[[#This Row],[id]]</f>
        <v>990-1352</v>
      </c>
      <c r="W1363" s="118">
        <f>+VLOOKUP(Agencia[[#This Row],[Filtro URL]],Estructura!$X$4:$Y$500,2,0)</f>
        <v>99200002</v>
      </c>
      <c r="X1363" s="118" t="str">
        <f>+VLOOKUP(Agencia[[#This Row],[tema]],Estructura!$A$4:$C$500,3,0)</f>
        <v>T-1051</v>
      </c>
      <c r="Y1363" s="118" t="str">
        <f>+VLOOKUP(Agencia[[#This Row],[contenido]],Estructura!$E$4:$G$500,3,0)</f>
        <v>C-1013</v>
      </c>
      <c r="Z1363" s="118" t="str">
        <f>+VLOOKUP(Agencia[[#This Row],[Filtro Integrado]],Estructura!$I$4:$K$500,3,0)</f>
        <v>FI-992</v>
      </c>
      <c r="AA1363" s="118" t="str">
        <f>+VLOOKUP(Agencia[[#This Row],[Muestra]],Estructura!$M$4:$O$500,3,0)</f>
        <v>M-1100</v>
      </c>
    </row>
    <row r="1364" spans="1:27" ht="57.6" x14ac:dyDescent="0.3">
      <c r="A1364" s="21" t="s">
        <v>4133</v>
      </c>
      <c r="B1364" s="24">
        <v>990</v>
      </c>
      <c r="C1364" s="25" t="s">
        <v>401</v>
      </c>
      <c r="D1364" s="10" t="s">
        <v>574</v>
      </c>
      <c r="E1364" s="19">
        <v>3</v>
      </c>
      <c r="F1364" s="10" t="s">
        <v>4064</v>
      </c>
      <c r="G1364" s="10" t="s">
        <v>3802</v>
      </c>
      <c r="H1364" s="35" t="s">
        <v>16</v>
      </c>
      <c r="I1364" s="36" t="s">
        <v>370</v>
      </c>
      <c r="J1364" s="9" t="s">
        <v>16</v>
      </c>
      <c r="K1364" s="9" t="s">
        <v>4075</v>
      </c>
      <c r="L1364" s="9" t="s">
        <v>614</v>
      </c>
      <c r="M1364" s="9" t="s">
        <v>4066</v>
      </c>
      <c r="N1364" s="9" t="s">
        <v>4067</v>
      </c>
      <c r="O1364" s="20" t="s">
        <v>5070</v>
      </c>
      <c r="P1364" s="20"/>
      <c r="Q1364" s="11" t="s">
        <v>3826</v>
      </c>
      <c r="R1364" s="20" t="s">
        <v>5071</v>
      </c>
      <c r="S1364" s="39" t="s">
        <v>4543</v>
      </c>
      <c r="T1364" s="70" t="s">
        <v>3731</v>
      </c>
      <c r="U1364" s="50" t="s">
        <v>399</v>
      </c>
      <c r="V1364" s="118" t="str">
        <f>+Agencia[[#This Row],[idcoleccion]]&amp;"-"&amp;Agencia[[#This Row],[id]]</f>
        <v>990-1353</v>
      </c>
      <c r="W1364" s="118">
        <f>+VLOOKUP(Agencia[[#This Row],[Filtro URL]],Estructura!$X$4:$Y$500,2,0)</f>
        <v>99200003</v>
      </c>
      <c r="X1364" s="118" t="str">
        <f>+VLOOKUP(Agencia[[#This Row],[tema]],Estructura!$A$4:$C$500,3,0)</f>
        <v>T-1051</v>
      </c>
      <c r="Y1364" s="118" t="str">
        <f>+VLOOKUP(Agencia[[#This Row],[contenido]],Estructura!$E$4:$G$500,3,0)</f>
        <v>C-1013</v>
      </c>
      <c r="Z1364" s="118" t="str">
        <f>+VLOOKUP(Agencia[[#This Row],[Filtro Integrado]],Estructura!$I$4:$K$500,3,0)</f>
        <v>FI-992</v>
      </c>
      <c r="AA1364" s="118" t="str">
        <f>+VLOOKUP(Agencia[[#This Row],[Muestra]],Estructura!$M$4:$O$500,3,0)</f>
        <v>M-1100</v>
      </c>
    </row>
    <row r="1365" spans="1:27" ht="57.6" x14ac:dyDescent="0.3">
      <c r="A1365" s="21" t="s">
        <v>4134</v>
      </c>
      <c r="B1365" s="24">
        <v>990</v>
      </c>
      <c r="C1365" s="25" t="s">
        <v>401</v>
      </c>
      <c r="D1365" s="10" t="s">
        <v>574</v>
      </c>
      <c r="E1365" s="19">
        <v>4</v>
      </c>
      <c r="F1365" s="10" t="s">
        <v>4064</v>
      </c>
      <c r="G1365" s="10" t="s">
        <v>3802</v>
      </c>
      <c r="H1365" s="35" t="s">
        <v>16</v>
      </c>
      <c r="I1365" s="36" t="s">
        <v>371</v>
      </c>
      <c r="J1365" s="9" t="s">
        <v>16</v>
      </c>
      <c r="K1365" s="9" t="s">
        <v>4075</v>
      </c>
      <c r="L1365" s="9" t="s">
        <v>614</v>
      </c>
      <c r="M1365" s="9" t="s">
        <v>4066</v>
      </c>
      <c r="N1365" s="9" t="s">
        <v>4067</v>
      </c>
      <c r="O1365" s="20" t="s">
        <v>5072</v>
      </c>
      <c r="P1365" s="20"/>
      <c r="Q1365" s="11" t="s">
        <v>3826</v>
      </c>
      <c r="R1365" s="20" t="s">
        <v>5073</v>
      </c>
      <c r="S1365" s="39" t="s">
        <v>4544</v>
      </c>
      <c r="T1365" s="70" t="s">
        <v>3733</v>
      </c>
      <c r="U1365" s="50" t="s">
        <v>399</v>
      </c>
      <c r="V1365" s="118" t="str">
        <f>+Agencia[[#This Row],[idcoleccion]]&amp;"-"&amp;Agencia[[#This Row],[id]]</f>
        <v>990-1354</v>
      </c>
      <c r="W1365" s="118">
        <f>+VLOOKUP(Agencia[[#This Row],[Filtro URL]],Estructura!$X$4:$Y$500,2,0)</f>
        <v>99200004</v>
      </c>
      <c r="X1365" s="118" t="str">
        <f>+VLOOKUP(Agencia[[#This Row],[tema]],Estructura!$A$4:$C$500,3,0)</f>
        <v>T-1051</v>
      </c>
      <c r="Y1365" s="118" t="str">
        <f>+VLOOKUP(Agencia[[#This Row],[contenido]],Estructura!$E$4:$G$500,3,0)</f>
        <v>C-1013</v>
      </c>
      <c r="Z1365" s="118" t="str">
        <f>+VLOOKUP(Agencia[[#This Row],[Filtro Integrado]],Estructura!$I$4:$K$500,3,0)</f>
        <v>FI-992</v>
      </c>
      <c r="AA1365" s="118" t="str">
        <f>+VLOOKUP(Agencia[[#This Row],[Muestra]],Estructura!$M$4:$O$500,3,0)</f>
        <v>M-1100</v>
      </c>
    </row>
    <row r="1366" spans="1:27" ht="57.6" x14ac:dyDescent="0.3">
      <c r="A1366" s="21" t="s">
        <v>4138</v>
      </c>
      <c r="B1366" s="24">
        <v>990</v>
      </c>
      <c r="C1366" s="25" t="s">
        <v>401</v>
      </c>
      <c r="D1366" s="10" t="s">
        <v>574</v>
      </c>
      <c r="E1366" s="19">
        <v>5</v>
      </c>
      <c r="F1366" s="10" t="s">
        <v>4064</v>
      </c>
      <c r="G1366" s="10" t="s">
        <v>3802</v>
      </c>
      <c r="H1366" s="35" t="s">
        <v>16</v>
      </c>
      <c r="I1366" s="36" t="s">
        <v>372</v>
      </c>
      <c r="J1366" s="9" t="s">
        <v>16</v>
      </c>
      <c r="K1366" s="9" t="s">
        <v>4075</v>
      </c>
      <c r="L1366" s="9" t="s">
        <v>614</v>
      </c>
      <c r="M1366" s="9" t="s">
        <v>4066</v>
      </c>
      <c r="N1366" s="9" t="s">
        <v>4067</v>
      </c>
      <c r="O1366" s="20" t="s">
        <v>5074</v>
      </c>
      <c r="P1366" s="20"/>
      <c r="Q1366" s="11" t="s">
        <v>3826</v>
      </c>
      <c r="R1366" s="20" t="s">
        <v>5075</v>
      </c>
      <c r="S1366" s="39" t="s">
        <v>4545</v>
      </c>
      <c r="T1366" s="70" t="s">
        <v>3742</v>
      </c>
      <c r="U1366" s="120" t="s">
        <v>399</v>
      </c>
      <c r="V1366" s="118" t="str">
        <f>+Agencia[[#This Row],[idcoleccion]]&amp;"-"&amp;Agencia[[#This Row],[id]]</f>
        <v>990-1355</v>
      </c>
      <c r="W1366" s="118">
        <f>+VLOOKUP(Agencia[[#This Row],[Filtro URL]],Estructura!$X$4:$Y$500,2,0)</f>
        <v>99200005</v>
      </c>
      <c r="X1366" s="118" t="str">
        <f>+VLOOKUP(Agencia[[#This Row],[tema]],Estructura!$A$4:$C$500,3,0)</f>
        <v>T-1051</v>
      </c>
      <c r="Y1366" s="118" t="str">
        <f>+VLOOKUP(Agencia[[#This Row],[contenido]],Estructura!$E$4:$G$500,3,0)</f>
        <v>C-1013</v>
      </c>
      <c r="Z1366" s="118" t="str">
        <f>+VLOOKUP(Agencia[[#This Row],[Filtro Integrado]],Estructura!$I$4:$K$500,3,0)</f>
        <v>FI-992</v>
      </c>
      <c r="AA1366" s="118" t="str">
        <f>+VLOOKUP(Agencia[[#This Row],[Muestra]],Estructura!$M$4:$O$500,3,0)</f>
        <v>M-1100</v>
      </c>
    </row>
    <row r="1367" spans="1:27" ht="57.6" x14ac:dyDescent="0.3">
      <c r="A1367" s="21" t="s">
        <v>4139</v>
      </c>
      <c r="B1367" s="24">
        <v>990</v>
      </c>
      <c r="C1367" s="25" t="s">
        <v>401</v>
      </c>
      <c r="D1367" s="10" t="s">
        <v>574</v>
      </c>
      <c r="E1367" s="19">
        <v>6</v>
      </c>
      <c r="F1367" s="10" t="s">
        <v>4064</v>
      </c>
      <c r="G1367" s="10" t="s">
        <v>3802</v>
      </c>
      <c r="H1367" s="35" t="s">
        <v>16</v>
      </c>
      <c r="I1367" s="36" t="s">
        <v>373</v>
      </c>
      <c r="J1367" s="9" t="s">
        <v>16</v>
      </c>
      <c r="K1367" s="9" t="s">
        <v>4075</v>
      </c>
      <c r="L1367" s="9" t="s">
        <v>614</v>
      </c>
      <c r="M1367" s="9" t="s">
        <v>4066</v>
      </c>
      <c r="N1367" s="9" t="s">
        <v>4067</v>
      </c>
      <c r="O1367" s="20" t="s">
        <v>5076</v>
      </c>
      <c r="P1367" s="20"/>
      <c r="Q1367" s="11" t="s">
        <v>3826</v>
      </c>
      <c r="R1367" s="20" t="s">
        <v>5077</v>
      </c>
      <c r="S1367" s="39" t="s">
        <v>4546</v>
      </c>
      <c r="T1367" s="70" t="s">
        <v>3740</v>
      </c>
      <c r="U1367" s="50" t="s">
        <v>399</v>
      </c>
      <c r="V1367" s="118" t="str">
        <f>+Agencia[[#This Row],[idcoleccion]]&amp;"-"&amp;Agencia[[#This Row],[id]]</f>
        <v>990-1356</v>
      </c>
      <c r="W1367" s="118">
        <f>+VLOOKUP(Agencia[[#This Row],[Filtro URL]],Estructura!$X$4:$Y$500,2,0)</f>
        <v>99200006</v>
      </c>
      <c r="X1367" s="118" t="str">
        <f>+VLOOKUP(Agencia[[#This Row],[tema]],Estructura!$A$4:$C$500,3,0)</f>
        <v>T-1051</v>
      </c>
      <c r="Y1367" s="118" t="str">
        <f>+VLOOKUP(Agencia[[#This Row],[contenido]],Estructura!$E$4:$G$500,3,0)</f>
        <v>C-1013</v>
      </c>
      <c r="Z1367" s="118" t="str">
        <f>+VLOOKUP(Agencia[[#This Row],[Filtro Integrado]],Estructura!$I$4:$K$500,3,0)</f>
        <v>FI-992</v>
      </c>
      <c r="AA1367" s="118" t="str">
        <f>+VLOOKUP(Agencia[[#This Row],[Muestra]],Estructura!$M$4:$O$500,3,0)</f>
        <v>M-1100</v>
      </c>
    </row>
    <row r="1368" spans="1:27" ht="57.6" x14ac:dyDescent="0.3">
      <c r="A1368" s="21" t="s">
        <v>4140</v>
      </c>
      <c r="B1368" s="24">
        <v>990</v>
      </c>
      <c r="C1368" s="25" t="s">
        <v>401</v>
      </c>
      <c r="D1368" s="10" t="s">
        <v>574</v>
      </c>
      <c r="E1368" s="19">
        <v>7</v>
      </c>
      <c r="F1368" s="10" t="s">
        <v>4064</v>
      </c>
      <c r="G1368" s="10" t="s">
        <v>3802</v>
      </c>
      <c r="H1368" s="35" t="s">
        <v>16</v>
      </c>
      <c r="I1368" s="36" t="s">
        <v>374</v>
      </c>
      <c r="J1368" s="9" t="s">
        <v>16</v>
      </c>
      <c r="K1368" s="9" t="s">
        <v>4075</v>
      </c>
      <c r="L1368" s="9" t="s">
        <v>614</v>
      </c>
      <c r="M1368" s="9" t="s">
        <v>4066</v>
      </c>
      <c r="N1368" s="9" t="s">
        <v>4067</v>
      </c>
      <c r="O1368" s="20" t="s">
        <v>5078</v>
      </c>
      <c r="P1368" s="20"/>
      <c r="Q1368" s="11" t="s">
        <v>3826</v>
      </c>
      <c r="R1368" s="20" t="s">
        <v>5079</v>
      </c>
      <c r="S1368" s="39" t="s">
        <v>4547</v>
      </c>
      <c r="T1368" s="70" t="s">
        <v>3738</v>
      </c>
      <c r="U1368" s="50" t="s">
        <v>399</v>
      </c>
      <c r="V1368" s="118" t="str">
        <f>+Agencia[[#This Row],[idcoleccion]]&amp;"-"&amp;Agencia[[#This Row],[id]]</f>
        <v>990-1357</v>
      </c>
      <c r="W1368" s="118">
        <f>+VLOOKUP(Agencia[[#This Row],[Filtro URL]],Estructura!$X$4:$Y$500,2,0)</f>
        <v>99200007</v>
      </c>
      <c r="X1368" s="118" t="str">
        <f>+VLOOKUP(Agencia[[#This Row],[tema]],Estructura!$A$4:$C$500,3,0)</f>
        <v>T-1051</v>
      </c>
      <c r="Y1368" s="118" t="str">
        <f>+VLOOKUP(Agencia[[#This Row],[contenido]],Estructura!$E$4:$G$500,3,0)</f>
        <v>C-1013</v>
      </c>
      <c r="Z1368" s="118" t="str">
        <f>+VLOOKUP(Agencia[[#This Row],[Filtro Integrado]],Estructura!$I$4:$K$500,3,0)</f>
        <v>FI-992</v>
      </c>
      <c r="AA1368" s="118" t="str">
        <f>+VLOOKUP(Agencia[[#This Row],[Muestra]],Estructura!$M$4:$O$500,3,0)</f>
        <v>M-1100</v>
      </c>
    </row>
    <row r="1369" spans="1:27" ht="57.6" x14ac:dyDescent="0.3">
      <c r="A1369" s="21" t="s">
        <v>4141</v>
      </c>
      <c r="B1369" s="24">
        <v>990</v>
      </c>
      <c r="C1369" s="25" t="s">
        <v>401</v>
      </c>
      <c r="D1369" s="10" t="s">
        <v>574</v>
      </c>
      <c r="E1369" s="19">
        <v>8</v>
      </c>
      <c r="F1369" s="10" t="s">
        <v>4064</v>
      </c>
      <c r="G1369" s="10" t="s">
        <v>3802</v>
      </c>
      <c r="H1369" s="35" t="s">
        <v>16</v>
      </c>
      <c r="I1369" s="36" t="s">
        <v>375</v>
      </c>
      <c r="J1369" s="9" t="s">
        <v>16</v>
      </c>
      <c r="K1369" s="9" t="s">
        <v>4075</v>
      </c>
      <c r="L1369" s="9" t="s">
        <v>614</v>
      </c>
      <c r="M1369" s="9" t="s">
        <v>4066</v>
      </c>
      <c r="N1369" s="9" t="s">
        <v>4067</v>
      </c>
      <c r="O1369" s="20" t="s">
        <v>5080</v>
      </c>
      <c r="P1369" s="20"/>
      <c r="Q1369" s="11" t="s">
        <v>3826</v>
      </c>
      <c r="R1369" s="20" t="s">
        <v>5081</v>
      </c>
      <c r="S1369" s="39" t="s">
        <v>4548</v>
      </c>
      <c r="T1369" s="70" t="s">
        <v>3743</v>
      </c>
      <c r="U1369" s="120" t="s">
        <v>399</v>
      </c>
      <c r="V1369" s="118" t="str">
        <f>+Agencia[[#This Row],[idcoleccion]]&amp;"-"&amp;Agencia[[#This Row],[id]]</f>
        <v>990-1358</v>
      </c>
      <c r="W1369" s="118">
        <f>+VLOOKUP(Agencia[[#This Row],[Filtro URL]],Estructura!$X$4:$Y$500,2,0)</f>
        <v>99200008</v>
      </c>
      <c r="X1369" s="118" t="str">
        <f>+VLOOKUP(Agencia[[#This Row],[tema]],Estructura!$A$4:$C$500,3,0)</f>
        <v>T-1051</v>
      </c>
      <c r="Y1369" s="118" t="str">
        <f>+VLOOKUP(Agencia[[#This Row],[contenido]],Estructura!$E$4:$G$500,3,0)</f>
        <v>C-1013</v>
      </c>
      <c r="Z1369" s="118" t="str">
        <f>+VLOOKUP(Agencia[[#This Row],[Filtro Integrado]],Estructura!$I$4:$K$500,3,0)</f>
        <v>FI-992</v>
      </c>
      <c r="AA1369" s="118" t="str">
        <f>+VLOOKUP(Agencia[[#This Row],[Muestra]],Estructura!$M$4:$O$500,3,0)</f>
        <v>M-1100</v>
      </c>
    </row>
    <row r="1370" spans="1:27" ht="57.6" x14ac:dyDescent="0.3">
      <c r="A1370" s="21" t="s">
        <v>4142</v>
      </c>
      <c r="B1370" s="24">
        <v>990</v>
      </c>
      <c r="C1370" s="25" t="s">
        <v>401</v>
      </c>
      <c r="D1370" s="10" t="s">
        <v>574</v>
      </c>
      <c r="E1370" s="19">
        <v>9</v>
      </c>
      <c r="F1370" s="10" t="s">
        <v>4064</v>
      </c>
      <c r="G1370" s="10" t="s">
        <v>3802</v>
      </c>
      <c r="H1370" s="35" t="s">
        <v>16</v>
      </c>
      <c r="I1370" s="36" t="s">
        <v>376</v>
      </c>
      <c r="J1370" s="9" t="s">
        <v>16</v>
      </c>
      <c r="K1370" s="9" t="s">
        <v>4075</v>
      </c>
      <c r="L1370" s="9" t="s">
        <v>614</v>
      </c>
      <c r="M1370" s="9" t="s">
        <v>4066</v>
      </c>
      <c r="N1370" s="9" t="s">
        <v>4067</v>
      </c>
      <c r="O1370" s="20" t="s">
        <v>5082</v>
      </c>
      <c r="P1370" s="20"/>
      <c r="Q1370" s="11" t="s">
        <v>3826</v>
      </c>
      <c r="R1370" s="20" t="s">
        <v>5083</v>
      </c>
      <c r="S1370" s="39" t="s">
        <v>4549</v>
      </c>
      <c r="T1370" s="70" t="s">
        <v>3734</v>
      </c>
      <c r="U1370" s="50" t="s">
        <v>399</v>
      </c>
      <c r="V1370" s="118" t="str">
        <f>+Agencia[[#This Row],[idcoleccion]]&amp;"-"&amp;Agencia[[#This Row],[id]]</f>
        <v>990-1359</v>
      </c>
      <c r="W1370" s="118">
        <f>+VLOOKUP(Agencia[[#This Row],[Filtro URL]],Estructura!$X$4:$Y$500,2,0)</f>
        <v>99200009</v>
      </c>
      <c r="X1370" s="118" t="str">
        <f>+VLOOKUP(Agencia[[#This Row],[tema]],Estructura!$A$4:$C$500,3,0)</f>
        <v>T-1051</v>
      </c>
      <c r="Y1370" s="118" t="str">
        <f>+VLOOKUP(Agencia[[#This Row],[contenido]],Estructura!$E$4:$G$500,3,0)</f>
        <v>C-1013</v>
      </c>
      <c r="Z1370" s="118" t="str">
        <f>+VLOOKUP(Agencia[[#This Row],[Filtro Integrado]],Estructura!$I$4:$K$500,3,0)</f>
        <v>FI-992</v>
      </c>
      <c r="AA1370" s="118" t="str">
        <f>+VLOOKUP(Agencia[[#This Row],[Muestra]],Estructura!$M$4:$O$500,3,0)</f>
        <v>M-1100</v>
      </c>
    </row>
    <row r="1371" spans="1:27" ht="57.6" x14ac:dyDescent="0.3">
      <c r="A1371" s="21" t="s">
        <v>4143</v>
      </c>
      <c r="B1371" s="24">
        <v>990</v>
      </c>
      <c r="C1371" s="25" t="s">
        <v>401</v>
      </c>
      <c r="D1371" s="10" t="s">
        <v>574</v>
      </c>
      <c r="E1371" s="19">
        <v>10</v>
      </c>
      <c r="F1371" s="10" t="s">
        <v>4064</v>
      </c>
      <c r="G1371" s="10" t="s">
        <v>3802</v>
      </c>
      <c r="H1371" s="35" t="s">
        <v>16</v>
      </c>
      <c r="I1371" s="36" t="s">
        <v>377</v>
      </c>
      <c r="J1371" s="9" t="s">
        <v>16</v>
      </c>
      <c r="K1371" s="9" t="s">
        <v>4075</v>
      </c>
      <c r="L1371" s="9" t="s">
        <v>614</v>
      </c>
      <c r="M1371" s="9" t="s">
        <v>4066</v>
      </c>
      <c r="N1371" s="9" t="s">
        <v>4067</v>
      </c>
      <c r="O1371" s="20" t="s">
        <v>5084</v>
      </c>
      <c r="P1371" s="20"/>
      <c r="Q1371" s="11" t="s">
        <v>3826</v>
      </c>
      <c r="R1371" s="20" t="s">
        <v>5085</v>
      </c>
      <c r="S1371" s="39" t="s">
        <v>4550</v>
      </c>
      <c r="T1371" s="70" t="s">
        <v>3735</v>
      </c>
      <c r="U1371" s="50" t="s">
        <v>399</v>
      </c>
      <c r="V1371" s="118" t="str">
        <f>+Agencia[[#This Row],[idcoleccion]]&amp;"-"&amp;Agencia[[#This Row],[id]]</f>
        <v>990-1360</v>
      </c>
      <c r="W1371" s="118">
        <f>+VLOOKUP(Agencia[[#This Row],[Filtro URL]],Estructura!$X$4:$Y$500,2,0)</f>
        <v>99200010</v>
      </c>
      <c r="X1371" s="118" t="str">
        <f>+VLOOKUP(Agencia[[#This Row],[tema]],Estructura!$A$4:$C$500,3,0)</f>
        <v>T-1051</v>
      </c>
      <c r="Y1371" s="118" t="str">
        <f>+VLOOKUP(Agencia[[#This Row],[contenido]],Estructura!$E$4:$G$500,3,0)</f>
        <v>C-1013</v>
      </c>
      <c r="Z1371" s="118" t="str">
        <f>+VLOOKUP(Agencia[[#This Row],[Filtro Integrado]],Estructura!$I$4:$K$500,3,0)</f>
        <v>FI-992</v>
      </c>
      <c r="AA1371" s="118" t="str">
        <f>+VLOOKUP(Agencia[[#This Row],[Muestra]],Estructura!$M$4:$O$500,3,0)</f>
        <v>M-1100</v>
      </c>
    </row>
    <row r="1372" spans="1:27" ht="57.6" x14ac:dyDescent="0.3">
      <c r="A1372" s="21" t="s">
        <v>4144</v>
      </c>
      <c r="B1372" s="24">
        <v>990</v>
      </c>
      <c r="C1372" s="25" t="s">
        <v>401</v>
      </c>
      <c r="D1372" s="10" t="s">
        <v>574</v>
      </c>
      <c r="E1372" s="19">
        <v>11</v>
      </c>
      <c r="F1372" s="10" t="s">
        <v>4064</v>
      </c>
      <c r="G1372" s="10" t="s">
        <v>3802</v>
      </c>
      <c r="H1372" s="35" t="s">
        <v>16</v>
      </c>
      <c r="I1372" s="36" t="s">
        <v>378</v>
      </c>
      <c r="J1372" s="9" t="s">
        <v>16</v>
      </c>
      <c r="K1372" s="9" t="s">
        <v>4075</v>
      </c>
      <c r="L1372" s="9" t="s">
        <v>614</v>
      </c>
      <c r="M1372" s="9" t="s">
        <v>4066</v>
      </c>
      <c r="N1372" s="9" t="s">
        <v>4067</v>
      </c>
      <c r="O1372" s="20" t="s">
        <v>5086</v>
      </c>
      <c r="P1372" s="20"/>
      <c r="Q1372" s="11" t="s">
        <v>3826</v>
      </c>
      <c r="R1372" s="20" t="s">
        <v>5087</v>
      </c>
      <c r="S1372" s="39" t="s">
        <v>4551</v>
      </c>
      <c r="T1372" s="70" t="s">
        <v>3732</v>
      </c>
      <c r="U1372" s="120" t="s">
        <v>399</v>
      </c>
      <c r="V1372" s="118" t="str">
        <f>+Agencia[[#This Row],[idcoleccion]]&amp;"-"&amp;Agencia[[#This Row],[id]]</f>
        <v>990-1361</v>
      </c>
      <c r="W1372" s="118">
        <f>+VLOOKUP(Agencia[[#This Row],[Filtro URL]],Estructura!$X$4:$Y$500,2,0)</f>
        <v>99200011</v>
      </c>
      <c r="X1372" s="118" t="str">
        <f>+VLOOKUP(Agencia[[#This Row],[tema]],Estructura!$A$4:$C$500,3,0)</f>
        <v>T-1051</v>
      </c>
      <c r="Y1372" s="118" t="str">
        <f>+VLOOKUP(Agencia[[#This Row],[contenido]],Estructura!$E$4:$G$500,3,0)</f>
        <v>C-1013</v>
      </c>
      <c r="Z1372" s="118" t="str">
        <f>+VLOOKUP(Agencia[[#This Row],[Filtro Integrado]],Estructura!$I$4:$K$500,3,0)</f>
        <v>FI-992</v>
      </c>
      <c r="AA1372" s="118" t="str">
        <f>+VLOOKUP(Agencia[[#This Row],[Muestra]],Estructura!$M$4:$O$500,3,0)</f>
        <v>M-1100</v>
      </c>
    </row>
    <row r="1373" spans="1:27" ht="57.6" x14ac:dyDescent="0.3">
      <c r="A1373" s="21" t="s">
        <v>4145</v>
      </c>
      <c r="B1373" s="24">
        <v>990</v>
      </c>
      <c r="C1373" s="25" t="s">
        <v>401</v>
      </c>
      <c r="D1373" s="10" t="s">
        <v>574</v>
      </c>
      <c r="E1373" s="19">
        <v>12</v>
      </c>
      <c r="F1373" s="10" t="s">
        <v>4064</v>
      </c>
      <c r="G1373" s="10" t="s">
        <v>3802</v>
      </c>
      <c r="H1373" s="35" t="s">
        <v>16</v>
      </c>
      <c r="I1373" s="36" t="s">
        <v>379</v>
      </c>
      <c r="J1373" s="9" t="s">
        <v>16</v>
      </c>
      <c r="K1373" s="9" t="s">
        <v>4075</v>
      </c>
      <c r="L1373" s="9" t="s">
        <v>614</v>
      </c>
      <c r="M1373" s="9" t="s">
        <v>4066</v>
      </c>
      <c r="N1373" s="9" t="s">
        <v>4067</v>
      </c>
      <c r="O1373" s="20" t="s">
        <v>5088</v>
      </c>
      <c r="P1373" s="20"/>
      <c r="Q1373" s="11" t="s">
        <v>3826</v>
      </c>
      <c r="R1373" s="20" t="s">
        <v>5089</v>
      </c>
      <c r="S1373" s="39" t="s">
        <v>5090</v>
      </c>
      <c r="T1373" s="70" t="s">
        <v>3737</v>
      </c>
      <c r="U1373" s="50" t="s">
        <v>399</v>
      </c>
      <c r="V1373" s="118" t="str">
        <f>+Agencia[[#This Row],[idcoleccion]]&amp;"-"&amp;Agencia[[#This Row],[id]]</f>
        <v>990-1362</v>
      </c>
      <c r="W1373" s="118">
        <f>+VLOOKUP(Agencia[[#This Row],[Filtro URL]],Estructura!$X$4:$Y$500,2,0)</f>
        <v>99200012</v>
      </c>
      <c r="X1373" s="118" t="str">
        <f>+VLOOKUP(Agencia[[#This Row],[tema]],Estructura!$A$4:$C$500,3,0)</f>
        <v>T-1051</v>
      </c>
      <c r="Y1373" s="118" t="str">
        <f>+VLOOKUP(Agencia[[#This Row],[contenido]],Estructura!$E$4:$G$500,3,0)</f>
        <v>C-1013</v>
      </c>
      <c r="Z1373" s="118" t="str">
        <f>+VLOOKUP(Agencia[[#This Row],[Filtro Integrado]],Estructura!$I$4:$K$500,3,0)</f>
        <v>FI-992</v>
      </c>
      <c r="AA1373" s="118" t="str">
        <f>+VLOOKUP(Agencia[[#This Row],[Muestra]],Estructura!$M$4:$O$500,3,0)</f>
        <v>M-1100</v>
      </c>
    </row>
    <row r="1374" spans="1:27" ht="57.6" x14ac:dyDescent="0.3">
      <c r="A1374" s="21" t="s">
        <v>4146</v>
      </c>
      <c r="B1374" s="24">
        <v>990</v>
      </c>
      <c r="C1374" s="25" t="s">
        <v>401</v>
      </c>
      <c r="D1374" s="10" t="s">
        <v>574</v>
      </c>
      <c r="E1374" s="19">
        <v>13</v>
      </c>
      <c r="F1374" s="10" t="s">
        <v>4064</v>
      </c>
      <c r="G1374" s="10" t="s">
        <v>3802</v>
      </c>
      <c r="H1374" s="35" t="s">
        <v>16</v>
      </c>
      <c r="I1374" s="36" t="s">
        <v>380</v>
      </c>
      <c r="J1374" s="9" t="s">
        <v>16</v>
      </c>
      <c r="K1374" s="9" t="s">
        <v>4075</v>
      </c>
      <c r="L1374" s="9" t="s">
        <v>614</v>
      </c>
      <c r="M1374" s="9" t="s">
        <v>4066</v>
      </c>
      <c r="N1374" s="9" t="s">
        <v>4067</v>
      </c>
      <c r="O1374" s="20" t="s">
        <v>5091</v>
      </c>
      <c r="P1374" s="20"/>
      <c r="Q1374" s="11" t="s">
        <v>3826</v>
      </c>
      <c r="R1374" s="20" t="s">
        <v>5092</v>
      </c>
      <c r="S1374" s="39" t="s">
        <v>5093</v>
      </c>
      <c r="T1374" s="70" t="s">
        <v>3744</v>
      </c>
      <c r="U1374" s="50" t="s">
        <v>399</v>
      </c>
      <c r="V1374" s="118" t="str">
        <f>+Agencia[[#This Row],[idcoleccion]]&amp;"-"&amp;Agencia[[#This Row],[id]]</f>
        <v>990-1363</v>
      </c>
      <c r="W1374" s="118">
        <f>+VLOOKUP(Agencia[[#This Row],[Filtro URL]],Estructura!$X$4:$Y$500,2,0)</f>
        <v>99200013</v>
      </c>
      <c r="X1374" s="118" t="str">
        <f>+VLOOKUP(Agencia[[#This Row],[tema]],Estructura!$A$4:$C$500,3,0)</f>
        <v>T-1051</v>
      </c>
      <c r="Y1374" s="118" t="str">
        <f>+VLOOKUP(Agencia[[#This Row],[contenido]],Estructura!$E$4:$G$500,3,0)</f>
        <v>C-1013</v>
      </c>
      <c r="Z1374" s="118" t="str">
        <f>+VLOOKUP(Agencia[[#This Row],[Filtro Integrado]],Estructura!$I$4:$K$500,3,0)</f>
        <v>FI-992</v>
      </c>
      <c r="AA1374" s="118" t="str">
        <f>+VLOOKUP(Agencia[[#This Row],[Muestra]],Estructura!$M$4:$O$500,3,0)</f>
        <v>M-1100</v>
      </c>
    </row>
    <row r="1375" spans="1:27" ht="57.6" x14ac:dyDescent="0.3">
      <c r="A1375" s="21" t="s">
        <v>4147</v>
      </c>
      <c r="B1375" s="24">
        <v>990</v>
      </c>
      <c r="C1375" s="25" t="s">
        <v>401</v>
      </c>
      <c r="D1375" s="10" t="s">
        <v>574</v>
      </c>
      <c r="E1375" s="19">
        <v>14</v>
      </c>
      <c r="F1375" s="10" t="s">
        <v>4064</v>
      </c>
      <c r="G1375" s="10" t="s">
        <v>3802</v>
      </c>
      <c r="H1375" s="35" t="s">
        <v>16</v>
      </c>
      <c r="I1375" s="36" t="s">
        <v>381</v>
      </c>
      <c r="J1375" s="9" t="s">
        <v>16</v>
      </c>
      <c r="K1375" s="9" t="s">
        <v>4075</v>
      </c>
      <c r="L1375" s="9" t="s">
        <v>614</v>
      </c>
      <c r="M1375" s="9" t="s">
        <v>4066</v>
      </c>
      <c r="N1375" s="9" t="s">
        <v>4067</v>
      </c>
      <c r="O1375" s="20" t="s">
        <v>5094</v>
      </c>
      <c r="P1375" s="20"/>
      <c r="Q1375" s="11" t="s">
        <v>3826</v>
      </c>
      <c r="R1375" s="20" t="s">
        <v>5095</v>
      </c>
      <c r="S1375" s="39" t="s">
        <v>5096</v>
      </c>
      <c r="T1375" s="70" t="s">
        <v>3736</v>
      </c>
      <c r="U1375" s="120" t="s">
        <v>399</v>
      </c>
      <c r="V1375" s="118" t="str">
        <f>+Agencia[[#This Row],[idcoleccion]]&amp;"-"&amp;Agencia[[#This Row],[id]]</f>
        <v>990-1364</v>
      </c>
      <c r="W1375" s="118">
        <f>+VLOOKUP(Agencia[[#This Row],[Filtro URL]],Estructura!$X$4:$Y$500,2,0)</f>
        <v>99200014</v>
      </c>
      <c r="X1375" s="118" t="str">
        <f>+VLOOKUP(Agencia[[#This Row],[tema]],Estructura!$A$4:$C$500,3,0)</f>
        <v>T-1051</v>
      </c>
      <c r="Y1375" s="118" t="str">
        <f>+VLOOKUP(Agencia[[#This Row],[contenido]],Estructura!$E$4:$G$500,3,0)</f>
        <v>C-1013</v>
      </c>
      <c r="Z1375" s="118" t="str">
        <f>+VLOOKUP(Agencia[[#This Row],[Filtro Integrado]],Estructura!$I$4:$K$500,3,0)</f>
        <v>FI-992</v>
      </c>
      <c r="AA1375" s="118" t="str">
        <f>+VLOOKUP(Agencia[[#This Row],[Muestra]],Estructura!$M$4:$O$500,3,0)</f>
        <v>M-1100</v>
      </c>
    </row>
    <row r="1376" spans="1:27" ht="57.6" x14ac:dyDescent="0.3">
      <c r="A1376" s="21" t="s">
        <v>4148</v>
      </c>
      <c r="B1376" s="24">
        <v>990</v>
      </c>
      <c r="C1376" s="25" t="s">
        <v>401</v>
      </c>
      <c r="D1376" s="10" t="s">
        <v>574</v>
      </c>
      <c r="E1376" s="19">
        <v>15</v>
      </c>
      <c r="F1376" s="10" t="s">
        <v>4064</v>
      </c>
      <c r="G1376" s="10" t="s">
        <v>3802</v>
      </c>
      <c r="H1376" s="35" t="s">
        <v>16</v>
      </c>
      <c r="I1376" s="36" t="s">
        <v>382</v>
      </c>
      <c r="J1376" s="9" t="s">
        <v>16</v>
      </c>
      <c r="K1376" s="9" t="s">
        <v>4075</v>
      </c>
      <c r="L1376" s="9" t="s">
        <v>614</v>
      </c>
      <c r="M1376" s="9" t="s">
        <v>4066</v>
      </c>
      <c r="N1376" s="9" t="s">
        <v>4067</v>
      </c>
      <c r="O1376" s="20" t="s">
        <v>5097</v>
      </c>
      <c r="P1376" s="20"/>
      <c r="Q1376" s="11" t="s">
        <v>3826</v>
      </c>
      <c r="R1376" s="20" t="s">
        <v>5098</v>
      </c>
      <c r="S1376" s="39" t="s">
        <v>5099</v>
      </c>
      <c r="T1376" s="70" t="s">
        <v>3730</v>
      </c>
      <c r="U1376" s="50" t="s">
        <v>399</v>
      </c>
      <c r="V1376" s="118" t="str">
        <f>+Agencia[[#This Row],[idcoleccion]]&amp;"-"&amp;Agencia[[#This Row],[id]]</f>
        <v>990-1365</v>
      </c>
      <c r="W1376" s="118">
        <f>+VLOOKUP(Agencia[[#This Row],[Filtro URL]],Estructura!$X$4:$Y$500,2,0)</f>
        <v>99200015</v>
      </c>
      <c r="X1376" s="118" t="str">
        <f>+VLOOKUP(Agencia[[#This Row],[tema]],Estructura!$A$4:$C$500,3,0)</f>
        <v>T-1051</v>
      </c>
      <c r="Y1376" s="118" t="str">
        <f>+VLOOKUP(Agencia[[#This Row],[contenido]],Estructura!$E$4:$G$500,3,0)</f>
        <v>C-1013</v>
      </c>
      <c r="Z1376" s="118" t="str">
        <f>+VLOOKUP(Agencia[[#This Row],[Filtro Integrado]],Estructura!$I$4:$K$500,3,0)</f>
        <v>FI-992</v>
      </c>
      <c r="AA1376" s="118" t="str">
        <f>+VLOOKUP(Agencia[[#This Row],[Muestra]],Estructura!$M$4:$O$500,3,0)</f>
        <v>M-1100</v>
      </c>
    </row>
    <row r="1377" spans="1:27" ht="57.6" x14ac:dyDescent="0.3">
      <c r="A1377" s="21" t="s">
        <v>4149</v>
      </c>
      <c r="B1377" s="24">
        <v>990</v>
      </c>
      <c r="C1377" s="25" t="s">
        <v>401</v>
      </c>
      <c r="D1377" s="10" t="s">
        <v>574</v>
      </c>
      <c r="E1377" s="19">
        <v>16</v>
      </c>
      <c r="F1377" s="10" t="s">
        <v>4064</v>
      </c>
      <c r="G1377" s="10" t="s">
        <v>3802</v>
      </c>
      <c r="H1377" s="35" t="s">
        <v>16</v>
      </c>
      <c r="I1377" s="36" t="s">
        <v>383</v>
      </c>
      <c r="J1377" s="9" t="s">
        <v>16</v>
      </c>
      <c r="K1377" s="9" t="s">
        <v>4075</v>
      </c>
      <c r="L1377" s="9" t="s">
        <v>614</v>
      </c>
      <c r="M1377" s="9" t="s">
        <v>4066</v>
      </c>
      <c r="N1377" s="9" t="s">
        <v>4067</v>
      </c>
      <c r="O1377" s="20" t="s">
        <v>5100</v>
      </c>
      <c r="P1377" s="20"/>
      <c r="Q1377" s="11" t="s">
        <v>3826</v>
      </c>
      <c r="R1377" s="20" t="s">
        <v>5101</v>
      </c>
      <c r="S1377" s="39" t="s">
        <v>5102</v>
      </c>
      <c r="T1377" s="70" t="s">
        <v>3739</v>
      </c>
      <c r="U1377" s="50" t="s">
        <v>399</v>
      </c>
      <c r="V1377" s="118" t="str">
        <f>+Agencia[[#This Row],[idcoleccion]]&amp;"-"&amp;Agencia[[#This Row],[id]]</f>
        <v>990-1366</v>
      </c>
      <c r="W1377" s="118">
        <f>+VLOOKUP(Agencia[[#This Row],[Filtro URL]],Estructura!$X$4:$Y$500,2,0)</f>
        <v>99200016</v>
      </c>
      <c r="X1377" s="118" t="str">
        <f>+VLOOKUP(Agencia[[#This Row],[tema]],Estructura!$A$4:$C$500,3,0)</f>
        <v>T-1051</v>
      </c>
      <c r="Y1377" s="118" t="str">
        <f>+VLOOKUP(Agencia[[#This Row],[contenido]],Estructura!$E$4:$G$500,3,0)</f>
        <v>C-1013</v>
      </c>
      <c r="Z1377" s="118" t="str">
        <f>+VLOOKUP(Agencia[[#This Row],[Filtro Integrado]],Estructura!$I$4:$K$500,3,0)</f>
        <v>FI-992</v>
      </c>
      <c r="AA1377" s="118" t="str">
        <f>+VLOOKUP(Agencia[[#This Row],[Muestra]],Estructura!$M$4:$O$500,3,0)</f>
        <v>M-1100</v>
      </c>
    </row>
    <row r="1378" spans="1:27" ht="81.599999999999994" x14ac:dyDescent="0.3">
      <c r="A1378" s="21" t="s">
        <v>4150</v>
      </c>
      <c r="B1378" s="24">
        <v>990</v>
      </c>
      <c r="C1378" s="25" t="s">
        <v>401</v>
      </c>
      <c r="D1378" s="10" t="s">
        <v>574</v>
      </c>
      <c r="E1378" s="14">
        <v>0</v>
      </c>
      <c r="F1378" s="10" t="s">
        <v>4064</v>
      </c>
      <c r="G1378" s="10" t="s">
        <v>3802</v>
      </c>
      <c r="H1378" s="33" t="s">
        <v>20</v>
      </c>
      <c r="I1378" s="34" t="s">
        <v>15</v>
      </c>
      <c r="J1378" s="9" t="s">
        <v>16</v>
      </c>
      <c r="K1378" s="9" t="s">
        <v>4095</v>
      </c>
      <c r="L1378" s="9" t="s">
        <v>614</v>
      </c>
      <c r="M1378" s="9" t="s">
        <v>4066</v>
      </c>
      <c r="N1378" s="9" t="s">
        <v>4067</v>
      </c>
      <c r="O1378" s="20" t="s">
        <v>5103</v>
      </c>
      <c r="P1378" s="20" t="s">
        <v>4096</v>
      </c>
      <c r="Q1378" s="11" t="s">
        <v>3826</v>
      </c>
      <c r="R1378" s="20" t="s">
        <v>5104</v>
      </c>
      <c r="S1378" s="39" t="s">
        <v>4097</v>
      </c>
      <c r="T1378" s="70">
        <v>0</v>
      </c>
      <c r="U1378" s="120" t="s">
        <v>399</v>
      </c>
      <c r="V1378" s="118" t="str">
        <f>+Agencia[[#This Row],[idcoleccion]]&amp;"-"&amp;Agencia[[#This Row],[id]]</f>
        <v>990-1367</v>
      </c>
      <c r="W1378" s="118">
        <f>+VLOOKUP(Agencia[[#This Row],[Filtro URL]],Estructura!$X$4:$Y$500,2,0)</f>
        <v>99100000</v>
      </c>
      <c r="X1378" s="118" t="str">
        <f>+VLOOKUP(Agencia[[#This Row],[tema]],Estructura!$A$4:$C$500,3,0)</f>
        <v>T-1051</v>
      </c>
      <c r="Y1378" s="118" t="str">
        <f>+VLOOKUP(Agencia[[#This Row],[contenido]],Estructura!$E$4:$G$500,3,0)</f>
        <v>C-1013</v>
      </c>
      <c r="Z1378" s="118" t="str">
        <f>+VLOOKUP(Agencia[[#This Row],[Filtro Integrado]],Estructura!$I$4:$K$500,3,0)</f>
        <v>FI-992</v>
      </c>
      <c r="AA1378" s="118" t="str">
        <f>+VLOOKUP(Agencia[[#This Row],[Muestra]],Estructura!$M$4:$O$500,3,0)</f>
        <v>M-1101</v>
      </c>
    </row>
    <row r="1379" spans="1:27" ht="57.6" x14ac:dyDescent="0.3">
      <c r="A1379" s="21" t="s">
        <v>4151</v>
      </c>
      <c r="B1379" s="24">
        <v>990</v>
      </c>
      <c r="C1379" s="25" t="s">
        <v>401</v>
      </c>
      <c r="D1379" s="10" t="s">
        <v>881</v>
      </c>
      <c r="E1379" s="14">
        <v>0</v>
      </c>
      <c r="F1379" s="10" t="s">
        <v>579</v>
      </c>
      <c r="G1379" s="10" t="s">
        <v>4099</v>
      </c>
      <c r="H1379" s="33" t="s">
        <v>20</v>
      </c>
      <c r="I1379" s="34" t="s">
        <v>15</v>
      </c>
      <c r="J1379" s="9" t="s">
        <v>4100</v>
      </c>
      <c r="K1379" s="9" t="s">
        <v>4101</v>
      </c>
      <c r="L1379" s="9" t="s">
        <v>1551</v>
      </c>
      <c r="M1379" s="9" t="s">
        <v>928</v>
      </c>
      <c r="N1379" s="9" t="s">
        <v>582</v>
      </c>
      <c r="O1379" s="20" t="s">
        <v>5105</v>
      </c>
      <c r="P1379" s="20" t="s">
        <v>4103</v>
      </c>
      <c r="Q1379" s="11" t="s">
        <v>821</v>
      </c>
      <c r="R1379" s="20" t="s">
        <v>8335</v>
      </c>
      <c r="S1379" s="39" t="s">
        <v>4104</v>
      </c>
      <c r="T1379" s="70">
        <v>0</v>
      </c>
      <c r="U1379" s="50" t="s">
        <v>399</v>
      </c>
      <c r="V1379" s="118" t="str">
        <f>+Agencia[[#This Row],[idcoleccion]]&amp;"-"&amp;Agencia[[#This Row],[id]]</f>
        <v>990-1368</v>
      </c>
      <c r="W1379" s="118">
        <f>+VLOOKUP(Agencia[[#This Row],[Filtro URL]],Estructura!$X$4:$Y$500,2,0)</f>
        <v>99100000</v>
      </c>
      <c r="X1379" s="118" t="str">
        <f>+VLOOKUP(Agencia[[#This Row],[tema]],Estructura!$A$4:$C$500,3,0)</f>
        <v>T-1031</v>
      </c>
      <c r="Y1379" s="118" t="str">
        <f>+VLOOKUP(Agencia[[#This Row],[contenido]],Estructura!$E$4:$G$500,3,0)</f>
        <v>C-1014</v>
      </c>
      <c r="Z1379" s="118" t="str">
        <f>+VLOOKUP(Agencia[[#This Row],[Filtro Integrado]],Estructura!$I$4:$K$500,3,0)</f>
        <v>FI-1006</v>
      </c>
      <c r="AA1379" s="118" t="str">
        <f>+VLOOKUP(Agencia[[#This Row],[Muestra]],Estructura!$M$4:$O$500,3,0)</f>
        <v>M-1102</v>
      </c>
    </row>
    <row r="1380" spans="1:27" ht="51" x14ac:dyDescent="0.3">
      <c r="A1380" s="21" t="s">
        <v>4152</v>
      </c>
      <c r="B1380" s="24">
        <v>990</v>
      </c>
      <c r="C1380" s="25" t="s">
        <v>401</v>
      </c>
      <c r="D1380" s="10" t="s">
        <v>881</v>
      </c>
      <c r="E1380" s="14">
        <v>0</v>
      </c>
      <c r="F1380" s="10" t="s">
        <v>579</v>
      </c>
      <c r="G1380" s="10" t="s">
        <v>4099</v>
      </c>
      <c r="H1380" s="33" t="s">
        <v>20</v>
      </c>
      <c r="I1380" s="34" t="s">
        <v>15</v>
      </c>
      <c r="J1380" s="9" t="s">
        <v>4106</v>
      </c>
      <c r="K1380" s="9" t="s">
        <v>4107</v>
      </c>
      <c r="L1380" s="9" t="s">
        <v>4108</v>
      </c>
      <c r="M1380" s="9" t="s">
        <v>928</v>
      </c>
      <c r="N1380" s="9" t="s">
        <v>582</v>
      </c>
      <c r="O1380" s="20" t="s">
        <v>5106</v>
      </c>
      <c r="P1380" s="20" t="s">
        <v>4109</v>
      </c>
      <c r="Q1380" s="11" t="s">
        <v>821</v>
      </c>
      <c r="R1380" s="20" t="s">
        <v>5107</v>
      </c>
      <c r="S1380" s="39" t="s">
        <v>4110</v>
      </c>
      <c r="T1380" s="70">
        <v>0</v>
      </c>
      <c r="U1380" s="50" t="s">
        <v>399</v>
      </c>
      <c r="V1380" s="118" t="str">
        <f>+Agencia[[#This Row],[idcoleccion]]&amp;"-"&amp;Agencia[[#This Row],[id]]</f>
        <v>990-1369</v>
      </c>
      <c r="W1380" s="118">
        <f>+VLOOKUP(Agencia[[#This Row],[Filtro URL]],Estructura!$X$4:$Y$500,2,0)</f>
        <v>99100000</v>
      </c>
      <c r="X1380" s="118" t="str">
        <f>+VLOOKUP(Agencia[[#This Row],[tema]],Estructura!$A$4:$C$500,3,0)</f>
        <v>T-1031</v>
      </c>
      <c r="Y1380" s="118" t="str">
        <f>+VLOOKUP(Agencia[[#This Row],[contenido]],Estructura!$E$4:$G$500,3,0)</f>
        <v>C-1014</v>
      </c>
      <c r="Z1380" s="118" t="str">
        <f>+VLOOKUP(Agencia[[#This Row],[Filtro Integrado]],Estructura!$I$4:$K$500,3,0)</f>
        <v>FI-1007</v>
      </c>
      <c r="AA1380" s="118" t="str">
        <f>+VLOOKUP(Agencia[[#This Row],[Muestra]],Estructura!$M$4:$O$500,3,0)</f>
        <v>M-1103</v>
      </c>
    </row>
    <row r="1381" spans="1:27" ht="61.2" x14ac:dyDescent="0.3">
      <c r="A1381" s="21" t="s">
        <v>4153</v>
      </c>
      <c r="B1381" s="24">
        <v>990</v>
      </c>
      <c r="C1381" s="25" t="s">
        <v>401</v>
      </c>
      <c r="D1381" s="10" t="s">
        <v>881</v>
      </c>
      <c r="E1381" s="14">
        <v>0</v>
      </c>
      <c r="F1381" s="10" t="s">
        <v>1010</v>
      </c>
      <c r="G1381" s="10" t="s">
        <v>4099</v>
      </c>
      <c r="H1381" s="33" t="s">
        <v>20</v>
      </c>
      <c r="I1381" s="34" t="s">
        <v>15</v>
      </c>
      <c r="J1381" s="9" t="s">
        <v>404</v>
      </c>
      <c r="K1381" s="9" t="s">
        <v>4112</v>
      </c>
      <c r="L1381" s="9" t="s">
        <v>614</v>
      </c>
      <c r="M1381" s="9" t="s">
        <v>928</v>
      </c>
      <c r="N1381" s="9" t="s">
        <v>582</v>
      </c>
      <c r="O1381" s="20" t="s">
        <v>5108</v>
      </c>
      <c r="P1381" s="20" t="s">
        <v>4113</v>
      </c>
      <c r="Q1381" s="11" t="s">
        <v>3826</v>
      </c>
      <c r="R1381" s="20" t="s">
        <v>5109</v>
      </c>
      <c r="S1381" s="57" t="s">
        <v>4114</v>
      </c>
      <c r="T1381" s="70">
        <v>0</v>
      </c>
      <c r="U1381" s="50" t="s">
        <v>399</v>
      </c>
      <c r="V1381" s="118" t="str">
        <f>+Agencia[[#This Row],[idcoleccion]]&amp;"-"&amp;Agencia[[#This Row],[id]]</f>
        <v>990-1370</v>
      </c>
      <c r="W1381" s="118">
        <f>+VLOOKUP(Agencia[[#This Row],[Filtro URL]],Estructura!$X$4:$Y$500,2,0)</f>
        <v>99100000</v>
      </c>
      <c r="X1381" s="118" t="str">
        <f>+VLOOKUP(Agencia[[#This Row],[tema]],Estructura!$A$4:$C$500,3,0)</f>
        <v>T-1042</v>
      </c>
      <c r="Y1381" s="118" t="str">
        <f>+VLOOKUP(Agencia[[#This Row],[contenido]],Estructura!$E$4:$G$500,3,0)</f>
        <v>C-1014</v>
      </c>
      <c r="Z1381" s="118" t="str">
        <f>+VLOOKUP(Agencia[[#This Row],[Filtro Integrado]],Estructura!$I$4:$K$500,3,0)</f>
        <v>FI-993</v>
      </c>
      <c r="AA1381" s="118" t="str">
        <f>+VLOOKUP(Agencia[[#This Row],[Muestra]],Estructura!$M$4:$O$500,3,0)</f>
        <v>M-1104</v>
      </c>
    </row>
    <row r="1382" spans="1:27" ht="61.2" x14ac:dyDescent="0.3">
      <c r="A1382" s="21" t="s">
        <v>4157</v>
      </c>
      <c r="B1382" s="24">
        <v>990</v>
      </c>
      <c r="C1382" s="25" t="s">
        <v>401</v>
      </c>
      <c r="D1382" s="10" t="s">
        <v>881</v>
      </c>
      <c r="E1382" s="14">
        <v>0</v>
      </c>
      <c r="F1382" s="10" t="s">
        <v>1010</v>
      </c>
      <c r="G1382" s="10" t="s">
        <v>4099</v>
      </c>
      <c r="H1382" s="33" t="s">
        <v>20</v>
      </c>
      <c r="I1382" s="34" t="s">
        <v>15</v>
      </c>
      <c r="J1382" s="9" t="s">
        <v>16</v>
      </c>
      <c r="K1382" s="9" t="s">
        <v>4116</v>
      </c>
      <c r="L1382" s="9" t="s">
        <v>4108</v>
      </c>
      <c r="M1382" s="9" t="s">
        <v>5292</v>
      </c>
      <c r="N1382" s="9" t="s">
        <v>582</v>
      </c>
      <c r="O1382" s="20" t="s">
        <v>4552</v>
      </c>
      <c r="P1382" s="20" t="s">
        <v>4117</v>
      </c>
      <c r="Q1382" s="11" t="s">
        <v>821</v>
      </c>
      <c r="R1382" s="20" t="s">
        <v>5110</v>
      </c>
      <c r="S1382" s="39" t="s">
        <v>4118</v>
      </c>
      <c r="T1382" s="70" t="s">
        <v>855</v>
      </c>
      <c r="U1382" s="50" t="s">
        <v>399</v>
      </c>
      <c r="V1382" s="118" t="str">
        <f>+Agencia[[#This Row],[idcoleccion]]&amp;"-"&amp;Agencia[[#This Row],[id]]</f>
        <v>990-1371</v>
      </c>
      <c r="W1382" s="118">
        <f>+VLOOKUP(Agencia[[#This Row],[Filtro URL]],Estructura!$X$4:$Y$500,2,0)</f>
        <v>99100000</v>
      </c>
      <c r="X1382" s="118" t="str">
        <f>+VLOOKUP(Agencia[[#This Row],[tema]],Estructura!$A$4:$C$500,3,0)</f>
        <v>T-1042</v>
      </c>
      <c r="Y1382" s="118" t="str">
        <f>+VLOOKUP(Agencia[[#This Row],[contenido]],Estructura!$E$4:$G$500,3,0)</f>
        <v>C-1014</v>
      </c>
      <c r="Z1382" s="118" t="str">
        <f>+VLOOKUP(Agencia[[#This Row],[Filtro Integrado]],Estructura!$I$4:$K$500,3,0)</f>
        <v>FI-992</v>
      </c>
      <c r="AA1382" s="118" t="str">
        <f>+VLOOKUP(Agencia[[#This Row],[Muestra]],Estructura!$M$4:$O$500,3,0)</f>
        <v>M-1105</v>
      </c>
    </row>
    <row r="1383" spans="1:27" ht="72" x14ac:dyDescent="0.3">
      <c r="A1383" s="21" t="s">
        <v>4162</v>
      </c>
      <c r="B1383" s="24">
        <v>990</v>
      </c>
      <c r="C1383" s="25" t="s">
        <v>401</v>
      </c>
      <c r="D1383" s="10" t="s">
        <v>881</v>
      </c>
      <c r="E1383" s="19">
        <v>1</v>
      </c>
      <c r="F1383" s="10" t="s">
        <v>1010</v>
      </c>
      <c r="G1383" s="10" t="s">
        <v>4099</v>
      </c>
      <c r="H1383" s="35" t="s">
        <v>16</v>
      </c>
      <c r="I1383" s="36" t="s">
        <v>368</v>
      </c>
      <c r="J1383" s="9" t="s">
        <v>404</v>
      </c>
      <c r="K1383" s="9" t="s">
        <v>4116</v>
      </c>
      <c r="L1383" s="9" t="s">
        <v>4108</v>
      </c>
      <c r="M1383" s="9" t="s">
        <v>5292</v>
      </c>
      <c r="N1383" s="9" t="s">
        <v>582</v>
      </c>
      <c r="O1383" s="20" t="s">
        <v>4553</v>
      </c>
      <c r="P1383" s="20"/>
      <c r="Q1383" s="11" t="s">
        <v>821</v>
      </c>
      <c r="R1383" s="20" t="s">
        <v>5111</v>
      </c>
      <c r="S1383" s="39" t="s">
        <v>4554</v>
      </c>
      <c r="T1383" s="70" t="s">
        <v>3757</v>
      </c>
      <c r="U1383" s="50" t="s">
        <v>399</v>
      </c>
      <c r="V1383" s="118" t="str">
        <f>+Agencia[[#This Row],[idcoleccion]]&amp;"-"&amp;Agencia[[#This Row],[id]]</f>
        <v>990-1372</v>
      </c>
      <c r="W1383" s="118">
        <f>+VLOOKUP(Agencia[[#This Row],[Filtro URL]],Estructura!$X$4:$Y$500,2,0)</f>
        <v>99200001</v>
      </c>
      <c r="X1383" s="118" t="str">
        <f>+VLOOKUP(Agencia[[#This Row],[tema]],Estructura!$A$4:$C$500,3,0)</f>
        <v>T-1042</v>
      </c>
      <c r="Y1383" s="118" t="str">
        <f>+VLOOKUP(Agencia[[#This Row],[contenido]],Estructura!$E$4:$G$500,3,0)</f>
        <v>C-1014</v>
      </c>
      <c r="Z1383" s="118" t="str">
        <f>+VLOOKUP(Agencia[[#This Row],[Filtro Integrado]],Estructura!$I$4:$K$500,3,0)</f>
        <v>FI-993</v>
      </c>
      <c r="AA1383" s="118" t="str">
        <f>+VLOOKUP(Agencia[[#This Row],[Muestra]],Estructura!$M$4:$O$500,3,0)</f>
        <v>M-1105</v>
      </c>
    </row>
    <row r="1384" spans="1:27" ht="72" x14ac:dyDescent="0.3">
      <c r="A1384" s="21" t="s">
        <v>4163</v>
      </c>
      <c r="B1384" s="24">
        <v>990</v>
      </c>
      <c r="C1384" s="25" t="s">
        <v>401</v>
      </c>
      <c r="D1384" s="10" t="s">
        <v>881</v>
      </c>
      <c r="E1384" s="19">
        <v>2</v>
      </c>
      <c r="F1384" s="10" t="s">
        <v>1010</v>
      </c>
      <c r="G1384" s="10" t="s">
        <v>4099</v>
      </c>
      <c r="H1384" s="35" t="s">
        <v>16</v>
      </c>
      <c r="I1384" s="36" t="s">
        <v>369</v>
      </c>
      <c r="J1384" s="9" t="s">
        <v>404</v>
      </c>
      <c r="K1384" s="9" t="s">
        <v>4116</v>
      </c>
      <c r="L1384" s="9" t="s">
        <v>4108</v>
      </c>
      <c r="M1384" s="9" t="s">
        <v>5292</v>
      </c>
      <c r="N1384" s="9" t="s">
        <v>582</v>
      </c>
      <c r="O1384" s="20" t="s">
        <v>4555</v>
      </c>
      <c r="P1384" s="20"/>
      <c r="Q1384" s="11" t="s">
        <v>821</v>
      </c>
      <c r="R1384" s="20" t="s">
        <v>5112</v>
      </c>
      <c r="S1384" s="39" t="s">
        <v>4556</v>
      </c>
      <c r="T1384" s="70" t="s">
        <v>3745</v>
      </c>
      <c r="U1384" s="50" t="s">
        <v>399</v>
      </c>
      <c r="V1384" s="118" t="str">
        <f>+Agencia[[#This Row],[idcoleccion]]&amp;"-"&amp;Agencia[[#This Row],[id]]</f>
        <v>990-1373</v>
      </c>
      <c r="W1384" s="118">
        <f>+VLOOKUP(Agencia[[#This Row],[Filtro URL]],Estructura!$X$4:$Y$500,2,0)</f>
        <v>99200002</v>
      </c>
      <c r="X1384" s="118" t="str">
        <f>+VLOOKUP(Agencia[[#This Row],[tema]],Estructura!$A$4:$C$500,3,0)</f>
        <v>T-1042</v>
      </c>
      <c r="Y1384" s="118" t="str">
        <f>+VLOOKUP(Agencia[[#This Row],[contenido]],Estructura!$E$4:$G$500,3,0)</f>
        <v>C-1014</v>
      </c>
      <c r="Z1384" s="118" t="str">
        <f>+VLOOKUP(Agencia[[#This Row],[Filtro Integrado]],Estructura!$I$4:$K$500,3,0)</f>
        <v>FI-993</v>
      </c>
      <c r="AA1384" s="118" t="str">
        <f>+VLOOKUP(Agencia[[#This Row],[Muestra]],Estructura!$M$4:$O$500,3,0)</f>
        <v>M-1105</v>
      </c>
    </row>
    <row r="1385" spans="1:27" ht="72" x14ac:dyDescent="0.3">
      <c r="A1385" s="21" t="s">
        <v>4164</v>
      </c>
      <c r="B1385" s="24">
        <v>990</v>
      </c>
      <c r="C1385" s="25" t="s">
        <v>401</v>
      </c>
      <c r="D1385" s="10" t="s">
        <v>881</v>
      </c>
      <c r="E1385" s="19">
        <v>3</v>
      </c>
      <c r="F1385" s="10" t="s">
        <v>1010</v>
      </c>
      <c r="G1385" s="10" t="s">
        <v>4099</v>
      </c>
      <c r="H1385" s="35" t="s">
        <v>16</v>
      </c>
      <c r="I1385" s="36" t="s">
        <v>370</v>
      </c>
      <c r="J1385" s="9" t="s">
        <v>404</v>
      </c>
      <c r="K1385" s="9" t="s">
        <v>4116</v>
      </c>
      <c r="L1385" s="9" t="s">
        <v>4108</v>
      </c>
      <c r="M1385" s="9" t="s">
        <v>5292</v>
      </c>
      <c r="N1385" s="9" t="s">
        <v>582</v>
      </c>
      <c r="O1385" s="20" t="s">
        <v>4557</v>
      </c>
      <c r="P1385" s="20"/>
      <c r="Q1385" s="11" t="s">
        <v>821</v>
      </c>
      <c r="R1385" s="20" t="s">
        <v>5113</v>
      </c>
      <c r="S1385" s="39" t="s">
        <v>4558</v>
      </c>
      <c r="T1385" s="70" t="s">
        <v>3747</v>
      </c>
      <c r="U1385" s="50" t="s">
        <v>399</v>
      </c>
      <c r="V1385" s="118" t="str">
        <f>+Agencia[[#This Row],[idcoleccion]]&amp;"-"&amp;Agencia[[#This Row],[id]]</f>
        <v>990-1374</v>
      </c>
      <c r="W1385" s="118">
        <f>+VLOOKUP(Agencia[[#This Row],[Filtro URL]],Estructura!$X$4:$Y$500,2,0)</f>
        <v>99200003</v>
      </c>
      <c r="X1385" s="118" t="str">
        <f>+VLOOKUP(Agencia[[#This Row],[tema]],Estructura!$A$4:$C$500,3,0)</f>
        <v>T-1042</v>
      </c>
      <c r="Y1385" s="118" t="str">
        <f>+VLOOKUP(Agencia[[#This Row],[contenido]],Estructura!$E$4:$G$500,3,0)</f>
        <v>C-1014</v>
      </c>
      <c r="Z1385" s="118" t="str">
        <f>+VLOOKUP(Agencia[[#This Row],[Filtro Integrado]],Estructura!$I$4:$K$500,3,0)</f>
        <v>FI-993</v>
      </c>
      <c r="AA1385" s="118" t="str">
        <f>+VLOOKUP(Agencia[[#This Row],[Muestra]],Estructura!$M$4:$O$500,3,0)</f>
        <v>M-1105</v>
      </c>
    </row>
    <row r="1386" spans="1:27" ht="72" x14ac:dyDescent="0.3">
      <c r="A1386" s="21" t="s">
        <v>4165</v>
      </c>
      <c r="B1386" s="24">
        <v>990</v>
      </c>
      <c r="C1386" s="25" t="s">
        <v>401</v>
      </c>
      <c r="D1386" s="10" t="s">
        <v>881</v>
      </c>
      <c r="E1386" s="19">
        <v>4</v>
      </c>
      <c r="F1386" s="10" t="s">
        <v>1010</v>
      </c>
      <c r="G1386" s="10" t="s">
        <v>4099</v>
      </c>
      <c r="H1386" s="35" t="s">
        <v>16</v>
      </c>
      <c r="I1386" s="36" t="s">
        <v>371</v>
      </c>
      <c r="J1386" s="9" t="s">
        <v>404</v>
      </c>
      <c r="K1386" s="9" t="s">
        <v>4116</v>
      </c>
      <c r="L1386" s="9" t="s">
        <v>4108</v>
      </c>
      <c r="M1386" s="9" t="s">
        <v>5292</v>
      </c>
      <c r="N1386" s="9" t="s">
        <v>582</v>
      </c>
      <c r="O1386" s="20" t="s">
        <v>4559</v>
      </c>
      <c r="P1386" s="20"/>
      <c r="Q1386" s="11" t="s">
        <v>821</v>
      </c>
      <c r="R1386" s="20" t="s">
        <v>5114</v>
      </c>
      <c r="S1386" s="39" t="s">
        <v>4560</v>
      </c>
      <c r="T1386" s="70" t="s">
        <v>3749</v>
      </c>
      <c r="U1386" s="50" t="s">
        <v>399</v>
      </c>
      <c r="V1386" s="118" t="str">
        <f>+Agencia[[#This Row],[idcoleccion]]&amp;"-"&amp;Agencia[[#This Row],[id]]</f>
        <v>990-1375</v>
      </c>
      <c r="W1386" s="118">
        <f>+VLOOKUP(Agencia[[#This Row],[Filtro URL]],Estructura!$X$4:$Y$500,2,0)</f>
        <v>99200004</v>
      </c>
      <c r="X1386" s="118" t="str">
        <f>+VLOOKUP(Agencia[[#This Row],[tema]],Estructura!$A$4:$C$500,3,0)</f>
        <v>T-1042</v>
      </c>
      <c r="Y1386" s="118" t="str">
        <f>+VLOOKUP(Agencia[[#This Row],[contenido]],Estructura!$E$4:$G$500,3,0)</f>
        <v>C-1014</v>
      </c>
      <c r="Z1386" s="118" t="str">
        <f>+VLOOKUP(Agencia[[#This Row],[Filtro Integrado]],Estructura!$I$4:$K$500,3,0)</f>
        <v>FI-993</v>
      </c>
      <c r="AA1386" s="118" t="str">
        <f>+VLOOKUP(Agencia[[#This Row],[Muestra]],Estructura!$M$4:$O$500,3,0)</f>
        <v>M-1105</v>
      </c>
    </row>
    <row r="1387" spans="1:27" ht="72" x14ac:dyDescent="0.3">
      <c r="A1387" s="21" t="s">
        <v>4166</v>
      </c>
      <c r="B1387" s="24">
        <v>990</v>
      </c>
      <c r="C1387" s="25" t="s">
        <v>401</v>
      </c>
      <c r="D1387" s="10" t="s">
        <v>881</v>
      </c>
      <c r="E1387" s="19">
        <v>5</v>
      </c>
      <c r="F1387" s="10" t="s">
        <v>1010</v>
      </c>
      <c r="G1387" s="10" t="s">
        <v>4099</v>
      </c>
      <c r="H1387" s="35" t="s">
        <v>16</v>
      </c>
      <c r="I1387" s="36" t="s">
        <v>372</v>
      </c>
      <c r="J1387" s="9" t="s">
        <v>404</v>
      </c>
      <c r="K1387" s="9" t="s">
        <v>4116</v>
      </c>
      <c r="L1387" s="9" t="s">
        <v>4108</v>
      </c>
      <c r="M1387" s="9" t="s">
        <v>5292</v>
      </c>
      <c r="N1387" s="9" t="s">
        <v>582</v>
      </c>
      <c r="O1387" s="20" t="s">
        <v>4561</v>
      </c>
      <c r="P1387" s="20"/>
      <c r="Q1387" s="11" t="s">
        <v>821</v>
      </c>
      <c r="R1387" s="20" t="s">
        <v>5115</v>
      </c>
      <c r="S1387" s="39" t="s">
        <v>4562</v>
      </c>
      <c r="T1387" s="70" t="s">
        <v>3758</v>
      </c>
      <c r="U1387" s="50" t="s">
        <v>399</v>
      </c>
      <c r="V1387" s="118" t="str">
        <f>+Agencia[[#This Row],[idcoleccion]]&amp;"-"&amp;Agencia[[#This Row],[id]]</f>
        <v>990-1376</v>
      </c>
      <c r="W1387" s="118">
        <f>+VLOOKUP(Agencia[[#This Row],[Filtro URL]],Estructura!$X$4:$Y$500,2,0)</f>
        <v>99200005</v>
      </c>
      <c r="X1387" s="118" t="str">
        <f>+VLOOKUP(Agencia[[#This Row],[tema]],Estructura!$A$4:$C$500,3,0)</f>
        <v>T-1042</v>
      </c>
      <c r="Y1387" s="118" t="str">
        <f>+VLOOKUP(Agencia[[#This Row],[contenido]],Estructura!$E$4:$G$500,3,0)</f>
        <v>C-1014</v>
      </c>
      <c r="Z1387" s="118" t="str">
        <f>+VLOOKUP(Agencia[[#This Row],[Filtro Integrado]],Estructura!$I$4:$K$500,3,0)</f>
        <v>FI-993</v>
      </c>
      <c r="AA1387" s="118" t="str">
        <f>+VLOOKUP(Agencia[[#This Row],[Muestra]],Estructura!$M$4:$O$500,3,0)</f>
        <v>M-1105</v>
      </c>
    </row>
    <row r="1388" spans="1:27" ht="72" x14ac:dyDescent="0.3">
      <c r="A1388" s="21" t="s">
        <v>4167</v>
      </c>
      <c r="B1388" s="24">
        <v>990</v>
      </c>
      <c r="C1388" s="25" t="s">
        <v>401</v>
      </c>
      <c r="D1388" s="10" t="s">
        <v>881</v>
      </c>
      <c r="E1388" s="19">
        <v>6</v>
      </c>
      <c r="F1388" s="10" t="s">
        <v>1010</v>
      </c>
      <c r="G1388" s="10" t="s">
        <v>4099</v>
      </c>
      <c r="H1388" s="35" t="s">
        <v>16</v>
      </c>
      <c r="I1388" s="36" t="s">
        <v>373</v>
      </c>
      <c r="J1388" s="9" t="s">
        <v>404</v>
      </c>
      <c r="K1388" s="9" t="s">
        <v>4116</v>
      </c>
      <c r="L1388" s="9" t="s">
        <v>4108</v>
      </c>
      <c r="M1388" s="9" t="s">
        <v>5292</v>
      </c>
      <c r="N1388" s="9" t="s">
        <v>582</v>
      </c>
      <c r="O1388" s="20" t="s">
        <v>4563</v>
      </c>
      <c r="P1388" s="20"/>
      <c r="Q1388" s="11" t="s">
        <v>821</v>
      </c>
      <c r="R1388" s="20" t="s">
        <v>5116</v>
      </c>
      <c r="S1388" s="39" t="s">
        <v>4564</v>
      </c>
      <c r="T1388" s="70" t="s">
        <v>3756</v>
      </c>
      <c r="U1388" s="50" t="s">
        <v>399</v>
      </c>
      <c r="V1388" s="118" t="str">
        <f>+Agencia[[#This Row],[idcoleccion]]&amp;"-"&amp;Agencia[[#This Row],[id]]</f>
        <v>990-1377</v>
      </c>
      <c r="W1388" s="118">
        <f>+VLOOKUP(Agencia[[#This Row],[Filtro URL]],Estructura!$X$4:$Y$500,2,0)</f>
        <v>99200006</v>
      </c>
      <c r="X1388" s="118" t="str">
        <f>+VLOOKUP(Agencia[[#This Row],[tema]],Estructura!$A$4:$C$500,3,0)</f>
        <v>T-1042</v>
      </c>
      <c r="Y1388" s="118" t="str">
        <f>+VLOOKUP(Agencia[[#This Row],[contenido]],Estructura!$E$4:$G$500,3,0)</f>
        <v>C-1014</v>
      </c>
      <c r="Z1388" s="118" t="str">
        <f>+VLOOKUP(Agencia[[#This Row],[Filtro Integrado]],Estructura!$I$4:$K$500,3,0)</f>
        <v>FI-993</v>
      </c>
      <c r="AA1388" s="118" t="str">
        <f>+VLOOKUP(Agencia[[#This Row],[Muestra]],Estructura!$M$4:$O$500,3,0)</f>
        <v>M-1105</v>
      </c>
    </row>
    <row r="1389" spans="1:27" ht="72" x14ac:dyDescent="0.3">
      <c r="A1389" s="21" t="s">
        <v>4168</v>
      </c>
      <c r="B1389" s="24">
        <v>990</v>
      </c>
      <c r="C1389" s="25" t="s">
        <v>401</v>
      </c>
      <c r="D1389" s="10" t="s">
        <v>881</v>
      </c>
      <c r="E1389" s="19">
        <v>7</v>
      </c>
      <c r="F1389" s="10" t="s">
        <v>1010</v>
      </c>
      <c r="G1389" s="10" t="s">
        <v>4099</v>
      </c>
      <c r="H1389" s="35" t="s">
        <v>16</v>
      </c>
      <c r="I1389" s="36" t="s">
        <v>374</v>
      </c>
      <c r="J1389" s="9" t="s">
        <v>404</v>
      </c>
      <c r="K1389" s="9" t="s">
        <v>4116</v>
      </c>
      <c r="L1389" s="9" t="s">
        <v>4108</v>
      </c>
      <c r="M1389" s="9" t="s">
        <v>5292</v>
      </c>
      <c r="N1389" s="9" t="s">
        <v>582</v>
      </c>
      <c r="O1389" s="20" t="s">
        <v>4565</v>
      </c>
      <c r="P1389" s="20"/>
      <c r="Q1389" s="11" t="s">
        <v>821</v>
      </c>
      <c r="R1389" s="20" t="s">
        <v>5117</v>
      </c>
      <c r="S1389" s="39" t="s">
        <v>4566</v>
      </c>
      <c r="T1389" s="70" t="s">
        <v>3754</v>
      </c>
      <c r="U1389" s="50" t="s">
        <v>399</v>
      </c>
      <c r="V1389" s="118" t="str">
        <f>+Agencia[[#This Row],[idcoleccion]]&amp;"-"&amp;Agencia[[#This Row],[id]]</f>
        <v>990-1378</v>
      </c>
      <c r="W1389" s="118">
        <f>+VLOOKUP(Agencia[[#This Row],[Filtro URL]],Estructura!$X$4:$Y$500,2,0)</f>
        <v>99200007</v>
      </c>
      <c r="X1389" s="118" t="str">
        <f>+VLOOKUP(Agencia[[#This Row],[tema]],Estructura!$A$4:$C$500,3,0)</f>
        <v>T-1042</v>
      </c>
      <c r="Y1389" s="118" t="str">
        <f>+VLOOKUP(Agencia[[#This Row],[contenido]],Estructura!$E$4:$G$500,3,0)</f>
        <v>C-1014</v>
      </c>
      <c r="Z1389" s="118" t="str">
        <f>+VLOOKUP(Agencia[[#This Row],[Filtro Integrado]],Estructura!$I$4:$K$500,3,0)</f>
        <v>FI-993</v>
      </c>
      <c r="AA1389" s="118" t="str">
        <f>+VLOOKUP(Agencia[[#This Row],[Muestra]],Estructura!$M$4:$O$500,3,0)</f>
        <v>M-1105</v>
      </c>
    </row>
    <row r="1390" spans="1:27" ht="72" x14ac:dyDescent="0.3">
      <c r="A1390" s="21" t="s">
        <v>4169</v>
      </c>
      <c r="B1390" s="24">
        <v>990</v>
      </c>
      <c r="C1390" s="25" t="s">
        <v>401</v>
      </c>
      <c r="D1390" s="10" t="s">
        <v>881</v>
      </c>
      <c r="E1390" s="19">
        <v>8</v>
      </c>
      <c r="F1390" s="10" t="s">
        <v>1010</v>
      </c>
      <c r="G1390" s="10" t="s">
        <v>4099</v>
      </c>
      <c r="H1390" s="35" t="s">
        <v>16</v>
      </c>
      <c r="I1390" s="36" t="s">
        <v>375</v>
      </c>
      <c r="J1390" s="9" t="s">
        <v>404</v>
      </c>
      <c r="K1390" s="9" t="s">
        <v>4116</v>
      </c>
      <c r="L1390" s="9" t="s">
        <v>4108</v>
      </c>
      <c r="M1390" s="9" t="s">
        <v>5292</v>
      </c>
      <c r="N1390" s="9" t="s">
        <v>582</v>
      </c>
      <c r="O1390" s="20" t="s">
        <v>4567</v>
      </c>
      <c r="P1390" s="20"/>
      <c r="Q1390" s="11" t="s">
        <v>821</v>
      </c>
      <c r="R1390" s="20" t="s">
        <v>5118</v>
      </c>
      <c r="S1390" s="39" t="s">
        <v>4568</v>
      </c>
      <c r="T1390" s="70" t="s">
        <v>3759</v>
      </c>
      <c r="U1390" s="50" t="s">
        <v>399</v>
      </c>
      <c r="V1390" s="118" t="str">
        <f>+Agencia[[#This Row],[idcoleccion]]&amp;"-"&amp;Agencia[[#This Row],[id]]</f>
        <v>990-1379</v>
      </c>
      <c r="W1390" s="118">
        <f>+VLOOKUP(Agencia[[#This Row],[Filtro URL]],Estructura!$X$4:$Y$500,2,0)</f>
        <v>99200008</v>
      </c>
      <c r="X1390" s="118" t="str">
        <f>+VLOOKUP(Agencia[[#This Row],[tema]],Estructura!$A$4:$C$500,3,0)</f>
        <v>T-1042</v>
      </c>
      <c r="Y1390" s="118" t="str">
        <f>+VLOOKUP(Agencia[[#This Row],[contenido]],Estructura!$E$4:$G$500,3,0)</f>
        <v>C-1014</v>
      </c>
      <c r="Z1390" s="118" t="str">
        <f>+VLOOKUP(Agencia[[#This Row],[Filtro Integrado]],Estructura!$I$4:$K$500,3,0)</f>
        <v>FI-993</v>
      </c>
      <c r="AA1390" s="118" t="str">
        <f>+VLOOKUP(Agencia[[#This Row],[Muestra]],Estructura!$M$4:$O$500,3,0)</f>
        <v>M-1105</v>
      </c>
    </row>
    <row r="1391" spans="1:27" ht="72" x14ac:dyDescent="0.3">
      <c r="A1391" s="21" t="s">
        <v>4170</v>
      </c>
      <c r="B1391" s="24">
        <v>990</v>
      </c>
      <c r="C1391" s="25" t="s">
        <v>401</v>
      </c>
      <c r="D1391" s="10" t="s">
        <v>881</v>
      </c>
      <c r="E1391" s="19">
        <v>9</v>
      </c>
      <c r="F1391" s="10" t="s">
        <v>1010</v>
      </c>
      <c r="G1391" s="10" t="s">
        <v>4099</v>
      </c>
      <c r="H1391" s="35" t="s">
        <v>16</v>
      </c>
      <c r="I1391" s="36" t="s">
        <v>376</v>
      </c>
      <c r="J1391" s="9" t="s">
        <v>404</v>
      </c>
      <c r="K1391" s="9" t="s">
        <v>4116</v>
      </c>
      <c r="L1391" s="9" t="s">
        <v>4108</v>
      </c>
      <c r="M1391" s="9" t="s">
        <v>5292</v>
      </c>
      <c r="N1391" s="9" t="s">
        <v>582</v>
      </c>
      <c r="O1391" s="20" t="s">
        <v>4569</v>
      </c>
      <c r="P1391" s="20"/>
      <c r="Q1391" s="11" t="s">
        <v>821</v>
      </c>
      <c r="R1391" s="20" t="s">
        <v>5119</v>
      </c>
      <c r="S1391" s="39" t="s">
        <v>4570</v>
      </c>
      <c r="T1391" s="70" t="s">
        <v>3750</v>
      </c>
      <c r="U1391" s="50" t="s">
        <v>399</v>
      </c>
      <c r="V1391" s="118" t="str">
        <f>+Agencia[[#This Row],[idcoleccion]]&amp;"-"&amp;Agencia[[#This Row],[id]]</f>
        <v>990-1380</v>
      </c>
      <c r="W1391" s="118">
        <f>+VLOOKUP(Agencia[[#This Row],[Filtro URL]],Estructura!$X$4:$Y$500,2,0)</f>
        <v>99200009</v>
      </c>
      <c r="X1391" s="118" t="str">
        <f>+VLOOKUP(Agencia[[#This Row],[tema]],Estructura!$A$4:$C$500,3,0)</f>
        <v>T-1042</v>
      </c>
      <c r="Y1391" s="118" t="str">
        <f>+VLOOKUP(Agencia[[#This Row],[contenido]],Estructura!$E$4:$G$500,3,0)</f>
        <v>C-1014</v>
      </c>
      <c r="Z1391" s="118" t="str">
        <f>+VLOOKUP(Agencia[[#This Row],[Filtro Integrado]],Estructura!$I$4:$K$500,3,0)</f>
        <v>FI-993</v>
      </c>
      <c r="AA1391" s="118" t="str">
        <f>+VLOOKUP(Agencia[[#This Row],[Muestra]],Estructura!$M$4:$O$500,3,0)</f>
        <v>M-1105</v>
      </c>
    </row>
    <row r="1392" spans="1:27" ht="72" x14ac:dyDescent="0.3">
      <c r="A1392" s="21" t="s">
        <v>4171</v>
      </c>
      <c r="B1392" s="24">
        <v>990</v>
      </c>
      <c r="C1392" s="25" t="s">
        <v>401</v>
      </c>
      <c r="D1392" s="10" t="s">
        <v>881</v>
      </c>
      <c r="E1392" s="19">
        <v>10</v>
      </c>
      <c r="F1392" s="10" t="s">
        <v>1010</v>
      </c>
      <c r="G1392" s="10" t="s">
        <v>4099</v>
      </c>
      <c r="H1392" s="35" t="s">
        <v>16</v>
      </c>
      <c r="I1392" s="36" t="s">
        <v>377</v>
      </c>
      <c r="J1392" s="9" t="s">
        <v>404</v>
      </c>
      <c r="K1392" s="9" t="s">
        <v>4116</v>
      </c>
      <c r="L1392" s="9" t="s">
        <v>4108</v>
      </c>
      <c r="M1392" s="9" t="s">
        <v>5292</v>
      </c>
      <c r="N1392" s="9" t="s">
        <v>582</v>
      </c>
      <c r="O1392" s="20" t="s">
        <v>4571</v>
      </c>
      <c r="P1392" s="20"/>
      <c r="Q1392" s="11" t="s">
        <v>821</v>
      </c>
      <c r="R1392" s="20" t="s">
        <v>5120</v>
      </c>
      <c r="S1392" s="39" t="s">
        <v>4572</v>
      </c>
      <c r="T1392" s="70" t="s">
        <v>3751</v>
      </c>
      <c r="U1392" s="50" t="s">
        <v>399</v>
      </c>
      <c r="V1392" s="118" t="str">
        <f>+Agencia[[#This Row],[idcoleccion]]&amp;"-"&amp;Agencia[[#This Row],[id]]</f>
        <v>990-1381</v>
      </c>
      <c r="W1392" s="118">
        <f>+VLOOKUP(Agencia[[#This Row],[Filtro URL]],Estructura!$X$4:$Y$500,2,0)</f>
        <v>99200010</v>
      </c>
      <c r="X1392" s="118" t="str">
        <f>+VLOOKUP(Agencia[[#This Row],[tema]],Estructura!$A$4:$C$500,3,0)</f>
        <v>T-1042</v>
      </c>
      <c r="Y1392" s="118" t="str">
        <f>+VLOOKUP(Agencia[[#This Row],[contenido]],Estructura!$E$4:$G$500,3,0)</f>
        <v>C-1014</v>
      </c>
      <c r="Z1392" s="118" t="str">
        <f>+VLOOKUP(Agencia[[#This Row],[Filtro Integrado]],Estructura!$I$4:$K$500,3,0)</f>
        <v>FI-993</v>
      </c>
      <c r="AA1392" s="118" t="str">
        <f>+VLOOKUP(Agencia[[#This Row],[Muestra]],Estructura!$M$4:$O$500,3,0)</f>
        <v>M-1105</v>
      </c>
    </row>
    <row r="1393" spans="1:27" ht="72" x14ac:dyDescent="0.3">
      <c r="A1393" s="21" t="s">
        <v>4172</v>
      </c>
      <c r="B1393" s="24">
        <v>990</v>
      </c>
      <c r="C1393" s="25" t="s">
        <v>401</v>
      </c>
      <c r="D1393" s="10" t="s">
        <v>881</v>
      </c>
      <c r="E1393" s="19">
        <v>11</v>
      </c>
      <c r="F1393" s="10" t="s">
        <v>1010</v>
      </c>
      <c r="G1393" s="10" t="s">
        <v>4099</v>
      </c>
      <c r="H1393" s="35" t="s">
        <v>16</v>
      </c>
      <c r="I1393" s="36" t="s">
        <v>378</v>
      </c>
      <c r="J1393" s="9" t="s">
        <v>404</v>
      </c>
      <c r="K1393" s="9" t="s">
        <v>4116</v>
      </c>
      <c r="L1393" s="9" t="s">
        <v>4108</v>
      </c>
      <c r="M1393" s="9" t="s">
        <v>5292</v>
      </c>
      <c r="N1393" s="9" t="s">
        <v>582</v>
      </c>
      <c r="O1393" s="20" t="s">
        <v>4573</v>
      </c>
      <c r="P1393" s="20"/>
      <c r="Q1393" s="11" t="s">
        <v>821</v>
      </c>
      <c r="R1393" s="20" t="s">
        <v>5121</v>
      </c>
      <c r="S1393" s="39" t="s">
        <v>4574</v>
      </c>
      <c r="T1393" s="70" t="s">
        <v>3748</v>
      </c>
      <c r="U1393" s="50" t="s">
        <v>399</v>
      </c>
      <c r="V1393" s="118" t="str">
        <f>+Agencia[[#This Row],[idcoleccion]]&amp;"-"&amp;Agencia[[#This Row],[id]]</f>
        <v>990-1382</v>
      </c>
      <c r="W1393" s="118">
        <f>+VLOOKUP(Agencia[[#This Row],[Filtro URL]],Estructura!$X$4:$Y$500,2,0)</f>
        <v>99200011</v>
      </c>
      <c r="X1393" s="118" t="str">
        <f>+VLOOKUP(Agencia[[#This Row],[tema]],Estructura!$A$4:$C$500,3,0)</f>
        <v>T-1042</v>
      </c>
      <c r="Y1393" s="118" t="str">
        <f>+VLOOKUP(Agencia[[#This Row],[contenido]],Estructura!$E$4:$G$500,3,0)</f>
        <v>C-1014</v>
      </c>
      <c r="Z1393" s="118" t="str">
        <f>+VLOOKUP(Agencia[[#This Row],[Filtro Integrado]],Estructura!$I$4:$K$500,3,0)</f>
        <v>FI-993</v>
      </c>
      <c r="AA1393" s="118" t="str">
        <f>+VLOOKUP(Agencia[[#This Row],[Muestra]],Estructura!$M$4:$O$500,3,0)</f>
        <v>M-1105</v>
      </c>
    </row>
    <row r="1394" spans="1:27" ht="72" x14ac:dyDescent="0.3">
      <c r="A1394" s="21" t="s">
        <v>4173</v>
      </c>
      <c r="B1394" s="24">
        <v>990</v>
      </c>
      <c r="C1394" s="25" t="s">
        <v>401</v>
      </c>
      <c r="D1394" s="10" t="s">
        <v>881</v>
      </c>
      <c r="E1394" s="19">
        <v>12</v>
      </c>
      <c r="F1394" s="10" t="s">
        <v>1010</v>
      </c>
      <c r="G1394" s="10" t="s">
        <v>4099</v>
      </c>
      <c r="H1394" s="35" t="s">
        <v>16</v>
      </c>
      <c r="I1394" s="36" t="s">
        <v>379</v>
      </c>
      <c r="J1394" s="9" t="s">
        <v>404</v>
      </c>
      <c r="K1394" s="9" t="s">
        <v>4116</v>
      </c>
      <c r="L1394" s="9" t="s">
        <v>4108</v>
      </c>
      <c r="M1394" s="9" t="s">
        <v>5292</v>
      </c>
      <c r="N1394" s="9" t="s">
        <v>582</v>
      </c>
      <c r="O1394" s="20" t="s">
        <v>4575</v>
      </c>
      <c r="P1394" s="20"/>
      <c r="Q1394" s="11" t="s">
        <v>821</v>
      </c>
      <c r="R1394" s="20" t="s">
        <v>5122</v>
      </c>
      <c r="S1394" s="39" t="s">
        <v>4576</v>
      </c>
      <c r="T1394" s="70" t="s">
        <v>3753</v>
      </c>
      <c r="U1394" s="50" t="s">
        <v>399</v>
      </c>
      <c r="V1394" s="118" t="str">
        <f>+Agencia[[#This Row],[idcoleccion]]&amp;"-"&amp;Agencia[[#This Row],[id]]</f>
        <v>990-1383</v>
      </c>
      <c r="W1394" s="118">
        <f>+VLOOKUP(Agencia[[#This Row],[Filtro URL]],Estructura!$X$4:$Y$500,2,0)</f>
        <v>99200012</v>
      </c>
      <c r="X1394" s="118" t="str">
        <f>+VLOOKUP(Agencia[[#This Row],[tema]],Estructura!$A$4:$C$500,3,0)</f>
        <v>T-1042</v>
      </c>
      <c r="Y1394" s="118" t="str">
        <f>+VLOOKUP(Agencia[[#This Row],[contenido]],Estructura!$E$4:$G$500,3,0)</f>
        <v>C-1014</v>
      </c>
      <c r="Z1394" s="118" t="str">
        <f>+VLOOKUP(Agencia[[#This Row],[Filtro Integrado]],Estructura!$I$4:$K$500,3,0)</f>
        <v>FI-993</v>
      </c>
      <c r="AA1394" s="118" t="str">
        <f>+VLOOKUP(Agencia[[#This Row],[Muestra]],Estructura!$M$4:$O$500,3,0)</f>
        <v>M-1105</v>
      </c>
    </row>
    <row r="1395" spans="1:27" ht="72" x14ac:dyDescent="0.3">
      <c r="A1395" s="21" t="s">
        <v>4174</v>
      </c>
      <c r="B1395" s="24">
        <v>990</v>
      </c>
      <c r="C1395" s="25" t="s">
        <v>401</v>
      </c>
      <c r="D1395" s="10" t="s">
        <v>881</v>
      </c>
      <c r="E1395" s="19">
        <v>13</v>
      </c>
      <c r="F1395" s="10" t="s">
        <v>1010</v>
      </c>
      <c r="G1395" s="10" t="s">
        <v>4099</v>
      </c>
      <c r="H1395" s="35" t="s">
        <v>16</v>
      </c>
      <c r="I1395" s="36" t="s">
        <v>380</v>
      </c>
      <c r="J1395" s="9" t="s">
        <v>404</v>
      </c>
      <c r="K1395" s="9" t="s">
        <v>4116</v>
      </c>
      <c r="L1395" s="9" t="s">
        <v>4108</v>
      </c>
      <c r="M1395" s="9" t="s">
        <v>5292</v>
      </c>
      <c r="N1395" s="9" t="s">
        <v>582</v>
      </c>
      <c r="O1395" s="20" t="s">
        <v>4577</v>
      </c>
      <c r="P1395" s="20"/>
      <c r="Q1395" s="11" t="s">
        <v>821</v>
      </c>
      <c r="R1395" s="20" t="s">
        <v>5123</v>
      </c>
      <c r="S1395" s="39" t="s">
        <v>4578</v>
      </c>
      <c r="T1395" s="70" t="s">
        <v>3760</v>
      </c>
      <c r="U1395" s="50" t="s">
        <v>399</v>
      </c>
      <c r="V1395" s="118" t="str">
        <f>+Agencia[[#This Row],[idcoleccion]]&amp;"-"&amp;Agencia[[#This Row],[id]]</f>
        <v>990-1384</v>
      </c>
      <c r="W1395" s="118">
        <f>+VLOOKUP(Agencia[[#This Row],[Filtro URL]],Estructura!$X$4:$Y$500,2,0)</f>
        <v>99200013</v>
      </c>
      <c r="X1395" s="118" t="str">
        <f>+VLOOKUP(Agencia[[#This Row],[tema]],Estructura!$A$4:$C$500,3,0)</f>
        <v>T-1042</v>
      </c>
      <c r="Y1395" s="118" t="str">
        <f>+VLOOKUP(Agencia[[#This Row],[contenido]],Estructura!$E$4:$G$500,3,0)</f>
        <v>C-1014</v>
      </c>
      <c r="Z1395" s="118" t="str">
        <f>+VLOOKUP(Agencia[[#This Row],[Filtro Integrado]],Estructura!$I$4:$K$500,3,0)</f>
        <v>FI-993</v>
      </c>
      <c r="AA1395" s="118" t="str">
        <f>+VLOOKUP(Agencia[[#This Row],[Muestra]],Estructura!$M$4:$O$500,3,0)</f>
        <v>M-1105</v>
      </c>
    </row>
    <row r="1396" spans="1:27" ht="72" x14ac:dyDescent="0.3">
      <c r="A1396" s="21" t="s">
        <v>4175</v>
      </c>
      <c r="B1396" s="24">
        <v>990</v>
      </c>
      <c r="C1396" s="25" t="s">
        <v>401</v>
      </c>
      <c r="D1396" s="10" t="s">
        <v>881</v>
      </c>
      <c r="E1396" s="19">
        <v>14</v>
      </c>
      <c r="F1396" s="10" t="s">
        <v>1010</v>
      </c>
      <c r="G1396" s="10" t="s">
        <v>4099</v>
      </c>
      <c r="H1396" s="35" t="s">
        <v>16</v>
      </c>
      <c r="I1396" s="36" t="s">
        <v>381</v>
      </c>
      <c r="J1396" s="9" t="s">
        <v>404</v>
      </c>
      <c r="K1396" s="9" t="s">
        <v>4116</v>
      </c>
      <c r="L1396" s="9" t="s">
        <v>4108</v>
      </c>
      <c r="M1396" s="9" t="s">
        <v>5292</v>
      </c>
      <c r="N1396" s="9" t="s">
        <v>582</v>
      </c>
      <c r="O1396" s="20" t="s">
        <v>4579</v>
      </c>
      <c r="P1396" s="20"/>
      <c r="Q1396" s="11" t="s">
        <v>821</v>
      </c>
      <c r="R1396" s="20" t="s">
        <v>5124</v>
      </c>
      <c r="S1396" s="39" t="s">
        <v>4580</v>
      </c>
      <c r="T1396" s="70" t="s">
        <v>3752</v>
      </c>
      <c r="U1396" s="50" t="s">
        <v>399</v>
      </c>
      <c r="V1396" s="118" t="str">
        <f>+Agencia[[#This Row],[idcoleccion]]&amp;"-"&amp;Agencia[[#This Row],[id]]</f>
        <v>990-1385</v>
      </c>
      <c r="W1396" s="118">
        <f>+VLOOKUP(Agencia[[#This Row],[Filtro URL]],Estructura!$X$4:$Y$500,2,0)</f>
        <v>99200014</v>
      </c>
      <c r="X1396" s="118" t="str">
        <f>+VLOOKUP(Agencia[[#This Row],[tema]],Estructura!$A$4:$C$500,3,0)</f>
        <v>T-1042</v>
      </c>
      <c r="Y1396" s="118" t="str">
        <f>+VLOOKUP(Agencia[[#This Row],[contenido]],Estructura!$E$4:$G$500,3,0)</f>
        <v>C-1014</v>
      </c>
      <c r="Z1396" s="118" t="str">
        <f>+VLOOKUP(Agencia[[#This Row],[Filtro Integrado]],Estructura!$I$4:$K$500,3,0)</f>
        <v>FI-993</v>
      </c>
      <c r="AA1396" s="118" t="str">
        <f>+VLOOKUP(Agencia[[#This Row],[Muestra]],Estructura!$M$4:$O$500,3,0)</f>
        <v>M-1105</v>
      </c>
    </row>
    <row r="1397" spans="1:27" ht="72" x14ac:dyDescent="0.3">
      <c r="A1397" s="21" t="s">
        <v>4176</v>
      </c>
      <c r="B1397" s="24">
        <v>990</v>
      </c>
      <c r="C1397" s="25" t="s">
        <v>401</v>
      </c>
      <c r="D1397" s="10" t="s">
        <v>881</v>
      </c>
      <c r="E1397" s="19">
        <v>15</v>
      </c>
      <c r="F1397" s="10" t="s">
        <v>1010</v>
      </c>
      <c r="G1397" s="10" t="s">
        <v>4099</v>
      </c>
      <c r="H1397" s="35" t="s">
        <v>16</v>
      </c>
      <c r="I1397" s="36" t="s">
        <v>382</v>
      </c>
      <c r="J1397" s="9" t="s">
        <v>404</v>
      </c>
      <c r="K1397" s="9" t="s">
        <v>4116</v>
      </c>
      <c r="L1397" s="9" t="s">
        <v>4108</v>
      </c>
      <c r="M1397" s="9" t="s">
        <v>5292</v>
      </c>
      <c r="N1397" s="9" t="s">
        <v>582</v>
      </c>
      <c r="O1397" s="20" t="s">
        <v>4581</v>
      </c>
      <c r="P1397" s="20"/>
      <c r="Q1397" s="11" t="s">
        <v>821</v>
      </c>
      <c r="R1397" s="20" t="s">
        <v>5125</v>
      </c>
      <c r="S1397" s="39" t="s">
        <v>4582</v>
      </c>
      <c r="T1397" s="70" t="s">
        <v>3746</v>
      </c>
      <c r="U1397" s="50" t="s">
        <v>399</v>
      </c>
      <c r="V1397" s="118" t="str">
        <f>+Agencia[[#This Row],[idcoleccion]]&amp;"-"&amp;Agencia[[#This Row],[id]]</f>
        <v>990-1386</v>
      </c>
      <c r="W1397" s="118">
        <f>+VLOOKUP(Agencia[[#This Row],[Filtro URL]],Estructura!$X$4:$Y$500,2,0)</f>
        <v>99200015</v>
      </c>
      <c r="X1397" s="118" t="str">
        <f>+VLOOKUP(Agencia[[#This Row],[tema]],Estructura!$A$4:$C$500,3,0)</f>
        <v>T-1042</v>
      </c>
      <c r="Y1397" s="118" t="str">
        <f>+VLOOKUP(Agencia[[#This Row],[contenido]],Estructura!$E$4:$G$500,3,0)</f>
        <v>C-1014</v>
      </c>
      <c r="Z1397" s="118" t="str">
        <f>+VLOOKUP(Agencia[[#This Row],[Filtro Integrado]],Estructura!$I$4:$K$500,3,0)</f>
        <v>FI-993</v>
      </c>
      <c r="AA1397" s="118" t="str">
        <f>+VLOOKUP(Agencia[[#This Row],[Muestra]],Estructura!$M$4:$O$500,3,0)</f>
        <v>M-1105</v>
      </c>
    </row>
    <row r="1398" spans="1:27" ht="61.2" x14ac:dyDescent="0.3">
      <c r="A1398" s="21" t="s">
        <v>4177</v>
      </c>
      <c r="B1398" s="24">
        <v>990</v>
      </c>
      <c r="C1398" s="25" t="s">
        <v>401</v>
      </c>
      <c r="D1398" s="10" t="s">
        <v>881</v>
      </c>
      <c r="E1398" s="14">
        <v>0</v>
      </c>
      <c r="F1398" s="10" t="s">
        <v>579</v>
      </c>
      <c r="G1398" s="10" t="s">
        <v>4099</v>
      </c>
      <c r="H1398" s="33" t="s">
        <v>20</v>
      </c>
      <c r="I1398" s="34" t="s">
        <v>15</v>
      </c>
      <c r="J1398" s="9" t="s">
        <v>16</v>
      </c>
      <c r="K1398" s="9" t="s">
        <v>4135</v>
      </c>
      <c r="L1398" s="9" t="s">
        <v>4108</v>
      </c>
      <c r="M1398" s="9" t="s">
        <v>928</v>
      </c>
      <c r="N1398" s="9" t="s">
        <v>582</v>
      </c>
      <c r="O1398" s="20" t="s">
        <v>4583</v>
      </c>
      <c r="P1398" s="20" t="s">
        <v>4136</v>
      </c>
      <c r="Q1398" s="11" t="s">
        <v>821</v>
      </c>
      <c r="R1398" s="20" t="s">
        <v>5126</v>
      </c>
      <c r="S1398" s="39" t="s">
        <v>4137</v>
      </c>
      <c r="T1398" s="70" t="s">
        <v>855</v>
      </c>
      <c r="U1398" s="50" t="s">
        <v>399</v>
      </c>
      <c r="V1398" s="118" t="str">
        <f>+Agencia[[#This Row],[idcoleccion]]&amp;"-"&amp;Agencia[[#This Row],[id]]</f>
        <v>990-1387</v>
      </c>
      <c r="W1398" s="118">
        <f>+VLOOKUP(Agencia[[#This Row],[Filtro URL]],Estructura!$X$4:$Y$500,2,0)</f>
        <v>99100000</v>
      </c>
      <c r="X1398" s="118" t="str">
        <f>+VLOOKUP(Agencia[[#This Row],[tema]],Estructura!$A$4:$C$500,3,0)</f>
        <v>T-1031</v>
      </c>
      <c r="Y1398" s="118" t="str">
        <f>+VLOOKUP(Agencia[[#This Row],[contenido]],Estructura!$E$4:$G$500,3,0)</f>
        <v>C-1014</v>
      </c>
      <c r="Z1398" s="118" t="str">
        <f>+VLOOKUP(Agencia[[#This Row],[Filtro Integrado]],Estructura!$I$4:$K$500,3,0)</f>
        <v>FI-992</v>
      </c>
      <c r="AA1398" s="118" t="str">
        <f>+VLOOKUP(Agencia[[#This Row],[Muestra]],Estructura!$M$4:$O$500,3,0)</f>
        <v>M-1106</v>
      </c>
    </row>
    <row r="1399" spans="1:27" ht="72" x14ac:dyDescent="0.3">
      <c r="A1399" s="21" t="s">
        <v>4184</v>
      </c>
      <c r="B1399" s="24">
        <v>990</v>
      </c>
      <c r="C1399" s="25" t="s">
        <v>401</v>
      </c>
      <c r="D1399" s="10" t="s">
        <v>881</v>
      </c>
      <c r="E1399" s="19">
        <v>1</v>
      </c>
      <c r="F1399" s="10" t="s">
        <v>579</v>
      </c>
      <c r="G1399" s="10" t="s">
        <v>4099</v>
      </c>
      <c r="H1399" s="35" t="s">
        <v>16</v>
      </c>
      <c r="I1399" s="36" t="s">
        <v>368</v>
      </c>
      <c r="J1399" s="9" t="s">
        <v>404</v>
      </c>
      <c r="K1399" s="9" t="s">
        <v>4135</v>
      </c>
      <c r="L1399" s="9" t="s">
        <v>4108</v>
      </c>
      <c r="M1399" s="9" t="s">
        <v>928</v>
      </c>
      <c r="N1399" s="9" t="s">
        <v>582</v>
      </c>
      <c r="O1399" s="20" t="s">
        <v>4584</v>
      </c>
      <c r="P1399" s="20"/>
      <c r="Q1399" s="11" t="s">
        <v>821</v>
      </c>
      <c r="R1399" s="20" t="s">
        <v>5127</v>
      </c>
      <c r="S1399" s="39" t="s">
        <v>4585</v>
      </c>
      <c r="T1399" s="70" t="s">
        <v>3757</v>
      </c>
      <c r="U1399" s="50" t="s">
        <v>399</v>
      </c>
      <c r="V1399" s="118" t="str">
        <f>+Agencia[[#This Row],[idcoleccion]]&amp;"-"&amp;Agencia[[#This Row],[id]]</f>
        <v>990-1388</v>
      </c>
      <c r="W1399" s="118">
        <f>+VLOOKUP(Agencia[[#This Row],[Filtro URL]],Estructura!$X$4:$Y$500,2,0)</f>
        <v>99200001</v>
      </c>
      <c r="X1399" s="118" t="str">
        <f>+VLOOKUP(Agencia[[#This Row],[tema]],Estructura!$A$4:$C$500,3,0)</f>
        <v>T-1031</v>
      </c>
      <c r="Y1399" s="118" t="str">
        <f>+VLOOKUP(Agencia[[#This Row],[contenido]],Estructura!$E$4:$G$500,3,0)</f>
        <v>C-1014</v>
      </c>
      <c r="Z1399" s="118" t="str">
        <f>+VLOOKUP(Agencia[[#This Row],[Filtro Integrado]],Estructura!$I$4:$K$500,3,0)</f>
        <v>FI-993</v>
      </c>
      <c r="AA1399" s="118" t="str">
        <f>+VLOOKUP(Agencia[[#This Row],[Muestra]],Estructura!$M$4:$O$500,3,0)</f>
        <v>M-1106</v>
      </c>
    </row>
    <row r="1400" spans="1:27" ht="72" x14ac:dyDescent="0.3">
      <c r="A1400" s="21" t="s">
        <v>4185</v>
      </c>
      <c r="B1400" s="24">
        <v>990</v>
      </c>
      <c r="C1400" s="25" t="s">
        <v>401</v>
      </c>
      <c r="D1400" s="10" t="s">
        <v>881</v>
      </c>
      <c r="E1400" s="19">
        <v>2</v>
      </c>
      <c r="F1400" s="10" t="s">
        <v>579</v>
      </c>
      <c r="G1400" s="10" t="s">
        <v>4099</v>
      </c>
      <c r="H1400" s="35" t="s">
        <v>16</v>
      </c>
      <c r="I1400" s="36" t="s">
        <v>369</v>
      </c>
      <c r="J1400" s="9" t="s">
        <v>404</v>
      </c>
      <c r="K1400" s="9" t="s">
        <v>4135</v>
      </c>
      <c r="L1400" s="9" t="s">
        <v>4108</v>
      </c>
      <c r="M1400" s="9" t="s">
        <v>928</v>
      </c>
      <c r="N1400" s="9" t="s">
        <v>582</v>
      </c>
      <c r="O1400" s="20" t="s">
        <v>4586</v>
      </c>
      <c r="P1400" s="20"/>
      <c r="Q1400" s="11" t="s">
        <v>821</v>
      </c>
      <c r="R1400" s="20" t="s">
        <v>5128</v>
      </c>
      <c r="S1400" s="39" t="s">
        <v>4587</v>
      </c>
      <c r="T1400" s="70" t="s">
        <v>3745</v>
      </c>
      <c r="U1400" s="50" t="s">
        <v>399</v>
      </c>
      <c r="V1400" s="118" t="str">
        <f>+Agencia[[#This Row],[idcoleccion]]&amp;"-"&amp;Agencia[[#This Row],[id]]</f>
        <v>990-1389</v>
      </c>
      <c r="W1400" s="118">
        <f>+VLOOKUP(Agencia[[#This Row],[Filtro URL]],Estructura!$X$4:$Y$500,2,0)</f>
        <v>99200002</v>
      </c>
      <c r="X1400" s="118" t="str">
        <f>+VLOOKUP(Agencia[[#This Row],[tema]],Estructura!$A$4:$C$500,3,0)</f>
        <v>T-1031</v>
      </c>
      <c r="Y1400" s="118" t="str">
        <f>+VLOOKUP(Agencia[[#This Row],[contenido]],Estructura!$E$4:$G$500,3,0)</f>
        <v>C-1014</v>
      </c>
      <c r="Z1400" s="118" t="str">
        <f>+VLOOKUP(Agencia[[#This Row],[Filtro Integrado]],Estructura!$I$4:$K$500,3,0)</f>
        <v>FI-993</v>
      </c>
      <c r="AA1400" s="118" t="str">
        <f>+VLOOKUP(Agencia[[#This Row],[Muestra]],Estructura!$M$4:$O$500,3,0)</f>
        <v>M-1106</v>
      </c>
    </row>
    <row r="1401" spans="1:27" ht="72" x14ac:dyDescent="0.3">
      <c r="A1401" s="21" t="s">
        <v>4186</v>
      </c>
      <c r="B1401" s="24">
        <v>990</v>
      </c>
      <c r="C1401" s="25" t="s">
        <v>401</v>
      </c>
      <c r="D1401" s="10" t="s">
        <v>881</v>
      </c>
      <c r="E1401" s="19">
        <v>3</v>
      </c>
      <c r="F1401" s="10" t="s">
        <v>579</v>
      </c>
      <c r="G1401" s="10" t="s">
        <v>4099</v>
      </c>
      <c r="H1401" s="35" t="s">
        <v>16</v>
      </c>
      <c r="I1401" s="36" t="s">
        <v>370</v>
      </c>
      <c r="J1401" s="9" t="s">
        <v>404</v>
      </c>
      <c r="K1401" s="9" t="s">
        <v>4135</v>
      </c>
      <c r="L1401" s="9" t="s">
        <v>4108</v>
      </c>
      <c r="M1401" s="9" t="s">
        <v>928</v>
      </c>
      <c r="N1401" s="9" t="s">
        <v>582</v>
      </c>
      <c r="O1401" s="20" t="s">
        <v>4588</v>
      </c>
      <c r="P1401" s="20"/>
      <c r="Q1401" s="11" t="s">
        <v>821</v>
      </c>
      <c r="R1401" s="20" t="s">
        <v>5129</v>
      </c>
      <c r="S1401" s="39" t="s">
        <v>4589</v>
      </c>
      <c r="T1401" s="70" t="s">
        <v>3747</v>
      </c>
      <c r="U1401" s="50" t="s">
        <v>399</v>
      </c>
      <c r="V1401" s="118" t="str">
        <f>+Agencia[[#This Row],[idcoleccion]]&amp;"-"&amp;Agencia[[#This Row],[id]]</f>
        <v>990-1390</v>
      </c>
      <c r="W1401" s="118">
        <f>+VLOOKUP(Agencia[[#This Row],[Filtro URL]],Estructura!$X$4:$Y$500,2,0)</f>
        <v>99200003</v>
      </c>
      <c r="X1401" s="118" t="str">
        <f>+VLOOKUP(Agencia[[#This Row],[tema]],Estructura!$A$4:$C$500,3,0)</f>
        <v>T-1031</v>
      </c>
      <c r="Y1401" s="118" t="str">
        <f>+VLOOKUP(Agencia[[#This Row],[contenido]],Estructura!$E$4:$G$500,3,0)</f>
        <v>C-1014</v>
      </c>
      <c r="Z1401" s="118" t="str">
        <f>+VLOOKUP(Agencia[[#This Row],[Filtro Integrado]],Estructura!$I$4:$K$500,3,0)</f>
        <v>FI-993</v>
      </c>
      <c r="AA1401" s="118" t="str">
        <f>+VLOOKUP(Agencia[[#This Row],[Muestra]],Estructura!$M$4:$O$500,3,0)</f>
        <v>M-1106</v>
      </c>
    </row>
    <row r="1402" spans="1:27" ht="72" x14ac:dyDescent="0.3">
      <c r="A1402" s="21" t="s">
        <v>4187</v>
      </c>
      <c r="B1402" s="24">
        <v>990</v>
      </c>
      <c r="C1402" s="25" t="s">
        <v>401</v>
      </c>
      <c r="D1402" s="10" t="s">
        <v>881</v>
      </c>
      <c r="E1402" s="19">
        <v>4</v>
      </c>
      <c r="F1402" s="10" t="s">
        <v>579</v>
      </c>
      <c r="G1402" s="10" t="s">
        <v>4099</v>
      </c>
      <c r="H1402" s="35" t="s">
        <v>16</v>
      </c>
      <c r="I1402" s="36" t="s">
        <v>371</v>
      </c>
      <c r="J1402" s="9" t="s">
        <v>404</v>
      </c>
      <c r="K1402" s="9" t="s">
        <v>4135</v>
      </c>
      <c r="L1402" s="9" t="s">
        <v>4108</v>
      </c>
      <c r="M1402" s="9" t="s">
        <v>928</v>
      </c>
      <c r="N1402" s="9" t="s">
        <v>582</v>
      </c>
      <c r="O1402" s="20" t="s">
        <v>4590</v>
      </c>
      <c r="P1402" s="20"/>
      <c r="Q1402" s="11" t="s">
        <v>821</v>
      </c>
      <c r="R1402" s="20" t="s">
        <v>5130</v>
      </c>
      <c r="S1402" s="39" t="s">
        <v>4591</v>
      </c>
      <c r="T1402" s="70" t="s">
        <v>3749</v>
      </c>
      <c r="U1402" s="50" t="s">
        <v>399</v>
      </c>
      <c r="V1402" s="118" t="str">
        <f>+Agencia[[#This Row],[idcoleccion]]&amp;"-"&amp;Agencia[[#This Row],[id]]</f>
        <v>990-1391</v>
      </c>
      <c r="W1402" s="118">
        <f>+VLOOKUP(Agencia[[#This Row],[Filtro URL]],Estructura!$X$4:$Y$500,2,0)</f>
        <v>99200004</v>
      </c>
      <c r="X1402" s="118" t="str">
        <f>+VLOOKUP(Agencia[[#This Row],[tema]],Estructura!$A$4:$C$500,3,0)</f>
        <v>T-1031</v>
      </c>
      <c r="Y1402" s="118" t="str">
        <f>+VLOOKUP(Agencia[[#This Row],[contenido]],Estructura!$E$4:$G$500,3,0)</f>
        <v>C-1014</v>
      </c>
      <c r="Z1402" s="118" t="str">
        <f>+VLOOKUP(Agencia[[#This Row],[Filtro Integrado]],Estructura!$I$4:$K$500,3,0)</f>
        <v>FI-993</v>
      </c>
      <c r="AA1402" s="118" t="str">
        <f>+VLOOKUP(Agencia[[#This Row],[Muestra]],Estructura!$M$4:$O$500,3,0)</f>
        <v>M-1106</v>
      </c>
    </row>
    <row r="1403" spans="1:27" ht="72" x14ac:dyDescent="0.3">
      <c r="A1403" s="21" t="s">
        <v>4188</v>
      </c>
      <c r="B1403" s="24">
        <v>990</v>
      </c>
      <c r="C1403" s="25" t="s">
        <v>401</v>
      </c>
      <c r="D1403" s="10" t="s">
        <v>881</v>
      </c>
      <c r="E1403" s="19">
        <v>5</v>
      </c>
      <c r="F1403" s="10" t="s">
        <v>579</v>
      </c>
      <c r="G1403" s="10" t="s">
        <v>4099</v>
      </c>
      <c r="H1403" s="35" t="s">
        <v>16</v>
      </c>
      <c r="I1403" s="36" t="s">
        <v>372</v>
      </c>
      <c r="J1403" s="9" t="s">
        <v>404</v>
      </c>
      <c r="K1403" s="9" t="s">
        <v>4135</v>
      </c>
      <c r="L1403" s="9" t="s">
        <v>4108</v>
      </c>
      <c r="M1403" s="9" t="s">
        <v>928</v>
      </c>
      <c r="N1403" s="9" t="s">
        <v>582</v>
      </c>
      <c r="O1403" s="20" t="s">
        <v>4592</v>
      </c>
      <c r="P1403" s="20"/>
      <c r="Q1403" s="11" t="s">
        <v>821</v>
      </c>
      <c r="R1403" s="20" t="s">
        <v>5131</v>
      </c>
      <c r="S1403" s="39" t="s">
        <v>4593</v>
      </c>
      <c r="T1403" s="70" t="s">
        <v>3758</v>
      </c>
      <c r="U1403" s="50" t="s">
        <v>399</v>
      </c>
      <c r="V1403" s="118" t="str">
        <f>+Agencia[[#This Row],[idcoleccion]]&amp;"-"&amp;Agencia[[#This Row],[id]]</f>
        <v>990-1392</v>
      </c>
      <c r="W1403" s="118">
        <f>+VLOOKUP(Agencia[[#This Row],[Filtro URL]],Estructura!$X$4:$Y$500,2,0)</f>
        <v>99200005</v>
      </c>
      <c r="X1403" s="118" t="str">
        <f>+VLOOKUP(Agencia[[#This Row],[tema]],Estructura!$A$4:$C$500,3,0)</f>
        <v>T-1031</v>
      </c>
      <c r="Y1403" s="118" t="str">
        <f>+VLOOKUP(Agencia[[#This Row],[contenido]],Estructura!$E$4:$G$500,3,0)</f>
        <v>C-1014</v>
      </c>
      <c r="Z1403" s="118" t="str">
        <f>+VLOOKUP(Agencia[[#This Row],[Filtro Integrado]],Estructura!$I$4:$K$500,3,0)</f>
        <v>FI-993</v>
      </c>
      <c r="AA1403" s="118" t="str">
        <f>+VLOOKUP(Agencia[[#This Row],[Muestra]],Estructura!$M$4:$O$500,3,0)</f>
        <v>M-1106</v>
      </c>
    </row>
    <row r="1404" spans="1:27" ht="72" x14ac:dyDescent="0.3">
      <c r="A1404" s="21" t="s">
        <v>4189</v>
      </c>
      <c r="B1404" s="24">
        <v>990</v>
      </c>
      <c r="C1404" s="25" t="s">
        <v>401</v>
      </c>
      <c r="D1404" s="10" t="s">
        <v>881</v>
      </c>
      <c r="E1404" s="19">
        <v>6</v>
      </c>
      <c r="F1404" s="10" t="s">
        <v>579</v>
      </c>
      <c r="G1404" s="10" t="s">
        <v>4099</v>
      </c>
      <c r="H1404" s="35" t="s">
        <v>16</v>
      </c>
      <c r="I1404" s="36" t="s">
        <v>373</v>
      </c>
      <c r="J1404" s="9" t="s">
        <v>404</v>
      </c>
      <c r="K1404" s="9" t="s">
        <v>4135</v>
      </c>
      <c r="L1404" s="9" t="s">
        <v>4108</v>
      </c>
      <c r="M1404" s="9" t="s">
        <v>928</v>
      </c>
      <c r="N1404" s="9" t="s">
        <v>582</v>
      </c>
      <c r="O1404" s="20" t="s">
        <v>4594</v>
      </c>
      <c r="P1404" s="20"/>
      <c r="Q1404" s="11" t="s">
        <v>821</v>
      </c>
      <c r="R1404" s="20" t="s">
        <v>5132</v>
      </c>
      <c r="S1404" s="39" t="s">
        <v>4595</v>
      </c>
      <c r="T1404" s="70" t="s">
        <v>3756</v>
      </c>
      <c r="U1404" s="50" t="s">
        <v>399</v>
      </c>
      <c r="V1404" s="118" t="str">
        <f>+Agencia[[#This Row],[idcoleccion]]&amp;"-"&amp;Agencia[[#This Row],[id]]</f>
        <v>990-1393</v>
      </c>
      <c r="W1404" s="118">
        <f>+VLOOKUP(Agencia[[#This Row],[Filtro URL]],Estructura!$X$4:$Y$500,2,0)</f>
        <v>99200006</v>
      </c>
      <c r="X1404" s="118" t="str">
        <f>+VLOOKUP(Agencia[[#This Row],[tema]],Estructura!$A$4:$C$500,3,0)</f>
        <v>T-1031</v>
      </c>
      <c r="Y1404" s="118" t="str">
        <f>+VLOOKUP(Agencia[[#This Row],[contenido]],Estructura!$E$4:$G$500,3,0)</f>
        <v>C-1014</v>
      </c>
      <c r="Z1404" s="118" t="str">
        <f>+VLOOKUP(Agencia[[#This Row],[Filtro Integrado]],Estructura!$I$4:$K$500,3,0)</f>
        <v>FI-993</v>
      </c>
      <c r="AA1404" s="118" t="str">
        <f>+VLOOKUP(Agencia[[#This Row],[Muestra]],Estructura!$M$4:$O$500,3,0)</f>
        <v>M-1106</v>
      </c>
    </row>
    <row r="1405" spans="1:27" ht="72" x14ac:dyDescent="0.3">
      <c r="A1405" s="21" t="s">
        <v>4190</v>
      </c>
      <c r="B1405" s="24">
        <v>990</v>
      </c>
      <c r="C1405" s="25" t="s">
        <v>401</v>
      </c>
      <c r="D1405" s="10" t="s">
        <v>881</v>
      </c>
      <c r="E1405" s="19">
        <v>7</v>
      </c>
      <c r="F1405" s="10" t="s">
        <v>579</v>
      </c>
      <c r="G1405" s="10" t="s">
        <v>4099</v>
      </c>
      <c r="H1405" s="35" t="s">
        <v>16</v>
      </c>
      <c r="I1405" s="36" t="s">
        <v>374</v>
      </c>
      <c r="J1405" s="9" t="s">
        <v>404</v>
      </c>
      <c r="K1405" s="9" t="s">
        <v>4135</v>
      </c>
      <c r="L1405" s="9" t="s">
        <v>4108</v>
      </c>
      <c r="M1405" s="9" t="s">
        <v>928</v>
      </c>
      <c r="N1405" s="9" t="s">
        <v>582</v>
      </c>
      <c r="O1405" s="20" t="s">
        <v>4596</v>
      </c>
      <c r="P1405" s="20"/>
      <c r="Q1405" s="11" t="s">
        <v>821</v>
      </c>
      <c r="R1405" s="20" t="s">
        <v>5133</v>
      </c>
      <c r="S1405" s="39" t="s">
        <v>4597</v>
      </c>
      <c r="T1405" s="70" t="s">
        <v>3754</v>
      </c>
      <c r="U1405" s="50" t="s">
        <v>399</v>
      </c>
      <c r="V1405" s="118" t="str">
        <f>+Agencia[[#This Row],[idcoleccion]]&amp;"-"&amp;Agencia[[#This Row],[id]]</f>
        <v>990-1394</v>
      </c>
      <c r="W1405" s="118">
        <f>+VLOOKUP(Agencia[[#This Row],[Filtro URL]],Estructura!$X$4:$Y$500,2,0)</f>
        <v>99200007</v>
      </c>
      <c r="X1405" s="118" t="str">
        <f>+VLOOKUP(Agencia[[#This Row],[tema]],Estructura!$A$4:$C$500,3,0)</f>
        <v>T-1031</v>
      </c>
      <c r="Y1405" s="118" t="str">
        <f>+VLOOKUP(Agencia[[#This Row],[contenido]],Estructura!$E$4:$G$500,3,0)</f>
        <v>C-1014</v>
      </c>
      <c r="Z1405" s="118" t="str">
        <f>+VLOOKUP(Agencia[[#This Row],[Filtro Integrado]],Estructura!$I$4:$K$500,3,0)</f>
        <v>FI-993</v>
      </c>
      <c r="AA1405" s="118" t="str">
        <f>+VLOOKUP(Agencia[[#This Row],[Muestra]],Estructura!$M$4:$O$500,3,0)</f>
        <v>M-1106</v>
      </c>
    </row>
    <row r="1406" spans="1:27" ht="72" x14ac:dyDescent="0.3">
      <c r="A1406" s="21" t="s">
        <v>4191</v>
      </c>
      <c r="B1406" s="24">
        <v>990</v>
      </c>
      <c r="C1406" s="25" t="s">
        <v>401</v>
      </c>
      <c r="D1406" s="10" t="s">
        <v>881</v>
      </c>
      <c r="E1406" s="19">
        <v>8</v>
      </c>
      <c r="F1406" s="10" t="s">
        <v>579</v>
      </c>
      <c r="G1406" s="10" t="s">
        <v>4099</v>
      </c>
      <c r="H1406" s="35" t="s">
        <v>16</v>
      </c>
      <c r="I1406" s="36" t="s">
        <v>375</v>
      </c>
      <c r="J1406" s="9" t="s">
        <v>404</v>
      </c>
      <c r="K1406" s="9" t="s">
        <v>4135</v>
      </c>
      <c r="L1406" s="9" t="s">
        <v>4108</v>
      </c>
      <c r="M1406" s="9" t="s">
        <v>928</v>
      </c>
      <c r="N1406" s="9" t="s">
        <v>582</v>
      </c>
      <c r="O1406" s="20" t="s">
        <v>4598</v>
      </c>
      <c r="P1406" s="20"/>
      <c r="Q1406" s="11" t="s">
        <v>821</v>
      </c>
      <c r="R1406" s="20" t="s">
        <v>5134</v>
      </c>
      <c r="S1406" s="39" t="s">
        <v>4599</v>
      </c>
      <c r="T1406" s="70" t="s">
        <v>3759</v>
      </c>
      <c r="U1406" s="50" t="s">
        <v>399</v>
      </c>
      <c r="V1406" s="118" t="str">
        <f>+Agencia[[#This Row],[idcoleccion]]&amp;"-"&amp;Agencia[[#This Row],[id]]</f>
        <v>990-1395</v>
      </c>
      <c r="W1406" s="118">
        <f>+VLOOKUP(Agencia[[#This Row],[Filtro URL]],Estructura!$X$4:$Y$500,2,0)</f>
        <v>99200008</v>
      </c>
      <c r="X1406" s="118" t="str">
        <f>+VLOOKUP(Agencia[[#This Row],[tema]],Estructura!$A$4:$C$500,3,0)</f>
        <v>T-1031</v>
      </c>
      <c r="Y1406" s="118" t="str">
        <f>+VLOOKUP(Agencia[[#This Row],[contenido]],Estructura!$E$4:$G$500,3,0)</f>
        <v>C-1014</v>
      </c>
      <c r="Z1406" s="118" t="str">
        <f>+VLOOKUP(Agencia[[#This Row],[Filtro Integrado]],Estructura!$I$4:$K$500,3,0)</f>
        <v>FI-993</v>
      </c>
      <c r="AA1406" s="118" t="str">
        <f>+VLOOKUP(Agencia[[#This Row],[Muestra]],Estructura!$M$4:$O$500,3,0)</f>
        <v>M-1106</v>
      </c>
    </row>
    <row r="1407" spans="1:27" ht="72" x14ac:dyDescent="0.3">
      <c r="A1407" s="21" t="s">
        <v>4192</v>
      </c>
      <c r="B1407" s="24">
        <v>990</v>
      </c>
      <c r="C1407" s="25" t="s">
        <v>401</v>
      </c>
      <c r="D1407" s="10" t="s">
        <v>881</v>
      </c>
      <c r="E1407" s="19">
        <v>9</v>
      </c>
      <c r="F1407" s="10" t="s">
        <v>579</v>
      </c>
      <c r="G1407" s="10" t="s">
        <v>4099</v>
      </c>
      <c r="H1407" s="35" t="s">
        <v>16</v>
      </c>
      <c r="I1407" s="36" t="s">
        <v>376</v>
      </c>
      <c r="J1407" s="9" t="s">
        <v>404</v>
      </c>
      <c r="K1407" s="9" t="s">
        <v>4135</v>
      </c>
      <c r="L1407" s="9" t="s">
        <v>4108</v>
      </c>
      <c r="M1407" s="9" t="s">
        <v>928</v>
      </c>
      <c r="N1407" s="9" t="s">
        <v>582</v>
      </c>
      <c r="O1407" s="20" t="s">
        <v>4600</v>
      </c>
      <c r="P1407" s="20"/>
      <c r="Q1407" s="11" t="s">
        <v>821</v>
      </c>
      <c r="R1407" s="20" t="s">
        <v>5135</v>
      </c>
      <c r="S1407" s="39" t="s">
        <v>4601</v>
      </c>
      <c r="T1407" s="70" t="s">
        <v>3750</v>
      </c>
      <c r="U1407" s="50" t="s">
        <v>399</v>
      </c>
      <c r="V1407" s="118" t="str">
        <f>+Agencia[[#This Row],[idcoleccion]]&amp;"-"&amp;Agencia[[#This Row],[id]]</f>
        <v>990-1396</v>
      </c>
      <c r="W1407" s="118">
        <f>+VLOOKUP(Agencia[[#This Row],[Filtro URL]],Estructura!$X$4:$Y$500,2,0)</f>
        <v>99200009</v>
      </c>
      <c r="X1407" s="118" t="str">
        <f>+VLOOKUP(Agencia[[#This Row],[tema]],Estructura!$A$4:$C$500,3,0)</f>
        <v>T-1031</v>
      </c>
      <c r="Y1407" s="118" t="str">
        <f>+VLOOKUP(Agencia[[#This Row],[contenido]],Estructura!$E$4:$G$500,3,0)</f>
        <v>C-1014</v>
      </c>
      <c r="Z1407" s="118" t="str">
        <f>+VLOOKUP(Agencia[[#This Row],[Filtro Integrado]],Estructura!$I$4:$K$500,3,0)</f>
        <v>FI-993</v>
      </c>
      <c r="AA1407" s="118" t="str">
        <f>+VLOOKUP(Agencia[[#This Row],[Muestra]],Estructura!$M$4:$O$500,3,0)</f>
        <v>M-1106</v>
      </c>
    </row>
    <row r="1408" spans="1:27" ht="72" x14ac:dyDescent="0.3">
      <c r="A1408" s="21" t="s">
        <v>4193</v>
      </c>
      <c r="B1408" s="24">
        <v>990</v>
      </c>
      <c r="C1408" s="25" t="s">
        <v>401</v>
      </c>
      <c r="D1408" s="10" t="s">
        <v>881</v>
      </c>
      <c r="E1408" s="19">
        <v>10</v>
      </c>
      <c r="F1408" s="10" t="s">
        <v>579</v>
      </c>
      <c r="G1408" s="10" t="s">
        <v>4099</v>
      </c>
      <c r="H1408" s="35" t="s">
        <v>16</v>
      </c>
      <c r="I1408" s="36" t="s">
        <v>377</v>
      </c>
      <c r="J1408" s="9" t="s">
        <v>404</v>
      </c>
      <c r="K1408" s="9" t="s">
        <v>4135</v>
      </c>
      <c r="L1408" s="9" t="s">
        <v>4108</v>
      </c>
      <c r="M1408" s="9" t="s">
        <v>928</v>
      </c>
      <c r="N1408" s="9" t="s">
        <v>582</v>
      </c>
      <c r="O1408" s="20" t="s">
        <v>4602</v>
      </c>
      <c r="P1408" s="20"/>
      <c r="Q1408" s="11" t="s">
        <v>821</v>
      </c>
      <c r="R1408" s="20" t="s">
        <v>5136</v>
      </c>
      <c r="S1408" s="39" t="s">
        <v>4603</v>
      </c>
      <c r="T1408" s="70" t="s">
        <v>3751</v>
      </c>
      <c r="U1408" s="50" t="s">
        <v>399</v>
      </c>
      <c r="V1408" s="118" t="str">
        <f>+Agencia[[#This Row],[idcoleccion]]&amp;"-"&amp;Agencia[[#This Row],[id]]</f>
        <v>990-1397</v>
      </c>
      <c r="W1408" s="118">
        <f>+VLOOKUP(Agencia[[#This Row],[Filtro URL]],Estructura!$X$4:$Y$500,2,0)</f>
        <v>99200010</v>
      </c>
      <c r="X1408" s="118" t="str">
        <f>+VLOOKUP(Agencia[[#This Row],[tema]],Estructura!$A$4:$C$500,3,0)</f>
        <v>T-1031</v>
      </c>
      <c r="Y1408" s="118" t="str">
        <f>+VLOOKUP(Agencia[[#This Row],[contenido]],Estructura!$E$4:$G$500,3,0)</f>
        <v>C-1014</v>
      </c>
      <c r="Z1408" s="118" t="str">
        <f>+VLOOKUP(Agencia[[#This Row],[Filtro Integrado]],Estructura!$I$4:$K$500,3,0)</f>
        <v>FI-993</v>
      </c>
      <c r="AA1408" s="118" t="str">
        <f>+VLOOKUP(Agencia[[#This Row],[Muestra]],Estructura!$M$4:$O$500,3,0)</f>
        <v>M-1106</v>
      </c>
    </row>
    <row r="1409" spans="1:27" ht="72" x14ac:dyDescent="0.3">
      <c r="A1409" s="21" t="s">
        <v>4194</v>
      </c>
      <c r="B1409" s="24">
        <v>990</v>
      </c>
      <c r="C1409" s="25" t="s">
        <v>401</v>
      </c>
      <c r="D1409" s="10" t="s">
        <v>881</v>
      </c>
      <c r="E1409" s="19">
        <v>11</v>
      </c>
      <c r="F1409" s="10" t="s">
        <v>579</v>
      </c>
      <c r="G1409" s="10" t="s">
        <v>4099</v>
      </c>
      <c r="H1409" s="35" t="s">
        <v>16</v>
      </c>
      <c r="I1409" s="36" t="s">
        <v>378</v>
      </c>
      <c r="J1409" s="9" t="s">
        <v>404</v>
      </c>
      <c r="K1409" s="9" t="s">
        <v>4135</v>
      </c>
      <c r="L1409" s="9" t="s">
        <v>4108</v>
      </c>
      <c r="M1409" s="9" t="s">
        <v>928</v>
      </c>
      <c r="N1409" s="9" t="s">
        <v>582</v>
      </c>
      <c r="O1409" s="20" t="s">
        <v>4604</v>
      </c>
      <c r="P1409" s="20"/>
      <c r="Q1409" s="11" t="s">
        <v>821</v>
      </c>
      <c r="R1409" s="20" t="s">
        <v>5137</v>
      </c>
      <c r="S1409" s="39" t="s">
        <v>4605</v>
      </c>
      <c r="T1409" s="70" t="s">
        <v>3748</v>
      </c>
      <c r="U1409" s="50" t="s">
        <v>399</v>
      </c>
      <c r="V1409" s="118" t="str">
        <f>+Agencia[[#This Row],[idcoleccion]]&amp;"-"&amp;Agencia[[#This Row],[id]]</f>
        <v>990-1398</v>
      </c>
      <c r="W1409" s="118">
        <f>+VLOOKUP(Agencia[[#This Row],[Filtro URL]],Estructura!$X$4:$Y$500,2,0)</f>
        <v>99200011</v>
      </c>
      <c r="X1409" s="118" t="str">
        <f>+VLOOKUP(Agencia[[#This Row],[tema]],Estructura!$A$4:$C$500,3,0)</f>
        <v>T-1031</v>
      </c>
      <c r="Y1409" s="118" t="str">
        <f>+VLOOKUP(Agencia[[#This Row],[contenido]],Estructura!$E$4:$G$500,3,0)</f>
        <v>C-1014</v>
      </c>
      <c r="Z1409" s="118" t="str">
        <f>+VLOOKUP(Agencia[[#This Row],[Filtro Integrado]],Estructura!$I$4:$K$500,3,0)</f>
        <v>FI-993</v>
      </c>
      <c r="AA1409" s="118" t="str">
        <f>+VLOOKUP(Agencia[[#This Row],[Muestra]],Estructura!$M$4:$O$500,3,0)</f>
        <v>M-1106</v>
      </c>
    </row>
    <row r="1410" spans="1:27" ht="72" x14ac:dyDescent="0.3">
      <c r="A1410" s="21" t="s">
        <v>4195</v>
      </c>
      <c r="B1410" s="24">
        <v>990</v>
      </c>
      <c r="C1410" s="25" t="s">
        <v>401</v>
      </c>
      <c r="D1410" s="10" t="s">
        <v>881</v>
      </c>
      <c r="E1410" s="19">
        <v>12</v>
      </c>
      <c r="F1410" s="10" t="s">
        <v>579</v>
      </c>
      <c r="G1410" s="10" t="s">
        <v>4099</v>
      </c>
      <c r="H1410" s="35" t="s">
        <v>16</v>
      </c>
      <c r="I1410" s="36" t="s">
        <v>379</v>
      </c>
      <c r="J1410" s="9" t="s">
        <v>404</v>
      </c>
      <c r="K1410" s="9" t="s">
        <v>4135</v>
      </c>
      <c r="L1410" s="9" t="s">
        <v>4108</v>
      </c>
      <c r="M1410" s="9" t="s">
        <v>928</v>
      </c>
      <c r="N1410" s="9" t="s">
        <v>582</v>
      </c>
      <c r="O1410" s="20" t="s">
        <v>4606</v>
      </c>
      <c r="P1410" s="20"/>
      <c r="Q1410" s="11" t="s">
        <v>821</v>
      </c>
      <c r="R1410" s="20" t="s">
        <v>5138</v>
      </c>
      <c r="S1410" s="39" t="s">
        <v>4607</v>
      </c>
      <c r="T1410" s="70" t="s">
        <v>3753</v>
      </c>
      <c r="U1410" s="50" t="s">
        <v>399</v>
      </c>
      <c r="V1410" s="118" t="str">
        <f>+Agencia[[#This Row],[idcoleccion]]&amp;"-"&amp;Agencia[[#This Row],[id]]</f>
        <v>990-1399</v>
      </c>
      <c r="W1410" s="118">
        <f>+VLOOKUP(Agencia[[#This Row],[Filtro URL]],Estructura!$X$4:$Y$500,2,0)</f>
        <v>99200012</v>
      </c>
      <c r="X1410" s="118" t="str">
        <f>+VLOOKUP(Agencia[[#This Row],[tema]],Estructura!$A$4:$C$500,3,0)</f>
        <v>T-1031</v>
      </c>
      <c r="Y1410" s="118" t="str">
        <f>+VLOOKUP(Agencia[[#This Row],[contenido]],Estructura!$E$4:$G$500,3,0)</f>
        <v>C-1014</v>
      </c>
      <c r="Z1410" s="118" t="str">
        <f>+VLOOKUP(Agencia[[#This Row],[Filtro Integrado]],Estructura!$I$4:$K$500,3,0)</f>
        <v>FI-993</v>
      </c>
      <c r="AA1410" s="118" t="str">
        <f>+VLOOKUP(Agencia[[#This Row],[Muestra]],Estructura!$M$4:$O$500,3,0)</f>
        <v>M-1106</v>
      </c>
    </row>
    <row r="1411" spans="1:27" ht="72" x14ac:dyDescent="0.3">
      <c r="A1411" s="21" t="s">
        <v>4196</v>
      </c>
      <c r="B1411" s="24">
        <v>990</v>
      </c>
      <c r="C1411" s="25" t="s">
        <v>401</v>
      </c>
      <c r="D1411" s="10" t="s">
        <v>881</v>
      </c>
      <c r="E1411" s="19">
        <v>13</v>
      </c>
      <c r="F1411" s="10" t="s">
        <v>579</v>
      </c>
      <c r="G1411" s="10" t="s">
        <v>4099</v>
      </c>
      <c r="H1411" s="35" t="s">
        <v>16</v>
      </c>
      <c r="I1411" s="36" t="s">
        <v>380</v>
      </c>
      <c r="J1411" s="9" t="s">
        <v>404</v>
      </c>
      <c r="K1411" s="9" t="s">
        <v>4135</v>
      </c>
      <c r="L1411" s="9" t="s">
        <v>4108</v>
      </c>
      <c r="M1411" s="9" t="s">
        <v>928</v>
      </c>
      <c r="N1411" s="9" t="s">
        <v>582</v>
      </c>
      <c r="O1411" s="20" t="s">
        <v>4608</v>
      </c>
      <c r="P1411" s="20"/>
      <c r="Q1411" s="11" t="s">
        <v>821</v>
      </c>
      <c r="R1411" s="20" t="s">
        <v>5139</v>
      </c>
      <c r="S1411" s="39" t="s">
        <v>4609</v>
      </c>
      <c r="T1411" s="70" t="s">
        <v>3760</v>
      </c>
      <c r="U1411" s="50" t="s">
        <v>399</v>
      </c>
      <c r="V1411" s="118" t="str">
        <f>+Agencia[[#This Row],[idcoleccion]]&amp;"-"&amp;Agencia[[#This Row],[id]]</f>
        <v>990-1400</v>
      </c>
      <c r="W1411" s="118">
        <f>+VLOOKUP(Agencia[[#This Row],[Filtro URL]],Estructura!$X$4:$Y$500,2,0)</f>
        <v>99200013</v>
      </c>
      <c r="X1411" s="118" t="str">
        <f>+VLOOKUP(Agencia[[#This Row],[tema]],Estructura!$A$4:$C$500,3,0)</f>
        <v>T-1031</v>
      </c>
      <c r="Y1411" s="118" t="str">
        <f>+VLOOKUP(Agencia[[#This Row],[contenido]],Estructura!$E$4:$G$500,3,0)</f>
        <v>C-1014</v>
      </c>
      <c r="Z1411" s="118" t="str">
        <f>+VLOOKUP(Agencia[[#This Row],[Filtro Integrado]],Estructura!$I$4:$K$500,3,0)</f>
        <v>FI-993</v>
      </c>
      <c r="AA1411" s="118" t="str">
        <f>+VLOOKUP(Agencia[[#This Row],[Muestra]],Estructura!$M$4:$O$500,3,0)</f>
        <v>M-1106</v>
      </c>
    </row>
    <row r="1412" spans="1:27" ht="72" x14ac:dyDescent="0.3">
      <c r="A1412" s="21" t="s">
        <v>4197</v>
      </c>
      <c r="B1412" s="24">
        <v>990</v>
      </c>
      <c r="C1412" s="25" t="s">
        <v>401</v>
      </c>
      <c r="D1412" s="10" t="s">
        <v>881</v>
      </c>
      <c r="E1412" s="19">
        <v>14</v>
      </c>
      <c r="F1412" s="10" t="s">
        <v>579</v>
      </c>
      <c r="G1412" s="10" t="s">
        <v>4099</v>
      </c>
      <c r="H1412" s="35" t="s">
        <v>16</v>
      </c>
      <c r="I1412" s="36" t="s">
        <v>381</v>
      </c>
      <c r="J1412" s="9" t="s">
        <v>404</v>
      </c>
      <c r="K1412" s="9" t="s">
        <v>4135</v>
      </c>
      <c r="L1412" s="9" t="s">
        <v>4108</v>
      </c>
      <c r="M1412" s="9" t="s">
        <v>928</v>
      </c>
      <c r="N1412" s="9" t="s">
        <v>582</v>
      </c>
      <c r="O1412" s="20" t="s">
        <v>4610</v>
      </c>
      <c r="P1412" s="20"/>
      <c r="Q1412" s="11" t="s">
        <v>821</v>
      </c>
      <c r="R1412" s="20" t="s">
        <v>5140</v>
      </c>
      <c r="S1412" s="39" t="s">
        <v>4611</v>
      </c>
      <c r="T1412" s="70" t="s">
        <v>3752</v>
      </c>
      <c r="U1412" s="50" t="s">
        <v>399</v>
      </c>
      <c r="V1412" s="118" t="str">
        <f>+Agencia[[#This Row],[idcoleccion]]&amp;"-"&amp;Agencia[[#This Row],[id]]</f>
        <v>990-1401</v>
      </c>
      <c r="W1412" s="118">
        <f>+VLOOKUP(Agencia[[#This Row],[Filtro URL]],Estructura!$X$4:$Y$500,2,0)</f>
        <v>99200014</v>
      </c>
      <c r="X1412" s="118" t="str">
        <f>+VLOOKUP(Agencia[[#This Row],[tema]],Estructura!$A$4:$C$500,3,0)</f>
        <v>T-1031</v>
      </c>
      <c r="Y1412" s="118" t="str">
        <f>+VLOOKUP(Agencia[[#This Row],[contenido]],Estructura!$E$4:$G$500,3,0)</f>
        <v>C-1014</v>
      </c>
      <c r="Z1412" s="118" t="str">
        <f>+VLOOKUP(Agencia[[#This Row],[Filtro Integrado]],Estructura!$I$4:$K$500,3,0)</f>
        <v>FI-993</v>
      </c>
      <c r="AA1412" s="118" t="str">
        <f>+VLOOKUP(Agencia[[#This Row],[Muestra]],Estructura!$M$4:$O$500,3,0)</f>
        <v>M-1106</v>
      </c>
    </row>
    <row r="1413" spans="1:27" ht="72" x14ac:dyDescent="0.3">
      <c r="A1413" s="21" t="s">
        <v>4198</v>
      </c>
      <c r="B1413" s="24">
        <v>990</v>
      </c>
      <c r="C1413" s="25" t="s">
        <v>401</v>
      </c>
      <c r="D1413" s="10" t="s">
        <v>881</v>
      </c>
      <c r="E1413" s="19">
        <v>15</v>
      </c>
      <c r="F1413" s="10" t="s">
        <v>579</v>
      </c>
      <c r="G1413" s="10" t="s">
        <v>4099</v>
      </c>
      <c r="H1413" s="35" t="s">
        <v>16</v>
      </c>
      <c r="I1413" s="36" t="s">
        <v>382</v>
      </c>
      <c r="J1413" s="9" t="s">
        <v>404</v>
      </c>
      <c r="K1413" s="9" t="s">
        <v>4135</v>
      </c>
      <c r="L1413" s="9" t="s">
        <v>4108</v>
      </c>
      <c r="M1413" s="9" t="s">
        <v>928</v>
      </c>
      <c r="N1413" s="9" t="s">
        <v>582</v>
      </c>
      <c r="O1413" s="20" t="s">
        <v>5141</v>
      </c>
      <c r="P1413" s="20"/>
      <c r="Q1413" s="11" t="s">
        <v>821</v>
      </c>
      <c r="R1413" s="20" t="s">
        <v>5142</v>
      </c>
      <c r="S1413" s="39" t="s">
        <v>5143</v>
      </c>
      <c r="T1413" s="70" t="s">
        <v>3746</v>
      </c>
      <c r="U1413" s="50" t="s">
        <v>399</v>
      </c>
      <c r="V1413" s="118" t="str">
        <f>+Agencia[[#This Row],[idcoleccion]]&amp;"-"&amp;Agencia[[#This Row],[id]]</f>
        <v>990-1402</v>
      </c>
      <c r="W1413" s="118">
        <f>+VLOOKUP(Agencia[[#This Row],[Filtro URL]],Estructura!$X$4:$Y$500,2,0)</f>
        <v>99200015</v>
      </c>
      <c r="X1413" s="118" t="str">
        <f>+VLOOKUP(Agencia[[#This Row],[tema]],Estructura!$A$4:$C$500,3,0)</f>
        <v>T-1031</v>
      </c>
      <c r="Y1413" s="118" t="str">
        <f>+VLOOKUP(Agencia[[#This Row],[contenido]],Estructura!$E$4:$G$500,3,0)</f>
        <v>C-1014</v>
      </c>
      <c r="Z1413" s="118" t="str">
        <f>+VLOOKUP(Agencia[[#This Row],[Filtro Integrado]],Estructura!$I$4:$K$500,3,0)</f>
        <v>FI-993</v>
      </c>
      <c r="AA1413" s="118" t="str">
        <f>+VLOOKUP(Agencia[[#This Row],[Muestra]],Estructura!$M$4:$O$500,3,0)</f>
        <v>M-1106</v>
      </c>
    </row>
    <row r="1414" spans="1:27" ht="81.599999999999994" x14ac:dyDescent="0.3">
      <c r="A1414" s="21" t="s">
        <v>4199</v>
      </c>
      <c r="B1414" s="24">
        <v>990</v>
      </c>
      <c r="C1414" s="25" t="s">
        <v>401</v>
      </c>
      <c r="D1414" s="10" t="s">
        <v>881</v>
      </c>
      <c r="E1414" s="14">
        <v>0</v>
      </c>
      <c r="F1414" s="10" t="s">
        <v>579</v>
      </c>
      <c r="G1414" s="10" t="s">
        <v>4099</v>
      </c>
      <c r="H1414" s="33" t="s">
        <v>20</v>
      </c>
      <c r="I1414" s="34" t="s">
        <v>15</v>
      </c>
      <c r="J1414" s="9" t="s">
        <v>16</v>
      </c>
      <c r="K1414" s="9" t="s">
        <v>4154</v>
      </c>
      <c r="L1414" s="9" t="s">
        <v>4108</v>
      </c>
      <c r="M1414" s="9" t="s">
        <v>5292</v>
      </c>
      <c r="N1414" s="9" t="s">
        <v>582</v>
      </c>
      <c r="O1414" s="20" t="s">
        <v>5144</v>
      </c>
      <c r="P1414" s="20" t="s">
        <v>4155</v>
      </c>
      <c r="Q1414" s="11" t="s">
        <v>821</v>
      </c>
      <c r="R1414" s="20" t="s">
        <v>5145</v>
      </c>
      <c r="S1414" s="39" t="s">
        <v>4156</v>
      </c>
      <c r="T1414" s="70" t="s">
        <v>855</v>
      </c>
      <c r="U1414" s="50" t="s">
        <v>399</v>
      </c>
      <c r="V1414" s="118" t="str">
        <f>+Agencia[[#This Row],[idcoleccion]]&amp;"-"&amp;Agencia[[#This Row],[id]]</f>
        <v>990-1403</v>
      </c>
      <c r="W1414" s="118">
        <f>+VLOOKUP(Agencia[[#This Row],[Filtro URL]],Estructura!$X$4:$Y$500,2,0)</f>
        <v>99100000</v>
      </c>
      <c r="X1414" s="118" t="str">
        <f>+VLOOKUP(Agencia[[#This Row],[tema]],Estructura!$A$4:$C$500,3,0)</f>
        <v>T-1031</v>
      </c>
      <c r="Y1414" s="118" t="str">
        <f>+VLOOKUP(Agencia[[#This Row],[contenido]],Estructura!$E$4:$G$500,3,0)</f>
        <v>C-1014</v>
      </c>
      <c r="Z1414" s="118" t="str">
        <f>+VLOOKUP(Agencia[[#This Row],[Filtro Integrado]],Estructura!$I$4:$K$500,3,0)</f>
        <v>FI-992</v>
      </c>
      <c r="AA1414" s="118" t="str">
        <f>+VLOOKUP(Agencia[[#This Row],[Muestra]],Estructura!$M$4:$O$500,3,0)</f>
        <v>M-1107</v>
      </c>
    </row>
    <row r="1415" spans="1:27" ht="61.2" x14ac:dyDescent="0.3">
      <c r="A1415" s="21" t="s">
        <v>4200</v>
      </c>
      <c r="B1415" s="24">
        <v>990</v>
      </c>
      <c r="C1415" s="25" t="s">
        <v>401</v>
      </c>
      <c r="D1415" s="10" t="s">
        <v>881</v>
      </c>
      <c r="E1415" s="14">
        <v>0</v>
      </c>
      <c r="F1415" s="10" t="s">
        <v>4158</v>
      </c>
      <c r="G1415" s="10" t="s">
        <v>4099</v>
      </c>
      <c r="H1415" s="33" t="s">
        <v>20</v>
      </c>
      <c r="I1415" s="34" t="s">
        <v>15</v>
      </c>
      <c r="J1415" s="9" t="s">
        <v>16</v>
      </c>
      <c r="K1415" s="9" t="s">
        <v>4159</v>
      </c>
      <c r="L1415" s="9" t="s">
        <v>4108</v>
      </c>
      <c r="M1415" s="9" t="s">
        <v>5292</v>
      </c>
      <c r="N1415" s="9" t="s">
        <v>582</v>
      </c>
      <c r="O1415" s="20" t="s">
        <v>5146</v>
      </c>
      <c r="P1415" s="20" t="s">
        <v>4160</v>
      </c>
      <c r="Q1415" s="11" t="s">
        <v>821</v>
      </c>
      <c r="R1415" s="20" t="s">
        <v>5147</v>
      </c>
      <c r="S1415" s="39" t="s">
        <v>4161</v>
      </c>
      <c r="T1415" s="70" t="s">
        <v>855</v>
      </c>
      <c r="U1415" s="50" t="s">
        <v>399</v>
      </c>
      <c r="V1415" s="118" t="str">
        <f>+Agencia[[#This Row],[idcoleccion]]&amp;"-"&amp;Agencia[[#This Row],[id]]</f>
        <v>990-1404</v>
      </c>
      <c r="W1415" s="118">
        <f>+VLOOKUP(Agencia[[#This Row],[Filtro URL]],Estructura!$X$4:$Y$500,2,0)</f>
        <v>99100000</v>
      </c>
      <c r="X1415" s="118" t="str">
        <f>+VLOOKUP(Agencia[[#This Row],[tema]],Estructura!$A$4:$C$500,3,0)</f>
        <v>T-1052</v>
      </c>
      <c r="Y1415" s="118" t="str">
        <f>+VLOOKUP(Agencia[[#This Row],[contenido]],Estructura!$E$4:$G$500,3,0)</f>
        <v>C-1014</v>
      </c>
      <c r="Z1415" s="118" t="str">
        <f>+VLOOKUP(Agencia[[#This Row],[Filtro Integrado]],Estructura!$I$4:$K$500,3,0)</f>
        <v>FI-992</v>
      </c>
      <c r="AA1415" s="118" t="str">
        <f>+VLOOKUP(Agencia[[#This Row],[Muestra]],Estructura!$M$4:$O$500,3,0)</f>
        <v>M-1108</v>
      </c>
    </row>
    <row r="1416" spans="1:27" ht="72" x14ac:dyDescent="0.3">
      <c r="A1416" s="21" t="s">
        <v>4206</v>
      </c>
      <c r="B1416" s="24">
        <v>990</v>
      </c>
      <c r="C1416" s="25" t="s">
        <v>401</v>
      </c>
      <c r="D1416" s="10" t="s">
        <v>881</v>
      </c>
      <c r="E1416" s="19">
        <v>1</v>
      </c>
      <c r="F1416" s="10" t="s">
        <v>4158</v>
      </c>
      <c r="G1416" s="10" t="s">
        <v>4099</v>
      </c>
      <c r="H1416" s="35" t="s">
        <v>16</v>
      </c>
      <c r="I1416" s="36" t="s">
        <v>368</v>
      </c>
      <c r="J1416" s="9" t="s">
        <v>404</v>
      </c>
      <c r="K1416" s="9" t="s">
        <v>4159</v>
      </c>
      <c r="L1416" s="9" t="s">
        <v>4108</v>
      </c>
      <c r="M1416" s="9" t="s">
        <v>5292</v>
      </c>
      <c r="N1416" s="9" t="s">
        <v>582</v>
      </c>
      <c r="O1416" s="20" t="s">
        <v>5148</v>
      </c>
      <c r="P1416" s="20"/>
      <c r="Q1416" s="11" t="s">
        <v>821</v>
      </c>
      <c r="R1416" s="20" t="s">
        <v>5149</v>
      </c>
      <c r="S1416" s="39" t="s">
        <v>4612</v>
      </c>
      <c r="T1416" s="70" t="s">
        <v>3757</v>
      </c>
      <c r="U1416" s="50" t="s">
        <v>399</v>
      </c>
      <c r="V1416" s="118" t="str">
        <f>+Agencia[[#This Row],[idcoleccion]]&amp;"-"&amp;Agencia[[#This Row],[id]]</f>
        <v>990-1405</v>
      </c>
      <c r="W1416" s="118">
        <f>+VLOOKUP(Agencia[[#This Row],[Filtro URL]],Estructura!$X$4:$Y$500,2,0)</f>
        <v>99200001</v>
      </c>
      <c r="X1416" s="118" t="str">
        <f>+VLOOKUP(Agencia[[#This Row],[tema]],Estructura!$A$4:$C$500,3,0)</f>
        <v>T-1052</v>
      </c>
      <c r="Y1416" s="118" t="str">
        <f>+VLOOKUP(Agencia[[#This Row],[contenido]],Estructura!$E$4:$G$500,3,0)</f>
        <v>C-1014</v>
      </c>
      <c r="Z1416" s="118" t="str">
        <f>+VLOOKUP(Agencia[[#This Row],[Filtro Integrado]],Estructura!$I$4:$K$500,3,0)</f>
        <v>FI-993</v>
      </c>
      <c r="AA1416" s="118" t="str">
        <f>+VLOOKUP(Agencia[[#This Row],[Muestra]],Estructura!$M$4:$O$500,3,0)</f>
        <v>M-1108</v>
      </c>
    </row>
    <row r="1417" spans="1:27" ht="72" x14ac:dyDescent="0.3">
      <c r="A1417" s="21" t="s">
        <v>4207</v>
      </c>
      <c r="B1417" s="24">
        <v>990</v>
      </c>
      <c r="C1417" s="25" t="s">
        <v>401</v>
      </c>
      <c r="D1417" s="10" t="s">
        <v>881</v>
      </c>
      <c r="E1417" s="19">
        <v>2</v>
      </c>
      <c r="F1417" s="10" t="s">
        <v>4158</v>
      </c>
      <c r="G1417" s="10" t="s">
        <v>4099</v>
      </c>
      <c r="H1417" s="35" t="s">
        <v>16</v>
      </c>
      <c r="I1417" s="36" t="s">
        <v>369</v>
      </c>
      <c r="J1417" s="9" t="s">
        <v>404</v>
      </c>
      <c r="K1417" s="9" t="s">
        <v>4159</v>
      </c>
      <c r="L1417" s="9" t="s">
        <v>4108</v>
      </c>
      <c r="M1417" s="9" t="s">
        <v>5292</v>
      </c>
      <c r="N1417" s="9" t="s">
        <v>582</v>
      </c>
      <c r="O1417" s="20" t="s">
        <v>5150</v>
      </c>
      <c r="P1417" s="20"/>
      <c r="Q1417" s="11" t="s">
        <v>821</v>
      </c>
      <c r="R1417" s="20" t="s">
        <v>5151</v>
      </c>
      <c r="S1417" s="39" t="s">
        <v>4613</v>
      </c>
      <c r="T1417" s="70" t="s">
        <v>3745</v>
      </c>
      <c r="U1417" s="50" t="s">
        <v>399</v>
      </c>
      <c r="V1417" s="118" t="str">
        <f>+Agencia[[#This Row],[idcoleccion]]&amp;"-"&amp;Agencia[[#This Row],[id]]</f>
        <v>990-1406</v>
      </c>
      <c r="W1417" s="118">
        <f>+VLOOKUP(Agencia[[#This Row],[Filtro URL]],Estructura!$X$4:$Y$500,2,0)</f>
        <v>99200002</v>
      </c>
      <c r="X1417" s="118" t="str">
        <f>+VLOOKUP(Agencia[[#This Row],[tema]],Estructura!$A$4:$C$500,3,0)</f>
        <v>T-1052</v>
      </c>
      <c r="Y1417" s="118" t="str">
        <f>+VLOOKUP(Agencia[[#This Row],[contenido]],Estructura!$E$4:$G$500,3,0)</f>
        <v>C-1014</v>
      </c>
      <c r="Z1417" s="118" t="str">
        <f>+VLOOKUP(Agencia[[#This Row],[Filtro Integrado]],Estructura!$I$4:$K$500,3,0)</f>
        <v>FI-993</v>
      </c>
      <c r="AA1417" s="118" t="str">
        <f>+VLOOKUP(Agencia[[#This Row],[Muestra]],Estructura!$M$4:$O$500,3,0)</f>
        <v>M-1108</v>
      </c>
    </row>
    <row r="1418" spans="1:27" ht="72" x14ac:dyDescent="0.3">
      <c r="A1418" s="21" t="s">
        <v>4208</v>
      </c>
      <c r="B1418" s="24">
        <v>990</v>
      </c>
      <c r="C1418" s="25" t="s">
        <v>401</v>
      </c>
      <c r="D1418" s="10" t="s">
        <v>881</v>
      </c>
      <c r="E1418" s="19">
        <v>3</v>
      </c>
      <c r="F1418" s="10" t="s">
        <v>4158</v>
      </c>
      <c r="G1418" s="10" t="s">
        <v>4099</v>
      </c>
      <c r="H1418" s="35" t="s">
        <v>16</v>
      </c>
      <c r="I1418" s="36" t="s">
        <v>370</v>
      </c>
      <c r="J1418" s="9" t="s">
        <v>404</v>
      </c>
      <c r="K1418" s="9" t="s">
        <v>4159</v>
      </c>
      <c r="L1418" s="9" t="s">
        <v>4108</v>
      </c>
      <c r="M1418" s="9" t="s">
        <v>5292</v>
      </c>
      <c r="N1418" s="9" t="s">
        <v>582</v>
      </c>
      <c r="O1418" s="20" t="s">
        <v>5152</v>
      </c>
      <c r="P1418" s="20"/>
      <c r="Q1418" s="11" t="s">
        <v>821</v>
      </c>
      <c r="R1418" s="20" t="s">
        <v>5153</v>
      </c>
      <c r="S1418" s="39" t="s">
        <v>4614</v>
      </c>
      <c r="T1418" s="70" t="s">
        <v>3747</v>
      </c>
      <c r="U1418" s="50" t="s">
        <v>399</v>
      </c>
      <c r="V1418" s="118" t="str">
        <f>+Agencia[[#This Row],[idcoleccion]]&amp;"-"&amp;Agencia[[#This Row],[id]]</f>
        <v>990-1407</v>
      </c>
      <c r="W1418" s="118">
        <f>+VLOOKUP(Agencia[[#This Row],[Filtro URL]],Estructura!$X$4:$Y$500,2,0)</f>
        <v>99200003</v>
      </c>
      <c r="X1418" s="118" t="str">
        <f>+VLOOKUP(Agencia[[#This Row],[tema]],Estructura!$A$4:$C$500,3,0)</f>
        <v>T-1052</v>
      </c>
      <c r="Y1418" s="118" t="str">
        <f>+VLOOKUP(Agencia[[#This Row],[contenido]],Estructura!$E$4:$G$500,3,0)</f>
        <v>C-1014</v>
      </c>
      <c r="Z1418" s="118" t="str">
        <f>+VLOOKUP(Agencia[[#This Row],[Filtro Integrado]],Estructura!$I$4:$K$500,3,0)</f>
        <v>FI-993</v>
      </c>
      <c r="AA1418" s="118" t="str">
        <f>+VLOOKUP(Agencia[[#This Row],[Muestra]],Estructura!$M$4:$O$500,3,0)</f>
        <v>M-1108</v>
      </c>
    </row>
    <row r="1419" spans="1:27" ht="72" x14ac:dyDescent="0.3">
      <c r="A1419" s="21" t="s">
        <v>4209</v>
      </c>
      <c r="B1419" s="24">
        <v>990</v>
      </c>
      <c r="C1419" s="25" t="s">
        <v>401</v>
      </c>
      <c r="D1419" s="10" t="s">
        <v>881</v>
      </c>
      <c r="E1419" s="19">
        <v>4</v>
      </c>
      <c r="F1419" s="10" t="s">
        <v>4158</v>
      </c>
      <c r="G1419" s="10" t="s">
        <v>4099</v>
      </c>
      <c r="H1419" s="35" t="s">
        <v>16</v>
      </c>
      <c r="I1419" s="36" t="s">
        <v>371</v>
      </c>
      <c r="J1419" s="9" t="s">
        <v>404</v>
      </c>
      <c r="K1419" s="9" t="s">
        <v>4159</v>
      </c>
      <c r="L1419" s="9" t="s">
        <v>4108</v>
      </c>
      <c r="M1419" s="9" t="s">
        <v>5292</v>
      </c>
      <c r="N1419" s="9" t="s">
        <v>582</v>
      </c>
      <c r="O1419" s="20" t="s">
        <v>5154</v>
      </c>
      <c r="P1419" s="20"/>
      <c r="Q1419" s="11" t="s">
        <v>821</v>
      </c>
      <c r="R1419" s="20" t="s">
        <v>5155</v>
      </c>
      <c r="S1419" s="39" t="s">
        <v>4615</v>
      </c>
      <c r="T1419" s="70" t="s">
        <v>3749</v>
      </c>
      <c r="U1419" s="50" t="s">
        <v>399</v>
      </c>
      <c r="V1419" s="118" t="str">
        <f>+Agencia[[#This Row],[idcoleccion]]&amp;"-"&amp;Agencia[[#This Row],[id]]</f>
        <v>990-1408</v>
      </c>
      <c r="W1419" s="118">
        <f>+VLOOKUP(Agencia[[#This Row],[Filtro URL]],Estructura!$X$4:$Y$500,2,0)</f>
        <v>99200004</v>
      </c>
      <c r="X1419" s="118" t="str">
        <f>+VLOOKUP(Agencia[[#This Row],[tema]],Estructura!$A$4:$C$500,3,0)</f>
        <v>T-1052</v>
      </c>
      <c r="Y1419" s="118" t="str">
        <f>+VLOOKUP(Agencia[[#This Row],[contenido]],Estructura!$E$4:$G$500,3,0)</f>
        <v>C-1014</v>
      </c>
      <c r="Z1419" s="118" t="str">
        <f>+VLOOKUP(Agencia[[#This Row],[Filtro Integrado]],Estructura!$I$4:$K$500,3,0)</f>
        <v>FI-993</v>
      </c>
      <c r="AA1419" s="118" t="str">
        <f>+VLOOKUP(Agencia[[#This Row],[Muestra]],Estructura!$M$4:$O$500,3,0)</f>
        <v>M-1108</v>
      </c>
    </row>
    <row r="1420" spans="1:27" ht="72" x14ac:dyDescent="0.3">
      <c r="A1420" s="21" t="s">
        <v>4210</v>
      </c>
      <c r="B1420" s="24">
        <v>990</v>
      </c>
      <c r="C1420" s="25" t="s">
        <v>401</v>
      </c>
      <c r="D1420" s="10" t="s">
        <v>881</v>
      </c>
      <c r="E1420" s="19">
        <v>5</v>
      </c>
      <c r="F1420" s="10" t="s">
        <v>4158</v>
      </c>
      <c r="G1420" s="10" t="s">
        <v>4099</v>
      </c>
      <c r="H1420" s="35" t="s">
        <v>16</v>
      </c>
      <c r="I1420" s="36" t="s">
        <v>372</v>
      </c>
      <c r="J1420" s="9" t="s">
        <v>404</v>
      </c>
      <c r="K1420" s="9" t="s">
        <v>4159</v>
      </c>
      <c r="L1420" s="9" t="s">
        <v>4108</v>
      </c>
      <c r="M1420" s="9" t="s">
        <v>5292</v>
      </c>
      <c r="N1420" s="9" t="s">
        <v>582</v>
      </c>
      <c r="O1420" s="20" t="s">
        <v>5156</v>
      </c>
      <c r="P1420" s="20"/>
      <c r="Q1420" s="11" t="s">
        <v>821</v>
      </c>
      <c r="R1420" s="20" t="s">
        <v>5157</v>
      </c>
      <c r="S1420" s="39" t="s">
        <v>4616</v>
      </c>
      <c r="T1420" s="70" t="s">
        <v>3758</v>
      </c>
      <c r="U1420" s="50" t="s">
        <v>399</v>
      </c>
      <c r="V1420" s="118" t="str">
        <f>+Agencia[[#This Row],[idcoleccion]]&amp;"-"&amp;Agencia[[#This Row],[id]]</f>
        <v>990-1409</v>
      </c>
      <c r="W1420" s="118">
        <f>+VLOOKUP(Agencia[[#This Row],[Filtro URL]],Estructura!$X$4:$Y$500,2,0)</f>
        <v>99200005</v>
      </c>
      <c r="X1420" s="118" t="str">
        <f>+VLOOKUP(Agencia[[#This Row],[tema]],Estructura!$A$4:$C$500,3,0)</f>
        <v>T-1052</v>
      </c>
      <c r="Y1420" s="118" t="str">
        <f>+VLOOKUP(Agencia[[#This Row],[contenido]],Estructura!$E$4:$G$500,3,0)</f>
        <v>C-1014</v>
      </c>
      <c r="Z1420" s="118" t="str">
        <f>+VLOOKUP(Agencia[[#This Row],[Filtro Integrado]],Estructura!$I$4:$K$500,3,0)</f>
        <v>FI-993</v>
      </c>
      <c r="AA1420" s="118" t="str">
        <f>+VLOOKUP(Agencia[[#This Row],[Muestra]],Estructura!$M$4:$O$500,3,0)</f>
        <v>M-1108</v>
      </c>
    </row>
    <row r="1421" spans="1:27" ht="72" x14ac:dyDescent="0.3">
      <c r="A1421" s="21" t="s">
        <v>4211</v>
      </c>
      <c r="B1421" s="24">
        <v>990</v>
      </c>
      <c r="C1421" s="25" t="s">
        <v>401</v>
      </c>
      <c r="D1421" s="10" t="s">
        <v>881</v>
      </c>
      <c r="E1421" s="19">
        <v>6</v>
      </c>
      <c r="F1421" s="10" t="s">
        <v>4158</v>
      </c>
      <c r="G1421" s="10" t="s">
        <v>4099</v>
      </c>
      <c r="H1421" s="35" t="s">
        <v>16</v>
      </c>
      <c r="I1421" s="36" t="s">
        <v>373</v>
      </c>
      <c r="J1421" s="9" t="s">
        <v>404</v>
      </c>
      <c r="K1421" s="9" t="s">
        <v>4159</v>
      </c>
      <c r="L1421" s="9" t="s">
        <v>4108</v>
      </c>
      <c r="M1421" s="9" t="s">
        <v>5292</v>
      </c>
      <c r="N1421" s="9" t="s">
        <v>582</v>
      </c>
      <c r="O1421" s="20" t="s">
        <v>5158</v>
      </c>
      <c r="P1421" s="20"/>
      <c r="Q1421" s="11" t="s">
        <v>821</v>
      </c>
      <c r="R1421" s="20" t="s">
        <v>5159</v>
      </c>
      <c r="S1421" s="39" t="s">
        <v>4617</v>
      </c>
      <c r="T1421" s="70" t="s">
        <v>3756</v>
      </c>
      <c r="U1421" s="50" t="s">
        <v>399</v>
      </c>
      <c r="V1421" s="118" t="str">
        <f>+Agencia[[#This Row],[idcoleccion]]&amp;"-"&amp;Agencia[[#This Row],[id]]</f>
        <v>990-1410</v>
      </c>
      <c r="W1421" s="118">
        <f>+VLOOKUP(Agencia[[#This Row],[Filtro URL]],Estructura!$X$4:$Y$500,2,0)</f>
        <v>99200006</v>
      </c>
      <c r="X1421" s="118" t="str">
        <f>+VLOOKUP(Agencia[[#This Row],[tema]],Estructura!$A$4:$C$500,3,0)</f>
        <v>T-1052</v>
      </c>
      <c r="Y1421" s="118" t="str">
        <f>+VLOOKUP(Agencia[[#This Row],[contenido]],Estructura!$E$4:$G$500,3,0)</f>
        <v>C-1014</v>
      </c>
      <c r="Z1421" s="118" t="str">
        <f>+VLOOKUP(Agencia[[#This Row],[Filtro Integrado]],Estructura!$I$4:$K$500,3,0)</f>
        <v>FI-993</v>
      </c>
      <c r="AA1421" s="118" t="str">
        <f>+VLOOKUP(Agencia[[#This Row],[Muestra]],Estructura!$M$4:$O$500,3,0)</f>
        <v>M-1108</v>
      </c>
    </row>
    <row r="1422" spans="1:27" ht="72" x14ac:dyDescent="0.3">
      <c r="A1422" s="21" t="s">
        <v>4212</v>
      </c>
      <c r="B1422" s="24">
        <v>990</v>
      </c>
      <c r="C1422" s="25" t="s">
        <v>401</v>
      </c>
      <c r="D1422" s="10" t="s">
        <v>881</v>
      </c>
      <c r="E1422" s="19">
        <v>7</v>
      </c>
      <c r="F1422" s="10" t="s">
        <v>4158</v>
      </c>
      <c r="G1422" s="10" t="s">
        <v>4099</v>
      </c>
      <c r="H1422" s="35" t="s">
        <v>16</v>
      </c>
      <c r="I1422" s="36" t="s">
        <v>374</v>
      </c>
      <c r="J1422" s="9" t="s">
        <v>404</v>
      </c>
      <c r="K1422" s="9" t="s">
        <v>4159</v>
      </c>
      <c r="L1422" s="9" t="s">
        <v>4108</v>
      </c>
      <c r="M1422" s="9" t="s">
        <v>5292</v>
      </c>
      <c r="N1422" s="9" t="s">
        <v>582</v>
      </c>
      <c r="O1422" s="20" t="s">
        <v>5160</v>
      </c>
      <c r="P1422" s="20"/>
      <c r="Q1422" s="11" t="s">
        <v>821</v>
      </c>
      <c r="R1422" s="20" t="s">
        <v>5161</v>
      </c>
      <c r="S1422" s="39" t="s">
        <v>4618</v>
      </c>
      <c r="T1422" s="70" t="s">
        <v>3754</v>
      </c>
      <c r="U1422" s="50" t="s">
        <v>399</v>
      </c>
      <c r="V1422" s="118" t="str">
        <f>+Agencia[[#This Row],[idcoleccion]]&amp;"-"&amp;Agencia[[#This Row],[id]]</f>
        <v>990-1411</v>
      </c>
      <c r="W1422" s="118">
        <f>+VLOOKUP(Agencia[[#This Row],[Filtro URL]],Estructura!$X$4:$Y$500,2,0)</f>
        <v>99200007</v>
      </c>
      <c r="X1422" s="118" t="str">
        <f>+VLOOKUP(Agencia[[#This Row],[tema]],Estructura!$A$4:$C$500,3,0)</f>
        <v>T-1052</v>
      </c>
      <c r="Y1422" s="118" t="str">
        <f>+VLOOKUP(Agencia[[#This Row],[contenido]],Estructura!$E$4:$G$500,3,0)</f>
        <v>C-1014</v>
      </c>
      <c r="Z1422" s="118" t="str">
        <f>+VLOOKUP(Agencia[[#This Row],[Filtro Integrado]],Estructura!$I$4:$K$500,3,0)</f>
        <v>FI-993</v>
      </c>
      <c r="AA1422" s="118" t="str">
        <f>+VLOOKUP(Agencia[[#This Row],[Muestra]],Estructura!$M$4:$O$500,3,0)</f>
        <v>M-1108</v>
      </c>
    </row>
    <row r="1423" spans="1:27" ht="72" x14ac:dyDescent="0.3">
      <c r="A1423" s="21" t="s">
        <v>4213</v>
      </c>
      <c r="B1423" s="24">
        <v>990</v>
      </c>
      <c r="C1423" s="25" t="s">
        <v>401</v>
      </c>
      <c r="D1423" s="10" t="s">
        <v>881</v>
      </c>
      <c r="E1423" s="19">
        <v>8</v>
      </c>
      <c r="F1423" s="10" t="s">
        <v>4158</v>
      </c>
      <c r="G1423" s="10" t="s">
        <v>4099</v>
      </c>
      <c r="H1423" s="35" t="s">
        <v>16</v>
      </c>
      <c r="I1423" s="36" t="s">
        <v>375</v>
      </c>
      <c r="J1423" s="9" t="s">
        <v>404</v>
      </c>
      <c r="K1423" s="9" t="s">
        <v>4159</v>
      </c>
      <c r="L1423" s="9" t="s">
        <v>4108</v>
      </c>
      <c r="M1423" s="9" t="s">
        <v>5292</v>
      </c>
      <c r="N1423" s="9" t="s">
        <v>582</v>
      </c>
      <c r="O1423" s="20" t="s">
        <v>5162</v>
      </c>
      <c r="P1423" s="20"/>
      <c r="Q1423" s="11" t="s">
        <v>821</v>
      </c>
      <c r="R1423" s="20" t="s">
        <v>5163</v>
      </c>
      <c r="S1423" s="39" t="s">
        <v>4619</v>
      </c>
      <c r="T1423" s="70" t="s">
        <v>3759</v>
      </c>
      <c r="U1423" s="50" t="s">
        <v>399</v>
      </c>
      <c r="V1423" s="118" t="str">
        <f>+Agencia[[#This Row],[idcoleccion]]&amp;"-"&amp;Agencia[[#This Row],[id]]</f>
        <v>990-1412</v>
      </c>
      <c r="W1423" s="118">
        <f>+VLOOKUP(Agencia[[#This Row],[Filtro URL]],Estructura!$X$4:$Y$500,2,0)</f>
        <v>99200008</v>
      </c>
      <c r="X1423" s="118" t="str">
        <f>+VLOOKUP(Agencia[[#This Row],[tema]],Estructura!$A$4:$C$500,3,0)</f>
        <v>T-1052</v>
      </c>
      <c r="Y1423" s="118" t="str">
        <f>+VLOOKUP(Agencia[[#This Row],[contenido]],Estructura!$E$4:$G$500,3,0)</f>
        <v>C-1014</v>
      </c>
      <c r="Z1423" s="118" t="str">
        <f>+VLOOKUP(Agencia[[#This Row],[Filtro Integrado]],Estructura!$I$4:$K$500,3,0)</f>
        <v>FI-993</v>
      </c>
      <c r="AA1423" s="118" t="str">
        <f>+VLOOKUP(Agencia[[#This Row],[Muestra]],Estructura!$M$4:$O$500,3,0)</f>
        <v>M-1108</v>
      </c>
    </row>
    <row r="1424" spans="1:27" ht="72" x14ac:dyDescent="0.3">
      <c r="A1424" s="21" t="s">
        <v>4214</v>
      </c>
      <c r="B1424" s="24">
        <v>990</v>
      </c>
      <c r="C1424" s="25" t="s">
        <v>401</v>
      </c>
      <c r="D1424" s="10" t="s">
        <v>881</v>
      </c>
      <c r="E1424" s="19">
        <v>9</v>
      </c>
      <c r="F1424" s="10" t="s">
        <v>4158</v>
      </c>
      <c r="G1424" s="10" t="s">
        <v>4099</v>
      </c>
      <c r="H1424" s="35" t="s">
        <v>16</v>
      </c>
      <c r="I1424" s="36" t="s">
        <v>376</v>
      </c>
      <c r="J1424" s="9" t="s">
        <v>404</v>
      </c>
      <c r="K1424" s="9" t="s">
        <v>4159</v>
      </c>
      <c r="L1424" s="9" t="s">
        <v>4108</v>
      </c>
      <c r="M1424" s="9" t="s">
        <v>5292</v>
      </c>
      <c r="N1424" s="9" t="s">
        <v>582</v>
      </c>
      <c r="O1424" s="20" t="s">
        <v>5164</v>
      </c>
      <c r="P1424" s="20"/>
      <c r="Q1424" s="11" t="s">
        <v>821</v>
      </c>
      <c r="R1424" s="20" t="s">
        <v>5165</v>
      </c>
      <c r="S1424" s="39" t="s">
        <v>4620</v>
      </c>
      <c r="T1424" s="70" t="s">
        <v>3750</v>
      </c>
      <c r="U1424" s="50" t="s">
        <v>399</v>
      </c>
      <c r="V1424" s="118" t="str">
        <f>+Agencia[[#This Row],[idcoleccion]]&amp;"-"&amp;Agencia[[#This Row],[id]]</f>
        <v>990-1413</v>
      </c>
      <c r="W1424" s="118">
        <f>+VLOOKUP(Agencia[[#This Row],[Filtro URL]],Estructura!$X$4:$Y$500,2,0)</f>
        <v>99200009</v>
      </c>
      <c r="X1424" s="118" t="str">
        <f>+VLOOKUP(Agencia[[#This Row],[tema]],Estructura!$A$4:$C$500,3,0)</f>
        <v>T-1052</v>
      </c>
      <c r="Y1424" s="118" t="str">
        <f>+VLOOKUP(Agencia[[#This Row],[contenido]],Estructura!$E$4:$G$500,3,0)</f>
        <v>C-1014</v>
      </c>
      <c r="Z1424" s="118" t="str">
        <f>+VLOOKUP(Agencia[[#This Row],[Filtro Integrado]],Estructura!$I$4:$K$500,3,0)</f>
        <v>FI-993</v>
      </c>
      <c r="AA1424" s="118" t="str">
        <f>+VLOOKUP(Agencia[[#This Row],[Muestra]],Estructura!$M$4:$O$500,3,0)</f>
        <v>M-1108</v>
      </c>
    </row>
    <row r="1425" spans="1:27" ht="72" x14ac:dyDescent="0.3">
      <c r="A1425" s="21" t="s">
        <v>4215</v>
      </c>
      <c r="B1425" s="24">
        <v>990</v>
      </c>
      <c r="C1425" s="25" t="s">
        <v>401</v>
      </c>
      <c r="D1425" s="10" t="s">
        <v>881</v>
      </c>
      <c r="E1425" s="19">
        <v>10</v>
      </c>
      <c r="F1425" s="10" t="s">
        <v>4158</v>
      </c>
      <c r="G1425" s="10" t="s">
        <v>4099</v>
      </c>
      <c r="H1425" s="35" t="s">
        <v>16</v>
      </c>
      <c r="I1425" s="36" t="s">
        <v>377</v>
      </c>
      <c r="J1425" s="9" t="s">
        <v>404</v>
      </c>
      <c r="K1425" s="9" t="s">
        <v>4159</v>
      </c>
      <c r="L1425" s="9" t="s">
        <v>4108</v>
      </c>
      <c r="M1425" s="9" t="s">
        <v>5292</v>
      </c>
      <c r="N1425" s="9" t="s">
        <v>582</v>
      </c>
      <c r="O1425" s="20" t="s">
        <v>5166</v>
      </c>
      <c r="P1425" s="20"/>
      <c r="Q1425" s="11" t="s">
        <v>821</v>
      </c>
      <c r="R1425" s="20" t="s">
        <v>5167</v>
      </c>
      <c r="S1425" s="39" t="s">
        <v>4621</v>
      </c>
      <c r="T1425" s="70" t="s">
        <v>3751</v>
      </c>
      <c r="U1425" s="50" t="s">
        <v>399</v>
      </c>
      <c r="V1425" s="118" t="str">
        <f>+Agencia[[#This Row],[idcoleccion]]&amp;"-"&amp;Agencia[[#This Row],[id]]</f>
        <v>990-1414</v>
      </c>
      <c r="W1425" s="118">
        <f>+VLOOKUP(Agencia[[#This Row],[Filtro URL]],Estructura!$X$4:$Y$500,2,0)</f>
        <v>99200010</v>
      </c>
      <c r="X1425" s="118" t="str">
        <f>+VLOOKUP(Agencia[[#This Row],[tema]],Estructura!$A$4:$C$500,3,0)</f>
        <v>T-1052</v>
      </c>
      <c r="Y1425" s="118" t="str">
        <f>+VLOOKUP(Agencia[[#This Row],[contenido]],Estructura!$E$4:$G$500,3,0)</f>
        <v>C-1014</v>
      </c>
      <c r="Z1425" s="118" t="str">
        <f>+VLOOKUP(Agencia[[#This Row],[Filtro Integrado]],Estructura!$I$4:$K$500,3,0)</f>
        <v>FI-993</v>
      </c>
      <c r="AA1425" s="118" t="str">
        <f>+VLOOKUP(Agencia[[#This Row],[Muestra]],Estructura!$M$4:$O$500,3,0)</f>
        <v>M-1108</v>
      </c>
    </row>
    <row r="1426" spans="1:27" ht="72" x14ac:dyDescent="0.3">
      <c r="A1426" s="21" t="s">
        <v>4216</v>
      </c>
      <c r="B1426" s="24">
        <v>990</v>
      </c>
      <c r="C1426" s="25" t="s">
        <v>401</v>
      </c>
      <c r="D1426" s="10" t="s">
        <v>881</v>
      </c>
      <c r="E1426" s="19">
        <v>11</v>
      </c>
      <c r="F1426" s="10" t="s">
        <v>4158</v>
      </c>
      <c r="G1426" s="10" t="s">
        <v>4099</v>
      </c>
      <c r="H1426" s="35" t="s">
        <v>16</v>
      </c>
      <c r="I1426" s="36" t="s">
        <v>378</v>
      </c>
      <c r="J1426" s="9" t="s">
        <v>404</v>
      </c>
      <c r="K1426" s="9" t="s">
        <v>4159</v>
      </c>
      <c r="L1426" s="9" t="s">
        <v>4108</v>
      </c>
      <c r="M1426" s="9" t="s">
        <v>5292</v>
      </c>
      <c r="N1426" s="9" t="s">
        <v>582</v>
      </c>
      <c r="O1426" s="20" t="s">
        <v>5168</v>
      </c>
      <c r="P1426" s="20"/>
      <c r="Q1426" s="11" t="s">
        <v>821</v>
      </c>
      <c r="R1426" s="20" t="s">
        <v>5169</v>
      </c>
      <c r="S1426" s="39" t="s">
        <v>4622</v>
      </c>
      <c r="T1426" s="70" t="s">
        <v>3748</v>
      </c>
      <c r="U1426" s="50" t="s">
        <v>399</v>
      </c>
      <c r="V1426" s="118" t="str">
        <f>+Agencia[[#This Row],[idcoleccion]]&amp;"-"&amp;Agencia[[#This Row],[id]]</f>
        <v>990-1415</v>
      </c>
      <c r="W1426" s="118">
        <f>+VLOOKUP(Agencia[[#This Row],[Filtro URL]],Estructura!$X$4:$Y$500,2,0)</f>
        <v>99200011</v>
      </c>
      <c r="X1426" s="118" t="str">
        <f>+VLOOKUP(Agencia[[#This Row],[tema]],Estructura!$A$4:$C$500,3,0)</f>
        <v>T-1052</v>
      </c>
      <c r="Y1426" s="118" t="str">
        <f>+VLOOKUP(Agencia[[#This Row],[contenido]],Estructura!$E$4:$G$500,3,0)</f>
        <v>C-1014</v>
      </c>
      <c r="Z1426" s="118" t="str">
        <f>+VLOOKUP(Agencia[[#This Row],[Filtro Integrado]],Estructura!$I$4:$K$500,3,0)</f>
        <v>FI-993</v>
      </c>
      <c r="AA1426" s="118" t="str">
        <f>+VLOOKUP(Agencia[[#This Row],[Muestra]],Estructura!$M$4:$O$500,3,0)</f>
        <v>M-1108</v>
      </c>
    </row>
    <row r="1427" spans="1:27" ht="72" x14ac:dyDescent="0.3">
      <c r="A1427" s="21" t="s">
        <v>4217</v>
      </c>
      <c r="B1427" s="24">
        <v>990</v>
      </c>
      <c r="C1427" s="25" t="s">
        <v>401</v>
      </c>
      <c r="D1427" s="10" t="s">
        <v>881</v>
      </c>
      <c r="E1427" s="19">
        <v>12</v>
      </c>
      <c r="F1427" s="10" t="s">
        <v>4158</v>
      </c>
      <c r="G1427" s="10" t="s">
        <v>4099</v>
      </c>
      <c r="H1427" s="35" t="s">
        <v>16</v>
      </c>
      <c r="I1427" s="36" t="s">
        <v>379</v>
      </c>
      <c r="J1427" s="9" t="s">
        <v>404</v>
      </c>
      <c r="K1427" s="9" t="s">
        <v>4159</v>
      </c>
      <c r="L1427" s="9" t="s">
        <v>4108</v>
      </c>
      <c r="M1427" s="9" t="s">
        <v>5292</v>
      </c>
      <c r="N1427" s="9" t="s">
        <v>582</v>
      </c>
      <c r="O1427" s="20" t="s">
        <v>5170</v>
      </c>
      <c r="P1427" s="20"/>
      <c r="Q1427" s="11" t="s">
        <v>821</v>
      </c>
      <c r="R1427" s="20" t="s">
        <v>5171</v>
      </c>
      <c r="S1427" s="39" t="s">
        <v>4623</v>
      </c>
      <c r="T1427" s="70" t="s">
        <v>3753</v>
      </c>
      <c r="U1427" s="50" t="s">
        <v>399</v>
      </c>
      <c r="V1427" s="118" t="str">
        <f>+Agencia[[#This Row],[idcoleccion]]&amp;"-"&amp;Agencia[[#This Row],[id]]</f>
        <v>990-1416</v>
      </c>
      <c r="W1427" s="118">
        <f>+VLOOKUP(Agencia[[#This Row],[Filtro URL]],Estructura!$X$4:$Y$500,2,0)</f>
        <v>99200012</v>
      </c>
      <c r="X1427" s="118" t="str">
        <f>+VLOOKUP(Agencia[[#This Row],[tema]],Estructura!$A$4:$C$500,3,0)</f>
        <v>T-1052</v>
      </c>
      <c r="Y1427" s="118" t="str">
        <f>+VLOOKUP(Agencia[[#This Row],[contenido]],Estructura!$E$4:$G$500,3,0)</f>
        <v>C-1014</v>
      </c>
      <c r="Z1427" s="118" t="str">
        <f>+VLOOKUP(Agencia[[#This Row],[Filtro Integrado]],Estructura!$I$4:$K$500,3,0)</f>
        <v>FI-993</v>
      </c>
      <c r="AA1427" s="118" t="str">
        <f>+VLOOKUP(Agencia[[#This Row],[Muestra]],Estructura!$M$4:$O$500,3,0)</f>
        <v>M-1108</v>
      </c>
    </row>
    <row r="1428" spans="1:27" ht="72" x14ac:dyDescent="0.3">
      <c r="A1428" s="21" t="s">
        <v>4218</v>
      </c>
      <c r="B1428" s="24">
        <v>990</v>
      </c>
      <c r="C1428" s="25" t="s">
        <v>401</v>
      </c>
      <c r="D1428" s="10" t="s">
        <v>881</v>
      </c>
      <c r="E1428" s="19">
        <v>13</v>
      </c>
      <c r="F1428" s="10" t="s">
        <v>4158</v>
      </c>
      <c r="G1428" s="10" t="s">
        <v>4099</v>
      </c>
      <c r="H1428" s="35" t="s">
        <v>16</v>
      </c>
      <c r="I1428" s="36" t="s">
        <v>380</v>
      </c>
      <c r="J1428" s="9" t="s">
        <v>404</v>
      </c>
      <c r="K1428" s="9" t="s">
        <v>4159</v>
      </c>
      <c r="L1428" s="9" t="s">
        <v>4108</v>
      </c>
      <c r="M1428" s="9" t="s">
        <v>5292</v>
      </c>
      <c r="N1428" s="9" t="s">
        <v>582</v>
      </c>
      <c r="O1428" s="20" t="s">
        <v>5172</v>
      </c>
      <c r="P1428" s="20"/>
      <c r="Q1428" s="11" t="s">
        <v>821</v>
      </c>
      <c r="R1428" s="20" t="s">
        <v>5173</v>
      </c>
      <c r="S1428" s="39" t="s">
        <v>4624</v>
      </c>
      <c r="T1428" s="70" t="s">
        <v>3760</v>
      </c>
      <c r="U1428" s="50" t="s">
        <v>399</v>
      </c>
      <c r="V1428" s="118" t="str">
        <f>+Agencia[[#This Row],[idcoleccion]]&amp;"-"&amp;Agencia[[#This Row],[id]]</f>
        <v>990-1417</v>
      </c>
      <c r="W1428" s="118">
        <f>+VLOOKUP(Agencia[[#This Row],[Filtro URL]],Estructura!$X$4:$Y$500,2,0)</f>
        <v>99200013</v>
      </c>
      <c r="X1428" s="118" t="str">
        <f>+VLOOKUP(Agencia[[#This Row],[tema]],Estructura!$A$4:$C$500,3,0)</f>
        <v>T-1052</v>
      </c>
      <c r="Y1428" s="118" t="str">
        <f>+VLOOKUP(Agencia[[#This Row],[contenido]],Estructura!$E$4:$G$500,3,0)</f>
        <v>C-1014</v>
      </c>
      <c r="Z1428" s="118" t="str">
        <f>+VLOOKUP(Agencia[[#This Row],[Filtro Integrado]],Estructura!$I$4:$K$500,3,0)</f>
        <v>FI-993</v>
      </c>
      <c r="AA1428" s="118" t="str">
        <f>+VLOOKUP(Agencia[[#This Row],[Muestra]],Estructura!$M$4:$O$500,3,0)</f>
        <v>M-1108</v>
      </c>
    </row>
    <row r="1429" spans="1:27" ht="72" x14ac:dyDescent="0.3">
      <c r="A1429" s="21" t="s">
        <v>4219</v>
      </c>
      <c r="B1429" s="24">
        <v>990</v>
      </c>
      <c r="C1429" s="25" t="s">
        <v>401</v>
      </c>
      <c r="D1429" s="10" t="s">
        <v>881</v>
      </c>
      <c r="E1429" s="19">
        <v>14</v>
      </c>
      <c r="F1429" s="10" t="s">
        <v>4158</v>
      </c>
      <c r="G1429" s="10" t="s">
        <v>4099</v>
      </c>
      <c r="H1429" s="35" t="s">
        <v>16</v>
      </c>
      <c r="I1429" s="36" t="s">
        <v>381</v>
      </c>
      <c r="J1429" s="9" t="s">
        <v>404</v>
      </c>
      <c r="K1429" s="9" t="s">
        <v>4159</v>
      </c>
      <c r="L1429" s="9" t="s">
        <v>4108</v>
      </c>
      <c r="M1429" s="9" t="s">
        <v>5292</v>
      </c>
      <c r="N1429" s="9" t="s">
        <v>582</v>
      </c>
      <c r="O1429" s="20" t="s">
        <v>5174</v>
      </c>
      <c r="P1429" s="20"/>
      <c r="Q1429" s="11" t="s">
        <v>821</v>
      </c>
      <c r="R1429" s="20" t="s">
        <v>5175</v>
      </c>
      <c r="S1429" s="39" t="s">
        <v>4625</v>
      </c>
      <c r="T1429" s="70" t="s">
        <v>3752</v>
      </c>
      <c r="U1429" s="50" t="s">
        <v>399</v>
      </c>
      <c r="V1429" s="118" t="str">
        <f>+Agencia[[#This Row],[idcoleccion]]&amp;"-"&amp;Agencia[[#This Row],[id]]</f>
        <v>990-1418</v>
      </c>
      <c r="W1429" s="118">
        <f>+VLOOKUP(Agencia[[#This Row],[Filtro URL]],Estructura!$X$4:$Y$500,2,0)</f>
        <v>99200014</v>
      </c>
      <c r="X1429" s="118" t="str">
        <f>+VLOOKUP(Agencia[[#This Row],[tema]],Estructura!$A$4:$C$500,3,0)</f>
        <v>T-1052</v>
      </c>
      <c r="Y1429" s="118" t="str">
        <f>+VLOOKUP(Agencia[[#This Row],[contenido]],Estructura!$E$4:$G$500,3,0)</f>
        <v>C-1014</v>
      </c>
      <c r="Z1429" s="118" t="str">
        <f>+VLOOKUP(Agencia[[#This Row],[Filtro Integrado]],Estructura!$I$4:$K$500,3,0)</f>
        <v>FI-993</v>
      </c>
      <c r="AA1429" s="118" t="str">
        <f>+VLOOKUP(Agencia[[#This Row],[Muestra]],Estructura!$M$4:$O$500,3,0)</f>
        <v>M-1108</v>
      </c>
    </row>
    <row r="1430" spans="1:27" ht="72" x14ac:dyDescent="0.3">
      <c r="A1430" s="21" t="s">
        <v>4220</v>
      </c>
      <c r="B1430" s="24">
        <v>990</v>
      </c>
      <c r="C1430" s="25" t="s">
        <v>401</v>
      </c>
      <c r="D1430" s="10" t="s">
        <v>881</v>
      </c>
      <c r="E1430" s="19">
        <v>15</v>
      </c>
      <c r="F1430" s="10" t="s">
        <v>4158</v>
      </c>
      <c r="G1430" s="10" t="s">
        <v>4099</v>
      </c>
      <c r="H1430" s="35" t="s">
        <v>16</v>
      </c>
      <c r="I1430" s="36" t="s">
        <v>382</v>
      </c>
      <c r="J1430" s="9" t="s">
        <v>404</v>
      </c>
      <c r="K1430" s="9" t="s">
        <v>4159</v>
      </c>
      <c r="L1430" s="9" t="s">
        <v>4108</v>
      </c>
      <c r="M1430" s="9" t="s">
        <v>5292</v>
      </c>
      <c r="N1430" s="9" t="s">
        <v>582</v>
      </c>
      <c r="O1430" s="20" t="s">
        <v>5176</v>
      </c>
      <c r="P1430" s="20"/>
      <c r="Q1430" s="11" t="s">
        <v>821</v>
      </c>
      <c r="R1430" s="20" t="s">
        <v>5177</v>
      </c>
      <c r="S1430" s="39" t="s">
        <v>4626</v>
      </c>
      <c r="T1430" s="70" t="s">
        <v>3746</v>
      </c>
      <c r="U1430" s="50" t="s">
        <v>399</v>
      </c>
      <c r="V1430" s="118" t="str">
        <f>+Agencia[[#This Row],[idcoleccion]]&amp;"-"&amp;Agencia[[#This Row],[id]]</f>
        <v>990-1419</v>
      </c>
      <c r="W1430" s="118">
        <f>+VLOOKUP(Agencia[[#This Row],[Filtro URL]],Estructura!$X$4:$Y$500,2,0)</f>
        <v>99200015</v>
      </c>
      <c r="X1430" s="118" t="str">
        <f>+VLOOKUP(Agencia[[#This Row],[tema]],Estructura!$A$4:$C$500,3,0)</f>
        <v>T-1052</v>
      </c>
      <c r="Y1430" s="118" t="str">
        <f>+VLOOKUP(Agencia[[#This Row],[contenido]],Estructura!$E$4:$G$500,3,0)</f>
        <v>C-1014</v>
      </c>
      <c r="Z1430" s="118" t="str">
        <f>+VLOOKUP(Agencia[[#This Row],[Filtro Integrado]],Estructura!$I$4:$K$500,3,0)</f>
        <v>FI-993</v>
      </c>
      <c r="AA1430" s="118" t="str">
        <f>+VLOOKUP(Agencia[[#This Row],[Muestra]],Estructura!$M$4:$O$500,3,0)</f>
        <v>M-1108</v>
      </c>
    </row>
    <row r="1431" spans="1:27" ht="61.2" x14ac:dyDescent="0.3">
      <c r="A1431" s="21" t="s">
        <v>4221</v>
      </c>
      <c r="B1431" s="24">
        <v>990</v>
      </c>
      <c r="C1431" s="25" t="s">
        <v>401</v>
      </c>
      <c r="D1431" s="10" t="s">
        <v>4178</v>
      </c>
      <c r="E1431" s="14">
        <v>0</v>
      </c>
      <c r="F1431" s="10" t="s">
        <v>4179</v>
      </c>
      <c r="G1431" s="10" t="s">
        <v>3795</v>
      </c>
      <c r="H1431" s="33" t="s">
        <v>20</v>
      </c>
      <c r="I1431" s="34" t="s">
        <v>15</v>
      </c>
      <c r="J1431" s="9" t="s">
        <v>1032</v>
      </c>
      <c r="K1431" s="9" t="s">
        <v>4180</v>
      </c>
      <c r="L1431" s="9" t="s">
        <v>460</v>
      </c>
      <c r="M1431" s="9" t="s">
        <v>4181</v>
      </c>
      <c r="N1431" s="9" t="s">
        <v>431</v>
      </c>
      <c r="O1431" s="20" t="s">
        <v>5178</v>
      </c>
      <c r="P1431" s="20" t="s">
        <v>4182</v>
      </c>
      <c r="Q1431" s="11" t="s">
        <v>3826</v>
      </c>
      <c r="R1431" s="20" t="s">
        <v>5179</v>
      </c>
      <c r="S1431" s="39" t="s">
        <v>4183</v>
      </c>
      <c r="T1431" s="70" t="s">
        <v>1033</v>
      </c>
      <c r="U1431" s="50" t="s">
        <v>399</v>
      </c>
      <c r="V1431" s="118" t="str">
        <f>+Agencia[[#This Row],[idcoleccion]]&amp;"-"&amp;Agencia[[#This Row],[id]]</f>
        <v>990-1420</v>
      </c>
      <c r="W1431" s="118">
        <f>+VLOOKUP(Agencia[[#This Row],[Filtro URL]],Estructura!$X$4:$Y$500,2,0)</f>
        <v>99100000</v>
      </c>
      <c r="X1431" s="118" t="str">
        <f>+VLOOKUP(Agencia[[#This Row],[tema]],Estructura!$A$4:$C$500,3,0)</f>
        <v>T-1053</v>
      </c>
      <c r="Y1431" s="118" t="str">
        <f>+VLOOKUP(Agencia[[#This Row],[contenido]],Estructura!$E$4:$G$500,3,0)</f>
        <v>C-1015</v>
      </c>
      <c r="Z1431" s="118" t="str">
        <f>+VLOOKUP(Agencia[[#This Row],[Filtro Integrado]],Estructura!$I$4:$K$500,3,0)</f>
        <v>FI-994</v>
      </c>
      <c r="AA1431" s="118" t="str">
        <f>+VLOOKUP(Agencia[[#This Row],[Muestra]],Estructura!$M$4:$O$500,3,0)</f>
        <v>M-1109</v>
      </c>
    </row>
    <row r="1432" spans="1:27" ht="57.6" x14ac:dyDescent="0.3">
      <c r="A1432" s="21" t="s">
        <v>4222</v>
      </c>
      <c r="B1432" s="24">
        <v>990</v>
      </c>
      <c r="C1432" s="25" t="s">
        <v>401</v>
      </c>
      <c r="D1432" s="10" t="s">
        <v>4178</v>
      </c>
      <c r="E1432" s="19">
        <v>1</v>
      </c>
      <c r="F1432" s="10" t="s">
        <v>4179</v>
      </c>
      <c r="G1432" s="10" t="s">
        <v>3795</v>
      </c>
      <c r="H1432" s="35" t="s">
        <v>16</v>
      </c>
      <c r="I1432" s="36" t="s">
        <v>368</v>
      </c>
      <c r="J1432" s="9" t="s">
        <v>18</v>
      </c>
      <c r="K1432" s="9" t="s">
        <v>4180</v>
      </c>
      <c r="L1432" s="9" t="s">
        <v>460</v>
      </c>
      <c r="M1432" s="9" t="s">
        <v>4181</v>
      </c>
      <c r="N1432" s="9" t="s">
        <v>431</v>
      </c>
      <c r="O1432" s="20" t="s">
        <v>4627</v>
      </c>
      <c r="P1432" s="20"/>
      <c r="Q1432" s="11" t="s">
        <v>3826</v>
      </c>
      <c r="R1432" s="20" t="s">
        <v>5067</v>
      </c>
      <c r="S1432" s="39" t="s">
        <v>4628</v>
      </c>
      <c r="T1432" s="70" t="s">
        <v>3741</v>
      </c>
      <c r="U1432" s="50" t="s">
        <v>399</v>
      </c>
      <c r="V1432" s="118" t="str">
        <f>+Agencia[[#This Row],[idcoleccion]]&amp;"-"&amp;Agencia[[#This Row],[id]]</f>
        <v>990-1421</v>
      </c>
      <c r="W1432" s="118">
        <f>+VLOOKUP(Agencia[[#This Row],[Filtro URL]],Estructura!$X$4:$Y$500,2,0)</f>
        <v>99200001</v>
      </c>
      <c r="X1432" s="118" t="str">
        <f>+VLOOKUP(Agencia[[#This Row],[tema]],Estructura!$A$4:$C$500,3,0)</f>
        <v>T-1053</v>
      </c>
      <c r="Y1432" s="118" t="str">
        <f>+VLOOKUP(Agencia[[#This Row],[contenido]],Estructura!$E$4:$G$500,3,0)</f>
        <v>C-1015</v>
      </c>
      <c r="Z1432" s="118" t="str">
        <f>+VLOOKUP(Agencia[[#This Row],[Filtro Integrado]],Estructura!$I$4:$K$500,3,0)</f>
        <v>FI-991</v>
      </c>
      <c r="AA1432" s="118" t="str">
        <f>+VLOOKUP(Agencia[[#This Row],[Muestra]],Estructura!$M$4:$O$500,3,0)</f>
        <v>M-1109</v>
      </c>
    </row>
    <row r="1433" spans="1:27" ht="57.6" x14ac:dyDescent="0.3">
      <c r="A1433" s="21" t="s">
        <v>4227</v>
      </c>
      <c r="B1433" s="24">
        <v>990</v>
      </c>
      <c r="C1433" s="25" t="s">
        <v>401</v>
      </c>
      <c r="D1433" s="10" t="s">
        <v>4178</v>
      </c>
      <c r="E1433" s="19">
        <v>2</v>
      </c>
      <c r="F1433" s="10" t="s">
        <v>4179</v>
      </c>
      <c r="G1433" s="10" t="s">
        <v>3795</v>
      </c>
      <c r="H1433" s="35" t="s">
        <v>16</v>
      </c>
      <c r="I1433" s="36" t="s">
        <v>369</v>
      </c>
      <c r="J1433" s="9" t="s">
        <v>18</v>
      </c>
      <c r="K1433" s="9" t="s">
        <v>4180</v>
      </c>
      <c r="L1433" s="9" t="s">
        <v>460</v>
      </c>
      <c r="M1433" s="9" t="s">
        <v>4181</v>
      </c>
      <c r="N1433" s="9" t="s">
        <v>431</v>
      </c>
      <c r="O1433" s="20" t="s">
        <v>4629</v>
      </c>
      <c r="P1433" s="20"/>
      <c r="Q1433" s="11" t="s">
        <v>3826</v>
      </c>
      <c r="R1433" s="20" t="s">
        <v>5069</v>
      </c>
      <c r="S1433" s="39" t="s">
        <v>4630</v>
      </c>
      <c r="T1433" s="70" t="s">
        <v>3729</v>
      </c>
      <c r="U1433" s="50" t="s">
        <v>399</v>
      </c>
      <c r="V1433" s="118" t="str">
        <f>+Agencia[[#This Row],[idcoleccion]]&amp;"-"&amp;Agencia[[#This Row],[id]]</f>
        <v>990-1422</v>
      </c>
      <c r="W1433" s="118">
        <f>+VLOOKUP(Agencia[[#This Row],[Filtro URL]],Estructura!$X$4:$Y$500,2,0)</f>
        <v>99200002</v>
      </c>
      <c r="X1433" s="118" t="str">
        <f>+VLOOKUP(Agencia[[#This Row],[tema]],Estructura!$A$4:$C$500,3,0)</f>
        <v>T-1053</v>
      </c>
      <c r="Y1433" s="118" t="str">
        <f>+VLOOKUP(Agencia[[#This Row],[contenido]],Estructura!$E$4:$G$500,3,0)</f>
        <v>C-1015</v>
      </c>
      <c r="Z1433" s="118" t="str">
        <f>+VLOOKUP(Agencia[[#This Row],[Filtro Integrado]],Estructura!$I$4:$K$500,3,0)</f>
        <v>FI-991</v>
      </c>
      <c r="AA1433" s="118" t="str">
        <f>+VLOOKUP(Agencia[[#This Row],[Muestra]],Estructura!$M$4:$O$500,3,0)</f>
        <v>M-1109</v>
      </c>
    </row>
    <row r="1434" spans="1:27" ht="57.6" x14ac:dyDescent="0.3">
      <c r="A1434" s="21" t="s">
        <v>4228</v>
      </c>
      <c r="B1434" s="24">
        <v>990</v>
      </c>
      <c r="C1434" s="25" t="s">
        <v>401</v>
      </c>
      <c r="D1434" s="10" t="s">
        <v>4178</v>
      </c>
      <c r="E1434" s="19">
        <v>3</v>
      </c>
      <c r="F1434" s="10" t="s">
        <v>4179</v>
      </c>
      <c r="G1434" s="10" t="s">
        <v>3795</v>
      </c>
      <c r="H1434" s="35" t="s">
        <v>16</v>
      </c>
      <c r="I1434" s="36" t="s">
        <v>370</v>
      </c>
      <c r="J1434" s="9" t="s">
        <v>18</v>
      </c>
      <c r="K1434" s="9" t="s">
        <v>4180</v>
      </c>
      <c r="L1434" s="9" t="s">
        <v>460</v>
      </c>
      <c r="M1434" s="9" t="s">
        <v>4181</v>
      </c>
      <c r="N1434" s="9" t="s">
        <v>431</v>
      </c>
      <c r="O1434" s="20" t="s">
        <v>4631</v>
      </c>
      <c r="P1434" s="20"/>
      <c r="Q1434" s="11" t="s">
        <v>3826</v>
      </c>
      <c r="R1434" s="20" t="s">
        <v>5071</v>
      </c>
      <c r="S1434" s="39" t="s">
        <v>4632</v>
      </c>
      <c r="T1434" s="70" t="s">
        <v>3731</v>
      </c>
      <c r="U1434" s="50" t="s">
        <v>399</v>
      </c>
      <c r="V1434" s="118" t="str">
        <f>+Agencia[[#This Row],[idcoleccion]]&amp;"-"&amp;Agencia[[#This Row],[id]]</f>
        <v>990-1423</v>
      </c>
      <c r="W1434" s="118">
        <f>+VLOOKUP(Agencia[[#This Row],[Filtro URL]],Estructura!$X$4:$Y$500,2,0)</f>
        <v>99200003</v>
      </c>
      <c r="X1434" s="118" t="str">
        <f>+VLOOKUP(Agencia[[#This Row],[tema]],Estructura!$A$4:$C$500,3,0)</f>
        <v>T-1053</v>
      </c>
      <c r="Y1434" s="118" t="str">
        <f>+VLOOKUP(Agencia[[#This Row],[contenido]],Estructura!$E$4:$G$500,3,0)</f>
        <v>C-1015</v>
      </c>
      <c r="Z1434" s="118" t="str">
        <f>+VLOOKUP(Agencia[[#This Row],[Filtro Integrado]],Estructura!$I$4:$K$500,3,0)</f>
        <v>FI-991</v>
      </c>
      <c r="AA1434" s="118" t="str">
        <f>+VLOOKUP(Agencia[[#This Row],[Muestra]],Estructura!$M$4:$O$500,3,0)</f>
        <v>M-1109</v>
      </c>
    </row>
    <row r="1435" spans="1:27" ht="57.6" x14ac:dyDescent="0.3">
      <c r="A1435" s="21" t="s">
        <v>4229</v>
      </c>
      <c r="B1435" s="24">
        <v>990</v>
      </c>
      <c r="C1435" s="25" t="s">
        <v>401</v>
      </c>
      <c r="D1435" s="10" t="s">
        <v>4178</v>
      </c>
      <c r="E1435" s="19">
        <v>4</v>
      </c>
      <c r="F1435" s="10" t="s">
        <v>4179</v>
      </c>
      <c r="G1435" s="10" t="s">
        <v>3795</v>
      </c>
      <c r="H1435" s="35" t="s">
        <v>16</v>
      </c>
      <c r="I1435" s="36" t="s">
        <v>371</v>
      </c>
      <c r="J1435" s="9" t="s">
        <v>18</v>
      </c>
      <c r="K1435" s="9" t="s">
        <v>4180</v>
      </c>
      <c r="L1435" s="9" t="s">
        <v>460</v>
      </c>
      <c r="M1435" s="9" t="s">
        <v>4181</v>
      </c>
      <c r="N1435" s="9" t="s">
        <v>431</v>
      </c>
      <c r="O1435" s="20" t="s">
        <v>4633</v>
      </c>
      <c r="P1435" s="20"/>
      <c r="Q1435" s="11" t="s">
        <v>3826</v>
      </c>
      <c r="R1435" s="20" t="s">
        <v>5073</v>
      </c>
      <c r="S1435" s="39" t="s">
        <v>4634</v>
      </c>
      <c r="T1435" s="70" t="s">
        <v>3733</v>
      </c>
      <c r="U1435" s="50" t="s">
        <v>399</v>
      </c>
      <c r="V1435" s="118" t="str">
        <f>+Agencia[[#This Row],[idcoleccion]]&amp;"-"&amp;Agencia[[#This Row],[id]]</f>
        <v>990-1424</v>
      </c>
      <c r="W1435" s="118">
        <f>+VLOOKUP(Agencia[[#This Row],[Filtro URL]],Estructura!$X$4:$Y$500,2,0)</f>
        <v>99200004</v>
      </c>
      <c r="X1435" s="118" t="str">
        <f>+VLOOKUP(Agencia[[#This Row],[tema]],Estructura!$A$4:$C$500,3,0)</f>
        <v>T-1053</v>
      </c>
      <c r="Y1435" s="118" t="str">
        <f>+VLOOKUP(Agencia[[#This Row],[contenido]],Estructura!$E$4:$G$500,3,0)</f>
        <v>C-1015</v>
      </c>
      <c r="Z1435" s="118" t="str">
        <f>+VLOOKUP(Agencia[[#This Row],[Filtro Integrado]],Estructura!$I$4:$K$500,3,0)</f>
        <v>FI-991</v>
      </c>
      <c r="AA1435" s="118" t="str">
        <f>+VLOOKUP(Agencia[[#This Row],[Muestra]],Estructura!$M$4:$O$500,3,0)</f>
        <v>M-1109</v>
      </c>
    </row>
    <row r="1436" spans="1:27" ht="57.6" x14ac:dyDescent="0.3">
      <c r="A1436" s="21" t="s">
        <v>4230</v>
      </c>
      <c r="B1436" s="24">
        <v>990</v>
      </c>
      <c r="C1436" s="25" t="s">
        <v>401</v>
      </c>
      <c r="D1436" s="10" t="s">
        <v>4178</v>
      </c>
      <c r="E1436" s="19">
        <v>5</v>
      </c>
      <c r="F1436" s="10" t="s">
        <v>4179</v>
      </c>
      <c r="G1436" s="10" t="s">
        <v>3795</v>
      </c>
      <c r="H1436" s="35" t="s">
        <v>16</v>
      </c>
      <c r="I1436" s="36" t="s">
        <v>372</v>
      </c>
      <c r="J1436" s="9" t="s">
        <v>18</v>
      </c>
      <c r="K1436" s="9" t="s">
        <v>4180</v>
      </c>
      <c r="L1436" s="9" t="s">
        <v>460</v>
      </c>
      <c r="M1436" s="9" t="s">
        <v>4181</v>
      </c>
      <c r="N1436" s="9" t="s">
        <v>431</v>
      </c>
      <c r="O1436" s="20" t="s">
        <v>4635</v>
      </c>
      <c r="P1436" s="20"/>
      <c r="Q1436" s="11" t="s">
        <v>3826</v>
      </c>
      <c r="R1436" s="20" t="s">
        <v>5075</v>
      </c>
      <c r="S1436" s="39" t="s">
        <v>4636</v>
      </c>
      <c r="T1436" s="70" t="s">
        <v>3742</v>
      </c>
      <c r="U1436" s="50" t="s">
        <v>399</v>
      </c>
      <c r="V1436" s="118" t="str">
        <f>+Agencia[[#This Row],[idcoleccion]]&amp;"-"&amp;Agencia[[#This Row],[id]]</f>
        <v>990-1425</v>
      </c>
      <c r="W1436" s="118">
        <f>+VLOOKUP(Agencia[[#This Row],[Filtro URL]],Estructura!$X$4:$Y$500,2,0)</f>
        <v>99200005</v>
      </c>
      <c r="X1436" s="118" t="str">
        <f>+VLOOKUP(Agencia[[#This Row],[tema]],Estructura!$A$4:$C$500,3,0)</f>
        <v>T-1053</v>
      </c>
      <c r="Y1436" s="118" t="str">
        <f>+VLOOKUP(Agencia[[#This Row],[contenido]],Estructura!$E$4:$G$500,3,0)</f>
        <v>C-1015</v>
      </c>
      <c r="Z1436" s="118" t="str">
        <f>+VLOOKUP(Agencia[[#This Row],[Filtro Integrado]],Estructura!$I$4:$K$500,3,0)</f>
        <v>FI-991</v>
      </c>
      <c r="AA1436" s="118" t="str">
        <f>+VLOOKUP(Agencia[[#This Row],[Muestra]],Estructura!$M$4:$O$500,3,0)</f>
        <v>M-1109</v>
      </c>
    </row>
    <row r="1437" spans="1:27" ht="57.6" x14ac:dyDescent="0.3">
      <c r="A1437" s="21" t="s">
        <v>4231</v>
      </c>
      <c r="B1437" s="24">
        <v>990</v>
      </c>
      <c r="C1437" s="25" t="s">
        <v>401</v>
      </c>
      <c r="D1437" s="10" t="s">
        <v>4178</v>
      </c>
      <c r="E1437" s="19">
        <v>6</v>
      </c>
      <c r="F1437" s="10" t="s">
        <v>4179</v>
      </c>
      <c r="G1437" s="10" t="s">
        <v>3795</v>
      </c>
      <c r="H1437" s="35" t="s">
        <v>16</v>
      </c>
      <c r="I1437" s="36" t="s">
        <v>373</v>
      </c>
      <c r="J1437" s="9" t="s">
        <v>18</v>
      </c>
      <c r="K1437" s="9" t="s">
        <v>4180</v>
      </c>
      <c r="L1437" s="9" t="s">
        <v>460</v>
      </c>
      <c r="M1437" s="9" t="s">
        <v>4181</v>
      </c>
      <c r="N1437" s="9" t="s">
        <v>431</v>
      </c>
      <c r="O1437" s="20" t="s">
        <v>4637</v>
      </c>
      <c r="P1437" s="20"/>
      <c r="Q1437" s="11" t="s">
        <v>3826</v>
      </c>
      <c r="R1437" s="20" t="s">
        <v>5077</v>
      </c>
      <c r="S1437" s="39" t="s">
        <v>4638</v>
      </c>
      <c r="T1437" s="70" t="s">
        <v>3740</v>
      </c>
      <c r="U1437" s="50" t="s">
        <v>399</v>
      </c>
      <c r="V1437" s="118" t="str">
        <f>+Agencia[[#This Row],[idcoleccion]]&amp;"-"&amp;Agencia[[#This Row],[id]]</f>
        <v>990-1426</v>
      </c>
      <c r="W1437" s="118">
        <f>+VLOOKUP(Agencia[[#This Row],[Filtro URL]],Estructura!$X$4:$Y$500,2,0)</f>
        <v>99200006</v>
      </c>
      <c r="X1437" s="118" t="str">
        <f>+VLOOKUP(Agencia[[#This Row],[tema]],Estructura!$A$4:$C$500,3,0)</f>
        <v>T-1053</v>
      </c>
      <c r="Y1437" s="118" t="str">
        <f>+VLOOKUP(Agencia[[#This Row],[contenido]],Estructura!$E$4:$G$500,3,0)</f>
        <v>C-1015</v>
      </c>
      <c r="Z1437" s="118" t="str">
        <f>+VLOOKUP(Agencia[[#This Row],[Filtro Integrado]],Estructura!$I$4:$K$500,3,0)</f>
        <v>FI-991</v>
      </c>
      <c r="AA1437" s="118" t="str">
        <f>+VLOOKUP(Agencia[[#This Row],[Muestra]],Estructura!$M$4:$O$500,3,0)</f>
        <v>M-1109</v>
      </c>
    </row>
    <row r="1438" spans="1:27" ht="57.6" x14ac:dyDescent="0.3">
      <c r="A1438" s="21" t="s">
        <v>4232</v>
      </c>
      <c r="B1438" s="24">
        <v>990</v>
      </c>
      <c r="C1438" s="25" t="s">
        <v>401</v>
      </c>
      <c r="D1438" s="10" t="s">
        <v>4178</v>
      </c>
      <c r="E1438" s="19">
        <v>7</v>
      </c>
      <c r="F1438" s="10" t="s">
        <v>4179</v>
      </c>
      <c r="G1438" s="10" t="s">
        <v>3795</v>
      </c>
      <c r="H1438" s="35" t="s">
        <v>16</v>
      </c>
      <c r="I1438" s="36" t="s">
        <v>374</v>
      </c>
      <c r="J1438" s="9" t="s">
        <v>18</v>
      </c>
      <c r="K1438" s="9" t="s">
        <v>4180</v>
      </c>
      <c r="L1438" s="9" t="s">
        <v>460</v>
      </c>
      <c r="M1438" s="9" t="s">
        <v>4181</v>
      </c>
      <c r="N1438" s="9" t="s">
        <v>431</v>
      </c>
      <c r="O1438" s="20" t="s">
        <v>4639</v>
      </c>
      <c r="P1438" s="20"/>
      <c r="Q1438" s="11" t="s">
        <v>3826</v>
      </c>
      <c r="R1438" s="20" t="s">
        <v>5079</v>
      </c>
      <c r="S1438" s="39" t="s">
        <v>4640</v>
      </c>
      <c r="T1438" s="70" t="s">
        <v>3738</v>
      </c>
      <c r="U1438" s="50" t="s">
        <v>399</v>
      </c>
      <c r="V1438" s="118" t="str">
        <f>+Agencia[[#This Row],[idcoleccion]]&amp;"-"&amp;Agencia[[#This Row],[id]]</f>
        <v>990-1427</v>
      </c>
      <c r="W1438" s="118">
        <f>+VLOOKUP(Agencia[[#This Row],[Filtro URL]],Estructura!$X$4:$Y$500,2,0)</f>
        <v>99200007</v>
      </c>
      <c r="X1438" s="118" t="str">
        <f>+VLOOKUP(Agencia[[#This Row],[tema]],Estructura!$A$4:$C$500,3,0)</f>
        <v>T-1053</v>
      </c>
      <c r="Y1438" s="118" t="str">
        <f>+VLOOKUP(Agencia[[#This Row],[contenido]],Estructura!$E$4:$G$500,3,0)</f>
        <v>C-1015</v>
      </c>
      <c r="Z1438" s="118" t="str">
        <f>+VLOOKUP(Agencia[[#This Row],[Filtro Integrado]],Estructura!$I$4:$K$500,3,0)</f>
        <v>FI-991</v>
      </c>
      <c r="AA1438" s="118" t="str">
        <f>+VLOOKUP(Agencia[[#This Row],[Muestra]],Estructura!$M$4:$O$500,3,0)</f>
        <v>M-1109</v>
      </c>
    </row>
    <row r="1439" spans="1:27" ht="57.6" x14ac:dyDescent="0.3">
      <c r="A1439" s="21" t="s">
        <v>4233</v>
      </c>
      <c r="B1439" s="24">
        <v>990</v>
      </c>
      <c r="C1439" s="25" t="s">
        <v>401</v>
      </c>
      <c r="D1439" s="10" t="s">
        <v>4178</v>
      </c>
      <c r="E1439" s="19">
        <v>8</v>
      </c>
      <c r="F1439" s="10" t="s">
        <v>4179</v>
      </c>
      <c r="G1439" s="10" t="s">
        <v>3795</v>
      </c>
      <c r="H1439" s="35" t="s">
        <v>16</v>
      </c>
      <c r="I1439" s="36" t="s">
        <v>375</v>
      </c>
      <c r="J1439" s="9" t="s">
        <v>18</v>
      </c>
      <c r="K1439" s="9" t="s">
        <v>4180</v>
      </c>
      <c r="L1439" s="9" t="s">
        <v>460</v>
      </c>
      <c r="M1439" s="9" t="s">
        <v>4181</v>
      </c>
      <c r="N1439" s="9" t="s">
        <v>431</v>
      </c>
      <c r="O1439" s="20" t="s">
        <v>4641</v>
      </c>
      <c r="P1439" s="20"/>
      <c r="Q1439" s="11" t="s">
        <v>3826</v>
      </c>
      <c r="R1439" s="20" t="s">
        <v>5081</v>
      </c>
      <c r="S1439" s="39" t="s">
        <v>4642</v>
      </c>
      <c r="T1439" s="70" t="s">
        <v>3743</v>
      </c>
      <c r="U1439" s="50" t="s">
        <v>399</v>
      </c>
      <c r="V1439" s="118" t="str">
        <f>+Agencia[[#This Row],[idcoleccion]]&amp;"-"&amp;Agencia[[#This Row],[id]]</f>
        <v>990-1428</v>
      </c>
      <c r="W1439" s="118">
        <f>+VLOOKUP(Agencia[[#This Row],[Filtro URL]],Estructura!$X$4:$Y$500,2,0)</f>
        <v>99200008</v>
      </c>
      <c r="X1439" s="118" t="str">
        <f>+VLOOKUP(Agencia[[#This Row],[tema]],Estructura!$A$4:$C$500,3,0)</f>
        <v>T-1053</v>
      </c>
      <c r="Y1439" s="118" t="str">
        <f>+VLOOKUP(Agencia[[#This Row],[contenido]],Estructura!$E$4:$G$500,3,0)</f>
        <v>C-1015</v>
      </c>
      <c r="Z1439" s="118" t="str">
        <f>+VLOOKUP(Agencia[[#This Row],[Filtro Integrado]],Estructura!$I$4:$K$500,3,0)</f>
        <v>FI-991</v>
      </c>
      <c r="AA1439" s="118" t="str">
        <f>+VLOOKUP(Agencia[[#This Row],[Muestra]],Estructura!$M$4:$O$500,3,0)</f>
        <v>M-1109</v>
      </c>
    </row>
    <row r="1440" spans="1:27" ht="57.6" x14ac:dyDescent="0.3">
      <c r="A1440" s="21" t="s">
        <v>4234</v>
      </c>
      <c r="B1440" s="24">
        <v>990</v>
      </c>
      <c r="C1440" s="25" t="s">
        <v>401</v>
      </c>
      <c r="D1440" s="10" t="s">
        <v>4178</v>
      </c>
      <c r="E1440" s="19">
        <v>9</v>
      </c>
      <c r="F1440" s="10" t="s">
        <v>4179</v>
      </c>
      <c r="G1440" s="10" t="s">
        <v>3795</v>
      </c>
      <c r="H1440" s="35" t="s">
        <v>16</v>
      </c>
      <c r="I1440" s="36" t="s">
        <v>376</v>
      </c>
      <c r="J1440" s="9" t="s">
        <v>18</v>
      </c>
      <c r="K1440" s="9" t="s">
        <v>4180</v>
      </c>
      <c r="L1440" s="9" t="s">
        <v>460</v>
      </c>
      <c r="M1440" s="9" t="s">
        <v>4181</v>
      </c>
      <c r="N1440" s="9" t="s">
        <v>431</v>
      </c>
      <c r="O1440" s="20" t="s">
        <v>4643</v>
      </c>
      <c r="P1440" s="20"/>
      <c r="Q1440" s="11" t="s">
        <v>3826</v>
      </c>
      <c r="R1440" s="20" t="s">
        <v>5083</v>
      </c>
      <c r="S1440" s="39" t="s">
        <v>4644</v>
      </c>
      <c r="T1440" s="70" t="s">
        <v>3734</v>
      </c>
      <c r="U1440" s="50" t="s">
        <v>399</v>
      </c>
      <c r="V1440" s="118" t="str">
        <f>+Agencia[[#This Row],[idcoleccion]]&amp;"-"&amp;Agencia[[#This Row],[id]]</f>
        <v>990-1429</v>
      </c>
      <c r="W1440" s="118">
        <f>+VLOOKUP(Agencia[[#This Row],[Filtro URL]],Estructura!$X$4:$Y$500,2,0)</f>
        <v>99200009</v>
      </c>
      <c r="X1440" s="118" t="str">
        <f>+VLOOKUP(Agencia[[#This Row],[tema]],Estructura!$A$4:$C$500,3,0)</f>
        <v>T-1053</v>
      </c>
      <c r="Y1440" s="118" t="str">
        <f>+VLOOKUP(Agencia[[#This Row],[contenido]],Estructura!$E$4:$G$500,3,0)</f>
        <v>C-1015</v>
      </c>
      <c r="Z1440" s="118" t="str">
        <f>+VLOOKUP(Agencia[[#This Row],[Filtro Integrado]],Estructura!$I$4:$K$500,3,0)</f>
        <v>FI-991</v>
      </c>
      <c r="AA1440" s="118" t="str">
        <f>+VLOOKUP(Agencia[[#This Row],[Muestra]],Estructura!$M$4:$O$500,3,0)</f>
        <v>M-1109</v>
      </c>
    </row>
    <row r="1441" spans="1:27" ht="57.6" x14ac:dyDescent="0.3">
      <c r="A1441" s="21" t="s">
        <v>4235</v>
      </c>
      <c r="B1441" s="24">
        <v>990</v>
      </c>
      <c r="C1441" s="25" t="s">
        <v>401</v>
      </c>
      <c r="D1441" s="10" t="s">
        <v>4178</v>
      </c>
      <c r="E1441" s="19">
        <v>10</v>
      </c>
      <c r="F1441" s="10" t="s">
        <v>4179</v>
      </c>
      <c r="G1441" s="10" t="s">
        <v>3795</v>
      </c>
      <c r="H1441" s="35" t="s">
        <v>16</v>
      </c>
      <c r="I1441" s="36" t="s">
        <v>377</v>
      </c>
      <c r="J1441" s="9" t="s">
        <v>18</v>
      </c>
      <c r="K1441" s="9" t="s">
        <v>4180</v>
      </c>
      <c r="L1441" s="9" t="s">
        <v>460</v>
      </c>
      <c r="M1441" s="9" t="s">
        <v>4181</v>
      </c>
      <c r="N1441" s="9" t="s">
        <v>431</v>
      </c>
      <c r="O1441" s="20" t="s">
        <v>4645</v>
      </c>
      <c r="P1441" s="20"/>
      <c r="Q1441" s="11" t="s">
        <v>3826</v>
      </c>
      <c r="R1441" s="20" t="s">
        <v>5085</v>
      </c>
      <c r="S1441" s="39" t="s">
        <v>4646</v>
      </c>
      <c r="T1441" s="70" t="s">
        <v>3735</v>
      </c>
      <c r="U1441" s="50" t="s">
        <v>399</v>
      </c>
      <c r="V1441" s="118" t="str">
        <f>+Agencia[[#This Row],[idcoleccion]]&amp;"-"&amp;Agencia[[#This Row],[id]]</f>
        <v>990-1430</v>
      </c>
      <c r="W1441" s="118">
        <f>+VLOOKUP(Agencia[[#This Row],[Filtro URL]],Estructura!$X$4:$Y$500,2,0)</f>
        <v>99200010</v>
      </c>
      <c r="X1441" s="118" t="str">
        <f>+VLOOKUP(Agencia[[#This Row],[tema]],Estructura!$A$4:$C$500,3,0)</f>
        <v>T-1053</v>
      </c>
      <c r="Y1441" s="118" t="str">
        <f>+VLOOKUP(Agencia[[#This Row],[contenido]],Estructura!$E$4:$G$500,3,0)</f>
        <v>C-1015</v>
      </c>
      <c r="Z1441" s="118" t="str">
        <f>+VLOOKUP(Agencia[[#This Row],[Filtro Integrado]],Estructura!$I$4:$K$500,3,0)</f>
        <v>FI-991</v>
      </c>
      <c r="AA1441" s="118" t="str">
        <f>+VLOOKUP(Agencia[[#This Row],[Muestra]],Estructura!$M$4:$O$500,3,0)</f>
        <v>M-1109</v>
      </c>
    </row>
    <row r="1442" spans="1:27" ht="57.6" x14ac:dyDescent="0.3">
      <c r="A1442" s="21" t="s">
        <v>4236</v>
      </c>
      <c r="B1442" s="24">
        <v>990</v>
      </c>
      <c r="C1442" s="25" t="s">
        <v>401</v>
      </c>
      <c r="D1442" s="10" t="s">
        <v>4178</v>
      </c>
      <c r="E1442" s="19">
        <v>11</v>
      </c>
      <c r="F1442" s="10" t="s">
        <v>4179</v>
      </c>
      <c r="G1442" s="10" t="s">
        <v>3795</v>
      </c>
      <c r="H1442" s="35" t="s">
        <v>16</v>
      </c>
      <c r="I1442" s="36" t="s">
        <v>378</v>
      </c>
      <c r="J1442" s="9" t="s">
        <v>18</v>
      </c>
      <c r="K1442" s="9" t="s">
        <v>4180</v>
      </c>
      <c r="L1442" s="9" t="s">
        <v>460</v>
      </c>
      <c r="M1442" s="9" t="s">
        <v>4181</v>
      </c>
      <c r="N1442" s="9" t="s">
        <v>431</v>
      </c>
      <c r="O1442" s="20" t="s">
        <v>4647</v>
      </c>
      <c r="P1442" s="20"/>
      <c r="Q1442" s="11" t="s">
        <v>3826</v>
      </c>
      <c r="R1442" s="20" t="s">
        <v>5087</v>
      </c>
      <c r="S1442" s="39" t="s">
        <v>4648</v>
      </c>
      <c r="T1442" s="70" t="s">
        <v>3732</v>
      </c>
      <c r="U1442" s="50" t="s">
        <v>399</v>
      </c>
      <c r="V1442" s="118" t="str">
        <f>+Agencia[[#This Row],[idcoleccion]]&amp;"-"&amp;Agencia[[#This Row],[id]]</f>
        <v>990-1431</v>
      </c>
      <c r="W1442" s="118">
        <f>+VLOOKUP(Agencia[[#This Row],[Filtro URL]],Estructura!$X$4:$Y$500,2,0)</f>
        <v>99200011</v>
      </c>
      <c r="X1442" s="118" t="str">
        <f>+VLOOKUP(Agencia[[#This Row],[tema]],Estructura!$A$4:$C$500,3,0)</f>
        <v>T-1053</v>
      </c>
      <c r="Y1442" s="118" t="str">
        <f>+VLOOKUP(Agencia[[#This Row],[contenido]],Estructura!$E$4:$G$500,3,0)</f>
        <v>C-1015</v>
      </c>
      <c r="Z1442" s="118" t="str">
        <f>+VLOOKUP(Agencia[[#This Row],[Filtro Integrado]],Estructura!$I$4:$K$500,3,0)</f>
        <v>FI-991</v>
      </c>
      <c r="AA1442" s="118" t="str">
        <f>+VLOOKUP(Agencia[[#This Row],[Muestra]],Estructura!$M$4:$O$500,3,0)</f>
        <v>M-1109</v>
      </c>
    </row>
    <row r="1443" spans="1:27" ht="57.6" x14ac:dyDescent="0.3">
      <c r="A1443" s="21" t="s">
        <v>4237</v>
      </c>
      <c r="B1443" s="24">
        <v>990</v>
      </c>
      <c r="C1443" s="25" t="s">
        <v>401</v>
      </c>
      <c r="D1443" s="10" t="s">
        <v>4178</v>
      </c>
      <c r="E1443" s="19">
        <v>12</v>
      </c>
      <c r="F1443" s="10" t="s">
        <v>4179</v>
      </c>
      <c r="G1443" s="10" t="s">
        <v>3795</v>
      </c>
      <c r="H1443" s="35" t="s">
        <v>16</v>
      </c>
      <c r="I1443" s="36" t="s">
        <v>379</v>
      </c>
      <c r="J1443" s="9" t="s">
        <v>18</v>
      </c>
      <c r="K1443" s="9" t="s">
        <v>4180</v>
      </c>
      <c r="L1443" s="9" t="s">
        <v>460</v>
      </c>
      <c r="M1443" s="9" t="s">
        <v>4181</v>
      </c>
      <c r="N1443" s="9" t="s">
        <v>431</v>
      </c>
      <c r="O1443" s="20" t="s">
        <v>4649</v>
      </c>
      <c r="P1443" s="20"/>
      <c r="Q1443" s="11" t="s">
        <v>3826</v>
      </c>
      <c r="R1443" s="20" t="s">
        <v>5089</v>
      </c>
      <c r="S1443" s="39" t="s">
        <v>4650</v>
      </c>
      <c r="T1443" s="70" t="s">
        <v>3737</v>
      </c>
      <c r="U1443" s="50" t="s">
        <v>399</v>
      </c>
      <c r="V1443" s="118" t="str">
        <f>+Agencia[[#This Row],[idcoleccion]]&amp;"-"&amp;Agencia[[#This Row],[id]]</f>
        <v>990-1432</v>
      </c>
      <c r="W1443" s="118">
        <f>+VLOOKUP(Agencia[[#This Row],[Filtro URL]],Estructura!$X$4:$Y$500,2,0)</f>
        <v>99200012</v>
      </c>
      <c r="X1443" s="118" t="str">
        <f>+VLOOKUP(Agencia[[#This Row],[tema]],Estructura!$A$4:$C$500,3,0)</f>
        <v>T-1053</v>
      </c>
      <c r="Y1443" s="118" t="str">
        <f>+VLOOKUP(Agencia[[#This Row],[contenido]],Estructura!$E$4:$G$500,3,0)</f>
        <v>C-1015</v>
      </c>
      <c r="Z1443" s="118" t="str">
        <f>+VLOOKUP(Agencia[[#This Row],[Filtro Integrado]],Estructura!$I$4:$K$500,3,0)</f>
        <v>FI-991</v>
      </c>
      <c r="AA1443" s="118" t="str">
        <f>+VLOOKUP(Agencia[[#This Row],[Muestra]],Estructura!$M$4:$O$500,3,0)</f>
        <v>M-1109</v>
      </c>
    </row>
    <row r="1444" spans="1:27" ht="57.6" x14ac:dyDescent="0.3">
      <c r="A1444" s="21" t="s">
        <v>4238</v>
      </c>
      <c r="B1444" s="24">
        <v>990</v>
      </c>
      <c r="C1444" s="25" t="s">
        <v>401</v>
      </c>
      <c r="D1444" s="10" t="s">
        <v>4178</v>
      </c>
      <c r="E1444" s="19">
        <v>13</v>
      </c>
      <c r="F1444" s="10" t="s">
        <v>4179</v>
      </c>
      <c r="G1444" s="10" t="s">
        <v>3795</v>
      </c>
      <c r="H1444" s="35" t="s">
        <v>16</v>
      </c>
      <c r="I1444" s="36" t="s">
        <v>380</v>
      </c>
      <c r="J1444" s="9" t="s">
        <v>18</v>
      </c>
      <c r="K1444" s="9" t="s">
        <v>4180</v>
      </c>
      <c r="L1444" s="9" t="s">
        <v>460</v>
      </c>
      <c r="M1444" s="9" t="s">
        <v>4181</v>
      </c>
      <c r="N1444" s="9" t="s">
        <v>431</v>
      </c>
      <c r="O1444" s="20" t="s">
        <v>4651</v>
      </c>
      <c r="P1444" s="20"/>
      <c r="Q1444" s="11" t="s">
        <v>3826</v>
      </c>
      <c r="R1444" s="20" t="s">
        <v>5092</v>
      </c>
      <c r="S1444" s="39" t="s">
        <v>4652</v>
      </c>
      <c r="T1444" s="70" t="s">
        <v>3744</v>
      </c>
      <c r="U1444" s="50" t="s">
        <v>399</v>
      </c>
      <c r="V1444" s="118" t="str">
        <f>+Agencia[[#This Row],[idcoleccion]]&amp;"-"&amp;Agencia[[#This Row],[id]]</f>
        <v>990-1433</v>
      </c>
      <c r="W1444" s="118">
        <f>+VLOOKUP(Agencia[[#This Row],[Filtro URL]],Estructura!$X$4:$Y$500,2,0)</f>
        <v>99200013</v>
      </c>
      <c r="X1444" s="118" t="str">
        <f>+VLOOKUP(Agencia[[#This Row],[tema]],Estructura!$A$4:$C$500,3,0)</f>
        <v>T-1053</v>
      </c>
      <c r="Y1444" s="118" t="str">
        <f>+VLOOKUP(Agencia[[#This Row],[contenido]],Estructura!$E$4:$G$500,3,0)</f>
        <v>C-1015</v>
      </c>
      <c r="Z1444" s="118" t="str">
        <f>+VLOOKUP(Agencia[[#This Row],[Filtro Integrado]],Estructura!$I$4:$K$500,3,0)</f>
        <v>FI-991</v>
      </c>
      <c r="AA1444" s="118" t="str">
        <f>+VLOOKUP(Agencia[[#This Row],[Muestra]],Estructura!$M$4:$O$500,3,0)</f>
        <v>M-1109</v>
      </c>
    </row>
    <row r="1445" spans="1:27" ht="57.6" x14ac:dyDescent="0.3">
      <c r="A1445" s="21" t="s">
        <v>4239</v>
      </c>
      <c r="B1445" s="24">
        <v>990</v>
      </c>
      <c r="C1445" s="25" t="s">
        <v>401</v>
      </c>
      <c r="D1445" s="10" t="s">
        <v>4178</v>
      </c>
      <c r="E1445" s="19">
        <v>14</v>
      </c>
      <c r="F1445" s="10" t="s">
        <v>4179</v>
      </c>
      <c r="G1445" s="10" t="s">
        <v>3795</v>
      </c>
      <c r="H1445" s="35" t="s">
        <v>16</v>
      </c>
      <c r="I1445" s="36" t="s">
        <v>381</v>
      </c>
      <c r="J1445" s="9" t="s">
        <v>18</v>
      </c>
      <c r="K1445" s="9" t="s">
        <v>4180</v>
      </c>
      <c r="L1445" s="9" t="s">
        <v>460</v>
      </c>
      <c r="M1445" s="9" t="s">
        <v>4181</v>
      </c>
      <c r="N1445" s="9" t="s">
        <v>431</v>
      </c>
      <c r="O1445" s="20" t="s">
        <v>4653</v>
      </c>
      <c r="P1445" s="20"/>
      <c r="Q1445" s="11" t="s">
        <v>3826</v>
      </c>
      <c r="R1445" s="20" t="s">
        <v>5095</v>
      </c>
      <c r="S1445" s="39" t="s">
        <v>4654</v>
      </c>
      <c r="T1445" s="70" t="s">
        <v>3736</v>
      </c>
      <c r="U1445" s="50" t="s">
        <v>399</v>
      </c>
      <c r="V1445" s="118" t="str">
        <f>+Agencia[[#This Row],[idcoleccion]]&amp;"-"&amp;Agencia[[#This Row],[id]]</f>
        <v>990-1434</v>
      </c>
      <c r="W1445" s="118">
        <f>+VLOOKUP(Agencia[[#This Row],[Filtro URL]],Estructura!$X$4:$Y$500,2,0)</f>
        <v>99200014</v>
      </c>
      <c r="X1445" s="118" t="str">
        <f>+VLOOKUP(Agencia[[#This Row],[tema]],Estructura!$A$4:$C$500,3,0)</f>
        <v>T-1053</v>
      </c>
      <c r="Y1445" s="118" t="str">
        <f>+VLOOKUP(Agencia[[#This Row],[contenido]],Estructura!$E$4:$G$500,3,0)</f>
        <v>C-1015</v>
      </c>
      <c r="Z1445" s="118" t="str">
        <f>+VLOOKUP(Agencia[[#This Row],[Filtro Integrado]],Estructura!$I$4:$K$500,3,0)</f>
        <v>FI-991</v>
      </c>
      <c r="AA1445" s="118" t="str">
        <f>+VLOOKUP(Agencia[[#This Row],[Muestra]],Estructura!$M$4:$O$500,3,0)</f>
        <v>M-1109</v>
      </c>
    </row>
    <row r="1446" spans="1:27" ht="57.6" x14ac:dyDescent="0.3">
      <c r="A1446" s="21" t="s">
        <v>4240</v>
      </c>
      <c r="B1446" s="24">
        <v>990</v>
      </c>
      <c r="C1446" s="25" t="s">
        <v>401</v>
      </c>
      <c r="D1446" s="10" t="s">
        <v>4178</v>
      </c>
      <c r="E1446" s="19">
        <v>15</v>
      </c>
      <c r="F1446" s="10" t="s">
        <v>4179</v>
      </c>
      <c r="G1446" s="10" t="s">
        <v>3795</v>
      </c>
      <c r="H1446" s="35" t="s">
        <v>16</v>
      </c>
      <c r="I1446" s="36" t="s">
        <v>382</v>
      </c>
      <c r="J1446" s="9" t="s">
        <v>18</v>
      </c>
      <c r="K1446" s="9" t="s">
        <v>4180</v>
      </c>
      <c r="L1446" s="9" t="s">
        <v>460</v>
      </c>
      <c r="M1446" s="9" t="s">
        <v>4181</v>
      </c>
      <c r="N1446" s="9" t="s">
        <v>431</v>
      </c>
      <c r="O1446" s="20" t="s">
        <v>4655</v>
      </c>
      <c r="P1446" s="20"/>
      <c r="Q1446" s="11" t="s">
        <v>3826</v>
      </c>
      <c r="R1446" s="20" t="s">
        <v>5098</v>
      </c>
      <c r="S1446" s="39" t="s">
        <v>4656</v>
      </c>
      <c r="T1446" s="70" t="s">
        <v>3730</v>
      </c>
      <c r="U1446" s="50" t="s">
        <v>399</v>
      </c>
      <c r="V1446" s="118" t="str">
        <f>+Agencia[[#This Row],[idcoleccion]]&amp;"-"&amp;Agencia[[#This Row],[id]]</f>
        <v>990-1435</v>
      </c>
      <c r="W1446" s="118">
        <f>+VLOOKUP(Agencia[[#This Row],[Filtro URL]],Estructura!$X$4:$Y$500,2,0)</f>
        <v>99200015</v>
      </c>
      <c r="X1446" s="118" t="str">
        <f>+VLOOKUP(Agencia[[#This Row],[tema]],Estructura!$A$4:$C$500,3,0)</f>
        <v>T-1053</v>
      </c>
      <c r="Y1446" s="118" t="str">
        <f>+VLOOKUP(Agencia[[#This Row],[contenido]],Estructura!$E$4:$G$500,3,0)</f>
        <v>C-1015</v>
      </c>
      <c r="Z1446" s="118" t="str">
        <f>+VLOOKUP(Agencia[[#This Row],[Filtro Integrado]],Estructura!$I$4:$K$500,3,0)</f>
        <v>FI-991</v>
      </c>
      <c r="AA1446" s="118" t="str">
        <f>+VLOOKUP(Agencia[[#This Row],[Muestra]],Estructura!$M$4:$O$500,3,0)</f>
        <v>M-1109</v>
      </c>
    </row>
    <row r="1447" spans="1:27" ht="57.6" x14ac:dyDescent="0.3">
      <c r="A1447" s="21" t="s">
        <v>4241</v>
      </c>
      <c r="B1447" s="24">
        <v>990</v>
      </c>
      <c r="C1447" s="25" t="s">
        <v>401</v>
      </c>
      <c r="D1447" s="10" t="s">
        <v>4178</v>
      </c>
      <c r="E1447" s="19">
        <v>16</v>
      </c>
      <c r="F1447" s="10" t="s">
        <v>4179</v>
      </c>
      <c r="G1447" s="10" t="s">
        <v>3795</v>
      </c>
      <c r="H1447" s="35" t="s">
        <v>16</v>
      </c>
      <c r="I1447" s="36" t="s">
        <v>383</v>
      </c>
      <c r="J1447" s="9" t="s">
        <v>18</v>
      </c>
      <c r="K1447" s="9" t="s">
        <v>4180</v>
      </c>
      <c r="L1447" s="9" t="s">
        <v>460</v>
      </c>
      <c r="M1447" s="9" t="s">
        <v>4181</v>
      </c>
      <c r="N1447" s="9" t="s">
        <v>431</v>
      </c>
      <c r="O1447" s="20" t="s">
        <v>5180</v>
      </c>
      <c r="P1447" s="20"/>
      <c r="Q1447" s="11" t="s">
        <v>3826</v>
      </c>
      <c r="R1447" s="20" t="s">
        <v>5101</v>
      </c>
      <c r="S1447" s="39" t="s">
        <v>5181</v>
      </c>
      <c r="T1447" s="70" t="s">
        <v>3739</v>
      </c>
      <c r="U1447" s="50" t="s">
        <v>399</v>
      </c>
      <c r="V1447" s="118" t="str">
        <f>+Agencia[[#This Row],[idcoleccion]]&amp;"-"&amp;Agencia[[#This Row],[id]]</f>
        <v>990-1436</v>
      </c>
      <c r="W1447" s="118">
        <f>+VLOOKUP(Agencia[[#This Row],[Filtro URL]],Estructura!$X$4:$Y$500,2,0)</f>
        <v>99200016</v>
      </c>
      <c r="X1447" s="118" t="str">
        <f>+VLOOKUP(Agencia[[#This Row],[tema]],Estructura!$A$4:$C$500,3,0)</f>
        <v>T-1053</v>
      </c>
      <c r="Y1447" s="118" t="str">
        <f>+VLOOKUP(Agencia[[#This Row],[contenido]],Estructura!$E$4:$G$500,3,0)</f>
        <v>C-1015</v>
      </c>
      <c r="Z1447" s="118" t="str">
        <f>+VLOOKUP(Agencia[[#This Row],[Filtro Integrado]],Estructura!$I$4:$K$500,3,0)</f>
        <v>FI-991</v>
      </c>
      <c r="AA1447" s="118" t="str">
        <f>+VLOOKUP(Agencia[[#This Row],[Muestra]],Estructura!$M$4:$O$500,3,0)</f>
        <v>M-1109</v>
      </c>
    </row>
    <row r="1448" spans="1:27" ht="91.8" x14ac:dyDescent="0.3">
      <c r="A1448" s="21" t="s">
        <v>4242</v>
      </c>
      <c r="B1448" s="24">
        <v>990</v>
      </c>
      <c r="C1448" s="25" t="s">
        <v>401</v>
      </c>
      <c r="D1448" s="10" t="s">
        <v>4178</v>
      </c>
      <c r="E1448" s="14">
        <v>0</v>
      </c>
      <c r="F1448" s="10" t="s">
        <v>4201</v>
      </c>
      <c r="G1448" s="10" t="s">
        <v>3795</v>
      </c>
      <c r="H1448" s="33" t="s">
        <v>20</v>
      </c>
      <c r="I1448" s="34" t="s">
        <v>15</v>
      </c>
      <c r="J1448" s="9" t="s">
        <v>1032</v>
      </c>
      <c r="K1448" s="9" t="s">
        <v>4202</v>
      </c>
      <c r="L1448" s="9" t="s">
        <v>460</v>
      </c>
      <c r="M1448" s="9" t="s">
        <v>4203</v>
      </c>
      <c r="N1448" s="9" t="s">
        <v>431</v>
      </c>
      <c r="O1448" s="20" t="s">
        <v>5182</v>
      </c>
      <c r="P1448" s="20" t="s">
        <v>4204</v>
      </c>
      <c r="Q1448" s="11" t="s">
        <v>3826</v>
      </c>
      <c r="R1448" s="20" t="s">
        <v>5183</v>
      </c>
      <c r="S1448" s="39" t="s">
        <v>4205</v>
      </c>
      <c r="T1448" s="70" t="s">
        <v>1033</v>
      </c>
      <c r="U1448" s="50" t="s">
        <v>399</v>
      </c>
      <c r="V1448" s="118" t="str">
        <f>+Agencia[[#This Row],[idcoleccion]]&amp;"-"&amp;Agencia[[#This Row],[id]]</f>
        <v>990-1437</v>
      </c>
      <c r="W1448" s="118">
        <f>+VLOOKUP(Agencia[[#This Row],[Filtro URL]],Estructura!$X$4:$Y$500,2,0)</f>
        <v>99100000</v>
      </c>
      <c r="X1448" s="118" t="str">
        <f>+VLOOKUP(Agencia[[#This Row],[tema]],Estructura!$A$4:$C$500,3,0)</f>
        <v>T-1054</v>
      </c>
      <c r="Y1448" s="118" t="str">
        <f>+VLOOKUP(Agencia[[#This Row],[contenido]],Estructura!$E$4:$G$500,3,0)</f>
        <v>C-1015</v>
      </c>
      <c r="Z1448" s="118" t="str">
        <f>+VLOOKUP(Agencia[[#This Row],[Filtro Integrado]],Estructura!$I$4:$K$500,3,0)</f>
        <v>FI-994</v>
      </c>
      <c r="AA1448" s="118" t="str">
        <f>+VLOOKUP(Agencia[[#This Row],[Muestra]],Estructura!$M$4:$O$500,3,0)</f>
        <v>M-1110</v>
      </c>
    </row>
    <row r="1449" spans="1:27" ht="57.6" x14ac:dyDescent="0.3">
      <c r="A1449" s="21" t="s">
        <v>4243</v>
      </c>
      <c r="B1449" s="24">
        <v>990</v>
      </c>
      <c r="C1449" s="25" t="s">
        <v>401</v>
      </c>
      <c r="D1449" s="10" t="s">
        <v>4178</v>
      </c>
      <c r="E1449" s="19">
        <v>1</v>
      </c>
      <c r="F1449" s="10" t="s">
        <v>4201</v>
      </c>
      <c r="G1449" s="10" t="s">
        <v>3795</v>
      </c>
      <c r="H1449" s="35" t="s">
        <v>16</v>
      </c>
      <c r="I1449" s="36" t="s">
        <v>368</v>
      </c>
      <c r="J1449" s="9" t="s">
        <v>18</v>
      </c>
      <c r="K1449" s="9" t="s">
        <v>4202</v>
      </c>
      <c r="L1449" s="9" t="s">
        <v>460</v>
      </c>
      <c r="M1449" s="9" t="s">
        <v>4203</v>
      </c>
      <c r="N1449" s="9" t="s">
        <v>431</v>
      </c>
      <c r="O1449" s="20" t="s">
        <v>5184</v>
      </c>
      <c r="P1449" s="20"/>
      <c r="Q1449" s="11" t="s">
        <v>3826</v>
      </c>
      <c r="R1449" s="20" t="s">
        <v>5185</v>
      </c>
      <c r="S1449" s="39" t="s">
        <v>4657</v>
      </c>
      <c r="T1449" s="70" t="s">
        <v>3741</v>
      </c>
      <c r="U1449" s="50" t="s">
        <v>399</v>
      </c>
      <c r="V1449" s="118" t="str">
        <f>+Agencia[[#This Row],[idcoleccion]]&amp;"-"&amp;Agencia[[#This Row],[id]]</f>
        <v>990-1438</v>
      </c>
      <c r="W1449" s="118">
        <f>+VLOOKUP(Agencia[[#This Row],[Filtro URL]],Estructura!$X$4:$Y$500,2,0)</f>
        <v>99200001</v>
      </c>
      <c r="X1449" s="118" t="str">
        <f>+VLOOKUP(Agencia[[#This Row],[tema]],Estructura!$A$4:$C$500,3,0)</f>
        <v>T-1054</v>
      </c>
      <c r="Y1449" s="118" t="str">
        <f>+VLOOKUP(Agencia[[#This Row],[contenido]],Estructura!$E$4:$G$500,3,0)</f>
        <v>C-1015</v>
      </c>
      <c r="Z1449" s="118" t="str">
        <f>+VLOOKUP(Agencia[[#This Row],[Filtro Integrado]],Estructura!$I$4:$K$500,3,0)</f>
        <v>FI-991</v>
      </c>
      <c r="AA1449" s="118" t="str">
        <f>+VLOOKUP(Agencia[[#This Row],[Muestra]],Estructura!$M$4:$O$500,3,0)</f>
        <v>M-1110</v>
      </c>
    </row>
    <row r="1450" spans="1:27" ht="57.6" x14ac:dyDescent="0.3">
      <c r="A1450" s="21" t="s">
        <v>4250</v>
      </c>
      <c r="B1450" s="24">
        <v>990</v>
      </c>
      <c r="C1450" s="25" t="s">
        <v>401</v>
      </c>
      <c r="D1450" s="10" t="s">
        <v>4178</v>
      </c>
      <c r="E1450" s="19">
        <v>2</v>
      </c>
      <c r="F1450" s="10" t="s">
        <v>4201</v>
      </c>
      <c r="G1450" s="10" t="s">
        <v>3795</v>
      </c>
      <c r="H1450" s="35" t="s">
        <v>16</v>
      </c>
      <c r="I1450" s="36" t="s">
        <v>369</v>
      </c>
      <c r="J1450" s="9" t="s">
        <v>18</v>
      </c>
      <c r="K1450" s="9" t="s">
        <v>4202</v>
      </c>
      <c r="L1450" s="9" t="s">
        <v>460</v>
      </c>
      <c r="M1450" s="9" t="s">
        <v>4203</v>
      </c>
      <c r="N1450" s="9" t="s">
        <v>431</v>
      </c>
      <c r="O1450" s="20" t="s">
        <v>5186</v>
      </c>
      <c r="P1450" s="20"/>
      <c r="Q1450" s="11" t="s">
        <v>3826</v>
      </c>
      <c r="R1450" s="20" t="s">
        <v>5187</v>
      </c>
      <c r="S1450" s="39" t="s">
        <v>4658</v>
      </c>
      <c r="T1450" s="70" t="s">
        <v>3729</v>
      </c>
      <c r="U1450" s="50" t="s">
        <v>399</v>
      </c>
      <c r="V1450" s="118" t="str">
        <f>+Agencia[[#This Row],[idcoleccion]]&amp;"-"&amp;Agencia[[#This Row],[id]]</f>
        <v>990-1439</v>
      </c>
      <c r="W1450" s="118">
        <f>+VLOOKUP(Agencia[[#This Row],[Filtro URL]],Estructura!$X$4:$Y$500,2,0)</f>
        <v>99200002</v>
      </c>
      <c r="X1450" s="118" t="str">
        <f>+VLOOKUP(Agencia[[#This Row],[tema]],Estructura!$A$4:$C$500,3,0)</f>
        <v>T-1054</v>
      </c>
      <c r="Y1450" s="118" t="str">
        <f>+VLOOKUP(Agencia[[#This Row],[contenido]],Estructura!$E$4:$G$500,3,0)</f>
        <v>C-1015</v>
      </c>
      <c r="Z1450" s="118" t="str">
        <f>+VLOOKUP(Agencia[[#This Row],[Filtro Integrado]],Estructura!$I$4:$K$500,3,0)</f>
        <v>FI-991</v>
      </c>
      <c r="AA1450" s="118" t="str">
        <f>+VLOOKUP(Agencia[[#This Row],[Muestra]],Estructura!$M$4:$O$500,3,0)</f>
        <v>M-1110</v>
      </c>
    </row>
    <row r="1451" spans="1:27" ht="57.6" x14ac:dyDescent="0.3">
      <c r="A1451" s="21" t="s">
        <v>4255</v>
      </c>
      <c r="B1451" s="24">
        <v>990</v>
      </c>
      <c r="C1451" s="25" t="s">
        <v>401</v>
      </c>
      <c r="D1451" s="10" t="s">
        <v>4178</v>
      </c>
      <c r="E1451" s="19">
        <v>3</v>
      </c>
      <c r="F1451" s="10" t="s">
        <v>4201</v>
      </c>
      <c r="G1451" s="10" t="s">
        <v>3795</v>
      </c>
      <c r="H1451" s="35" t="s">
        <v>16</v>
      </c>
      <c r="I1451" s="36" t="s">
        <v>370</v>
      </c>
      <c r="J1451" s="9" t="s">
        <v>18</v>
      </c>
      <c r="K1451" s="9" t="s">
        <v>4202</v>
      </c>
      <c r="L1451" s="9" t="s">
        <v>460</v>
      </c>
      <c r="M1451" s="9" t="s">
        <v>4203</v>
      </c>
      <c r="N1451" s="9" t="s">
        <v>431</v>
      </c>
      <c r="O1451" s="20" t="s">
        <v>5188</v>
      </c>
      <c r="P1451" s="20"/>
      <c r="Q1451" s="11" t="s">
        <v>3826</v>
      </c>
      <c r="R1451" s="20" t="s">
        <v>5189</v>
      </c>
      <c r="S1451" s="39" t="s">
        <v>4659</v>
      </c>
      <c r="T1451" s="70" t="s">
        <v>3731</v>
      </c>
      <c r="U1451" s="50" t="s">
        <v>399</v>
      </c>
      <c r="V1451" s="118" t="str">
        <f>+Agencia[[#This Row],[idcoleccion]]&amp;"-"&amp;Agencia[[#This Row],[id]]</f>
        <v>990-1440</v>
      </c>
      <c r="W1451" s="118">
        <f>+VLOOKUP(Agencia[[#This Row],[Filtro URL]],Estructura!$X$4:$Y$500,2,0)</f>
        <v>99200003</v>
      </c>
      <c r="X1451" s="118" t="str">
        <f>+VLOOKUP(Agencia[[#This Row],[tema]],Estructura!$A$4:$C$500,3,0)</f>
        <v>T-1054</v>
      </c>
      <c r="Y1451" s="118" t="str">
        <f>+VLOOKUP(Agencia[[#This Row],[contenido]],Estructura!$E$4:$G$500,3,0)</f>
        <v>C-1015</v>
      </c>
      <c r="Z1451" s="118" t="str">
        <f>+VLOOKUP(Agencia[[#This Row],[Filtro Integrado]],Estructura!$I$4:$K$500,3,0)</f>
        <v>FI-991</v>
      </c>
      <c r="AA1451" s="118" t="str">
        <f>+VLOOKUP(Agencia[[#This Row],[Muestra]],Estructura!$M$4:$O$500,3,0)</f>
        <v>M-1110</v>
      </c>
    </row>
    <row r="1452" spans="1:27" ht="57.6" x14ac:dyDescent="0.3">
      <c r="A1452" s="21" t="s">
        <v>4258</v>
      </c>
      <c r="B1452" s="24">
        <v>990</v>
      </c>
      <c r="C1452" s="25" t="s">
        <v>401</v>
      </c>
      <c r="D1452" s="10" t="s">
        <v>4178</v>
      </c>
      <c r="E1452" s="19">
        <v>4</v>
      </c>
      <c r="F1452" s="10" t="s">
        <v>4201</v>
      </c>
      <c r="G1452" s="10" t="s">
        <v>3795</v>
      </c>
      <c r="H1452" s="35" t="s">
        <v>16</v>
      </c>
      <c r="I1452" s="36" t="s">
        <v>371</v>
      </c>
      <c r="J1452" s="9" t="s">
        <v>18</v>
      </c>
      <c r="K1452" s="9" t="s">
        <v>4202</v>
      </c>
      <c r="L1452" s="9" t="s">
        <v>460</v>
      </c>
      <c r="M1452" s="9" t="s">
        <v>4203</v>
      </c>
      <c r="N1452" s="9" t="s">
        <v>431</v>
      </c>
      <c r="O1452" s="20" t="s">
        <v>5190</v>
      </c>
      <c r="P1452" s="20"/>
      <c r="Q1452" s="11" t="s">
        <v>3826</v>
      </c>
      <c r="R1452" s="20" t="s">
        <v>5191</v>
      </c>
      <c r="S1452" s="39" t="s">
        <v>4660</v>
      </c>
      <c r="T1452" s="70" t="s">
        <v>3733</v>
      </c>
      <c r="U1452" s="50" t="s">
        <v>399</v>
      </c>
      <c r="V1452" s="118" t="str">
        <f>+Agencia[[#This Row],[idcoleccion]]&amp;"-"&amp;Agencia[[#This Row],[id]]</f>
        <v>990-1441</v>
      </c>
      <c r="W1452" s="118">
        <f>+VLOOKUP(Agencia[[#This Row],[Filtro URL]],Estructura!$X$4:$Y$500,2,0)</f>
        <v>99200004</v>
      </c>
      <c r="X1452" s="118" t="str">
        <f>+VLOOKUP(Agencia[[#This Row],[tema]],Estructura!$A$4:$C$500,3,0)</f>
        <v>T-1054</v>
      </c>
      <c r="Y1452" s="118" t="str">
        <f>+VLOOKUP(Agencia[[#This Row],[contenido]],Estructura!$E$4:$G$500,3,0)</f>
        <v>C-1015</v>
      </c>
      <c r="Z1452" s="118" t="str">
        <f>+VLOOKUP(Agencia[[#This Row],[Filtro Integrado]],Estructura!$I$4:$K$500,3,0)</f>
        <v>FI-991</v>
      </c>
      <c r="AA1452" s="118" t="str">
        <f>+VLOOKUP(Agencia[[#This Row],[Muestra]],Estructura!$M$4:$O$500,3,0)</f>
        <v>M-1110</v>
      </c>
    </row>
    <row r="1453" spans="1:27" ht="57.6" x14ac:dyDescent="0.3">
      <c r="A1453" s="21" t="s">
        <v>4259</v>
      </c>
      <c r="B1453" s="24">
        <v>990</v>
      </c>
      <c r="C1453" s="25" t="s">
        <v>401</v>
      </c>
      <c r="D1453" s="10" t="s">
        <v>4178</v>
      </c>
      <c r="E1453" s="19">
        <v>5</v>
      </c>
      <c r="F1453" s="10" t="s">
        <v>4201</v>
      </c>
      <c r="G1453" s="10" t="s">
        <v>3795</v>
      </c>
      <c r="H1453" s="35" t="s">
        <v>16</v>
      </c>
      <c r="I1453" s="36" t="s">
        <v>372</v>
      </c>
      <c r="J1453" s="9" t="s">
        <v>18</v>
      </c>
      <c r="K1453" s="9" t="s">
        <v>4202</v>
      </c>
      <c r="L1453" s="9" t="s">
        <v>460</v>
      </c>
      <c r="M1453" s="9" t="s">
        <v>4203</v>
      </c>
      <c r="N1453" s="9" t="s">
        <v>431</v>
      </c>
      <c r="O1453" s="20" t="s">
        <v>5192</v>
      </c>
      <c r="P1453" s="20"/>
      <c r="Q1453" s="11" t="s">
        <v>3826</v>
      </c>
      <c r="R1453" s="20" t="s">
        <v>5193</v>
      </c>
      <c r="S1453" s="39" t="s">
        <v>4661</v>
      </c>
      <c r="T1453" s="70" t="s">
        <v>3742</v>
      </c>
      <c r="U1453" s="50" t="s">
        <v>399</v>
      </c>
      <c r="V1453" s="118" t="str">
        <f>+Agencia[[#This Row],[idcoleccion]]&amp;"-"&amp;Agencia[[#This Row],[id]]</f>
        <v>990-1442</v>
      </c>
      <c r="W1453" s="118">
        <f>+VLOOKUP(Agencia[[#This Row],[Filtro URL]],Estructura!$X$4:$Y$500,2,0)</f>
        <v>99200005</v>
      </c>
      <c r="X1453" s="118" t="str">
        <f>+VLOOKUP(Agencia[[#This Row],[tema]],Estructura!$A$4:$C$500,3,0)</f>
        <v>T-1054</v>
      </c>
      <c r="Y1453" s="118" t="str">
        <f>+VLOOKUP(Agencia[[#This Row],[contenido]],Estructura!$E$4:$G$500,3,0)</f>
        <v>C-1015</v>
      </c>
      <c r="Z1453" s="118" t="str">
        <f>+VLOOKUP(Agencia[[#This Row],[Filtro Integrado]],Estructura!$I$4:$K$500,3,0)</f>
        <v>FI-991</v>
      </c>
      <c r="AA1453" s="118" t="str">
        <f>+VLOOKUP(Agencia[[#This Row],[Muestra]],Estructura!$M$4:$O$500,3,0)</f>
        <v>M-1110</v>
      </c>
    </row>
    <row r="1454" spans="1:27" ht="57.6" x14ac:dyDescent="0.3">
      <c r="A1454" s="21" t="s">
        <v>4260</v>
      </c>
      <c r="B1454" s="24">
        <v>990</v>
      </c>
      <c r="C1454" s="25" t="s">
        <v>401</v>
      </c>
      <c r="D1454" s="10" t="s">
        <v>4178</v>
      </c>
      <c r="E1454" s="19">
        <v>6</v>
      </c>
      <c r="F1454" s="10" t="s">
        <v>4201</v>
      </c>
      <c r="G1454" s="10" t="s">
        <v>3795</v>
      </c>
      <c r="H1454" s="35" t="s">
        <v>16</v>
      </c>
      <c r="I1454" s="36" t="s">
        <v>373</v>
      </c>
      <c r="J1454" s="9" t="s">
        <v>18</v>
      </c>
      <c r="K1454" s="9" t="s">
        <v>4202</v>
      </c>
      <c r="L1454" s="9" t="s">
        <v>460</v>
      </c>
      <c r="M1454" s="9" t="s">
        <v>4203</v>
      </c>
      <c r="N1454" s="9" t="s">
        <v>431</v>
      </c>
      <c r="O1454" s="20" t="s">
        <v>5194</v>
      </c>
      <c r="P1454" s="20"/>
      <c r="Q1454" s="11" t="s">
        <v>3826</v>
      </c>
      <c r="R1454" s="20" t="s">
        <v>5195</v>
      </c>
      <c r="S1454" s="39" t="s">
        <v>4662</v>
      </c>
      <c r="T1454" s="70" t="s">
        <v>3740</v>
      </c>
      <c r="U1454" s="50" t="s">
        <v>399</v>
      </c>
      <c r="V1454" s="118" t="str">
        <f>+Agencia[[#This Row],[idcoleccion]]&amp;"-"&amp;Agencia[[#This Row],[id]]</f>
        <v>990-1443</v>
      </c>
      <c r="W1454" s="118">
        <f>+VLOOKUP(Agencia[[#This Row],[Filtro URL]],Estructura!$X$4:$Y$500,2,0)</f>
        <v>99200006</v>
      </c>
      <c r="X1454" s="118" t="str">
        <f>+VLOOKUP(Agencia[[#This Row],[tema]],Estructura!$A$4:$C$500,3,0)</f>
        <v>T-1054</v>
      </c>
      <c r="Y1454" s="118" t="str">
        <f>+VLOOKUP(Agencia[[#This Row],[contenido]],Estructura!$E$4:$G$500,3,0)</f>
        <v>C-1015</v>
      </c>
      <c r="Z1454" s="118" t="str">
        <f>+VLOOKUP(Agencia[[#This Row],[Filtro Integrado]],Estructura!$I$4:$K$500,3,0)</f>
        <v>FI-991</v>
      </c>
      <c r="AA1454" s="118" t="str">
        <f>+VLOOKUP(Agencia[[#This Row],[Muestra]],Estructura!$M$4:$O$500,3,0)</f>
        <v>M-1110</v>
      </c>
    </row>
    <row r="1455" spans="1:27" ht="57.6" x14ac:dyDescent="0.3">
      <c r="A1455" s="21" t="s">
        <v>4261</v>
      </c>
      <c r="B1455" s="24">
        <v>990</v>
      </c>
      <c r="C1455" s="25" t="s">
        <v>401</v>
      </c>
      <c r="D1455" s="10" t="s">
        <v>4178</v>
      </c>
      <c r="E1455" s="19">
        <v>7</v>
      </c>
      <c r="F1455" s="10" t="s">
        <v>4201</v>
      </c>
      <c r="G1455" s="10" t="s">
        <v>3795</v>
      </c>
      <c r="H1455" s="35" t="s">
        <v>16</v>
      </c>
      <c r="I1455" s="36" t="s">
        <v>374</v>
      </c>
      <c r="J1455" s="9" t="s">
        <v>18</v>
      </c>
      <c r="K1455" s="9" t="s">
        <v>4202</v>
      </c>
      <c r="L1455" s="9" t="s">
        <v>460</v>
      </c>
      <c r="M1455" s="9" t="s">
        <v>4203</v>
      </c>
      <c r="N1455" s="9" t="s">
        <v>431</v>
      </c>
      <c r="O1455" s="20" t="s">
        <v>5196</v>
      </c>
      <c r="P1455" s="20"/>
      <c r="Q1455" s="11" t="s">
        <v>3826</v>
      </c>
      <c r="R1455" s="20" t="s">
        <v>5197</v>
      </c>
      <c r="S1455" s="39" t="s">
        <v>4663</v>
      </c>
      <c r="T1455" s="70" t="s">
        <v>3738</v>
      </c>
      <c r="U1455" s="50" t="s">
        <v>399</v>
      </c>
      <c r="V1455" s="118" t="str">
        <f>+Agencia[[#This Row],[idcoleccion]]&amp;"-"&amp;Agencia[[#This Row],[id]]</f>
        <v>990-1444</v>
      </c>
      <c r="W1455" s="118">
        <f>+VLOOKUP(Agencia[[#This Row],[Filtro URL]],Estructura!$X$4:$Y$500,2,0)</f>
        <v>99200007</v>
      </c>
      <c r="X1455" s="118" t="str">
        <f>+VLOOKUP(Agencia[[#This Row],[tema]],Estructura!$A$4:$C$500,3,0)</f>
        <v>T-1054</v>
      </c>
      <c r="Y1455" s="118" t="str">
        <f>+VLOOKUP(Agencia[[#This Row],[contenido]],Estructura!$E$4:$G$500,3,0)</f>
        <v>C-1015</v>
      </c>
      <c r="Z1455" s="118" t="str">
        <f>+VLOOKUP(Agencia[[#This Row],[Filtro Integrado]],Estructura!$I$4:$K$500,3,0)</f>
        <v>FI-991</v>
      </c>
      <c r="AA1455" s="118" t="str">
        <f>+VLOOKUP(Agencia[[#This Row],[Muestra]],Estructura!$M$4:$O$500,3,0)</f>
        <v>M-1110</v>
      </c>
    </row>
    <row r="1456" spans="1:27" ht="57.6" x14ac:dyDescent="0.3">
      <c r="A1456" s="21" t="s">
        <v>4262</v>
      </c>
      <c r="B1456" s="24">
        <v>990</v>
      </c>
      <c r="C1456" s="25" t="s">
        <v>401</v>
      </c>
      <c r="D1456" s="10" t="s">
        <v>4178</v>
      </c>
      <c r="E1456" s="19">
        <v>8</v>
      </c>
      <c r="F1456" s="10" t="s">
        <v>4201</v>
      </c>
      <c r="G1456" s="10" t="s">
        <v>3795</v>
      </c>
      <c r="H1456" s="35" t="s">
        <v>16</v>
      </c>
      <c r="I1456" s="36" t="s">
        <v>375</v>
      </c>
      <c r="J1456" s="9" t="s">
        <v>18</v>
      </c>
      <c r="K1456" s="9" t="s">
        <v>4202</v>
      </c>
      <c r="L1456" s="9" t="s">
        <v>460</v>
      </c>
      <c r="M1456" s="9" t="s">
        <v>4203</v>
      </c>
      <c r="N1456" s="9" t="s">
        <v>431</v>
      </c>
      <c r="O1456" s="20" t="s">
        <v>5198</v>
      </c>
      <c r="P1456" s="20"/>
      <c r="Q1456" s="11" t="s">
        <v>3826</v>
      </c>
      <c r="R1456" s="20" t="s">
        <v>5199</v>
      </c>
      <c r="S1456" s="39" t="s">
        <v>4664</v>
      </c>
      <c r="T1456" s="70" t="s">
        <v>3743</v>
      </c>
      <c r="U1456" s="50" t="s">
        <v>399</v>
      </c>
      <c r="V1456" s="118" t="str">
        <f>+Agencia[[#This Row],[idcoleccion]]&amp;"-"&amp;Agencia[[#This Row],[id]]</f>
        <v>990-1445</v>
      </c>
      <c r="W1456" s="118">
        <f>+VLOOKUP(Agencia[[#This Row],[Filtro URL]],Estructura!$X$4:$Y$500,2,0)</f>
        <v>99200008</v>
      </c>
      <c r="X1456" s="118" t="str">
        <f>+VLOOKUP(Agencia[[#This Row],[tema]],Estructura!$A$4:$C$500,3,0)</f>
        <v>T-1054</v>
      </c>
      <c r="Y1456" s="118" t="str">
        <f>+VLOOKUP(Agencia[[#This Row],[contenido]],Estructura!$E$4:$G$500,3,0)</f>
        <v>C-1015</v>
      </c>
      <c r="Z1456" s="118" t="str">
        <f>+VLOOKUP(Agencia[[#This Row],[Filtro Integrado]],Estructura!$I$4:$K$500,3,0)</f>
        <v>FI-991</v>
      </c>
      <c r="AA1456" s="118" t="str">
        <f>+VLOOKUP(Agencia[[#This Row],[Muestra]],Estructura!$M$4:$O$500,3,0)</f>
        <v>M-1110</v>
      </c>
    </row>
    <row r="1457" spans="1:27" ht="57.6" x14ac:dyDescent="0.3">
      <c r="A1457" s="21" t="s">
        <v>4263</v>
      </c>
      <c r="B1457" s="24">
        <v>990</v>
      </c>
      <c r="C1457" s="25" t="s">
        <v>401</v>
      </c>
      <c r="D1457" s="10" t="s">
        <v>4178</v>
      </c>
      <c r="E1457" s="19">
        <v>9</v>
      </c>
      <c r="F1457" s="10" t="s">
        <v>4201</v>
      </c>
      <c r="G1457" s="10" t="s">
        <v>3795</v>
      </c>
      <c r="H1457" s="35" t="s">
        <v>16</v>
      </c>
      <c r="I1457" s="36" t="s">
        <v>376</v>
      </c>
      <c r="J1457" s="9" t="s">
        <v>18</v>
      </c>
      <c r="K1457" s="9" t="s">
        <v>4202</v>
      </c>
      <c r="L1457" s="9" t="s">
        <v>460</v>
      </c>
      <c r="M1457" s="9" t="s">
        <v>4203</v>
      </c>
      <c r="N1457" s="9" t="s">
        <v>431</v>
      </c>
      <c r="O1457" s="20" t="s">
        <v>5200</v>
      </c>
      <c r="P1457" s="20"/>
      <c r="Q1457" s="11" t="s">
        <v>3826</v>
      </c>
      <c r="R1457" s="20" t="s">
        <v>5201</v>
      </c>
      <c r="S1457" s="39" t="s">
        <v>4665</v>
      </c>
      <c r="T1457" s="70" t="s">
        <v>3734</v>
      </c>
      <c r="U1457" s="50" t="s">
        <v>399</v>
      </c>
      <c r="V1457" s="118" t="str">
        <f>+Agencia[[#This Row],[idcoleccion]]&amp;"-"&amp;Agencia[[#This Row],[id]]</f>
        <v>990-1446</v>
      </c>
      <c r="W1457" s="118">
        <f>+VLOOKUP(Agencia[[#This Row],[Filtro URL]],Estructura!$X$4:$Y$500,2,0)</f>
        <v>99200009</v>
      </c>
      <c r="X1457" s="118" t="str">
        <f>+VLOOKUP(Agencia[[#This Row],[tema]],Estructura!$A$4:$C$500,3,0)</f>
        <v>T-1054</v>
      </c>
      <c r="Y1457" s="118" t="str">
        <f>+VLOOKUP(Agencia[[#This Row],[contenido]],Estructura!$E$4:$G$500,3,0)</f>
        <v>C-1015</v>
      </c>
      <c r="Z1457" s="118" t="str">
        <f>+VLOOKUP(Agencia[[#This Row],[Filtro Integrado]],Estructura!$I$4:$K$500,3,0)</f>
        <v>FI-991</v>
      </c>
      <c r="AA1457" s="118" t="str">
        <f>+VLOOKUP(Agencia[[#This Row],[Muestra]],Estructura!$M$4:$O$500,3,0)</f>
        <v>M-1110</v>
      </c>
    </row>
    <row r="1458" spans="1:27" ht="57.6" x14ac:dyDescent="0.3">
      <c r="A1458" s="21" t="s">
        <v>4264</v>
      </c>
      <c r="B1458" s="24">
        <v>990</v>
      </c>
      <c r="C1458" s="25" t="s">
        <v>401</v>
      </c>
      <c r="D1458" s="10" t="s">
        <v>4178</v>
      </c>
      <c r="E1458" s="19">
        <v>10</v>
      </c>
      <c r="F1458" s="10" t="s">
        <v>4201</v>
      </c>
      <c r="G1458" s="10" t="s">
        <v>3795</v>
      </c>
      <c r="H1458" s="35" t="s">
        <v>16</v>
      </c>
      <c r="I1458" s="36" t="s">
        <v>377</v>
      </c>
      <c r="J1458" s="9" t="s">
        <v>18</v>
      </c>
      <c r="K1458" s="9" t="s">
        <v>4202</v>
      </c>
      <c r="L1458" s="9" t="s">
        <v>460</v>
      </c>
      <c r="M1458" s="9" t="s">
        <v>4203</v>
      </c>
      <c r="N1458" s="9" t="s">
        <v>431</v>
      </c>
      <c r="O1458" s="20" t="s">
        <v>5202</v>
      </c>
      <c r="P1458" s="20"/>
      <c r="Q1458" s="11" t="s">
        <v>3826</v>
      </c>
      <c r="R1458" s="20" t="s">
        <v>5203</v>
      </c>
      <c r="S1458" s="39" t="s">
        <v>4666</v>
      </c>
      <c r="T1458" s="70" t="s">
        <v>3735</v>
      </c>
      <c r="U1458" s="50" t="s">
        <v>399</v>
      </c>
      <c r="V1458" s="118" t="str">
        <f>+Agencia[[#This Row],[idcoleccion]]&amp;"-"&amp;Agencia[[#This Row],[id]]</f>
        <v>990-1447</v>
      </c>
      <c r="W1458" s="118">
        <f>+VLOOKUP(Agencia[[#This Row],[Filtro URL]],Estructura!$X$4:$Y$500,2,0)</f>
        <v>99200010</v>
      </c>
      <c r="X1458" s="118" t="str">
        <f>+VLOOKUP(Agencia[[#This Row],[tema]],Estructura!$A$4:$C$500,3,0)</f>
        <v>T-1054</v>
      </c>
      <c r="Y1458" s="118" t="str">
        <f>+VLOOKUP(Agencia[[#This Row],[contenido]],Estructura!$E$4:$G$500,3,0)</f>
        <v>C-1015</v>
      </c>
      <c r="Z1458" s="118" t="str">
        <f>+VLOOKUP(Agencia[[#This Row],[Filtro Integrado]],Estructura!$I$4:$K$500,3,0)</f>
        <v>FI-991</v>
      </c>
      <c r="AA1458" s="118" t="str">
        <f>+VLOOKUP(Agencia[[#This Row],[Muestra]],Estructura!$M$4:$O$500,3,0)</f>
        <v>M-1110</v>
      </c>
    </row>
    <row r="1459" spans="1:27" ht="57.6" x14ac:dyDescent="0.3">
      <c r="A1459" s="21" t="s">
        <v>4265</v>
      </c>
      <c r="B1459" s="24">
        <v>990</v>
      </c>
      <c r="C1459" s="25" t="s">
        <v>401</v>
      </c>
      <c r="D1459" s="10" t="s">
        <v>4178</v>
      </c>
      <c r="E1459" s="19">
        <v>11</v>
      </c>
      <c r="F1459" s="10" t="s">
        <v>4201</v>
      </c>
      <c r="G1459" s="10" t="s">
        <v>3795</v>
      </c>
      <c r="H1459" s="35" t="s">
        <v>16</v>
      </c>
      <c r="I1459" s="36" t="s">
        <v>378</v>
      </c>
      <c r="J1459" s="9" t="s">
        <v>18</v>
      </c>
      <c r="K1459" s="9" t="s">
        <v>4202</v>
      </c>
      <c r="L1459" s="9" t="s">
        <v>460</v>
      </c>
      <c r="M1459" s="9" t="s">
        <v>4203</v>
      </c>
      <c r="N1459" s="9" t="s">
        <v>431</v>
      </c>
      <c r="O1459" s="20" t="s">
        <v>5204</v>
      </c>
      <c r="P1459" s="20"/>
      <c r="Q1459" s="11" t="s">
        <v>3826</v>
      </c>
      <c r="R1459" s="20" t="s">
        <v>5205</v>
      </c>
      <c r="S1459" s="39" t="s">
        <v>4667</v>
      </c>
      <c r="T1459" s="70" t="s">
        <v>3732</v>
      </c>
      <c r="U1459" s="50" t="s">
        <v>399</v>
      </c>
      <c r="V1459" s="118" t="str">
        <f>+Agencia[[#This Row],[idcoleccion]]&amp;"-"&amp;Agencia[[#This Row],[id]]</f>
        <v>990-1448</v>
      </c>
      <c r="W1459" s="118">
        <f>+VLOOKUP(Agencia[[#This Row],[Filtro URL]],Estructura!$X$4:$Y$500,2,0)</f>
        <v>99200011</v>
      </c>
      <c r="X1459" s="118" t="str">
        <f>+VLOOKUP(Agencia[[#This Row],[tema]],Estructura!$A$4:$C$500,3,0)</f>
        <v>T-1054</v>
      </c>
      <c r="Y1459" s="118" t="str">
        <f>+VLOOKUP(Agencia[[#This Row],[contenido]],Estructura!$E$4:$G$500,3,0)</f>
        <v>C-1015</v>
      </c>
      <c r="Z1459" s="118" t="str">
        <f>+VLOOKUP(Agencia[[#This Row],[Filtro Integrado]],Estructura!$I$4:$K$500,3,0)</f>
        <v>FI-991</v>
      </c>
      <c r="AA1459" s="118" t="str">
        <f>+VLOOKUP(Agencia[[#This Row],[Muestra]],Estructura!$M$4:$O$500,3,0)</f>
        <v>M-1110</v>
      </c>
    </row>
    <row r="1460" spans="1:27" ht="57.6" x14ac:dyDescent="0.3">
      <c r="A1460" s="21" t="s">
        <v>4266</v>
      </c>
      <c r="B1460" s="24">
        <v>990</v>
      </c>
      <c r="C1460" s="25" t="s">
        <v>401</v>
      </c>
      <c r="D1460" s="10" t="s">
        <v>4178</v>
      </c>
      <c r="E1460" s="19">
        <v>12</v>
      </c>
      <c r="F1460" s="10" t="s">
        <v>4201</v>
      </c>
      <c r="G1460" s="10" t="s">
        <v>3795</v>
      </c>
      <c r="H1460" s="35" t="s">
        <v>16</v>
      </c>
      <c r="I1460" s="36" t="s">
        <v>379</v>
      </c>
      <c r="J1460" s="9" t="s">
        <v>18</v>
      </c>
      <c r="K1460" s="9" t="s">
        <v>4202</v>
      </c>
      <c r="L1460" s="9" t="s">
        <v>460</v>
      </c>
      <c r="M1460" s="9" t="s">
        <v>4203</v>
      </c>
      <c r="N1460" s="9" t="s">
        <v>431</v>
      </c>
      <c r="O1460" s="20" t="s">
        <v>5206</v>
      </c>
      <c r="P1460" s="20"/>
      <c r="Q1460" s="11" t="s">
        <v>3826</v>
      </c>
      <c r="R1460" s="20" t="s">
        <v>5207</v>
      </c>
      <c r="S1460" s="39" t="s">
        <v>4668</v>
      </c>
      <c r="T1460" s="70" t="s">
        <v>3737</v>
      </c>
      <c r="U1460" s="50" t="s">
        <v>399</v>
      </c>
      <c r="V1460" s="118" t="str">
        <f>+Agencia[[#This Row],[idcoleccion]]&amp;"-"&amp;Agencia[[#This Row],[id]]</f>
        <v>990-1449</v>
      </c>
      <c r="W1460" s="118">
        <f>+VLOOKUP(Agencia[[#This Row],[Filtro URL]],Estructura!$X$4:$Y$500,2,0)</f>
        <v>99200012</v>
      </c>
      <c r="X1460" s="118" t="str">
        <f>+VLOOKUP(Agencia[[#This Row],[tema]],Estructura!$A$4:$C$500,3,0)</f>
        <v>T-1054</v>
      </c>
      <c r="Y1460" s="118" t="str">
        <f>+VLOOKUP(Agencia[[#This Row],[contenido]],Estructura!$E$4:$G$500,3,0)</f>
        <v>C-1015</v>
      </c>
      <c r="Z1460" s="118" t="str">
        <f>+VLOOKUP(Agencia[[#This Row],[Filtro Integrado]],Estructura!$I$4:$K$500,3,0)</f>
        <v>FI-991</v>
      </c>
      <c r="AA1460" s="118" t="str">
        <f>+VLOOKUP(Agencia[[#This Row],[Muestra]],Estructura!$M$4:$O$500,3,0)</f>
        <v>M-1110</v>
      </c>
    </row>
    <row r="1461" spans="1:27" ht="57.6" x14ac:dyDescent="0.3">
      <c r="A1461" s="21" t="s">
        <v>4267</v>
      </c>
      <c r="B1461" s="24">
        <v>990</v>
      </c>
      <c r="C1461" s="25" t="s">
        <v>401</v>
      </c>
      <c r="D1461" s="10" t="s">
        <v>4178</v>
      </c>
      <c r="E1461" s="19">
        <v>13</v>
      </c>
      <c r="F1461" s="10" t="s">
        <v>4201</v>
      </c>
      <c r="G1461" s="10" t="s">
        <v>3795</v>
      </c>
      <c r="H1461" s="35" t="s">
        <v>16</v>
      </c>
      <c r="I1461" s="36" t="s">
        <v>380</v>
      </c>
      <c r="J1461" s="9" t="s">
        <v>18</v>
      </c>
      <c r="K1461" s="9" t="s">
        <v>4202</v>
      </c>
      <c r="L1461" s="9" t="s">
        <v>460</v>
      </c>
      <c r="M1461" s="9" t="s">
        <v>4203</v>
      </c>
      <c r="N1461" s="9" t="s">
        <v>431</v>
      </c>
      <c r="O1461" s="20" t="s">
        <v>5208</v>
      </c>
      <c r="P1461" s="20"/>
      <c r="Q1461" s="11" t="s">
        <v>3826</v>
      </c>
      <c r="R1461" s="20" t="s">
        <v>5209</v>
      </c>
      <c r="S1461" s="39" t="s">
        <v>4669</v>
      </c>
      <c r="T1461" s="70" t="s">
        <v>3744</v>
      </c>
      <c r="U1461" s="50" t="s">
        <v>399</v>
      </c>
      <c r="V1461" s="118" t="str">
        <f>+Agencia[[#This Row],[idcoleccion]]&amp;"-"&amp;Agencia[[#This Row],[id]]</f>
        <v>990-1450</v>
      </c>
      <c r="W1461" s="118">
        <f>+VLOOKUP(Agencia[[#This Row],[Filtro URL]],Estructura!$X$4:$Y$500,2,0)</f>
        <v>99200013</v>
      </c>
      <c r="X1461" s="118" t="str">
        <f>+VLOOKUP(Agencia[[#This Row],[tema]],Estructura!$A$4:$C$500,3,0)</f>
        <v>T-1054</v>
      </c>
      <c r="Y1461" s="118" t="str">
        <f>+VLOOKUP(Agencia[[#This Row],[contenido]],Estructura!$E$4:$G$500,3,0)</f>
        <v>C-1015</v>
      </c>
      <c r="Z1461" s="118" t="str">
        <f>+VLOOKUP(Agencia[[#This Row],[Filtro Integrado]],Estructura!$I$4:$K$500,3,0)</f>
        <v>FI-991</v>
      </c>
      <c r="AA1461" s="118" t="str">
        <f>+VLOOKUP(Agencia[[#This Row],[Muestra]],Estructura!$M$4:$O$500,3,0)</f>
        <v>M-1110</v>
      </c>
    </row>
    <row r="1462" spans="1:27" ht="57.6" x14ac:dyDescent="0.3">
      <c r="A1462" s="21" t="s">
        <v>4268</v>
      </c>
      <c r="B1462" s="24">
        <v>990</v>
      </c>
      <c r="C1462" s="25" t="s">
        <v>401</v>
      </c>
      <c r="D1462" s="10" t="s">
        <v>4178</v>
      </c>
      <c r="E1462" s="19">
        <v>14</v>
      </c>
      <c r="F1462" s="10" t="s">
        <v>4201</v>
      </c>
      <c r="G1462" s="10" t="s">
        <v>3795</v>
      </c>
      <c r="H1462" s="35" t="s">
        <v>16</v>
      </c>
      <c r="I1462" s="36" t="s">
        <v>381</v>
      </c>
      <c r="J1462" s="9" t="s">
        <v>18</v>
      </c>
      <c r="K1462" s="9" t="s">
        <v>4202</v>
      </c>
      <c r="L1462" s="9" t="s">
        <v>460</v>
      </c>
      <c r="M1462" s="9" t="s">
        <v>4203</v>
      </c>
      <c r="N1462" s="9" t="s">
        <v>431</v>
      </c>
      <c r="O1462" s="20" t="s">
        <v>5210</v>
      </c>
      <c r="P1462" s="20"/>
      <c r="Q1462" s="11" t="s">
        <v>3826</v>
      </c>
      <c r="R1462" s="20" t="s">
        <v>5211</v>
      </c>
      <c r="S1462" s="39" t="s">
        <v>4670</v>
      </c>
      <c r="T1462" s="70" t="s">
        <v>3736</v>
      </c>
      <c r="U1462" s="50" t="s">
        <v>399</v>
      </c>
      <c r="V1462" s="118" t="str">
        <f>+Agencia[[#This Row],[idcoleccion]]&amp;"-"&amp;Agencia[[#This Row],[id]]</f>
        <v>990-1451</v>
      </c>
      <c r="W1462" s="118">
        <f>+VLOOKUP(Agencia[[#This Row],[Filtro URL]],Estructura!$X$4:$Y$500,2,0)</f>
        <v>99200014</v>
      </c>
      <c r="X1462" s="118" t="str">
        <f>+VLOOKUP(Agencia[[#This Row],[tema]],Estructura!$A$4:$C$500,3,0)</f>
        <v>T-1054</v>
      </c>
      <c r="Y1462" s="118" t="str">
        <f>+VLOOKUP(Agencia[[#This Row],[contenido]],Estructura!$E$4:$G$500,3,0)</f>
        <v>C-1015</v>
      </c>
      <c r="Z1462" s="118" t="str">
        <f>+VLOOKUP(Agencia[[#This Row],[Filtro Integrado]],Estructura!$I$4:$K$500,3,0)</f>
        <v>FI-991</v>
      </c>
      <c r="AA1462" s="118" t="str">
        <f>+VLOOKUP(Agencia[[#This Row],[Muestra]],Estructura!$M$4:$O$500,3,0)</f>
        <v>M-1110</v>
      </c>
    </row>
    <row r="1463" spans="1:27" ht="57.6" x14ac:dyDescent="0.3">
      <c r="A1463" s="21" t="s">
        <v>4269</v>
      </c>
      <c r="B1463" s="24">
        <v>990</v>
      </c>
      <c r="C1463" s="25" t="s">
        <v>401</v>
      </c>
      <c r="D1463" s="10" t="s">
        <v>4178</v>
      </c>
      <c r="E1463" s="19">
        <v>15</v>
      </c>
      <c r="F1463" s="10" t="s">
        <v>4201</v>
      </c>
      <c r="G1463" s="10" t="s">
        <v>3795</v>
      </c>
      <c r="H1463" s="35" t="s">
        <v>16</v>
      </c>
      <c r="I1463" s="36" t="s">
        <v>382</v>
      </c>
      <c r="J1463" s="9" t="s">
        <v>18</v>
      </c>
      <c r="K1463" s="9" t="s">
        <v>4202</v>
      </c>
      <c r="L1463" s="9" t="s">
        <v>460</v>
      </c>
      <c r="M1463" s="9" t="s">
        <v>4203</v>
      </c>
      <c r="N1463" s="9" t="s">
        <v>431</v>
      </c>
      <c r="O1463" s="20" t="s">
        <v>5212</v>
      </c>
      <c r="P1463" s="20"/>
      <c r="Q1463" s="11" t="s">
        <v>3826</v>
      </c>
      <c r="R1463" s="20" t="s">
        <v>5213</v>
      </c>
      <c r="S1463" s="39" t="s">
        <v>4671</v>
      </c>
      <c r="T1463" s="70" t="s">
        <v>3730</v>
      </c>
      <c r="U1463" s="50" t="s">
        <v>399</v>
      </c>
      <c r="V1463" s="118" t="str">
        <f>+Agencia[[#This Row],[idcoleccion]]&amp;"-"&amp;Agencia[[#This Row],[id]]</f>
        <v>990-1452</v>
      </c>
      <c r="W1463" s="118">
        <f>+VLOOKUP(Agencia[[#This Row],[Filtro URL]],Estructura!$X$4:$Y$500,2,0)</f>
        <v>99200015</v>
      </c>
      <c r="X1463" s="118" t="str">
        <f>+VLOOKUP(Agencia[[#This Row],[tema]],Estructura!$A$4:$C$500,3,0)</f>
        <v>T-1054</v>
      </c>
      <c r="Y1463" s="118" t="str">
        <f>+VLOOKUP(Agencia[[#This Row],[contenido]],Estructura!$E$4:$G$500,3,0)</f>
        <v>C-1015</v>
      </c>
      <c r="Z1463" s="118" t="str">
        <f>+VLOOKUP(Agencia[[#This Row],[Filtro Integrado]],Estructura!$I$4:$K$500,3,0)</f>
        <v>FI-991</v>
      </c>
      <c r="AA1463" s="118" t="str">
        <f>+VLOOKUP(Agencia[[#This Row],[Muestra]],Estructura!$M$4:$O$500,3,0)</f>
        <v>M-1110</v>
      </c>
    </row>
    <row r="1464" spans="1:27" ht="57.6" x14ac:dyDescent="0.3">
      <c r="A1464" s="21" t="s">
        <v>4270</v>
      </c>
      <c r="B1464" s="24">
        <v>990</v>
      </c>
      <c r="C1464" s="25" t="s">
        <v>401</v>
      </c>
      <c r="D1464" s="10" t="s">
        <v>4178</v>
      </c>
      <c r="E1464" s="19">
        <v>16</v>
      </c>
      <c r="F1464" s="10" t="s">
        <v>4201</v>
      </c>
      <c r="G1464" s="10" t="s">
        <v>3795</v>
      </c>
      <c r="H1464" s="35" t="s">
        <v>16</v>
      </c>
      <c r="I1464" s="36" t="s">
        <v>383</v>
      </c>
      <c r="J1464" s="9" t="s">
        <v>18</v>
      </c>
      <c r="K1464" s="9" t="s">
        <v>4202</v>
      </c>
      <c r="L1464" s="9" t="s">
        <v>460</v>
      </c>
      <c r="M1464" s="9" t="s">
        <v>4203</v>
      </c>
      <c r="N1464" s="9" t="s">
        <v>431</v>
      </c>
      <c r="O1464" s="20" t="s">
        <v>5214</v>
      </c>
      <c r="P1464" s="20"/>
      <c r="Q1464" s="11" t="s">
        <v>3826</v>
      </c>
      <c r="R1464" s="20" t="s">
        <v>5215</v>
      </c>
      <c r="S1464" s="39" t="s">
        <v>5216</v>
      </c>
      <c r="T1464" s="70" t="s">
        <v>3739</v>
      </c>
      <c r="U1464" s="50" t="s">
        <v>399</v>
      </c>
      <c r="V1464" s="118" t="str">
        <f>+Agencia[[#This Row],[idcoleccion]]&amp;"-"&amp;Agencia[[#This Row],[id]]</f>
        <v>990-1453</v>
      </c>
      <c r="W1464" s="118">
        <f>+VLOOKUP(Agencia[[#This Row],[Filtro URL]],Estructura!$X$4:$Y$500,2,0)</f>
        <v>99200016</v>
      </c>
      <c r="X1464" s="118" t="str">
        <f>+VLOOKUP(Agencia[[#This Row],[tema]],Estructura!$A$4:$C$500,3,0)</f>
        <v>T-1054</v>
      </c>
      <c r="Y1464" s="118" t="str">
        <f>+VLOOKUP(Agencia[[#This Row],[contenido]],Estructura!$E$4:$G$500,3,0)</f>
        <v>C-1015</v>
      </c>
      <c r="Z1464" s="118" t="str">
        <f>+VLOOKUP(Agencia[[#This Row],[Filtro Integrado]],Estructura!$I$4:$K$500,3,0)</f>
        <v>FI-991</v>
      </c>
      <c r="AA1464" s="118" t="str">
        <f>+VLOOKUP(Agencia[[#This Row],[Muestra]],Estructura!$M$4:$O$500,3,0)</f>
        <v>M-1110</v>
      </c>
    </row>
    <row r="1465" spans="1:27" ht="61.2" x14ac:dyDescent="0.3">
      <c r="A1465" s="21" t="s">
        <v>4271</v>
      </c>
      <c r="B1465" s="24">
        <v>990</v>
      </c>
      <c r="C1465" s="25" t="s">
        <v>401</v>
      </c>
      <c r="D1465" s="10" t="s">
        <v>4178</v>
      </c>
      <c r="E1465" s="14">
        <v>0</v>
      </c>
      <c r="F1465" s="10" t="s">
        <v>5297</v>
      </c>
      <c r="G1465" s="10" t="s">
        <v>3795</v>
      </c>
      <c r="H1465" s="33" t="s">
        <v>20</v>
      </c>
      <c r="I1465" s="34" t="s">
        <v>15</v>
      </c>
      <c r="J1465" s="9" t="s">
        <v>16</v>
      </c>
      <c r="K1465" s="9" t="s">
        <v>4223</v>
      </c>
      <c r="L1465" s="9" t="s">
        <v>425</v>
      </c>
      <c r="M1465" s="9" t="s">
        <v>4224</v>
      </c>
      <c r="N1465" s="9" t="s">
        <v>431</v>
      </c>
      <c r="O1465" s="20" t="s">
        <v>5217</v>
      </c>
      <c r="P1465" s="20" t="s">
        <v>4225</v>
      </c>
      <c r="Q1465" s="11" t="s">
        <v>821</v>
      </c>
      <c r="R1465" s="20" t="s">
        <v>5218</v>
      </c>
      <c r="S1465" s="39" t="s">
        <v>4226</v>
      </c>
      <c r="T1465" s="70" t="s">
        <v>1033</v>
      </c>
      <c r="U1465" s="50" t="s">
        <v>399</v>
      </c>
      <c r="V1465" s="118" t="str">
        <f>+Agencia[[#This Row],[idcoleccion]]&amp;"-"&amp;Agencia[[#This Row],[id]]</f>
        <v>990-1454</v>
      </c>
      <c r="W1465" s="118">
        <f>+VLOOKUP(Agencia[[#This Row],[Filtro URL]],Estructura!$X$4:$Y$500,2,0)</f>
        <v>99100000</v>
      </c>
      <c r="X1465" s="118" t="str">
        <f>+VLOOKUP(Agencia[[#This Row],[tema]],Estructura!$A$4:$C$500,3,0)</f>
        <v>T-1058</v>
      </c>
      <c r="Y1465" s="118" t="str">
        <f>+VLOOKUP(Agencia[[#This Row],[contenido]],Estructura!$E$4:$G$500,3,0)</f>
        <v>C-1015</v>
      </c>
      <c r="Z1465" s="118" t="str">
        <f>+VLOOKUP(Agencia[[#This Row],[Filtro Integrado]],Estructura!$I$4:$K$500,3,0)</f>
        <v>FI-992</v>
      </c>
      <c r="AA1465" s="118" t="str">
        <f>+VLOOKUP(Agencia[[#This Row],[Muestra]],Estructura!$M$4:$O$500,3,0)</f>
        <v>M-1111</v>
      </c>
    </row>
    <row r="1466" spans="1:27" ht="57.6" x14ac:dyDescent="0.3">
      <c r="A1466" s="21" t="s">
        <v>4272</v>
      </c>
      <c r="B1466" s="24">
        <v>990</v>
      </c>
      <c r="C1466" s="25" t="s">
        <v>401</v>
      </c>
      <c r="D1466" s="10" t="s">
        <v>4178</v>
      </c>
      <c r="E1466" s="19">
        <v>1</v>
      </c>
      <c r="F1466" s="10" t="s">
        <v>5297</v>
      </c>
      <c r="G1466" s="10" t="s">
        <v>3795</v>
      </c>
      <c r="H1466" s="35" t="s">
        <v>16</v>
      </c>
      <c r="I1466" s="36" t="s">
        <v>368</v>
      </c>
      <c r="J1466" s="9" t="s">
        <v>404</v>
      </c>
      <c r="K1466" s="9" t="s">
        <v>4223</v>
      </c>
      <c r="L1466" s="9" t="s">
        <v>425</v>
      </c>
      <c r="M1466" s="9" t="s">
        <v>4224</v>
      </c>
      <c r="N1466" s="9" t="s">
        <v>431</v>
      </c>
      <c r="O1466" s="20" t="s">
        <v>5219</v>
      </c>
      <c r="P1466" s="20"/>
      <c r="Q1466" s="11" t="s">
        <v>821</v>
      </c>
      <c r="R1466" s="20" t="s">
        <v>5185</v>
      </c>
      <c r="S1466" s="39" t="s">
        <v>4672</v>
      </c>
      <c r="T1466" s="70" t="s">
        <v>3741</v>
      </c>
      <c r="U1466" s="50" t="s">
        <v>399</v>
      </c>
      <c r="V1466" s="118" t="str">
        <f>+Agencia[[#This Row],[idcoleccion]]&amp;"-"&amp;Agencia[[#This Row],[id]]</f>
        <v>990-1455</v>
      </c>
      <c r="W1466" s="118">
        <f>+VLOOKUP(Agencia[[#This Row],[Filtro URL]],Estructura!$X$4:$Y$500,2,0)</f>
        <v>99200001</v>
      </c>
      <c r="X1466" s="118" t="str">
        <f>+VLOOKUP(Agencia[[#This Row],[tema]],Estructura!$A$4:$C$500,3,0)</f>
        <v>T-1058</v>
      </c>
      <c r="Y1466" s="118" t="str">
        <f>+VLOOKUP(Agencia[[#This Row],[contenido]],Estructura!$E$4:$G$500,3,0)</f>
        <v>C-1015</v>
      </c>
      <c r="Z1466" s="118" t="str">
        <f>+VLOOKUP(Agencia[[#This Row],[Filtro Integrado]],Estructura!$I$4:$K$500,3,0)</f>
        <v>FI-993</v>
      </c>
      <c r="AA1466" s="118" t="str">
        <f>+VLOOKUP(Agencia[[#This Row],[Muestra]],Estructura!$M$4:$O$500,3,0)</f>
        <v>M-1111</v>
      </c>
    </row>
    <row r="1467" spans="1:27" ht="57.6" x14ac:dyDescent="0.3">
      <c r="A1467" s="21" t="s">
        <v>4273</v>
      </c>
      <c r="B1467" s="24">
        <v>990</v>
      </c>
      <c r="C1467" s="25" t="s">
        <v>401</v>
      </c>
      <c r="D1467" s="10" t="s">
        <v>4178</v>
      </c>
      <c r="E1467" s="19">
        <v>2</v>
      </c>
      <c r="F1467" s="10" t="s">
        <v>5297</v>
      </c>
      <c r="G1467" s="10" t="s">
        <v>3795</v>
      </c>
      <c r="H1467" s="35" t="s">
        <v>16</v>
      </c>
      <c r="I1467" s="36" t="s">
        <v>369</v>
      </c>
      <c r="J1467" s="9" t="s">
        <v>404</v>
      </c>
      <c r="K1467" s="9" t="s">
        <v>4223</v>
      </c>
      <c r="L1467" s="9" t="s">
        <v>425</v>
      </c>
      <c r="M1467" s="9" t="s">
        <v>4224</v>
      </c>
      <c r="N1467" s="9" t="s">
        <v>431</v>
      </c>
      <c r="O1467" s="20" t="s">
        <v>5220</v>
      </c>
      <c r="P1467" s="20"/>
      <c r="Q1467" s="11" t="s">
        <v>821</v>
      </c>
      <c r="R1467" s="20" t="s">
        <v>5187</v>
      </c>
      <c r="S1467" s="39" t="s">
        <v>4673</v>
      </c>
      <c r="T1467" s="70" t="s">
        <v>3729</v>
      </c>
      <c r="U1467" s="50" t="s">
        <v>399</v>
      </c>
      <c r="V1467" s="118" t="str">
        <f>+Agencia[[#This Row],[idcoleccion]]&amp;"-"&amp;Agencia[[#This Row],[id]]</f>
        <v>990-1456</v>
      </c>
      <c r="W1467" s="118">
        <f>+VLOOKUP(Agencia[[#This Row],[Filtro URL]],Estructura!$X$4:$Y$500,2,0)</f>
        <v>99200002</v>
      </c>
      <c r="X1467" s="118" t="str">
        <f>+VLOOKUP(Agencia[[#This Row],[tema]],Estructura!$A$4:$C$500,3,0)</f>
        <v>T-1058</v>
      </c>
      <c r="Y1467" s="118" t="str">
        <f>+VLOOKUP(Agencia[[#This Row],[contenido]],Estructura!$E$4:$G$500,3,0)</f>
        <v>C-1015</v>
      </c>
      <c r="Z1467" s="118" t="str">
        <f>+VLOOKUP(Agencia[[#This Row],[Filtro Integrado]],Estructura!$I$4:$K$500,3,0)</f>
        <v>FI-993</v>
      </c>
      <c r="AA1467" s="118" t="str">
        <f>+VLOOKUP(Agencia[[#This Row],[Muestra]],Estructura!$M$4:$O$500,3,0)</f>
        <v>M-1111</v>
      </c>
    </row>
    <row r="1468" spans="1:27" ht="57.6" x14ac:dyDescent="0.3">
      <c r="A1468" s="21" t="s">
        <v>5938</v>
      </c>
      <c r="B1468" s="24">
        <v>990</v>
      </c>
      <c r="C1468" s="25" t="s">
        <v>401</v>
      </c>
      <c r="D1468" s="10" t="s">
        <v>4178</v>
      </c>
      <c r="E1468" s="19">
        <v>3</v>
      </c>
      <c r="F1468" s="10" t="s">
        <v>5297</v>
      </c>
      <c r="G1468" s="10" t="s">
        <v>3795</v>
      </c>
      <c r="H1468" s="35" t="s">
        <v>16</v>
      </c>
      <c r="I1468" s="36" t="s">
        <v>370</v>
      </c>
      <c r="J1468" s="9" t="s">
        <v>404</v>
      </c>
      <c r="K1468" s="9" t="s">
        <v>4223</v>
      </c>
      <c r="L1468" s="9" t="s">
        <v>425</v>
      </c>
      <c r="M1468" s="9" t="s">
        <v>4224</v>
      </c>
      <c r="N1468" s="9" t="s">
        <v>431</v>
      </c>
      <c r="O1468" s="20" t="s">
        <v>5221</v>
      </c>
      <c r="P1468" s="20"/>
      <c r="Q1468" s="11" t="s">
        <v>821</v>
      </c>
      <c r="R1468" s="20" t="s">
        <v>5189</v>
      </c>
      <c r="S1468" s="39" t="s">
        <v>4674</v>
      </c>
      <c r="T1468" s="70" t="s">
        <v>3731</v>
      </c>
      <c r="U1468" s="50" t="s">
        <v>399</v>
      </c>
      <c r="V1468" s="118" t="str">
        <f>+Agencia[[#This Row],[idcoleccion]]&amp;"-"&amp;Agencia[[#This Row],[id]]</f>
        <v>990-1457</v>
      </c>
      <c r="W1468" s="118">
        <f>+VLOOKUP(Agencia[[#This Row],[Filtro URL]],Estructura!$X$4:$Y$500,2,0)</f>
        <v>99200003</v>
      </c>
      <c r="X1468" s="118" t="str">
        <f>+VLOOKUP(Agencia[[#This Row],[tema]],Estructura!$A$4:$C$500,3,0)</f>
        <v>T-1058</v>
      </c>
      <c r="Y1468" s="118" t="str">
        <f>+VLOOKUP(Agencia[[#This Row],[contenido]],Estructura!$E$4:$G$500,3,0)</f>
        <v>C-1015</v>
      </c>
      <c r="Z1468" s="118" t="str">
        <f>+VLOOKUP(Agencia[[#This Row],[Filtro Integrado]],Estructura!$I$4:$K$500,3,0)</f>
        <v>FI-993</v>
      </c>
      <c r="AA1468" s="118" t="str">
        <f>+VLOOKUP(Agencia[[#This Row],[Muestra]],Estructura!$M$4:$O$500,3,0)</f>
        <v>M-1111</v>
      </c>
    </row>
    <row r="1469" spans="1:27" ht="57.6" x14ac:dyDescent="0.3">
      <c r="A1469" s="21" t="s">
        <v>5939</v>
      </c>
      <c r="B1469" s="24">
        <v>990</v>
      </c>
      <c r="C1469" s="25" t="s">
        <v>401</v>
      </c>
      <c r="D1469" s="10" t="s">
        <v>4178</v>
      </c>
      <c r="E1469" s="19">
        <v>4</v>
      </c>
      <c r="F1469" s="10" t="s">
        <v>5297</v>
      </c>
      <c r="G1469" s="10" t="s">
        <v>3795</v>
      </c>
      <c r="H1469" s="35" t="s">
        <v>16</v>
      </c>
      <c r="I1469" s="36" t="s">
        <v>371</v>
      </c>
      <c r="J1469" s="9" t="s">
        <v>404</v>
      </c>
      <c r="K1469" s="9" t="s">
        <v>4223</v>
      </c>
      <c r="L1469" s="9" t="s">
        <v>425</v>
      </c>
      <c r="M1469" s="9" t="s">
        <v>4224</v>
      </c>
      <c r="N1469" s="9" t="s">
        <v>431</v>
      </c>
      <c r="O1469" s="20" t="s">
        <v>5222</v>
      </c>
      <c r="P1469" s="20"/>
      <c r="Q1469" s="11" t="s">
        <v>821</v>
      </c>
      <c r="R1469" s="20" t="s">
        <v>5191</v>
      </c>
      <c r="S1469" s="39" t="s">
        <v>4675</v>
      </c>
      <c r="T1469" s="70" t="s">
        <v>3733</v>
      </c>
      <c r="U1469" s="50" t="s">
        <v>399</v>
      </c>
      <c r="V1469" s="118" t="str">
        <f>+Agencia[[#This Row],[idcoleccion]]&amp;"-"&amp;Agencia[[#This Row],[id]]</f>
        <v>990-1458</v>
      </c>
      <c r="W1469" s="118">
        <f>+VLOOKUP(Agencia[[#This Row],[Filtro URL]],Estructura!$X$4:$Y$500,2,0)</f>
        <v>99200004</v>
      </c>
      <c r="X1469" s="118" t="str">
        <f>+VLOOKUP(Agencia[[#This Row],[tema]],Estructura!$A$4:$C$500,3,0)</f>
        <v>T-1058</v>
      </c>
      <c r="Y1469" s="118" t="str">
        <f>+VLOOKUP(Agencia[[#This Row],[contenido]],Estructura!$E$4:$G$500,3,0)</f>
        <v>C-1015</v>
      </c>
      <c r="Z1469" s="118" t="str">
        <f>+VLOOKUP(Agencia[[#This Row],[Filtro Integrado]],Estructura!$I$4:$K$500,3,0)</f>
        <v>FI-993</v>
      </c>
      <c r="AA1469" s="118" t="str">
        <f>+VLOOKUP(Agencia[[#This Row],[Muestra]],Estructura!$M$4:$O$500,3,0)</f>
        <v>M-1111</v>
      </c>
    </row>
    <row r="1470" spans="1:27" ht="57.6" x14ac:dyDescent="0.3">
      <c r="A1470" s="21" t="s">
        <v>5940</v>
      </c>
      <c r="B1470" s="24">
        <v>990</v>
      </c>
      <c r="C1470" s="25" t="s">
        <v>401</v>
      </c>
      <c r="D1470" s="10" t="s">
        <v>4178</v>
      </c>
      <c r="E1470" s="19">
        <v>5</v>
      </c>
      <c r="F1470" s="10" t="s">
        <v>5297</v>
      </c>
      <c r="G1470" s="10" t="s">
        <v>3795</v>
      </c>
      <c r="H1470" s="35" t="s">
        <v>16</v>
      </c>
      <c r="I1470" s="36" t="s">
        <v>372</v>
      </c>
      <c r="J1470" s="9" t="s">
        <v>404</v>
      </c>
      <c r="K1470" s="9" t="s">
        <v>4223</v>
      </c>
      <c r="L1470" s="9" t="s">
        <v>425</v>
      </c>
      <c r="M1470" s="9" t="s">
        <v>4224</v>
      </c>
      <c r="N1470" s="9" t="s">
        <v>431</v>
      </c>
      <c r="O1470" s="20" t="s">
        <v>5223</v>
      </c>
      <c r="P1470" s="20"/>
      <c r="Q1470" s="11" t="s">
        <v>821</v>
      </c>
      <c r="R1470" s="20" t="s">
        <v>5193</v>
      </c>
      <c r="S1470" s="39" t="s">
        <v>4676</v>
      </c>
      <c r="T1470" s="70" t="s">
        <v>3742</v>
      </c>
      <c r="U1470" s="50" t="s">
        <v>399</v>
      </c>
      <c r="V1470" s="118" t="str">
        <f>+Agencia[[#This Row],[idcoleccion]]&amp;"-"&amp;Agencia[[#This Row],[id]]</f>
        <v>990-1459</v>
      </c>
      <c r="W1470" s="118">
        <f>+VLOOKUP(Agencia[[#This Row],[Filtro URL]],Estructura!$X$4:$Y$500,2,0)</f>
        <v>99200005</v>
      </c>
      <c r="X1470" s="118" t="str">
        <f>+VLOOKUP(Agencia[[#This Row],[tema]],Estructura!$A$4:$C$500,3,0)</f>
        <v>T-1058</v>
      </c>
      <c r="Y1470" s="118" t="str">
        <f>+VLOOKUP(Agencia[[#This Row],[contenido]],Estructura!$E$4:$G$500,3,0)</f>
        <v>C-1015</v>
      </c>
      <c r="Z1470" s="118" t="str">
        <f>+VLOOKUP(Agencia[[#This Row],[Filtro Integrado]],Estructura!$I$4:$K$500,3,0)</f>
        <v>FI-993</v>
      </c>
      <c r="AA1470" s="118" t="str">
        <f>+VLOOKUP(Agencia[[#This Row],[Muestra]],Estructura!$M$4:$O$500,3,0)</f>
        <v>M-1111</v>
      </c>
    </row>
    <row r="1471" spans="1:27" ht="57.6" x14ac:dyDescent="0.3">
      <c r="A1471" s="21" t="s">
        <v>5941</v>
      </c>
      <c r="B1471" s="24">
        <v>990</v>
      </c>
      <c r="C1471" s="25" t="s">
        <v>401</v>
      </c>
      <c r="D1471" s="10" t="s">
        <v>4178</v>
      </c>
      <c r="E1471" s="19">
        <v>6</v>
      </c>
      <c r="F1471" s="10" t="s">
        <v>5297</v>
      </c>
      <c r="G1471" s="10" t="s">
        <v>3795</v>
      </c>
      <c r="H1471" s="35" t="s">
        <v>16</v>
      </c>
      <c r="I1471" s="36" t="s">
        <v>373</v>
      </c>
      <c r="J1471" s="9" t="s">
        <v>404</v>
      </c>
      <c r="K1471" s="9" t="s">
        <v>4223</v>
      </c>
      <c r="L1471" s="9" t="s">
        <v>425</v>
      </c>
      <c r="M1471" s="9" t="s">
        <v>4224</v>
      </c>
      <c r="N1471" s="9" t="s">
        <v>431</v>
      </c>
      <c r="O1471" s="20" t="s">
        <v>5224</v>
      </c>
      <c r="P1471" s="20"/>
      <c r="Q1471" s="11" t="s">
        <v>821</v>
      </c>
      <c r="R1471" s="20" t="s">
        <v>5195</v>
      </c>
      <c r="S1471" s="39" t="s">
        <v>4677</v>
      </c>
      <c r="T1471" s="70" t="s">
        <v>3740</v>
      </c>
      <c r="U1471" s="50" t="s">
        <v>399</v>
      </c>
      <c r="V1471" s="118" t="str">
        <f>+Agencia[[#This Row],[idcoleccion]]&amp;"-"&amp;Agencia[[#This Row],[id]]</f>
        <v>990-1460</v>
      </c>
      <c r="W1471" s="118">
        <f>+VLOOKUP(Agencia[[#This Row],[Filtro URL]],Estructura!$X$4:$Y$500,2,0)</f>
        <v>99200006</v>
      </c>
      <c r="X1471" s="118" t="str">
        <f>+VLOOKUP(Agencia[[#This Row],[tema]],Estructura!$A$4:$C$500,3,0)</f>
        <v>T-1058</v>
      </c>
      <c r="Y1471" s="118" t="str">
        <f>+VLOOKUP(Agencia[[#This Row],[contenido]],Estructura!$E$4:$G$500,3,0)</f>
        <v>C-1015</v>
      </c>
      <c r="Z1471" s="118" t="str">
        <f>+VLOOKUP(Agencia[[#This Row],[Filtro Integrado]],Estructura!$I$4:$K$500,3,0)</f>
        <v>FI-993</v>
      </c>
      <c r="AA1471" s="118" t="str">
        <f>+VLOOKUP(Agencia[[#This Row],[Muestra]],Estructura!$M$4:$O$500,3,0)</f>
        <v>M-1111</v>
      </c>
    </row>
    <row r="1472" spans="1:27" ht="57.6" x14ac:dyDescent="0.3">
      <c r="A1472" s="21" t="s">
        <v>5942</v>
      </c>
      <c r="B1472" s="24">
        <v>990</v>
      </c>
      <c r="C1472" s="25" t="s">
        <v>401</v>
      </c>
      <c r="D1472" s="10" t="s">
        <v>4178</v>
      </c>
      <c r="E1472" s="19">
        <v>7</v>
      </c>
      <c r="F1472" s="10" t="s">
        <v>5297</v>
      </c>
      <c r="G1472" s="10" t="s">
        <v>3795</v>
      </c>
      <c r="H1472" s="35" t="s">
        <v>16</v>
      </c>
      <c r="I1472" s="36" t="s">
        <v>374</v>
      </c>
      <c r="J1472" s="9" t="s">
        <v>404</v>
      </c>
      <c r="K1472" s="9" t="s">
        <v>4223</v>
      </c>
      <c r="L1472" s="9" t="s">
        <v>425</v>
      </c>
      <c r="M1472" s="9" t="s">
        <v>4224</v>
      </c>
      <c r="N1472" s="9" t="s">
        <v>431</v>
      </c>
      <c r="O1472" s="20" t="s">
        <v>5225</v>
      </c>
      <c r="P1472" s="20"/>
      <c r="Q1472" s="11" t="s">
        <v>821</v>
      </c>
      <c r="R1472" s="20" t="s">
        <v>5197</v>
      </c>
      <c r="S1472" s="39" t="s">
        <v>4678</v>
      </c>
      <c r="T1472" s="70" t="s">
        <v>3738</v>
      </c>
      <c r="U1472" s="50" t="s">
        <v>399</v>
      </c>
      <c r="V1472" s="118" t="str">
        <f>+Agencia[[#This Row],[idcoleccion]]&amp;"-"&amp;Agencia[[#This Row],[id]]</f>
        <v>990-1461</v>
      </c>
      <c r="W1472" s="118">
        <f>+VLOOKUP(Agencia[[#This Row],[Filtro URL]],Estructura!$X$4:$Y$500,2,0)</f>
        <v>99200007</v>
      </c>
      <c r="X1472" s="118" t="str">
        <f>+VLOOKUP(Agencia[[#This Row],[tema]],Estructura!$A$4:$C$500,3,0)</f>
        <v>T-1058</v>
      </c>
      <c r="Y1472" s="118" t="str">
        <f>+VLOOKUP(Agencia[[#This Row],[contenido]],Estructura!$E$4:$G$500,3,0)</f>
        <v>C-1015</v>
      </c>
      <c r="Z1472" s="118" t="str">
        <f>+VLOOKUP(Agencia[[#This Row],[Filtro Integrado]],Estructura!$I$4:$K$500,3,0)</f>
        <v>FI-993</v>
      </c>
      <c r="AA1472" s="118" t="str">
        <f>+VLOOKUP(Agencia[[#This Row],[Muestra]],Estructura!$M$4:$O$500,3,0)</f>
        <v>M-1111</v>
      </c>
    </row>
    <row r="1473" spans="1:27" ht="57.6" x14ac:dyDescent="0.3">
      <c r="A1473" s="21" t="s">
        <v>5943</v>
      </c>
      <c r="B1473" s="24">
        <v>990</v>
      </c>
      <c r="C1473" s="25" t="s">
        <v>401</v>
      </c>
      <c r="D1473" s="10" t="s">
        <v>4178</v>
      </c>
      <c r="E1473" s="19">
        <v>8</v>
      </c>
      <c r="F1473" s="10" t="s">
        <v>5297</v>
      </c>
      <c r="G1473" s="10" t="s">
        <v>3795</v>
      </c>
      <c r="H1473" s="35" t="s">
        <v>16</v>
      </c>
      <c r="I1473" s="36" t="s">
        <v>375</v>
      </c>
      <c r="J1473" s="9" t="s">
        <v>404</v>
      </c>
      <c r="K1473" s="9" t="s">
        <v>4223</v>
      </c>
      <c r="L1473" s="9" t="s">
        <v>425</v>
      </c>
      <c r="M1473" s="9" t="s">
        <v>4224</v>
      </c>
      <c r="N1473" s="9" t="s">
        <v>431</v>
      </c>
      <c r="O1473" s="20" t="s">
        <v>5226</v>
      </c>
      <c r="P1473" s="20"/>
      <c r="Q1473" s="11" t="s">
        <v>821</v>
      </c>
      <c r="R1473" s="20" t="s">
        <v>5199</v>
      </c>
      <c r="S1473" s="39" t="s">
        <v>4679</v>
      </c>
      <c r="T1473" s="70" t="s">
        <v>3743</v>
      </c>
      <c r="U1473" s="50" t="s">
        <v>399</v>
      </c>
      <c r="V1473" s="118" t="str">
        <f>+Agencia[[#This Row],[idcoleccion]]&amp;"-"&amp;Agencia[[#This Row],[id]]</f>
        <v>990-1462</v>
      </c>
      <c r="W1473" s="118">
        <f>+VLOOKUP(Agencia[[#This Row],[Filtro URL]],Estructura!$X$4:$Y$500,2,0)</f>
        <v>99200008</v>
      </c>
      <c r="X1473" s="118" t="str">
        <f>+VLOOKUP(Agencia[[#This Row],[tema]],Estructura!$A$4:$C$500,3,0)</f>
        <v>T-1058</v>
      </c>
      <c r="Y1473" s="118" t="str">
        <f>+VLOOKUP(Agencia[[#This Row],[contenido]],Estructura!$E$4:$G$500,3,0)</f>
        <v>C-1015</v>
      </c>
      <c r="Z1473" s="118" t="str">
        <f>+VLOOKUP(Agencia[[#This Row],[Filtro Integrado]],Estructura!$I$4:$K$500,3,0)</f>
        <v>FI-993</v>
      </c>
      <c r="AA1473" s="118" t="str">
        <f>+VLOOKUP(Agencia[[#This Row],[Muestra]],Estructura!$M$4:$O$500,3,0)</f>
        <v>M-1111</v>
      </c>
    </row>
    <row r="1474" spans="1:27" ht="57.6" x14ac:dyDescent="0.3">
      <c r="A1474" s="21" t="s">
        <v>5944</v>
      </c>
      <c r="B1474" s="24">
        <v>990</v>
      </c>
      <c r="C1474" s="25" t="s">
        <v>401</v>
      </c>
      <c r="D1474" s="10" t="s">
        <v>4178</v>
      </c>
      <c r="E1474" s="19">
        <v>9</v>
      </c>
      <c r="F1474" s="10" t="s">
        <v>5297</v>
      </c>
      <c r="G1474" s="10" t="s">
        <v>3795</v>
      </c>
      <c r="H1474" s="35" t="s">
        <v>16</v>
      </c>
      <c r="I1474" s="36" t="s">
        <v>376</v>
      </c>
      <c r="J1474" s="9" t="s">
        <v>404</v>
      </c>
      <c r="K1474" s="9" t="s">
        <v>4223</v>
      </c>
      <c r="L1474" s="9" t="s">
        <v>425</v>
      </c>
      <c r="M1474" s="9" t="s">
        <v>4224</v>
      </c>
      <c r="N1474" s="9" t="s">
        <v>431</v>
      </c>
      <c r="O1474" s="20" t="s">
        <v>5227</v>
      </c>
      <c r="P1474" s="20"/>
      <c r="Q1474" s="11" t="s">
        <v>821</v>
      </c>
      <c r="R1474" s="20" t="s">
        <v>5201</v>
      </c>
      <c r="S1474" s="39" t="s">
        <v>4680</v>
      </c>
      <c r="T1474" s="70" t="s">
        <v>3734</v>
      </c>
      <c r="U1474" s="50" t="s">
        <v>399</v>
      </c>
      <c r="V1474" s="118" t="str">
        <f>+Agencia[[#This Row],[idcoleccion]]&amp;"-"&amp;Agencia[[#This Row],[id]]</f>
        <v>990-1463</v>
      </c>
      <c r="W1474" s="118">
        <f>+VLOOKUP(Agencia[[#This Row],[Filtro URL]],Estructura!$X$4:$Y$500,2,0)</f>
        <v>99200009</v>
      </c>
      <c r="X1474" s="118" t="str">
        <f>+VLOOKUP(Agencia[[#This Row],[tema]],Estructura!$A$4:$C$500,3,0)</f>
        <v>T-1058</v>
      </c>
      <c r="Y1474" s="118" t="str">
        <f>+VLOOKUP(Agencia[[#This Row],[contenido]],Estructura!$E$4:$G$500,3,0)</f>
        <v>C-1015</v>
      </c>
      <c r="Z1474" s="118" t="str">
        <f>+VLOOKUP(Agencia[[#This Row],[Filtro Integrado]],Estructura!$I$4:$K$500,3,0)</f>
        <v>FI-993</v>
      </c>
      <c r="AA1474" s="118" t="str">
        <f>+VLOOKUP(Agencia[[#This Row],[Muestra]],Estructura!$M$4:$O$500,3,0)</f>
        <v>M-1111</v>
      </c>
    </row>
    <row r="1475" spans="1:27" ht="57.6" x14ac:dyDescent="0.3">
      <c r="A1475" s="21" t="s">
        <v>5945</v>
      </c>
      <c r="B1475" s="24">
        <v>990</v>
      </c>
      <c r="C1475" s="25" t="s">
        <v>401</v>
      </c>
      <c r="D1475" s="10" t="s">
        <v>4178</v>
      </c>
      <c r="E1475" s="19">
        <v>10</v>
      </c>
      <c r="F1475" s="10" t="s">
        <v>5297</v>
      </c>
      <c r="G1475" s="10" t="s">
        <v>3795</v>
      </c>
      <c r="H1475" s="35" t="s">
        <v>16</v>
      </c>
      <c r="I1475" s="36" t="s">
        <v>377</v>
      </c>
      <c r="J1475" s="9" t="s">
        <v>404</v>
      </c>
      <c r="K1475" s="9" t="s">
        <v>4223</v>
      </c>
      <c r="L1475" s="9" t="s">
        <v>425</v>
      </c>
      <c r="M1475" s="9" t="s">
        <v>4224</v>
      </c>
      <c r="N1475" s="9" t="s">
        <v>431</v>
      </c>
      <c r="O1475" s="20" t="s">
        <v>5228</v>
      </c>
      <c r="P1475" s="20"/>
      <c r="Q1475" s="11" t="s">
        <v>821</v>
      </c>
      <c r="R1475" s="20" t="s">
        <v>5203</v>
      </c>
      <c r="S1475" s="39" t="s">
        <v>4681</v>
      </c>
      <c r="T1475" s="70" t="s">
        <v>3735</v>
      </c>
      <c r="U1475" s="50" t="s">
        <v>399</v>
      </c>
      <c r="V1475" s="118" t="str">
        <f>+Agencia[[#This Row],[idcoleccion]]&amp;"-"&amp;Agencia[[#This Row],[id]]</f>
        <v>990-1464</v>
      </c>
      <c r="W1475" s="118">
        <f>+VLOOKUP(Agencia[[#This Row],[Filtro URL]],Estructura!$X$4:$Y$500,2,0)</f>
        <v>99200010</v>
      </c>
      <c r="X1475" s="118" t="str">
        <f>+VLOOKUP(Agencia[[#This Row],[tema]],Estructura!$A$4:$C$500,3,0)</f>
        <v>T-1058</v>
      </c>
      <c r="Y1475" s="118" t="str">
        <f>+VLOOKUP(Agencia[[#This Row],[contenido]],Estructura!$E$4:$G$500,3,0)</f>
        <v>C-1015</v>
      </c>
      <c r="Z1475" s="118" t="str">
        <f>+VLOOKUP(Agencia[[#This Row],[Filtro Integrado]],Estructura!$I$4:$K$500,3,0)</f>
        <v>FI-993</v>
      </c>
      <c r="AA1475" s="118" t="str">
        <f>+VLOOKUP(Agencia[[#This Row],[Muestra]],Estructura!$M$4:$O$500,3,0)</f>
        <v>M-1111</v>
      </c>
    </row>
    <row r="1476" spans="1:27" ht="57.6" x14ac:dyDescent="0.3">
      <c r="A1476" s="21" t="s">
        <v>5946</v>
      </c>
      <c r="B1476" s="24">
        <v>990</v>
      </c>
      <c r="C1476" s="25" t="s">
        <v>401</v>
      </c>
      <c r="D1476" s="10" t="s">
        <v>4178</v>
      </c>
      <c r="E1476" s="19">
        <v>11</v>
      </c>
      <c r="F1476" s="10" t="s">
        <v>5297</v>
      </c>
      <c r="G1476" s="10" t="s">
        <v>3795</v>
      </c>
      <c r="H1476" s="35" t="s">
        <v>16</v>
      </c>
      <c r="I1476" s="36" t="s">
        <v>378</v>
      </c>
      <c r="J1476" s="9" t="s">
        <v>404</v>
      </c>
      <c r="K1476" s="9" t="s">
        <v>4223</v>
      </c>
      <c r="L1476" s="9" t="s">
        <v>425</v>
      </c>
      <c r="M1476" s="9" t="s">
        <v>4224</v>
      </c>
      <c r="N1476" s="9" t="s">
        <v>431</v>
      </c>
      <c r="O1476" s="20" t="s">
        <v>5229</v>
      </c>
      <c r="P1476" s="20"/>
      <c r="Q1476" s="11" t="s">
        <v>821</v>
      </c>
      <c r="R1476" s="20" t="s">
        <v>5205</v>
      </c>
      <c r="S1476" s="39" t="s">
        <v>4682</v>
      </c>
      <c r="T1476" s="70" t="s">
        <v>3732</v>
      </c>
      <c r="U1476" s="50" t="s">
        <v>399</v>
      </c>
      <c r="V1476" s="118" t="str">
        <f>+Agencia[[#This Row],[idcoleccion]]&amp;"-"&amp;Agencia[[#This Row],[id]]</f>
        <v>990-1465</v>
      </c>
      <c r="W1476" s="118">
        <f>+VLOOKUP(Agencia[[#This Row],[Filtro URL]],Estructura!$X$4:$Y$500,2,0)</f>
        <v>99200011</v>
      </c>
      <c r="X1476" s="118" t="str">
        <f>+VLOOKUP(Agencia[[#This Row],[tema]],Estructura!$A$4:$C$500,3,0)</f>
        <v>T-1058</v>
      </c>
      <c r="Y1476" s="118" t="str">
        <f>+VLOOKUP(Agencia[[#This Row],[contenido]],Estructura!$E$4:$G$500,3,0)</f>
        <v>C-1015</v>
      </c>
      <c r="Z1476" s="118" t="str">
        <f>+VLOOKUP(Agencia[[#This Row],[Filtro Integrado]],Estructura!$I$4:$K$500,3,0)</f>
        <v>FI-993</v>
      </c>
      <c r="AA1476" s="118" t="str">
        <f>+VLOOKUP(Agencia[[#This Row],[Muestra]],Estructura!$M$4:$O$500,3,0)</f>
        <v>M-1111</v>
      </c>
    </row>
    <row r="1477" spans="1:27" ht="57.6" x14ac:dyDescent="0.3">
      <c r="A1477" s="21" t="s">
        <v>5947</v>
      </c>
      <c r="B1477" s="24">
        <v>990</v>
      </c>
      <c r="C1477" s="25" t="s">
        <v>401</v>
      </c>
      <c r="D1477" s="10" t="s">
        <v>4178</v>
      </c>
      <c r="E1477" s="19">
        <v>12</v>
      </c>
      <c r="F1477" s="10" t="s">
        <v>5297</v>
      </c>
      <c r="G1477" s="10" t="s">
        <v>3795</v>
      </c>
      <c r="H1477" s="35" t="s">
        <v>16</v>
      </c>
      <c r="I1477" s="36" t="s">
        <v>379</v>
      </c>
      <c r="J1477" s="9" t="s">
        <v>404</v>
      </c>
      <c r="K1477" s="9" t="s">
        <v>4223</v>
      </c>
      <c r="L1477" s="9" t="s">
        <v>425</v>
      </c>
      <c r="M1477" s="9" t="s">
        <v>4224</v>
      </c>
      <c r="N1477" s="9" t="s">
        <v>431</v>
      </c>
      <c r="O1477" s="20" t="s">
        <v>5230</v>
      </c>
      <c r="P1477" s="20"/>
      <c r="Q1477" s="11" t="s">
        <v>821</v>
      </c>
      <c r="R1477" s="20" t="s">
        <v>5207</v>
      </c>
      <c r="S1477" s="39" t="s">
        <v>4683</v>
      </c>
      <c r="T1477" s="70" t="s">
        <v>3737</v>
      </c>
      <c r="U1477" s="50" t="s">
        <v>399</v>
      </c>
      <c r="V1477" s="118" t="str">
        <f>+Agencia[[#This Row],[idcoleccion]]&amp;"-"&amp;Agencia[[#This Row],[id]]</f>
        <v>990-1466</v>
      </c>
      <c r="W1477" s="118">
        <f>+VLOOKUP(Agencia[[#This Row],[Filtro URL]],Estructura!$X$4:$Y$500,2,0)</f>
        <v>99200012</v>
      </c>
      <c r="X1477" s="118" t="str">
        <f>+VLOOKUP(Agencia[[#This Row],[tema]],Estructura!$A$4:$C$500,3,0)</f>
        <v>T-1058</v>
      </c>
      <c r="Y1477" s="118" t="str">
        <f>+VLOOKUP(Agencia[[#This Row],[contenido]],Estructura!$E$4:$G$500,3,0)</f>
        <v>C-1015</v>
      </c>
      <c r="Z1477" s="118" t="str">
        <f>+VLOOKUP(Agencia[[#This Row],[Filtro Integrado]],Estructura!$I$4:$K$500,3,0)</f>
        <v>FI-993</v>
      </c>
      <c r="AA1477" s="118" t="str">
        <f>+VLOOKUP(Agencia[[#This Row],[Muestra]],Estructura!$M$4:$O$500,3,0)</f>
        <v>M-1111</v>
      </c>
    </row>
    <row r="1478" spans="1:27" ht="57.6" x14ac:dyDescent="0.3">
      <c r="A1478" s="21" t="s">
        <v>5948</v>
      </c>
      <c r="B1478" s="24">
        <v>990</v>
      </c>
      <c r="C1478" s="25" t="s">
        <v>401</v>
      </c>
      <c r="D1478" s="10" t="s">
        <v>4178</v>
      </c>
      <c r="E1478" s="19">
        <v>13</v>
      </c>
      <c r="F1478" s="10" t="s">
        <v>5297</v>
      </c>
      <c r="G1478" s="10" t="s">
        <v>3795</v>
      </c>
      <c r="H1478" s="35" t="s">
        <v>16</v>
      </c>
      <c r="I1478" s="36" t="s">
        <v>380</v>
      </c>
      <c r="J1478" s="9" t="s">
        <v>404</v>
      </c>
      <c r="K1478" s="9" t="s">
        <v>4223</v>
      </c>
      <c r="L1478" s="9" t="s">
        <v>425</v>
      </c>
      <c r="M1478" s="9" t="s">
        <v>4224</v>
      </c>
      <c r="N1478" s="9" t="s">
        <v>431</v>
      </c>
      <c r="O1478" s="20" t="s">
        <v>5231</v>
      </c>
      <c r="P1478" s="20"/>
      <c r="Q1478" s="11" t="s">
        <v>821</v>
      </c>
      <c r="R1478" s="20" t="s">
        <v>5209</v>
      </c>
      <c r="S1478" s="39" t="s">
        <v>4684</v>
      </c>
      <c r="T1478" s="70" t="s">
        <v>3744</v>
      </c>
      <c r="U1478" s="50" t="s">
        <v>399</v>
      </c>
      <c r="V1478" s="118" t="str">
        <f>+Agencia[[#This Row],[idcoleccion]]&amp;"-"&amp;Agencia[[#This Row],[id]]</f>
        <v>990-1467</v>
      </c>
      <c r="W1478" s="118">
        <f>+VLOOKUP(Agencia[[#This Row],[Filtro URL]],Estructura!$X$4:$Y$500,2,0)</f>
        <v>99200013</v>
      </c>
      <c r="X1478" s="118" t="str">
        <f>+VLOOKUP(Agencia[[#This Row],[tema]],Estructura!$A$4:$C$500,3,0)</f>
        <v>T-1058</v>
      </c>
      <c r="Y1478" s="118" t="str">
        <f>+VLOOKUP(Agencia[[#This Row],[contenido]],Estructura!$E$4:$G$500,3,0)</f>
        <v>C-1015</v>
      </c>
      <c r="Z1478" s="118" t="str">
        <f>+VLOOKUP(Agencia[[#This Row],[Filtro Integrado]],Estructura!$I$4:$K$500,3,0)</f>
        <v>FI-993</v>
      </c>
      <c r="AA1478" s="118" t="str">
        <f>+VLOOKUP(Agencia[[#This Row],[Muestra]],Estructura!$M$4:$O$500,3,0)</f>
        <v>M-1111</v>
      </c>
    </row>
    <row r="1479" spans="1:27" ht="57.6" x14ac:dyDescent="0.3">
      <c r="A1479" s="21" t="s">
        <v>5949</v>
      </c>
      <c r="B1479" s="24">
        <v>990</v>
      </c>
      <c r="C1479" s="25" t="s">
        <v>401</v>
      </c>
      <c r="D1479" s="10" t="s">
        <v>4178</v>
      </c>
      <c r="E1479" s="19">
        <v>14</v>
      </c>
      <c r="F1479" s="10" t="s">
        <v>5297</v>
      </c>
      <c r="G1479" s="10" t="s">
        <v>3795</v>
      </c>
      <c r="H1479" s="35" t="s">
        <v>16</v>
      </c>
      <c r="I1479" s="36" t="s">
        <v>381</v>
      </c>
      <c r="J1479" s="9" t="s">
        <v>404</v>
      </c>
      <c r="K1479" s="9" t="s">
        <v>4223</v>
      </c>
      <c r="L1479" s="9" t="s">
        <v>425</v>
      </c>
      <c r="M1479" s="9" t="s">
        <v>4224</v>
      </c>
      <c r="N1479" s="9" t="s">
        <v>431</v>
      </c>
      <c r="O1479" s="20" t="s">
        <v>5232</v>
      </c>
      <c r="P1479" s="20"/>
      <c r="Q1479" s="11" t="s">
        <v>821</v>
      </c>
      <c r="R1479" s="20" t="s">
        <v>5211</v>
      </c>
      <c r="S1479" s="39" t="s">
        <v>5233</v>
      </c>
      <c r="T1479" s="70" t="s">
        <v>3736</v>
      </c>
      <c r="U1479" s="50" t="s">
        <v>399</v>
      </c>
      <c r="V1479" s="118" t="str">
        <f>+Agencia[[#This Row],[idcoleccion]]&amp;"-"&amp;Agencia[[#This Row],[id]]</f>
        <v>990-1468</v>
      </c>
      <c r="W1479" s="118">
        <f>+VLOOKUP(Agencia[[#This Row],[Filtro URL]],Estructura!$X$4:$Y$500,2,0)</f>
        <v>99200014</v>
      </c>
      <c r="X1479" s="118" t="str">
        <f>+VLOOKUP(Agencia[[#This Row],[tema]],Estructura!$A$4:$C$500,3,0)</f>
        <v>T-1058</v>
      </c>
      <c r="Y1479" s="118" t="str">
        <f>+VLOOKUP(Agencia[[#This Row],[contenido]],Estructura!$E$4:$G$500,3,0)</f>
        <v>C-1015</v>
      </c>
      <c r="Z1479" s="118" t="str">
        <f>+VLOOKUP(Agencia[[#This Row],[Filtro Integrado]],Estructura!$I$4:$K$500,3,0)</f>
        <v>FI-993</v>
      </c>
      <c r="AA1479" s="118" t="str">
        <f>+VLOOKUP(Agencia[[#This Row],[Muestra]],Estructura!$M$4:$O$500,3,0)</f>
        <v>M-1111</v>
      </c>
    </row>
    <row r="1480" spans="1:27" ht="57.6" x14ac:dyDescent="0.3">
      <c r="A1480" s="21" t="s">
        <v>5950</v>
      </c>
      <c r="B1480" s="24">
        <v>990</v>
      </c>
      <c r="C1480" s="25" t="s">
        <v>401</v>
      </c>
      <c r="D1480" s="10" t="s">
        <v>4178</v>
      </c>
      <c r="E1480" s="19">
        <v>15</v>
      </c>
      <c r="F1480" s="10" t="s">
        <v>5297</v>
      </c>
      <c r="G1480" s="10" t="s">
        <v>3795</v>
      </c>
      <c r="H1480" s="35" t="s">
        <v>16</v>
      </c>
      <c r="I1480" s="36" t="s">
        <v>382</v>
      </c>
      <c r="J1480" s="9" t="s">
        <v>404</v>
      </c>
      <c r="K1480" s="9" t="s">
        <v>4223</v>
      </c>
      <c r="L1480" s="9" t="s">
        <v>425</v>
      </c>
      <c r="M1480" s="9" t="s">
        <v>4224</v>
      </c>
      <c r="N1480" s="9" t="s">
        <v>431</v>
      </c>
      <c r="O1480" s="20" t="s">
        <v>5234</v>
      </c>
      <c r="P1480" s="20"/>
      <c r="Q1480" s="11" t="s">
        <v>821</v>
      </c>
      <c r="R1480" s="20" t="s">
        <v>5213</v>
      </c>
      <c r="S1480" s="39" t="s">
        <v>5235</v>
      </c>
      <c r="T1480" s="70" t="s">
        <v>3730</v>
      </c>
      <c r="U1480" s="50" t="s">
        <v>399</v>
      </c>
      <c r="V1480" s="118" t="str">
        <f>+Agencia[[#This Row],[idcoleccion]]&amp;"-"&amp;Agencia[[#This Row],[id]]</f>
        <v>990-1469</v>
      </c>
      <c r="W1480" s="118">
        <f>+VLOOKUP(Agencia[[#This Row],[Filtro URL]],Estructura!$X$4:$Y$500,2,0)</f>
        <v>99200015</v>
      </c>
      <c r="X1480" s="118" t="str">
        <f>+VLOOKUP(Agencia[[#This Row],[tema]],Estructura!$A$4:$C$500,3,0)</f>
        <v>T-1058</v>
      </c>
      <c r="Y1480" s="118" t="str">
        <f>+VLOOKUP(Agencia[[#This Row],[contenido]],Estructura!$E$4:$G$500,3,0)</f>
        <v>C-1015</v>
      </c>
      <c r="Z1480" s="118" t="str">
        <f>+VLOOKUP(Agencia[[#This Row],[Filtro Integrado]],Estructura!$I$4:$K$500,3,0)</f>
        <v>FI-993</v>
      </c>
      <c r="AA1480" s="118" t="str">
        <f>+VLOOKUP(Agencia[[#This Row],[Muestra]],Estructura!$M$4:$O$500,3,0)</f>
        <v>M-1111</v>
      </c>
    </row>
    <row r="1481" spans="1:27" ht="57.6" x14ac:dyDescent="0.3">
      <c r="A1481" s="21" t="s">
        <v>5951</v>
      </c>
      <c r="B1481" s="24">
        <v>990</v>
      </c>
      <c r="C1481" s="25" t="s">
        <v>401</v>
      </c>
      <c r="D1481" s="10" t="s">
        <v>4178</v>
      </c>
      <c r="E1481" s="19">
        <v>16</v>
      </c>
      <c r="F1481" s="10" t="s">
        <v>5297</v>
      </c>
      <c r="G1481" s="10" t="s">
        <v>3795</v>
      </c>
      <c r="H1481" s="35" t="s">
        <v>16</v>
      </c>
      <c r="I1481" s="36" t="s">
        <v>383</v>
      </c>
      <c r="J1481" s="9" t="s">
        <v>404</v>
      </c>
      <c r="K1481" s="9" t="s">
        <v>4223</v>
      </c>
      <c r="L1481" s="9" t="s">
        <v>425</v>
      </c>
      <c r="M1481" s="9" t="s">
        <v>4224</v>
      </c>
      <c r="N1481" s="9" t="s">
        <v>431</v>
      </c>
      <c r="O1481" s="20" t="s">
        <v>5236</v>
      </c>
      <c r="P1481" s="20"/>
      <c r="Q1481" s="11" t="s">
        <v>821</v>
      </c>
      <c r="R1481" s="20" t="s">
        <v>5215</v>
      </c>
      <c r="S1481" s="39" t="s">
        <v>5237</v>
      </c>
      <c r="T1481" s="70" t="s">
        <v>3739</v>
      </c>
      <c r="U1481" s="50" t="s">
        <v>399</v>
      </c>
      <c r="V1481" s="118" t="str">
        <f>+Agencia[[#This Row],[idcoleccion]]&amp;"-"&amp;Agencia[[#This Row],[id]]</f>
        <v>990-1470</v>
      </c>
      <c r="W1481" s="118">
        <f>+VLOOKUP(Agencia[[#This Row],[Filtro URL]],Estructura!$X$4:$Y$500,2,0)</f>
        <v>99200016</v>
      </c>
      <c r="X1481" s="118" t="str">
        <f>+VLOOKUP(Agencia[[#This Row],[tema]],Estructura!$A$4:$C$500,3,0)</f>
        <v>T-1058</v>
      </c>
      <c r="Y1481" s="118" t="str">
        <f>+VLOOKUP(Agencia[[#This Row],[contenido]],Estructura!$E$4:$G$500,3,0)</f>
        <v>C-1015</v>
      </c>
      <c r="Z1481" s="118" t="str">
        <f>+VLOOKUP(Agencia[[#This Row],[Filtro Integrado]],Estructura!$I$4:$K$500,3,0)</f>
        <v>FI-993</v>
      </c>
      <c r="AA1481" s="118" t="str">
        <f>+VLOOKUP(Agencia[[#This Row],[Muestra]],Estructura!$M$4:$O$500,3,0)</f>
        <v>M-1111</v>
      </c>
    </row>
    <row r="1482" spans="1:27" ht="48" x14ac:dyDescent="0.3">
      <c r="A1482" s="21" t="s">
        <v>5952</v>
      </c>
      <c r="B1482" s="24">
        <v>990</v>
      </c>
      <c r="C1482" s="25" t="s">
        <v>401</v>
      </c>
      <c r="D1482" s="10" t="s">
        <v>574</v>
      </c>
      <c r="E1482" s="14">
        <v>0</v>
      </c>
      <c r="F1482" s="10" t="s">
        <v>4244</v>
      </c>
      <c r="G1482" s="10" t="s">
        <v>5300</v>
      </c>
      <c r="H1482" s="33" t="s">
        <v>20</v>
      </c>
      <c r="I1482" s="34" t="s">
        <v>15</v>
      </c>
      <c r="J1482" s="9" t="s">
        <v>404</v>
      </c>
      <c r="K1482" s="9" t="s">
        <v>4245</v>
      </c>
      <c r="L1482" s="9" t="s">
        <v>4246</v>
      </c>
      <c r="M1482" s="9" t="s">
        <v>426</v>
      </c>
      <c r="N1482" s="9" t="s">
        <v>403</v>
      </c>
      <c r="O1482" s="20" t="s">
        <v>5238</v>
      </c>
      <c r="P1482" s="20" t="s">
        <v>4248</v>
      </c>
      <c r="Q1482" s="11" t="s">
        <v>821</v>
      </c>
      <c r="R1482" s="20" t="s">
        <v>5239</v>
      </c>
      <c r="S1482" s="39" t="s">
        <v>4249</v>
      </c>
      <c r="T1482" s="70">
        <v>0</v>
      </c>
      <c r="U1482" s="50" t="s">
        <v>399</v>
      </c>
      <c r="V1482" s="118" t="str">
        <f>+Agencia[[#This Row],[idcoleccion]]&amp;"-"&amp;Agencia[[#This Row],[id]]</f>
        <v>990-1471</v>
      </c>
      <c r="W1482" s="118">
        <f>+VLOOKUP(Agencia[[#This Row],[Filtro URL]],Estructura!$X$4:$Y$500,2,0)</f>
        <v>99100000</v>
      </c>
      <c r="X1482" s="118" t="str">
        <f>+VLOOKUP(Agencia[[#This Row],[tema]],Estructura!$A$4:$C$500,3,0)</f>
        <v>T-1059</v>
      </c>
      <c r="Y1482" s="118" t="str">
        <f>+VLOOKUP(Agencia[[#This Row],[contenido]],Estructura!$E$4:$G$500,3,0)</f>
        <v>C-1017</v>
      </c>
      <c r="Z1482" s="118" t="str">
        <f>+VLOOKUP(Agencia[[#This Row],[Filtro Integrado]],Estructura!$I$4:$K$500,3,0)</f>
        <v>FI-993</v>
      </c>
      <c r="AA1482" s="118" t="str">
        <f>+VLOOKUP(Agencia[[#This Row],[Muestra]],Estructura!$M$4:$O$500,3,0)</f>
        <v>M-1112</v>
      </c>
    </row>
    <row r="1483" spans="1:27" ht="30.6" x14ac:dyDescent="0.3">
      <c r="A1483" s="21" t="s">
        <v>5953</v>
      </c>
      <c r="B1483" s="24">
        <v>990</v>
      </c>
      <c r="C1483" s="25" t="s">
        <v>401</v>
      </c>
      <c r="D1483" s="10" t="s">
        <v>574</v>
      </c>
      <c r="E1483" s="14">
        <v>0</v>
      </c>
      <c r="F1483" s="10" t="s">
        <v>4244</v>
      </c>
      <c r="G1483" s="10" t="s">
        <v>5300</v>
      </c>
      <c r="H1483" s="33" t="s">
        <v>20</v>
      </c>
      <c r="I1483" s="34" t="s">
        <v>15</v>
      </c>
      <c r="J1483" s="9" t="s">
        <v>404</v>
      </c>
      <c r="K1483" s="9" t="s">
        <v>4252</v>
      </c>
      <c r="L1483" s="9" t="s">
        <v>4246</v>
      </c>
      <c r="M1483" s="9" t="s">
        <v>4251</v>
      </c>
      <c r="N1483" s="9" t="s">
        <v>403</v>
      </c>
      <c r="O1483" s="20" t="s">
        <v>5240</v>
      </c>
      <c r="P1483" s="20" t="s">
        <v>4253</v>
      </c>
      <c r="Q1483" s="11" t="s">
        <v>821</v>
      </c>
      <c r="R1483" s="20" t="s">
        <v>5241</v>
      </c>
      <c r="S1483" s="39" t="s">
        <v>4254</v>
      </c>
      <c r="T1483" s="70" t="s">
        <v>855</v>
      </c>
      <c r="U1483" s="50" t="s">
        <v>399</v>
      </c>
      <c r="V1483" s="118" t="str">
        <f>+Agencia[[#This Row],[idcoleccion]]&amp;"-"&amp;Agencia[[#This Row],[id]]</f>
        <v>990-1472</v>
      </c>
      <c r="W1483" s="118">
        <f>+VLOOKUP(Agencia[[#This Row],[Filtro URL]],Estructura!$X$4:$Y$500,2,0)</f>
        <v>99100000</v>
      </c>
      <c r="X1483" s="118" t="str">
        <f>+VLOOKUP(Agencia[[#This Row],[tema]],Estructura!$A$4:$C$500,3,0)</f>
        <v>T-1059</v>
      </c>
      <c r="Y1483" s="118" t="str">
        <f>+VLOOKUP(Agencia[[#This Row],[contenido]],Estructura!$E$4:$G$500,3,0)</f>
        <v>C-1017</v>
      </c>
      <c r="Z1483" s="118" t="str">
        <f>+VLOOKUP(Agencia[[#This Row],[Filtro Integrado]],Estructura!$I$4:$K$500,3,0)</f>
        <v>FI-993</v>
      </c>
      <c r="AA1483" s="118" t="str">
        <f>+VLOOKUP(Agencia[[#This Row],[Muestra]],Estructura!$M$4:$O$500,3,0)</f>
        <v>M-1114</v>
      </c>
    </row>
    <row r="1484" spans="1:27" ht="40.799999999999997" x14ac:dyDescent="0.3">
      <c r="A1484" s="21" t="s">
        <v>5954</v>
      </c>
      <c r="B1484" s="24">
        <v>990</v>
      </c>
      <c r="C1484" s="25" t="s">
        <v>401</v>
      </c>
      <c r="D1484" s="10" t="s">
        <v>574</v>
      </c>
      <c r="E1484" s="14">
        <v>0</v>
      </c>
      <c r="F1484" s="10" t="s">
        <v>4244</v>
      </c>
      <c r="G1484" s="10" t="s">
        <v>5300</v>
      </c>
      <c r="H1484" s="33" t="s">
        <v>20</v>
      </c>
      <c r="I1484" s="34" t="s">
        <v>15</v>
      </c>
      <c r="J1484" s="9" t="s">
        <v>16</v>
      </c>
      <c r="K1484" s="9" t="s">
        <v>4252</v>
      </c>
      <c r="L1484" s="9" t="s">
        <v>4246</v>
      </c>
      <c r="M1484" s="9" t="s">
        <v>4251</v>
      </c>
      <c r="N1484" s="9" t="s">
        <v>403</v>
      </c>
      <c r="O1484" s="20" t="s">
        <v>5242</v>
      </c>
      <c r="P1484" s="20" t="s">
        <v>4256</v>
      </c>
      <c r="Q1484" s="11" t="s">
        <v>821</v>
      </c>
      <c r="R1484" s="20" t="s">
        <v>5243</v>
      </c>
      <c r="S1484" s="39" t="s">
        <v>4257</v>
      </c>
      <c r="T1484" s="70" t="s">
        <v>1033</v>
      </c>
      <c r="U1484" s="50" t="s">
        <v>399</v>
      </c>
      <c r="V1484" s="118" t="str">
        <f>+Agencia[[#This Row],[idcoleccion]]&amp;"-"&amp;Agencia[[#This Row],[id]]</f>
        <v>990-1473</v>
      </c>
      <c r="W1484" s="118">
        <f>+VLOOKUP(Agencia[[#This Row],[Filtro URL]],Estructura!$X$4:$Y$500,2,0)</f>
        <v>99100000</v>
      </c>
      <c r="X1484" s="118" t="str">
        <f>+VLOOKUP(Agencia[[#This Row],[tema]],Estructura!$A$4:$C$500,3,0)</f>
        <v>T-1059</v>
      </c>
      <c r="Y1484" s="118" t="str">
        <f>+VLOOKUP(Agencia[[#This Row],[contenido]],Estructura!$E$4:$G$500,3,0)</f>
        <v>C-1017</v>
      </c>
      <c r="Z1484" s="118" t="str">
        <f>+VLOOKUP(Agencia[[#This Row],[Filtro Integrado]],Estructura!$I$4:$K$500,3,0)</f>
        <v>FI-992</v>
      </c>
      <c r="AA1484" s="118" t="str">
        <f>+VLOOKUP(Agencia[[#This Row],[Muestra]],Estructura!$M$4:$O$500,3,0)</f>
        <v>M-1114</v>
      </c>
    </row>
    <row r="1485" spans="1:27" ht="57.6" x14ac:dyDescent="0.3">
      <c r="A1485" s="21" t="s">
        <v>5955</v>
      </c>
      <c r="B1485" s="24">
        <v>990</v>
      </c>
      <c r="C1485" s="25" t="s">
        <v>401</v>
      </c>
      <c r="D1485" s="10" t="s">
        <v>574</v>
      </c>
      <c r="E1485" s="19">
        <v>1</v>
      </c>
      <c r="F1485" s="10" t="s">
        <v>4244</v>
      </c>
      <c r="G1485" s="10" t="s">
        <v>5300</v>
      </c>
      <c r="H1485" s="35" t="s">
        <v>16</v>
      </c>
      <c r="I1485" s="36" t="s">
        <v>368</v>
      </c>
      <c r="J1485" s="9" t="s">
        <v>404</v>
      </c>
      <c r="K1485" s="9" t="s">
        <v>4252</v>
      </c>
      <c r="L1485" s="9" t="s">
        <v>4246</v>
      </c>
      <c r="M1485" s="9" t="s">
        <v>4251</v>
      </c>
      <c r="N1485" s="9" t="s">
        <v>403</v>
      </c>
      <c r="O1485" s="20" t="s">
        <v>5244</v>
      </c>
      <c r="P1485" s="20"/>
      <c r="Q1485" s="11" t="s">
        <v>821</v>
      </c>
      <c r="R1485" s="20" t="s">
        <v>5245</v>
      </c>
      <c r="S1485" s="39" t="s">
        <v>5246</v>
      </c>
      <c r="T1485" s="70" t="s">
        <v>3741</v>
      </c>
      <c r="U1485" s="50" t="s">
        <v>399</v>
      </c>
      <c r="V1485" s="118" t="str">
        <f>+Agencia[[#This Row],[idcoleccion]]&amp;"-"&amp;Agencia[[#This Row],[id]]</f>
        <v>990-1474</v>
      </c>
      <c r="W1485" s="118">
        <f>+VLOOKUP(Agencia[[#This Row],[Filtro URL]],Estructura!$X$4:$Y$500,2,0)</f>
        <v>99200001</v>
      </c>
      <c r="X1485" s="118" t="str">
        <f>+VLOOKUP(Agencia[[#This Row],[tema]],Estructura!$A$4:$C$500,3,0)</f>
        <v>T-1059</v>
      </c>
      <c r="Y1485" s="118" t="str">
        <f>+VLOOKUP(Agencia[[#This Row],[contenido]],Estructura!$E$4:$G$500,3,0)</f>
        <v>C-1017</v>
      </c>
      <c r="Z1485" s="118" t="str">
        <f>+VLOOKUP(Agencia[[#This Row],[Filtro Integrado]],Estructura!$I$4:$K$500,3,0)</f>
        <v>FI-993</v>
      </c>
      <c r="AA1485" s="118" t="str">
        <f>+VLOOKUP(Agencia[[#This Row],[Muestra]],Estructura!$M$4:$O$500,3,0)</f>
        <v>M-1114</v>
      </c>
    </row>
    <row r="1486" spans="1:27" ht="57.6" x14ac:dyDescent="0.3">
      <c r="A1486" s="21" t="s">
        <v>5956</v>
      </c>
      <c r="B1486" s="24">
        <v>990</v>
      </c>
      <c r="C1486" s="25" t="s">
        <v>401</v>
      </c>
      <c r="D1486" s="10" t="s">
        <v>574</v>
      </c>
      <c r="E1486" s="19">
        <v>2</v>
      </c>
      <c r="F1486" s="10" t="s">
        <v>4244</v>
      </c>
      <c r="G1486" s="10" t="s">
        <v>5300</v>
      </c>
      <c r="H1486" s="35" t="s">
        <v>16</v>
      </c>
      <c r="I1486" s="36" t="s">
        <v>369</v>
      </c>
      <c r="J1486" s="9" t="s">
        <v>404</v>
      </c>
      <c r="K1486" s="9" t="s">
        <v>4252</v>
      </c>
      <c r="L1486" s="9" t="s">
        <v>4246</v>
      </c>
      <c r="M1486" s="9" t="s">
        <v>4251</v>
      </c>
      <c r="N1486" s="9" t="s">
        <v>403</v>
      </c>
      <c r="O1486" s="20" t="s">
        <v>5247</v>
      </c>
      <c r="P1486" s="20"/>
      <c r="Q1486" s="11" t="s">
        <v>821</v>
      </c>
      <c r="R1486" s="20" t="s">
        <v>5248</v>
      </c>
      <c r="S1486" s="39" t="s">
        <v>5249</v>
      </c>
      <c r="T1486" s="70" t="s">
        <v>3729</v>
      </c>
      <c r="U1486" s="50" t="s">
        <v>399</v>
      </c>
      <c r="V1486" s="118" t="str">
        <f>+Agencia[[#This Row],[idcoleccion]]&amp;"-"&amp;Agencia[[#This Row],[id]]</f>
        <v>990-1475</v>
      </c>
      <c r="W1486" s="118">
        <f>+VLOOKUP(Agencia[[#This Row],[Filtro URL]],Estructura!$X$4:$Y$500,2,0)</f>
        <v>99200002</v>
      </c>
      <c r="X1486" s="118" t="str">
        <f>+VLOOKUP(Agencia[[#This Row],[tema]],Estructura!$A$4:$C$500,3,0)</f>
        <v>T-1059</v>
      </c>
      <c r="Y1486" s="118" t="str">
        <f>+VLOOKUP(Agencia[[#This Row],[contenido]],Estructura!$E$4:$G$500,3,0)</f>
        <v>C-1017</v>
      </c>
      <c r="Z1486" s="118" t="str">
        <f>+VLOOKUP(Agencia[[#This Row],[Filtro Integrado]],Estructura!$I$4:$K$500,3,0)</f>
        <v>FI-993</v>
      </c>
      <c r="AA1486" s="118" t="str">
        <f>+VLOOKUP(Agencia[[#This Row],[Muestra]],Estructura!$M$4:$O$500,3,0)</f>
        <v>M-1114</v>
      </c>
    </row>
    <row r="1487" spans="1:27" ht="57.6" x14ac:dyDescent="0.3">
      <c r="A1487" s="21" t="s">
        <v>5957</v>
      </c>
      <c r="B1487" s="24">
        <v>990</v>
      </c>
      <c r="C1487" s="25" t="s">
        <v>401</v>
      </c>
      <c r="D1487" s="10" t="s">
        <v>574</v>
      </c>
      <c r="E1487" s="19">
        <v>3</v>
      </c>
      <c r="F1487" s="10" t="s">
        <v>4244</v>
      </c>
      <c r="G1487" s="10" t="s">
        <v>5300</v>
      </c>
      <c r="H1487" s="35" t="s">
        <v>16</v>
      </c>
      <c r="I1487" s="36" t="s">
        <v>370</v>
      </c>
      <c r="J1487" s="9" t="s">
        <v>404</v>
      </c>
      <c r="K1487" s="9" t="s">
        <v>4252</v>
      </c>
      <c r="L1487" s="9" t="s">
        <v>4246</v>
      </c>
      <c r="M1487" s="9" t="s">
        <v>4251</v>
      </c>
      <c r="N1487" s="9" t="s">
        <v>403</v>
      </c>
      <c r="O1487" s="20" t="s">
        <v>5250</v>
      </c>
      <c r="P1487" s="20"/>
      <c r="Q1487" s="11" t="s">
        <v>821</v>
      </c>
      <c r="R1487" s="20" t="s">
        <v>5251</v>
      </c>
      <c r="S1487" s="39" t="s">
        <v>5252</v>
      </c>
      <c r="T1487" s="70" t="s">
        <v>3731</v>
      </c>
      <c r="U1487" s="50" t="s">
        <v>399</v>
      </c>
      <c r="V1487" s="118" t="str">
        <f>+Agencia[[#This Row],[idcoleccion]]&amp;"-"&amp;Agencia[[#This Row],[id]]</f>
        <v>990-1476</v>
      </c>
      <c r="W1487" s="118">
        <f>+VLOOKUP(Agencia[[#This Row],[Filtro URL]],Estructura!$X$4:$Y$500,2,0)</f>
        <v>99200003</v>
      </c>
      <c r="X1487" s="118" t="str">
        <f>+VLOOKUP(Agencia[[#This Row],[tema]],Estructura!$A$4:$C$500,3,0)</f>
        <v>T-1059</v>
      </c>
      <c r="Y1487" s="118" t="str">
        <f>+VLOOKUP(Agencia[[#This Row],[contenido]],Estructura!$E$4:$G$500,3,0)</f>
        <v>C-1017</v>
      </c>
      <c r="Z1487" s="118" t="str">
        <f>+VLOOKUP(Agencia[[#This Row],[Filtro Integrado]],Estructura!$I$4:$K$500,3,0)</f>
        <v>FI-993</v>
      </c>
      <c r="AA1487" s="118" t="str">
        <f>+VLOOKUP(Agencia[[#This Row],[Muestra]],Estructura!$M$4:$O$500,3,0)</f>
        <v>M-1114</v>
      </c>
    </row>
    <row r="1488" spans="1:27" ht="57.6" x14ac:dyDescent="0.3">
      <c r="A1488" s="21" t="s">
        <v>5958</v>
      </c>
      <c r="B1488" s="24">
        <v>990</v>
      </c>
      <c r="C1488" s="25" t="s">
        <v>401</v>
      </c>
      <c r="D1488" s="10" t="s">
        <v>574</v>
      </c>
      <c r="E1488" s="19">
        <v>4</v>
      </c>
      <c r="F1488" s="10" t="s">
        <v>4244</v>
      </c>
      <c r="G1488" s="10" t="s">
        <v>5300</v>
      </c>
      <c r="H1488" s="35" t="s">
        <v>16</v>
      </c>
      <c r="I1488" s="36" t="s">
        <v>371</v>
      </c>
      <c r="J1488" s="9" t="s">
        <v>404</v>
      </c>
      <c r="K1488" s="9" t="s">
        <v>4252</v>
      </c>
      <c r="L1488" s="9" t="s">
        <v>4246</v>
      </c>
      <c r="M1488" s="9" t="s">
        <v>4251</v>
      </c>
      <c r="N1488" s="9" t="s">
        <v>403</v>
      </c>
      <c r="O1488" s="20" t="s">
        <v>5253</v>
      </c>
      <c r="P1488" s="20"/>
      <c r="Q1488" s="11" t="s">
        <v>821</v>
      </c>
      <c r="R1488" s="20" t="s">
        <v>5254</v>
      </c>
      <c r="S1488" s="39" t="s">
        <v>5255</v>
      </c>
      <c r="T1488" s="70" t="s">
        <v>3733</v>
      </c>
      <c r="U1488" s="50" t="s">
        <v>399</v>
      </c>
      <c r="V1488" s="118" t="str">
        <f>+Agencia[[#This Row],[idcoleccion]]&amp;"-"&amp;Agencia[[#This Row],[id]]</f>
        <v>990-1477</v>
      </c>
      <c r="W1488" s="118">
        <f>+VLOOKUP(Agencia[[#This Row],[Filtro URL]],Estructura!$X$4:$Y$500,2,0)</f>
        <v>99200004</v>
      </c>
      <c r="X1488" s="118" t="str">
        <f>+VLOOKUP(Agencia[[#This Row],[tema]],Estructura!$A$4:$C$500,3,0)</f>
        <v>T-1059</v>
      </c>
      <c r="Y1488" s="118" t="str">
        <f>+VLOOKUP(Agencia[[#This Row],[contenido]],Estructura!$E$4:$G$500,3,0)</f>
        <v>C-1017</v>
      </c>
      <c r="Z1488" s="118" t="str">
        <f>+VLOOKUP(Agencia[[#This Row],[Filtro Integrado]],Estructura!$I$4:$K$500,3,0)</f>
        <v>FI-993</v>
      </c>
      <c r="AA1488" s="118" t="str">
        <f>+VLOOKUP(Agencia[[#This Row],[Muestra]],Estructura!$M$4:$O$500,3,0)</f>
        <v>M-1114</v>
      </c>
    </row>
    <row r="1489" spans="1:27" ht="57.6" x14ac:dyDescent="0.3">
      <c r="A1489" s="21" t="s">
        <v>5959</v>
      </c>
      <c r="B1489" s="24">
        <v>990</v>
      </c>
      <c r="C1489" s="25" t="s">
        <v>401</v>
      </c>
      <c r="D1489" s="10" t="s">
        <v>574</v>
      </c>
      <c r="E1489" s="19">
        <v>5</v>
      </c>
      <c r="F1489" s="10" t="s">
        <v>4244</v>
      </c>
      <c r="G1489" s="10" t="s">
        <v>5300</v>
      </c>
      <c r="H1489" s="35" t="s">
        <v>16</v>
      </c>
      <c r="I1489" s="36" t="s">
        <v>372</v>
      </c>
      <c r="J1489" s="9" t="s">
        <v>404</v>
      </c>
      <c r="K1489" s="9" t="s">
        <v>4252</v>
      </c>
      <c r="L1489" s="9" t="s">
        <v>4246</v>
      </c>
      <c r="M1489" s="9" t="s">
        <v>4251</v>
      </c>
      <c r="N1489" s="9" t="s">
        <v>403</v>
      </c>
      <c r="O1489" s="20" t="s">
        <v>5256</v>
      </c>
      <c r="P1489" s="20"/>
      <c r="Q1489" s="11" t="s">
        <v>821</v>
      </c>
      <c r="R1489" s="20" t="s">
        <v>5257</v>
      </c>
      <c r="S1489" s="39" t="s">
        <v>5258</v>
      </c>
      <c r="T1489" s="70" t="s">
        <v>3742</v>
      </c>
      <c r="U1489" s="50" t="s">
        <v>399</v>
      </c>
      <c r="V1489" s="118" t="str">
        <f>+Agencia[[#This Row],[idcoleccion]]&amp;"-"&amp;Agencia[[#This Row],[id]]</f>
        <v>990-1478</v>
      </c>
      <c r="W1489" s="118">
        <f>+VLOOKUP(Agencia[[#This Row],[Filtro URL]],Estructura!$X$4:$Y$500,2,0)</f>
        <v>99200005</v>
      </c>
      <c r="X1489" s="118" t="str">
        <f>+VLOOKUP(Agencia[[#This Row],[tema]],Estructura!$A$4:$C$500,3,0)</f>
        <v>T-1059</v>
      </c>
      <c r="Y1489" s="118" t="str">
        <f>+VLOOKUP(Agencia[[#This Row],[contenido]],Estructura!$E$4:$G$500,3,0)</f>
        <v>C-1017</v>
      </c>
      <c r="Z1489" s="118" t="str">
        <f>+VLOOKUP(Agencia[[#This Row],[Filtro Integrado]],Estructura!$I$4:$K$500,3,0)</f>
        <v>FI-993</v>
      </c>
      <c r="AA1489" s="118" t="str">
        <f>+VLOOKUP(Agencia[[#This Row],[Muestra]],Estructura!$M$4:$O$500,3,0)</f>
        <v>M-1114</v>
      </c>
    </row>
    <row r="1490" spans="1:27" ht="57.6" x14ac:dyDescent="0.3">
      <c r="A1490" s="21" t="s">
        <v>5960</v>
      </c>
      <c r="B1490" s="24">
        <v>990</v>
      </c>
      <c r="C1490" s="25" t="s">
        <v>401</v>
      </c>
      <c r="D1490" s="10" t="s">
        <v>574</v>
      </c>
      <c r="E1490" s="19">
        <v>6</v>
      </c>
      <c r="F1490" s="10" t="s">
        <v>4244</v>
      </c>
      <c r="G1490" s="10" t="s">
        <v>5300</v>
      </c>
      <c r="H1490" s="35" t="s">
        <v>16</v>
      </c>
      <c r="I1490" s="36" t="s">
        <v>373</v>
      </c>
      <c r="J1490" s="9" t="s">
        <v>404</v>
      </c>
      <c r="K1490" s="9" t="s">
        <v>4252</v>
      </c>
      <c r="L1490" s="9" t="s">
        <v>4246</v>
      </c>
      <c r="M1490" s="9" t="s">
        <v>4251</v>
      </c>
      <c r="N1490" s="9" t="s">
        <v>403</v>
      </c>
      <c r="O1490" s="20" t="s">
        <v>5259</v>
      </c>
      <c r="P1490" s="20"/>
      <c r="Q1490" s="11" t="s">
        <v>821</v>
      </c>
      <c r="R1490" s="20" t="s">
        <v>5260</v>
      </c>
      <c r="S1490" s="39" t="s">
        <v>5261</v>
      </c>
      <c r="T1490" s="70" t="s">
        <v>3740</v>
      </c>
      <c r="U1490" s="50" t="s">
        <v>399</v>
      </c>
      <c r="V1490" s="118" t="str">
        <f>+Agencia[[#This Row],[idcoleccion]]&amp;"-"&amp;Agencia[[#This Row],[id]]</f>
        <v>990-1479</v>
      </c>
      <c r="W1490" s="118">
        <f>+VLOOKUP(Agencia[[#This Row],[Filtro URL]],Estructura!$X$4:$Y$500,2,0)</f>
        <v>99200006</v>
      </c>
      <c r="X1490" s="118" t="str">
        <f>+VLOOKUP(Agencia[[#This Row],[tema]],Estructura!$A$4:$C$500,3,0)</f>
        <v>T-1059</v>
      </c>
      <c r="Y1490" s="118" t="str">
        <f>+VLOOKUP(Agencia[[#This Row],[contenido]],Estructura!$E$4:$G$500,3,0)</f>
        <v>C-1017</v>
      </c>
      <c r="Z1490" s="118" t="str">
        <f>+VLOOKUP(Agencia[[#This Row],[Filtro Integrado]],Estructura!$I$4:$K$500,3,0)</f>
        <v>FI-993</v>
      </c>
      <c r="AA1490" s="118" t="str">
        <f>+VLOOKUP(Agencia[[#This Row],[Muestra]],Estructura!$M$4:$O$500,3,0)</f>
        <v>M-1114</v>
      </c>
    </row>
    <row r="1491" spans="1:27" ht="57.6" x14ac:dyDescent="0.3">
      <c r="A1491" s="21" t="s">
        <v>5961</v>
      </c>
      <c r="B1491" s="24">
        <v>990</v>
      </c>
      <c r="C1491" s="25" t="s">
        <v>401</v>
      </c>
      <c r="D1491" s="10" t="s">
        <v>574</v>
      </c>
      <c r="E1491" s="19">
        <v>7</v>
      </c>
      <c r="F1491" s="10" t="s">
        <v>4244</v>
      </c>
      <c r="G1491" s="10" t="s">
        <v>5300</v>
      </c>
      <c r="H1491" s="35" t="s">
        <v>16</v>
      </c>
      <c r="I1491" s="36" t="s">
        <v>374</v>
      </c>
      <c r="J1491" s="9" t="s">
        <v>404</v>
      </c>
      <c r="K1491" s="9" t="s">
        <v>4252</v>
      </c>
      <c r="L1491" s="9" t="s">
        <v>4246</v>
      </c>
      <c r="M1491" s="9" t="s">
        <v>4251</v>
      </c>
      <c r="N1491" s="9" t="s">
        <v>403</v>
      </c>
      <c r="O1491" s="20" t="s">
        <v>5262</v>
      </c>
      <c r="P1491" s="20"/>
      <c r="Q1491" s="11" t="s">
        <v>821</v>
      </c>
      <c r="R1491" s="20" t="s">
        <v>5263</v>
      </c>
      <c r="S1491" s="39" t="s">
        <v>5264</v>
      </c>
      <c r="T1491" s="70" t="s">
        <v>3738</v>
      </c>
      <c r="U1491" s="50" t="s">
        <v>399</v>
      </c>
      <c r="V1491" s="118" t="str">
        <f>+Agencia[[#This Row],[idcoleccion]]&amp;"-"&amp;Agencia[[#This Row],[id]]</f>
        <v>990-1480</v>
      </c>
      <c r="W1491" s="118">
        <f>+VLOOKUP(Agencia[[#This Row],[Filtro URL]],Estructura!$X$4:$Y$500,2,0)</f>
        <v>99200007</v>
      </c>
      <c r="X1491" s="118" t="str">
        <f>+VLOOKUP(Agencia[[#This Row],[tema]],Estructura!$A$4:$C$500,3,0)</f>
        <v>T-1059</v>
      </c>
      <c r="Y1491" s="118" t="str">
        <f>+VLOOKUP(Agencia[[#This Row],[contenido]],Estructura!$E$4:$G$500,3,0)</f>
        <v>C-1017</v>
      </c>
      <c r="Z1491" s="118" t="str">
        <f>+VLOOKUP(Agencia[[#This Row],[Filtro Integrado]],Estructura!$I$4:$K$500,3,0)</f>
        <v>FI-993</v>
      </c>
      <c r="AA1491" s="118" t="str">
        <f>+VLOOKUP(Agencia[[#This Row],[Muestra]],Estructura!$M$4:$O$500,3,0)</f>
        <v>M-1114</v>
      </c>
    </row>
    <row r="1492" spans="1:27" ht="57.6" x14ac:dyDescent="0.3">
      <c r="A1492" s="21" t="s">
        <v>5962</v>
      </c>
      <c r="B1492" s="24">
        <v>990</v>
      </c>
      <c r="C1492" s="25" t="s">
        <v>401</v>
      </c>
      <c r="D1492" s="10" t="s">
        <v>574</v>
      </c>
      <c r="E1492" s="19">
        <v>8</v>
      </c>
      <c r="F1492" s="10" t="s">
        <v>4244</v>
      </c>
      <c r="G1492" s="10" t="s">
        <v>5300</v>
      </c>
      <c r="H1492" s="35" t="s">
        <v>16</v>
      </c>
      <c r="I1492" s="36" t="s">
        <v>375</v>
      </c>
      <c r="J1492" s="9" t="s">
        <v>404</v>
      </c>
      <c r="K1492" s="9" t="s">
        <v>4252</v>
      </c>
      <c r="L1492" s="9" t="s">
        <v>4246</v>
      </c>
      <c r="M1492" s="9" t="s">
        <v>4251</v>
      </c>
      <c r="N1492" s="9" t="s">
        <v>403</v>
      </c>
      <c r="O1492" s="20" t="s">
        <v>5265</v>
      </c>
      <c r="P1492" s="20"/>
      <c r="Q1492" s="11" t="s">
        <v>821</v>
      </c>
      <c r="R1492" s="20" t="s">
        <v>5266</v>
      </c>
      <c r="S1492" s="39" t="s">
        <v>5267</v>
      </c>
      <c r="T1492" s="70" t="s">
        <v>3743</v>
      </c>
      <c r="U1492" s="50" t="s">
        <v>399</v>
      </c>
      <c r="V1492" s="118" t="str">
        <f>+Agencia[[#This Row],[idcoleccion]]&amp;"-"&amp;Agencia[[#This Row],[id]]</f>
        <v>990-1481</v>
      </c>
      <c r="W1492" s="118">
        <f>+VLOOKUP(Agencia[[#This Row],[Filtro URL]],Estructura!$X$4:$Y$500,2,0)</f>
        <v>99200008</v>
      </c>
      <c r="X1492" s="118" t="str">
        <f>+VLOOKUP(Agencia[[#This Row],[tema]],Estructura!$A$4:$C$500,3,0)</f>
        <v>T-1059</v>
      </c>
      <c r="Y1492" s="118" t="str">
        <f>+VLOOKUP(Agencia[[#This Row],[contenido]],Estructura!$E$4:$G$500,3,0)</f>
        <v>C-1017</v>
      </c>
      <c r="Z1492" s="118" t="str">
        <f>+VLOOKUP(Agencia[[#This Row],[Filtro Integrado]],Estructura!$I$4:$K$500,3,0)</f>
        <v>FI-993</v>
      </c>
      <c r="AA1492" s="118" t="str">
        <f>+VLOOKUP(Agencia[[#This Row],[Muestra]],Estructura!$M$4:$O$500,3,0)</f>
        <v>M-1114</v>
      </c>
    </row>
    <row r="1493" spans="1:27" ht="57.6" x14ac:dyDescent="0.3">
      <c r="A1493" s="21" t="s">
        <v>5963</v>
      </c>
      <c r="B1493" s="24">
        <v>990</v>
      </c>
      <c r="C1493" s="25" t="s">
        <v>401</v>
      </c>
      <c r="D1493" s="10" t="s">
        <v>574</v>
      </c>
      <c r="E1493" s="19">
        <v>9</v>
      </c>
      <c r="F1493" s="10" t="s">
        <v>4244</v>
      </c>
      <c r="G1493" s="10" t="s">
        <v>5300</v>
      </c>
      <c r="H1493" s="35" t="s">
        <v>16</v>
      </c>
      <c r="I1493" s="36" t="s">
        <v>376</v>
      </c>
      <c r="J1493" s="9" t="s">
        <v>404</v>
      </c>
      <c r="K1493" s="9" t="s">
        <v>4252</v>
      </c>
      <c r="L1493" s="9" t="s">
        <v>4246</v>
      </c>
      <c r="M1493" s="9" t="s">
        <v>4251</v>
      </c>
      <c r="N1493" s="9" t="s">
        <v>403</v>
      </c>
      <c r="O1493" s="20" t="s">
        <v>5268</v>
      </c>
      <c r="P1493" s="20"/>
      <c r="Q1493" s="11" t="s">
        <v>821</v>
      </c>
      <c r="R1493" s="20" t="s">
        <v>5269</v>
      </c>
      <c r="S1493" s="39" t="s">
        <v>5270</v>
      </c>
      <c r="T1493" s="70" t="s">
        <v>3734</v>
      </c>
      <c r="U1493" s="50" t="s">
        <v>399</v>
      </c>
      <c r="V1493" s="118" t="str">
        <f>+Agencia[[#This Row],[idcoleccion]]&amp;"-"&amp;Agencia[[#This Row],[id]]</f>
        <v>990-1482</v>
      </c>
      <c r="W1493" s="118">
        <f>+VLOOKUP(Agencia[[#This Row],[Filtro URL]],Estructura!$X$4:$Y$500,2,0)</f>
        <v>99200009</v>
      </c>
      <c r="X1493" s="118" t="str">
        <f>+VLOOKUP(Agencia[[#This Row],[tema]],Estructura!$A$4:$C$500,3,0)</f>
        <v>T-1059</v>
      </c>
      <c r="Y1493" s="118" t="str">
        <f>+VLOOKUP(Agencia[[#This Row],[contenido]],Estructura!$E$4:$G$500,3,0)</f>
        <v>C-1017</v>
      </c>
      <c r="Z1493" s="118" t="str">
        <f>+VLOOKUP(Agencia[[#This Row],[Filtro Integrado]],Estructura!$I$4:$K$500,3,0)</f>
        <v>FI-993</v>
      </c>
      <c r="AA1493" s="118" t="str">
        <f>+VLOOKUP(Agencia[[#This Row],[Muestra]],Estructura!$M$4:$O$500,3,0)</f>
        <v>M-1114</v>
      </c>
    </row>
    <row r="1494" spans="1:27" ht="57.6" x14ac:dyDescent="0.3">
      <c r="A1494" s="21" t="s">
        <v>5964</v>
      </c>
      <c r="B1494" s="24">
        <v>990</v>
      </c>
      <c r="C1494" s="25" t="s">
        <v>401</v>
      </c>
      <c r="D1494" s="10" t="s">
        <v>574</v>
      </c>
      <c r="E1494" s="19">
        <v>10</v>
      </c>
      <c r="F1494" s="10" t="s">
        <v>4244</v>
      </c>
      <c r="G1494" s="10" t="s">
        <v>5300</v>
      </c>
      <c r="H1494" s="35" t="s">
        <v>16</v>
      </c>
      <c r="I1494" s="36" t="s">
        <v>377</v>
      </c>
      <c r="J1494" s="9" t="s">
        <v>404</v>
      </c>
      <c r="K1494" s="9" t="s">
        <v>4252</v>
      </c>
      <c r="L1494" s="9" t="s">
        <v>4246</v>
      </c>
      <c r="M1494" s="9" t="s">
        <v>4251</v>
      </c>
      <c r="N1494" s="9" t="s">
        <v>403</v>
      </c>
      <c r="O1494" s="20" t="s">
        <v>5271</v>
      </c>
      <c r="P1494" s="20"/>
      <c r="Q1494" s="11" t="s">
        <v>821</v>
      </c>
      <c r="R1494" s="20" t="s">
        <v>5272</v>
      </c>
      <c r="S1494" s="39" t="s">
        <v>5273</v>
      </c>
      <c r="T1494" s="70" t="s">
        <v>3735</v>
      </c>
      <c r="U1494" s="50" t="s">
        <v>399</v>
      </c>
      <c r="V1494" s="118" t="str">
        <f>+Agencia[[#This Row],[idcoleccion]]&amp;"-"&amp;Agencia[[#This Row],[id]]</f>
        <v>990-1483</v>
      </c>
      <c r="W1494" s="118">
        <f>+VLOOKUP(Agencia[[#This Row],[Filtro URL]],Estructura!$X$4:$Y$500,2,0)</f>
        <v>99200010</v>
      </c>
      <c r="X1494" s="118" t="str">
        <f>+VLOOKUP(Agencia[[#This Row],[tema]],Estructura!$A$4:$C$500,3,0)</f>
        <v>T-1059</v>
      </c>
      <c r="Y1494" s="118" t="str">
        <f>+VLOOKUP(Agencia[[#This Row],[contenido]],Estructura!$E$4:$G$500,3,0)</f>
        <v>C-1017</v>
      </c>
      <c r="Z1494" s="118" t="str">
        <f>+VLOOKUP(Agencia[[#This Row],[Filtro Integrado]],Estructura!$I$4:$K$500,3,0)</f>
        <v>FI-993</v>
      </c>
      <c r="AA1494" s="118" t="str">
        <f>+VLOOKUP(Agencia[[#This Row],[Muestra]],Estructura!$M$4:$O$500,3,0)</f>
        <v>M-1114</v>
      </c>
    </row>
    <row r="1495" spans="1:27" ht="57.6" x14ac:dyDescent="0.3">
      <c r="A1495" s="21" t="s">
        <v>5965</v>
      </c>
      <c r="B1495" s="24">
        <v>990</v>
      </c>
      <c r="C1495" s="25" t="s">
        <v>401</v>
      </c>
      <c r="D1495" s="10" t="s">
        <v>574</v>
      </c>
      <c r="E1495" s="19">
        <v>11</v>
      </c>
      <c r="F1495" s="10" t="s">
        <v>4244</v>
      </c>
      <c r="G1495" s="10" t="s">
        <v>5300</v>
      </c>
      <c r="H1495" s="35" t="s">
        <v>16</v>
      </c>
      <c r="I1495" s="36" t="s">
        <v>378</v>
      </c>
      <c r="J1495" s="9" t="s">
        <v>404</v>
      </c>
      <c r="K1495" s="9" t="s">
        <v>4252</v>
      </c>
      <c r="L1495" s="9" t="s">
        <v>4246</v>
      </c>
      <c r="M1495" s="9" t="s">
        <v>4251</v>
      </c>
      <c r="N1495" s="9" t="s">
        <v>403</v>
      </c>
      <c r="O1495" s="20" t="s">
        <v>5274</v>
      </c>
      <c r="P1495" s="20"/>
      <c r="Q1495" s="11" t="s">
        <v>821</v>
      </c>
      <c r="R1495" s="20" t="s">
        <v>5275</v>
      </c>
      <c r="S1495" s="39" t="s">
        <v>5276</v>
      </c>
      <c r="T1495" s="70" t="s">
        <v>3732</v>
      </c>
      <c r="U1495" s="50" t="s">
        <v>399</v>
      </c>
      <c r="V1495" s="118" t="str">
        <f>+Agencia[[#This Row],[idcoleccion]]&amp;"-"&amp;Agencia[[#This Row],[id]]</f>
        <v>990-1484</v>
      </c>
      <c r="W1495" s="118">
        <f>+VLOOKUP(Agencia[[#This Row],[Filtro URL]],Estructura!$X$4:$Y$500,2,0)</f>
        <v>99200011</v>
      </c>
      <c r="X1495" s="118" t="str">
        <f>+VLOOKUP(Agencia[[#This Row],[tema]],Estructura!$A$4:$C$500,3,0)</f>
        <v>T-1059</v>
      </c>
      <c r="Y1495" s="118" t="str">
        <f>+VLOOKUP(Agencia[[#This Row],[contenido]],Estructura!$E$4:$G$500,3,0)</f>
        <v>C-1017</v>
      </c>
      <c r="Z1495" s="118" t="str">
        <f>+VLOOKUP(Agencia[[#This Row],[Filtro Integrado]],Estructura!$I$4:$K$500,3,0)</f>
        <v>FI-993</v>
      </c>
      <c r="AA1495" s="118" t="str">
        <f>+VLOOKUP(Agencia[[#This Row],[Muestra]],Estructura!$M$4:$O$500,3,0)</f>
        <v>M-1114</v>
      </c>
    </row>
    <row r="1496" spans="1:27" ht="57.6" x14ac:dyDescent="0.3">
      <c r="A1496" s="21" t="s">
        <v>5966</v>
      </c>
      <c r="B1496" s="24">
        <v>990</v>
      </c>
      <c r="C1496" s="25" t="s">
        <v>401</v>
      </c>
      <c r="D1496" s="10" t="s">
        <v>574</v>
      </c>
      <c r="E1496" s="19">
        <v>12</v>
      </c>
      <c r="F1496" s="10" t="s">
        <v>4244</v>
      </c>
      <c r="G1496" s="10" t="s">
        <v>5300</v>
      </c>
      <c r="H1496" s="35" t="s">
        <v>16</v>
      </c>
      <c r="I1496" s="36" t="s">
        <v>379</v>
      </c>
      <c r="J1496" s="9" t="s">
        <v>404</v>
      </c>
      <c r="K1496" s="9" t="s">
        <v>4252</v>
      </c>
      <c r="L1496" s="9" t="s">
        <v>4246</v>
      </c>
      <c r="M1496" s="9" t="s">
        <v>4251</v>
      </c>
      <c r="N1496" s="9" t="s">
        <v>403</v>
      </c>
      <c r="O1496" s="20" t="s">
        <v>5277</v>
      </c>
      <c r="P1496" s="20"/>
      <c r="Q1496" s="11" t="s">
        <v>821</v>
      </c>
      <c r="R1496" s="20" t="s">
        <v>5278</v>
      </c>
      <c r="S1496" s="39" t="s">
        <v>5279</v>
      </c>
      <c r="T1496" s="70" t="s">
        <v>3737</v>
      </c>
      <c r="U1496" s="50" t="s">
        <v>399</v>
      </c>
      <c r="V1496" s="118" t="str">
        <f>+Agencia[[#This Row],[idcoleccion]]&amp;"-"&amp;Agencia[[#This Row],[id]]</f>
        <v>990-1485</v>
      </c>
      <c r="W1496" s="118">
        <f>+VLOOKUP(Agencia[[#This Row],[Filtro URL]],Estructura!$X$4:$Y$500,2,0)</f>
        <v>99200012</v>
      </c>
      <c r="X1496" s="118" t="str">
        <f>+VLOOKUP(Agencia[[#This Row],[tema]],Estructura!$A$4:$C$500,3,0)</f>
        <v>T-1059</v>
      </c>
      <c r="Y1496" s="118" t="str">
        <f>+VLOOKUP(Agencia[[#This Row],[contenido]],Estructura!$E$4:$G$500,3,0)</f>
        <v>C-1017</v>
      </c>
      <c r="Z1496" s="118" t="str">
        <f>+VLOOKUP(Agencia[[#This Row],[Filtro Integrado]],Estructura!$I$4:$K$500,3,0)</f>
        <v>FI-993</v>
      </c>
      <c r="AA1496" s="118" t="str">
        <f>+VLOOKUP(Agencia[[#This Row],[Muestra]],Estructura!$M$4:$O$500,3,0)</f>
        <v>M-1114</v>
      </c>
    </row>
    <row r="1497" spans="1:27" ht="57.6" x14ac:dyDescent="0.3">
      <c r="A1497" s="21" t="s">
        <v>5967</v>
      </c>
      <c r="B1497" s="24">
        <v>990</v>
      </c>
      <c r="C1497" s="25" t="s">
        <v>401</v>
      </c>
      <c r="D1497" s="10" t="s">
        <v>574</v>
      </c>
      <c r="E1497" s="19">
        <v>13</v>
      </c>
      <c r="F1497" s="10" t="s">
        <v>4244</v>
      </c>
      <c r="G1497" s="10" t="s">
        <v>5300</v>
      </c>
      <c r="H1497" s="35" t="s">
        <v>16</v>
      </c>
      <c r="I1497" s="36" t="s">
        <v>380</v>
      </c>
      <c r="J1497" s="9" t="s">
        <v>404</v>
      </c>
      <c r="K1497" s="9" t="s">
        <v>4252</v>
      </c>
      <c r="L1497" s="9" t="s">
        <v>4246</v>
      </c>
      <c r="M1497" s="9" t="s">
        <v>4251</v>
      </c>
      <c r="N1497" s="9" t="s">
        <v>403</v>
      </c>
      <c r="O1497" s="20" t="s">
        <v>5280</v>
      </c>
      <c r="P1497" s="20"/>
      <c r="Q1497" s="11" t="s">
        <v>821</v>
      </c>
      <c r="R1497" s="20" t="s">
        <v>5281</v>
      </c>
      <c r="S1497" s="39" t="s">
        <v>5282</v>
      </c>
      <c r="T1497" s="70" t="s">
        <v>3744</v>
      </c>
      <c r="U1497" s="50" t="s">
        <v>399</v>
      </c>
      <c r="V1497" s="118" t="str">
        <f>+Agencia[[#This Row],[idcoleccion]]&amp;"-"&amp;Agencia[[#This Row],[id]]</f>
        <v>990-1486</v>
      </c>
      <c r="W1497" s="118">
        <f>+VLOOKUP(Agencia[[#This Row],[Filtro URL]],Estructura!$X$4:$Y$500,2,0)</f>
        <v>99200013</v>
      </c>
      <c r="X1497" s="118" t="str">
        <f>+VLOOKUP(Agencia[[#This Row],[tema]],Estructura!$A$4:$C$500,3,0)</f>
        <v>T-1059</v>
      </c>
      <c r="Y1497" s="118" t="str">
        <f>+VLOOKUP(Agencia[[#This Row],[contenido]],Estructura!$E$4:$G$500,3,0)</f>
        <v>C-1017</v>
      </c>
      <c r="Z1497" s="118" t="str">
        <f>+VLOOKUP(Agencia[[#This Row],[Filtro Integrado]],Estructura!$I$4:$K$500,3,0)</f>
        <v>FI-993</v>
      </c>
      <c r="AA1497" s="118" t="str">
        <f>+VLOOKUP(Agencia[[#This Row],[Muestra]],Estructura!$M$4:$O$500,3,0)</f>
        <v>M-1114</v>
      </c>
    </row>
    <row r="1498" spans="1:27" ht="57.6" x14ac:dyDescent="0.3">
      <c r="A1498" s="21" t="s">
        <v>5968</v>
      </c>
      <c r="B1498" s="24">
        <v>990</v>
      </c>
      <c r="C1498" s="25" t="s">
        <v>401</v>
      </c>
      <c r="D1498" s="10" t="s">
        <v>574</v>
      </c>
      <c r="E1498" s="19">
        <v>14</v>
      </c>
      <c r="F1498" s="10" t="s">
        <v>4244</v>
      </c>
      <c r="G1498" s="10" t="s">
        <v>5300</v>
      </c>
      <c r="H1498" s="35" t="s">
        <v>16</v>
      </c>
      <c r="I1498" s="36" t="s">
        <v>381</v>
      </c>
      <c r="J1498" s="9" t="s">
        <v>404</v>
      </c>
      <c r="K1498" s="9" t="s">
        <v>4252</v>
      </c>
      <c r="L1498" s="9" t="s">
        <v>4246</v>
      </c>
      <c r="M1498" s="9" t="s">
        <v>4251</v>
      </c>
      <c r="N1498" s="9" t="s">
        <v>403</v>
      </c>
      <c r="O1498" s="20" t="s">
        <v>5283</v>
      </c>
      <c r="P1498" s="20"/>
      <c r="Q1498" s="11" t="s">
        <v>821</v>
      </c>
      <c r="R1498" s="20" t="s">
        <v>5284</v>
      </c>
      <c r="S1498" s="39" t="s">
        <v>5285</v>
      </c>
      <c r="T1498" s="70" t="s">
        <v>3736</v>
      </c>
      <c r="U1498" s="50" t="s">
        <v>399</v>
      </c>
      <c r="V1498" s="118" t="str">
        <f>+Agencia[[#This Row],[idcoleccion]]&amp;"-"&amp;Agencia[[#This Row],[id]]</f>
        <v>990-1487</v>
      </c>
      <c r="W1498" s="118">
        <f>+VLOOKUP(Agencia[[#This Row],[Filtro URL]],Estructura!$X$4:$Y$500,2,0)</f>
        <v>99200014</v>
      </c>
      <c r="X1498" s="118" t="str">
        <f>+VLOOKUP(Agencia[[#This Row],[tema]],Estructura!$A$4:$C$500,3,0)</f>
        <v>T-1059</v>
      </c>
      <c r="Y1498" s="118" t="str">
        <f>+VLOOKUP(Agencia[[#This Row],[contenido]],Estructura!$E$4:$G$500,3,0)</f>
        <v>C-1017</v>
      </c>
      <c r="Z1498" s="118" t="str">
        <f>+VLOOKUP(Agencia[[#This Row],[Filtro Integrado]],Estructura!$I$4:$K$500,3,0)</f>
        <v>FI-993</v>
      </c>
      <c r="AA1498" s="118" t="str">
        <f>+VLOOKUP(Agencia[[#This Row],[Muestra]],Estructura!$M$4:$O$500,3,0)</f>
        <v>M-1114</v>
      </c>
    </row>
    <row r="1499" spans="1:27" ht="57.6" x14ac:dyDescent="0.3">
      <c r="A1499" s="21" t="s">
        <v>5969</v>
      </c>
      <c r="B1499" s="24">
        <v>990</v>
      </c>
      <c r="C1499" s="25" t="s">
        <v>401</v>
      </c>
      <c r="D1499" s="10" t="s">
        <v>574</v>
      </c>
      <c r="E1499" s="19">
        <v>15</v>
      </c>
      <c r="F1499" s="10" t="s">
        <v>4244</v>
      </c>
      <c r="G1499" s="10" t="s">
        <v>5300</v>
      </c>
      <c r="H1499" s="35" t="s">
        <v>16</v>
      </c>
      <c r="I1499" s="36" t="s">
        <v>382</v>
      </c>
      <c r="J1499" s="9" t="s">
        <v>404</v>
      </c>
      <c r="K1499" s="9" t="s">
        <v>4252</v>
      </c>
      <c r="L1499" s="9" t="s">
        <v>4246</v>
      </c>
      <c r="M1499" s="9" t="s">
        <v>4251</v>
      </c>
      <c r="N1499" s="9" t="s">
        <v>403</v>
      </c>
      <c r="O1499" s="20" t="s">
        <v>5286</v>
      </c>
      <c r="P1499" s="20"/>
      <c r="Q1499" s="11" t="s">
        <v>821</v>
      </c>
      <c r="R1499" s="20" t="s">
        <v>5287</v>
      </c>
      <c r="S1499" s="39" t="s">
        <v>5288</v>
      </c>
      <c r="T1499" s="70" t="s">
        <v>3730</v>
      </c>
      <c r="U1499" s="50" t="s">
        <v>7431</v>
      </c>
      <c r="V1499" s="118" t="str">
        <f>+Agencia[[#This Row],[idcoleccion]]&amp;"-"&amp;Agencia[[#This Row],[id]]</f>
        <v>990-1488</v>
      </c>
      <c r="W1499" s="118">
        <f>+VLOOKUP(Agencia[[#This Row],[Filtro URL]],Estructura!$X$4:$Y$500,2,0)</f>
        <v>99200015</v>
      </c>
      <c r="X1499" s="118" t="str">
        <f>+VLOOKUP(Agencia[[#This Row],[tema]],Estructura!$A$4:$C$500,3,0)</f>
        <v>T-1059</v>
      </c>
      <c r="Y1499" s="118" t="str">
        <f>+VLOOKUP(Agencia[[#This Row],[contenido]],Estructura!$E$4:$G$500,3,0)</f>
        <v>C-1017</v>
      </c>
      <c r="Z1499" s="118" t="str">
        <f>+VLOOKUP(Agencia[[#This Row],[Filtro Integrado]],Estructura!$I$4:$K$500,3,0)</f>
        <v>FI-993</v>
      </c>
      <c r="AA1499" s="118" t="str">
        <f>+VLOOKUP(Agencia[[#This Row],[Muestra]],Estructura!$M$4:$O$500,3,0)</f>
        <v>M-1114</v>
      </c>
    </row>
    <row r="1500" spans="1:27" ht="57.6" x14ac:dyDescent="0.3">
      <c r="A1500" s="21" t="s">
        <v>5970</v>
      </c>
      <c r="B1500" s="24">
        <v>990</v>
      </c>
      <c r="C1500" s="25" t="s">
        <v>401</v>
      </c>
      <c r="D1500" s="25" t="s">
        <v>574</v>
      </c>
      <c r="E1500" s="46">
        <v>16</v>
      </c>
      <c r="F1500" s="10" t="s">
        <v>4244</v>
      </c>
      <c r="G1500" s="10" t="s">
        <v>5300</v>
      </c>
      <c r="H1500" s="35" t="s">
        <v>16</v>
      </c>
      <c r="I1500" s="58" t="s">
        <v>383</v>
      </c>
      <c r="J1500" s="24" t="s">
        <v>404</v>
      </c>
      <c r="K1500" s="24" t="s">
        <v>4252</v>
      </c>
      <c r="L1500" s="24" t="s">
        <v>4246</v>
      </c>
      <c r="M1500" s="9" t="s">
        <v>4251</v>
      </c>
      <c r="N1500" s="9" t="s">
        <v>403</v>
      </c>
      <c r="O1500" s="20" t="s">
        <v>5289</v>
      </c>
      <c r="P1500" s="27"/>
      <c r="Q1500" s="28" t="s">
        <v>821</v>
      </c>
      <c r="R1500" s="20" t="s">
        <v>5290</v>
      </c>
      <c r="S1500" s="39" t="s">
        <v>5291</v>
      </c>
      <c r="T1500" s="71" t="s">
        <v>3739</v>
      </c>
      <c r="U1500" s="50" t="s">
        <v>7432</v>
      </c>
      <c r="V1500" s="118" t="str">
        <f>+Agencia[[#This Row],[idcoleccion]]&amp;"-"&amp;Agencia[[#This Row],[id]]</f>
        <v>990-1489</v>
      </c>
      <c r="W1500" s="118">
        <f>+VLOOKUP(Agencia[[#This Row],[Filtro URL]],Estructura!$X$4:$Y$500,2,0)</f>
        <v>99200016</v>
      </c>
      <c r="X1500" s="118" t="str">
        <f>+VLOOKUP(Agencia[[#This Row],[tema]],Estructura!$A$4:$C$500,3,0)</f>
        <v>T-1059</v>
      </c>
      <c r="Y1500" s="118" t="str">
        <f>+VLOOKUP(Agencia[[#This Row],[contenido]],Estructura!$E$4:$G$500,3,0)</f>
        <v>C-1017</v>
      </c>
      <c r="Z1500" s="118" t="str">
        <f>+VLOOKUP(Agencia[[#This Row],[Filtro Integrado]],Estructura!$I$4:$K$500,3,0)</f>
        <v>FI-993</v>
      </c>
      <c r="AA1500" s="118" t="str">
        <f>+VLOOKUP(Agencia[[#This Row],[Muestra]],Estructura!$M$4:$O$500,3,0)</f>
        <v>M-1114</v>
      </c>
    </row>
    <row r="1501" spans="1:27" ht="71.400000000000006" x14ac:dyDescent="0.3">
      <c r="A1501" s="21" t="s">
        <v>5971</v>
      </c>
      <c r="B1501" s="24">
        <v>990</v>
      </c>
      <c r="C1501" s="25" t="s">
        <v>401</v>
      </c>
      <c r="D1501" s="25" t="s">
        <v>5302</v>
      </c>
      <c r="E1501" s="14">
        <v>0</v>
      </c>
      <c r="F1501" s="25" t="s">
        <v>5303</v>
      </c>
      <c r="G1501" s="25" t="s">
        <v>5304</v>
      </c>
      <c r="H1501" s="33" t="s">
        <v>20</v>
      </c>
      <c r="I1501" s="34" t="s">
        <v>15</v>
      </c>
      <c r="J1501" s="24" t="s">
        <v>3974</v>
      </c>
      <c r="K1501" s="24" t="s">
        <v>5305</v>
      </c>
      <c r="L1501" s="24" t="s">
        <v>5306</v>
      </c>
      <c r="M1501" s="24" t="s">
        <v>6254</v>
      </c>
      <c r="N1501" s="24" t="s">
        <v>5307</v>
      </c>
      <c r="O1501" s="27" t="str">
        <f>"Top 10 de comunas en Chile con mayor cantidad de suscripciones a internet fija, "&amp;Agencia[[#This Row],[temporalidad]]</f>
        <v>Top 10 de comunas en Chile con mayor cantidad de suscripciones a internet fija, Periodo 2007-2019</v>
      </c>
      <c r="P1501" s="27" t="s">
        <v>5308</v>
      </c>
      <c r="Q1501" s="28" t="s">
        <v>510</v>
      </c>
      <c r="R1501" s="27" t="s">
        <v>5309</v>
      </c>
      <c r="S1501" s="37" t="s">
        <v>5310</v>
      </c>
      <c r="T1501" s="71" t="s">
        <v>1033</v>
      </c>
      <c r="U1501" s="50" t="s">
        <v>7433</v>
      </c>
      <c r="V1501" s="118" t="str">
        <f>+Agencia[[#This Row],[idcoleccion]]&amp;"-"&amp;Agencia[[#This Row],[id]]</f>
        <v>990-1490</v>
      </c>
      <c r="W1501" s="118">
        <f>+VLOOKUP(Agencia[[#This Row],[Filtro URL]],Estructura!$X$4:$Y$500,2,0)</f>
        <v>99100000</v>
      </c>
      <c r="X1501" s="118" t="str">
        <f>+VLOOKUP(Agencia[[#This Row],[tema]],Estructura!$A$4:$C$500,3,0)</f>
        <v>T-1064</v>
      </c>
      <c r="Y1501" s="118" t="str">
        <f>+VLOOKUP(Agencia[[#This Row],[contenido]],Estructura!$E$4:$G$500,3,0)</f>
        <v>C-1021</v>
      </c>
      <c r="Z1501" s="118" t="str">
        <f>+VLOOKUP(Agencia[[#This Row],[Filtro Integrado]],Estructura!$I$4:$K$500,3,0)</f>
        <v>FI-1005</v>
      </c>
      <c r="AA1501" s="118" t="str">
        <f>+VLOOKUP(Agencia[[#This Row],[Muestra]],Estructura!$M$4:$O$500,3,0)</f>
        <v>M-1115</v>
      </c>
    </row>
    <row r="1502" spans="1:27" ht="72" x14ac:dyDescent="0.3">
      <c r="A1502" s="21" t="s">
        <v>5972</v>
      </c>
      <c r="B1502" s="24">
        <v>990</v>
      </c>
      <c r="C1502" s="25" t="s">
        <v>401</v>
      </c>
      <c r="D1502" s="25" t="s">
        <v>5302</v>
      </c>
      <c r="E1502" s="14">
        <v>0</v>
      </c>
      <c r="F1502" s="25" t="s">
        <v>5303</v>
      </c>
      <c r="G1502" s="25" t="s">
        <v>5304</v>
      </c>
      <c r="H1502" s="33" t="s">
        <v>20</v>
      </c>
      <c r="I1502" s="34" t="s">
        <v>15</v>
      </c>
      <c r="J1502" s="9" t="s">
        <v>16</v>
      </c>
      <c r="K1502" s="24" t="s">
        <v>5305</v>
      </c>
      <c r="L1502" s="9" t="s">
        <v>886</v>
      </c>
      <c r="M1502" s="24" t="s">
        <v>6254</v>
      </c>
      <c r="N1502" s="24" t="s">
        <v>5307</v>
      </c>
      <c r="O1502" s="20" t="str">
        <f>"Mapa de cantidad de conexiones a internet fija en "&amp;Agencia[[#This Row],[territorio]]&amp;", "&amp;Agencia[[#This Row],[temporalidad]]</f>
        <v>Mapa de cantidad de conexiones a internet fija en Chile, Año 2019</v>
      </c>
      <c r="P1502" s="9" t="s">
        <v>5312</v>
      </c>
      <c r="Q1502" s="11" t="s">
        <v>831</v>
      </c>
      <c r="R1502" s="20" t="str">
        <f>Agencia[[#This Row],[territorio]]&amp;" conexión internet fija comuna región conexiones suscripciones país"</f>
        <v>Chile conexión internet fija comuna región conexiones suscripciones país</v>
      </c>
      <c r="S1502" s="39" t="s">
        <v>5313</v>
      </c>
      <c r="T1502" s="70" t="s">
        <v>855</v>
      </c>
      <c r="U1502" s="50" t="s">
        <v>7434</v>
      </c>
      <c r="V1502" s="118" t="str">
        <f>+Agencia[[#This Row],[idcoleccion]]&amp;"-"&amp;Agencia[[#This Row],[id]]</f>
        <v>990-1491</v>
      </c>
      <c r="W1502" s="118">
        <f>+VLOOKUP(Agencia[[#This Row],[Filtro URL]],Estructura!$X$4:$Y$500,2,0)</f>
        <v>99100000</v>
      </c>
      <c r="X1502" s="118" t="str">
        <f>+VLOOKUP(Agencia[[#This Row],[tema]],Estructura!$A$4:$C$500,3,0)</f>
        <v>T-1064</v>
      </c>
      <c r="Y1502" s="118" t="str">
        <f>+VLOOKUP(Agencia[[#This Row],[contenido]],Estructura!$E$4:$G$500,3,0)</f>
        <v>C-1021</v>
      </c>
      <c r="Z1502" s="118" t="str">
        <f>+VLOOKUP(Agencia[[#This Row],[Filtro Integrado]],Estructura!$I$4:$K$500,3,0)</f>
        <v>FI-992</v>
      </c>
      <c r="AA1502" s="118" t="str">
        <f>+VLOOKUP(Agencia[[#This Row],[Muestra]],Estructura!$M$4:$O$500,3,0)</f>
        <v>M-1115</v>
      </c>
    </row>
    <row r="1503" spans="1:27" ht="57.6" x14ac:dyDescent="0.3">
      <c r="A1503" s="21" t="s">
        <v>5973</v>
      </c>
      <c r="B1503" s="24">
        <v>990</v>
      </c>
      <c r="C1503" s="25" t="s">
        <v>401</v>
      </c>
      <c r="D1503" s="25" t="s">
        <v>5302</v>
      </c>
      <c r="E1503" s="19">
        <v>1</v>
      </c>
      <c r="F1503" s="25" t="s">
        <v>5303</v>
      </c>
      <c r="G1503" s="25" t="s">
        <v>5304</v>
      </c>
      <c r="H1503" s="35" t="s">
        <v>16</v>
      </c>
      <c r="I1503" s="36" t="s">
        <v>368</v>
      </c>
      <c r="J1503" s="9" t="s">
        <v>404</v>
      </c>
      <c r="K1503" s="24" t="s">
        <v>5305</v>
      </c>
      <c r="L1503" s="9" t="s">
        <v>886</v>
      </c>
      <c r="M1503" s="24" t="s">
        <v>6254</v>
      </c>
      <c r="N1503" s="24" t="s">
        <v>5307</v>
      </c>
      <c r="O1503" s="20" t="str">
        <f>"Mapa de cantidad de conexiones a internet fija en la "&amp;Agencia[[#This Row],[territorio]]&amp;", "&amp;Agencia[[#This Row],[temporalidad]]</f>
        <v>Mapa de cantidad de conexiones a internet fija en la Región de Tarapacá, Año 2019</v>
      </c>
      <c r="P1503" s="20"/>
      <c r="Q1503" s="11" t="s">
        <v>831</v>
      </c>
      <c r="R1503" s="20" t="str">
        <f>Agencia[[#This Row],[territorio]]&amp;" conexión internet fija comuna región conexiones suscripciones "</f>
        <v xml:space="preserve">Región de Tarapacá conexión internet fija comuna región conexiones suscripciones </v>
      </c>
      <c r="S1503" s="39" t="s">
        <v>5314</v>
      </c>
      <c r="T1503" s="70" t="s">
        <v>3741</v>
      </c>
      <c r="U1503" s="50" t="s">
        <v>7435</v>
      </c>
      <c r="V1503" s="118" t="str">
        <f>+Agencia[[#This Row],[idcoleccion]]&amp;"-"&amp;Agencia[[#This Row],[id]]</f>
        <v>990-1492</v>
      </c>
      <c r="W1503" s="118">
        <f>+VLOOKUP(Agencia[[#This Row],[Filtro URL]],Estructura!$X$4:$Y$500,2,0)</f>
        <v>99200001</v>
      </c>
      <c r="X1503" s="118" t="str">
        <f>+VLOOKUP(Agencia[[#This Row],[tema]],Estructura!$A$4:$C$500,3,0)</f>
        <v>T-1064</v>
      </c>
      <c r="Y1503" s="118" t="str">
        <f>+VLOOKUP(Agencia[[#This Row],[contenido]],Estructura!$E$4:$G$500,3,0)</f>
        <v>C-1021</v>
      </c>
      <c r="Z1503" s="118" t="str">
        <f>+VLOOKUP(Agencia[[#This Row],[Filtro Integrado]],Estructura!$I$4:$K$500,3,0)</f>
        <v>FI-993</v>
      </c>
      <c r="AA1503" s="118" t="str">
        <f>+VLOOKUP(Agencia[[#This Row],[Muestra]],Estructura!$M$4:$O$500,3,0)</f>
        <v>M-1115</v>
      </c>
    </row>
    <row r="1504" spans="1:27" ht="57.6" x14ac:dyDescent="0.3">
      <c r="A1504" s="21" t="s">
        <v>5974</v>
      </c>
      <c r="B1504" s="24">
        <v>990</v>
      </c>
      <c r="C1504" s="25" t="s">
        <v>401</v>
      </c>
      <c r="D1504" s="25" t="s">
        <v>5302</v>
      </c>
      <c r="E1504" s="19">
        <v>2</v>
      </c>
      <c r="F1504" s="25" t="s">
        <v>5303</v>
      </c>
      <c r="G1504" s="25" t="s">
        <v>5304</v>
      </c>
      <c r="H1504" s="35" t="s">
        <v>16</v>
      </c>
      <c r="I1504" s="36" t="s">
        <v>369</v>
      </c>
      <c r="J1504" s="9" t="s">
        <v>404</v>
      </c>
      <c r="K1504" s="24" t="s">
        <v>5305</v>
      </c>
      <c r="L1504" s="9" t="s">
        <v>886</v>
      </c>
      <c r="M1504" s="24" t="s">
        <v>6254</v>
      </c>
      <c r="N1504" s="24" t="s">
        <v>5307</v>
      </c>
      <c r="O1504" s="20" t="str">
        <f>"Mapa de cantidad de conexiones a internet fija en la "&amp;Agencia[[#This Row],[territorio]]&amp;", "&amp;Agencia[[#This Row],[temporalidad]]</f>
        <v>Mapa de cantidad de conexiones a internet fija en la Región de Antofagasta, Año 2019</v>
      </c>
      <c r="P1504" s="20"/>
      <c r="Q1504" s="11" t="s">
        <v>831</v>
      </c>
      <c r="R1504" s="20" t="str">
        <f>Agencia[[#This Row],[territorio]]&amp;" conexión internet fija comuna región conexiones suscripciones "</f>
        <v xml:space="preserve">Región de Antofagasta conexión internet fija comuna región conexiones suscripciones </v>
      </c>
      <c r="S1504" s="39" t="s">
        <v>5315</v>
      </c>
      <c r="T1504" s="70" t="s">
        <v>3729</v>
      </c>
      <c r="U1504" s="50" t="s">
        <v>7436</v>
      </c>
      <c r="V1504" s="118" t="str">
        <f>+Agencia[[#This Row],[idcoleccion]]&amp;"-"&amp;Agencia[[#This Row],[id]]</f>
        <v>990-1493</v>
      </c>
      <c r="W1504" s="118">
        <f>+VLOOKUP(Agencia[[#This Row],[Filtro URL]],Estructura!$X$4:$Y$500,2,0)</f>
        <v>99200002</v>
      </c>
      <c r="X1504" s="118" t="str">
        <f>+VLOOKUP(Agencia[[#This Row],[tema]],Estructura!$A$4:$C$500,3,0)</f>
        <v>T-1064</v>
      </c>
      <c r="Y1504" s="118" t="str">
        <f>+VLOOKUP(Agencia[[#This Row],[contenido]],Estructura!$E$4:$G$500,3,0)</f>
        <v>C-1021</v>
      </c>
      <c r="Z1504" s="118" t="str">
        <f>+VLOOKUP(Agencia[[#This Row],[Filtro Integrado]],Estructura!$I$4:$K$500,3,0)</f>
        <v>FI-993</v>
      </c>
      <c r="AA1504" s="118" t="str">
        <f>+VLOOKUP(Agencia[[#This Row],[Muestra]],Estructura!$M$4:$O$500,3,0)</f>
        <v>M-1115</v>
      </c>
    </row>
    <row r="1505" spans="1:27" ht="57.6" x14ac:dyDescent="0.3">
      <c r="A1505" s="21" t="s">
        <v>5975</v>
      </c>
      <c r="B1505" s="24">
        <v>990</v>
      </c>
      <c r="C1505" s="25" t="s">
        <v>401</v>
      </c>
      <c r="D1505" s="25" t="s">
        <v>5302</v>
      </c>
      <c r="E1505" s="19">
        <v>3</v>
      </c>
      <c r="F1505" s="25" t="s">
        <v>5303</v>
      </c>
      <c r="G1505" s="25" t="s">
        <v>5304</v>
      </c>
      <c r="H1505" s="35" t="s">
        <v>16</v>
      </c>
      <c r="I1505" s="36" t="s">
        <v>370</v>
      </c>
      <c r="J1505" s="9" t="s">
        <v>404</v>
      </c>
      <c r="K1505" s="24" t="s">
        <v>5305</v>
      </c>
      <c r="L1505" s="9" t="s">
        <v>886</v>
      </c>
      <c r="M1505" s="24" t="s">
        <v>6254</v>
      </c>
      <c r="N1505" s="24" t="s">
        <v>5307</v>
      </c>
      <c r="O1505" s="20" t="str">
        <f>"Mapa de cantidad de conexiones a internet fija en la "&amp;Agencia[[#This Row],[territorio]]&amp;", "&amp;Agencia[[#This Row],[temporalidad]]</f>
        <v>Mapa de cantidad de conexiones a internet fija en la Región de Atacama, Año 2019</v>
      </c>
      <c r="P1505" s="20"/>
      <c r="Q1505" s="11" t="s">
        <v>831</v>
      </c>
      <c r="R1505" s="20" t="str">
        <f>Agencia[[#This Row],[territorio]]&amp;" conexión internet fija comuna región conexiones suscripciones "</f>
        <v xml:space="preserve">Región de Atacama conexión internet fija comuna región conexiones suscripciones </v>
      </c>
      <c r="S1505" s="39" t="s">
        <v>5316</v>
      </c>
      <c r="T1505" s="70" t="s">
        <v>3731</v>
      </c>
      <c r="U1505" s="50" t="s">
        <v>7437</v>
      </c>
      <c r="V1505" s="118" t="str">
        <f>+Agencia[[#This Row],[idcoleccion]]&amp;"-"&amp;Agencia[[#This Row],[id]]</f>
        <v>990-1494</v>
      </c>
      <c r="W1505" s="118">
        <f>+VLOOKUP(Agencia[[#This Row],[Filtro URL]],Estructura!$X$4:$Y$500,2,0)</f>
        <v>99200003</v>
      </c>
      <c r="X1505" s="118" t="str">
        <f>+VLOOKUP(Agencia[[#This Row],[tema]],Estructura!$A$4:$C$500,3,0)</f>
        <v>T-1064</v>
      </c>
      <c r="Y1505" s="118" t="str">
        <f>+VLOOKUP(Agencia[[#This Row],[contenido]],Estructura!$E$4:$G$500,3,0)</f>
        <v>C-1021</v>
      </c>
      <c r="Z1505" s="118" t="str">
        <f>+VLOOKUP(Agencia[[#This Row],[Filtro Integrado]],Estructura!$I$4:$K$500,3,0)</f>
        <v>FI-993</v>
      </c>
      <c r="AA1505" s="118" t="str">
        <f>+VLOOKUP(Agencia[[#This Row],[Muestra]],Estructura!$M$4:$O$500,3,0)</f>
        <v>M-1115</v>
      </c>
    </row>
    <row r="1506" spans="1:27" ht="48" x14ac:dyDescent="0.3">
      <c r="A1506" s="21" t="s">
        <v>5976</v>
      </c>
      <c r="B1506" s="24">
        <v>990</v>
      </c>
      <c r="C1506" s="25" t="s">
        <v>401</v>
      </c>
      <c r="D1506" s="25" t="s">
        <v>5302</v>
      </c>
      <c r="E1506" s="19">
        <v>4</v>
      </c>
      <c r="F1506" s="25" t="s">
        <v>5303</v>
      </c>
      <c r="G1506" s="25" t="s">
        <v>5304</v>
      </c>
      <c r="H1506" s="35" t="s">
        <v>16</v>
      </c>
      <c r="I1506" s="36" t="s">
        <v>371</v>
      </c>
      <c r="J1506" s="9" t="s">
        <v>404</v>
      </c>
      <c r="K1506" s="24" t="s">
        <v>5305</v>
      </c>
      <c r="L1506" s="9" t="s">
        <v>886</v>
      </c>
      <c r="M1506" s="24" t="s">
        <v>6254</v>
      </c>
      <c r="N1506" s="24" t="s">
        <v>5307</v>
      </c>
      <c r="O1506" s="20" t="str">
        <f>"Mapa de cantidad de conexiones a internet fija en la "&amp;Agencia[[#This Row],[territorio]]&amp;", "&amp;Agencia[[#This Row],[temporalidad]]</f>
        <v>Mapa de cantidad de conexiones a internet fija en la Región de Coquimbo, Año 2019</v>
      </c>
      <c r="P1506" s="20"/>
      <c r="Q1506" s="11" t="s">
        <v>831</v>
      </c>
      <c r="R1506" s="20" t="str">
        <f>Agencia[[#This Row],[territorio]]&amp;" conexión internet fija comuna región conexiones suscripciones "</f>
        <v xml:space="preserve">Región de Coquimbo conexión internet fija comuna región conexiones suscripciones </v>
      </c>
      <c r="S1506" s="57" t="s">
        <v>5317</v>
      </c>
      <c r="T1506" s="70" t="s">
        <v>3733</v>
      </c>
      <c r="U1506" s="50" t="s">
        <v>7438</v>
      </c>
      <c r="V1506" s="118" t="str">
        <f>+Agencia[[#This Row],[idcoleccion]]&amp;"-"&amp;Agencia[[#This Row],[id]]</f>
        <v>990-1495</v>
      </c>
      <c r="W1506" s="118">
        <f>+VLOOKUP(Agencia[[#This Row],[Filtro URL]],Estructura!$X$4:$Y$500,2,0)</f>
        <v>99200004</v>
      </c>
      <c r="X1506" s="118" t="str">
        <f>+VLOOKUP(Agencia[[#This Row],[tema]],Estructura!$A$4:$C$500,3,0)</f>
        <v>T-1064</v>
      </c>
      <c r="Y1506" s="118" t="str">
        <f>+VLOOKUP(Agencia[[#This Row],[contenido]],Estructura!$E$4:$G$500,3,0)</f>
        <v>C-1021</v>
      </c>
      <c r="Z1506" s="118" t="str">
        <f>+VLOOKUP(Agencia[[#This Row],[Filtro Integrado]],Estructura!$I$4:$K$500,3,0)</f>
        <v>FI-993</v>
      </c>
      <c r="AA1506" s="118" t="str">
        <f>+VLOOKUP(Agencia[[#This Row],[Muestra]],Estructura!$M$4:$O$500,3,0)</f>
        <v>M-1115</v>
      </c>
    </row>
    <row r="1507" spans="1:27" ht="57.6" x14ac:dyDescent="0.3">
      <c r="A1507" s="21" t="s">
        <v>5977</v>
      </c>
      <c r="B1507" s="24">
        <v>990</v>
      </c>
      <c r="C1507" s="25" t="s">
        <v>401</v>
      </c>
      <c r="D1507" s="25" t="s">
        <v>5302</v>
      </c>
      <c r="E1507" s="19">
        <v>5</v>
      </c>
      <c r="F1507" s="25" t="s">
        <v>5303</v>
      </c>
      <c r="G1507" s="25" t="s">
        <v>5304</v>
      </c>
      <c r="H1507" s="35" t="s">
        <v>16</v>
      </c>
      <c r="I1507" s="36" t="s">
        <v>372</v>
      </c>
      <c r="J1507" s="9" t="s">
        <v>404</v>
      </c>
      <c r="K1507" s="24" t="s">
        <v>5305</v>
      </c>
      <c r="L1507" s="9" t="s">
        <v>886</v>
      </c>
      <c r="M1507" s="24" t="s">
        <v>6254</v>
      </c>
      <c r="N1507" s="24" t="s">
        <v>5307</v>
      </c>
      <c r="O1507" s="20" t="str">
        <f>"Mapa de cantidad de conexiones a internet fija en la "&amp;Agencia[[#This Row],[territorio]]&amp;", "&amp;Agencia[[#This Row],[temporalidad]]</f>
        <v>Mapa de cantidad de conexiones a internet fija en la Región de Valparaíso, Año 2019</v>
      </c>
      <c r="P1507" s="20"/>
      <c r="Q1507" s="11" t="s">
        <v>831</v>
      </c>
      <c r="R1507" s="20" t="str">
        <f>Agencia[[#This Row],[territorio]]&amp;" conexión internet fija comuna región conexiones suscripciones "</f>
        <v xml:space="preserve">Región de Valparaíso conexión internet fija comuna región conexiones suscripciones </v>
      </c>
      <c r="S1507" s="39" t="s">
        <v>5318</v>
      </c>
      <c r="T1507" s="70" t="s">
        <v>3742</v>
      </c>
      <c r="U1507" s="50" t="s">
        <v>7439</v>
      </c>
      <c r="V1507" s="118" t="str">
        <f>+Agencia[[#This Row],[idcoleccion]]&amp;"-"&amp;Agencia[[#This Row],[id]]</f>
        <v>990-1496</v>
      </c>
      <c r="W1507" s="118">
        <f>+VLOOKUP(Agencia[[#This Row],[Filtro URL]],Estructura!$X$4:$Y$500,2,0)</f>
        <v>99200005</v>
      </c>
      <c r="X1507" s="118" t="str">
        <f>+VLOOKUP(Agencia[[#This Row],[tema]],Estructura!$A$4:$C$500,3,0)</f>
        <v>T-1064</v>
      </c>
      <c r="Y1507" s="118" t="str">
        <f>+VLOOKUP(Agencia[[#This Row],[contenido]],Estructura!$E$4:$G$500,3,0)</f>
        <v>C-1021</v>
      </c>
      <c r="Z1507" s="118" t="str">
        <f>+VLOOKUP(Agencia[[#This Row],[Filtro Integrado]],Estructura!$I$4:$K$500,3,0)</f>
        <v>FI-993</v>
      </c>
      <c r="AA1507" s="118" t="str">
        <f>+VLOOKUP(Agencia[[#This Row],[Muestra]],Estructura!$M$4:$O$500,3,0)</f>
        <v>M-1115</v>
      </c>
    </row>
    <row r="1508" spans="1:27" ht="57.6" x14ac:dyDescent="0.3">
      <c r="A1508" s="21" t="s">
        <v>5978</v>
      </c>
      <c r="B1508" s="24">
        <v>990</v>
      </c>
      <c r="C1508" s="25" t="s">
        <v>401</v>
      </c>
      <c r="D1508" s="25" t="s">
        <v>5302</v>
      </c>
      <c r="E1508" s="19">
        <v>6</v>
      </c>
      <c r="F1508" s="25" t="s">
        <v>5303</v>
      </c>
      <c r="G1508" s="25" t="s">
        <v>5304</v>
      </c>
      <c r="H1508" s="35" t="s">
        <v>16</v>
      </c>
      <c r="I1508" s="36" t="s">
        <v>373</v>
      </c>
      <c r="J1508" s="9" t="s">
        <v>404</v>
      </c>
      <c r="K1508" s="24" t="s">
        <v>5305</v>
      </c>
      <c r="L1508" s="9" t="s">
        <v>886</v>
      </c>
      <c r="M1508" s="24" t="s">
        <v>6254</v>
      </c>
      <c r="N1508" s="24" t="s">
        <v>5307</v>
      </c>
      <c r="O1508" s="20" t="str">
        <f>"Mapa de cantidad de conexiones a internet fija en la "&amp;Agencia[[#This Row],[territorio]]&amp;", "&amp;Agencia[[#This Row],[temporalidad]]</f>
        <v>Mapa de cantidad de conexiones a internet fija en la Región de O'Higgins, Año 2019</v>
      </c>
      <c r="P1508" s="20"/>
      <c r="Q1508" s="11" t="s">
        <v>831</v>
      </c>
      <c r="R1508" s="20" t="str">
        <f>Agencia[[#This Row],[territorio]]&amp;" conexión internet fija comuna región conexiones suscripciones "</f>
        <v xml:space="preserve">Región de O'Higgins conexión internet fija comuna región conexiones suscripciones </v>
      </c>
      <c r="S1508" s="39" t="s">
        <v>5319</v>
      </c>
      <c r="T1508" s="70" t="s">
        <v>3740</v>
      </c>
      <c r="U1508" s="50" t="s">
        <v>7440</v>
      </c>
      <c r="V1508" s="118" t="str">
        <f>+Agencia[[#This Row],[idcoleccion]]&amp;"-"&amp;Agencia[[#This Row],[id]]</f>
        <v>990-1497</v>
      </c>
      <c r="W1508" s="118">
        <f>+VLOOKUP(Agencia[[#This Row],[Filtro URL]],Estructura!$X$4:$Y$500,2,0)</f>
        <v>99200006</v>
      </c>
      <c r="X1508" s="118" t="str">
        <f>+VLOOKUP(Agencia[[#This Row],[tema]],Estructura!$A$4:$C$500,3,0)</f>
        <v>T-1064</v>
      </c>
      <c r="Y1508" s="118" t="str">
        <f>+VLOOKUP(Agencia[[#This Row],[contenido]],Estructura!$E$4:$G$500,3,0)</f>
        <v>C-1021</v>
      </c>
      <c r="Z1508" s="118" t="str">
        <f>+VLOOKUP(Agencia[[#This Row],[Filtro Integrado]],Estructura!$I$4:$K$500,3,0)</f>
        <v>FI-993</v>
      </c>
      <c r="AA1508" s="118" t="str">
        <f>+VLOOKUP(Agencia[[#This Row],[Muestra]],Estructura!$M$4:$O$500,3,0)</f>
        <v>M-1115</v>
      </c>
    </row>
    <row r="1509" spans="1:27" ht="57.6" x14ac:dyDescent="0.3">
      <c r="A1509" s="21" t="s">
        <v>5979</v>
      </c>
      <c r="B1509" s="24">
        <v>990</v>
      </c>
      <c r="C1509" s="25" t="s">
        <v>401</v>
      </c>
      <c r="D1509" s="25" t="s">
        <v>5302</v>
      </c>
      <c r="E1509" s="19">
        <v>7</v>
      </c>
      <c r="F1509" s="25" t="s">
        <v>5303</v>
      </c>
      <c r="G1509" s="25" t="s">
        <v>5304</v>
      </c>
      <c r="H1509" s="35" t="s">
        <v>16</v>
      </c>
      <c r="I1509" s="36" t="s">
        <v>374</v>
      </c>
      <c r="J1509" s="9" t="s">
        <v>404</v>
      </c>
      <c r="K1509" s="24" t="s">
        <v>5305</v>
      </c>
      <c r="L1509" s="9" t="s">
        <v>886</v>
      </c>
      <c r="M1509" s="24" t="s">
        <v>6254</v>
      </c>
      <c r="N1509" s="24" t="s">
        <v>5307</v>
      </c>
      <c r="O1509" s="20" t="str">
        <f>"Mapa de cantidad de conexiones a internet fija en la "&amp;Agencia[[#This Row],[territorio]]&amp;", "&amp;Agencia[[#This Row],[temporalidad]]</f>
        <v>Mapa de cantidad de conexiones a internet fija en la Región de Maule, Año 2019</v>
      </c>
      <c r="P1509" s="20"/>
      <c r="Q1509" s="11" t="s">
        <v>831</v>
      </c>
      <c r="R1509" s="20" t="str">
        <f>Agencia[[#This Row],[territorio]]&amp;" conexión internet fija comuna región conexiones suscripciones "</f>
        <v xml:space="preserve">Región de Maule conexión internet fija comuna región conexiones suscripciones </v>
      </c>
      <c r="S1509" s="39" t="s">
        <v>5320</v>
      </c>
      <c r="T1509" s="70" t="s">
        <v>3738</v>
      </c>
      <c r="U1509" s="50" t="s">
        <v>7441</v>
      </c>
      <c r="V1509" s="118" t="str">
        <f>+Agencia[[#This Row],[idcoleccion]]&amp;"-"&amp;Agencia[[#This Row],[id]]</f>
        <v>990-1498</v>
      </c>
      <c r="W1509" s="118">
        <f>+VLOOKUP(Agencia[[#This Row],[Filtro URL]],Estructura!$X$4:$Y$500,2,0)</f>
        <v>99200007</v>
      </c>
      <c r="X1509" s="118" t="str">
        <f>+VLOOKUP(Agencia[[#This Row],[tema]],Estructura!$A$4:$C$500,3,0)</f>
        <v>T-1064</v>
      </c>
      <c r="Y1509" s="118" t="str">
        <f>+VLOOKUP(Agencia[[#This Row],[contenido]],Estructura!$E$4:$G$500,3,0)</f>
        <v>C-1021</v>
      </c>
      <c r="Z1509" s="118" t="str">
        <f>+VLOOKUP(Agencia[[#This Row],[Filtro Integrado]],Estructura!$I$4:$K$500,3,0)</f>
        <v>FI-993</v>
      </c>
      <c r="AA1509" s="118" t="str">
        <f>+VLOOKUP(Agencia[[#This Row],[Muestra]],Estructura!$M$4:$O$500,3,0)</f>
        <v>M-1115</v>
      </c>
    </row>
    <row r="1510" spans="1:27" ht="57.6" x14ac:dyDescent="0.3">
      <c r="A1510" s="21" t="s">
        <v>5980</v>
      </c>
      <c r="B1510" s="24">
        <v>990</v>
      </c>
      <c r="C1510" s="25" t="s">
        <v>401</v>
      </c>
      <c r="D1510" s="25" t="s">
        <v>5302</v>
      </c>
      <c r="E1510" s="19">
        <v>8</v>
      </c>
      <c r="F1510" s="25" t="s">
        <v>5303</v>
      </c>
      <c r="G1510" s="25" t="s">
        <v>5304</v>
      </c>
      <c r="H1510" s="35" t="s">
        <v>16</v>
      </c>
      <c r="I1510" s="36" t="s">
        <v>375</v>
      </c>
      <c r="J1510" s="9" t="s">
        <v>404</v>
      </c>
      <c r="K1510" s="24" t="s">
        <v>5305</v>
      </c>
      <c r="L1510" s="9" t="s">
        <v>886</v>
      </c>
      <c r="M1510" s="24" t="s">
        <v>6254</v>
      </c>
      <c r="N1510" s="24" t="s">
        <v>5307</v>
      </c>
      <c r="O1510" s="20" t="str">
        <f>"Mapa de cantidad de conexiones a internet fija en la "&amp;Agencia[[#This Row],[territorio]]&amp;", "&amp;Agencia[[#This Row],[temporalidad]]</f>
        <v>Mapa de cantidad de conexiones a internet fija en la Región del Biobío, Año 2019</v>
      </c>
      <c r="P1510" s="20"/>
      <c r="Q1510" s="11" t="s">
        <v>831</v>
      </c>
      <c r="R1510" s="20" t="str">
        <f>Agencia[[#This Row],[territorio]]&amp;" conexión internet fija comuna región conexiones suscripciones "</f>
        <v xml:space="preserve">Región del Biobío conexión internet fija comuna región conexiones suscripciones </v>
      </c>
      <c r="S1510" s="39" t="s">
        <v>5321</v>
      </c>
      <c r="T1510" s="70" t="s">
        <v>3743</v>
      </c>
      <c r="U1510" s="50" t="s">
        <v>7442</v>
      </c>
      <c r="V1510" s="118" t="str">
        <f>+Agencia[[#This Row],[idcoleccion]]&amp;"-"&amp;Agencia[[#This Row],[id]]</f>
        <v>990-1499</v>
      </c>
      <c r="W1510" s="118">
        <f>+VLOOKUP(Agencia[[#This Row],[Filtro URL]],Estructura!$X$4:$Y$500,2,0)</f>
        <v>99200008</v>
      </c>
      <c r="X1510" s="118" t="str">
        <f>+VLOOKUP(Agencia[[#This Row],[tema]],Estructura!$A$4:$C$500,3,0)</f>
        <v>T-1064</v>
      </c>
      <c r="Y1510" s="118" t="str">
        <f>+VLOOKUP(Agencia[[#This Row],[contenido]],Estructura!$E$4:$G$500,3,0)</f>
        <v>C-1021</v>
      </c>
      <c r="Z1510" s="118" t="str">
        <f>+VLOOKUP(Agencia[[#This Row],[Filtro Integrado]],Estructura!$I$4:$K$500,3,0)</f>
        <v>FI-993</v>
      </c>
      <c r="AA1510" s="118" t="str">
        <f>+VLOOKUP(Agencia[[#This Row],[Muestra]],Estructura!$M$4:$O$500,3,0)</f>
        <v>M-1115</v>
      </c>
    </row>
    <row r="1511" spans="1:27" ht="57.6" x14ac:dyDescent="0.3">
      <c r="A1511" s="21" t="s">
        <v>5981</v>
      </c>
      <c r="B1511" s="24">
        <v>990</v>
      </c>
      <c r="C1511" s="25" t="s">
        <v>401</v>
      </c>
      <c r="D1511" s="25" t="s">
        <v>5302</v>
      </c>
      <c r="E1511" s="19">
        <v>9</v>
      </c>
      <c r="F1511" s="25" t="s">
        <v>5303</v>
      </c>
      <c r="G1511" s="25" t="s">
        <v>5304</v>
      </c>
      <c r="H1511" s="35" t="s">
        <v>16</v>
      </c>
      <c r="I1511" s="36" t="s">
        <v>376</v>
      </c>
      <c r="J1511" s="9" t="s">
        <v>404</v>
      </c>
      <c r="K1511" s="24" t="s">
        <v>5305</v>
      </c>
      <c r="L1511" s="9" t="s">
        <v>886</v>
      </c>
      <c r="M1511" s="24" t="s">
        <v>6254</v>
      </c>
      <c r="N1511" s="24" t="s">
        <v>5307</v>
      </c>
      <c r="O1511" s="20" t="str">
        <f>"Mapa de cantidad de conexiones a internet fija en la "&amp;Agencia[[#This Row],[territorio]]&amp;", "&amp;Agencia[[#This Row],[temporalidad]]</f>
        <v>Mapa de cantidad de conexiones a internet fija en la Región de La Araucanía, Año 2019</v>
      </c>
      <c r="P1511" s="20"/>
      <c r="Q1511" s="11" t="s">
        <v>831</v>
      </c>
      <c r="R1511" s="20" t="str">
        <f>Agencia[[#This Row],[territorio]]&amp;" conexión internet fija comuna región conexiones suscripciones "</f>
        <v xml:space="preserve">Región de La Araucanía conexión internet fija comuna región conexiones suscripciones </v>
      </c>
      <c r="S1511" s="39" t="s">
        <v>5322</v>
      </c>
      <c r="T1511" s="70" t="s">
        <v>3734</v>
      </c>
      <c r="U1511" s="50" t="s">
        <v>7443</v>
      </c>
      <c r="V1511" s="118" t="str">
        <f>+Agencia[[#This Row],[idcoleccion]]&amp;"-"&amp;Agencia[[#This Row],[id]]</f>
        <v>990-1500</v>
      </c>
      <c r="W1511" s="118">
        <f>+VLOOKUP(Agencia[[#This Row],[Filtro URL]],Estructura!$X$4:$Y$500,2,0)</f>
        <v>99200009</v>
      </c>
      <c r="X1511" s="118" t="str">
        <f>+VLOOKUP(Agencia[[#This Row],[tema]],Estructura!$A$4:$C$500,3,0)</f>
        <v>T-1064</v>
      </c>
      <c r="Y1511" s="118" t="str">
        <f>+VLOOKUP(Agencia[[#This Row],[contenido]],Estructura!$E$4:$G$500,3,0)</f>
        <v>C-1021</v>
      </c>
      <c r="Z1511" s="118" t="str">
        <f>+VLOOKUP(Agencia[[#This Row],[Filtro Integrado]],Estructura!$I$4:$K$500,3,0)</f>
        <v>FI-993</v>
      </c>
      <c r="AA1511" s="118" t="str">
        <f>+VLOOKUP(Agencia[[#This Row],[Muestra]],Estructura!$M$4:$O$500,3,0)</f>
        <v>M-1115</v>
      </c>
    </row>
    <row r="1512" spans="1:27" ht="57.6" x14ac:dyDescent="0.3">
      <c r="A1512" s="21" t="s">
        <v>5982</v>
      </c>
      <c r="B1512" s="24">
        <v>990</v>
      </c>
      <c r="C1512" s="25" t="s">
        <v>401</v>
      </c>
      <c r="D1512" s="25" t="s">
        <v>5302</v>
      </c>
      <c r="E1512" s="19">
        <v>10</v>
      </c>
      <c r="F1512" s="25" t="s">
        <v>5303</v>
      </c>
      <c r="G1512" s="25" t="s">
        <v>5304</v>
      </c>
      <c r="H1512" s="35" t="s">
        <v>16</v>
      </c>
      <c r="I1512" s="36" t="s">
        <v>377</v>
      </c>
      <c r="J1512" s="9" t="s">
        <v>404</v>
      </c>
      <c r="K1512" s="24" t="s">
        <v>5305</v>
      </c>
      <c r="L1512" s="9" t="s">
        <v>886</v>
      </c>
      <c r="M1512" s="24" t="s">
        <v>6254</v>
      </c>
      <c r="N1512" s="24" t="s">
        <v>5307</v>
      </c>
      <c r="O1512" s="20" t="str">
        <f>"Mapa de cantidad de conexiones a internet fija en la "&amp;Agencia[[#This Row],[territorio]]&amp;", "&amp;Agencia[[#This Row],[temporalidad]]</f>
        <v>Mapa de cantidad de conexiones a internet fija en la Región de Los Lagos, Año 2019</v>
      </c>
      <c r="P1512" s="20"/>
      <c r="Q1512" s="11" t="s">
        <v>831</v>
      </c>
      <c r="R1512" s="20" t="str">
        <f>Agencia[[#This Row],[territorio]]&amp;" conexión internet fija comuna región conexiones suscripciones "</f>
        <v xml:space="preserve">Región de Los Lagos conexión internet fija comuna región conexiones suscripciones </v>
      </c>
      <c r="S1512" s="39" t="s">
        <v>5323</v>
      </c>
      <c r="T1512" s="70" t="s">
        <v>3735</v>
      </c>
      <c r="U1512" s="50" t="s">
        <v>7444</v>
      </c>
      <c r="V1512" s="118" t="str">
        <f>+Agencia[[#This Row],[idcoleccion]]&amp;"-"&amp;Agencia[[#This Row],[id]]</f>
        <v>990-1501</v>
      </c>
      <c r="W1512" s="118">
        <f>+VLOOKUP(Agencia[[#This Row],[Filtro URL]],Estructura!$X$4:$Y$500,2,0)</f>
        <v>99200010</v>
      </c>
      <c r="X1512" s="118" t="str">
        <f>+VLOOKUP(Agencia[[#This Row],[tema]],Estructura!$A$4:$C$500,3,0)</f>
        <v>T-1064</v>
      </c>
      <c r="Y1512" s="118" t="str">
        <f>+VLOOKUP(Agencia[[#This Row],[contenido]],Estructura!$E$4:$G$500,3,0)</f>
        <v>C-1021</v>
      </c>
      <c r="Z1512" s="118" t="str">
        <f>+VLOOKUP(Agencia[[#This Row],[Filtro Integrado]],Estructura!$I$4:$K$500,3,0)</f>
        <v>FI-993</v>
      </c>
      <c r="AA1512" s="118" t="str">
        <f>+VLOOKUP(Agencia[[#This Row],[Muestra]],Estructura!$M$4:$O$500,3,0)</f>
        <v>M-1115</v>
      </c>
    </row>
    <row r="1513" spans="1:27" ht="57.6" x14ac:dyDescent="0.3">
      <c r="A1513" s="21" t="s">
        <v>5983</v>
      </c>
      <c r="B1513" s="24">
        <v>990</v>
      </c>
      <c r="C1513" s="25" t="s">
        <v>401</v>
      </c>
      <c r="D1513" s="25" t="s">
        <v>5302</v>
      </c>
      <c r="E1513" s="19">
        <v>11</v>
      </c>
      <c r="F1513" s="25" t="s">
        <v>5303</v>
      </c>
      <c r="G1513" s="25" t="s">
        <v>5304</v>
      </c>
      <c r="H1513" s="35" t="s">
        <v>16</v>
      </c>
      <c r="I1513" s="36" t="s">
        <v>378</v>
      </c>
      <c r="J1513" s="9" t="s">
        <v>404</v>
      </c>
      <c r="K1513" s="24" t="s">
        <v>5305</v>
      </c>
      <c r="L1513" s="9" t="s">
        <v>886</v>
      </c>
      <c r="M1513" s="24" t="s">
        <v>6254</v>
      </c>
      <c r="N1513" s="24" t="s">
        <v>5307</v>
      </c>
      <c r="O1513" s="20" t="str">
        <f>"Mapa de cantidad de conexiones a internet fija en la "&amp;Agencia[[#This Row],[territorio]]&amp;", "&amp;Agencia[[#This Row],[temporalidad]]</f>
        <v>Mapa de cantidad de conexiones a internet fija en la Región de Aysén, Año 2019</v>
      </c>
      <c r="P1513" s="20"/>
      <c r="Q1513" s="11" t="s">
        <v>831</v>
      </c>
      <c r="R1513" s="20" t="str">
        <f>Agencia[[#This Row],[territorio]]&amp;" conexión internet fija comuna región conexiones suscripciones "</f>
        <v xml:space="preserve">Región de Aysén conexión internet fija comuna región conexiones suscripciones </v>
      </c>
      <c r="S1513" s="39" t="s">
        <v>5324</v>
      </c>
      <c r="T1513" s="70" t="s">
        <v>3732</v>
      </c>
      <c r="U1513" s="50" t="s">
        <v>7445</v>
      </c>
      <c r="V1513" s="118" t="str">
        <f>+Agencia[[#This Row],[idcoleccion]]&amp;"-"&amp;Agencia[[#This Row],[id]]</f>
        <v>990-1502</v>
      </c>
      <c r="W1513" s="118">
        <f>+VLOOKUP(Agencia[[#This Row],[Filtro URL]],Estructura!$X$4:$Y$500,2,0)</f>
        <v>99200011</v>
      </c>
      <c r="X1513" s="118" t="str">
        <f>+VLOOKUP(Agencia[[#This Row],[tema]],Estructura!$A$4:$C$500,3,0)</f>
        <v>T-1064</v>
      </c>
      <c r="Y1513" s="118" t="str">
        <f>+VLOOKUP(Agencia[[#This Row],[contenido]],Estructura!$E$4:$G$500,3,0)</f>
        <v>C-1021</v>
      </c>
      <c r="Z1513" s="118" t="str">
        <f>+VLOOKUP(Agencia[[#This Row],[Filtro Integrado]],Estructura!$I$4:$K$500,3,0)</f>
        <v>FI-993</v>
      </c>
      <c r="AA1513" s="118" t="str">
        <f>+VLOOKUP(Agencia[[#This Row],[Muestra]],Estructura!$M$4:$O$500,3,0)</f>
        <v>M-1115</v>
      </c>
    </row>
    <row r="1514" spans="1:27" ht="57.6" x14ac:dyDescent="0.3">
      <c r="A1514" s="21" t="s">
        <v>5984</v>
      </c>
      <c r="B1514" s="24">
        <v>990</v>
      </c>
      <c r="C1514" s="25" t="s">
        <v>401</v>
      </c>
      <c r="D1514" s="25" t="s">
        <v>5302</v>
      </c>
      <c r="E1514" s="19">
        <v>12</v>
      </c>
      <c r="F1514" s="25" t="s">
        <v>5303</v>
      </c>
      <c r="G1514" s="25" t="s">
        <v>5304</v>
      </c>
      <c r="H1514" s="35" t="s">
        <v>16</v>
      </c>
      <c r="I1514" s="36" t="s">
        <v>379</v>
      </c>
      <c r="J1514" s="9" t="s">
        <v>404</v>
      </c>
      <c r="K1514" s="24" t="s">
        <v>5305</v>
      </c>
      <c r="L1514" s="9" t="s">
        <v>886</v>
      </c>
      <c r="M1514" s="24" t="s">
        <v>6254</v>
      </c>
      <c r="N1514" s="24" t="s">
        <v>5307</v>
      </c>
      <c r="O1514" s="20" t="str">
        <f>"Mapa de cantidad de conexiones a internet fija en la "&amp;Agencia[[#This Row],[territorio]]&amp;", "&amp;Agencia[[#This Row],[temporalidad]]</f>
        <v>Mapa de cantidad de conexiones a internet fija en la Región de Magallanes, Año 2019</v>
      </c>
      <c r="P1514" s="20"/>
      <c r="Q1514" s="11" t="s">
        <v>831</v>
      </c>
      <c r="R1514" s="20" t="str">
        <f>Agencia[[#This Row],[territorio]]&amp;" conexión internet fija comuna región conexiones suscripciones "</f>
        <v xml:space="preserve">Región de Magallanes conexión internet fija comuna región conexiones suscripciones </v>
      </c>
      <c r="S1514" s="39" t="s">
        <v>5325</v>
      </c>
      <c r="T1514" s="70" t="s">
        <v>3737</v>
      </c>
      <c r="U1514" s="50" t="s">
        <v>7446</v>
      </c>
      <c r="V1514" s="118" t="str">
        <f>+Agencia[[#This Row],[idcoleccion]]&amp;"-"&amp;Agencia[[#This Row],[id]]</f>
        <v>990-1503</v>
      </c>
      <c r="W1514" s="118">
        <f>+VLOOKUP(Agencia[[#This Row],[Filtro URL]],Estructura!$X$4:$Y$500,2,0)</f>
        <v>99200012</v>
      </c>
      <c r="X1514" s="118" t="str">
        <f>+VLOOKUP(Agencia[[#This Row],[tema]],Estructura!$A$4:$C$500,3,0)</f>
        <v>T-1064</v>
      </c>
      <c r="Y1514" s="118" t="str">
        <f>+VLOOKUP(Agencia[[#This Row],[contenido]],Estructura!$E$4:$G$500,3,0)</f>
        <v>C-1021</v>
      </c>
      <c r="Z1514" s="118" t="str">
        <f>+VLOOKUP(Agencia[[#This Row],[Filtro Integrado]],Estructura!$I$4:$K$500,3,0)</f>
        <v>FI-993</v>
      </c>
      <c r="AA1514" s="118" t="str">
        <f>+VLOOKUP(Agencia[[#This Row],[Muestra]],Estructura!$M$4:$O$500,3,0)</f>
        <v>M-1115</v>
      </c>
    </row>
    <row r="1515" spans="1:27" ht="57.6" x14ac:dyDescent="0.3">
      <c r="A1515" s="21" t="s">
        <v>5985</v>
      </c>
      <c r="B1515" s="24">
        <v>990</v>
      </c>
      <c r="C1515" s="25" t="s">
        <v>401</v>
      </c>
      <c r="D1515" s="25" t="s">
        <v>5302</v>
      </c>
      <c r="E1515" s="19">
        <v>13</v>
      </c>
      <c r="F1515" s="25" t="s">
        <v>5303</v>
      </c>
      <c r="G1515" s="25" t="s">
        <v>5304</v>
      </c>
      <c r="H1515" s="35" t="s">
        <v>16</v>
      </c>
      <c r="I1515" s="36" t="s">
        <v>380</v>
      </c>
      <c r="J1515" s="9" t="s">
        <v>404</v>
      </c>
      <c r="K1515" s="24" t="s">
        <v>5305</v>
      </c>
      <c r="L1515" s="9" t="s">
        <v>886</v>
      </c>
      <c r="M1515" s="24" t="s">
        <v>6254</v>
      </c>
      <c r="N1515" s="24" t="s">
        <v>5307</v>
      </c>
      <c r="O1515" s="20" t="str">
        <f>"Mapa de cantidad de conexiones a internet fija en la "&amp;Agencia[[#This Row],[territorio]]&amp;", "&amp;Agencia[[#This Row],[temporalidad]]</f>
        <v>Mapa de cantidad de conexiones a internet fija en la Región Metropolitana, Año 2019</v>
      </c>
      <c r="P1515" s="20"/>
      <c r="Q1515" s="11" t="s">
        <v>831</v>
      </c>
      <c r="R1515" s="20" t="str">
        <f>Agencia[[#This Row],[territorio]]&amp;" conexión internet fija comuna región conexiones suscripciones "</f>
        <v xml:space="preserve">Región Metropolitana conexión internet fija comuna región conexiones suscripciones </v>
      </c>
      <c r="S1515" s="39" t="s">
        <v>5326</v>
      </c>
      <c r="T1515" s="70" t="s">
        <v>3744</v>
      </c>
      <c r="U1515" s="50" t="s">
        <v>7447</v>
      </c>
      <c r="V1515" s="118" t="str">
        <f>+Agencia[[#This Row],[idcoleccion]]&amp;"-"&amp;Agencia[[#This Row],[id]]</f>
        <v>990-1504</v>
      </c>
      <c r="W1515" s="118">
        <f>+VLOOKUP(Agencia[[#This Row],[Filtro URL]],Estructura!$X$4:$Y$500,2,0)</f>
        <v>99200013</v>
      </c>
      <c r="X1515" s="118" t="str">
        <f>+VLOOKUP(Agencia[[#This Row],[tema]],Estructura!$A$4:$C$500,3,0)</f>
        <v>T-1064</v>
      </c>
      <c r="Y1515" s="118" t="str">
        <f>+VLOOKUP(Agencia[[#This Row],[contenido]],Estructura!$E$4:$G$500,3,0)</f>
        <v>C-1021</v>
      </c>
      <c r="Z1515" s="118" t="str">
        <f>+VLOOKUP(Agencia[[#This Row],[Filtro Integrado]],Estructura!$I$4:$K$500,3,0)</f>
        <v>FI-993</v>
      </c>
      <c r="AA1515" s="118" t="str">
        <f>+VLOOKUP(Agencia[[#This Row],[Muestra]],Estructura!$M$4:$O$500,3,0)</f>
        <v>M-1115</v>
      </c>
    </row>
    <row r="1516" spans="1:27" ht="57.6" x14ac:dyDescent="0.3">
      <c r="A1516" s="21" t="s">
        <v>5986</v>
      </c>
      <c r="B1516" s="24">
        <v>990</v>
      </c>
      <c r="C1516" s="25" t="s">
        <v>401</v>
      </c>
      <c r="D1516" s="25" t="s">
        <v>5302</v>
      </c>
      <c r="E1516" s="19">
        <v>14</v>
      </c>
      <c r="F1516" s="25" t="s">
        <v>5303</v>
      </c>
      <c r="G1516" s="25" t="s">
        <v>5304</v>
      </c>
      <c r="H1516" s="35" t="s">
        <v>16</v>
      </c>
      <c r="I1516" s="36" t="s">
        <v>381</v>
      </c>
      <c r="J1516" s="9" t="s">
        <v>404</v>
      </c>
      <c r="K1516" s="24" t="s">
        <v>5305</v>
      </c>
      <c r="L1516" s="9" t="s">
        <v>886</v>
      </c>
      <c r="M1516" s="24" t="s">
        <v>6254</v>
      </c>
      <c r="N1516" s="24" t="s">
        <v>5307</v>
      </c>
      <c r="O1516" s="20" t="str">
        <f>"Mapa de cantidad de conexiones a internet fija en la "&amp;Agencia[[#This Row],[territorio]]&amp;", "&amp;Agencia[[#This Row],[temporalidad]]</f>
        <v>Mapa de cantidad de conexiones a internet fija en la Región de Los Ríos, Año 2019</v>
      </c>
      <c r="P1516" s="20"/>
      <c r="Q1516" s="11" t="s">
        <v>831</v>
      </c>
      <c r="R1516" s="20" t="str">
        <f>Agencia[[#This Row],[territorio]]&amp;" conexión internet fija comuna región conexiones suscripciones "</f>
        <v xml:space="preserve">Región de Los Ríos conexión internet fija comuna región conexiones suscripciones </v>
      </c>
      <c r="S1516" s="39" t="s">
        <v>5327</v>
      </c>
      <c r="T1516" s="70" t="s">
        <v>3736</v>
      </c>
      <c r="U1516" s="50" t="s">
        <v>7448</v>
      </c>
      <c r="V1516" s="118" t="str">
        <f>+Agencia[[#This Row],[idcoleccion]]&amp;"-"&amp;Agencia[[#This Row],[id]]</f>
        <v>990-1505</v>
      </c>
      <c r="W1516" s="118">
        <f>+VLOOKUP(Agencia[[#This Row],[Filtro URL]],Estructura!$X$4:$Y$500,2,0)</f>
        <v>99200014</v>
      </c>
      <c r="X1516" s="118" t="str">
        <f>+VLOOKUP(Agencia[[#This Row],[tema]],Estructura!$A$4:$C$500,3,0)</f>
        <v>T-1064</v>
      </c>
      <c r="Y1516" s="118" t="str">
        <f>+VLOOKUP(Agencia[[#This Row],[contenido]],Estructura!$E$4:$G$500,3,0)</f>
        <v>C-1021</v>
      </c>
      <c r="Z1516" s="118" t="str">
        <f>+VLOOKUP(Agencia[[#This Row],[Filtro Integrado]],Estructura!$I$4:$K$500,3,0)</f>
        <v>FI-993</v>
      </c>
      <c r="AA1516" s="118" t="str">
        <f>+VLOOKUP(Agencia[[#This Row],[Muestra]],Estructura!$M$4:$O$500,3,0)</f>
        <v>M-1115</v>
      </c>
    </row>
    <row r="1517" spans="1:27" ht="57.6" x14ac:dyDescent="0.3">
      <c r="A1517" s="21" t="s">
        <v>5987</v>
      </c>
      <c r="B1517" s="24">
        <v>990</v>
      </c>
      <c r="C1517" s="25" t="s">
        <v>401</v>
      </c>
      <c r="D1517" s="25" t="s">
        <v>5302</v>
      </c>
      <c r="E1517" s="19">
        <v>15</v>
      </c>
      <c r="F1517" s="25" t="s">
        <v>5303</v>
      </c>
      <c r="G1517" s="25" t="s">
        <v>5304</v>
      </c>
      <c r="H1517" s="35" t="s">
        <v>16</v>
      </c>
      <c r="I1517" s="36" t="s">
        <v>382</v>
      </c>
      <c r="J1517" s="9" t="s">
        <v>404</v>
      </c>
      <c r="K1517" s="24" t="s">
        <v>5305</v>
      </c>
      <c r="L1517" s="9" t="s">
        <v>886</v>
      </c>
      <c r="M1517" s="24" t="s">
        <v>6254</v>
      </c>
      <c r="N1517" s="24" t="s">
        <v>5307</v>
      </c>
      <c r="O1517" s="20" t="str">
        <f>"Mapa de cantidad de conexiones a internet fija en la "&amp;Agencia[[#This Row],[territorio]]&amp;", "&amp;Agencia[[#This Row],[temporalidad]]</f>
        <v>Mapa de cantidad de conexiones a internet fija en la Región de Arica y Parinacota, Año 2019</v>
      </c>
      <c r="P1517" s="20"/>
      <c r="Q1517" s="11" t="s">
        <v>831</v>
      </c>
      <c r="R1517" s="20" t="str">
        <f>Agencia[[#This Row],[territorio]]&amp;" conexión internet fija comuna región conexiones suscripciones "</f>
        <v xml:space="preserve">Región de Arica y Parinacota conexión internet fija comuna región conexiones suscripciones </v>
      </c>
      <c r="S1517" s="39" t="s">
        <v>5328</v>
      </c>
      <c r="T1517" s="70" t="s">
        <v>3730</v>
      </c>
      <c r="U1517" s="50" t="s">
        <v>7449</v>
      </c>
      <c r="V1517" s="118" t="str">
        <f>+Agencia[[#This Row],[idcoleccion]]&amp;"-"&amp;Agencia[[#This Row],[id]]</f>
        <v>990-1506</v>
      </c>
      <c r="W1517" s="118">
        <f>+VLOOKUP(Agencia[[#This Row],[Filtro URL]],Estructura!$X$4:$Y$500,2,0)</f>
        <v>99200015</v>
      </c>
      <c r="X1517" s="118" t="str">
        <f>+VLOOKUP(Agencia[[#This Row],[tema]],Estructura!$A$4:$C$500,3,0)</f>
        <v>T-1064</v>
      </c>
      <c r="Y1517" s="118" t="str">
        <f>+VLOOKUP(Agencia[[#This Row],[contenido]],Estructura!$E$4:$G$500,3,0)</f>
        <v>C-1021</v>
      </c>
      <c r="Z1517" s="118" t="str">
        <f>+VLOOKUP(Agencia[[#This Row],[Filtro Integrado]],Estructura!$I$4:$K$500,3,0)</f>
        <v>FI-993</v>
      </c>
      <c r="AA1517" s="118" t="str">
        <f>+VLOOKUP(Agencia[[#This Row],[Muestra]],Estructura!$M$4:$O$500,3,0)</f>
        <v>M-1115</v>
      </c>
    </row>
    <row r="1518" spans="1:27" ht="57.6" x14ac:dyDescent="0.3">
      <c r="A1518" s="21" t="s">
        <v>5988</v>
      </c>
      <c r="B1518" s="24">
        <v>990</v>
      </c>
      <c r="C1518" s="25" t="s">
        <v>401</v>
      </c>
      <c r="D1518" s="25" t="s">
        <v>5302</v>
      </c>
      <c r="E1518" s="46">
        <v>16</v>
      </c>
      <c r="F1518" s="25" t="s">
        <v>5303</v>
      </c>
      <c r="G1518" s="25" t="s">
        <v>5304</v>
      </c>
      <c r="H1518" s="35" t="s">
        <v>16</v>
      </c>
      <c r="I1518" s="36" t="s">
        <v>383</v>
      </c>
      <c r="J1518" s="9" t="s">
        <v>404</v>
      </c>
      <c r="K1518" s="24" t="s">
        <v>5305</v>
      </c>
      <c r="L1518" s="9" t="s">
        <v>886</v>
      </c>
      <c r="M1518" s="24" t="s">
        <v>6254</v>
      </c>
      <c r="N1518" s="24" t="s">
        <v>5307</v>
      </c>
      <c r="O1518" s="20" t="str">
        <f>"Mapa de cantidad de conexiones a internet fija en la "&amp;Agencia[[#This Row],[territorio]]&amp;", "&amp;Agencia[[#This Row],[temporalidad]]</f>
        <v>Mapa de cantidad de conexiones a internet fija en la Región de Ñuble, Año 2019</v>
      </c>
      <c r="P1518" s="20"/>
      <c r="Q1518" s="11" t="s">
        <v>831</v>
      </c>
      <c r="R1518" s="20" t="str">
        <f>Agencia[[#This Row],[territorio]]&amp;" conexión internet fija comuna región conexiones suscripciones "</f>
        <v xml:space="preserve">Región de Ñuble conexión internet fija comuna región conexiones suscripciones </v>
      </c>
      <c r="S1518" s="39" t="s">
        <v>5329</v>
      </c>
      <c r="T1518" s="70" t="s">
        <v>3739</v>
      </c>
      <c r="U1518" s="50" t="s">
        <v>7450</v>
      </c>
      <c r="V1518" s="118" t="str">
        <f>+Agencia[[#This Row],[idcoleccion]]&amp;"-"&amp;Agencia[[#This Row],[id]]</f>
        <v>990-1507</v>
      </c>
      <c r="W1518" s="118">
        <f>+VLOOKUP(Agencia[[#This Row],[Filtro URL]],Estructura!$X$4:$Y$500,2,0)</f>
        <v>99200016</v>
      </c>
      <c r="X1518" s="118" t="str">
        <f>+VLOOKUP(Agencia[[#This Row],[tema]],Estructura!$A$4:$C$500,3,0)</f>
        <v>T-1064</v>
      </c>
      <c r="Y1518" s="118" t="str">
        <f>+VLOOKUP(Agencia[[#This Row],[contenido]],Estructura!$E$4:$G$500,3,0)</f>
        <v>C-1021</v>
      </c>
      <c r="Z1518" s="118" t="str">
        <f>+VLOOKUP(Agencia[[#This Row],[Filtro Integrado]],Estructura!$I$4:$K$500,3,0)</f>
        <v>FI-993</v>
      </c>
      <c r="AA1518" s="118" t="str">
        <f>+VLOOKUP(Agencia[[#This Row],[Muestra]],Estructura!$M$4:$O$500,3,0)</f>
        <v>M-1115</v>
      </c>
    </row>
    <row r="1519" spans="1:27" ht="71.400000000000006" x14ac:dyDescent="0.3">
      <c r="A1519" s="21" t="s">
        <v>5989</v>
      </c>
      <c r="B1519" s="9">
        <v>990</v>
      </c>
      <c r="C1519" s="10" t="s">
        <v>401</v>
      </c>
      <c r="D1519" s="10" t="s">
        <v>5302</v>
      </c>
      <c r="E1519" s="14">
        <v>0</v>
      </c>
      <c r="F1519" s="10" t="s">
        <v>5330</v>
      </c>
      <c r="G1519" s="10" t="s">
        <v>5331</v>
      </c>
      <c r="H1519" s="33" t="s">
        <v>20</v>
      </c>
      <c r="I1519" s="34" t="s">
        <v>15</v>
      </c>
      <c r="J1519" s="9" t="s">
        <v>1032</v>
      </c>
      <c r="K1519" s="9" t="s">
        <v>5332</v>
      </c>
      <c r="L1519" s="9" t="s">
        <v>5306</v>
      </c>
      <c r="M1519" s="9" t="s">
        <v>6254</v>
      </c>
      <c r="N1519" s="9" t="s">
        <v>5307</v>
      </c>
      <c r="O1519" s="20" t="str">
        <f>"Evolución de los suscriptores de televisión de pago en "&amp;Agencia[[#This Row],[territorio]]&amp;", "&amp;Agencia[[#This Row],[temporalidad]]</f>
        <v>Evolución de los suscriptores de televisión de pago en Chile, Periodo 2007-2019</v>
      </c>
      <c r="P1519" s="20" t="s">
        <v>5308</v>
      </c>
      <c r="Q1519" s="11" t="s">
        <v>821</v>
      </c>
      <c r="R1519" s="20" t="s">
        <v>5333</v>
      </c>
      <c r="S1519" s="60" t="s">
        <v>5334</v>
      </c>
      <c r="T1519" s="70" t="s">
        <v>1033</v>
      </c>
      <c r="U1519" s="50" t="s">
        <v>7451</v>
      </c>
      <c r="V1519" s="118" t="str">
        <f>+Agencia[[#This Row],[idcoleccion]]&amp;"-"&amp;Agencia[[#This Row],[id]]</f>
        <v>990-1508</v>
      </c>
      <c r="W1519" s="118">
        <f>+VLOOKUP(Agencia[[#This Row],[Filtro URL]],Estructura!$X$4:$Y$500,2,0)</f>
        <v>99100000</v>
      </c>
      <c r="X1519" s="118" t="str">
        <f>+VLOOKUP(Agencia[[#This Row],[tema]],Estructura!$A$4:$C$500,3,0)</f>
        <v>T-1065</v>
      </c>
      <c r="Y1519" s="118" t="str">
        <f>+VLOOKUP(Agencia[[#This Row],[contenido]],Estructura!$E$4:$G$500,3,0)</f>
        <v>C-1022</v>
      </c>
      <c r="Z1519" s="118" t="str">
        <f>+VLOOKUP(Agencia[[#This Row],[Filtro Integrado]],Estructura!$I$4:$K$500,3,0)</f>
        <v>FI-994</v>
      </c>
      <c r="AA1519" s="118" t="str">
        <f>+VLOOKUP(Agencia[[#This Row],[Muestra]],Estructura!$M$4:$O$500,3,0)</f>
        <v>M-1116</v>
      </c>
    </row>
    <row r="1520" spans="1:27" ht="57.6" x14ac:dyDescent="0.3">
      <c r="A1520" s="21" t="s">
        <v>5990</v>
      </c>
      <c r="B1520" s="9">
        <v>990</v>
      </c>
      <c r="C1520" s="10" t="s">
        <v>401</v>
      </c>
      <c r="D1520" s="10" t="s">
        <v>5302</v>
      </c>
      <c r="E1520" s="19">
        <v>1</v>
      </c>
      <c r="F1520" s="10" t="s">
        <v>5330</v>
      </c>
      <c r="G1520" s="10" t="s">
        <v>5331</v>
      </c>
      <c r="H1520" s="35" t="s">
        <v>16</v>
      </c>
      <c r="I1520" s="36" t="s">
        <v>368</v>
      </c>
      <c r="J1520" s="76" t="s">
        <v>18</v>
      </c>
      <c r="K1520" s="9" t="s">
        <v>5335</v>
      </c>
      <c r="L1520" s="9" t="s">
        <v>5306</v>
      </c>
      <c r="M1520" s="9" t="s">
        <v>6254</v>
      </c>
      <c r="N1520" s="9" t="s">
        <v>5307</v>
      </c>
      <c r="O1520" s="20" t="str">
        <f>"Evolución de los suscriptores de televisión de pago en la "&amp;Agencia[[#This Row],[territorio]]&amp;", "&amp;Agencia[[#This Row],[temporalidad]]</f>
        <v>Evolución de los suscriptores de televisión de pago en la Región de Tarapacá, Periodo 2007-2019</v>
      </c>
      <c r="P1520" s="61"/>
      <c r="Q1520" s="11" t="s">
        <v>821</v>
      </c>
      <c r="R1520" s="20" t="s">
        <v>5336</v>
      </c>
      <c r="S1520" s="62" t="s">
        <v>5337</v>
      </c>
      <c r="T1520" s="74" t="s">
        <v>3741</v>
      </c>
      <c r="U1520" s="50" t="s">
        <v>7452</v>
      </c>
      <c r="V1520" s="118" t="str">
        <f>+Agencia[[#This Row],[idcoleccion]]&amp;"-"&amp;Agencia[[#This Row],[id]]</f>
        <v>990-1509</v>
      </c>
      <c r="W1520" s="118">
        <f>+VLOOKUP(Agencia[[#This Row],[Filtro URL]],Estructura!$X$4:$Y$500,2,0)</f>
        <v>99200001</v>
      </c>
      <c r="X1520" s="118" t="str">
        <f>+VLOOKUP(Agencia[[#This Row],[tema]],Estructura!$A$4:$C$500,3,0)</f>
        <v>T-1065</v>
      </c>
      <c r="Y1520" s="118" t="str">
        <f>+VLOOKUP(Agencia[[#This Row],[contenido]],Estructura!$E$4:$G$500,3,0)</f>
        <v>C-1022</v>
      </c>
      <c r="Z1520" s="118" t="str">
        <f>+VLOOKUP(Agencia[[#This Row],[Filtro Integrado]],Estructura!$I$4:$K$500,3,0)</f>
        <v>FI-991</v>
      </c>
      <c r="AA1520" s="118" t="str">
        <f>+VLOOKUP(Agencia[[#This Row],[Muestra]],Estructura!$M$4:$O$500,3,0)</f>
        <v>M-1117</v>
      </c>
    </row>
    <row r="1521" spans="1:27" ht="57.6" x14ac:dyDescent="0.3">
      <c r="A1521" s="21" t="s">
        <v>5991</v>
      </c>
      <c r="B1521" s="9">
        <v>990</v>
      </c>
      <c r="C1521" s="10" t="s">
        <v>401</v>
      </c>
      <c r="D1521" s="10" t="s">
        <v>5302</v>
      </c>
      <c r="E1521" s="19">
        <v>2</v>
      </c>
      <c r="F1521" s="10" t="s">
        <v>5330</v>
      </c>
      <c r="G1521" s="10" t="s">
        <v>5331</v>
      </c>
      <c r="H1521" s="35" t="s">
        <v>16</v>
      </c>
      <c r="I1521" s="36" t="s">
        <v>369</v>
      </c>
      <c r="J1521" s="76" t="s">
        <v>18</v>
      </c>
      <c r="K1521" s="9" t="s">
        <v>5335</v>
      </c>
      <c r="L1521" s="9" t="s">
        <v>5306</v>
      </c>
      <c r="M1521" s="9" t="s">
        <v>6254</v>
      </c>
      <c r="N1521" s="9" t="s">
        <v>5307</v>
      </c>
      <c r="O1521" s="20" t="str">
        <f>"Evolución de los suscriptores de televisión de pago en la "&amp;Agencia[[#This Row],[territorio]]&amp;", "&amp;Agencia[[#This Row],[temporalidad]]</f>
        <v>Evolución de los suscriptores de televisión de pago en la Región de Antofagasta, Periodo 2007-2019</v>
      </c>
      <c r="P1521" s="61"/>
      <c r="Q1521" s="11" t="s">
        <v>821</v>
      </c>
      <c r="R1521" s="20" t="s">
        <v>5338</v>
      </c>
      <c r="S1521" s="62" t="s">
        <v>5339</v>
      </c>
      <c r="T1521" s="74" t="s">
        <v>3729</v>
      </c>
      <c r="U1521" s="50" t="s">
        <v>7453</v>
      </c>
      <c r="V1521" s="118" t="str">
        <f>+Agencia[[#This Row],[idcoleccion]]&amp;"-"&amp;Agencia[[#This Row],[id]]</f>
        <v>990-1510</v>
      </c>
      <c r="W1521" s="118">
        <f>+VLOOKUP(Agencia[[#This Row],[Filtro URL]],Estructura!$X$4:$Y$500,2,0)</f>
        <v>99200002</v>
      </c>
      <c r="X1521" s="118" t="str">
        <f>+VLOOKUP(Agencia[[#This Row],[tema]],Estructura!$A$4:$C$500,3,0)</f>
        <v>T-1065</v>
      </c>
      <c r="Y1521" s="118" t="str">
        <f>+VLOOKUP(Agencia[[#This Row],[contenido]],Estructura!$E$4:$G$500,3,0)</f>
        <v>C-1022</v>
      </c>
      <c r="Z1521" s="118" t="str">
        <f>+VLOOKUP(Agencia[[#This Row],[Filtro Integrado]],Estructura!$I$4:$K$500,3,0)</f>
        <v>FI-991</v>
      </c>
      <c r="AA1521" s="118" t="str">
        <f>+VLOOKUP(Agencia[[#This Row],[Muestra]],Estructura!$M$4:$O$500,3,0)</f>
        <v>M-1117</v>
      </c>
    </row>
    <row r="1522" spans="1:27" ht="57.6" x14ac:dyDescent="0.3">
      <c r="A1522" s="21" t="s">
        <v>5992</v>
      </c>
      <c r="B1522" s="9">
        <v>990</v>
      </c>
      <c r="C1522" s="10" t="s">
        <v>401</v>
      </c>
      <c r="D1522" s="10" t="s">
        <v>5302</v>
      </c>
      <c r="E1522" s="19">
        <v>3</v>
      </c>
      <c r="F1522" s="10" t="s">
        <v>5330</v>
      </c>
      <c r="G1522" s="10" t="s">
        <v>5331</v>
      </c>
      <c r="H1522" s="35" t="s">
        <v>16</v>
      </c>
      <c r="I1522" s="36" t="s">
        <v>370</v>
      </c>
      <c r="J1522" s="76" t="s">
        <v>18</v>
      </c>
      <c r="K1522" s="9" t="s">
        <v>5335</v>
      </c>
      <c r="L1522" s="9" t="s">
        <v>5306</v>
      </c>
      <c r="M1522" s="9" t="s">
        <v>6254</v>
      </c>
      <c r="N1522" s="9" t="s">
        <v>5307</v>
      </c>
      <c r="O1522" s="20" t="str">
        <f>"Evolución de los suscriptores de televisión de pago en la "&amp;Agencia[[#This Row],[territorio]]&amp;", "&amp;Agencia[[#This Row],[temporalidad]]</f>
        <v>Evolución de los suscriptores de televisión de pago en la Región de Atacama, Periodo 2007-2019</v>
      </c>
      <c r="P1522" s="61"/>
      <c r="Q1522" s="11" t="s">
        <v>821</v>
      </c>
      <c r="R1522" s="20" t="s">
        <v>5340</v>
      </c>
      <c r="S1522" s="62" t="s">
        <v>5341</v>
      </c>
      <c r="T1522" s="74" t="s">
        <v>3731</v>
      </c>
      <c r="U1522" s="50" t="s">
        <v>7454</v>
      </c>
      <c r="V1522" s="118" t="str">
        <f>+Agencia[[#This Row],[idcoleccion]]&amp;"-"&amp;Agencia[[#This Row],[id]]</f>
        <v>990-1511</v>
      </c>
      <c r="W1522" s="118">
        <f>+VLOOKUP(Agencia[[#This Row],[Filtro URL]],Estructura!$X$4:$Y$500,2,0)</f>
        <v>99200003</v>
      </c>
      <c r="X1522" s="118" t="str">
        <f>+VLOOKUP(Agencia[[#This Row],[tema]],Estructura!$A$4:$C$500,3,0)</f>
        <v>T-1065</v>
      </c>
      <c r="Y1522" s="118" t="str">
        <f>+VLOOKUP(Agencia[[#This Row],[contenido]],Estructura!$E$4:$G$500,3,0)</f>
        <v>C-1022</v>
      </c>
      <c r="Z1522" s="118" t="str">
        <f>+VLOOKUP(Agencia[[#This Row],[Filtro Integrado]],Estructura!$I$4:$K$500,3,0)</f>
        <v>FI-991</v>
      </c>
      <c r="AA1522" s="118" t="str">
        <f>+VLOOKUP(Agencia[[#This Row],[Muestra]],Estructura!$M$4:$O$500,3,0)</f>
        <v>M-1117</v>
      </c>
    </row>
    <row r="1523" spans="1:27" ht="57.6" x14ac:dyDescent="0.3">
      <c r="A1523" s="21" t="s">
        <v>5993</v>
      </c>
      <c r="B1523" s="9">
        <v>990</v>
      </c>
      <c r="C1523" s="10" t="s">
        <v>401</v>
      </c>
      <c r="D1523" s="10" t="s">
        <v>5302</v>
      </c>
      <c r="E1523" s="19">
        <v>4</v>
      </c>
      <c r="F1523" s="10" t="s">
        <v>5330</v>
      </c>
      <c r="G1523" s="10" t="s">
        <v>5331</v>
      </c>
      <c r="H1523" s="35" t="s">
        <v>16</v>
      </c>
      <c r="I1523" s="36" t="s">
        <v>371</v>
      </c>
      <c r="J1523" s="76" t="s">
        <v>18</v>
      </c>
      <c r="K1523" s="9" t="s">
        <v>5335</v>
      </c>
      <c r="L1523" s="9" t="s">
        <v>5306</v>
      </c>
      <c r="M1523" s="9" t="s">
        <v>6254</v>
      </c>
      <c r="N1523" s="9" t="s">
        <v>5307</v>
      </c>
      <c r="O1523" s="20" t="str">
        <f>"Evolución de los suscriptores de televisión de pago en la "&amp;Agencia[[#This Row],[territorio]]&amp;", "&amp;Agencia[[#This Row],[temporalidad]]</f>
        <v>Evolución de los suscriptores de televisión de pago en la Región de Coquimbo, Periodo 2007-2019</v>
      </c>
      <c r="P1523" s="61"/>
      <c r="Q1523" s="11" t="s">
        <v>821</v>
      </c>
      <c r="R1523" s="20" t="s">
        <v>5342</v>
      </c>
      <c r="S1523" s="62" t="s">
        <v>5343</v>
      </c>
      <c r="T1523" s="74" t="s">
        <v>3733</v>
      </c>
      <c r="U1523" s="50" t="s">
        <v>7455</v>
      </c>
      <c r="V1523" s="118" t="str">
        <f>+Agencia[[#This Row],[idcoleccion]]&amp;"-"&amp;Agencia[[#This Row],[id]]</f>
        <v>990-1512</v>
      </c>
      <c r="W1523" s="118">
        <f>+VLOOKUP(Agencia[[#This Row],[Filtro URL]],Estructura!$X$4:$Y$500,2,0)</f>
        <v>99200004</v>
      </c>
      <c r="X1523" s="118" t="str">
        <f>+VLOOKUP(Agencia[[#This Row],[tema]],Estructura!$A$4:$C$500,3,0)</f>
        <v>T-1065</v>
      </c>
      <c r="Y1523" s="118" t="str">
        <f>+VLOOKUP(Agencia[[#This Row],[contenido]],Estructura!$E$4:$G$500,3,0)</f>
        <v>C-1022</v>
      </c>
      <c r="Z1523" s="118" t="str">
        <f>+VLOOKUP(Agencia[[#This Row],[Filtro Integrado]],Estructura!$I$4:$K$500,3,0)</f>
        <v>FI-991</v>
      </c>
      <c r="AA1523" s="118" t="str">
        <f>+VLOOKUP(Agencia[[#This Row],[Muestra]],Estructura!$M$4:$O$500,3,0)</f>
        <v>M-1117</v>
      </c>
    </row>
    <row r="1524" spans="1:27" ht="57.6" x14ac:dyDescent="0.3">
      <c r="A1524" s="21" t="s">
        <v>5994</v>
      </c>
      <c r="B1524" s="9">
        <v>990</v>
      </c>
      <c r="C1524" s="10" t="s">
        <v>401</v>
      </c>
      <c r="D1524" s="10" t="s">
        <v>5302</v>
      </c>
      <c r="E1524" s="19">
        <v>5</v>
      </c>
      <c r="F1524" s="10" t="s">
        <v>5330</v>
      </c>
      <c r="G1524" s="10" t="s">
        <v>5331</v>
      </c>
      <c r="H1524" s="35" t="s">
        <v>16</v>
      </c>
      <c r="I1524" s="36" t="s">
        <v>372</v>
      </c>
      <c r="J1524" s="76" t="s">
        <v>18</v>
      </c>
      <c r="K1524" s="9" t="s">
        <v>5335</v>
      </c>
      <c r="L1524" s="9" t="s">
        <v>5306</v>
      </c>
      <c r="M1524" s="9" t="s">
        <v>6254</v>
      </c>
      <c r="N1524" s="9" t="s">
        <v>5307</v>
      </c>
      <c r="O1524" s="20" t="str">
        <f>"Evolución de los suscriptores de televisión de pago en la "&amp;Agencia[[#This Row],[territorio]]&amp;", "&amp;Agencia[[#This Row],[temporalidad]]</f>
        <v>Evolución de los suscriptores de televisión de pago en la Región de Valparaíso, Periodo 2007-2019</v>
      </c>
      <c r="P1524" s="61"/>
      <c r="Q1524" s="11" t="s">
        <v>821</v>
      </c>
      <c r="R1524" s="20" t="s">
        <v>5344</v>
      </c>
      <c r="S1524" s="62" t="s">
        <v>5345</v>
      </c>
      <c r="T1524" s="74" t="s">
        <v>3742</v>
      </c>
      <c r="U1524" s="50" t="s">
        <v>7456</v>
      </c>
      <c r="V1524" s="118" t="str">
        <f>+Agencia[[#This Row],[idcoleccion]]&amp;"-"&amp;Agencia[[#This Row],[id]]</f>
        <v>990-1513</v>
      </c>
      <c r="W1524" s="118">
        <f>+VLOOKUP(Agencia[[#This Row],[Filtro URL]],Estructura!$X$4:$Y$500,2,0)</f>
        <v>99200005</v>
      </c>
      <c r="X1524" s="118" t="str">
        <f>+VLOOKUP(Agencia[[#This Row],[tema]],Estructura!$A$4:$C$500,3,0)</f>
        <v>T-1065</v>
      </c>
      <c r="Y1524" s="118" t="str">
        <f>+VLOOKUP(Agencia[[#This Row],[contenido]],Estructura!$E$4:$G$500,3,0)</f>
        <v>C-1022</v>
      </c>
      <c r="Z1524" s="118" t="str">
        <f>+VLOOKUP(Agencia[[#This Row],[Filtro Integrado]],Estructura!$I$4:$K$500,3,0)</f>
        <v>FI-991</v>
      </c>
      <c r="AA1524" s="118" t="str">
        <f>+VLOOKUP(Agencia[[#This Row],[Muestra]],Estructura!$M$4:$O$500,3,0)</f>
        <v>M-1117</v>
      </c>
    </row>
    <row r="1525" spans="1:27" ht="57.6" x14ac:dyDescent="0.3">
      <c r="A1525" s="21" t="s">
        <v>5995</v>
      </c>
      <c r="B1525" s="9">
        <v>990</v>
      </c>
      <c r="C1525" s="10" t="s">
        <v>401</v>
      </c>
      <c r="D1525" s="10" t="s">
        <v>5302</v>
      </c>
      <c r="E1525" s="19">
        <v>6</v>
      </c>
      <c r="F1525" s="10" t="s">
        <v>5330</v>
      </c>
      <c r="G1525" s="10" t="s">
        <v>5331</v>
      </c>
      <c r="H1525" s="35" t="s">
        <v>16</v>
      </c>
      <c r="I1525" s="36" t="s">
        <v>373</v>
      </c>
      <c r="J1525" s="76" t="s">
        <v>18</v>
      </c>
      <c r="K1525" s="9" t="s">
        <v>5335</v>
      </c>
      <c r="L1525" s="9" t="s">
        <v>5306</v>
      </c>
      <c r="M1525" s="9" t="s">
        <v>6254</v>
      </c>
      <c r="N1525" s="9" t="s">
        <v>5307</v>
      </c>
      <c r="O1525" s="20" t="str">
        <f>"Evolución de los suscriptores de televisión de pago en la "&amp;Agencia[[#This Row],[territorio]]&amp;", "&amp;Agencia[[#This Row],[temporalidad]]</f>
        <v>Evolución de los suscriptores de televisión de pago en la Región de O'Higgins, Periodo 2007-2019</v>
      </c>
      <c r="P1525" s="61"/>
      <c r="Q1525" s="11" t="s">
        <v>821</v>
      </c>
      <c r="R1525" s="20" t="s">
        <v>5346</v>
      </c>
      <c r="S1525" s="62" t="s">
        <v>5347</v>
      </c>
      <c r="T1525" s="74" t="s">
        <v>3740</v>
      </c>
      <c r="U1525" s="50" t="s">
        <v>7457</v>
      </c>
      <c r="V1525" s="118" t="str">
        <f>+Agencia[[#This Row],[idcoleccion]]&amp;"-"&amp;Agencia[[#This Row],[id]]</f>
        <v>990-1514</v>
      </c>
      <c r="W1525" s="118">
        <f>+VLOOKUP(Agencia[[#This Row],[Filtro URL]],Estructura!$X$4:$Y$500,2,0)</f>
        <v>99200006</v>
      </c>
      <c r="X1525" s="118" t="str">
        <f>+VLOOKUP(Agencia[[#This Row],[tema]],Estructura!$A$4:$C$500,3,0)</f>
        <v>T-1065</v>
      </c>
      <c r="Y1525" s="118" t="str">
        <f>+VLOOKUP(Agencia[[#This Row],[contenido]],Estructura!$E$4:$G$500,3,0)</f>
        <v>C-1022</v>
      </c>
      <c r="Z1525" s="118" t="str">
        <f>+VLOOKUP(Agencia[[#This Row],[Filtro Integrado]],Estructura!$I$4:$K$500,3,0)</f>
        <v>FI-991</v>
      </c>
      <c r="AA1525" s="118" t="str">
        <f>+VLOOKUP(Agencia[[#This Row],[Muestra]],Estructura!$M$4:$O$500,3,0)</f>
        <v>M-1117</v>
      </c>
    </row>
    <row r="1526" spans="1:27" ht="57.6" x14ac:dyDescent="0.3">
      <c r="A1526" s="21" t="s">
        <v>5996</v>
      </c>
      <c r="B1526" s="9">
        <v>990</v>
      </c>
      <c r="C1526" s="10" t="s">
        <v>401</v>
      </c>
      <c r="D1526" s="10" t="s">
        <v>5302</v>
      </c>
      <c r="E1526" s="19">
        <v>7</v>
      </c>
      <c r="F1526" s="10" t="s">
        <v>5330</v>
      </c>
      <c r="G1526" s="10" t="s">
        <v>5331</v>
      </c>
      <c r="H1526" s="35" t="s">
        <v>16</v>
      </c>
      <c r="I1526" s="36" t="s">
        <v>374</v>
      </c>
      <c r="J1526" s="76" t="s">
        <v>18</v>
      </c>
      <c r="K1526" s="9" t="s">
        <v>5335</v>
      </c>
      <c r="L1526" s="9" t="s">
        <v>5306</v>
      </c>
      <c r="M1526" s="9" t="s">
        <v>6254</v>
      </c>
      <c r="N1526" s="9" t="s">
        <v>5307</v>
      </c>
      <c r="O1526" s="20" t="str">
        <f>"Evolución de los suscriptores de televisión de pago en la "&amp;Agencia[[#This Row],[territorio]]&amp;", "&amp;Agencia[[#This Row],[temporalidad]]</f>
        <v>Evolución de los suscriptores de televisión de pago en la Región de Maule, Periodo 2007-2019</v>
      </c>
      <c r="P1526" s="61"/>
      <c r="Q1526" s="11" t="s">
        <v>821</v>
      </c>
      <c r="R1526" s="20" t="s">
        <v>5348</v>
      </c>
      <c r="S1526" s="62" t="s">
        <v>5349</v>
      </c>
      <c r="T1526" s="74" t="s">
        <v>3738</v>
      </c>
      <c r="U1526" s="50" t="s">
        <v>7458</v>
      </c>
      <c r="V1526" s="118" t="str">
        <f>+Agencia[[#This Row],[idcoleccion]]&amp;"-"&amp;Agencia[[#This Row],[id]]</f>
        <v>990-1515</v>
      </c>
      <c r="W1526" s="118">
        <f>+VLOOKUP(Agencia[[#This Row],[Filtro URL]],Estructura!$X$4:$Y$500,2,0)</f>
        <v>99200007</v>
      </c>
      <c r="X1526" s="118" t="str">
        <f>+VLOOKUP(Agencia[[#This Row],[tema]],Estructura!$A$4:$C$500,3,0)</f>
        <v>T-1065</v>
      </c>
      <c r="Y1526" s="118" t="str">
        <f>+VLOOKUP(Agencia[[#This Row],[contenido]],Estructura!$E$4:$G$500,3,0)</f>
        <v>C-1022</v>
      </c>
      <c r="Z1526" s="118" t="str">
        <f>+VLOOKUP(Agencia[[#This Row],[Filtro Integrado]],Estructura!$I$4:$K$500,3,0)</f>
        <v>FI-991</v>
      </c>
      <c r="AA1526" s="118" t="str">
        <f>+VLOOKUP(Agencia[[#This Row],[Muestra]],Estructura!$M$4:$O$500,3,0)</f>
        <v>M-1117</v>
      </c>
    </row>
    <row r="1527" spans="1:27" ht="57.6" x14ac:dyDescent="0.3">
      <c r="A1527" s="21" t="s">
        <v>5997</v>
      </c>
      <c r="B1527" s="9">
        <v>990</v>
      </c>
      <c r="C1527" s="10" t="s">
        <v>401</v>
      </c>
      <c r="D1527" s="10" t="s">
        <v>5302</v>
      </c>
      <c r="E1527" s="19">
        <v>8</v>
      </c>
      <c r="F1527" s="10" t="s">
        <v>5330</v>
      </c>
      <c r="G1527" s="10" t="s">
        <v>5331</v>
      </c>
      <c r="H1527" s="35" t="s">
        <v>16</v>
      </c>
      <c r="I1527" s="36" t="s">
        <v>375</v>
      </c>
      <c r="J1527" s="76" t="s">
        <v>18</v>
      </c>
      <c r="K1527" s="9" t="s">
        <v>5335</v>
      </c>
      <c r="L1527" s="9" t="s">
        <v>5306</v>
      </c>
      <c r="M1527" s="9" t="s">
        <v>6254</v>
      </c>
      <c r="N1527" s="9" t="s">
        <v>5307</v>
      </c>
      <c r="O1527" s="20" t="str">
        <f>"Evolución de los suscriptores de televisión de pago en la "&amp;Agencia[[#This Row],[territorio]]&amp;", "&amp;Agencia[[#This Row],[temporalidad]]</f>
        <v>Evolución de los suscriptores de televisión de pago en la Región del Biobío, Periodo 2007-2019</v>
      </c>
      <c r="P1527" s="61"/>
      <c r="Q1527" s="11" t="s">
        <v>821</v>
      </c>
      <c r="R1527" s="20" t="s">
        <v>5350</v>
      </c>
      <c r="S1527" s="62" t="s">
        <v>5351</v>
      </c>
      <c r="T1527" s="74" t="s">
        <v>3743</v>
      </c>
      <c r="U1527" s="50" t="s">
        <v>7459</v>
      </c>
      <c r="V1527" s="118" t="str">
        <f>+Agencia[[#This Row],[idcoleccion]]&amp;"-"&amp;Agencia[[#This Row],[id]]</f>
        <v>990-1516</v>
      </c>
      <c r="W1527" s="118">
        <f>+VLOOKUP(Agencia[[#This Row],[Filtro URL]],Estructura!$X$4:$Y$500,2,0)</f>
        <v>99200008</v>
      </c>
      <c r="X1527" s="118" t="str">
        <f>+VLOOKUP(Agencia[[#This Row],[tema]],Estructura!$A$4:$C$500,3,0)</f>
        <v>T-1065</v>
      </c>
      <c r="Y1527" s="118" t="str">
        <f>+VLOOKUP(Agencia[[#This Row],[contenido]],Estructura!$E$4:$G$500,3,0)</f>
        <v>C-1022</v>
      </c>
      <c r="Z1527" s="118" t="str">
        <f>+VLOOKUP(Agencia[[#This Row],[Filtro Integrado]],Estructura!$I$4:$K$500,3,0)</f>
        <v>FI-991</v>
      </c>
      <c r="AA1527" s="118" t="str">
        <f>+VLOOKUP(Agencia[[#This Row],[Muestra]],Estructura!$M$4:$O$500,3,0)</f>
        <v>M-1117</v>
      </c>
    </row>
    <row r="1528" spans="1:27" ht="57.6" x14ac:dyDescent="0.3">
      <c r="A1528" s="21" t="s">
        <v>5998</v>
      </c>
      <c r="B1528" s="9">
        <v>990</v>
      </c>
      <c r="C1528" s="10" t="s">
        <v>401</v>
      </c>
      <c r="D1528" s="10" t="s">
        <v>5302</v>
      </c>
      <c r="E1528" s="19">
        <v>9</v>
      </c>
      <c r="F1528" s="10" t="s">
        <v>5330</v>
      </c>
      <c r="G1528" s="10" t="s">
        <v>5331</v>
      </c>
      <c r="H1528" s="35" t="s">
        <v>16</v>
      </c>
      <c r="I1528" s="36" t="s">
        <v>376</v>
      </c>
      <c r="J1528" s="76" t="s">
        <v>18</v>
      </c>
      <c r="K1528" s="9" t="s">
        <v>5335</v>
      </c>
      <c r="L1528" s="9" t="s">
        <v>5306</v>
      </c>
      <c r="M1528" s="9" t="s">
        <v>6254</v>
      </c>
      <c r="N1528" s="9" t="s">
        <v>5307</v>
      </c>
      <c r="O1528" s="20" t="str">
        <f>"Evolución de los suscriptores de televisión de pago en la "&amp;Agencia[[#This Row],[territorio]]&amp;", "&amp;Agencia[[#This Row],[temporalidad]]</f>
        <v>Evolución de los suscriptores de televisión de pago en la Región de La Araucanía, Periodo 2007-2019</v>
      </c>
      <c r="P1528" s="61"/>
      <c r="Q1528" s="11" t="s">
        <v>821</v>
      </c>
      <c r="R1528" s="20" t="s">
        <v>5352</v>
      </c>
      <c r="S1528" s="62" t="s">
        <v>5353</v>
      </c>
      <c r="T1528" s="74" t="s">
        <v>3734</v>
      </c>
      <c r="U1528" s="50" t="s">
        <v>7460</v>
      </c>
      <c r="V1528" s="118" t="str">
        <f>+Agencia[[#This Row],[idcoleccion]]&amp;"-"&amp;Agencia[[#This Row],[id]]</f>
        <v>990-1517</v>
      </c>
      <c r="W1528" s="118">
        <f>+VLOOKUP(Agencia[[#This Row],[Filtro URL]],Estructura!$X$4:$Y$500,2,0)</f>
        <v>99200009</v>
      </c>
      <c r="X1528" s="118" t="str">
        <f>+VLOOKUP(Agencia[[#This Row],[tema]],Estructura!$A$4:$C$500,3,0)</f>
        <v>T-1065</v>
      </c>
      <c r="Y1528" s="118" t="str">
        <f>+VLOOKUP(Agencia[[#This Row],[contenido]],Estructura!$E$4:$G$500,3,0)</f>
        <v>C-1022</v>
      </c>
      <c r="Z1528" s="118" t="str">
        <f>+VLOOKUP(Agencia[[#This Row],[Filtro Integrado]],Estructura!$I$4:$K$500,3,0)</f>
        <v>FI-991</v>
      </c>
      <c r="AA1528" s="118" t="str">
        <f>+VLOOKUP(Agencia[[#This Row],[Muestra]],Estructura!$M$4:$O$500,3,0)</f>
        <v>M-1117</v>
      </c>
    </row>
    <row r="1529" spans="1:27" ht="57.6" x14ac:dyDescent="0.3">
      <c r="A1529" s="21" t="s">
        <v>5999</v>
      </c>
      <c r="B1529" s="9">
        <v>990</v>
      </c>
      <c r="C1529" s="10" t="s">
        <v>401</v>
      </c>
      <c r="D1529" s="10" t="s">
        <v>5302</v>
      </c>
      <c r="E1529" s="19">
        <v>10</v>
      </c>
      <c r="F1529" s="10" t="s">
        <v>5330</v>
      </c>
      <c r="G1529" s="10" t="s">
        <v>5331</v>
      </c>
      <c r="H1529" s="35" t="s">
        <v>16</v>
      </c>
      <c r="I1529" s="36" t="s">
        <v>377</v>
      </c>
      <c r="J1529" s="76" t="s">
        <v>18</v>
      </c>
      <c r="K1529" s="9" t="s">
        <v>5335</v>
      </c>
      <c r="L1529" s="9" t="s">
        <v>5306</v>
      </c>
      <c r="M1529" s="9" t="s">
        <v>6254</v>
      </c>
      <c r="N1529" s="9" t="s">
        <v>5307</v>
      </c>
      <c r="O1529" s="20" t="str">
        <f>"Evolución de los suscriptores de televisión de pago en la "&amp;Agencia[[#This Row],[territorio]]&amp;", "&amp;Agencia[[#This Row],[temporalidad]]</f>
        <v>Evolución de los suscriptores de televisión de pago en la Región de Los Lagos, Periodo 2007-2019</v>
      </c>
      <c r="P1529" s="61"/>
      <c r="Q1529" s="11" t="s">
        <v>821</v>
      </c>
      <c r="R1529" s="20" t="s">
        <v>5354</v>
      </c>
      <c r="S1529" s="62" t="s">
        <v>5355</v>
      </c>
      <c r="T1529" s="74" t="s">
        <v>3735</v>
      </c>
      <c r="U1529" s="50" t="s">
        <v>7461</v>
      </c>
      <c r="V1529" s="118" t="str">
        <f>+Agencia[[#This Row],[idcoleccion]]&amp;"-"&amp;Agencia[[#This Row],[id]]</f>
        <v>990-1518</v>
      </c>
      <c r="W1529" s="118">
        <f>+VLOOKUP(Agencia[[#This Row],[Filtro URL]],Estructura!$X$4:$Y$500,2,0)</f>
        <v>99200010</v>
      </c>
      <c r="X1529" s="118" t="str">
        <f>+VLOOKUP(Agencia[[#This Row],[tema]],Estructura!$A$4:$C$500,3,0)</f>
        <v>T-1065</v>
      </c>
      <c r="Y1529" s="118" t="str">
        <f>+VLOOKUP(Agencia[[#This Row],[contenido]],Estructura!$E$4:$G$500,3,0)</f>
        <v>C-1022</v>
      </c>
      <c r="Z1529" s="118" t="str">
        <f>+VLOOKUP(Agencia[[#This Row],[Filtro Integrado]],Estructura!$I$4:$K$500,3,0)</f>
        <v>FI-991</v>
      </c>
      <c r="AA1529" s="118" t="str">
        <f>+VLOOKUP(Agencia[[#This Row],[Muestra]],Estructura!$M$4:$O$500,3,0)</f>
        <v>M-1117</v>
      </c>
    </row>
    <row r="1530" spans="1:27" ht="57.6" x14ac:dyDescent="0.3">
      <c r="A1530" s="21" t="s">
        <v>6000</v>
      </c>
      <c r="B1530" s="9">
        <v>990</v>
      </c>
      <c r="C1530" s="10" t="s">
        <v>401</v>
      </c>
      <c r="D1530" s="10" t="s">
        <v>5302</v>
      </c>
      <c r="E1530" s="19">
        <v>11</v>
      </c>
      <c r="F1530" s="10" t="s">
        <v>5330</v>
      </c>
      <c r="G1530" s="10" t="s">
        <v>5331</v>
      </c>
      <c r="H1530" s="35" t="s">
        <v>16</v>
      </c>
      <c r="I1530" s="36" t="s">
        <v>378</v>
      </c>
      <c r="J1530" s="76" t="s">
        <v>18</v>
      </c>
      <c r="K1530" s="9" t="s">
        <v>5335</v>
      </c>
      <c r="L1530" s="9" t="s">
        <v>5306</v>
      </c>
      <c r="M1530" s="9" t="s">
        <v>6254</v>
      </c>
      <c r="N1530" s="9" t="s">
        <v>5307</v>
      </c>
      <c r="O1530" s="20" t="str">
        <f>"Evolución de los suscriptores de televisión de pago en la "&amp;Agencia[[#This Row],[territorio]]&amp;", "&amp;Agencia[[#This Row],[temporalidad]]</f>
        <v>Evolución de los suscriptores de televisión de pago en la Región de Aysén, Periodo 2007-2019</v>
      </c>
      <c r="P1530" s="61"/>
      <c r="Q1530" s="11" t="s">
        <v>821</v>
      </c>
      <c r="R1530" s="20" t="s">
        <v>5356</v>
      </c>
      <c r="S1530" s="62" t="s">
        <v>5357</v>
      </c>
      <c r="T1530" s="74" t="s">
        <v>3732</v>
      </c>
      <c r="U1530" s="50" t="s">
        <v>7462</v>
      </c>
      <c r="V1530" s="118" t="str">
        <f>+Agencia[[#This Row],[idcoleccion]]&amp;"-"&amp;Agencia[[#This Row],[id]]</f>
        <v>990-1519</v>
      </c>
      <c r="W1530" s="118">
        <f>+VLOOKUP(Agencia[[#This Row],[Filtro URL]],Estructura!$X$4:$Y$500,2,0)</f>
        <v>99200011</v>
      </c>
      <c r="X1530" s="118" t="str">
        <f>+VLOOKUP(Agencia[[#This Row],[tema]],Estructura!$A$4:$C$500,3,0)</f>
        <v>T-1065</v>
      </c>
      <c r="Y1530" s="118" t="str">
        <f>+VLOOKUP(Agencia[[#This Row],[contenido]],Estructura!$E$4:$G$500,3,0)</f>
        <v>C-1022</v>
      </c>
      <c r="Z1530" s="118" t="str">
        <f>+VLOOKUP(Agencia[[#This Row],[Filtro Integrado]],Estructura!$I$4:$K$500,3,0)</f>
        <v>FI-991</v>
      </c>
      <c r="AA1530" s="118" t="str">
        <f>+VLOOKUP(Agencia[[#This Row],[Muestra]],Estructura!$M$4:$O$500,3,0)</f>
        <v>M-1117</v>
      </c>
    </row>
    <row r="1531" spans="1:27" ht="57.6" x14ac:dyDescent="0.3">
      <c r="A1531" s="21" t="s">
        <v>6001</v>
      </c>
      <c r="B1531" s="9">
        <v>990</v>
      </c>
      <c r="C1531" s="10" t="s">
        <v>401</v>
      </c>
      <c r="D1531" s="10" t="s">
        <v>5302</v>
      </c>
      <c r="E1531" s="19">
        <v>12</v>
      </c>
      <c r="F1531" s="10" t="s">
        <v>5330</v>
      </c>
      <c r="G1531" s="10" t="s">
        <v>5331</v>
      </c>
      <c r="H1531" s="35" t="s">
        <v>16</v>
      </c>
      <c r="I1531" s="36" t="s">
        <v>379</v>
      </c>
      <c r="J1531" s="76" t="s">
        <v>18</v>
      </c>
      <c r="K1531" s="9" t="s">
        <v>5335</v>
      </c>
      <c r="L1531" s="9" t="s">
        <v>5306</v>
      </c>
      <c r="M1531" s="9" t="s">
        <v>6254</v>
      </c>
      <c r="N1531" s="9" t="s">
        <v>5307</v>
      </c>
      <c r="O1531" s="20" t="str">
        <f>"Evolución de los suscriptores de televisión de pago en la "&amp;Agencia[[#This Row],[territorio]]&amp;", "&amp;Agencia[[#This Row],[temporalidad]]</f>
        <v>Evolución de los suscriptores de televisión de pago en la Región de Magallanes, Periodo 2007-2019</v>
      </c>
      <c r="P1531" s="61"/>
      <c r="Q1531" s="11" t="s">
        <v>821</v>
      </c>
      <c r="R1531" s="20" t="s">
        <v>5358</v>
      </c>
      <c r="S1531" s="62" t="s">
        <v>5359</v>
      </c>
      <c r="T1531" s="74" t="s">
        <v>3737</v>
      </c>
      <c r="U1531" s="50" t="s">
        <v>7463</v>
      </c>
      <c r="V1531" s="118" t="str">
        <f>+Agencia[[#This Row],[idcoleccion]]&amp;"-"&amp;Agencia[[#This Row],[id]]</f>
        <v>990-1520</v>
      </c>
      <c r="W1531" s="118">
        <f>+VLOOKUP(Agencia[[#This Row],[Filtro URL]],Estructura!$X$4:$Y$500,2,0)</f>
        <v>99200012</v>
      </c>
      <c r="X1531" s="118" t="str">
        <f>+VLOOKUP(Agencia[[#This Row],[tema]],Estructura!$A$4:$C$500,3,0)</f>
        <v>T-1065</v>
      </c>
      <c r="Y1531" s="118" t="str">
        <f>+VLOOKUP(Agencia[[#This Row],[contenido]],Estructura!$E$4:$G$500,3,0)</f>
        <v>C-1022</v>
      </c>
      <c r="Z1531" s="118" t="str">
        <f>+VLOOKUP(Agencia[[#This Row],[Filtro Integrado]],Estructura!$I$4:$K$500,3,0)</f>
        <v>FI-991</v>
      </c>
      <c r="AA1531" s="118" t="str">
        <f>+VLOOKUP(Agencia[[#This Row],[Muestra]],Estructura!$M$4:$O$500,3,0)</f>
        <v>M-1117</v>
      </c>
    </row>
    <row r="1532" spans="1:27" ht="57.6" x14ac:dyDescent="0.3">
      <c r="A1532" s="21" t="s">
        <v>6002</v>
      </c>
      <c r="B1532" s="9">
        <v>990</v>
      </c>
      <c r="C1532" s="10" t="s">
        <v>401</v>
      </c>
      <c r="D1532" s="10" t="s">
        <v>5302</v>
      </c>
      <c r="E1532" s="19">
        <v>13</v>
      </c>
      <c r="F1532" s="10" t="s">
        <v>5330</v>
      </c>
      <c r="G1532" s="10" t="s">
        <v>5331</v>
      </c>
      <c r="H1532" s="35" t="s">
        <v>16</v>
      </c>
      <c r="I1532" s="36" t="s">
        <v>380</v>
      </c>
      <c r="J1532" s="76" t="s">
        <v>18</v>
      </c>
      <c r="K1532" s="9" t="s">
        <v>5335</v>
      </c>
      <c r="L1532" s="9" t="s">
        <v>5306</v>
      </c>
      <c r="M1532" s="9" t="s">
        <v>6254</v>
      </c>
      <c r="N1532" s="9" t="s">
        <v>5307</v>
      </c>
      <c r="O1532" s="20" t="str">
        <f>"Evolución de los suscriptores de televisión de pago en la "&amp;Agencia[[#This Row],[territorio]]&amp;", "&amp;Agencia[[#This Row],[temporalidad]]</f>
        <v>Evolución de los suscriptores de televisión de pago en la Región Metropolitana, Periodo 2007-2019</v>
      </c>
      <c r="P1532" s="61"/>
      <c r="Q1532" s="11" t="s">
        <v>821</v>
      </c>
      <c r="R1532" s="20" t="s">
        <v>5360</v>
      </c>
      <c r="S1532" s="62" t="s">
        <v>5361</v>
      </c>
      <c r="T1532" s="74" t="s">
        <v>3744</v>
      </c>
      <c r="U1532" s="50" t="s">
        <v>7464</v>
      </c>
      <c r="V1532" s="118" t="str">
        <f>+Agencia[[#This Row],[idcoleccion]]&amp;"-"&amp;Agencia[[#This Row],[id]]</f>
        <v>990-1521</v>
      </c>
      <c r="W1532" s="118">
        <f>+VLOOKUP(Agencia[[#This Row],[Filtro URL]],Estructura!$X$4:$Y$500,2,0)</f>
        <v>99200013</v>
      </c>
      <c r="X1532" s="118" t="str">
        <f>+VLOOKUP(Agencia[[#This Row],[tema]],Estructura!$A$4:$C$500,3,0)</f>
        <v>T-1065</v>
      </c>
      <c r="Y1532" s="118" t="str">
        <f>+VLOOKUP(Agencia[[#This Row],[contenido]],Estructura!$E$4:$G$500,3,0)</f>
        <v>C-1022</v>
      </c>
      <c r="Z1532" s="118" t="str">
        <f>+VLOOKUP(Agencia[[#This Row],[Filtro Integrado]],Estructura!$I$4:$K$500,3,0)</f>
        <v>FI-991</v>
      </c>
      <c r="AA1532" s="118" t="str">
        <f>+VLOOKUP(Agencia[[#This Row],[Muestra]],Estructura!$M$4:$O$500,3,0)</f>
        <v>M-1117</v>
      </c>
    </row>
    <row r="1533" spans="1:27" ht="57.6" x14ac:dyDescent="0.3">
      <c r="A1533" s="21" t="s">
        <v>6003</v>
      </c>
      <c r="B1533" s="9">
        <v>990</v>
      </c>
      <c r="C1533" s="10" t="s">
        <v>401</v>
      </c>
      <c r="D1533" s="10" t="s">
        <v>5302</v>
      </c>
      <c r="E1533" s="19">
        <v>14</v>
      </c>
      <c r="F1533" s="10" t="s">
        <v>5330</v>
      </c>
      <c r="G1533" s="10" t="s">
        <v>5331</v>
      </c>
      <c r="H1533" s="35" t="s">
        <v>16</v>
      </c>
      <c r="I1533" s="36" t="s">
        <v>381</v>
      </c>
      <c r="J1533" s="76" t="s">
        <v>18</v>
      </c>
      <c r="K1533" s="9" t="s">
        <v>5335</v>
      </c>
      <c r="L1533" s="9" t="s">
        <v>5306</v>
      </c>
      <c r="M1533" s="9" t="s">
        <v>6254</v>
      </c>
      <c r="N1533" s="9" t="s">
        <v>5307</v>
      </c>
      <c r="O1533" s="20" t="str">
        <f>"Evolución de los suscriptores de televisión de pago en la "&amp;Agencia[[#This Row],[territorio]]&amp;", "&amp;Agencia[[#This Row],[temporalidad]]</f>
        <v>Evolución de los suscriptores de televisión de pago en la Región de Los Ríos, Periodo 2007-2019</v>
      </c>
      <c r="P1533" s="61"/>
      <c r="Q1533" s="11" t="s">
        <v>821</v>
      </c>
      <c r="R1533" s="20" t="s">
        <v>5362</v>
      </c>
      <c r="S1533" s="62" t="s">
        <v>5363</v>
      </c>
      <c r="T1533" s="74" t="s">
        <v>3736</v>
      </c>
      <c r="U1533" s="50" t="s">
        <v>7465</v>
      </c>
      <c r="V1533" s="118" t="str">
        <f>+Agencia[[#This Row],[idcoleccion]]&amp;"-"&amp;Agencia[[#This Row],[id]]</f>
        <v>990-1522</v>
      </c>
      <c r="W1533" s="118">
        <f>+VLOOKUP(Agencia[[#This Row],[Filtro URL]],Estructura!$X$4:$Y$500,2,0)</f>
        <v>99200014</v>
      </c>
      <c r="X1533" s="118" t="str">
        <f>+VLOOKUP(Agencia[[#This Row],[tema]],Estructura!$A$4:$C$500,3,0)</f>
        <v>T-1065</v>
      </c>
      <c r="Y1533" s="118" t="str">
        <f>+VLOOKUP(Agencia[[#This Row],[contenido]],Estructura!$E$4:$G$500,3,0)</f>
        <v>C-1022</v>
      </c>
      <c r="Z1533" s="118" t="str">
        <f>+VLOOKUP(Agencia[[#This Row],[Filtro Integrado]],Estructura!$I$4:$K$500,3,0)</f>
        <v>FI-991</v>
      </c>
      <c r="AA1533" s="118" t="str">
        <f>+VLOOKUP(Agencia[[#This Row],[Muestra]],Estructura!$M$4:$O$500,3,0)</f>
        <v>M-1117</v>
      </c>
    </row>
    <row r="1534" spans="1:27" ht="57.6" x14ac:dyDescent="0.3">
      <c r="A1534" s="21" t="s">
        <v>6004</v>
      </c>
      <c r="B1534" s="9">
        <v>990</v>
      </c>
      <c r="C1534" s="10" t="s">
        <v>401</v>
      </c>
      <c r="D1534" s="10" t="s">
        <v>5302</v>
      </c>
      <c r="E1534" s="19">
        <v>15</v>
      </c>
      <c r="F1534" s="10" t="s">
        <v>5330</v>
      </c>
      <c r="G1534" s="10" t="s">
        <v>5331</v>
      </c>
      <c r="H1534" s="35" t="s">
        <v>16</v>
      </c>
      <c r="I1534" s="36" t="s">
        <v>382</v>
      </c>
      <c r="J1534" s="76" t="s">
        <v>18</v>
      </c>
      <c r="K1534" s="9" t="s">
        <v>5335</v>
      </c>
      <c r="L1534" s="9" t="s">
        <v>5306</v>
      </c>
      <c r="M1534" s="9" t="s">
        <v>6254</v>
      </c>
      <c r="N1534" s="9" t="s">
        <v>5307</v>
      </c>
      <c r="O1534" s="20" t="str">
        <f>"Evolución de los suscriptores de televisión de pago en la "&amp;Agencia[[#This Row],[territorio]]&amp;", "&amp;Agencia[[#This Row],[temporalidad]]</f>
        <v>Evolución de los suscriptores de televisión de pago en la Región de Arica y Parinacota, Periodo 2007-2019</v>
      </c>
      <c r="P1534" s="61"/>
      <c r="Q1534" s="11" t="s">
        <v>821</v>
      </c>
      <c r="R1534" s="20" t="s">
        <v>5364</v>
      </c>
      <c r="S1534" s="62" t="s">
        <v>5365</v>
      </c>
      <c r="T1534" s="74" t="s">
        <v>3730</v>
      </c>
      <c r="U1534" s="50" t="s">
        <v>7466</v>
      </c>
      <c r="V1534" s="118" t="str">
        <f>+Agencia[[#This Row],[idcoleccion]]&amp;"-"&amp;Agencia[[#This Row],[id]]</f>
        <v>990-1523</v>
      </c>
      <c r="W1534" s="118">
        <f>+VLOOKUP(Agencia[[#This Row],[Filtro URL]],Estructura!$X$4:$Y$500,2,0)</f>
        <v>99200015</v>
      </c>
      <c r="X1534" s="118" t="str">
        <f>+VLOOKUP(Agencia[[#This Row],[tema]],Estructura!$A$4:$C$500,3,0)</f>
        <v>T-1065</v>
      </c>
      <c r="Y1534" s="118" t="str">
        <f>+VLOOKUP(Agencia[[#This Row],[contenido]],Estructura!$E$4:$G$500,3,0)</f>
        <v>C-1022</v>
      </c>
      <c r="Z1534" s="118" t="str">
        <f>+VLOOKUP(Agencia[[#This Row],[Filtro Integrado]],Estructura!$I$4:$K$500,3,0)</f>
        <v>FI-991</v>
      </c>
      <c r="AA1534" s="118" t="str">
        <f>+VLOOKUP(Agencia[[#This Row],[Muestra]],Estructura!$M$4:$O$500,3,0)</f>
        <v>M-1117</v>
      </c>
    </row>
    <row r="1535" spans="1:27" ht="57.6" x14ac:dyDescent="0.3">
      <c r="A1535" s="21" t="s">
        <v>6005</v>
      </c>
      <c r="B1535" s="9">
        <v>990</v>
      </c>
      <c r="C1535" s="10" t="s">
        <v>401</v>
      </c>
      <c r="D1535" s="10" t="s">
        <v>5302</v>
      </c>
      <c r="E1535" s="19">
        <v>16</v>
      </c>
      <c r="F1535" s="10" t="s">
        <v>5330</v>
      </c>
      <c r="G1535" s="10" t="s">
        <v>5331</v>
      </c>
      <c r="H1535" s="35" t="s">
        <v>16</v>
      </c>
      <c r="I1535" s="36" t="s">
        <v>383</v>
      </c>
      <c r="J1535" s="76" t="s">
        <v>18</v>
      </c>
      <c r="K1535" s="9" t="s">
        <v>5335</v>
      </c>
      <c r="L1535" s="9" t="s">
        <v>5306</v>
      </c>
      <c r="M1535" s="9" t="s">
        <v>6254</v>
      </c>
      <c r="N1535" s="9" t="s">
        <v>5307</v>
      </c>
      <c r="O1535" s="20" t="str">
        <f>"Evolución de los suscriptores de televisión de pago en la "&amp;Agencia[[#This Row],[territorio]]&amp;", "&amp;Agencia[[#This Row],[temporalidad]]</f>
        <v>Evolución de los suscriptores de televisión de pago en la Región de Ñuble, Periodo 2007-2019</v>
      </c>
      <c r="P1535" s="61"/>
      <c r="Q1535" s="11" t="s">
        <v>821</v>
      </c>
      <c r="R1535" s="20" t="s">
        <v>5366</v>
      </c>
      <c r="S1535" s="62" t="s">
        <v>5367</v>
      </c>
      <c r="T1535" s="74" t="s">
        <v>3739</v>
      </c>
      <c r="U1535" s="50" t="s">
        <v>7467</v>
      </c>
      <c r="V1535" s="118" t="str">
        <f>+Agencia[[#This Row],[idcoleccion]]&amp;"-"&amp;Agencia[[#This Row],[id]]</f>
        <v>990-1524</v>
      </c>
      <c r="W1535" s="118">
        <f>+VLOOKUP(Agencia[[#This Row],[Filtro URL]],Estructura!$X$4:$Y$500,2,0)</f>
        <v>99200016</v>
      </c>
      <c r="X1535" s="118" t="str">
        <f>+VLOOKUP(Agencia[[#This Row],[tema]],Estructura!$A$4:$C$500,3,0)</f>
        <v>T-1065</v>
      </c>
      <c r="Y1535" s="118" t="str">
        <f>+VLOOKUP(Agencia[[#This Row],[contenido]],Estructura!$E$4:$G$500,3,0)</f>
        <v>C-1022</v>
      </c>
      <c r="Z1535" s="118" t="str">
        <f>+VLOOKUP(Agencia[[#This Row],[Filtro Integrado]],Estructura!$I$4:$K$500,3,0)</f>
        <v>FI-991</v>
      </c>
      <c r="AA1535" s="118" t="str">
        <f>+VLOOKUP(Agencia[[#This Row],[Muestra]],Estructura!$M$4:$O$500,3,0)</f>
        <v>M-1117</v>
      </c>
    </row>
    <row r="1536" spans="1:27" ht="72" x14ac:dyDescent="0.3">
      <c r="A1536" s="21" t="s">
        <v>6006</v>
      </c>
      <c r="B1536" s="9">
        <v>990</v>
      </c>
      <c r="C1536" s="10" t="s">
        <v>401</v>
      </c>
      <c r="D1536" s="10" t="s">
        <v>5302</v>
      </c>
      <c r="E1536" s="14">
        <v>0</v>
      </c>
      <c r="F1536" s="10" t="s">
        <v>5330</v>
      </c>
      <c r="G1536" s="10" t="s">
        <v>5331</v>
      </c>
      <c r="H1536" s="33" t="s">
        <v>20</v>
      </c>
      <c r="I1536" s="34" t="s">
        <v>15</v>
      </c>
      <c r="J1536" s="76" t="s">
        <v>16</v>
      </c>
      <c r="K1536" s="9" t="s">
        <v>5332</v>
      </c>
      <c r="L1536" s="9" t="s">
        <v>886</v>
      </c>
      <c r="M1536" s="9" t="s">
        <v>6254</v>
      </c>
      <c r="N1536" s="9" t="s">
        <v>5307</v>
      </c>
      <c r="O1536" s="20" t="s">
        <v>5368</v>
      </c>
      <c r="P1536" s="9" t="s">
        <v>5369</v>
      </c>
      <c r="Q1536" s="11" t="s">
        <v>596</v>
      </c>
      <c r="R1536" s="20" t="s">
        <v>5370</v>
      </c>
      <c r="S1536" s="62" t="s">
        <v>5371</v>
      </c>
      <c r="T1536" s="74" t="s">
        <v>855</v>
      </c>
      <c r="U1536" s="50" t="s">
        <v>7468</v>
      </c>
      <c r="V1536" s="118" t="str">
        <f>+Agencia[[#This Row],[idcoleccion]]&amp;"-"&amp;Agencia[[#This Row],[id]]</f>
        <v>990-1525</v>
      </c>
      <c r="W1536" s="118">
        <f>+VLOOKUP(Agencia[[#This Row],[Filtro URL]],Estructura!$X$4:$Y$500,2,0)</f>
        <v>99100000</v>
      </c>
      <c r="X1536" s="118" t="str">
        <f>+VLOOKUP(Agencia[[#This Row],[tema]],Estructura!$A$4:$C$500,3,0)</f>
        <v>T-1065</v>
      </c>
      <c r="Y1536" s="118" t="str">
        <f>+VLOOKUP(Agencia[[#This Row],[contenido]],Estructura!$E$4:$G$500,3,0)</f>
        <v>C-1022</v>
      </c>
      <c r="Z1536" s="118" t="str">
        <f>+VLOOKUP(Agencia[[#This Row],[Filtro Integrado]],Estructura!$I$4:$K$500,3,0)</f>
        <v>FI-992</v>
      </c>
      <c r="AA1536" s="118" t="str">
        <f>+VLOOKUP(Agencia[[#This Row],[Muestra]],Estructura!$M$4:$O$500,3,0)</f>
        <v>M-1116</v>
      </c>
    </row>
    <row r="1537" spans="1:27" ht="57.6" x14ac:dyDescent="0.3">
      <c r="A1537" s="21" t="s">
        <v>6007</v>
      </c>
      <c r="B1537" s="9">
        <v>990</v>
      </c>
      <c r="C1537" s="10" t="s">
        <v>401</v>
      </c>
      <c r="D1537" s="10" t="s">
        <v>5302</v>
      </c>
      <c r="E1537" s="19">
        <v>1</v>
      </c>
      <c r="F1537" s="10" t="s">
        <v>5330</v>
      </c>
      <c r="G1537" s="10" t="s">
        <v>5331</v>
      </c>
      <c r="H1537" s="35" t="s">
        <v>16</v>
      </c>
      <c r="I1537" s="36" t="s">
        <v>368</v>
      </c>
      <c r="J1537" s="76" t="s">
        <v>404</v>
      </c>
      <c r="K1537" s="9" t="s">
        <v>5335</v>
      </c>
      <c r="L1537" s="9" t="s">
        <v>886</v>
      </c>
      <c r="M1537" s="9" t="s">
        <v>6254</v>
      </c>
      <c r="N1537" s="9" t="s">
        <v>5307</v>
      </c>
      <c r="O1537" s="20" t="s">
        <v>5372</v>
      </c>
      <c r="P1537" s="61"/>
      <c r="Q1537" s="11" t="s">
        <v>596</v>
      </c>
      <c r="R1537" s="20" t="s">
        <v>5373</v>
      </c>
      <c r="S1537" s="62" t="s">
        <v>5374</v>
      </c>
      <c r="T1537" s="74" t="s">
        <v>3741</v>
      </c>
      <c r="U1537" s="50" t="s">
        <v>7469</v>
      </c>
      <c r="V1537" s="118" t="str">
        <f>+Agencia[[#This Row],[idcoleccion]]&amp;"-"&amp;Agencia[[#This Row],[id]]</f>
        <v>990-1526</v>
      </c>
      <c r="W1537" s="118">
        <f>+VLOOKUP(Agencia[[#This Row],[Filtro URL]],Estructura!$X$4:$Y$500,2,0)</f>
        <v>99200001</v>
      </c>
      <c r="X1537" s="118" t="str">
        <f>+VLOOKUP(Agencia[[#This Row],[tema]],Estructura!$A$4:$C$500,3,0)</f>
        <v>T-1065</v>
      </c>
      <c r="Y1537" s="118" t="str">
        <f>+VLOOKUP(Agencia[[#This Row],[contenido]],Estructura!$E$4:$G$500,3,0)</f>
        <v>C-1022</v>
      </c>
      <c r="Z1537" s="118" t="str">
        <f>+VLOOKUP(Agencia[[#This Row],[Filtro Integrado]],Estructura!$I$4:$K$500,3,0)</f>
        <v>FI-993</v>
      </c>
      <c r="AA1537" s="118" t="str">
        <f>+VLOOKUP(Agencia[[#This Row],[Muestra]],Estructura!$M$4:$O$500,3,0)</f>
        <v>M-1117</v>
      </c>
    </row>
    <row r="1538" spans="1:27" ht="57.6" x14ac:dyDescent="0.3">
      <c r="A1538" s="21" t="s">
        <v>6008</v>
      </c>
      <c r="B1538" s="9">
        <v>990</v>
      </c>
      <c r="C1538" s="10" t="s">
        <v>401</v>
      </c>
      <c r="D1538" s="10" t="s">
        <v>5302</v>
      </c>
      <c r="E1538" s="19">
        <v>2</v>
      </c>
      <c r="F1538" s="10" t="s">
        <v>5330</v>
      </c>
      <c r="G1538" s="10" t="s">
        <v>5331</v>
      </c>
      <c r="H1538" s="35" t="s">
        <v>16</v>
      </c>
      <c r="I1538" s="36" t="s">
        <v>369</v>
      </c>
      <c r="J1538" s="76" t="s">
        <v>404</v>
      </c>
      <c r="K1538" s="9" t="s">
        <v>5335</v>
      </c>
      <c r="L1538" s="9" t="s">
        <v>886</v>
      </c>
      <c r="M1538" s="9" t="s">
        <v>6254</v>
      </c>
      <c r="N1538" s="9" t="s">
        <v>5307</v>
      </c>
      <c r="O1538" s="20" t="s">
        <v>5375</v>
      </c>
      <c r="P1538" s="61"/>
      <c r="Q1538" s="11" t="s">
        <v>596</v>
      </c>
      <c r="R1538" s="20" t="s">
        <v>5376</v>
      </c>
      <c r="S1538" s="62" t="s">
        <v>5377</v>
      </c>
      <c r="T1538" s="74" t="s">
        <v>3729</v>
      </c>
      <c r="U1538" s="50" t="s">
        <v>7470</v>
      </c>
      <c r="V1538" s="118" t="str">
        <f>+Agencia[[#This Row],[idcoleccion]]&amp;"-"&amp;Agencia[[#This Row],[id]]</f>
        <v>990-1527</v>
      </c>
      <c r="W1538" s="118">
        <f>+VLOOKUP(Agencia[[#This Row],[Filtro URL]],Estructura!$X$4:$Y$500,2,0)</f>
        <v>99200002</v>
      </c>
      <c r="X1538" s="118" t="str">
        <f>+VLOOKUP(Agencia[[#This Row],[tema]],Estructura!$A$4:$C$500,3,0)</f>
        <v>T-1065</v>
      </c>
      <c r="Y1538" s="118" t="str">
        <f>+VLOOKUP(Agencia[[#This Row],[contenido]],Estructura!$E$4:$G$500,3,0)</f>
        <v>C-1022</v>
      </c>
      <c r="Z1538" s="118" t="str">
        <f>+VLOOKUP(Agencia[[#This Row],[Filtro Integrado]],Estructura!$I$4:$K$500,3,0)</f>
        <v>FI-993</v>
      </c>
      <c r="AA1538" s="118" t="str">
        <f>+VLOOKUP(Agencia[[#This Row],[Muestra]],Estructura!$M$4:$O$500,3,0)</f>
        <v>M-1117</v>
      </c>
    </row>
    <row r="1539" spans="1:27" ht="57.6" x14ac:dyDescent="0.3">
      <c r="A1539" s="21" t="s">
        <v>6009</v>
      </c>
      <c r="B1539" s="9">
        <v>990</v>
      </c>
      <c r="C1539" s="10" t="s">
        <v>401</v>
      </c>
      <c r="D1539" s="10" t="s">
        <v>5302</v>
      </c>
      <c r="E1539" s="19">
        <v>3</v>
      </c>
      <c r="F1539" s="10" t="s">
        <v>5330</v>
      </c>
      <c r="G1539" s="10" t="s">
        <v>5331</v>
      </c>
      <c r="H1539" s="35" t="s">
        <v>16</v>
      </c>
      <c r="I1539" s="36" t="s">
        <v>370</v>
      </c>
      <c r="J1539" s="76" t="s">
        <v>404</v>
      </c>
      <c r="K1539" s="9" t="s">
        <v>5335</v>
      </c>
      <c r="L1539" s="9" t="s">
        <v>886</v>
      </c>
      <c r="M1539" s="9" t="s">
        <v>6254</v>
      </c>
      <c r="N1539" s="9" t="s">
        <v>5307</v>
      </c>
      <c r="O1539" s="20" t="s">
        <v>5378</v>
      </c>
      <c r="P1539" s="61"/>
      <c r="Q1539" s="11" t="s">
        <v>596</v>
      </c>
      <c r="R1539" s="20" t="s">
        <v>5379</v>
      </c>
      <c r="S1539" s="62" t="s">
        <v>5380</v>
      </c>
      <c r="T1539" s="74" t="s">
        <v>3731</v>
      </c>
      <c r="U1539" s="50" t="s">
        <v>7471</v>
      </c>
      <c r="V1539" s="118" t="str">
        <f>+Agencia[[#This Row],[idcoleccion]]&amp;"-"&amp;Agencia[[#This Row],[id]]</f>
        <v>990-1528</v>
      </c>
      <c r="W1539" s="118">
        <f>+VLOOKUP(Agencia[[#This Row],[Filtro URL]],Estructura!$X$4:$Y$500,2,0)</f>
        <v>99200003</v>
      </c>
      <c r="X1539" s="118" t="str">
        <f>+VLOOKUP(Agencia[[#This Row],[tema]],Estructura!$A$4:$C$500,3,0)</f>
        <v>T-1065</v>
      </c>
      <c r="Y1539" s="118" t="str">
        <f>+VLOOKUP(Agencia[[#This Row],[contenido]],Estructura!$E$4:$G$500,3,0)</f>
        <v>C-1022</v>
      </c>
      <c r="Z1539" s="118" t="str">
        <f>+VLOOKUP(Agencia[[#This Row],[Filtro Integrado]],Estructura!$I$4:$K$500,3,0)</f>
        <v>FI-993</v>
      </c>
      <c r="AA1539" s="118" t="str">
        <f>+VLOOKUP(Agencia[[#This Row],[Muestra]],Estructura!$M$4:$O$500,3,0)</f>
        <v>M-1117</v>
      </c>
    </row>
    <row r="1540" spans="1:27" ht="57.6" x14ac:dyDescent="0.3">
      <c r="A1540" s="21" t="s">
        <v>6010</v>
      </c>
      <c r="B1540" s="9">
        <v>990</v>
      </c>
      <c r="C1540" s="10" t="s">
        <v>401</v>
      </c>
      <c r="D1540" s="10" t="s">
        <v>5302</v>
      </c>
      <c r="E1540" s="19">
        <v>4</v>
      </c>
      <c r="F1540" s="10" t="s">
        <v>5330</v>
      </c>
      <c r="G1540" s="10" t="s">
        <v>5331</v>
      </c>
      <c r="H1540" s="35" t="s">
        <v>16</v>
      </c>
      <c r="I1540" s="36" t="s">
        <v>371</v>
      </c>
      <c r="J1540" s="76" t="s">
        <v>404</v>
      </c>
      <c r="K1540" s="9" t="s">
        <v>5335</v>
      </c>
      <c r="L1540" s="9" t="s">
        <v>886</v>
      </c>
      <c r="M1540" s="9" t="s">
        <v>6254</v>
      </c>
      <c r="N1540" s="9" t="s">
        <v>5307</v>
      </c>
      <c r="O1540" s="20" t="s">
        <v>5381</v>
      </c>
      <c r="P1540" s="61"/>
      <c r="Q1540" s="11" t="s">
        <v>596</v>
      </c>
      <c r="R1540" s="20" t="s">
        <v>5382</v>
      </c>
      <c r="S1540" s="62" t="s">
        <v>5383</v>
      </c>
      <c r="T1540" s="74" t="s">
        <v>3733</v>
      </c>
      <c r="U1540" s="50" t="s">
        <v>7472</v>
      </c>
      <c r="V1540" s="118" t="str">
        <f>+Agencia[[#This Row],[idcoleccion]]&amp;"-"&amp;Agencia[[#This Row],[id]]</f>
        <v>990-1529</v>
      </c>
      <c r="W1540" s="118">
        <f>+VLOOKUP(Agencia[[#This Row],[Filtro URL]],Estructura!$X$4:$Y$500,2,0)</f>
        <v>99200004</v>
      </c>
      <c r="X1540" s="118" t="str">
        <f>+VLOOKUP(Agencia[[#This Row],[tema]],Estructura!$A$4:$C$500,3,0)</f>
        <v>T-1065</v>
      </c>
      <c r="Y1540" s="118" t="str">
        <f>+VLOOKUP(Agencia[[#This Row],[contenido]],Estructura!$E$4:$G$500,3,0)</f>
        <v>C-1022</v>
      </c>
      <c r="Z1540" s="118" t="str">
        <f>+VLOOKUP(Agencia[[#This Row],[Filtro Integrado]],Estructura!$I$4:$K$500,3,0)</f>
        <v>FI-993</v>
      </c>
      <c r="AA1540" s="118" t="str">
        <f>+VLOOKUP(Agencia[[#This Row],[Muestra]],Estructura!$M$4:$O$500,3,0)</f>
        <v>M-1117</v>
      </c>
    </row>
    <row r="1541" spans="1:27" ht="57.6" x14ac:dyDescent="0.3">
      <c r="A1541" s="21" t="s">
        <v>6011</v>
      </c>
      <c r="B1541" s="9">
        <v>990</v>
      </c>
      <c r="C1541" s="10" t="s">
        <v>401</v>
      </c>
      <c r="D1541" s="10" t="s">
        <v>5302</v>
      </c>
      <c r="E1541" s="19">
        <v>5</v>
      </c>
      <c r="F1541" s="10" t="s">
        <v>5330</v>
      </c>
      <c r="G1541" s="10" t="s">
        <v>5331</v>
      </c>
      <c r="H1541" s="35" t="s">
        <v>16</v>
      </c>
      <c r="I1541" s="36" t="s">
        <v>372</v>
      </c>
      <c r="J1541" s="76" t="s">
        <v>404</v>
      </c>
      <c r="K1541" s="9" t="s">
        <v>5335</v>
      </c>
      <c r="L1541" s="9" t="s">
        <v>886</v>
      </c>
      <c r="M1541" s="9" t="s">
        <v>6254</v>
      </c>
      <c r="N1541" s="9" t="s">
        <v>5307</v>
      </c>
      <c r="O1541" s="20" t="s">
        <v>5384</v>
      </c>
      <c r="P1541" s="61"/>
      <c r="Q1541" s="11" t="s">
        <v>596</v>
      </c>
      <c r="R1541" s="20" t="s">
        <v>5385</v>
      </c>
      <c r="S1541" s="62" t="s">
        <v>5386</v>
      </c>
      <c r="T1541" s="74" t="s">
        <v>3742</v>
      </c>
      <c r="U1541" s="50" t="s">
        <v>7473</v>
      </c>
      <c r="V1541" s="118" t="str">
        <f>+Agencia[[#This Row],[idcoleccion]]&amp;"-"&amp;Agencia[[#This Row],[id]]</f>
        <v>990-1530</v>
      </c>
      <c r="W1541" s="118">
        <f>+VLOOKUP(Agencia[[#This Row],[Filtro URL]],Estructura!$X$4:$Y$500,2,0)</f>
        <v>99200005</v>
      </c>
      <c r="X1541" s="118" t="str">
        <f>+VLOOKUP(Agencia[[#This Row],[tema]],Estructura!$A$4:$C$500,3,0)</f>
        <v>T-1065</v>
      </c>
      <c r="Y1541" s="118" t="str">
        <f>+VLOOKUP(Agencia[[#This Row],[contenido]],Estructura!$E$4:$G$500,3,0)</f>
        <v>C-1022</v>
      </c>
      <c r="Z1541" s="118" t="str">
        <f>+VLOOKUP(Agencia[[#This Row],[Filtro Integrado]],Estructura!$I$4:$K$500,3,0)</f>
        <v>FI-993</v>
      </c>
      <c r="AA1541" s="118" t="str">
        <f>+VLOOKUP(Agencia[[#This Row],[Muestra]],Estructura!$M$4:$O$500,3,0)</f>
        <v>M-1117</v>
      </c>
    </row>
    <row r="1542" spans="1:27" ht="57.6" x14ac:dyDescent="0.3">
      <c r="A1542" s="21" t="s">
        <v>6012</v>
      </c>
      <c r="B1542" s="9">
        <v>990</v>
      </c>
      <c r="C1542" s="10" t="s">
        <v>401</v>
      </c>
      <c r="D1542" s="10" t="s">
        <v>5302</v>
      </c>
      <c r="E1542" s="19">
        <v>6</v>
      </c>
      <c r="F1542" s="10" t="s">
        <v>5330</v>
      </c>
      <c r="G1542" s="10" t="s">
        <v>5331</v>
      </c>
      <c r="H1542" s="35" t="s">
        <v>16</v>
      </c>
      <c r="I1542" s="36" t="s">
        <v>373</v>
      </c>
      <c r="J1542" s="76" t="s">
        <v>404</v>
      </c>
      <c r="K1542" s="9" t="s">
        <v>5335</v>
      </c>
      <c r="L1542" s="9" t="s">
        <v>886</v>
      </c>
      <c r="M1542" s="9" t="s">
        <v>6254</v>
      </c>
      <c r="N1542" s="9" t="s">
        <v>5307</v>
      </c>
      <c r="O1542" s="20" t="s">
        <v>5387</v>
      </c>
      <c r="P1542" s="61"/>
      <c r="Q1542" s="11" t="s">
        <v>596</v>
      </c>
      <c r="R1542" s="20" t="s">
        <v>5388</v>
      </c>
      <c r="S1542" s="62" t="s">
        <v>5389</v>
      </c>
      <c r="T1542" s="74" t="s">
        <v>3740</v>
      </c>
      <c r="U1542" s="50" t="s">
        <v>7474</v>
      </c>
      <c r="V1542" s="118" t="str">
        <f>+Agencia[[#This Row],[idcoleccion]]&amp;"-"&amp;Agencia[[#This Row],[id]]</f>
        <v>990-1531</v>
      </c>
      <c r="W1542" s="118">
        <f>+VLOOKUP(Agencia[[#This Row],[Filtro URL]],Estructura!$X$4:$Y$500,2,0)</f>
        <v>99200006</v>
      </c>
      <c r="X1542" s="118" t="str">
        <f>+VLOOKUP(Agencia[[#This Row],[tema]],Estructura!$A$4:$C$500,3,0)</f>
        <v>T-1065</v>
      </c>
      <c r="Y1542" s="118" t="str">
        <f>+VLOOKUP(Agencia[[#This Row],[contenido]],Estructura!$E$4:$G$500,3,0)</f>
        <v>C-1022</v>
      </c>
      <c r="Z1542" s="118" t="str">
        <f>+VLOOKUP(Agencia[[#This Row],[Filtro Integrado]],Estructura!$I$4:$K$500,3,0)</f>
        <v>FI-993</v>
      </c>
      <c r="AA1542" s="118" t="str">
        <f>+VLOOKUP(Agencia[[#This Row],[Muestra]],Estructura!$M$4:$O$500,3,0)</f>
        <v>M-1117</v>
      </c>
    </row>
    <row r="1543" spans="1:27" ht="57.6" x14ac:dyDescent="0.3">
      <c r="A1543" s="21" t="s">
        <v>6013</v>
      </c>
      <c r="B1543" s="9">
        <v>990</v>
      </c>
      <c r="C1543" s="10" t="s">
        <v>401</v>
      </c>
      <c r="D1543" s="10" t="s">
        <v>5302</v>
      </c>
      <c r="E1543" s="19">
        <v>7</v>
      </c>
      <c r="F1543" s="10" t="s">
        <v>5330</v>
      </c>
      <c r="G1543" s="10" t="s">
        <v>5331</v>
      </c>
      <c r="H1543" s="35" t="s">
        <v>16</v>
      </c>
      <c r="I1543" s="36" t="s">
        <v>374</v>
      </c>
      <c r="J1543" s="76" t="s">
        <v>404</v>
      </c>
      <c r="K1543" s="9" t="s">
        <v>5335</v>
      </c>
      <c r="L1543" s="9" t="s">
        <v>886</v>
      </c>
      <c r="M1543" s="9" t="s">
        <v>6254</v>
      </c>
      <c r="N1543" s="9" t="s">
        <v>5307</v>
      </c>
      <c r="O1543" s="20" t="s">
        <v>5390</v>
      </c>
      <c r="P1543" s="61"/>
      <c r="Q1543" s="11" t="s">
        <v>596</v>
      </c>
      <c r="R1543" s="20" t="s">
        <v>5391</v>
      </c>
      <c r="S1543" s="62" t="s">
        <v>5392</v>
      </c>
      <c r="T1543" s="74" t="s">
        <v>3738</v>
      </c>
      <c r="U1543" s="50" t="s">
        <v>7475</v>
      </c>
      <c r="V1543" s="118" t="str">
        <f>+Agencia[[#This Row],[idcoleccion]]&amp;"-"&amp;Agencia[[#This Row],[id]]</f>
        <v>990-1532</v>
      </c>
      <c r="W1543" s="118">
        <f>+VLOOKUP(Agencia[[#This Row],[Filtro URL]],Estructura!$X$4:$Y$500,2,0)</f>
        <v>99200007</v>
      </c>
      <c r="X1543" s="118" t="str">
        <f>+VLOOKUP(Agencia[[#This Row],[tema]],Estructura!$A$4:$C$500,3,0)</f>
        <v>T-1065</v>
      </c>
      <c r="Y1543" s="118" t="str">
        <f>+VLOOKUP(Agencia[[#This Row],[contenido]],Estructura!$E$4:$G$500,3,0)</f>
        <v>C-1022</v>
      </c>
      <c r="Z1543" s="118" t="str">
        <f>+VLOOKUP(Agencia[[#This Row],[Filtro Integrado]],Estructura!$I$4:$K$500,3,0)</f>
        <v>FI-993</v>
      </c>
      <c r="AA1543" s="118" t="str">
        <f>+VLOOKUP(Agencia[[#This Row],[Muestra]],Estructura!$M$4:$O$500,3,0)</f>
        <v>M-1117</v>
      </c>
    </row>
    <row r="1544" spans="1:27" ht="57.6" x14ac:dyDescent="0.3">
      <c r="A1544" s="21" t="s">
        <v>6014</v>
      </c>
      <c r="B1544" s="9">
        <v>990</v>
      </c>
      <c r="C1544" s="10" t="s">
        <v>401</v>
      </c>
      <c r="D1544" s="10" t="s">
        <v>5302</v>
      </c>
      <c r="E1544" s="19">
        <v>8</v>
      </c>
      <c r="F1544" s="10" t="s">
        <v>5330</v>
      </c>
      <c r="G1544" s="10" t="s">
        <v>5331</v>
      </c>
      <c r="H1544" s="35" t="s">
        <v>16</v>
      </c>
      <c r="I1544" s="36" t="s">
        <v>375</v>
      </c>
      <c r="J1544" s="76" t="s">
        <v>404</v>
      </c>
      <c r="K1544" s="9" t="s">
        <v>5335</v>
      </c>
      <c r="L1544" s="9" t="s">
        <v>886</v>
      </c>
      <c r="M1544" s="9" t="s">
        <v>6254</v>
      </c>
      <c r="N1544" s="9" t="s">
        <v>5307</v>
      </c>
      <c r="O1544" s="20" t="s">
        <v>5393</v>
      </c>
      <c r="P1544" s="61"/>
      <c r="Q1544" s="11" t="s">
        <v>596</v>
      </c>
      <c r="R1544" s="20" t="s">
        <v>5394</v>
      </c>
      <c r="S1544" s="62" t="s">
        <v>5395</v>
      </c>
      <c r="T1544" s="74" t="s">
        <v>3743</v>
      </c>
      <c r="U1544" s="50" t="s">
        <v>7476</v>
      </c>
      <c r="V1544" s="118" t="str">
        <f>+Agencia[[#This Row],[idcoleccion]]&amp;"-"&amp;Agencia[[#This Row],[id]]</f>
        <v>990-1533</v>
      </c>
      <c r="W1544" s="118">
        <f>+VLOOKUP(Agencia[[#This Row],[Filtro URL]],Estructura!$X$4:$Y$500,2,0)</f>
        <v>99200008</v>
      </c>
      <c r="X1544" s="118" t="str">
        <f>+VLOOKUP(Agencia[[#This Row],[tema]],Estructura!$A$4:$C$500,3,0)</f>
        <v>T-1065</v>
      </c>
      <c r="Y1544" s="118" t="str">
        <f>+VLOOKUP(Agencia[[#This Row],[contenido]],Estructura!$E$4:$G$500,3,0)</f>
        <v>C-1022</v>
      </c>
      <c r="Z1544" s="118" t="str">
        <f>+VLOOKUP(Agencia[[#This Row],[Filtro Integrado]],Estructura!$I$4:$K$500,3,0)</f>
        <v>FI-993</v>
      </c>
      <c r="AA1544" s="118" t="str">
        <f>+VLOOKUP(Agencia[[#This Row],[Muestra]],Estructura!$M$4:$O$500,3,0)</f>
        <v>M-1117</v>
      </c>
    </row>
    <row r="1545" spans="1:27" ht="57.6" x14ac:dyDescent="0.3">
      <c r="A1545" s="21" t="s">
        <v>6015</v>
      </c>
      <c r="B1545" s="9">
        <v>990</v>
      </c>
      <c r="C1545" s="10" t="s">
        <v>401</v>
      </c>
      <c r="D1545" s="10" t="s">
        <v>5302</v>
      </c>
      <c r="E1545" s="19">
        <v>9</v>
      </c>
      <c r="F1545" s="10" t="s">
        <v>5330</v>
      </c>
      <c r="G1545" s="10" t="s">
        <v>5331</v>
      </c>
      <c r="H1545" s="35" t="s">
        <v>16</v>
      </c>
      <c r="I1545" s="36" t="s">
        <v>376</v>
      </c>
      <c r="J1545" s="76" t="s">
        <v>404</v>
      </c>
      <c r="K1545" s="9" t="s">
        <v>5335</v>
      </c>
      <c r="L1545" s="9" t="s">
        <v>886</v>
      </c>
      <c r="M1545" s="9" t="s">
        <v>6254</v>
      </c>
      <c r="N1545" s="9" t="s">
        <v>5307</v>
      </c>
      <c r="O1545" s="20" t="s">
        <v>5396</v>
      </c>
      <c r="P1545" s="61"/>
      <c r="Q1545" s="11" t="s">
        <v>596</v>
      </c>
      <c r="R1545" s="20" t="s">
        <v>5397</v>
      </c>
      <c r="S1545" s="62" t="s">
        <v>5398</v>
      </c>
      <c r="T1545" s="74" t="s">
        <v>3734</v>
      </c>
      <c r="U1545" s="50" t="s">
        <v>7477</v>
      </c>
      <c r="V1545" s="118" t="str">
        <f>+Agencia[[#This Row],[idcoleccion]]&amp;"-"&amp;Agencia[[#This Row],[id]]</f>
        <v>990-1534</v>
      </c>
      <c r="W1545" s="118">
        <f>+VLOOKUP(Agencia[[#This Row],[Filtro URL]],Estructura!$X$4:$Y$500,2,0)</f>
        <v>99200009</v>
      </c>
      <c r="X1545" s="118" t="str">
        <f>+VLOOKUP(Agencia[[#This Row],[tema]],Estructura!$A$4:$C$500,3,0)</f>
        <v>T-1065</v>
      </c>
      <c r="Y1545" s="118" t="str">
        <f>+VLOOKUP(Agencia[[#This Row],[contenido]],Estructura!$E$4:$G$500,3,0)</f>
        <v>C-1022</v>
      </c>
      <c r="Z1545" s="118" t="str">
        <f>+VLOOKUP(Agencia[[#This Row],[Filtro Integrado]],Estructura!$I$4:$K$500,3,0)</f>
        <v>FI-993</v>
      </c>
      <c r="AA1545" s="118" t="str">
        <f>+VLOOKUP(Agencia[[#This Row],[Muestra]],Estructura!$M$4:$O$500,3,0)</f>
        <v>M-1117</v>
      </c>
    </row>
    <row r="1546" spans="1:27" ht="57.6" x14ac:dyDescent="0.3">
      <c r="A1546" s="21" t="s">
        <v>6016</v>
      </c>
      <c r="B1546" s="9">
        <v>990</v>
      </c>
      <c r="C1546" s="10" t="s">
        <v>401</v>
      </c>
      <c r="D1546" s="10" t="s">
        <v>5302</v>
      </c>
      <c r="E1546" s="19">
        <v>10</v>
      </c>
      <c r="F1546" s="10" t="s">
        <v>5330</v>
      </c>
      <c r="G1546" s="10" t="s">
        <v>5331</v>
      </c>
      <c r="H1546" s="35" t="s">
        <v>16</v>
      </c>
      <c r="I1546" s="36" t="s">
        <v>377</v>
      </c>
      <c r="J1546" s="76" t="s">
        <v>404</v>
      </c>
      <c r="K1546" s="9" t="s">
        <v>5335</v>
      </c>
      <c r="L1546" s="9" t="s">
        <v>886</v>
      </c>
      <c r="M1546" s="9" t="s">
        <v>6254</v>
      </c>
      <c r="N1546" s="9" t="s">
        <v>5307</v>
      </c>
      <c r="O1546" s="20" t="s">
        <v>5399</v>
      </c>
      <c r="P1546" s="61"/>
      <c r="Q1546" s="11" t="s">
        <v>596</v>
      </c>
      <c r="R1546" s="20" t="s">
        <v>5400</v>
      </c>
      <c r="S1546" s="62" t="s">
        <v>5401</v>
      </c>
      <c r="T1546" s="74" t="s">
        <v>3735</v>
      </c>
      <c r="U1546" s="50" t="s">
        <v>7478</v>
      </c>
      <c r="V1546" s="118" t="str">
        <f>+Agencia[[#This Row],[idcoleccion]]&amp;"-"&amp;Agencia[[#This Row],[id]]</f>
        <v>990-1535</v>
      </c>
      <c r="W1546" s="118">
        <f>+VLOOKUP(Agencia[[#This Row],[Filtro URL]],Estructura!$X$4:$Y$500,2,0)</f>
        <v>99200010</v>
      </c>
      <c r="X1546" s="118" t="str">
        <f>+VLOOKUP(Agencia[[#This Row],[tema]],Estructura!$A$4:$C$500,3,0)</f>
        <v>T-1065</v>
      </c>
      <c r="Y1546" s="118" t="str">
        <f>+VLOOKUP(Agencia[[#This Row],[contenido]],Estructura!$E$4:$G$500,3,0)</f>
        <v>C-1022</v>
      </c>
      <c r="Z1546" s="118" t="str">
        <f>+VLOOKUP(Agencia[[#This Row],[Filtro Integrado]],Estructura!$I$4:$K$500,3,0)</f>
        <v>FI-993</v>
      </c>
      <c r="AA1546" s="118" t="str">
        <f>+VLOOKUP(Agencia[[#This Row],[Muestra]],Estructura!$M$4:$O$500,3,0)</f>
        <v>M-1117</v>
      </c>
    </row>
    <row r="1547" spans="1:27" ht="57.6" x14ac:dyDescent="0.3">
      <c r="A1547" s="21" t="s">
        <v>6017</v>
      </c>
      <c r="B1547" s="9">
        <v>990</v>
      </c>
      <c r="C1547" s="10" t="s">
        <v>401</v>
      </c>
      <c r="D1547" s="10" t="s">
        <v>5302</v>
      </c>
      <c r="E1547" s="19">
        <v>11</v>
      </c>
      <c r="F1547" s="10" t="s">
        <v>5330</v>
      </c>
      <c r="G1547" s="10" t="s">
        <v>5331</v>
      </c>
      <c r="H1547" s="35" t="s">
        <v>16</v>
      </c>
      <c r="I1547" s="36" t="s">
        <v>378</v>
      </c>
      <c r="J1547" s="76" t="s">
        <v>404</v>
      </c>
      <c r="K1547" s="9" t="s">
        <v>5335</v>
      </c>
      <c r="L1547" s="9" t="s">
        <v>886</v>
      </c>
      <c r="M1547" s="9" t="s">
        <v>6254</v>
      </c>
      <c r="N1547" s="9" t="s">
        <v>5307</v>
      </c>
      <c r="O1547" s="20" t="s">
        <v>5402</v>
      </c>
      <c r="P1547" s="61"/>
      <c r="Q1547" s="11" t="s">
        <v>596</v>
      </c>
      <c r="R1547" s="20" t="s">
        <v>5403</v>
      </c>
      <c r="S1547" s="62" t="s">
        <v>5404</v>
      </c>
      <c r="T1547" s="74" t="s">
        <v>3732</v>
      </c>
      <c r="U1547" s="50" t="s">
        <v>7479</v>
      </c>
      <c r="V1547" s="118" t="str">
        <f>+Agencia[[#This Row],[idcoleccion]]&amp;"-"&amp;Agencia[[#This Row],[id]]</f>
        <v>990-1536</v>
      </c>
      <c r="W1547" s="118">
        <f>+VLOOKUP(Agencia[[#This Row],[Filtro URL]],Estructura!$X$4:$Y$500,2,0)</f>
        <v>99200011</v>
      </c>
      <c r="X1547" s="118" t="str">
        <f>+VLOOKUP(Agencia[[#This Row],[tema]],Estructura!$A$4:$C$500,3,0)</f>
        <v>T-1065</v>
      </c>
      <c r="Y1547" s="118" t="str">
        <f>+VLOOKUP(Agencia[[#This Row],[contenido]],Estructura!$E$4:$G$500,3,0)</f>
        <v>C-1022</v>
      </c>
      <c r="Z1547" s="118" t="str">
        <f>+VLOOKUP(Agencia[[#This Row],[Filtro Integrado]],Estructura!$I$4:$K$500,3,0)</f>
        <v>FI-993</v>
      </c>
      <c r="AA1547" s="118" t="str">
        <f>+VLOOKUP(Agencia[[#This Row],[Muestra]],Estructura!$M$4:$O$500,3,0)</f>
        <v>M-1117</v>
      </c>
    </row>
    <row r="1548" spans="1:27" ht="57.6" x14ac:dyDescent="0.3">
      <c r="A1548" s="21" t="s">
        <v>6018</v>
      </c>
      <c r="B1548" s="9">
        <v>990</v>
      </c>
      <c r="C1548" s="10" t="s">
        <v>401</v>
      </c>
      <c r="D1548" s="10" t="s">
        <v>5302</v>
      </c>
      <c r="E1548" s="19">
        <v>12</v>
      </c>
      <c r="F1548" s="10" t="s">
        <v>5330</v>
      </c>
      <c r="G1548" s="10" t="s">
        <v>5331</v>
      </c>
      <c r="H1548" s="35" t="s">
        <v>16</v>
      </c>
      <c r="I1548" s="36" t="s">
        <v>379</v>
      </c>
      <c r="J1548" s="76" t="s">
        <v>404</v>
      </c>
      <c r="K1548" s="9" t="s">
        <v>5335</v>
      </c>
      <c r="L1548" s="9" t="s">
        <v>886</v>
      </c>
      <c r="M1548" s="9" t="s">
        <v>6254</v>
      </c>
      <c r="N1548" s="9" t="s">
        <v>5307</v>
      </c>
      <c r="O1548" s="20" t="s">
        <v>5405</v>
      </c>
      <c r="P1548" s="61"/>
      <c r="Q1548" s="11" t="s">
        <v>596</v>
      </c>
      <c r="R1548" s="20" t="s">
        <v>5406</v>
      </c>
      <c r="S1548" s="62" t="s">
        <v>5407</v>
      </c>
      <c r="T1548" s="74" t="s">
        <v>3737</v>
      </c>
      <c r="U1548" s="50" t="s">
        <v>7480</v>
      </c>
      <c r="V1548" s="118" t="str">
        <f>+Agencia[[#This Row],[idcoleccion]]&amp;"-"&amp;Agencia[[#This Row],[id]]</f>
        <v>990-1537</v>
      </c>
      <c r="W1548" s="118">
        <f>+VLOOKUP(Agencia[[#This Row],[Filtro URL]],Estructura!$X$4:$Y$500,2,0)</f>
        <v>99200012</v>
      </c>
      <c r="X1548" s="118" t="str">
        <f>+VLOOKUP(Agencia[[#This Row],[tema]],Estructura!$A$4:$C$500,3,0)</f>
        <v>T-1065</v>
      </c>
      <c r="Y1548" s="118" t="str">
        <f>+VLOOKUP(Agencia[[#This Row],[contenido]],Estructura!$E$4:$G$500,3,0)</f>
        <v>C-1022</v>
      </c>
      <c r="Z1548" s="118" t="str">
        <f>+VLOOKUP(Agencia[[#This Row],[Filtro Integrado]],Estructura!$I$4:$K$500,3,0)</f>
        <v>FI-993</v>
      </c>
      <c r="AA1548" s="118" t="str">
        <f>+VLOOKUP(Agencia[[#This Row],[Muestra]],Estructura!$M$4:$O$500,3,0)</f>
        <v>M-1117</v>
      </c>
    </row>
    <row r="1549" spans="1:27" ht="57.6" x14ac:dyDescent="0.3">
      <c r="A1549" s="21" t="s">
        <v>6019</v>
      </c>
      <c r="B1549" s="9">
        <v>990</v>
      </c>
      <c r="C1549" s="10" t="s">
        <v>401</v>
      </c>
      <c r="D1549" s="10" t="s">
        <v>5302</v>
      </c>
      <c r="E1549" s="19">
        <v>13</v>
      </c>
      <c r="F1549" s="10" t="s">
        <v>5330</v>
      </c>
      <c r="G1549" s="10" t="s">
        <v>5331</v>
      </c>
      <c r="H1549" s="35" t="s">
        <v>16</v>
      </c>
      <c r="I1549" s="36" t="s">
        <v>380</v>
      </c>
      <c r="J1549" s="76" t="s">
        <v>404</v>
      </c>
      <c r="K1549" s="9" t="s">
        <v>5335</v>
      </c>
      <c r="L1549" s="9" t="s">
        <v>886</v>
      </c>
      <c r="M1549" s="9" t="s">
        <v>6254</v>
      </c>
      <c r="N1549" s="9" t="s">
        <v>5307</v>
      </c>
      <c r="O1549" s="20" t="s">
        <v>5408</v>
      </c>
      <c r="P1549" s="61"/>
      <c r="Q1549" s="11" t="s">
        <v>596</v>
      </c>
      <c r="R1549" s="20" t="s">
        <v>5409</v>
      </c>
      <c r="S1549" s="62" t="s">
        <v>5410</v>
      </c>
      <c r="T1549" s="74" t="s">
        <v>3744</v>
      </c>
      <c r="U1549" s="50" t="s">
        <v>7481</v>
      </c>
      <c r="V1549" s="118" t="str">
        <f>+Agencia[[#This Row],[idcoleccion]]&amp;"-"&amp;Agencia[[#This Row],[id]]</f>
        <v>990-1538</v>
      </c>
      <c r="W1549" s="118">
        <f>+VLOOKUP(Agencia[[#This Row],[Filtro URL]],Estructura!$X$4:$Y$500,2,0)</f>
        <v>99200013</v>
      </c>
      <c r="X1549" s="118" t="str">
        <f>+VLOOKUP(Agencia[[#This Row],[tema]],Estructura!$A$4:$C$500,3,0)</f>
        <v>T-1065</v>
      </c>
      <c r="Y1549" s="118" t="str">
        <f>+VLOOKUP(Agencia[[#This Row],[contenido]],Estructura!$E$4:$G$500,3,0)</f>
        <v>C-1022</v>
      </c>
      <c r="Z1549" s="118" t="str">
        <f>+VLOOKUP(Agencia[[#This Row],[Filtro Integrado]],Estructura!$I$4:$K$500,3,0)</f>
        <v>FI-993</v>
      </c>
      <c r="AA1549" s="118" t="str">
        <f>+VLOOKUP(Agencia[[#This Row],[Muestra]],Estructura!$M$4:$O$500,3,0)</f>
        <v>M-1117</v>
      </c>
    </row>
    <row r="1550" spans="1:27" ht="57.6" x14ac:dyDescent="0.3">
      <c r="A1550" s="21" t="s">
        <v>6020</v>
      </c>
      <c r="B1550" s="9">
        <v>990</v>
      </c>
      <c r="C1550" s="10" t="s">
        <v>401</v>
      </c>
      <c r="D1550" s="10" t="s">
        <v>5302</v>
      </c>
      <c r="E1550" s="19">
        <v>14</v>
      </c>
      <c r="F1550" s="10" t="s">
        <v>5330</v>
      </c>
      <c r="G1550" s="10" t="s">
        <v>5331</v>
      </c>
      <c r="H1550" s="35" t="s">
        <v>16</v>
      </c>
      <c r="I1550" s="36" t="s">
        <v>381</v>
      </c>
      <c r="J1550" s="76" t="s">
        <v>404</v>
      </c>
      <c r="K1550" s="9" t="s">
        <v>5335</v>
      </c>
      <c r="L1550" s="9" t="s">
        <v>886</v>
      </c>
      <c r="M1550" s="9" t="s">
        <v>6254</v>
      </c>
      <c r="N1550" s="9" t="s">
        <v>5307</v>
      </c>
      <c r="O1550" s="20" t="s">
        <v>5411</v>
      </c>
      <c r="P1550" s="61"/>
      <c r="Q1550" s="11" t="s">
        <v>596</v>
      </c>
      <c r="R1550" s="20" t="s">
        <v>5412</v>
      </c>
      <c r="S1550" s="62" t="s">
        <v>5413</v>
      </c>
      <c r="T1550" s="74" t="s">
        <v>3736</v>
      </c>
      <c r="U1550" s="50" t="s">
        <v>7482</v>
      </c>
      <c r="V1550" s="118" t="str">
        <f>+Agencia[[#This Row],[idcoleccion]]&amp;"-"&amp;Agencia[[#This Row],[id]]</f>
        <v>990-1539</v>
      </c>
      <c r="W1550" s="118">
        <f>+VLOOKUP(Agencia[[#This Row],[Filtro URL]],Estructura!$X$4:$Y$500,2,0)</f>
        <v>99200014</v>
      </c>
      <c r="X1550" s="118" t="str">
        <f>+VLOOKUP(Agencia[[#This Row],[tema]],Estructura!$A$4:$C$500,3,0)</f>
        <v>T-1065</v>
      </c>
      <c r="Y1550" s="118" t="str">
        <f>+VLOOKUP(Agencia[[#This Row],[contenido]],Estructura!$E$4:$G$500,3,0)</f>
        <v>C-1022</v>
      </c>
      <c r="Z1550" s="118" t="str">
        <f>+VLOOKUP(Agencia[[#This Row],[Filtro Integrado]],Estructura!$I$4:$K$500,3,0)</f>
        <v>FI-993</v>
      </c>
      <c r="AA1550" s="118" t="str">
        <f>+VLOOKUP(Agencia[[#This Row],[Muestra]],Estructura!$M$4:$O$500,3,0)</f>
        <v>M-1117</v>
      </c>
    </row>
    <row r="1551" spans="1:27" ht="57.6" x14ac:dyDescent="0.3">
      <c r="A1551" s="21" t="s">
        <v>6021</v>
      </c>
      <c r="B1551" s="9">
        <v>990</v>
      </c>
      <c r="C1551" s="10" t="s">
        <v>401</v>
      </c>
      <c r="D1551" s="10" t="s">
        <v>5302</v>
      </c>
      <c r="E1551" s="19">
        <v>15</v>
      </c>
      <c r="F1551" s="10" t="s">
        <v>5330</v>
      </c>
      <c r="G1551" s="10" t="s">
        <v>5331</v>
      </c>
      <c r="H1551" s="35" t="s">
        <v>16</v>
      </c>
      <c r="I1551" s="36" t="s">
        <v>382</v>
      </c>
      <c r="J1551" s="76" t="s">
        <v>404</v>
      </c>
      <c r="K1551" s="9" t="s">
        <v>5335</v>
      </c>
      <c r="L1551" s="9" t="s">
        <v>886</v>
      </c>
      <c r="M1551" s="9" t="s">
        <v>6254</v>
      </c>
      <c r="N1551" s="9" t="s">
        <v>5307</v>
      </c>
      <c r="O1551" s="20" t="s">
        <v>5414</v>
      </c>
      <c r="P1551" s="61"/>
      <c r="Q1551" s="11" t="s">
        <v>596</v>
      </c>
      <c r="R1551" s="20" t="s">
        <v>5415</v>
      </c>
      <c r="S1551" s="62" t="s">
        <v>5416</v>
      </c>
      <c r="T1551" s="74" t="s">
        <v>3730</v>
      </c>
      <c r="U1551" s="50" t="s">
        <v>7483</v>
      </c>
      <c r="V1551" s="118" t="str">
        <f>+Agencia[[#This Row],[idcoleccion]]&amp;"-"&amp;Agencia[[#This Row],[id]]</f>
        <v>990-1540</v>
      </c>
      <c r="W1551" s="118">
        <f>+VLOOKUP(Agencia[[#This Row],[Filtro URL]],Estructura!$X$4:$Y$500,2,0)</f>
        <v>99200015</v>
      </c>
      <c r="X1551" s="118" t="str">
        <f>+VLOOKUP(Agencia[[#This Row],[tema]],Estructura!$A$4:$C$500,3,0)</f>
        <v>T-1065</v>
      </c>
      <c r="Y1551" s="118" t="str">
        <f>+VLOOKUP(Agencia[[#This Row],[contenido]],Estructura!$E$4:$G$500,3,0)</f>
        <v>C-1022</v>
      </c>
      <c r="Z1551" s="118" t="str">
        <f>+VLOOKUP(Agencia[[#This Row],[Filtro Integrado]],Estructura!$I$4:$K$500,3,0)</f>
        <v>FI-993</v>
      </c>
      <c r="AA1551" s="118" t="str">
        <f>+VLOOKUP(Agencia[[#This Row],[Muestra]],Estructura!$M$4:$O$500,3,0)</f>
        <v>M-1117</v>
      </c>
    </row>
    <row r="1552" spans="1:27" ht="57.6" x14ac:dyDescent="0.3">
      <c r="A1552" s="21" t="s">
        <v>6022</v>
      </c>
      <c r="B1552" s="9">
        <v>990</v>
      </c>
      <c r="C1552" s="10" t="s">
        <v>401</v>
      </c>
      <c r="D1552" s="10" t="s">
        <v>5302</v>
      </c>
      <c r="E1552" s="19">
        <v>16</v>
      </c>
      <c r="F1552" s="10" t="s">
        <v>5330</v>
      </c>
      <c r="G1552" s="10" t="s">
        <v>5331</v>
      </c>
      <c r="H1552" s="35" t="s">
        <v>16</v>
      </c>
      <c r="I1552" s="36" t="s">
        <v>383</v>
      </c>
      <c r="J1552" s="76" t="s">
        <v>404</v>
      </c>
      <c r="K1552" s="9" t="s">
        <v>5335</v>
      </c>
      <c r="L1552" s="9" t="s">
        <v>886</v>
      </c>
      <c r="M1552" s="9" t="s">
        <v>6254</v>
      </c>
      <c r="N1552" s="9" t="s">
        <v>5307</v>
      </c>
      <c r="O1552" s="20" t="s">
        <v>5417</v>
      </c>
      <c r="P1552" s="61"/>
      <c r="Q1552" s="11" t="s">
        <v>596</v>
      </c>
      <c r="R1552" s="20" t="s">
        <v>5418</v>
      </c>
      <c r="S1552" s="62" t="s">
        <v>5419</v>
      </c>
      <c r="T1552" s="74" t="s">
        <v>3739</v>
      </c>
      <c r="U1552" s="50" t="s">
        <v>7484</v>
      </c>
      <c r="V1552" s="118" t="str">
        <f>+Agencia[[#This Row],[idcoleccion]]&amp;"-"&amp;Agencia[[#This Row],[id]]</f>
        <v>990-1541</v>
      </c>
      <c r="W1552" s="118">
        <f>+VLOOKUP(Agencia[[#This Row],[Filtro URL]],Estructura!$X$4:$Y$500,2,0)</f>
        <v>99200016</v>
      </c>
      <c r="X1552" s="118" t="str">
        <f>+VLOOKUP(Agencia[[#This Row],[tema]],Estructura!$A$4:$C$500,3,0)</f>
        <v>T-1065</v>
      </c>
      <c r="Y1552" s="118" t="str">
        <f>+VLOOKUP(Agencia[[#This Row],[contenido]],Estructura!$E$4:$G$500,3,0)</f>
        <v>C-1022</v>
      </c>
      <c r="Z1552" s="118" t="str">
        <f>+VLOOKUP(Agencia[[#This Row],[Filtro Integrado]],Estructura!$I$4:$K$500,3,0)</f>
        <v>FI-993</v>
      </c>
      <c r="AA1552" s="118" t="str">
        <f>+VLOOKUP(Agencia[[#This Row],[Muestra]],Estructura!$M$4:$O$500,3,0)</f>
        <v>M-1117</v>
      </c>
    </row>
    <row r="1553" spans="1:27" ht="132" x14ac:dyDescent="0.3">
      <c r="A1553" s="21" t="s">
        <v>6023</v>
      </c>
      <c r="B1553" s="9">
        <v>990</v>
      </c>
      <c r="C1553" s="10" t="s">
        <v>401</v>
      </c>
      <c r="D1553" s="10" t="s">
        <v>822</v>
      </c>
      <c r="E1553" s="14">
        <v>0</v>
      </c>
      <c r="F1553" s="10" t="s">
        <v>5420</v>
      </c>
      <c r="G1553" s="10" t="s">
        <v>5421</v>
      </c>
      <c r="H1553" s="33" t="s">
        <v>20</v>
      </c>
      <c r="I1553" s="34" t="s">
        <v>15</v>
      </c>
      <c r="J1553" s="76" t="s">
        <v>1032</v>
      </c>
      <c r="K1553" s="9" t="s">
        <v>5422</v>
      </c>
      <c r="L1553" s="9" t="s">
        <v>5423</v>
      </c>
      <c r="M1553" s="9" t="s">
        <v>1490</v>
      </c>
      <c r="N1553" s="9" t="s">
        <v>1459</v>
      </c>
      <c r="O1553" s="20" t="s">
        <v>5424</v>
      </c>
      <c r="P1553" s="9" t="s">
        <v>5425</v>
      </c>
      <c r="Q1553" s="11" t="s">
        <v>831</v>
      </c>
      <c r="R1553" s="20" t="s">
        <v>8356</v>
      </c>
      <c r="S1553" s="62" t="s">
        <v>5426</v>
      </c>
      <c r="T1553" s="74" t="s">
        <v>1033</v>
      </c>
      <c r="U1553" s="50" t="s">
        <v>7485</v>
      </c>
      <c r="V1553" s="118" t="str">
        <f>+Agencia[[#This Row],[idcoleccion]]&amp;"-"&amp;Agencia[[#This Row],[id]]</f>
        <v>990-1542</v>
      </c>
      <c r="W1553" s="118">
        <f>+VLOOKUP(Agencia[[#This Row],[Filtro URL]],Estructura!$X$4:$Y$500,2,0)</f>
        <v>99100000</v>
      </c>
      <c r="X1553" s="118" t="str">
        <f>+VLOOKUP(Agencia[[#This Row],[tema]],Estructura!$A$4:$C$500,3,0)</f>
        <v>T-1066</v>
      </c>
      <c r="Y1553" s="118" t="str">
        <f>+VLOOKUP(Agencia[[#This Row],[contenido]],Estructura!$E$4:$G$500,3,0)</f>
        <v>C-1012</v>
      </c>
      <c r="Z1553" s="118" t="str">
        <f>+VLOOKUP(Agencia[[#This Row],[Filtro Integrado]],Estructura!$I$4:$K$500,3,0)</f>
        <v>FI-994</v>
      </c>
      <c r="AA1553" s="118" t="str">
        <f>+VLOOKUP(Agencia[[#This Row],[Muestra]],Estructura!$M$4:$O$500,3,0)</f>
        <v>M-1118</v>
      </c>
    </row>
    <row r="1554" spans="1:27" ht="57.6" x14ac:dyDescent="0.3">
      <c r="A1554" s="21" t="s">
        <v>6024</v>
      </c>
      <c r="B1554" s="9">
        <v>990</v>
      </c>
      <c r="C1554" s="10" t="s">
        <v>401</v>
      </c>
      <c r="D1554" s="10" t="s">
        <v>822</v>
      </c>
      <c r="E1554" s="19">
        <v>1</v>
      </c>
      <c r="F1554" s="10" t="s">
        <v>5420</v>
      </c>
      <c r="G1554" s="10" t="s">
        <v>5421</v>
      </c>
      <c r="H1554" s="35" t="s">
        <v>16</v>
      </c>
      <c r="I1554" s="36" t="s">
        <v>368</v>
      </c>
      <c r="J1554" s="76" t="s">
        <v>18</v>
      </c>
      <c r="K1554" s="9" t="s">
        <v>5427</v>
      </c>
      <c r="L1554" s="9" t="s">
        <v>5423</v>
      </c>
      <c r="M1554" s="9" t="s">
        <v>1490</v>
      </c>
      <c r="N1554" s="9" t="s">
        <v>1459</v>
      </c>
      <c r="O1554" s="20" t="s">
        <v>5428</v>
      </c>
      <c r="P1554" s="61"/>
      <c r="Q1554" s="11" t="s">
        <v>831</v>
      </c>
      <c r="R1554" s="20" t="s">
        <v>5429</v>
      </c>
      <c r="S1554" s="62" t="s">
        <v>5430</v>
      </c>
      <c r="T1554" s="74" t="s">
        <v>3741</v>
      </c>
      <c r="U1554" s="50" t="s">
        <v>7486</v>
      </c>
      <c r="V1554" s="118" t="str">
        <f>+Agencia[[#This Row],[idcoleccion]]&amp;"-"&amp;Agencia[[#This Row],[id]]</f>
        <v>990-1543</v>
      </c>
      <c r="W1554" s="118">
        <f>+VLOOKUP(Agencia[[#This Row],[Filtro URL]],Estructura!$X$4:$Y$500,2,0)</f>
        <v>99200001</v>
      </c>
      <c r="X1554" s="118" t="str">
        <f>+VLOOKUP(Agencia[[#This Row],[tema]],Estructura!$A$4:$C$500,3,0)</f>
        <v>T-1066</v>
      </c>
      <c r="Y1554" s="118" t="str">
        <f>+VLOOKUP(Agencia[[#This Row],[contenido]],Estructura!$E$4:$G$500,3,0)</f>
        <v>C-1012</v>
      </c>
      <c r="Z1554" s="118" t="str">
        <f>+VLOOKUP(Agencia[[#This Row],[Filtro Integrado]],Estructura!$I$4:$K$500,3,0)</f>
        <v>FI-991</v>
      </c>
      <c r="AA1554" s="118" t="str">
        <f>+VLOOKUP(Agencia[[#This Row],[Muestra]],Estructura!$M$4:$O$500,3,0)</f>
        <v>M-1119</v>
      </c>
    </row>
    <row r="1555" spans="1:27" ht="57.6" x14ac:dyDescent="0.3">
      <c r="A1555" s="21" t="s">
        <v>6025</v>
      </c>
      <c r="B1555" s="9">
        <v>990</v>
      </c>
      <c r="C1555" s="10" t="s">
        <v>401</v>
      </c>
      <c r="D1555" s="10" t="s">
        <v>822</v>
      </c>
      <c r="E1555" s="19">
        <v>2</v>
      </c>
      <c r="F1555" s="10" t="s">
        <v>5420</v>
      </c>
      <c r="G1555" s="10" t="s">
        <v>5421</v>
      </c>
      <c r="H1555" s="35" t="s">
        <v>16</v>
      </c>
      <c r="I1555" s="36" t="s">
        <v>369</v>
      </c>
      <c r="J1555" s="76" t="s">
        <v>18</v>
      </c>
      <c r="K1555" s="9" t="s">
        <v>5427</v>
      </c>
      <c r="L1555" s="9" t="s">
        <v>5423</v>
      </c>
      <c r="M1555" s="9" t="s">
        <v>1490</v>
      </c>
      <c r="N1555" s="9" t="s">
        <v>1459</v>
      </c>
      <c r="O1555" s="20" t="s">
        <v>5431</v>
      </c>
      <c r="P1555" s="61"/>
      <c r="Q1555" s="11" t="s">
        <v>831</v>
      </c>
      <c r="R1555" s="20" t="s">
        <v>5432</v>
      </c>
      <c r="S1555" s="62" t="s">
        <v>5433</v>
      </c>
      <c r="T1555" s="74" t="s">
        <v>3729</v>
      </c>
      <c r="U1555" s="50" t="s">
        <v>7487</v>
      </c>
      <c r="V1555" s="118" t="str">
        <f>+Agencia[[#This Row],[idcoleccion]]&amp;"-"&amp;Agencia[[#This Row],[id]]</f>
        <v>990-1544</v>
      </c>
      <c r="W1555" s="118">
        <f>+VLOOKUP(Agencia[[#This Row],[Filtro URL]],Estructura!$X$4:$Y$500,2,0)</f>
        <v>99200002</v>
      </c>
      <c r="X1555" s="118" t="str">
        <f>+VLOOKUP(Agencia[[#This Row],[tema]],Estructura!$A$4:$C$500,3,0)</f>
        <v>T-1066</v>
      </c>
      <c r="Y1555" s="118" t="str">
        <f>+VLOOKUP(Agencia[[#This Row],[contenido]],Estructura!$E$4:$G$500,3,0)</f>
        <v>C-1012</v>
      </c>
      <c r="Z1555" s="118" t="str">
        <f>+VLOOKUP(Agencia[[#This Row],[Filtro Integrado]],Estructura!$I$4:$K$500,3,0)</f>
        <v>FI-991</v>
      </c>
      <c r="AA1555" s="118" t="str">
        <f>+VLOOKUP(Agencia[[#This Row],[Muestra]],Estructura!$M$4:$O$500,3,0)</f>
        <v>M-1119</v>
      </c>
    </row>
    <row r="1556" spans="1:27" ht="57.6" x14ac:dyDescent="0.3">
      <c r="A1556" s="21" t="s">
        <v>6026</v>
      </c>
      <c r="B1556" s="9">
        <v>990</v>
      </c>
      <c r="C1556" s="10" t="s">
        <v>401</v>
      </c>
      <c r="D1556" s="10" t="s">
        <v>822</v>
      </c>
      <c r="E1556" s="19">
        <v>3</v>
      </c>
      <c r="F1556" s="10" t="s">
        <v>5420</v>
      </c>
      <c r="G1556" s="10" t="s">
        <v>5421</v>
      </c>
      <c r="H1556" s="35" t="s">
        <v>16</v>
      </c>
      <c r="I1556" s="36" t="s">
        <v>370</v>
      </c>
      <c r="J1556" s="76" t="s">
        <v>18</v>
      </c>
      <c r="K1556" s="9" t="s">
        <v>5427</v>
      </c>
      <c r="L1556" s="9" t="s">
        <v>5423</v>
      </c>
      <c r="M1556" s="9" t="s">
        <v>1490</v>
      </c>
      <c r="N1556" s="9" t="s">
        <v>1459</v>
      </c>
      <c r="O1556" s="20" t="s">
        <v>5434</v>
      </c>
      <c r="P1556" s="61"/>
      <c r="Q1556" s="11" t="s">
        <v>831</v>
      </c>
      <c r="R1556" s="20" t="s">
        <v>5435</v>
      </c>
      <c r="S1556" s="62" t="s">
        <v>5436</v>
      </c>
      <c r="T1556" s="74" t="s">
        <v>3731</v>
      </c>
      <c r="U1556" s="50" t="s">
        <v>7488</v>
      </c>
      <c r="V1556" s="118" t="str">
        <f>+Agencia[[#This Row],[idcoleccion]]&amp;"-"&amp;Agencia[[#This Row],[id]]</f>
        <v>990-1545</v>
      </c>
      <c r="W1556" s="118">
        <f>+VLOOKUP(Agencia[[#This Row],[Filtro URL]],Estructura!$X$4:$Y$500,2,0)</f>
        <v>99200003</v>
      </c>
      <c r="X1556" s="118" t="str">
        <f>+VLOOKUP(Agencia[[#This Row],[tema]],Estructura!$A$4:$C$500,3,0)</f>
        <v>T-1066</v>
      </c>
      <c r="Y1556" s="118" t="str">
        <f>+VLOOKUP(Agencia[[#This Row],[contenido]],Estructura!$E$4:$G$500,3,0)</f>
        <v>C-1012</v>
      </c>
      <c r="Z1556" s="118" t="str">
        <f>+VLOOKUP(Agencia[[#This Row],[Filtro Integrado]],Estructura!$I$4:$K$500,3,0)</f>
        <v>FI-991</v>
      </c>
      <c r="AA1556" s="118" t="str">
        <f>+VLOOKUP(Agencia[[#This Row],[Muestra]],Estructura!$M$4:$O$500,3,0)</f>
        <v>M-1119</v>
      </c>
    </row>
    <row r="1557" spans="1:27" ht="57.6" x14ac:dyDescent="0.3">
      <c r="A1557" s="21" t="s">
        <v>6027</v>
      </c>
      <c r="B1557" s="9">
        <v>990</v>
      </c>
      <c r="C1557" s="10" t="s">
        <v>401</v>
      </c>
      <c r="D1557" s="10" t="s">
        <v>822</v>
      </c>
      <c r="E1557" s="19">
        <v>4</v>
      </c>
      <c r="F1557" s="10" t="s">
        <v>5420</v>
      </c>
      <c r="G1557" s="10" t="s">
        <v>5421</v>
      </c>
      <c r="H1557" s="35" t="s">
        <v>16</v>
      </c>
      <c r="I1557" s="36" t="s">
        <v>371</v>
      </c>
      <c r="J1557" s="76" t="s">
        <v>18</v>
      </c>
      <c r="K1557" s="9" t="s">
        <v>5427</v>
      </c>
      <c r="L1557" s="9" t="s">
        <v>5423</v>
      </c>
      <c r="M1557" s="9" t="s">
        <v>1490</v>
      </c>
      <c r="N1557" s="9" t="s">
        <v>1459</v>
      </c>
      <c r="O1557" s="20" t="s">
        <v>5437</v>
      </c>
      <c r="P1557" s="61"/>
      <c r="Q1557" s="11" t="s">
        <v>831</v>
      </c>
      <c r="R1557" s="20" t="s">
        <v>5438</v>
      </c>
      <c r="S1557" s="62" t="s">
        <v>5439</v>
      </c>
      <c r="T1557" s="74" t="s">
        <v>3733</v>
      </c>
      <c r="U1557" s="50" t="s">
        <v>7489</v>
      </c>
      <c r="V1557" s="118" t="str">
        <f>+Agencia[[#This Row],[idcoleccion]]&amp;"-"&amp;Agencia[[#This Row],[id]]</f>
        <v>990-1546</v>
      </c>
      <c r="W1557" s="118">
        <f>+VLOOKUP(Agencia[[#This Row],[Filtro URL]],Estructura!$X$4:$Y$500,2,0)</f>
        <v>99200004</v>
      </c>
      <c r="X1557" s="118" t="str">
        <f>+VLOOKUP(Agencia[[#This Row],[tema]],Estructura!$A$4:$C$500,3,0)</f>
        <v>T-1066</v>
      </c>
      <c r="Y1557" s="118" t="str">
        <f>+VLOOKUP(Agencia[[#This Row],[contenido]],Estructura!$E$4:$G$500,3,0)</f>
        <v>C-1012</v>
      </c>
      <c r="Z1557" s="118" t="str">
        <f>+VLOOKUP(Agencia[[#This Row],[Filtro Integrado]],Estructura!$I$4:$K$500,3,0)</f>
        <v>FI-991</v>
      </c>
      <c r="AA1557" s="118" t="str">
        <f>+VLOOKUP(Agencia[[#This Row],[Muestra]],Estructura!$M$4:$O$500,3,0)</f>
        <v>M-1119</v>
      </c>
    </row>
    <row r="1558" spans="1:27" ht="57.6" x14ac:dyDescent="0.3">
      <c r="A1558" s="21" t="s">
        <v>6028</v>
      </c>
      <c r="B1558" s="9">
        <v>990</v>
      </c>
      <c r="C1558" s="10" t="s">
        <v>401</v>
      </c>
      <c r="D1558" s="10" t="s">
        <v>822</v>
      </c>
      <c r="E1558" s="19">
        <v>5</v>
      </c>
      <c r="F1558" s="10" t="s">
        <v>5420</v>
      </c>
      <c r="G1558" s="10" t="s">
        <v>5421</v>
      </c>
      <c r="H1558" s="35" t="s">
        <v>16</v>
      </c>
      <c r="I1558" s="36" t="s">
        <v>372</v>
      </c>
      <c r="J1558" s="76" t="s">
        <v>18</v>
      </c>
      <c r="K1558" s="9" t="s">
        <v>5427</v>
      </c>
      <c r="L1558" s="9" t="s">
        <v>5423</v>
      </c>
      <c r="M1558" s="9" t="s">
        <v>1490</v>
      </c>
      <c r="N1558" s="9" t="s">
        <v>1459</v>
      </c>
      <c r="O1558" s="20" t="s">
        <v>5440</v>
      </c>
      <c r="P1558" s="61"/>
      <c r="Q1558" s="11" t="s">
        <v>831</v>
      </c>
      <c r="R1558" s="20" t="s">
        <v>5441</v>
      </c>
      <c r="S1558" s="62" t="s">
        <v>5442</v>
      </c>
      <c r="T1558" s="74" t="s">
        <v>3742</v>
      </c>
      <c r="U1558" s="50" t="s">
        <v>7490</v>
      </c>
      <c r="V1558" s="118" t="str">
        <f>+Agencia[[#This Row],[idcoleccion]]&amp;"-"&amp;Agencia[[#This Row],[id]]</f>
        <v>990-1547</v>
      </c>
      <c r="W1558" s="118">
        <f>+VLOOKUP(Agencia[[#This Row],[Filtro URL]],Estructura!$X$4:$Y$500,2,0)</f>
        <v>99200005</v>
      </c>
      <c r="X1558" s="118" t="str">
        <f>+VLOOKUP(Agencia[[#This Row],[tema]],Estructura!$A$4:$C$500,3,0)</f>
        <v>T-1066</v>
      </c>
      <c r="Y1558" s="118" t="str">
        <f>+VLOOKUP(Agencia[[#This Row],[contenido]],Estructura!$E$4:$G$500,3,0)</f>
        <v>C-1012</v>
      </c>
      <c r="Z1558" s="118" t="str">
        <f>+VLOOKUP(Agencia[[#This Row],[Filtro Integrado]],Estructura!$I$4:$K$500,3,0)</f>
        <v>FI-991</v>
      </c>
      <c r="AA1558" s="118" t="str">
        <f>+VLOOKUP(Agencia[[#This Row],[Muestra]],Estructura!$M$4:$O$500,3,0)</f>
        <v>M-1119</v>
      </c>
    </row>
    <row r="1559" spans="1:27" ht="57.6" x14ac:dyDescent="0.3">
      <c r="A1559" s="21" t="s">
        <v>6029</v>
      </c>
      <c r="B1559" s="9">
        <v>990</v>
      </c>
      <c r="C1559" s="10" t="s">
        <v>401</v>
      </c>
      <c r="D1559" s="10" t="s">
        <v>822</v>
      </c>
      <c r="E1559" s="19">
        <v>6</v>
      </c>
      <c r="F1559" s="10" t="s">
        <v>5420</v>
      </c>
      <c r="G1559" s="10" t="s">
        <v>5421</v>
      </c>
      <c r="H1559" s="35" t="s">
        <v>16</v>
      </c>
      <c r="I1559" s="36" t="s">
        <v>373</v>
      </c>
      <c r="J1559" s="76" t="s">
        <v>18</v>
      </c>
      <c r="K1559" s="9" t="s">
        <v>5427</v>
      </c>
      <c r="L1559" s="9" t="s">
        <v>5423</v>
      </c>
      <c r="M1559" s="9" t="s">
        <v>1490</v>
      </c>
      <c r="N1559" s="9" t="s">
        <v>1459</v>
      </c>
      <c r="O1559" s="20" t="s">
        <v>5443</v>
      </c>
      <c r="P1559" s="61"/>
      <c r="Q1559" s="11" t="s">
        <v>831</v>
      </c>
      <c r="R1559" s="20" t="s">
        <v>5444</v>
      </c>
      <c r="S1559" s="62" t="s">
        <v>5445</v>
      </c>
      <c r="T1559" s="74" t="s">
        <v>3740</v>
      </c>
      <c r="U1559" s="50" t="s">
        <v>7491</v>
      </c>
      <c r="V1559" s="118" t="str">
        <f>+Agencia[[#This Row],[idcoleccion]]&amp;"-"&amp;Agencia[[#This Row],[id]]</f>
        <v>990-1548</v>
      </c>
      <c r="W1559" s="118">
        <f>+VLOOKUP(Agencia[[#This Row],[Filtro URL]],Estructura!$X$4:$Y$500,2,0)</f>
        <v>99200006</v>
      </c>
      <c r="X1559" s="118" t="str">
        <f>+VLOOKUP(Agencia[[#This Row],[tema]],Estructura!$A$4:$C$500,3,0)</f>
        <v>T-1066</v>
      </c>
      <c r="Y1559" s="118" t="str">
        <f>+VLOOKUP(Agencia[[#This Row],[contenido]],Estructura!$E$4:$G$500,3,0)</f>
        <v>C-1012</v>
      </c>
      <c r="Z1559" s="118" t="str">
        <f>+VLOOKUP(Agencia[[#This Row],[Filtro Integrado]],Estructura!$I$4:$K$500,3,0)</f>
        <v>FI-991</v>
      </c>
      <c r="AA1559" s="118" t="str">
        <f>+VLOOKUP(Agencia[[#This Row],[Muestra]],Estructura!$M$4:$O$500,3,0)</f>
        <v>M-1119</v>
      </c>
    </row>
    <row r="1560" spans="1:27" ht="57.6" x14ac:dyDescent="0.3">
      <c r="A1560" s="21" t="s">
        <v>6030</v>
      </c>
      <c r="B1560" s="9">
        <v>990</v>
      </c>
      <c r="C1560" s="10" t="s">
        <v>401</v>
      </c>
      <c r="D1560" s="10" t="s">
        <v>822</v>
      </c>
      <c r="E1560" s="19">
        <v>7</v>
      </c>
      <c r="F1560" s="10" t="s">
        <v>5420</v>
      </c>
      <c r="G1560" s="10" t="s">
        <v>5421</v>
      </c>
      <c r="H1560" s="35" t="s">
        <v>16</v>
      </c>
      <c r="I1560" s="36" t="s">
        <v>374</v>
      </c>
      <c r="J1560" s="76" t="s">
        <v>18</v>
      </c>
      <c r="K1560" s="9" t="s">
        <v>5427</v>
      </c>
      <c r="L1560" s="9" t="s">
        <v>5423</v>
      </c>
      <c r="M1560" s="9" t="s">
        <v>1490</v>
      </c>
      <c r="N1560" s="9" t="s">
        <v>1459</v>
      </c>
      <c r="O1560" s="20" t="s">
        <v>5446</v>
      </c>
      <c r="P1560" s="61"/>
      <c r="Q1560" s="11" t="s">
        <v>831</v>
      </c>
      <c r="R1560" s="20" t="s">
        <v>5447</v>
      </c>
      <c r="S1560" s="62" t="s">
        <v>5448</v>
      </c>
      <c r="T1560" s="74" t="s">
        <v>3738</v>
      </c>
      <c r="U1560" s="50" t="s">
        <v>7492</v>
      </c>
      <c r="V1560" s="118" t="str">
        <f>+Agencia[[#This Row],[idcoleccion]]&amp;"-"&amp;Agencia[[#This Row],[id]]</f>
        <v>990-1549</v>
      </c>
      <c r="W1560" s="118">
        <f>+VLOOKUP(Agencia[[#This Row],[Filtro URL]],Estructura!$X$4:$Y$500,2,0)</f>
        <v>99200007</v>
      </c>
      <c r="X1560" s="118" t="str">
        <f>+VLOOKUP(Agencia[[#This Row],[tema]],Estructura!$A$4:$C$500,3,0)</f>
        <v>T-1066</v>
      </c>
      <c r="Y1560" s="118" t="str">
        <f>+VLOOKUP(Agencia[[#This Row],[contenido]],Estructura!$E$4:$G$500,3,0)</f>
        <v>C-1012</v>
      </c>
      <c r="Z1560" s="118" t="str">
        <f>+VLOOKUP(Agencia[[#This Row],[Filtro Integrado]],Estructura!$I$4:$K$500,3,0)</f>
        <v>FI-991</v>
      </c>
      <c r="AA1560" s="118" t="str">
        <f>+VLOOKUP(Agencia[[#This Row],[Muestra]],Estructura!$M$4:$O$500,3,0)</f>
        <v>M-1119</v>
      </c>
    </row>
    <row r="1561" spans="1:27" ht="57.6" x14ac:dyDescent="0.3">
      <c r="A1561" s="21" t="s">
        <v>6031</v>
      </c>
      <c r="B1561" s="9">
        <v>990</v>
      </c>
      <c r="C1561" s="10" t="s">
        <v>401</v>
      </c>
      <c r="D1561" s="10" t="s">
        <v>822</v>
      </c>
      <c r="E1561" s="19">
        <v>8</v>
      </c>
      <c r="F1561" s="10" t="s">
        <v>5420</v>
      </c>
      <c r="G1561" s="10" t="s">
        <v>5421</v>
      </c>
      <c r="H1561" s="35" t="s">
        <v>16</v>
      </c>
      <c r="I1561" s="36" t="s">
        <v>375</v>
      </c>
      <c r="J1561" s="76" t="s">
        <v>18</v>
      </c>
      <c r="K1561" s="9" t="s">
        <v>5427</v>
      </c>
      <c r="L1561" s="9" t="s">
        <v>5423</v>
      </c>
      <c r="M1561" s="9" t="s">
        <v>1490</v>
      </c>
      <c r="N1561" s="9" t="s">
        <v>1459</v>
      </c>
      <c r="O1561" s="20" t="s">
        <v>5449</v>
      </c>
      <c r="P1561" s="61"/>
      <c r="Q1561" s="11" t="s">
        <v>831</v>
      </c>
      <c r="R1561" s="20" t="s">
        <v>5450</v>
      </c>
      <c r="S1561" s="62" t="s">
        <v>5451</v>
      </c>
      <c r="T1561" s="74" t="s">
        <v>3743</v>
      </c>
      <c r="U1561" s="50" t="s">
        <v>7493</v>
      </c>
      <c r="V1561" s="118" t="str">
        <f>+Agencia[[#This Row],[idcoleccion]]&amp;"-"&amp;Agencia[[#This Row],[id]]</f>
        <v>990-1550</v>
      </c>
      <c r="W1561" s="118">
        <f>+VLOOKUP(Agencia[[#This Row],[Filtro URL]],Estructura!$X$4:$Y$500,2,0)</f>
        <v>99200008</v>
      </c>
      <c r="X1561" s="118" t="str">
        <f>+VLOOKUP(Agencia[[#This Row],[tema]],Estructura!$A$4:$C$500,3,0)</f>
        <v>T-1066</v>
      </c>
      <c r="Y1561" s="118" t="str">
        <f>+VLOOKUP(Agencia[[#This Row],[contenido]],Estructura!$E$4:$G$500,3,0)</f>
        <v>C-1012</v>
      </c>
      <c r="Z1561" s="118" t="str">
        <f>+VLOOKUP(Agencia[[#This Row],[Filtro Integrado]],Estructura!$I$4:$K$500,3,0)</f>
        <v>FI-991</v>
      </c>
      <c r="AA1561" s="118" t="str">
        <f>+VLOOKUP(Agencia[[#This Row],[Muestra]],Estructura!$M$4:$O$500,3,0)</f>
        <v>M-1119</v>
      </c>
    </row>
    <row r="1562" spans="1:27" ht="57.6" x14ac:dyDescent="0.3">
      <c r="A1562" s="21" t="s">
        <v>6032</v>
      </c>
      <c r="B1562" s="9">
        <v>990</v>
      </c>
      <c r="C1562" s="10" t="s">
        <v>401</v>
      </c>
      <c r="D1562" s="10" t="s">
        <v>822</v>
      </c>
      <c r="E1562" s="19">
        <v>9</v>
      </c>
      <c r="F1562" s="10" t="s">
        <v>5420</v>
      </c>
      <c r="G1562" s="10" t="s">
        <v>5421</v>
      </c>
      <c r="H1562" s="35" t="s">
        <v>16</v>
      </c>
      <c r="I1562" s="36" t="s">
        <v>376</v>
      </c>
      <c r="J1562" s="76" t="s">
        <v>18</v>
      </c>
      <c r="K1562" s="9" t="s">
        <v>5427</v>
      </c>
      <c r="L1562" s="9" t="s">
        <v>5423</v>
      </c>
      <c r="M1562" s="9" t="s">
        <v>1490</v>
      </c>
      <c r="N1562" s="9" t="s">
        <v>1459</v>
      </c>
      <c r="O1562" s="20" t="s">
        <v>5452</v>
      </c>
      <c r="P1562" s="61"/>
      <c r="Q1562" s="11" t="s">
        <v>831</v>
      </c>
      <c r="R1562" s="20" t="s">
        <v>5453</v>
      </c>
      <c r="S1562" s="62" t="s">
        <v>5454</v>
      </c>
      <c r="T1562" s="74" t="s">
        <v>3734</v>
      </c>
      <c r="U1562" s="50" t="s">
        <v>7494</v>
      </c>
      <c r="V1562" s="118" t="str">
        <f>+Agencia[[#This Row],[idcoleccion]]&amp;"-"&amp;Agencia[[#This Row],[id]]</f>
        <v>990-1551</v>
      </c>
      <c r="W1562" s="118">
        <f>+VLOOKUP(Agencia[[#This Row],[Filtro URL]],Estructura!$X$4:$Y$500,2,0)</f>
        <v>99200009</v>
      </c>
      <c r="X1562" s="118" t="str">
        <f>+VLOOKUP(Agencia[[#This Row],[tema]],Estructura!$A$4:$C$500,3,0)</f>
        <v>T-1066</v>
      </c>
      <c r="Y1562" s="118" t="str">
        <f>+VLOOKUP(Agencia[[#This Row],[contenido]],Estructura!$E$4:$G$500,3,0)</f>
        <v>C-1012</v>
      </c>
      <c r="Z1562" s="118" t="str">
        <f>+VLOOKUP(Agencia[[#This Row],[Filtro Integrado]],Estructura!$I$4:$K$500,3,0)</f>
        <v>FI-991</v>
      </c>
      <c r="AA1562" s="118" t="str">
        <f>+VLOOKUP(Agencia[[#This Row],[Muestra]],Estructura!$M$4:$O$500,3,0)</f>
        <v>M-1119</v>
      </c>
    </row>
    <row r="1563" spans="1:27" ht="72" x14ac:dyDescent="0.3">
      <c r="A1563" s="21" t="s">
        <v>6033</v>
      </c>
      <c r="B1563" s="9">
        <v>990</v>
      </c>
      <c r="C1563" s="10" t="s">
        <v>401</v>
      </c>
      <c r="D1563" s="10" t="s">
        <v>822</v>
      </c>
      <c r="E1563" s="19">
        <v>10</v>
      </c>
      <c r="F1563" s="10" t="s">
        <v>5420</v>
      </c>
      <c r="G1563" s="10" t="s">
        <v>5421</v>
      </c>
      <c r="H1563" s="35" t="s">
        <v>16</v>
      </c>
      <c r="I1563" s="36" t="s">
        <v>377</v>
      </c>
      <c r="J1563" s="76" t="s">
        <v>18</v>
      </c>
      <c r="K1563" s="9" t="s">
        <v>5427</v>
      </c>
      <c r="L1563" s="9" t="s">
        <v>5423</v>
      </c>
      <c r="M1563" s="9" t="s">
        <v>1490</v>
      </c>
      <c r="N1563" s="9" t="s">
        <v>1459</v>
      </c>
      <c r="O1563" s="20" t="s">
        <v>5455</v>
      </c>
      <c r="P1563" s="61"/>
      <c r="Q1563" s="11" t="s">
        <v>831</v>
      </c>
      <c r="R1563" s="20" t="s">
        <v>5456</v>
      </c>
      <c r="S1563" s="62" t="s">
        <v>5457</v>
      </c>
      <c r="T1563" s="74" t="s">
        <v>3735</v>
      </c>
      <c r="U1563" s="50" t="s">
        <v>7495</v>
      </c>
      <c r="V1563" s="118" t="str">
        <f>+Agencia[[#This Row],[idcoleccion]]&amp;"-"&amp;Agencia[[#This Row],[id]]</f>
        <v>990-1552</v>
      </c>
      <c r="W1563" s="118">
        <f>+VLOOKUP(Agencia[[#This Row],[Filtro URL]],Estructura!$X$4:$Y$500,2,0)</f>
        <v>99200010</v>
      </c>
      <c r="X1563" s="118" t="str">
        <f>+VLOOKUP(Agencia[[#This Row],[tema]],Estructura!$A$4:$C$500,3,0)</f>
        <v>T-1066</v>
      </c>
      <c r="Y1563" s="118" t="str">
        <f>+VLOOKUP(Agencia[[#This Row],[contenido]],Estructura!$E$4:$G$500,3,0)</f>
        <v>C-1012</v>
      </c>
      <c r="Z1563" s="118" t="str">
        <f>+VLOOKUP(Agencia[[#This Row],[Filtro Integrado]],Estructura!$I$4:$K$500,3,0)</f>
        <v>FI-991</v>
      </c>
      <c r="AA1563" s="118" t="str">
        <f>+VLOOKUP(Agencia[[#This Row],[Muestra]],Estructura!$M$4:$O$500,3,0)</f>
        <v>M-1119</v>
      </c>
    </row>
    <row r="1564" spans="1:27" ht="72" x14ac:dyDescent="0.3">
      <c r="A1564" s="21" t="s">
        <v>6034</v>
      </c>
      <c r="B1564" s="9">
        <v>990</v>
      </c>
      <c r="C1564" s="10" t="s">
        <v>401</v>
      </c>
      <c r="D1564" s="10" t="s">
        <v>822</v>
      </c>
      <c r="E1564" s="19">
        <v>11</v>
      </c>
      <c r="F1564" s="10" t="s">
        <v>5420</v>
      </c>
      <c r="G1564" s="10" t="s">
        <v>5421</v>
      </c>
      <c r="H1564" s="35" t="s">
        <v>16</v>
      </c>
      <c r="I1564" s="36" t="s">
        <v>378</v>
      </c>
      <c r="J1564" s="76" t="s">
        <v>18</v>
      </c>
      <c r="K1564" s="9" t="s">
        <v>5427</v>
      </c>
      <c r="L1564" s="9" t="s">
        <v>5423</v>
      </c>
      <c r="M1564" s="9" t="s">
        <v>1490</v>
      </c>
      <c r="N1564" s="9" t="s">
        <v>1459</v>
      </c>
      <c r="O1564" s="20" t="s">
        <v>5458</v>
      </c>
      <c r="P1564" s="61"/>
      <c r="Q1564" s="11" t="s">
        <v>831</v>
      </c>
      <c r="R1564" s="20" t="s">
        <v>5459</v>
      </c>
      <c r="S1564" s="62" t="s">
        <v>5460</v>
      </c>
      <c r="T1564" s="74" t="s">
        <v>3732</v>
      </c>
      <c r="U1564" s="50" t="s">
        <v>7496</v>
      </c>
      <c r="V1564" s="118" t="str">
        <f>+Agencia[[#This Row],[idcoleccion]]&amp;"-"&amp;Agencia[[#This Row],[id]]</f>
        <v>990-1553</v>
      </c>
      <c r="W1564" s="118">
        <f>+VLOOKUP(Agencia[[#This Row],[Filtro URL]],Estructura!$X$4:$Y$500,2,0)</f>
        <v>99200011</v>
      </c>
      <c r="X1564" s="118" t="str">
        <f>+VLOOKUP(Agencia[[#This Row],[tema]],Estructura!$A$4:$C$500,3,0)</f>
        <v>T-1066</v>
      </c>
      <c r="Y1564" s="118" t="str">
        <f>+VLOOKUP(Agencia[[#This Row],[contenido]],Estructura!$E$4:$G$500,3,0)</f>
        <v>C-1012</v>
      </c>
      <c r="Z1564" s="118" t="str">
        <f>+VLOOKUP(Agencia[[#This Row],[Filtro Integrado]],Estructura!$I$4:$K$500,3,0)</f>
        <v>FI-991</v>
      </c>
      <c r="AA1564" s="118" t="str">
        <f>+VLOOKUP(Agencia[[#This Row],[Muestra]],Estructura!$M$4:$O$500,3,0)</f>
        <v>M-1119</v>
      </c>
    </row>
    <row r="1565" spans="1:27" ht="72" x14ac:dyDescent="0.3">
      <c r="A1565" s="21" t="s">
        <v>6035</v>
      </c>
      <c r="B1565" s="9">
        <v>990</v>
      </c>
      <c r="C1565" s="10" t="s">
        <v>401</v>
      </c>
      <c r="D1565" s="10" t="s">
        <v>822</v>
      </c>
      <c r="E1565" s="19">
        <v>12</v>
      </c>
      <c r="F1565" s="10" t="s">
        <v>5420</v>
      </c>
      <c r="G1565" s="10" t="s">
        <v>5421</v>
      </c>
      <c r="H1565" s="35" t="s">
        <v>16</v>
      </c>
      <c r="I1565" s="36" t="s">
        <v>379</v>
      </c>
      <c r="J1565" s="76" t="s">
        <v>18</v>
      </c>
      <c r="K1565" s="9" t="s">
        <v>5427</v>
      </c>
      <c r="L1565" s="9" t="s">
        <v>5423</v>
      </c>
      <c r="M1565" s="9" t="s">
        <v>1490</v>
      </c>
      <c r="N1565" s="9" t="s">
        <v>1459</v>
      </c>
      <c r="O1565" s="20" t="s">
        <v>5461</v>
      </c>
      <c r="P1565" s="61"/>
      <c r="Q1565" s="11" t="s">
        <v>831</v>
      </c>
      <c r="R1565" s="20" t="s">
        <v>5462</v>
      </c>
      <c r="S1565" s="62" t="s">
        <v>5463</v>
      </c>
      <c r="T1565" s="74" t="s">
        <v>3737</v>
      </c>
      <c r="U1565" s="50" t="s">
        <v>7497</v>
      </c>
      <c r="V1565" s="118" t="str">
        <f>+Agencia[[#This Row],[idcoleccion]]&amp;"-"&amp;Agencia[[#This Row],[id]]</f>
        <v>990-1554</v>
      </c>
      <c r="W1565" s="118">
        <f>+VLOOKUP(Agencia[[#This Row],[Filtro URL]],Estructura!$X$4:$Y$500,2,0)</f>
        <v>99200012</v>
      </c>
      <c r="X1565" s="118" t="str">
        <f>+VLOOKUP(Agencia[[#This Row],[tema]],Estructura!$A$4:$C$500,3,0)</f>
        <v>T-1066</v>
      </c>
      <c r="Y1565" s="118" t="str">
        <f>+VLOOKUP(Agencia[[#This Row],[contenido]],Estructura!$E$4:$G$500,3,0)</f>
        <v>C-1012</v>
      </c>
      <c r="Z1565" s="118" t="str">
        <f>+VLOOKUP(Agencia[[#This Row],[Filtro Integrado]],Estructura!$I$4:$K$500,3,0)</f>
        <v>FI-991</v>
      </c>
      <c r="AA1565" s="118" t="str">
        <f>+VLOOKUP(Agencia[[#This Row],[Muestra]],Estructura!$M$4:$O$500,3,0)</f>
        <v>M-1119</v>
      </c>
    </row>
    <row r="1566" spans="1:27" ht="72" x14ac:dyDescent="0.3">
      <c r="A1566" s="21" t="s">
        <v>6036</v>
      </c>
      <c r="B1566" s="9">
        <v>990</v>
      </c>
      <c r="C1566" s="10" t="s">
        <v>401</v>
      </c>
      <c r="D1566" s="10" t="s">
        <v>822</v>
      </c>
      <c r="E1566" s="19">
        <v>13</v>
      </c>
      <c r="F1566" s="10" t="s">
        <v>5420</v>
      </c>
      <c r="G1566" s="10" t="s">
        <v>5421</v>
      </c>
      <c r="H1566" s="35" t="s">
        <v>16</v>
      </c>
      <c r="I1566" s="36" t="s">
        <v>380</v>
      </c>
      <c r="J1566" s="76" t="s">
        <v>18</v>
      </c>
      <c r="K1566" s="9" t="s">
        <v>5427</v>
      </c>
      <c r="L1566" s="9" t="s">
        <v>5423</v>
      </c>
      <c r="M1566" s="9" t="s">
        <v>1490</v>
      </c>
      <c r="N1566" s="9" t="s">
        <v>1459</v>
      </c>
      <c r="O1566" s="20" t="s">
        <v>5464</v>
      </c>
      <c r="P1566" s="61"/>
      <c r="Q1566" s="11" t="s">
        <v>831</v>
      </c>
      <c r="R1566" s="20" t="s">
        <v>5465</v>
      </c>
      <c r="S1566" s="62" t="s">
        <v>5466</v>
      </c>
      <c r="T1566" s="74" t="s">
        <v>3744</v>
      </c>
      <c r="U1566" s="50" t="s">
        <v>7498</v>
      </c>
      <c r="V1566" s="118" t="str">
        <f>+Agencia[[#This Row],[idcoleccion]]&amp;"-"&amp;Agencia[[#This Row],[id]]</f>
        <v>990-1555</v>
      </c>
      <c r="W1566" s="118">
        <f>+VLOOKUP(Agencia[[#This Row],[Filtro URL]],Estructura!$X$4:$Y$500,2,0)</f>
        <v>99200013</v>
      </c>
      <c r="X1566" s="118" t="str">
        <f>+VLOOKUP(Agencia[[#This Row],[tema]],Estructura!$A$4:$C$500,3,0)</f>
        <v>T-1066</v>
      </c>
      <c r="Y1566" s="118" t="str">
        <f>+VLOOKUP(Agencia[[#This Row],[contenido]],Estructura!$E$4:$G$500,3,0)</f>
        <v>C-1012</v>
      </c>
      <c r="Z1566" s="118" t="str">
        <f>+VLOOKUP(Agencia[[#This Row],[Filtro Integrado]],Estructura!$I$4:$K$500,3,0)</f>
        <v>FI-991</v>
      </c>
      <c r="AA1566" s="118" t="str">
        <f>+VLOOKUP(Agencia[[#This Row],[Muestra]],Estructura!$M$4:$O$500,3,0)</f>
        <v>M-1119</v>
      </c>
    </row>
    <row r="1567" spans="1:27" ht="72" x14ac:dyDescent="0.3">
      <c r="A1567" s="21" t="s">
        <v>6037</v>
      </c>
      <c r="B1567" s="9">
        <v>990</v>
      </c>
      <c r="C1567" s="10" t="s">
        <v>401</v>
      </c>
      <c r="D1567" s="10" t="s">
        <v>822</v>
      </c>
      <c r="E1567" s="19">
        <v>14</v>
      </c>
      <c r="F1567" s="10" t="s">
        <v>5420</v>
      </c>
      <c r="G1567" s="10" t="s">
        <v>5421</v>
      </c>
      <c r="H1567" s="35" t="s">
        <v>16</v>
      </c>
      <c r="I1567" s="36" t="s">
        <v>381</v>
      </c>
      <c r="J1567" s="76" t="s">
        <v>18</v>
      </c>
      <c r="K1567" s="9" t="s">
        <v>5427</v>
      </c>
      <c r="L1567" s="9" t="s">
        <v>5423</v>
      </c>
      <c r="M1567" s="9" t="s">
        <v>1490</v>
      </c>
      <c r="N1567" s="9" t="s">
        <v>1459</v>
      </c>
      <c r="O1567" s="20" t="s">
        <v>5467</v>
      </c>
      <c r="P1567" s="61"/>
      <c r="Q1567" s="11" t="s">
        <v>831</v>
      </c>
      <c r="R1567" s="20" t="s">
        <v>5468</v>
      </c>
      <c r="S1567" s="62" t="s">
        <v>5469</v>
      </c>
      <c r="T1567" s="74" t="s">
        <v>3736</v>
      </c>
      <c r="U1567" s="50" t="s">
        <v>7499</v>
      </c>
      <c r="V1567" s="118" t="str">
        <f>+Agencia[[#This Row],[idcoleccion]]&amp;"-"&amp;Agencia[[#This Row],[id]]</f>
        <v>990-1556</v>
      </c>
      <c r="W1567" s="118">
        <f>+VLOOKUP(Agencia[[#This Row],[Filtro URL]],Estructura!$X$4:$Y$500,2,0)</f>
        <v>99200014</v>
      </c>
      <c r="X1567" s="118" t="str">
        <f>+VLOOKUP(Agencia[[#This Row],[tema]],Estructura!$A$4:$C$500,3,0)</f>
        <v>T-1066</v>
      </c>
      <c r="Y1567" s="118" t="str">
        <f>+VLOOKUP(Agencia[[#This Row],[contenido]],Estructura!$E$4:$G$500,3,0)</f>
        <v>C-1012</v>
      </c>
      <c r="Z1567" s="118" t="str">
        <f>+VLOOKUP(Agencia[[#This Row],[Filtro Integrado]],Estructura!$I$4:$K$500,3,0)</f>
        <v>FI-991</v>
      </c>
      <c r="AA1567" s="118" t="str">
        <f>+VLOOKUP(Agencia[[#This Row],[Muestra]],Estructura!$M$4:$O$500,3,0)</f>
        <v>M-1119</v>
      </c>
    </row>
    <row r="1568" spans="1:27" ht="72" x14ac:dyDescent="0.3">
      <c r="A1568" s="21" t="s">
        <v>6038</v>
      </c>
      <c r="B1568" s="9">
        <v>990</v>
      </c>
      <c r="C1568" s="10" t="s">
        <v>401</v>
      </c>
      <c r="D1568" s="10" t="s">
        <v>822</v>
      </c>
      <c r="E1568" s="19">
        <v>15</v>
      </c>
      <c r="F1568" s="10" t="s">
        <v>5420</v>
      </c>
      <c r="G1568" s="10" t="s">
        <v>5421</v>
      </c>
      <c r="H1568" s="35" t="s">
        <v>16</v>
      </c>
      <c r="I1568" s="36" t="s">
        <v>382</v>
      </c>
      <c r="J1568" s="76" t="s">
        <v>18</v>
      </c>
      <c r="K1568" s="9" t="s">
        <v>5427</v>
      </c>
      <c r="L1568" s="9" t="s">
        <v>5423</v>
      </c>
      <c r="M1568" s="9" t="s">
        <v>1490</v>
      </c>
      <c r="N1568" s="9" t="s">
        <v>1459</v>
      </c>
      <c r="O1568" s="20" t="s">
        <v>5470</v>
      </c>
      <c r="P1568" s="61"/>
      <c r="Q1568" s="11" t="s">
        <v>831</v>
      </c>
      <c r="R1568" s="20" t="s">
        <v>5471</v>
      </c>
      <c r="S1568" s="62" t="s">
        <v>5472</v>
      </c>
      <c r="T1568" s="74" t="s">
        <v>3730</v>
      </c>
      <c r="U1568" s="50" t="s">
        <v>7500</v>
      </c>
      <c r="V1568" s="118" t="str">
        <f>+Agencia[[#This Row],[idcoleccion]]&amp;"-"&amp;Agencia[[#This Row],[id]]</f>
        <v>990-1557</v>
      </c>
      <c r="W1568" s="118">
        <f>+VLOOKUP(Agencia[[#This Row],[Filtro URL]],Estructura!$X$4:$Y$500,2,0)</f>
        <v>99200015</v>
      </c>
      <c r="X1568" s="118" t="str">
        <f>+VLOOKUP(Agencia[[#This Row],[tema]],Estructura!$A$4:$C$500,3,0)</f>
        <v>T-1066</v>
      </c>
      <c r="Y1568" s="118" t="str">
        <f>+VLOOKUP(Agencia[[#This Row],[contenido]],Estructura!$E$4:$G$500,3,0)</f>
        <v>C-1012</v>
      </c>
      <c r="Z1568" s="118" t="str">
        <f>+VLOOKUP(Agencia[[#This Row],[Filtro Integrado]],Estructura!$I$4:$K$500,3,0)</f>
        <v>FI-991</v>
      </c>
      <c r="AA1568" s="118" t="str">
        <f>+VLOOKUP(Agencia[[#This Row],[Muestra]],Estructura!$M$4:$O$500,3,0)</f>
        <v>M-1119</v>
      </c>
    </row>
    <row r="1569" spans="1:27" ht="72" x14ac:dyDescent="0.3">
      <c r="A1569" s="21" t="s">
        <v>6039</v>
      </c>
      <c r="B1569" s="9">
        <v>990</v>
      </c>
      <c r="C1569" s="10" t="s">
        <v>401</v>
      </c>
      <c r="D1569" s="10" t="s">
        <v>822</v>
      </c>
      <c r="E1569" s="19">
        <v>16</v>
      </c>
      <c r="F1569" s="10" t="s">
        <v>5420</v>
      </c>
      <c r="G1569" s="10" t="s">
        <v>5421</v>
      </c>
      <c r="H1569" s="35" t="s">
        <v>16</v>
      </c>
      <c r="I1569" s="36" t="s">
        <v>383</v>
      </c>
      <c r="J1569" s="76" t="s">
        <v>18</v>
      </c>
      <c r="K1569" s="9" t="s">
        <v>5427</v>
      </c>
      <c r="L1569" s="9" t="s">
        <v>5423</v>
      </c>
      <c r="M1569" s="9" t="s">
        <v>1490</v>
      </c>
      <c r="N1569" s="9" t="s">
        <v>1459</v>
      </c>
      <c r="O1569" s="20" t="s">
        <v>5473</v>
      </c>
      <c r="P1569" s="61"/>
      <c r="Q1569" s="11" t="s">
        <v>831</v>
      </c>
      <c r="R1569" s="20" t="s">
        <v>5474</v>
      </c>
      <c r="S1569" s="62" t="s">
        <v>5475</v>
      </c>
      <c r="T1569" s="74" t="s">
        <v>3739</v>
      </c>
      <c r="U1569" s="50" t="s">
        <v>7501</v>
      </c>
      <c r="V1569" s="118" t="str">
        <f>+Agencia[[#This Row],[idcoleccion]]&amp;"-"&amp;Agencia[[#This Row],[id]]</f>
        <v>990-1558</v>
      </c>
      <c r="W1569" s="118">
        <f>+VLOOKUP(Agencia[[#This Row],[Filtro URL]],Estructura!$X$4:$Y$500,2,0)</f>
        <v>99200016</v>
      </c>
      <c r="X1569" s="118" t="str">
        <f>+VLOOKUP(Agencia[[#This Row],[tema]],Estructura!$A$4:$C$500,3,0)</f>
        <v>T-1066</v>
      </c>
      <c r="Y1569" s="118" t="str">
        <f>+VLOOKUP(Agencia[[#This Row],[contenido]],Estructura!$E$4:$G$500,3,0)</f>
        <v>C-1012</v>
      </c>
      <c r="Z1569" s="118" t="str">
        <f>+VLOOKUP(Agencia[[#This Row],[Filtro Integrado]],Estructura!$I$4:$K$500,3,0)</f>
        <v>FI-991</v>
      </c>
      <c r="AA1569" s="118" t="str">
        <f>+VLOOKUP(Agencia[[#This Row],[Muestra]],Estructura!$M$4:$O$500,3,0)</f>
        <v>M-1119</v>
      </c>
    </row>
    <row r="1570" spans="1:27" ht="60" x14ac:dyDescent="0.3">
      <c r="A1570" s="21" t="s">
        <v>6040</v>
      </c>
      <c r="B1570" s="9">
        <v>990</v>
      </c>
      <c r="C1570" s="10" t="s">
        <v>401</v>
      </c>
      <c r="D1570" s="10" t="s">
        <v>822</v>
      </c>
      <c r="E1570" s="14">
        <v>0</v>
      </c>
      <c r="F1570" s="10" t="s">
        <v>5420</v>
      </c>
      <c r="G1570" s="10" t="s">
        <v>5421</v>
      </c>
      <c r="H1570" s="33" t="s">
        <v>20</v>
      </c>
      <c r="I1570" s="34" t="s">
        <v>15</v>
      </c>
      <c r="J1570" s="76" t="s">
        <v>1032</v>
      </c>
      <c r="K1570" s="9" t="s">
        <v>5476</v>
      </c>
      <c r="L1570" s="9" t="s">
        <v>5423</v>
      </c>
      <c r="M1570" s="9" t="s">
        <v>1490</v>
      </c>
      <c r="N1570" s="9" t="s">
        <v>1459</v>
      </c>
      <c r="O1570" s="20" t="s">
        <v>5477</v>
      </c>
      <c r="P1570" s="9" t="s">
        <v>5478</v>
      </c>
      <c r="Q1570" s="11" t="s">
        <v>584</v>
      </c>
      <c r="R1570" s="20" t="s">
        <v>8357</v>
      </c>
      <c r="S1570" s="62" t="s">
        <v>5479</v>
      </c>
      <c r="T1570" s="74" t="s">
        <v>1033</v>
      </c>
      <c r="U1570" s="50" t="s">
        <v>7502</v>
      </c>
      <c r="V1570" s="118" t="str">
        <f>+Agencia[[#This Row],[idcoleccion]]&amp;"-"&amp;Agencia[[#This Row],[id]]</f>
        <v>990-1559</v>
      </c>
      <c r="W1570" s="118">
        <f>+VLOOKUP(Agencia[[#This Row],[Filtro URL]],Estructura!$X$4:$Y$500,2,0)</f>
        <v>99100000</v>
      </c>
      <c r="X1570" s="118" t="str">
        <f>+VLOOKUP(Agencia[[#This Row],[tema]],Estructura!$A$4:$C$500,3,0)</f>
        <v>T-1066</v>
      </c>
      <c r="Y1570" s="118" t="str">
        <f>+VLOOKUP(Agencia[[#This Row],[contenido]],Estructura!$E$4:$G$500,3,0)</f>
        <v>C-1012</v>
      </c>
      <c r="Z1570" s="118" t="str">
        <f>+VLOOKUP(Agencia[[#This Row],[Filtro Integrado]],Estructura!$I$4:$K$500,3,0)</f>
        <v>FI-994</v>
      </c>
      <c r="AA1570" s="118" t="str">
        <f>+VLOOKUP(Agencia[[#This Row],[Muestra]],Estructura!$M$4:$O$500,3,0)</f>
        <v>M-1120</v>
      </c>
    </row>
    <row r="1571" spans="1:27" ht="57.6" x14ac:dyDescent="0.3">
      <c r="A1571" s="21" t="s">
        <v>6041</v>
      </c>
      <c r="B1571" s="9">
        <v>990</v>
      </c>
      <c r="C1571" s="10" t="s">
        <v>401</v>
      </c>
      <c r="D1571" s="10" t="s">
        <v>822</v>
      </c>
      <c r="E1571" s="19">
        <v>1</v>
      </c>
      <c r="F1571" s="10" t="s">
        <v>5420</v>
      </c>
      <c r="G1571" s="10" t="s">
        <v>5421</v>
      </c>
      <c r="H1571" s="35" t="s">
        <v>16</v>
      </c>
      <c r="I1571" s="36" t="s">
        <v>368</v>
      </c>
      <c r="J1571" s="76" t="s">
        <v>404</v>
      </c>
      <c r="K1571" s="9" t="s">
        <v>5480</v>
      </c>
      <c r="L1571" s="9" t="s">
        <v>5423</v>
      </c>
      <c r="M1571" s="9" t="s">
        <v>1490</v>
      </c>
      <c r="N1571" s="9" t="s">
        <v>1459</v>
      </c>
      <c r="O1571" s="20" t="s">
        <v>5481</v>
      </c>
      <c r="P1571" s="61"/>
      <c r="Q1571" s="11" t="s">
        <v>584</v>
      </c>
      <c r="R1571" s="20" t="s">
        <v>5482</v>
      </c>
      <c r="S1571" s="62" t="s">
        <v>5483</v>
      </c>
      <c r="T1571" s="74" t="s">
        <v>3757</v>
      </c>
      <c r="U1571" s="50" t="s">
        <v>7503</v>
      </c>
      <c r="V1571" s="118" t="str">
        <f>+Agencia[[#This Row],[idcoleccion]]&amp;"-"&amp;Agencia[[#This Row],[id]]</f>
        <v>990-1560</v>
      </c>
      <c r="W1571" s="118">
        <f>+VLOOKUP(Agencia[[#This Row],[Filtro URL]],Estructura!$X$4:$Y$500,2,0)</f>
        <v>99200001</v>
      </c>
      <c r="X1571" s="118" t="str">
        <f>+VLOOKUP(Agencia[[#This Row],[tema]],Estructura!$A$4:$C$500,3,0)</f>
        <v>T-1066</v>
      </c>
      <c r="Y1571" s="118" t="str">
        <f>+VLOOKUP(Agencia[[#This Row],[contenido]],Estructura!$E$4:$G$500,3,0)</f>
        <v>C-1012</v>
      </c>
      <c r="Z1571" s="118" t="str">
        <f>+VLOOKUP(Agencia[[#This Row],[Filtro Integrado]],Estructura!$I$4:$K$500,3,0)</f>
        <v>FI-993</v>
      </c>
      <c r="AA1571" s="118" t="str">
        <f>+VLOOKUP(Agencia[[#This Row],[Muestra]],Estructura!$M$4:$O$500,3,0)</f>
        <v>M-1121</v>
      </c>
    </row>
    <row r="1572" spans="1:27" ht="57.6" x14ac:dyDescent="0.3">
      <c r="A1572" s="21" t="s">
        <v>6042</v>
      </c>
      <c r="B1572" s="9">
        <v>990</v>
      </c>
      <c r="C1572" s="10" t="s">
        <v>401</v>
      </c>
      <c r="D1572" s="10" t="s">
        <v>822</v>
      </c>
      <c r="E1572" s="19">
        <v>2</v>
      </c>
      <c r="F1572" s="10" t="s">
        <v>5420</v>
      </c>
      <c r="G1572" s="10" t="s">
        <v>5421</v>
      </c>
      <c r="H1572" s="35" t="s">
        <v>16</v>
      </c>
      <c r="I1572" s="36" t="s">
        <v>369</v>
      </c>
      <c r="J1572" s="76" t="s">
        <v>404</v>
      </c>
      <c r="K1572" s="9" t="s">
        <v>5480</v>
      </c>
      <c r="L1572" s="9" t="s">
        <v>5423</v>
      </c>
      <c r="M1572" s="9" t="s">
        <v>1490</v>
      </c>
      <c r="N1572" s="9" t="s">
        <v>1459</v>
      </c>
      <c r="O1572" s="20" t="s">
        <v>5481</v>
      </c>
      <c r="P1572" s="61"/>
      <c r="Q1572" s="11" t="s">
        <v>584</v>
      </c>
      <c r="R1572" s="20" t="s">
        <v>5484</v>
      </c>
      <c r="S1572" s="62" t="s">
        <v>5485</v>
      </c>
      <c r="T1572" s="74" t="s">
        <v>3745</v>
      </c>
      <c r="U1572" s="50" t="s">
        <v>7504</v>
      </c>
      <c r="V1572" s="118" t="str">
        <f>+Agencia[[#This Row],[idcoleccion]]&amp;"-"&amp;Agencia[[#This Row],[id]]</f>
        <v>990-1561</v>
      </c>
      <c r="W1572" s="118">
        <f>+VLOOKUP(Agencia[[#This Row],[Filtro URL]],Estructura!$X$4:$Y$500,2,0)</f>
        <v>99200002</v>
      </c>
      <c r="X1572" s="118" t="str">
        <f>+VLOOKUP(Agencia[[#This Row],[tema]],Estructura!$A$4:$C$500,3,0)</f>
        <v>T-1066</v>
      </c>
      <c r="Y1572" s="118" t="str">
        <f>+VLOOKUP(Agencia[[#This Row],[contenido]],Estructura!$E$4:$G$500,3,0)</f>
        <v>C-1012</v>
      </c>
      <c r="Z1572" s="118" t="str">
        <f>+VLOOKUP(Agencia[[#This Row],[Filtro Integrado]],Estructura!$I$4:$K$500,3,0)</f>
        <v>FI-993</v>
      </c>
      <c r="AA1572" s="118" t="str">
        <f>+VLOOKUP(Agencia[[#This Row],[Muestra]],Estructura!$M$4:$O$500,3,0)</f>
        <v>M-1121</v>
      </c>
    </row>
    <row r="1573" spans="1:27" ht="57.6" x14ac:dyDescent="0.3">
      <c r="A1573" s="21" t="s">
        <v>6043</v>
      </c>
      <c r="B1573" s="9">
        <v>990</v>
      </c>
      <c r="C1573" s="10" t="s">
        <v>401</v>
      </c>
      <c r="D1573" s="10" t="s">
        <v>822</v>
      </c>
      <c r="E1573" s="19">
        <v>3</v>
      </c>
      <c r="F1573" s="10" t="s">
        <v>5420</v>
      </c>
      <c r="G1573" s="10" t="s">
        <v>5421</v>
      </c>
      <c r="H1573" s="35" t="s">
        <v>16</v>
      </c>
      <c r="I1573" s="36" t="s">
        <v>370</v>
      </c>
      <c r="J1573" s="76" t="s">
        <v>404</v>
      </c>
      <c r="K1573" s="9" t="s">
        <v>5480</v>
      </c>
      <c r="L1573" s="9" t="s">
        <v>5423</v>
      </c>
      <c r="M1573" s="9" t="s">
        <v>1490</v>
      </c>
      <c r="N1573" s="9" t="s">
        <v>1459</v>
      </c>
      <c r="O1573" s="20" t="s">
        <v>5481</v>
      </c>
      <c r="P1573" s="61"/>
      <c r="Q1573" s="11" t="s">
        <v>584</v>
      </c>
      <c r="R1573" s="20" t="s">
        <v>5486</v>
      </c>
      <c r="S1573" s="62" t="s">
        <v>5487</v>
      </c>
      <c r="T1573" s="74" t="s">
        <v>3747</v>
      </c>
      <c r="U1573" s="50" t="s">
        <v>7505</v>
      </c>
      <c r="V1573" s="118" t="str">
        <f>+Agencia[[#This Row],[idcoleccion]]&amp;"-"&amp;Agencia[[#This Row],[id]]</f>
        <v>990-1562</v>
      </c>
      <c r="W1573" s="118">
        <f>+VLOOKUP(Agencia[[#This Row],[Filtro URL]],Estructura!$X$4:$Y$500,2,0)</f>
        <v>99200003</v>
      </c>
      <c r="X1573" s="118" t="str">
        <f>+VLOOKUP(Agencia[[#This Row],[tema]],Estructura!$A$4:$C$500,3,0)</f>
        <v>T-1066</v>
      </c>
      <c r="Y1573" s="118" t="str">
        <f>+VLOOKUP(Agencia[[#This Row],[contenido]],Estructura!$E$4:$G$500,3,0)</f>
        <v>C-1012</v>
      </c>
      <c r="Z1573" s="118" t="str">
        <f>+VLOOKUP(Agencia[[#This Row],[Filtro Integrado]],Estructura!$I$4:$K$500,3,0)</f>
        <v>FI-993</v>
      </c>
      <c r="AA1573" s="118" t="str">
        <f>+VLOOKUP(Agencia[[#This Row],[Muestra]],Estructura!$M$4:$O$500,3,0)</f>
        <v>M-1121</v>
      </c>
    </row>
    <row r="1574" spans="1:27" ht="57.6" x14ac:dyDescent="0.3">
      <c r="A1574" s="21" t="s">
        <v>6044</v>
      </c>
      <c r="B1574" s="9">
        <v>990</v>
      </c>
      <c r="C1574" s="10" t="s">
        <v>401</v>
      </c>
      <c r="D1574" s="10" t="s">
        <v>822</v>
      </c>
      <c r="E1574" s="19">
        <v>4</v>
      </c>
      <c r="F1574" s="10" t="s">
        <v>5420</v>
      </c>
      <c r="G1574" s="10" t="s">
        <v>5421</v>
      </c>
      <c r="H1574" s="35" t="s">
        <v>16</v>
      </c>
      <c r="I1574" s="36" t="s">
        <v>371</v>
      </c>
      <c r="J1574" s="76" t="s">
        <v>404</v>
      </c>
      <c r="K1574" s="9" t="s">
        <v>5480</v>
      </c>
      <c r="L1574" s="9" t="s">
        <v>5423</v>
      </c>
      <c r="M1574" s="9" t="s">
        <v>1490</v>
      </c>
      <c r="N1574" s="9" t="s">
        <v>1459</v>
      </c>
      <c r="O1574" s="20" t="s">
        <v>5481</v>
      </c>
      <c r="P1574" s="61"/>
      <c r="Q1574" s="11" t="s">
        <v>584</v>
      </c>
      <c r="R1574" s="20" t="s">
        <v>5488</v>
      </c>
      <c r="S1574" s="62" t="s">
        <v>5489</v>
      </c>
      <c r="T1574" s="74" t="s">
        <v>3749</v>
      </c>
      <c r="U1574" s="50" t="s">
        <v>7506</v>
      </c>
      <c r="V1574" s="118" t="str">
        <f>+Agencia[[#This Row],[idcoleccion]]&amp;"-"&amp;Agencia[[#This Row],[id]]</f>
        <v>990-1563</v>
      </c>
      <c r="W1574" s="118">
        <f>+VLOOKUP(Agencia[[#This Row],[Filtro URL]],Estructura!$X$4:$Y$500,2,0)</f>
        <v>99200004</v>
      </c>
      <c r="X1574" s="118" t="str">
        <f>+VLOOKUP(Agencia[[#This Row],[tema]],Estructura!$A$4:$C$500,3,0)</f>
        <v>T-1066</v>
      </c>
      <c r="Y1574" s="118" t="str">
        <f>+VLOOKUP(Agencia[[#This Row],[contenido]],Estructura!$E$4:$G$500,3,0)</f>
        <v>C-1012</v>
      </c>
      <c r="Z1574" s="118" t="str">
        <f>+VLOOKUP(Agencia[[#This Row],[Filtro Integrado]],Estructura!$I$4:$K$500,3,0)</f>
        <v>FI-993</v>
      </c>
      <c r="AA1574" s="118" t="str">
        <f>+VLOOKUP(Agencia[[#This Row],[Muestra]],Estructura!$M$4:$O$500,3,0)</f>
        <v>M-1121</v>
      </c>
    </row>
    <row r="1575" spans="1:27" ht="57.6" x14ac:dyDescent="0.3">
      <c r="A1575" s="21" t="s">
        <v>6045</v>
      </c>
      <c r="B1575" s="9">
        <v>990</v>
      </c>
      <c r="C1575" s="10" t="s">
        <v>401</v>
      </c>
      <c r="D1575" s="10" t="s">
        <v>822</v>
      </c>
      <c r="E1575" s="19">
        <v>5</v>
      </c>
      <c r="F1575" s="10" t="s">
        <v>5420</v>
      </c>
      <c r="G1575" s="10" t="s">
        <v>5421</v>
      </c>
      <c r="H1575" s="35" t="s">
        <v>16</v>
      </c>
      <c r="I1575" s="36" t="s">
        <v>372</v>
      </c>
      <c r="J1575" s="76" t="s">
        <v>404</v>
      </c>
      <c r="K1575" s="9" t="s">
        <v>5480</v>
      </c>
      <c r="L1575" s="9" t="s">
        <v>5423</v>
      </c>
      <c r="M1575" s="9" t="s">
        <v>1490</v>
      </c>
      <c r="N1575" s="9" t="s">
        <v>1459</v>
      </c>
      <c r="O1575" s="20" t="s">
        <v>5481</v>
      </c>
      <c r="P1575" s="61"/>
      <c r="Q1575" s="11" t="s">
        <v>584</v>
      </c>
      <c r="R1575" s="20" t="s">
        <v>5490</v>
      </c>
      <c r="S1575" s="62" t="s">
        <v>5491</v>
      </c>
      <c r="T1575" s="74" t="s">
        <v>3758</v>
      </c>
      <c r="U1575" s="50" t="s">
        <v>7507</v>
      </c>
      <c r="V1575" s="118" t="str">
        <f>+Agencia[[#This Row],[idcoleccion]]&amp;"-"&amp;Agencia[[#This Row],[id]]</f>
        <v>990-1564</v>
      </c>
      <c r="W1575" s="118">
        <f>+VLOOKUP(Agencia[[#This Row],[Filtro URL]],Estructura!$X$4:$Y$500,2,0)</f>
        <v>99200005</v>
      </c>
      <c r="X1575" s="118" t="str">
        <f>+VLOOKUP(Agencia[[#This Row],[tema]],Estructura!$A$4:$C$500,3,0)</f>
        <v>T-1066</v>
      </c>
      <c r="Y1575" s="118" t="str">
        <f>+VLOOKUP(Agencia[[#This Row],[contenido]],Estructura!$E$4:$G$500,3,0)</f>
        <v>C-1012</v>
      </c>
      <c r="Z1575" s="118" t="str">
        <f>+VLOOKUP(Agencia[[#This Row],[Filtro Integrado]],Estructura!$I$4:$K$500,3,0)</f>
        <v>FI-993</v>
      </c>
      <c r="AA1575" s="118" t="str">
        <f>+VLOOKUP(Agencia[[#This Row],[Muestra]],Estructura!$M$4:$O$500,3,0)</f>
        <v>M-1121</v>
      </c>
    </row>
    <row r="1576" spans="1:27" ht="57.6" x14ac:dyDescent="0.3">
      <c r="A1576" s="21" t="s">
        <v>6046</v>
      </c>
      <c r="B1576" s="9">
        <v>990</v>
      </c>
      <c r="C1576" s="10" t="s">
        <v>401</v>
      </c>
      <c r="D1576" s="10" t="s">
        <v>822</v>
      </c>
      <c r="E1576" s="19">
        <v>6</v>
      </c>
      <c r="F1576" s="10" t="s">
        <v>5420</v>
      </c>
      <c r="G1576" s="10" t="s">
        <v>5421</v>
      </c>
      <c r="H1576" s="35" t="s">
        <v>16</v>
      </c>
      <c r="I1576" s="36" t="s">
        <v>373</v>
      </c>
      <c r="J1576" s="76" t="s">
        <v>404</v>
      </c>
      <c r="K1576" s="9" t="s">
        <v>5480</v>
      </c>
      <c r="L1576" s="9" t="s">
        <v>5423</v>
      </c>
      <c r="M1576" s="9" t="s">
        <v>1490</v>
      </c>
      <c r="N1576" s="9" t="s">
        <v>1459</v>
      </c>
      <c r="O1576" s="20" t="s">
        <v>5481</v>
      </c>
      <c r="P1576" s="61"/>
      <c r="Q1576" s="11" t="s">
        <v>584</v>
      </c>
      <c r="R1576" s="20" t="s">
        <v>5492</v>
      </c>
      <c r="S1576" s="62" t="s">
        <v>5493</v>
      </c>
      <c r="T1576" s="74" t="s">
        <v>3756</v>
      </c>
      <c r="U1576" s="50" t="s">
        <v>7508</v>
      </c>
      <c r="V1576" s="118" t="str">
        <f>+Agencia[[#This Row],[idcoleccion]]&amp;"-"&amp;Agencia[[#This Row],[id]]</f>
        <v>990-1565</v>
      </c>
      <c r="W1576" s="118">
        <f>+VLOOKUP(Agencia[[#This Row],[Filtro URL]],Estructura!$X$4:$Y$500,2,0)</f>
        <v>99200006</v>
      </c>
      <c r="X1576" s="118" t="str">
        <f>+VLOOKUP(Agencia[[#This Row],[tema]],Estructura!$A$4:$C$500,3,0)</f>
        <v>T-1066</v>
      </c>
      <c r="Y1576" s="118" t="str">
        <f>+VLOOKUP(Agencia[[#This Row],[contenido]],Estructura!$E$4:$G$500,3,0)</f>
        <v>C-1012</v>
      </c>
      <c r="Z1576" s="118" t="str">
        <f>+VLOOKUP(Agencia[[#This Row],[Filtro Integrado]],Estructura!$I$4:$K$500,3,0)</f>
        <v>FI-993</v>
      </c>
      <c r="AA1576" s="118" t="str">
        <f>+VLOOKUP(Agencia[[#This Row],[Muestra]],Estructura!$M$4:$O$500,3,0)</f>
        <v>M-1121</v>
      </c>
    </row>
    <row r="1577" spans="1:27" ht="57.6" x14ac:dyDescent="0.3">
      <c r="A1577" s="21" t="s">
        <v>6047</v>
      </c>
      <c r="B1577" s="9">
        <v>990</v>
      </c>
      <c r="C1577" s="10" t="s">
        <v>401</v>
      </c>
      <c r="D1577" s="10" t="s">
        <v>822</v>
      </c>
      <c r="E1577" s="19">
        <v>7</v>
      </c>
      <c r="F1577" s="10" t="s">
        <v>5420</v>
      </c>
      <c r="G1577" s="10" t="s">
        <v>5421</v>
      </c>
      <c r="H1577" s="35" t="s">
        <v>16</v>
      </c>
      <c r="I1577" s="36" t="s">
        <v>374</v>
      </c>
      <c r="J1577" s="76" t="s">
        <v>404</v>
      </c>
      <c r="K1577" s="9" t="s">
        <v>5480</v>
      </c>
      <c r="L1577" s="9" t="s">
        <v>5423</v>
      </c>
      <c r="M1577" s="9" t="s">
        <v>1490</v>
      </c>
      <c r="N1577" s="9" t="s">
        <v>1459</v>
      </c>
      <c r="O1577" s="20" t="s">
        <v>5481</v>
      </c>
      <c r="P1577" s="61"/>
      <c r="Q1577" s="11" t="s">
        <v>584</v>
      </c>
      <c r="R1577" s="20" t="s">
        <v>5494</v>
      </c>
      <c r="S1577" s="62" t="s">
        <v>5495</v>
      </c>
      <c r="T1577" s="74" t="s">
        <v>3754</v>
      </c>
      <c r="U1577" s="50" t="s">
        <v>7509</v>
      </c>
      <c r="V1577" s="118" t="str">
        <f>+Agencia[[#This Row],[idcoleccion]]&amp;"-"&amp;Agencia[[#This Row],[id]]</f>
        <v>990-1566</v>
      </c>
      <c r="W1577" s="118">
        <f>+VLOOKUP(Agencia[[#This Row],[Filtro URL]],Estructura!$X$4:$Y$500,2,0)</f>
        <v>99200007</v>
      </c>
      <c r="X1577" s="118" t="str">
        <f>+VLOOKUP(Agencia[[#This Row],[tema]],Estructura!$A$4:$C$500,3,0)</f>
        <v>T-1066</v>
      </c>
      <c r="Y1577" s="118" t="str">
        <f>+VLOOKUP(Agencia[[#This Row],[contenido]],Estructura!$E$4:$G$500,3,0)</f>
        <v>C-1012</v>
      </c>
      <c r="Z1577" s="118" t="str">
        <f>+VLOOKUP(Agencia[[#This Row],[Filtro Integrado]],Estructura!$I$4:$K$500,3,0)</f>
        <v>FI-993</v>
      </c>
      <c r="AA1577" s="118" t="str">
        <f>+VLOOKUP(Agencia[[#This Row],[Muestra]],Estructura!$M$4:$O$500,3,0)</f>
        <v>M-1121</v>
      </c>
    </row>
    <row r="1578" spans="1:27" ht="57.6" x14ac:dyDescent="0.3">
      <c r="A1578" s="21" t="s">
        <v>6048</v>
      </c>
      <c r="B1578" s="9">
        <v>990</v>
      </c>
      <c r="C1578" s="10" t="s">
        <v>401</v>
      </c>
      <c r="D1578" s="10" t="s">
        <v>822</v>
      </c>
      <c r="E1578" s="19">
        <v>8</v>
      </c>
      <c r="F1578" s="10" t="s">
        <v>5420</v>
      </c>
      <c r="G1578" s="10" t="s">
        <v>5421</v>
      </c>
      <c r="H1578" s="35" t="s">
        <v>16</v>
      </c>
      <c r="I1578" s="36" t="s">
        <v>375</v>
      </c>
      <c r="J1578" s="76" t="s">
        <v>404</v>
      </c>
      <c r="K1578" s="9" t="s">
        <v>5480</v>
      </c>
      <c r="L1578" s="9" t="s">
        <v>5423</v>
      </c>
      <c r="M1578" s="9" t="s">
        <v>1490</v>
      </c>
      <c r="N1578" s="9" t="s">
        <v>1459</v>
      </c>
      <c r="O1578" s="20" t="s">
        <v>5481</v>
      </c>
      <c r="P1578" s="61"/>
      <c r="Q1578" s="11" t="s">
        <v>584</v>
      </c>
      <c r="R1578" s="20" t="s">
        <v>5496</v>
      </c>
      <c r="S1578" s="62" t="s">
        <v>5497</v>
      </c>
      <c r="T1578" s="74" t="s">
        <v>3759</v>
      </c>
      <c r="U1578" s="50" t="s">
        <v>7510</v>
      </c>
      <c r="V1578" s="118" t="str">
        <f>+Agencia[[#This Row],[idcoleccion]]&amp;"-"&amp;Agencia[[#This Row],[id]]</f>
        <v>990-1567</v>
      </c>
      <c r="W1578" s="118">
        <f>+VLOOKUP(Agencia[[#This Row],[Filtro URL]],Estructura!$X$4:$Y$500,2,0)</f>
        <v>99200008</v>
      </c>
      <c r="X1578" s="118" t="str">
        <f>+VLOOKUP(Agencia[[#This Row],[tema]],Estructura!$A$4:$C$500,3,0)</f>
        <v>T-1066</v>
      </c>
      <c r="Y1578" s="118" t="str">
        <f>+VLOOKUP(Agencia[[#This Row],[contenido]],Estructura!$E$4:$G$500,3,0)</f>
        <v>C-1012</v>
      </c>
      <c r="Z1578" s="118" t="str">
        <f>+VLOOKUP(Agencia[[#This Row],[Filtro Integrado]],Estructura!$I$4:$K$500,3,0)</f>
        <v>FI-993</v>
      </c>
      <c r="AA1578" s="118" t="str">
        <f>+VLOOKUP(Agencia[[#This Row],[Muestra]],Estructura!$M$4:$O$500,3,0)</f>
        <v>M-1121</v>
      </c>
    </row>
    <row r="1579" spans="1:27" ht="57.6" x14ac:dyDescent="0.3">
      <c r="A1579" s="21" t="s">
        <v>6049</v>
      </c>
      <c r="B1579" s="9">
        <v>990</v>
      </c>
      <c r="C1579" s="10" t="s">
        <v>401</v>
      </c>
      <c r="D1579" s="10" t="s">
        <v>822</v>
      </c>
      <c r="E1579" s="19">
        <v>9</v>
      </c>
      <c r="F1579" s="10" t="s">
        <v>5420</v>
      </c>
      <c r="G1579" s="10" t="s">
        <v>5421</v>
      </c>
      <c r="H1579" s="35" t="s">
        <v>16</v>
      </c>
      <c r="I1579" s="36" t="s">
        <v>376</v>
      </c>
      <c r="J1579" s="76" t="s">
        <v>404</v>
      </c>
      <c r="K1579" s="9" t="s">
        <v>5480</v>
      </c>
      <c r="L1579" s="9" t="s">
        <v>5423</v>
      </c>
      <c r="M1579" s="9" t="s">
        <v>1490</v>
      </c>
      <c r="N1579" s="9" t="s">
        <v>1459</v>
      </c>
      <c r="O1579" s="20" t="s">
        <v>5481</v>
      </c>
      <c r="P1579" s="61"/>
      <c r="Q1579" s="11" t="s">
        <v>584</v>
      </c>
      <c r="R1579" s="20" t="s">
        <v>5498</v>
      </c>
      <c r="S1579" s="62" t="s">
        <v>5499</v>
      </c>
      <c r="T1579" s="74" t="s">
        <v>3750</v>
      </c>
      <c r="U1579" s="50" t="s">
        <v>7511</v>
      </c>
      <c r="V1579" s="118" t="str">
        <f>+Agencia[[#This Row],[idcoleccion]]&amp;"-"&amp;Agencia[[#This Row],[id]]</f>
        <v>990-1568</v>
      </c>
      <c r="W1579" s="118">
        <f>+VLOOKUP(Agencia[[#This Row],[Filtro URL]],Estructura!$X$4:$Y$500,2,0)</f>
        <v>99200009</v>
      </c>
      <c r="X1579" s="118" t="str">
        <f>+VLOOKUP(Agencia[[#This Row],[tema]],Estructura!$A$4:$C$500,3,0)</f>
        <v>T-1066</v>
      </c>
      <c r="Y1579" s="118" t="str">
        <f>+VLOOKUP(Agencia[[#This Row],[contenido]],Estructura!$E$4:$G$500,3,0)</f>
        <v>C-1012</v>
      </c>
      <c r="Z1579" s="118" t="str">
        <f>+VLOOKUP(Agencia[[#This Row],[Filtro Integrado]],Estructura!$I$4:$K$500,3,0)</f>
        <v>FI-993</v>
      </c>
      <c r="AA1579" s="118" t="str">
        <f>+VLOOKUP(Agencia[[#This Row],[Muestra]],Estructura!$M$4:$O$500,3,0)</f>
        <v>M-1121</v>
      </c>
    </row>
    <row r="1580" spans="1:27" ht="72" x14ac:dyDescent="0.3">
      <c r="A1580" s="21" t="s">
        <v>6050</v>
      </c>
      <c r="B1580" s="9">
        <v>990</v>
      </c>
      <c r="C1580" s="10" t="s">
        <v>401</v>
      </c>
      <c r="D1580" s="10" t="s">
        <v>822</v>
      </c>
      <c r="E1580" s="19">
        <v>10</v>
      </c>
      <c r="F1580" s="10" t="s">
        <v>5420</v>
      </c>
      <c r="G1580" s="10" t="s">
        <v>5421</v>
      </c>
      <c r="H1580" s="35" t="s">
        <v>16</v>
      </c>
      <c r="I1580" s="36" t="s">
        <v>377</v>
      </c>
      <c r="J1580" s="76" t="s">
        <v>404</v>
      </c>
      <c r="K1580" s="9" t="s">
        <v>5480</v>
      </c>
      <c r="L1580" s="9" t="s">
        <v>5423</v>
      </c>
      <c r="M1580" s="9" t="s">
        <v>1490</v>
      </c>
      <c r="N1580" s="9" t="s">
        <v>1459</v>
      </c>
      <c r="O1580" s="20" t="s">
        <v>5481</v>
      </c>
      <c r="P1580" s="61"/>
      <c r="Q1580" s="11" t="s">
        <v>584</v>
      </c>
      <c r="R1580" s="20" t="s">
        <v>5500</v>
      </c>
      <c r="S1580" s="62" t="s">
        <v>5501</v>
      </c>
      <c r="T1580" s="74" t="s">
        <v>3751</v>
      </c>
      <c r="U1580" s="50" t="s">
        <v>7512</v>
      </c>
      <c r="V1580" s="118" t="str">
        <f>+Agencia[[#This Row],[idcoleccion]]&amp;"-"&amp;Agencia[[#This Row],[id]]</f>
        <v>990-1569</v>
      </c>
      <c r="W1580" s="118">
        <f>+VLOOKUP(Agencia[[#This Row],[Filtro URL]],Estructura!$X$4:$Y$500,2,0)</f>
        <v>99200010</v>
      </c>
      <c r="X1580" s="118" t="str">
        <f>+VLOOKUP(Agencia[[#This Row],[tema]],Estructura!$A$4:$C$500,3,0)</f>
        <v>T-1066</v>
      </c>
      <c r="Y1580" s="118" t="str">
        <f>+VLOOKUP(Agencia[[#This Row],[contenido]],Estructura!$E$4:$G$500,3,0)</f>
        <v>C-1012</v>
      </c>
      <c r="Z1580" s="118" t="str">
        <f>+VLOOKUP(Agencia[[#This Row],[Filtro Integrado]],Estructura!$I$4:$K$500,3,0)</f>
        <v>FI-993</v>
      </c>
      <c r="AA1580" s="118" t="str">
        <f>+VLOOKUP(Agencia[[#This Row],[Muestra]],Estructura!$M$4:$O$500,3,0)</f>
        <v>M-1121</v>
      </c>
    </row>
    <row r="1581" spans="1:27" ht="72" x14ac:dyDescent="0.3">
      <c r="A1581" s="21" t="s">
        <v>6051</v>
      </c>
      <c r="B1581" s="9">
        <v>990</v>
      </c>
      <c r="C1581" s="10" t="s">
        <v>401</v>
      </c>
      <c r="D1581" s="10" t="s">
        <v>822</v>
      </c>
      <c r="E1581" s="19">
        <v>11</v>
      </c>
      <c r="F1581" s="10" t="s">
        <v>5420</v>
      </c>
      <c r="G1581" s="10" t="s">
        <v>5421</v>
      </c>
      <c r="H1581" s="35" t="s">
        <v>16</v>
      </c>
      <c r="I1581" s="36" t="s">
        <v>378</v>
      </c>
      <c r="J1581" s="76" t="s">
        <v>404</v>
      </c>
      <c r="K1581" s="9" t="s">
        <v>5480</v>
      </c>
      <c r="L1581" s="9" t="s">
        <v>5423</v>
      </c>
      <c r="M1581" s="9" t="s">
        <v>1490</v>
      </c>
      <c r="N1581" s="9" t="s">
        <v>1459</v>
      </c>
      <c r="O1581" s="20" t="s">
        <v>5481</v>
      </c>
      <c r="P1581" s="61"/>
      <c r="Q1581" s="11" t="s">
        <v>584</v>
      </c>
      <c r="R1581" s="20" t="s">
        <v>5502</v>
      </c>
      <c r="S1581" s="62" t="s">
        <v>5503</v>
      </c>
      <c r="T1581" s="74" t="s">
        <v>3748</v>
      </c>
      <c r="U1581" s="50" t="s">
        <v>7513</v>
      </c>
      <c r="V1581" s="118" t="str">
        <f>+Agencia[[#This Row],[idcoleccion]]&amp;"-"&amp;Agencia[[#This Row],[id]]</f>
        <v>990-1570</v>
      </c>
      <c r="W1581" s="118">
        <f>+VLOOKUP(Agencia[[#This Row],[Filtro URL]],Estructura!$X$4:$Y$500,2,0)</f>
        <v>99200011</v>
      </c>
      <c r="X1581" s="118" t="str">
        <f>+VLOOKUP(Agencia[[#This Row],[tema]],Estructura!$A$4:$C$500,3,0)</f>
        <v>T-1066</v>
      </c>
      <c r="Y1581" s="118" t="str">
        <f>+VLOOKUP(Agencia[[#This Row],[contenido]],Estructura!$E$4:$G$500,3,0)</f>
        <v>C-1012</v>
      </c>
      <c r="Z1581" s="118" t="str">
        <f>+VLOOKUP(Agencia[[#This Row],[Filtro Integrado]],Estructura!$I$4:$K$500,3,0)</f>
        <v>FI-993</v>
      </c>
      <c r="AA1581" s="118" t="str">
        <f>+VLOOKUP(Agencia[[#This Row],[Muestra]],Estructura!$M$4:$O$500,3,0)</f>
        <v>M-1121</v>
      </c>
    </row>
    <row r="1582" spans="1:27" ht="72" x14ac:dyDescent="0.3">
      <c r="A1582" s="21" t="s">
        <v>6052</v>
      </c>
      <c r="B1582" s="9">
        <v>990</v>
      </c>
      <c r="C1582" s="10" t="s">
        <v>401</v>
      </c>
      <c r="D1582" s="10" t="s">
        <v>822</v>
      </c>
      <c r="E1582" s="19">
        <v>12</v>
      </c>
      <c r="F1582" s="10" t="s">
        <v>5420</v>
      </c>
      <c r="G1582" s="10" t="s">
        <v>5421</v>
      </c>
      <c r="H1582" s="35" t="s">
        <v>16</v>
      </c>
      <c r="I1582" s="36" t="s">
        <v>379</v>
      </c>
      <c r="J1582" s="76" t="s">
        <v>404</v>
      </c>
      <c r="K1582" s="9" t="s">
        <v>5480</v>
      </c>
      <c r="L1582" s="9" t="s">
        <v>5423</v>
      </c>
      <c r="M1582" s="9" t="s">
        <v>1490</v>
      </c>
      <c r="N1582" s="9" t="s">
        <v>1459</v>
      </c>
      <c r="O1582" s="20" t="s">
        <v>5481</v>
      </c>
      <c r="P1582" s="61"/>
      <c r="Q1582" s="11" t="s">
        <v>584</v>
      </c>
      <c r="R1582" s="20" t="s">
        <v>5504</v>
      </c>
      <c r="S1582" s="62" t="s">
        <v>5505</v>
      </c>
      <c r="T1582" s="74" t="s">
        <v>3753</v>
      </c>
      <c r="U1582" s="50" t="s">
        <v>7514</v>
      </c>
      <c r="V1582" s="118" t="str">
        <f>+Agencia[[#This Row],[idcoleccion]]&amp;"-"&amp;Agencia[[#This Row],[id]]</f>
        <v>990-1571</v>
      </c>
      <c r="W1582" s="118">
        <f>+VLOOKUP(Agencia[[#This Row],[Filtro URL]],Estructura!$X$4:$Y$500,2,0)</f>
        <v>99200012</v>
      </c>
      <c r="X1582" s="118" t="str">
        <f>+VLOOKUP(Agencia[[#This Row],[tema]],Estructura!$A$4:$C$500,3,0)</f>
        <v>T-1066</v>
      </c>
      <c r="Y1582" s="118" t="str">
        <f>+VLOOKUP(Agencia[[#This Row],[contenido]],Estructura!$E$4:$G$500,3,0)</f>
        <v>C-1012</v>
      </c>
      <c r="Z1582" s="118" t="str">
        <f>+VLOOKUP(Agencia[[#This Row],[Filtro Integrado]],Estructura!$I$4:$K$500,3,0)</f>
        <v>FI-993</v>
      </c>
      <c r="AA1582" s="118" t="str">
        <f>+VLOOKUP(Agencia[[#This Row],[Muestra]],Estructura!$M$4:$O$500,3,0)</f>
        <v>M-1121</v>
      </c>
    </row>
    <row r="1583" spans="1:27" ht="72" x14ac:dyDescent="0.3">
      <c r="A1583" s="21" t="s">
        <v>6053</v>
      </c>
      <c r="B1583" s="9">
        <v>990</v>
      </c>
      <c r="C1583" s="10" t="s">
        <v>401</v>
      </c>
      <c r="D1583" s="10" t="s">
        <v>822</v>
      </c>
      <c r="E1583" s="19">
        <v>13</v>
      </c>
      <c r="F1583" s="10" t="s">
        <v>5420</v>
      </c>
      <c r="G1583" s="10" t="s">
        <v>5421</v>
      </c>
      <c r="H1583" s="35" t="s">
        <v>16</v>
      </c>
      <c r="I1583" s="36" t="s">
        <v>380</v>
      </c>
      <c r="J1583" s="76" t="s">
        <v>404</v>
      </c>
      <c r="K1583" s="9" t="s">
        <v>5480</v>
      </c>
      <c r="L1583" s="9" t="s">
        <v>5423</v>
      </c>
      <c r="M1583" s="9" t="s">
        <v>1490</v>
      </c>
      <c r="N1583" s="9" t="s">
        <v>1459</v>
      </c>
      <c r="O1583" s="20" t="s">
        <v>5481</v>
      </c>
      <c r="P1583" s="61"/>
      <c r="Q1583" s="11" t="s">
        <v>584</v>
      </c>
      <c r="R1583" s="20" t="s">
        <v>5506</v>
      </c>
      <c r="S1583" s="62" t="s">
        <v>5507</v>
      </c>
      <c r="T1583" s="74" t="s">
        <v>3760</v>
      </c>
      <c r="U1583" s="50" t="s">
        <v>7515</v>
      </c>
      <c r="V1583" s="118" t="str">
        <f>+Agencia[[#This Row],[idcoleccion]]&amp;"-"&amp;Agencia[[#This Row],[id]]</f>
        <v>990-1572</v>
      </c>
      <c r="W1583" s="118">
        <f>+VLOOKUP(Agencia[[#This Row],[Filtro URL]],Estructura!$X$4:$Y$500,2,0)</f>
        <v>99200013</v>
      </c>
      <c r="X1583" s="118" t="str">
        <f>+VLOOKUP(Agencia[[#This Row],[tema]],Estructura!$A$4:$C$500,3,0)</f>
        <v>T-1066</v>
      </c>
      <c r="Y1583" s="118" t="str">
        <f>+VLOOKUP(Agencia[[#This Row],[contenido]],Estructura!$E$4:$G$500,3,0)</f>
        <v>C-1012</v>
      </c>
      <c r="Z1583" s="118" t="str">
        <f>+VLOOKUP(Agencia[[#This Row],[Filtro Integrado]],Estructura!$I$4:$K$500,3,0)</f>
        <v>FI-993</v>
      </c>
      <c r="AA1583" s="118" t="str">
        <f>+VLOOKUP(Agencia[[#This Row],[Muestra]],Estructura!$M$4:$O$500,3,0)</f>
        <v>M-1121</v>
      </c>
    </row>
    <row r="1584" spans="1:27" ht="72" x14ac:dyDescent="0.3">
      <c r="A1584" s="21" t="s">
        <v>6054</v>
      </c>
      <c r="B1584" s="9">
        <v>990</v>
      </c>
      <c r="C1584" s="10" t="s">
        <v>401</v>
      </c>
      <c r="D1584" s="10" t="s">
        <v>822</v>
      </c>
      <c r="E1584" s="19">
        <v>14</v>
      </c>
      <c r="F1584" s="10" t="s">
        <v>5420</v>
      </c>
      <c r="G1584" s="10" t="s">
        <v>5421</v>
      </c>
      <c r="H1584" s="35" t="s">
        <v>16</v>
      </c>
      <c r="I1584" s="36" t="s">
        <v>381</v>
      </c>
      <c r="J1584" s="76" t="s">
        <v>404</v>
      </c>
      <c r="K1584" s="9" t="s">
        <v>5480</v>
      </c>
      <c r="L1584" s="9" t="s">
        <v>5423</v>
      </c>
      <c r="M1584" s="9" t="s">
        <v>1490</v>
      </c>
      <c r="N1584" s="9" t="s">
        <v>1459</v>
      </c>
      <c r="O1584" s="20" t="s">
        <v>5481</v>
      </c>
      <c r="P1584" s="61"/>
      <c r="Q1584" s="11" t="s">
        <v>584</v>
      </c>
      <c r="R1584" s="20" t="s">
        <v>5508</v>
      </c>
      <c r="S1584" s="62" t="s">
        <v>5509</v>
      </c>
      <c r="T1584" s="74" t="s">
        <v>3752</v>
      </c>
      <c r="U1584" s="50" t="s">
        <v>7516</v>
      </c>
      <c r="V1584" s="118" t="str">
        <f>+Agencia[[#This Row],[idcoleccion]]&amp;"-"&amp;Agencia[[#This Row],[id]]</f>
        <v>990-1573</v>
      </c>
      <c r="W1584" s="118">
        <f>+VLOOKUP(Agencia[[#This Row],[Filtro URL]],Estructura!$X$4:$Y$500,2,0)</f>
        <v>99200014</v>
      </c>
      <c r="X1584" s="118" t="str">
        <f>+VLOOKUP(Agencia[[#This Row],[tema]],Estructura!$A$4:$C$500,3,0)</f>
        <v>T-1066</v>
      </c>
      <c r="Y1584" s="118" t="str">
        <f>+VLOOKUP(Agencia[[#This Row],[contenido]],Estructura!$E$4:$G$500,3,0)</f>
        <v>C-1012</v>
      </c>
      <c r="Z1584" s="118" t="str">
        <f>+VLOOKUP(Agencia[[#This Row],[Filtro Integrado]],Estructura!$I$4:$K$500,3,0)</f>
        <v>FI-993</v>
      </c>
      <c r="AA1584" s="118" t="str">
        <f>+VLOOKUP(Agencia[[#This Row],[Muestra]],Estructura!$M$4:$O$500,3,0)</f>
        <v>M-1121</v>
      </c>
    </row>
    <row r="1585" spans="1:27" ht="72" x14ac:dyDescent="0.3">
      <c r="A1585" s="21" t="s">
        <v>6055</v>
      </c>
      <c r="B1585" s="9">
        <v>990</v>
      </c>
      <c r="C1585" s="10" t="s">
        <v>401</v>
      </c>
      <c r="D1585" s="10" t="s">
        <v>822</v>
      </c>
      <c r="E1585" s="19">
        <v>15</v>
      </c>
      <c r="F1585" s="10" t="s">
        <v>5420</v>
      </c>
      <c r="G1585" s="10" t="s">
        <v>5421</v>
      </c>
      <c r="H1585" s="35" t="s">
        <v>16</v>
      </c>
      <c r="I1585" s="36" t="s">
        <v>382</v>
      </c>
      <c r="J1585" s="76" t="s">
        <v>404</v>
      </c>
      <c r="K1585" s="9" t="s">
        <v>5480</v>
      </c>
      <c r="L1585" s="9" t="s">
        <v>5423</v>
      </c>
      <c r="M1585" s="9" t="s">
        <v>1490</v>
      </c>
      <c r="N1585" s="9" t="s">
        <v>1459</v>
      </c>
      <c r="O1585" s="20" t="s">
        <v>5481</v>
      </c>
      <c r="P1585" s="61"/>
      <c r="Q1585" s="11" t="s">
        <v>584</v>
      </c>
      <c r="R1585" s="20" t="s">
        <v>5510</v>
      </c>
      <c r="S1585" s="62" t="s">
        <v>5511</v>
      </c>
      <c r="T1585" s="74" t="s">
        <v>3746</v>
      </c>
      <c r="U1585" s="50" t="s">
        <v>7517</v>
      </c>
      <c r="V1585" s="118" t="str">
        <f>+Agencia[[#This Row],[idcoleccion]]&amp;"-"&amp;Agencia[[#This Row],[id]]</f>
        <v>990-1574</v>
      </c>
      <c r="W1585" s="118">
        <f>+VLOOKUP(Agencia[[#This Row],[Filtro URL]],Estructura!$X$4:$Y$500,2,0)</f>
        <v>99200015</v>
      </c>
      <c r="X1585" s="118" t="str">
        <f>+VLOOKUP(Agencia[[#This Row],[tema]],Estructura!$A$4:$C$500,3,0)</f>
        <v>T-1066</v>
      </c>
      <c r="Y1585" s="118" t="str">
        <f>+VLOOKUP(Agencia[[#This Row],[contenido]],Estructura!$E$4:$G$500,3,0)</f>
        <v>C-1012</v>
      </c>
      <c r="Z1585" s="118" t="str">
        <f>+VLOOKUP(Agencia[[#This Row],[Filtro Integrado]],Estructura!$I$4:$K$500,3,0)</f>
        <v>FI-993</v>
      </c>
      <c r="AA1585" s="118" t="str">
        <f>+VLOOKUP(Agencia[[#This Row],[Muestra]],Estructura!$M$4:$O$500,3,0)</f>
        <v>M-1121</v>
      </c>
    </row>
    <row r="1586" spans="1:27" ht="72" x14ac:dyDescent="0.3">
      <c r="A1586" s="21" t="s">
        <v>6056</v>
      </c>
      <c r="B1586" s="9">
        <v>990</v>
      </c>
      <c r="C1586" s="10" t="s">
        <v>401</v>
      </c>
      <c r="D1586" s="10" t="s">
        <v>822</v>
      </c>
      <c r="E1586" s="19">
        <v>16</v>
      </c>
      <c r="F1586" s="10" t="s">
        <v>5420</v>
      </c>
      <c r="G1586" s="10" t="s">
        <v>5421</v>
      </c>
      <c r="H1586" s="35" t="s">
        <v>16</v>
      </c>
      <c r="I1586" s="36" t="s">
        <v>383</v>
      </c>
      <c r="J1586" s="76" t="s">
        <v>404</v>
      </c>
      <c r="K1586" s="9" t="s">
        <v>5480</v>
      </c>
      <c r="L1586" s="9" t="s">
        <v>5423</v>
      </c>
      <c r="M1586" s="9" t="s">
        <v>1490</v>
      </c>
      <c r="N1586" s="9" t="s">
        <v>1459</v>
      </c>
      <c r="O1586" s="20" t="s">
        <v>5481</v>
      </c>
      <c r="P1586" s="61"/>
      <c r="Q1586" s="11" t="s">
        <v>584</v>
      </c>
      <c r="R1586" s="20" t="s">
        <v>5512</v>
      </c>
      <c r="S1586" s="62" t="s">
        <v>5513</v>
      </c>
      <c r="T1586" s="74" t="s">
        <v>3755</v>
      </c>
      <c r="U1586" s="50" t="s">
        <v>7518</v>
      </c>
      <c r="V1586" s="118" t="str">
        <f>+Agencia[[#This Row],[idcoleccion]]&amp;"-"&amp;Agencia[[#This Row],[id]]</f>
        <v>990-1575</v>
      </c>
      <c r="W1586" s="118">
        <f>+VLOOKUP(Agencia[[#This Row],[Filtro URL]],Estructura!$X$4:$Y$500,2,0)</f>
        <v>99200016</v>
      </c>
      <c r="X1586" s="118" t="str">
        <f>+VLOOKUP(Agencia[[#This Row],[tema]],Estructura!$A$4:$C$500,3,0)</f>
        <v>T-1066</v>
      </c>
      <c r="Y1586" s="118" t="str">
        <f>+VLOOKUP(Agencia[[#This Row],[contenido]],Estructura!$E$4:$G$500,3,0)</f>
        <v>C-1012</v>
      </c>
      <c r="Z1586" s="118" t="str">
        <f>+VLOOKUP(Agencia[[#This Row],[Filtro Integrado]],Estructura!$I$4:$K$500,3,0)</f>
        <v>FI-993</v>
      </c>
      <c r="AA1586" s="118" t="str">
        <f>+VLOOKUP(Agencia[[#This Row],[Muestra]],Estructura!$M$4:$O$500,3,0)</f>
        <v>M-1121</v>
      </c>
    </row>
    <row r="1587" spans="1:27" ht="36" x14ac:dyDescent="0.3">
      <c r="A1587" s="21" t="s">
        <v>6057</v>
      </c>
      <c r="B1587" s="9">
        <v>990</v>
      </c>
      <c r="C1587" s="10" t="s">
        <v>401</v>
      </c>
      <c r="D1587" s="10" t="s">
        <v>822</v>
      </c>
      <c r="E1587" s="14">
        <v>0</v>
      </c>
      <c r="F1587" s="10" t="s">
        <v>5420</v>
      </c>
      <c r="G1587" s="10" t="s">
        <v>5421</v>
      </c>
      <c r="H1587" s="33" t="s">
        <v>20</v>
      </c>
      <c r="I1587" s="34" t="s">
        <v>15</v>
      </c>
      <c r="J1587" s="76" t="s">
        <v>404</v>
      </c>
      <c r="K1587" s="9" t="s">
        <v>5514</v>
      </c>
      <c r="L1587" s="9" t="s">
        <v>5423</v>
      </c>
      <c r="M1587" s="9" t="s">
        <v>1490</v>
      </c>
      <c r="N1587" s="9" t="s">
        <v>1459</v>
      </c>
      <c r="O1587" s="20" t="s">
        <v>5515</v>
      </c>
      <c r="P1587" s="61"/>
      <c r="Q1587" s="11" t="s">
        <v>596</v>
      </c>
      <c r="R1587" s="20" t="s">
        <v>8355</v>
      </c>
      <c r="S1587" s="62" t="s">
        <v>5516</v>
      </c>
      <c r="T1587" s="74">
        <v>0</v>
      </c>
      <c r="U1587" s="50" t="s">
        <v>7519</v>
      </c>
      <c r="V1587" s="118" t="str">
        <f>+Agencia[[#This Row],[idcoleccion]]&amp;"-"&amp;Agencia[[#This Row],[id]]</f>
        <v>990-1576</v>
      </c>
      <c r="W1587" s="118">
        <f>+VLOOKUP(Agencia[[#This Row],[Filtro URL]],Estructura!$X$4:$Y$500,2,0)</f>
        <v>99100000</v>
      </c>
      <c r="X1587" s="118" t="str">
        <f>+VLOOKUP(Agencia[[#This Row],[tema]],Estructura!$A$4:$C$500,3,0)</f>
        <v>T-1066</v>
      </c>
      <c r="Y1587" s="118" t="str">
        <f>+VLOOKUP(Agencia[[#This Row],[contenido]],Estructura!$E$4:$G$500,3,0)</f>
        <v>C-1012</v>
      </c>
      <c r="Z1587" s="118" t="str">
        <f>+VLOOKUP(Agencia[[#This Row],[Filtro Integrado]],Estructura!$I$4:$K$500,3,0)</f>
        <v>FI-993</v>
      </c>
      <c r="AA1587" s="118" t="str">
        <f>+VLOOKUP(Agencia[[#This Row],[Muestra]],Estructura!$M$4:$O$500,3,0)</f>
        <v>M-1122</v>
      </c>
    </row>
    <row r="1588" spans="1:27" ht="144" x14ac:dyDescent="0.3">
      <c r="A1588" s="21" t="s">
        <v>6058</v>
      </c>
      <c r="B1588" s="9">
        <v>990</v>
      </c>
      <c r="C1588" s="10" t="s">
        <v>401</v>
      </c>
      <c r="D1588" s="10" t="s">
        <v>822</v>
      </c>
      <c r="E1588" s="14">
        <v>0</v>
      </c>
      <c r="F1588" s="10" t="s">
        <v>5420</v>
      </c>
      <c r="G1588" s="10" t="s">
        <v>5421</v>
      </c>
      <c r="H1588" s="33" t="s">
        <v>20</v>
      </c>
      <c r="I1588" s="34" t="s">
        <v>15</v>
      </c>
      <c r="J1588" s="76" t="s">
        <v>404</v>
      </c>
      <c r="K1588" s="9" t="s">
        <v>5517</v>
      </c>
      <c r="L1588" s="9" t="s">
        <v>5423</v>
      </c>
      <c r="M1588" s="9" t="s">
        <v>1490</v>
      </c>
      <c r="N1588" s="9" t="s">
        <v>1459</v>
      </c>
      <c r="O1588" s="9" t="s">
        <v>5518</v>
      </c>
      <c r="P1588" s="9" t="s">
        <v>5519</v>
      </c>
      <c r="Q1588" s="11" t="s">
        <v>584</v>
      </c>
      <c r="R1588" s="20" t="s">
        <v>8358</v>
      </c>
      <c r="S1588" s="62" t="s">
        <v>5520</v>
      </c>
      <c r="T1588" s="74" t="s">
        <v>855</v>
      </c>
      <c r="U1588" s="50" t="s">
        <v>7520</v>
      </c>
      <c r="V1588" s="118" t="str">
        <f>+Agencia[[#This Row],[idcoleccion]]&amp;"-"&amp;Agencia[[#This Row],[id]]</f>
        <v>990-1577</v>
      </c>
      <c r="W1588" s="118">
        <f>+VLOOKUP(Agencia[[#This Row],[Filtro URL]],Estructura!$X$4:$Y$500,2,0)</f>
        <v>99100000</v>
      </c>
      <c r="X1588" s="118" t="str">
        <f>+VLOOKUP(Agencia[[#This Row],[tema]],Estructura!$A$4:$C$500,3,0)</f>
        <v>T-1066</v>
      </c>
      <c r="Y1588" s="118" t="str">
        <f>+VLOOKUP(Agencia[[#This Row],[contenido]],Estructura!$E$4:$G$500,3,0)</f>
        <v>C-1012</v>
      </c>
      <c r="Z1588" s="118" t="str">
        <f>+VLOOKUP(Agencia[[#This Row],[Filtro Integrado]],Estructura!$I$4:$K$500,3,0)</f>
        <v>FI-993</v>
      </c>
      <c r="AA1588" s="118" t="str">
        <f>+VLOOKUP(Agencia[[#This Row],[Muestra]],Estructura!$M$4:$O$500,3,0)</f>
        <v>M-1123</v>
      </c>
    </row>
    <row r="1589" spans="1:27" ht="57.6" x14ac:dyDescent="0.3">
      <c r="A1589" s="21" t="s">
        <v>6059</v>
      </c>
      <c r="B1589" s="9">
        <v>990</v>
      </c>
      <c r="C1589" s="10" t="s">
        <v>401</v>
      </c>
      <c r="D1589" s="10" t="s">
        <v>822</v>
      </c>
      <c r="E1589" s="19">
        <v>1</v>
      </c>
      <c r="F1589" s="10" t="s">
        <v>5420</v>
      </c>
      <c r="G1589" s="10" t="s">
        <v>5421</v>
      </c>
      <c r="H1589" s="35" t="s">
        <v>16</v>
      </c>
      <c r="I1589" s="36" t="s">
        <v>368</v>
      </c>
      <c r="J1589" s="76" t="s">
        <v>404</v>
      </c>
      <c r="K1589" s="9" t="s">
        <v>5514</v>
      </c>
      <c r="L1589" s="9" t="s">
        <v>5423</v>
      </c>
      <c r="M1589" s="9" t="s">
        <v>1490</v>
      </c>
      <c r="N1589" s="9" t="s">
        <v>1459</v>
      </c>
      <c r="O1589" s="9" t="s">
        <v>5521</v>
      </c>
      <c r="P1589" s="61"/>
      <c r="Q1589" s="11" t="s">
        <v>584</v>
      </c>
      <c r="R1589" s="20" t="s">
        <v>5522</v>
      </c>
      <c r="S1589" s="62" t="s">
        <v>5523</v>
      </c>
      <c r="T1589" s="74" t="s">
        <v>3757</v>
      </c>
      <c r="U1589" s="50" t="s">
        <v>7521</v>
      </c>
      <c r="V1589" s="118" t="str">
        <f>+Agencia[[#This Row],[idcoleccion]]&amp;"-"&amp;Agencia[[#This Row],[id]]</f>
        <v>990-1578</v>
      </c>
      <c r="W1589" s="118">
        <f>+VLOOKUP(Agencia[[#This Row],[Filtro URL]],Estructura!$X$4:$Y$500,2,0)</f>
        <v>99200001</v>
      </c>
      <c r="X1589" s="118" t="str">
        <f>+VLOOKUP(Agencia[[#This Row],[tema]],Estructura!$A$4:$C$500,3,0)</f>
        <v>T-1066</v>
      </c>
      <c r="Y1589" s="118" t="str">
        <f>+VLOOKUP(Agencia[[#This Row],[contenido]],Estructura!$E$4:$G$500,3,0)</f>
        <v>C-1012</v>
      </c>
      <c r="Z1589" s="118" t="str">
        <f>+VLOOKUP(Agencia[[#This Row],[Filtro Integrado]],Estructura!$I$4:$K$500,3,0)</f>
        <v>FI-993</v>
      </c>
      <c r="AA1589" s="118" t="str">
        <f>+VLOOKUP(Agencia[[#This Row],[Muestra]],Estructura!$M$4:$O$500,3,0)</f>
        <v>M-1122</v>
      </c>
    </row>
    <row r="1590" spans="1:27" ht="57.6" x14ac:dyDescent="0.3">
      <c r="A1590" s="21" t="s">
        <v>6060</v>
      </c>
      <c r="B1590" s="9">
        <v>990</v>
      </c>
      <c r="C1590" s="10" t="s">
        <v>401</v>
      </c>
      <c r="D1590" s="10" t="s">
        <v>822</v>
      </c>
      <c r="E1590" s="19">
        <v>2</v>
      </c>
      <c r="F1590" s="10" t="s">
        <v>5420</v>
      </c>
      <c r="G1590" s="10" t="s">
        <v>5421</v>
      </c>
      <c r="H1590" s="35" t="s">
        <v>16</v>
      </c>
      <c r="I1590" s="36" t="s">
        <v>369</v>
      </c>
      <c r="J1590" s="76" t="s">
        <v>404</v>
      </c>
      <c r="K1590" s="9" t="s">
        <v>5514</v>
      </c>
      <c r="L1590" s="9" t="s">
        <v>5423</v>
      </c>
      <c r="M1590" s="9" t="s">
        <v>1490</v>
      </c>
      <c r="N1590" s="9" t="s">
        <v>1459</v>
      </c>
      <c r="O1590" s="9" t="s">
        <v>5524</v>
      </c>
      <c r="P1590" s="61"/>
      <c r="Q1590" s="11" t="s">
        <v>584</v>
      </c>
      <c r="R1590" s="20" t="s">
        <v>5525</v>
      </c>
      <c r="S1590" s="62" t="s">
        <v>5526</v>
      </c>
      <c r="T1590" s="74" t="s">
        <v>3745</v>
      </c>
      <c r="U1590" s="50" t="s">
        <v>7522</v>
      </c>
      <c r="V1590" s="118" t="str">
        <f>+Agencia[[#This Row],[idcoleccion]]&amp;"-"&amp;Agencia[[#This Row],[id]]</f>
        <v>990-1579</v>
      </c>
      <c r="W1590" s="118">
        <f>+VLOOKUP(Agencia[[#This Row],[Filtro URL]],Estructura!$X$4:$Y$500,2,0)</f>
        <v>99200002</v>
      </c>
      <c r="X1590" s="118" t="str">
        <f>+VLOOKUP(Agencia[[#This Row],[tema]],Estructura!$A$4:$C$500,3,0)</f>
        <v>T-1066</v>
      </c>
      <c r="Y1590" s="118" t="str">
        <f>+VLOOKUP(Agencia[[#This Row],[contenido]],Estructura!$E$4:$G$500,3,0)</f>
        <v>C-1012</v>
      </c>
      <c r="Z1590" s="118" t="str">
        <f>+VLOOKUP(Agencia[[#This Row],[Filtro Integrado]],Estructura!$I$4:$K$500,3,0)</f>
        <v>FI-993</v>
      </c>
      <c r="AA1590" s="118" t="str">
        <f>+VLOOKUP(Agencia[[#This Row],[Muestra]],Estructura!$M$4:$O$500,3,0)</f>
        <v>M-1122</v>
      </c>
    </row>
    <row r="1591" spans="1:27" ht="57.6" x14ac:dyDescent="0.3">
      <c r="A1591" s="21" t="s">
        <v>6061</v>
      </c>
      <c r="B1591" s="9">
        <v>990</v>
      </c>
      <c r="C1591" s="10" t="s">
        <v>401</v>
      </c>
      <c r="D1591" s="10" t="s">
        <v>822</v>
      </c>
      <c r="E1591" s="19">
        <v>3</v>
      </c>
      <c r="F1591" s="10" t="s">
        <v>5420</v>
      </c>
      <c r="G1591" s="10" t="s">
        <v>5421</v>
      </c>
      <c r="H1591" s="35" t="s">
        <v>16</v>
      </c>
      <c r="I1591" s="36" t="s">
        <v>370</v>
      </c>
      <c r="J1591" s="76" t="s">
        <v>404</v>
      </c>
      <c r="K1591" s="9" t="s">
        <v>5514</v>
      </c>
      <c r="L1591" s="9" t="s">
        <v>5423</v>
      </c>
      <c r="M1591" s="9" t="s">
        <v>1490</v>
      </c>
      <c r="N1591" s="9" t="s">
        <v>1459</v>
      </c>
      <c r="O1591" s="9" t="s">
        <v>5527</v>
      </c>
      <c r="P1591" s="61"/>
      <c r="Q1591" s="11" t="s">
        <v>584</v>
      </c>
      <c r="R1591" s="20" t="s">
        <v>5528</v>
      </c>
      <c r="S1591" s="62" t="s">
        <v>5529</v>
      </c>
      <c r="T1591" s="74" t="s">
        <v>3747</v>
      </c>
      <c r="U1591" s="50" t="s">
        <v>7523</v>
      </c>
      <c r="V1591" s="118" t="str">
        <f>+Agencia[[#This Row],[idcoleccion]]&amp;"-"&amp;Agencia[[#This Row],[id]]</f>
        <v>990-1580</v>
      </c>
      <c r="W1591" s="118">
        <f>+VLOOKUP(Agencia[[#This Row],[Filtro URL]],Estructura!$X$4:$Y$500,2,0)</f>
        <v>99200003</v>
      </c>
      <c r="X1591" s="118" t="str">
        <f>+VLOOKUP(Agencia[[#This Row],[tema]],Estructura!$A$4:$C$500,3,0)</f>
        <v>T-1066</v>
      </c>
      <c r="Y1591" s="118" t="str">
        <f>+VLOOKUP(Agencia[[#This Row],[contenido]],Estructura!$E$4:$G$500,3,0)</f>
        <v>C-1012</v>
      </c>
      <c r="Z1591" s="118" t="str">
        <f>+VLOOKUP(Agencia[[#This Row],[Filtro Integrado]],Estructura!$I$4:$K$500,3,0)</f>
        <v>FI-993</v>
      </c>
      <c r="AA1591" s="118" t="str">
        <f>+VLOOKUP(Agencia[[#This Row],[Muestra]],Estructura!$M$4:$O$500,3,0)</f>
        <v>M-1122</v>
      </c>
    </row>
    <row r="1592" spans="1:27" ht="57.6" x14ac:dyDescent="0.3">
      <c r="A1592" s="21" t="s">
        <v>6062</v>
      </c>
      <c r="B1592" s="9">
        <v>990</v>
      </c>
      <c r="C1592" s="10" t="s">
        <v>401</v>
      </c>
      <c r="D1592" s="10" t="s">
        <v>822</v>
      </c>
      <c r="E1592" s="19">
        <v>4</v>
      </c>
      <c r="F1592" s="10" t="s">
        <v>5420</v>
      </c>
      <c r="G1592" s="10" t="s">
        <v>5421</v>
      </c>
      <c r="H1592" s="35" t="s">
        <v>16</v>
      </c>
      <c r="I1592" s="36" t="s">
        <v>371</v>
      </c>
      <c r="J1592" s="76" t="s">
        <v>404</v>
      </c>
      <c r="K1592" s="9" t="s">
        <v>5514</v>
      </c>
      <c r="L1592" s="9" t="s">
        <v>5423</v>
      </c>
      <c r="M1592" s="9" t="s">
        <v>1490</v>
      </c>
      <c r="N1592" s="9" t="s">
        <v>1459</v>
      </c>
      <c r="O1592" s="9" t="s">
        <v>5530</v>
      </c>
      <c r="P1592" s="61"/>
      <c r="Q1592" s="11" t="s">
        <v>584</v>
      </c>
      <c r="R1592" s="20" t="s">
        <v>5531</v>
      </c>
      <c r="S1592" s="62" t="s">
        <v>5532</v>
      </c>
      <c r="T1592" s="74" t="s">
        <v>3749</v>
      </c>
      <c r="U1592" s="50" t="s">
        <v>7524</v>
      </c>
      <c r="V1592" s="118" t="str">
        <f>+Agencia[[#This Row],[idcoleccion]]&amp;"-"&amp;Agencia[[#This Row],[id]]</f>
        <v>990-1581</v>
      </c>
      <c r="W1592" s="118">
        <f>+VLOOKUP(Agencia[[#This Row],[Filtro URL]],Estructura!$X$4:$Y$500,2,0)</f>
        <v>99200004</v>
      </c>
      <c r="X1592" s="118" t="str">
        <f>+VLOOKUP(Agencia[[#This Row],[tema]],Estructura!$A$4:$C$500,3,0)</f>
        <v>T-1066</v>
      </c>
      <c r="Y1592" s="118" t="str">
        <f>+VLOOKUP(Agencia[[#This Row],[contenido]],Estructura!$E$4:$G$500,3,0)</f>
        <v>C-1012</v>
      </c>
      <c r="Z1592" s="118" t="str">
        <f>+VLOOKUP(Agencia[[#This Row],[Filtro Integrado]],Estructura!$I$4:$K$500,3,0)</f>
        <v>FI-993</v>
      </c>
      <c r="AA1592" s="118" t="str">
        <f>+VLOOKUP(Agencia[[#This Row],[Muestra]],Estructura!$M$4:$O$500,3,0)</f>
        <v>M-1122</v>
      </c>
    </row>
    <row r="1593" spans="1:27" ht="57.6" x14ac:dyDescent="0.3">
      <c r="A1593" s="21" t="s">
        <v>6063</v>
      </c>
      <c r="B1593" s="9">
        <v>990</v>
      </c>
      <c r="C1593" s="10" t="s">
        <v>401</v>
      </c>
      <c r="D1593" s="10" t="s">
        <v>822</v>
      </c>
      <c r="E1593" s="19">
        <v>5</v>
      </c>
      <c r="F1593" s="10" t="s">
        <v>5420</v>
      </c>
      <c r="G1593" s="10" t="s">
        <v>5421</v>
      </c>
      <c r="H1593" s="35" t="s">
        <v>16</v>
      </c>
      <c r="I1593" s="36" t="s">
        <v>372</v>
      </c>
      <c r="J1593" s="76" t="s">
        <v>404</v>
      </c>
      <c r="K1593" s="9" t="s">
        <v>5514</v>
      </c>
      <c r="L1593" s="9" t="s">
        <v>5423</v>
      </c>
      <c r="M1593" s="9" t="s">
        <v>1490</v>
      </c>
      <c r="N1593" s="9" t="s">
        <v>1459</v>
      </c>
      <c r="O1593" s="9" t="s">
        <v>5533</v>
      </c>
      <c r="P1593" s="61"/>
      <c r="Q1593" s="11" t="s">
        <v>584</v>
      </c>
      <c r="R1593" s="20" t="s">
        <v>5534</v>
      </c>
      <c r="S1593" s="62" t="s">
        <v>5535</v>
      </c>
      <c r="T1593" s="74" t="s">
        <v>3758</v>
      </c>
      <c r="U1593" s="50" t="s">
        <v>7525</v>
      </c>
      <c r="V1593" s="118" t="str">
        <f>+Agencia[[#This Row],[idcoleccion]]&amp;"-"&amp;Agencia[[#This Row],[id]]</f>
        <v>990-1582</v>
      </c>
      <c r="W1593" s="118">
        <f>+VLOOKUP(Agencia[[#This Row],[Filtro URL]],Estructura!$X$4:$Y$500,2,0)</f>
        <v>99200005</v>
      </c>
      <c r="X1593" s="118" t="str">
        <f>+VLOOKUP(Agencia[[#This Row],[tema]],Estructura!$A$4:$C$500,3,0)</f>
        <v>T-1066</v>
      </c>
      <c r="Y1593" s="118" t="str">
        <f>+VLOOKUP(Agencia[[#This Row],[contenido]],Estructura!$E$4:$G$500,3,0)</f>
        <v>C-1012</v>
      </c>
      <c r="Z1593" s="118" t="str">
        <f>+VLOOKUP(Agencia[[#This Row],[Filtro Integrado]],Estructura!$I$4:$K$500,3,0)</f>
        <v>FI-993</v>
      </c>
      <c r="AA1593" s="118" t="str">
        <f>+VLOOKUP(Agencia[[#This Row],[Muestra]],Estructura!$M$4:$O$500,3,0)</f>
        <v>M-1122</v>
      </c>
    </row>
    <row r="1594" spans="1:27" ht="57.6" x14ac:dyDescent="0.3">
      <c r="A1594" s="21" t="s">
        <v>6064</v>
      </c>
      <c r="B1594" s="9">
        <v>990</v>
      </c>
      <c r="C1594" s="10" t="s">
        <v>401</v>
      </c>
      <c r="D1594" s="10" t="s">
        <v>822</v>
      </c>
      <c r="E1594" s="19">
        <v>6</v>
      </c>
      <c r="F1594" s="10" t="s">
        <v>5420</v>
      </c>
      <c r="G1594" s="10" t="s">
        <v>5421</v>
      </c>
      <c r="H1594" s="35" t="s">
        <v>16</v>
      </c>
      <c r="I1594" s="36" t="s">
        <v>373</v>
      </c>
      <c r="J1594" s="76" t="s">
        <v>404</v>
      </c>
      <c r="K1594" s="9" t="s">
        <v>5514</v>
      </c>
      <c r="L1594" s="9" t="s">
        <v>5423</v>
      </c>
      <c r="M1594" s="9" t="s">
        <v>1490</v>
      </c>
      <c r="N1594" s="9" t="s">
        <v>1459</v>
      </c>
      <c r="O1594" s="9" t="s">
        <v>5536</v>
      </c>
      <c r="P1594" s="61"/>
      <c r="Q1594" s="11" t="s">
        <v>584</v>
      </c>
      <c r="R1594" s="20" t="s">
        <v>5537</v>
      </c>
      <c r="S1594" s="62" t="s">
        <v>5538</v>
      </c>
      <c r="T1594" s="74" t="s">
        <v>3756</v>
      </c>
      <c r="U1594" s="50" t="s">
        <v>7526</v>
      </c>
      <c r="V1594" s="118" t="str">
        <f>+Agencia[[#This Row],[idcoleccion]]&amp;"-"&amp;Agencia[[#This Row],[id]]</f>
        <v>990-1583</v>
      </c>
      <c r="W1594" s="118">
        <f>+VLOOKUP(Agencia[[#This Row],[Filtro URL]],Estructura!$X$4:$Y$500,2,0)</f>
        <v>99200006</v>
      </c>
      <c r="X1594" s="118" t="str">
        <f>+VLOOKUP(Agencia[[#This Row],[tema]],Estructura!$A$4:$C$500,3,0)</f>
        <v>T-1066</v>
      </c>
      <c r="Y1594" s="118" t="str">
        <f>+VLOOKUP(Agencia[[#This Row],[contenido]],Estructura!$E$4:$G$500,3,0)</f>
        <v>C-1012</v>
      </c>
      <c r="Z1594" s="118" t="str">
        <f>+VLOOKUP(Agencia[[#This Row],[Filtro Integrado]],Estructura!$I$4:$K$500,3,0)</f>
        <v>FI-993</v>
      </c>
      <c r="AA1594" s="118" t="str">
        <f>+VLOOKUP(Agencia[[#This Row],[Muestra]],Estructura!$M$4:$O$500,3,0)</f>
        <v>M-1122</v>
      </c>
    </row>
    <row r="1595" spans="1:27" ht="57.6" x14ac:dyDescent="0.3">
      <c r="A1595" s="21" t="s">
        <v>6065</v>
      </c>
      <c r="B1595" s="9">
        <v>990</v>
      </c>
      <c r="C1595" s="10" t="s">
        <v>401</v>
      </c>
      <c r="D1595" s="10" t="s">
        <v>822</v>
      </c>
      <c r="E1595" s="19">
        <v>7</v>
      </c>
      <c r="F1595" s="10" t="s">
        <v>5420</v>
      </c>
      <c r="G1595" s="10" t="s">
        <v>5421</v>
      </c>
      <c r="H1595" s="35" t="s">
        <v>16</v>
      </c>
      <c r="I1595" s="36" t="s">
        <v>374</v>
      </c>
      <c r="J1595" s="76" t="s">
        <v>404</v>
      </c>
      <c r="K1595" s="9" t="s">
        <v>5514</v>
      </c>
      <c r="L1595" s="9" t="s">
        <v>5423</v>
      </c>
      <c r="M1595" s="9" t="s">
        <v>1490</v>
      </c>
      <c r="N1595" s="9" t="s">
        <v>1459</v>
      </c>
      <c r="O1595" s="9" t="s">
        <v>5539</v>
      </c>
      <c r="P1595" s="61"/>
      <c r="Q1595" s="11" t="s">
        <v>584</v>
      </c>
      <c r="R1595" s="20" t="s">
        <v>5540</v>
      </c>
      <c r="S1595" s="62" t="s">
        <v>5541</v>
      </c>
      <c r="T1595" s="74" t="s">
        <v>3754</v>
      </c>
      <c r="U1595" s="50" t="s">
        <v>7527</v>
      </c>
      <c r="V1595" s="118" t="str">
        <f>+Agencia[[#This Row],[idcoleccion]]&amp;"-"&amp;Agencia[[#This Row],[id]]</f>
        <v>990-1584</v>
      </c>
      <c r="W1595" s="118">
        <f>+VLOOKUP(Agencia[[#This Row],[Filtro URL]],Estructura!$X$4:$Y$500,2,0)</f>
        <v>99200007</v>
      </c>
      <c r="X1595" s="118" t="str">
        <f>+VLOOKUP(Agencia[[#This Row],[tema]],Estructura!$A$4:$C$500,3,0)</f>
        <v>T-1066</v>
      </c>
      <c r="Y1595" s="118" t="str">
        <f>+VLOOKUP(Agencia[[#This Row],[contenido]],Estructura!$E$4:$G$500,3,0)</f>
        <v>C-1012</v>
      </c>
      <c r="Z1595" s="118" t="str">
        <f>+VLOOKUP(Agencia[[#This Row],[Filtro Integrado]],Estructura!$I$4:$K$500,3,0)</f>
        <v>FI-993</v>
      </c>
      <c r="AA1595" s="118" t="str">
        <f>+VLOOKUP(Agencia[[#This Row],[Muestra]],Estructura!$M$4:$O$500,3,0)</f>
        <v>M-1122</v>
      </c>
    </row>
    <row r="1596" spans="1:27" ht="57.6" x14ac:dyDescent="0.3">
      <c r="A1596" s="21" t="s">
        <v>6066</v>
      </c>
      <c r="B1596" s="9">
        <v>990</v>
      </c>
      <c r="C1596" s="10" t="s">
        <v>401</v>
      </c>
      <c r="D1596" s="10" t="s">
        <v>822</v>
      </c>
      <c r="E1596" s="19">
        <v>8</v>
      </c>
      <c r="F1596" s="10" t="s">
        <v>5420</v>
      </c>
      <c r="G1596" s="10" t="s">
        <v>5421</v>
      </c>
      <c r="H1596" s="35" t="s">
        <v>16</v>
      </c>
      <c r="I1596" s="36" t="s">
        <v>375</v>
      </c>
      <c r="J1596" s="76" t="s">
        <v>404</v>
      </c>
      <c r="K1596" s="9" t="s">
        <v>5514</v>
      </c>
      <c r="L1596" s="9" t="s">
        <v>5423</v>
      </c>
      <c r="M1596" s="9" t="s">
        <v>1490</v>
      </c>
      <c r="N1596" s="9" t="s">
        <v>1459</v>
      </c>
      <c r="O1596" s="9" t="s">
        <v>5542</v>
      </c>
      <c r="P1596" s="61"/>
      <c r="Q1596" s="11" t="s">
        <v>584</v>
      </c>
      <c r="R1596" s="20" t="s">
        <v>5543</v>
      </c>
      <c r="S1596" s="62" t="s">
        <v>5544</v>
      </c>
      <c r="T1596" s="74" t="s">
        <v>3759</v>
      </c>
      <c r="U1596" s="50" t="s">
        <v>7528</v>
      </c>
      <c r="V1596" s="118" t="str">
        <f>+Agencia[[#This Row],[idcoleccion]]&amp;"-"&amp;Agencia[[#This Row],[id]]</f>
        <v>990-1585</v>
      </c>
      <c r="W1596" s="118">
        <f>+VLOOKUP(Agencia[[#This Row],[Filtro URL]],Estructura!$X$4:$Y$500,2,0)</f>
        <v>99200008</v>
      </c>
      <c r="X1596" s="118" t="str">
        <f>+VLOOKUP(Agencia[[#This Row],[tema]],Estructura!$A$4:$C$500,3,0)</f>
        <v>T-1066</v>
      </c>
      <c r="Y1596" s="118" t="str">
        <f>+VLOOKUP(Agencia[[#This Row],[contenido]],Estructura!$E$4:$G$500,3,0)</f>
        <v>C-1012</v>
      </c>
      <c r="Z1596" s="118" t="str">
        <f>+VLOOKUP(Agencia[[#This Row],[Filtro Integrado]],Estructura!$I$4:$K$500,3,0)</f>
        <v>FI-993</v>
      </c>
      <c r="AA1596" s="118" t="str">
        <f>+VLOOKUP(Agencia[[#This Row],[Muestra]],Estructura!$M$4:$O$500,3,0)</f>
        <v>M-1122</v>
      </c>
    </row>
    <row r="1597" spans="1:27" ht="57.6" x14ac:dyDescent="0.3">
      <c r="A1597" s="21" t="s">
        <v>6067</v>
      </c>
      <c r="B1597" s="9">
        <v>990</v>
      </c>
      <c r="C1597" s="10" t="s">
        <v>401</v>
      </c>
      <c r="D1597" s="10" t="s">
        <v>822</v>
      </c>
      <c r="E1597" s="19">
        <v>9</v>
      </c>
      <c r="F1597" s="10" t="s">
        <v>5420</v>
      </c>
      <c r="G1597" s="10" t="s">
        <v>5421</v>
      </c>
      <c r="H1597" s="35" t="s">
        <v>16</v>
      </c>
      <c r="I1597" s="36" t="s">
        <v>376</v>
      </c>
      <c r="J1597" s="76" t="s">
        <v>404</v>
      </c>
      <c r="K1597" s="9" t="s">
        <v>5514</v>
      </c>
      <c r="L1597" s="9" t="s">
        <v>5423</v>
      </c>
      <c r="M1597" s="9" t="s">
        <v>1490</v>
      </c>
      <c r="N1597" s="9" t="s">
        <v>1459</v>
      </c>
      <c r="O1597" s="9" t="s">
        <v>5545</v>
      </c>
      <c r="P1597" s="61"/>
      <c r="Q1597" s="11" t="s">
        <v>584</v>
      </c>
      <c r="R1597" s="20" t="s">
        <v>5546</v>
      </c>
      <c r="S1597" s="62" t="s">
        <v>5547</v>
      </c>
      <c r="T1597" s="74" t="s">
        <v>3750</v>
      </c>
      <c r="U1597" s="50" t="s">
        <v>7529</v>
      </c>
      <c r="V1597" s="118" t="str">
        <f>+Agencia[[#This Row],[idcoleccion]]&amp;"-"&amp;Agencia[[#This Row],[id]]</f>
        <v>990-1586</v>
      </c>
      <c r="W1597" s="118">
        <f>+VLOOKUP(Agencia[[#This Row],[Filtro URL]],Estructura!$X$4:$Y$500,2,0)</f>
        <v>99200009</v>
      </c>
      <c r="X1597" s="118" t="str">
        <f>+VLOOKUP(Agencia[[#This Row],[tema]],Estructura!$A$4:$C$500,3,0)</f>
        <v>T-1066</v>
      </c>
      <c r="Y1597" s="118" t="str">
        <f>+VLOOKUP(Agencia[[#This Row],[contenido]],Estructura!$E$4:$G$500,3,0)</f>
        <v>C-1012</v>
      </c>
      <c r="Z1597" s="118" t="str">
        <f>+VLOOKUP(Agencia[[#This Row],[Filtro Integrado]],Estructura!$I$4:$K$500,3,0)</f>
        <v>FI-993</v>
      </c>
      <c r="AA1597" s="118" t="str">
        <f>+VLOOKUP(Agencia[[#This Row],[Muestra]],Estructura!$M$4:$O$500,3,0)</f>
        <v>M-1122</v>
      </c>
    </row>
    <row r="1598" spans="1:27" ht="72" x14ac:dyDescent="0.3">
      <c r="A1598" s="21" t="s">
        <v>6068</v>
      </c>
      <c r="B1598" s="9">
        <v>990</v>
      </c>
      <c r="C1598" s="10" t="s">
        <v>401</v>
      </c>
      <c r="D1598" s="10" t="s">
        <v>822</v>
      </c>
      <c r="E1598" s="19">
        <v>10</v>
      </c>
      <c r="F1598" s="10" t="s">
        <v>5420</v>
      </c>
      <c r="G1598" s="10" t="s">
        <v>5421</v>
      </c>
      <c r="H1598" s="35" t="s">
        <v>16</v>
      </c>
      <c r="I1598" s="36" t="s">
        <v>377</v>
      </c>
      <c r="J1598" s="76" t="s">
        <v>404</v>
      </c>
      <c r="K1598" s="9" t="s">
        <v>5514</v>
      </c>
      <c r="L1598" s="9" t="s">
        <v>5423</v>
      </c>
      <c r="M1598" s="9" t="s">
        <v>1490</v>
      </c>
      <c r="N1598" s="9" t="s">
        <v>1459</v>
      </c>
      <c r="O1598" s="9" t="s">
        <v>5548</v>
      </c>
      <c r="P1598" s="61"/>
      <c r="Q1598" s="11" t="s">
        <v>584</v>
      </c>
      <c r="R1598" s="20" t="s">
        <v>5549</v>
      </c>
      <c r="S1598" s="62" t="s">
        <v>5550</v>
      </c>
      <c r="T1598" s="74" t="s">
        <v>3751</v>
      </c>
      <c r="U1598" s="50" t="s">
        <v>7530</v>
      </c>
      <c r="V1598" s="118" t="str">
        <f>+Agencia[[#This Row],[idcoleccion]]&amp;"-"&amp;Agencia[[#This Row],[id]]</f>
        <v>990-1587</v>
      </c>
      <c r="W1598" s="118">
        <f>+VLOOKUP(Agencia[[#This Row],[Filtro URL]],Estructura!$X$4:$Y$500,2,0)</f>
        <v>99200010</v>
      </c>
      <c r="X1598" s="118" t="str">
        <f>+VLOOKUP(Agencia[[#This Row],[tema]],Estructura!$A$4:$C$500,3,0)</f>
        <v>T-1066</v>
      </c>
      <c r="Y1598" s="118" t="str">
        <f>+VLOOKUP(Agencia[[#This Row],[contenido]],Estructura!$E$4:$G$500,3,0)</f>
        <v>C-1012</v>
      </c>
      <c r="Z1598" s="118" t="str">
        <f>+VLOOKUP(Agencia[[#This Row],[Filtro Integrado]],Estructura!$I$4:$K$500,3,0)</f>
        <v>FI-993</v>
      </c>
      <c r="AA1598" s="118" t="str">
        <f>+VLOOKUP(Agencia[[#This Row],[Muestra]],Estructura!$M$4:$O$500,3,0)</f>
        <v>M-1122</v>
      </c>
    </row>
    <row r="1599" spans="1:27" ht="72" x14ac:dyDescent="0.3">
      <c r="A1599" s="21" t="s">
        <v>6069</v>
      </c>
      <c r="B1599" s="9">
        <v>990</v>
      </c>
      <c r="C1599" s="10" t="s">
        <v>401</v>
      </c>
      <c r="D1599" s="10" t="s">
        <v>822</v>
      </c>
      <c r="E1599" s="19">
        <v>11</v>
      </c>
      <c r="F1599" s="10" t="s">
        <v>5420</v>
      </c>
      <c r="G1599" s="10" t="s">
        <v>5421</v>
      </c>
      <c r="H1599" s="35" t="s">
        <v>16</v>
      </c>
      <c r="I1599" s="36" t="s">
        <v>378</v>
      </c>
      <c r="J1599" s="76" t="s">
        <v>404</v>
      </c>
      <c r="K1599" s="9" t="s">
        <v>5514</v>
      </c>
      <c r="L1599" s="9" t="s">
        <v>5423</v>
      </c>
      <c r="M1599" s="9" t="s">
        <v>1490</v>
      </c>
      <c r="N1599" s="9" t="s">
        <v>1459</v>
      </c>
      <c r="O1599" s="9" t="s">
        <v>5551</v>
      </c>
      <c r="P1599" s="61"/>
      <c r="Q1599" s="11" t="s">
        <v>584</v>
      </c>
      <c r="R1599" s="20" t="s">
        <v>5552</v>
      </c>
      <c r="S1599" s="62" t="s">
        <v>5553</v>
      </c>
      <c r="T1599" s="74" t="s">
        <v>3748</v>
      </c>
      <c r="U1599" s="50" t="s">
        <v>7531</v>
      </c>
      <c r="V1599" s="118" t="str">
        <f>+Agencia[[#This Row],[idcoleccion]]&amp;"-"&amp;Agencia[[#This Row],[id]]</f>
        <v>990-1588</v>
      </c>
      <c r="W1599" s="118">
        <f>+VLOOKUP(Agencia[[#This Row],[Filtro URL]],Estructura!$X$4:$Y$500,2,0)</f>
        <v>99200011</v>
      </c>
      <c r="X1599" s="118" t="str">
        <f>+VLOOKUP(Agencia[[#This Row],[tema]],Estructura!$A$4:$C$500,3,0)</f>
        <v>T-1066</v>
      </c>
      <c r="Y1599" s="118" t="str">
        <f>+VLOOKUP(Agencia[[#This Row],[contenido]],Estructura!$E$4:$G$500,3,0)</f>
        <v>C-1012</v>
      </c>
      <c r="Z1599" s="118" t="str">
        <f>+VLOOKUP(Agencia[[#This Row],[Filtro Integrado]],Estructura!$I$4:$K$500,3,0)</f>
        <v>FI-993</v>
      </c>
      <c r="AA1599" s="118" t="str">
        <f>+VLOOKUP(Agencia[[#This Row],[Muestra]],Estructura!$M$4:$O$500,3,0)</f>
        <v>M-1122</v>
      </c>
    </row>
    <row r="1600" spans="1:27" ht="72" x14ac:dyDescent="0.3">
      <c r="A1600" s="21" t="s">
        <v>6070</v>
      </c>
      <c r="B1600" s="9">
        <v>990</v>
      </c>
      <c r="C1600" s="10" t="s">
        <v>401</v>
      </c>
      <c r="D1600" s="10" t="s">
        <v>822</v>
      </c>
      <c r="E1600" s="19">
        <v>12</v>
      </c>
      <c r="F1600" s="10" t="s">
        <v>5420</v>
      </c>
      <c r="G1600" s="10" t="s">
        <v>5421</v>
      </c>
      <c r="H1600" s="35" t="s">
        <v>16</v>
      </c>
      <c r="I1600" s="36" t="s">
        <v>379</v>
      </c>
      <c r="J1600" s="76" t="s">
        <v>404</v>
      </c>
      <c r="K1600" s="9" t="s">
        <v>5514</v>
      </c>
      <c r="L1600" s="9" t="s">
        <v>5423</v>
      </c>
      <c r="M1600" s="9" t="s">
        <v>1490</v>
      </c>
      <c r="N1600" s="9" t="s">
        <v>1459</v>
      </c>
      <c r="O1600" s="9" t="s">
        <v>5554</v>
      </c>
      <c r="P1600" s="61"/>
      <c r="Q1600" s="11" t="s">
        <v>584</v>
      </c>
      <c r="R1600" s="20" t="s">
        <v>5555</v>
      </c>
      <c r="S1600" s="62" t="s">
        <v>5556</v>
      </c>
      <c r="T1600" s="74" t="s">
        <v>3753</v>
      </c>
      <c r="U1600" s="50" t="s">
        <v>7532</v>
      </c>
      <c r="V1600" s="118" t="str">
        <f>+Agencia[[#This Row],[idcoleccion]]&amp;"-"&amp;Agencia[[#This Row],[id]]</f>
        <v>990-1589</v>
      </c>
      <c r="W1600" s="118">
        <f>+VLOOKUP(Agencia[[#This Row],[Filtro URL]],Estructura!$X$4:$Y$500,2,0)</f>
        <v>99200012</v>
      </c>
      <c r="X1600" s="118" t="str">
        <f>+VLOOKUP(Agencia[[#This Row],[tema]],Estructura!$A$4:$C$500,3,0)</f>
        <v>T-1066</v>
      </c>
      <c r="Y1600" s="118" t="str">
        <f>+VLOOKUP(Agencia[[#This Row],[contenido]],Estructura!$E$4:$G$500,3,0)</f>
        <v>C-1012</v>
      </c>
      <c r="Z1600" s="118" t="str">
        <f>+VLOOKUP(Agencia[[#This Row],[Filtro Integrado]],Estructura!$I$4:$K$500,3,0)</f>
        <v>FI-993</v>
      </c>
      <c r="AA1600" s="118" t="str">
        <f>+VLOOKUP(Agencia[[#This Row],[Muestra]],Estructura!$M$4:$O$500,3,0)</f>
        <v>M-1122</v>
      </c>
    </row>
    <row r="1601" spans="1:27" ht="72" x14ac:dyDescent="0.3">
      <c r="A1601" s="21" t="s">
        <v>6071</v>
      </c>
      <c r="B1601" s="9">
        <v>990</v>
      </c>
      <c r="C1601" s="10" t="s">
        <v>401</v>
      </c>
      <c r="D1601" s="10" t="s">
        <v>822</v>
      </c>
      <c r="E1601" s="19">
        <v>13</v>
      </c>
      <c r="F1601" s="10" t="s">
        <v>5420</v>
      </c>
      <c r="G1601" s="10" t="s">
        <v>5421</v>
      </c>
      <c r="H1601" s="35" t="s">
        <v>16</v>
      </c>
      <c r="I1601" s="36" t="s">
        <v>380</v>
      </c>
      <c r="J1601" s="76" t="s">
        <v>404</v>
      </c>
      <c r="K1601" s="9" t="s">
        <v>5514</v>
      </c>
      <c r="L1601" s="9" t="s">
        <v>5423</v>
      </c>
      <c r="M1601" s="9" t="s">
        <v>1490</v>
      </c>
      <c r="N1601" s="9" t="s">
        <v>1459</v>
      </c>
      <c r="O1601" s="9" t="s">
        <v>5557</v>
      </c>
      <c r="P1601" s="61"/>
      <c r="Q1601" s="11" t="s">
        <v>584</v>
      </c>
      <c r="R1601" s="20" t="s">
        <v>5558</v>
      </c>
      <c r="S1601" s="62" t="s">
        <v>5559</v>
      </c>
      <c r="T1601" s="74" t="s">
        <v>3760</v>
      </c>
      <c r="U1601" s="50" t="s">
        <v>7533</v>
      </c>
      <c r="V1601" s="118" t="str">
        <f>+Agencia[[#This Row],[idcoleccion]]&amp;"-"&amp;Agencia[[#This Row],[id]]</f>
        <v>990-1590</v>
      </c>
      <c r="W1601" s="118">
        <f>+VLOOKUP(Agencia[[#This Row],[Filtro URL]],Estructura!$X$4:$Y$500,2,0)</f>
        <v>99200013</v>
      </c>
      <c r="X1601" s="118" t="str">
        <f>+VLOOKUP(Agencia[[#This Row],[tema]],Estructura!$A$4:$C$500,3,0)</f>
        <v>T-1066</v>
      </c>
      <c r="Y1601" s="118" t="str">
        <f>+VLOOKUP(Agencia[[#This Row],[contenido]],Estructura!$E$4:$G$500,3,0)</f>
        <v>C-1012</v>
      </c>
      <c r="Z1601" s="118" t="str">
        <f>+VLOOKUP(Agencia[[#This Row],[Filtro Integrado]],Estructura!$I$4:$K$500,3,0)</f>
        <v>FI-993</v>
      </c>
      <c r="AA1601" s="118" t="str">
        <f>+VLOOKUP(Agencia[[#This Row],[Muestra]],Estructura!$M$4:$O$500,3,0)</f>
        <v>M-1122</v>
      </c>
    </row>
    <row r="1602" spans="1:27" ht="72" x14ac:dyDescent="0.3">
      <c r="A1602" s="21" t="s">
        <v>6072</v>
      </c>
      <c r="B1602" s="9">
        <v>990</v>
      </c>
      <c r="C1602" s="10" t="s">
        <v>401</v>
      </c>
      <c r="D1602" s="10" t="s">
        <v>822</v>
      </c>
      <c r="E1602" s="19">
        <v>14</v>
      </c>
      <c r="F1602" s="10" t="s">
        <v>5420</v>
      </c>
      <c r="G1602" s="10" t="s">
        <v>5421</v>
      </c>
      <c r="H1602" s="35" t="s">
        <v>16</v>
      </c>
      <c r="I1602" s="36" t="s">
        <v>381</v>
      </c>
      <c r="J1602" s="76" t="s">
        <v>404</v>
      </c>
      <c r="K1602" s="9" t="s">
        <v>5514</v>
      </c>
      <c r="L1602" s="9" t="s">
        <v>5423</v>
      </c>
      <c r="M1602" s="9" t="s">
        <v>1490</v>
      </c>
      <c r="N1602" s="9" t="s">
        <v>1459</v>
      </c>
      <c r="O1602" s="9" t="s">
        <v>5560</v>
      </c>
      <c r="P1602" s="61"/>
      <c r="Q1602" s="11" t="s">
        <v>584</v>
      </c>
      <c r="R1602" s="20" t="s">
        <v>5561</v>
      </c>
      <c r="S1602" s="62" t="s">
        <v>5562</v>
      </c>
      <c r="T1602" s="74" t="s">
        <v>3752</v>
      </c>
      <c r="U1602" s="50" t="s">
        <v>7534</v>
      </c>
      <c r="V1602" s="118" t="str">
        <f>+Agencia[[#This Row],[idcoleccion]]&amp;"-"&amp;Agencia[[#This Row],[id]]</f>
        <v>990-1591</v>
      </c>
      <c r="W1602" s="118">
        <f>+VLOOKUP(Agencia[[#This Row],[Filtro URL]],Estructura!$X$4:$Y$500,2,0)</f>
        <v>99200014</v>
      </c>
      <c r="X1602" s="118" t="str">
        <f>+VLOOKUP(Agencia[[#This Row],[tema]],Estructura!$A$4:$C$500,3,0)</f>
        <v>T-1066</v>
      </c>
      <c r="Y1602" s="118" t="str">
        <f>+VLOOKUP(Agencia[[#This Row],[contenido]],Estructura!$E$4:$G$500,3,0)</f>
        <v>C-1012</v>
      </c>
      <c r="Z1602" s="118" t="str">
        <f>+VLOOKUP(Agencia[[#This Row],[Filtro Integrado]],Estructura!$I$4:$K$500,3,0)</f>
        <v>FI-993</v>
      </c>
      <c r="AA1602" s="118" t="str">
        <f>+VLOOKUP(Agencia[[#This Row],[Muestra]],Estructura!$M$4:$O$500,3,0)</f>
        <v>M-1122</v>
      </c>
    </row>
    <row r="1603" spans="1:27" ht="72" x14ac:dyDescent="0.3">
      <c r="A1603" s="21" t="s">
        <v>6073</v>
      </c>
      <c r="B1603" s="9">
        <v>990</v>
      </c>
      <c r="C1603" s="10" t="s">
        <v>401</v>
      </c>
      <c r="D1603" s="10" t="s">
        <v>822</v>
      </c>
      <c r="E1603" s="19">
        <v>15</v>
      </c>
      <c r="F1603" s="10" t="s">
        <v>5420</v>
      </c>
      <c r="G1603" s="10" t="s">
        <v>5421</v>
      </c>
      <c r="H1603" s="35" t="s">
        <v>16</v>
      </c>
      <c r="I1603" s="36" t="s">
        <v>382</v>
      </c>
      <c r="J1603" s="76" t="s">
        <v>404</v>
      </c>
      <c r="K1603" s="9" t="s">
        <v>5514</v>
      </c>
      <c r="L1603" s="9" t="s">
        <v>5423</v>
      </c>
      <c r="M1603" s="9" t="s">
        <v>1490</v>
      </c>
      <c r="N1603" s="9" t="s">
        <v>1459</v>
      </c>
      <c r="O1603" s="9" t="s">
        <v>5563</v>
      </c>
      <c r="P1603" s="61"/>
      <c r="Q1603" s="11" t="s">
        <v>584</v>
      </c>
      <c r="R1603" s="20" t="s">
        <v>5564</v>
      </c>
      <c r="S1603" s="62" t="s">
        <v>5565</v>
      </c>
      <c r="T1603" s="74" t="s">
        <v>3746</v>
      </c>
      <c r="U1603" s="50" t="s">
        <v>7535</v>
      </c>
      <c r="V1603" s="118" t="str">
        <f>+Agencia[[#This Row],[idcoleccion]]&amp;"-"&amp;Agencia[[#This Row],[id]]</f>
        <v>990-1592</v>
      </c>
      <c r="W1603" s="118">
        <f>+VLOOKUP(Agencia[[#This Row],[Filtro URL]],Estructura!$X$4:$Y$500,2,0)</f>
        <v>99200015</v>
      </c>
      <c r="X1603" s="118" t="str">
        <f>+VLOOKUP(Agencia[[#This Row],[tema]],Estructura!$A$4:$C$500,3,0)</f>
        <v>T-1066</v>
      </c>
      <c r="Y1603" s="118" t="str">
        <f>+VLOOKUP(Agencia[[#This Row],[contenido]],Estructura!$E$4:$G$500,3,0)</f>
        <v>C-1012</v>
      </c>
      <c r="Z1603" s="118" t="str">
        <f>+VLOOKUP(Agencia[[#This Row],[Filtro Integrado]],Estructura!$I$4:$K$500,3,0)</f>
        <v>FI-993</v>
      </c>
      <c r="AA1603" s="118" t="str">
        <f>+VLOOKUP(Agencia[[#This Row],[Muestra]],Estructura!$M$4:$O$500,3,0)</f>
        <v>M-1122</v>
      </c>
    </row>
    <row r="1604" spans="1:27" ht="72" x14ac:dyDescent="0.3">
      <c r="A1604" s="21" t="s">
        <v>6074</v>
      </c>
      <c r="B1604" s="9">
        <v>990</v>
      </c>
      <c r="C1604" s="10" t="s">
        <v>401</v>
      </c>
      <c r="D1604" s="10" t="s">
        <v>822</v>
      </c>
      <c r="E1604" s="19">
        <v>16</v>
      </c>
      <c r="F1604" s="10" t="s">
        <v>5420</v>
      </c>
      <c r="G1604" s="10" t="s">
        <v>5421</v>
      </c>
      <c r="H1604" s="35" t="s">
        <v>16</v>
      </c>
      <c r="I1604" s="36" t="s">
        <v>383</v>
      </c>
      <c r="J1604" s="76" t="s">
        <v>404</v>
      </c>
      <c r="K1604" s="9" t="s">
        <v>5514</v>
      </c>
      <c r="L1604" s="9" t="s">
        <v>5423</v>
      </c>
      <c r="M1604" s="9" t="s">
        <v>1490</v>
      </c>
      <c r="N1604" s="9" t="s">
        <v>1459</v>
      </c>
      <c r="O1604" s="9" t="s">
        <v>5566</v>
      </c>
      <c r="P1604" s="61"/>
      <c r="Q1604" s="11" t="s">
        <v>584</v>
      </c>
      <c r="R1604" s="20" t="s">
        <v>5567</v>
      </c>
      <c r="S1604" s="62" t="s">
        <v>5568</v>
      </c>
      <c r="T1604" s="74" t="s">
        <v>3755</v>
      </c>
      <c r="U1604" s="50" t="s">
        <v>7536</v>
      </c>
      <c r="V1604" s="118" t="str">
        <f>+Agencia[[#This Row],[idcoleccion]]&amp;"-"&amp;Agencia[[#This Row],[id]]</f>
        <v>990-1593</v>
      </c>
      <c r="W1604" s="118">
        <f>+VLOOKUP(Agencia[[#This Row],[Filtro URL]],Estructura!$X$4:$Y$500,2,0)</f>
        <v>99200016</v>
      </c>
      <c r="X1604" s="118" t="str">
        <f>+VLOOKUP(Agencia[[#This Row],[tema]],Estructura!$A$4:$C$500,3,0)</f>
        <v>T-1066</v>
      </c>
      <c r="Y1604" s="118" t="str">
        <f>+VLOOKUP(Agencia[[#This Row],[contenido]],Estructura!$E$4:$G$500,3,0)</f>
        <v>C-1012</v>
      </c>
      <c r="Z1604" s="118" t="str">
        <f>+VLOOKUP(Agencia[[#This Row],[Filtro Integrado]],Estructura!$I$4:$K$500,3,0)</f>
        <v>FI-993</v>
      </c>
      <c r="AA1604" s="118" t="str">
        <f>+VLOOKUP(Agencia[[#This Row],[Muestra]],Estructura!$M$4:$O$500,3,0)</f>
        <v>M-1122</v>
      </c>
    </row>
    <row r="1605" spans="1:27" ht="72" x14ac:dyDescent="0.3">
      <c r="A1605" s="21" t="s">
        <v>6075</v>
      </c>
      <c r="B1605" s="9">
        <v>990</v>
      </c>
      <c r="C1605" s="10" t="s">
        <v>401</v>
      </c>
      <c r="D1605" s="10" t="s">
        <v>822</v>
      </c>
      <c r="E1605" s="14">
        <v>0</v>
      </c>
      <c r="F1605" s="10" t="s">
        <v>5420</v>
      </c>
      <c r="G1605" s="10" t="s">
        <v>5421</v>
      </c>
      <c r="H1605" s="33" t="s">
        <v>20</v>
      </c>
      <c r="I1605" s="34" t="s">
        <v>15</v>
      </c>
      <c r="J1605" s="76" t="s">
        <v>404</v>
      </c>
      <c r="K1605" s="9" t="s">
        <v>5569</v>
      </c>
      <c r="L1605" s="9" t="s">
        <v>5423</v>
      </c>
      <c r="M1605" s="9" t="s">
        <v>1490</v>
      </c>
      <c r="N1605" s="9" t="s">
        <v>1459</v>
      </c>
      <c r="O1605" s="9" t="s">
        <v>5570</v>
      </c>
      <c r="P1605" s="9" t="s">
        <v>5571</v>
      </c>
      <c r="Q1605" s="11" t="s">
        <v>584</v>
      </c>
      <c r="R1605" s="20" t="s">
        <v>8359</v>
      </c>
      <c r="S1605" s="62" t="s">
        <v>5572</v>
      </c>
      <c r="T1605" s="74" t="s">
        <v>855</v>
      </c>
      <c r="U1605" s="50" t="s">
        <v>7537</v>
      </c>
      <c r="V1605" s="118" t="str">
        <f>+Agencia[[#This Row],[idcoleccion]]&amp;"-"&amp;Agencia[[#This Row],[id]]</f>
        <v>990-1594</v>
      </c>
      <c r="W1605" s="118">
        <f>+VLOOKUP(Agencia[[#This Row],[Filtro URL]],Estructura!$X$4:$Y$500,2,0)</f>
        <v>99100000</v>
      </c>
      <c r="X1605" s="118" t="str">
        <f>+VLOOKUP(Agencia[[#This Row],[tema]],Estructura!$A$4:$C$500,3,0)</f>
        <v>T-1066</v>
      </c>
      <c r="Y1605" s="118" t="str">
        <f>+VLOOKUP(Agencia[[#This Row],[contenido]],Estructura!$E$4:$G$500,3,0)</f>
        <v>C-1012</v>
      </c>
      <c r="Z1605" s="118" t="str">
        <f>+VLOOKUP(Agencia[[#This Row],[Filtro Integrado]],Estructura!$I$4:$K$500,3,0)</f>
        <v>FI-993</v>
      </c>
      <c r="AA1605" s="118" t="str">
        <f>+VLOOKUP(Agencia[[#This Row],[Muestra]],Estructura!$M$4:$O$500,3,0)</f>
        <v>M-1124</v>
      </c>
    </row>
    <row r="1606" spans="1:27" ht="57.6" x14ac:dyDescent="0.3">
      <c r="A1606" s="21" t="s">
        <v>6076</v>
      </c>
      <c r="B1606" s="9">
        <v>990</v>
      </c>
      <c r="C1606" s="10" t="s">
        <v>401</v>
      </c>
      <c r="D1606" s="10" t="s">
        <v>822</v>
      </c>
      <c r="E1606" s="19">
        <v>1</v>
      </c>
      <c r="F1606" s="10" t="s">
        <v>5420</v>
      </c>
      <c r="G1606" s="10" t="s">
        <v>5421</v>
      </c>
      <c r="H1606" s="35" t="s">
        <v>16</v>
      </c>
      <c r="I1606" s="36" t="s">
        <v>368</v>
      </c>
      <c r="J1606" s="76" t="s">
        <v>404</v>
      </c>
      <c r="K1606" s="9" t="s">
        <v>5569</v>
      </c>
      <c r="L1606" s="9" t="s">
        <v>5423</v>
      </c>
      <c r="M1606" s="9" t="s">
        <v>1490</v>
      </c>
      <c r="N1606" s="9" t="s">
        <v>1459</v>
      </c>
      <c r="O1606" s="9" t="s">
        <v>5765</v>
      </c>
      <c r="P1606" s="61"/>
      <c r="Q1606" s="11" t="s">
        <v>584</v>
      </c>
      <c r="R1606" s="20" t="s">
        <v>5766</v>
      </c>
      <c r="S1606" s="62" t="s">
        <v>5573</v>
      </c>
      <c r="T1606" s="74" t="s">
        <v>3757</v>
      </c>
      <c r="U1606" s="50" t="s">
        <v>7538</v>
      </c>
      <c r="V1606" s="118" t="str">
        <f>+Agencia[[#This Row],[idcoleccion]]&amp;"-"&amp;Agencia[[#This Row],[id]]</f>
        <v>990-1595</v>
      </c>
      <c r="W1606" s="118">
        <f>+VLOOKUP(Agencia[[#This Row],[Filtro URL]],Estructura!$X$4:$Y$500,2,0)</f>
        <v>99200001</v>
      </c>
      <c r="X1606" s="118" t="str">
        <f>+VLOOKUP(Agencia[[#This Row],[tema]],Estructura!$A$4:$C$500,3,0)</f>
        <v>T-1066</v>
      </c>
      <c r="Y1606" s="118" t="str">
        <f>+VLOOKUP(Agencia[[#This Row],[contenido]],Estructura!$E$4:$G$500,3,0)</f>
        <v>C-1012</v>
      </c>
      <c r="Z1606" s="118" t="str">
        <f>+VLOOKUP(Agencia[[#This Row],[Filtro Integrado]],Estructura!$I$4:$K$500,3,0)</f>
        <v>FI-993</v>
      </c>
      <c r="AA1606" s="118" t="str">
        <f>+VLOOKUP(Agencia[[#This Row],[Muestra]],Estructura!$M$4:$O$500,3,0)</f>
        <v>M-1124</v>
      </c>
    </row>
    <row r="1607" spans="1:27" ht="57.6" x14ac:dyDescent="0.3">
      <c r="A1607" s="21" t="s">
        <v>6077</v>
      </c>
      <c r="B1607" s="9">
        <v>990</v>
      </c>
      <c r="C1607" s="10" t="s">
        <v>401</v>
      </c>
      <c r="D1607" s="10" t="s">
        <v>822</v>
      </c>
      <c r="E1607" s="19">
        <v>2</v>
      </c>
      <c r="F1607" s="10" t="s">
        <v>5420</v>
      </c>
      <c r="G1607" s="10" t="s">
        <v>5421</v>
      </c>
      <c r="H1607" s="35" t="s">
        <v>16</v>
      </c>
      <c r="I1607" s="36" t="s">
        <v>369</v>
      </c>
      <c r="J1607" s="76" t="s">
        <v>404</v>
      </c>
      <c r="K1607" s="9" t="s">
        <v>5569</v>
      </c>
      <c r="L1607" s="9" t="s">
        <v>5423</v>
      </c>
      <c r="M1607" s="9" t="s">
        <v>1490</v>
      </c>
      <c r="N1607" s="9" t="s">
        <v>1459</v>
      </c>
      <c r="O1607" s="9" t="s">
        <v>5767</v>
      </c>
      <c r="P1607" s="61"/>
      <c r="Q1607" s="11" t="s">
        <v>584</v>
      </c>
      <c r="R1607" s="20" t="s">
        <v>5768</v>
      </c>
      <c r="S1607" s="62" t="s">
        <v>5574</v>
      </c>
      <c r="T1607" s="74" t="s">
        <v>3745</v>
      </c>
      <c r="U1607" s="50" t="s">
        <v>7539</v>
      </c>
      <c r="V1607" s="118" t="str">
        <f>+Agencia[[#This Row],[idcoleccion]]&amp;"-"&amp;Agencia[[#This Row],[id]]</f>
        <v>990-1596</v>
      </c>
      <c r="W1607" s="118">
        <f>+VLOOKUP(Agencia[[#This Row],[Filtro URL]],Estructura!$X$4:$Y$500,2,0)</f>
        <v>99200002</v>
      </c>
      <c r="X1607" s="118" t="str">
        <f>+VLOOKUP(Agencia[[#This Row],[tema]],Estructura!$A$4:$C$500,3,0)</f>
        <v>T-1066</v>
      </c>
      <c r="Y1607" s="118" t="str">
        <f>+VLOOKUP(Agencia[[#This Row],[contenido]],Estructura!$E$4:$G$500,3,0)</f>
        <v>C-1012</v>
      </c>
      <c r="Z1607" s="118" t="str">
        <f>+VLOOKUP(Agencia[[#This Row],[Filtro Integrado]],Estructura!$I$4:$K$500,3,0)</f>
        <v>FI-993</v>
      </c>
      <c r="AA1607" s="118" t="str">
        <f>+VLOOKUP(Agencia[[#This Row],[Muestra]],Estructura!$M$4:$O$500,3,0)</f>
        <v>M-1124</v>
      </c>
    </row>
    <row r="1608" spans="1:27" ht="57.6" x14ac:dyDescent="0.3">
      <c r="A1608" s="21" t="s">
        <v>6078</v>
      </c>
      <c r="B1608" s="9">
        <v>990</v>
      </c>
      <c r="C1608" s="10" t="s">
        <v>401</v>
      </c>
      <c r="D1608" s="10" t="s">
        <v>822</v>
      </c>
      <c r="E1608" s="19">
        <v>3</v>
      </c>
      <c r="F1608" s="10" t="s">
        <v>5420</v>
      </c>
      <c r="G1608" s="10" t="s">
        <v>5421</v>
      </c>
      <c r="H1608" s="35" t="s">
        <v>16</v>
      </c>
      <c r="I1608" s="36" t="s">
        <v>370</v>
      </c>
      <c r="J1608" s="76" t="s">
        <v>404</v>
      </c>
      <c r="K1608" s="9" t="s">
        <v>5569</v>
      </c>
      <c r="L1608" s="9" t="s">
        <v>5423</v>
      </c>
      <c r="M1608" s="9" t="s">
        <v>1490</v>
      </c>
      <c r="N1608" s="9" t="s">
        <v>1459</v>
      </c>
      <c r="O1608" s="9" t="s">
        <v>5769</v>
      </c>
      <c r="P1608" s="61"/>
      <c r="Q1608" s="11" t="s">
        <v>584</v>
      </c>
      <c r="R1608" s="20" t="s">
        <v>5770</v>
      </c>
      <c r="S1608" s="62" t="s">
        <v>5575</v>
      </c>
      <c r="T1608" s="74" t="s">
        <v>3747</v>
      </c>
      <c r="U1608" s="50" t="s">
        <v>7540</v>
      </c>
      <c r="V1608" s="118" t="str">
        <f>+Agencia[[#This Row],[idcoleccion]]&amp;"-"&amp;Agencia[[#This Row],[id]]</f>
        <v>990-1597</v>
      </c>
      <c r="W1608" s="118">
        <f>+VLOOKUP(Agencia[[#This Row],[Filtro URL]],Estructura!$X$4:$Y$500,2,0)</f>
        <v>99200003</v>
      </c>
      <c r="X1608" s="118" t="str">
        <f>+VLOOKUP(Agencia[[#This Row],[tema]],Estructura!$A$4:$C$500,3,0)</f>
        <v>T-1066</v>
      </c>
      <c r="Y1608" s="118" t="str">
        <f>+VLOOKUP(Agencia[[#This Row],[contenido]],Estructura!$E$4:$G$500,3,0)</f>
        <v>C-1012</v>
      </c>
      <c r="Z1608" s="118" t="str">
        <f>+VLOOKUP(Agencia[[#This Row],[Filtro Integrado]],Estructura!$I$4:$K$500,3,0)</f>
        <v>FI-993</v>
      </c>
      <c r="AA1608" s="118" t="str">
        <f>+VLOOKUP(Agencia[[#This Row],[Muestra]],Estructura!$M$4:$O$500,3,0)</f>
        <v>M-1124</v>
      </c>
    </row>
    <row r="1609" spans="1:27" ht="57.6" x14ac:dyDescent="0.3">
      <c r="A1609" s="21" t="s">
        <v>6079</v>
      </c>
      <c r="B1609" s="9">
        <v>990</v>
      </c>
      <c r="C1609" s="10" t="s">
        <v>401</v>
      </c>
      <c r="D1609" s="10" t="s">
        <v>822</v>
      </c>
      <c r="E1609" s="19">
        <v>4</v>
      </c>
      <c r="F1609" s="10" t="s">
        <v>5420</v>
      </c>
      <c r="G1609" s="10" t="s">
        <v>5421</v>
      </c>
      <c r="H1609" s="35" t="s">
        <v>16</v>
      </c>
      <c r="I1609" s="36" t="s">
        <v>371</v>
      </c>
      <c r="J1609" s="76" t="s">
        <v>404</v>
      </c>
      <c r="K1609" s="9" t="s">
        <v>5569</v>
      </c>
      <c r="L1609" s="9" t="s">
        <v>5423</v>
      </c>
      <c r="M1609" s="9" t="s">
        <v>1490</v>
      </c>
      <c r="N1609" s="9" t="s">
        <v>1459</v>
      </c>
      <c r="O1609" s="9" t="s">
        <v>5771</v>
      </c>
      <c r="P1609" s="61"/>
      <c r="Q1609" s="11" t="s">
        <v>584</v>
      </c>
      <c r="R1609" s="20" t="s">
        <v>5772</v>
      </c>
      <c r="S1609" s="62" t="s">
        <v>5576</v>
      </c>
      <c r="T1609" s="74" t="s">
        <v>3749</v>
      </c>
      <c r="U1609" s="50" t="s">
        <v>7541</v>
      </c>
      <c r="V1609" s="118" t="str">
        <f>+Agencia[[#This Row],[idcoleccion]]&amp;"-"&amp;Agencia[[#This Row],[id]]</f>
        <v>990-1598</v>
      </c>
      <c r="W1609" s="118">
        <f>+VLOOKUP(Agencia[[#This Row],[Filtro URL]],Estructura!$X$4:$Y$500,2,0)</f>
        <v>99200004</v>
      </c>
      <c r="X1609" s="118" t="str">
        <f>+VLOOKUP(Agencia[[#This Row],[tema]],Estructura!$A$4:$C$500,3,0)</f>
        <v>T-1066</v>
      </c>
      <c r="Y1609" s="118" t="str">
        <f>+VLOOKUP(Agencia[[#This Row],[contenido]],Estructura!$E$4:$G$500,3,0)</f>
        <v>C-1012</v>
      </c>
      <c r="Z1609" s="118" t="str">
        <f>+VLOOKUP(Agencia[[#This Row],[Filtro Integrado]],Estructura!$I$4:$K$500,3,0)</f>
        <v>FI-993</v>
      </c>
      <c r="AA1609" s="118" t="str">
        <f>+VLOOKUP(Agencia[[#This Row],[Muestra]],Estructura!$M$4:$O$500,3,0)</f>
        <v>M-1124</v>
      </c>
    </row>
    <row r="1610" spans="1:27" ht="57.6" x14ac:dyDescent="0.3">
      <c r="A1610" s="21" t="s">
        <v>6080</v>
      </c>
      <c r="B1610" s="9">
        <v>990</v>
      </c>
      <c r="C1610" s="10" t="s">
        <v>401</v>
      </c>
      <c r="D1610" s="10" t="s">
        <v>822</v>
      </c>
      <c r="E1610" s="19">
        <v>5</v>
      </c>
      <c r="F1610" s="10" t="s">
        <v>5420</v>
      </c>
      <c r="G1610" s="10" t="s">
        <v>5421</v>
      </c>
      <c r="H1610" s="35" t="s">
        <v>16</v>
      </c>
      <c r="I1610" s="36" t="s">
        <v>372</v>
      </c>
      <c r="J1610" s="76" t="s">
        <v>404</v>
      </c>
      <c r="K1610" s="9" t="s">
        <v>5569</v>
      </c>
      <c r="L1610" s="9" t="s">
        <v>5423</v>
      </c>
      <c r="M1610" s="9" t="s">
        <v>1490</v>
      </c>
      <c r="N1610" s="9" t="s">
        <v>1459</v>
      </c>
      <c r="O1610" s="9" t="s">
        <v>5773</v>
      </c>
      <c r="P1610" s="61"/>
      <c r="Q1610" s="11" t="s">
        <v>584</v>
      </c>
      <c r="R1610" s="20" t="s">
        <v>5774</v>
      </c>
      <c r="S1610" s="62" t="s">
        <v>5577</v>
      </c>
      <c r="T1610" s="74" t="s">
        <v>3758</v>
      </c>
      <c r="U1610" s="50" t="s">
        <v>7542</v>
      </c>
      <c r="V1610" s="118" t="str">
        <f>+Agencia[[#This Row],[idcoleccion]]&amp;"-"&amp;Agencia[[#This Row],[id]]</f>
        <v>990-1599</v>
      </c>
      <c r="W1610" s="118">
        <f>+VLOOKUP(Agencia[[#This Row],[Filtro URL]],Estructura!$X$4:$Y$500,2,0)</f>
        <v>99200005</v>
      </c>
      <c r="X1610" s="118" t="str">
        <f>+VLOOKUP(Agencia[[#This Row],[tema]],Estructura!$A$4:$C$500,3,0)</f>
        <v>T-1066</v>
      </c>
      <c r="Y1610" s="118" t="str">
        <f>+VLOOKUP(Agencia[[#This Row],[contenido]],Estructura!$E$4:$G$500,3,0)</f>
        <v>C-1012</v>
      </c>
      <c r="Z1610" s="118" t="str">
        <f>+VLOOKUP(Agencia[[#This Row],[Filtro Integrado]],Estructura!$I$4:$K$500,3,0)</f>
        <v>FI-993</v>
      </c>
      <c r="AA1610" s="118" t="str">
        <f>+VLOOKUP(Agencia[[#This Row],[Muestra]],Estructura!$M$4:$O$500,3,0)</f>
        <v>M-1124</v>
      </c>
    </row>
    <row r="1611" spans="1:27" ht="57.6" x14ac:dyDescent="0.3">
      <c r="A1611" s="21" t="s">
        <v>6081</v>
      </c>
      <c r="B1611" s="9">
        <v>990</v>
      </c>
      <c r="C1611" s="10" t="s">
        <v>401</v>
      </c>
      <c r="D1611" s="10" t="s">
        <v>822</v>
      </c>
      <c r="E1611" s="19">
        <v>6</v>
      </c>
      <c r="F1611" s="10" t="s">
        <v>5420</v>
      </c>
      <c r="G1611" s="10" t="s">
        <v>5421</v>
      </c>
      <c r="H1611" s="35" t="s">
        <v>16</v>
      </c>
      <c r="I1611" s="36" t="s">
        <v>373</v>
      </c>
      <c r="J1611" s="76" t="s">
        <v>404</v>
      </c>
      <c r="K1611" s="9" t="s">
        <v>5569</v>
      </c>
      <c r="L1611" s="9" t="s">
        <v>5423</v>
      </c>
      <c r="M1611" s="9" t="s">
        <v>1490</v>
      </c>
      <c r="N1611" s="9" t="s">
        <v>1459</v>
      </c>
      <c r="O1611" s="9" t="s">
        <v>5775</v>
      </c>
      <c r="P1611" s="61"/>
      <c r="Q1611" s="11" t="s">
        <v>584</v>
      </c>
      <c r="R1611" s="20" t="s">
        <v>5776</v>
      </c>
      <c r="S1611" s="62" t="s">
        <v>5578</v>
      </c>
      <c r="T1611" s="74" t="s">
        <v>3756</v>
      </c>
      <c r="U1611" s="50" t="s">
        <v>7543</v>
      </c>
      <c r="V1611" s="118" t="str">
        <f>+Agencia[[#This Row],[idcoleccion]]&amp;"-"&amp;Agencia[[#This Row],[id]]</f>
        <v>990-1600</v>
      </c>
      <c r="W1611" s="118">
        <f>+VLOOKUP(Agencia[[#This Row],[Filtro URL]],Estructura!$X$4:$Y$500,2,0)</f>
        <v>99200006</v>
      </c>
      <c r="X1611" s="118" t="str">
        <f>+VLOOKUP(Agencia[[#This Row],[tema]],Estructura!$A$4:$C$500,3,0)</f>
        <v>T-1066</v>
      </c>
      <c r="Y1611" s="118" t="str">
        <f>+VLOOKUP(Agencia[[#This Row],[contenido]],Estructura!$E$4:$G$500,3,0)</f>
        <v>C-1012</v>
      </c>
      <c r="Z1611" s="118" t="str">
        <f>+VLOOKUP(Agencia[[#This Row],[Filtro Integrado]],Estructura!$I$4:$K$500,3,0)</f>
        <v>FI-993</v>
      </c>
      <c r="AA1611" s="118" t="str">
        <f>+VLOOKUP(Agencia[[#This Row],[Muestra]],Estructura!$M$4:$O$500,3,0)</f>
        <v>M-1124</v>
      </c>
    </row>
    <row r="1612" spans="1:27" ht="57.6" x14ac:dyDescent="0.3">
      <c r="A1612" s="21" t="s">
        <v>6082</v>
      </c>
      <c r="B1612" s="9">
        <v>990</v>
      </c>
      <c r="C1612" s="10" t="s">
        <v>401</v>
      </c>
      <c r="D1612" s="10" t="s">
        <v>822</v>
      </c>
      <c r="E1612" s="19">
        <v>7</v>
      </c>
      <c r="F1612" s="10" t="s">
        <v>5420</v>
      </c>
      <c r="G1612" s="10" t="s">
        <v>5421</v>
      </c>
      <c r="H1612" s="35" t="s">
        <v>16</v>
      </c>
      <c r="I1612" s="36" t="s">
        <v>374</v>
      </c>
      <c r="J1612" s="76" t="s">
        <v>404</v>
      </c>
      <c r="K1612" s="9" t="s">
        <v>5569</v>
      </c>
      <c r="L1612" s="9" t="s">
        <v>5423</v>
      </c>
      <c r="M1612" s="9" t="s">
        <v>1490</v>
      </c>
      <c r="N1612" s="9" t="s">
        <v>1459</v>
      </c>
      <c r="O1612" s="9" t="s">
        <v>5777</v>
      </c>
      <c r="P1612" s="61"/>
      <c r="Q1612" s="11" t="s">
        <v>584</v>
      </c>
      <c r="R1612" s="20" t="s">
        <v>5778</v>
      </c>
      <c r="S1612" s="62" t="s">
        <v>5579</v>
      </c>
      <c r="T1612" s="74" t="s">
        <v>3754</v>
      </c>
      <c r="U1612" s="50" t="s">
        <v>7544</v>
      </c>
      <c r="V1612" s="118" t="str">
        <f>+Agencia[[#This Row],[idcoleccion]]&amp;"-"&amp;Agencia[[#This Row],[id]]</f>
        <v>990-1601</v>
      </c>
      <c r="W1612" s="118">
        <f>+VLOOKUP(Agencia[[#This Row],[Filtro URL]],Estructura!$X$4:$Y$500,2,0)</f>
        <v>99200007</v>
      </c>
      <c r="X1612" s="118" t="str">
        <f>+VLOOKUP(Agencia[[#This Row],[tema]],Estructura!$A$4:$C$500,3,0)</f>
        <v>T-1066</v>
      </c>
      <c r="Y1612" s="118" t="str">
        <f>+VLOOKUP(Agencia[[#This Row],[contenido]],Estructura!$E$4:$G$500,3,0)</f>
        <v>C-1012</v>
      </c>
      <c r="Z1612" s="118" t="str">
        <f>+VLOOKUP(Agencia[[#This Row],[Filtro Integrado]],Estructura!$I$4:$K$500,3,0)</f>
        <v>FI-993</v>
      </c>
      <c r="AA1612" s="118" t="str">
        <f>+VLOOKUP(Agencia[[#This Row],[Muestra]],Estructura!$M$4:$O$500,3,0)</f>
        <v>M-1124</v>
      </c>
    </row>
    <row r="1613" spans="1:27" ht="57.6" x14ac:dyDescent="0.3">
      <c r="A1613" s="21" t="s">
        <v>6083</v>
      </c>
      <c r="B1613" s="9">
        <v>990</v>
      </c>
      <c r="C1613" s="10" t="s">
        <v>401</v>
      </c>
      <c r="D1613" s="10" t="s">
        <v>822</v>
      </c>
      <c r="E1613" s="19">
        <v>8</v>
      </c>
      <c r="F1613" s="10" t="s">
        <v>5420</v>
      </c>
      <c r="G1613" s="10" t="s">
        <v>5421</v>
      </c>
      <c r="H1613" s="35" t="s">
        <v>16</v>
      </c>
      <c r="I1613" s="36" t="s">
        <v>375</v>
      </c>
      <c r="J1613" s="76" t="s">
        <v>404</v>
      </c>
      <c r="K1613" s="9" t="s">
        <v>5569</v>
      </c>
      <c r="L1613" s="9" t="s">
        <v>5423</v>
      </c>
      <c r="M1613" s="9" t="s">
        <v>1490</v>
      </c>
      <c r="N1613" s="9" t="s">
        <v>1459</v>
      </c>
      <c r="O1613" s="9" t="s">
        <v>5779</v>
      </c>
      <c r="P1613" s="61"/>
      <c r="Q1613" s="11" t="s">
        <v>584</v>
      </c>
      <c r="R1613" s="20" t="s">
        <v>5780</v>
      </c>
      <c r="S1613" s="62" t="s">
        <v>5580</v>
      </c>
      <c r="T1613" s="74" t="s">
        <v>3759</v>
      </c>
      <c r="U1613" s="50" t="s">
        <v>7545</v>
      </c>
      <c r="V1613" s="118" t="str">
        <f>+Agencia[[#This Row],[idcoleccion]]&amp;"-"&amp;Agencia[[#This Row],[id]]</f>
        <v>990-1602</v>
      </c>
      <c r="W1613" s="118">
        <f>+VLOOKUP(Agencia[[#This Row],[Filtro URL]],Estructura!$X$4:$Y$500,2,0)</f>
        <v>99200008</v>
      </c>
      <c r="X1613" s="118" t="str">
        <f>+VLOOKUP(Agencia[[#This Row],[tema]],Estructura!$A$4:$C$500,3,0)</f>
        <v>T-1066</v>
      </c>
      <c r="Y1613" s="118" t="str">
        <f>+VLOOKUP(Agencia[[#This Row],[contenido]],Estructura!$E$4:$G$500,3,0)</f>
        <v>C-1012</v>
      </c>
      <c r="Z1613" s="118" t="str">
        <f>+VLOOKUP(Agencia[[#This Row],[Filtro Integrado]],Estructura!$I$4:$K$500,3,0)</f>
        <v>FI-993</v>
      </c>
      <c r="AA1613" s="118" t="str">
        <f>+VLOOKUP(Agencia[[#This Row],[Muestra]],Estructura!$M$4:$O$500,3,0)</f>
        <v>M-1124</v>
      </c>
    </row>
    <row r="1614" spans="1:27" ht="57.6" x14ac:dyDescent="0.3">
      <c r="A1614" s="21" t="s">
        <v>6084</v>
      </c>
      <c r="B1614" s="9">
        <v>990</v>
      </c>
      <c r="C1614" s="10" t="s">
        <v>401</v>
      </c>
      <c r="D1614" s="10" t="s">
        <v>822</v>
      </c>
      <c r="E1614" s="19">
        <v>9</v>
      </c>
      <c r="F1614" s="10" t="s">
        <v>5420</v>
      </c>
      <c r="G1614" s="10" t="s">
        <v>5421</v>
      </c>
      <c r="H1614" s="35" t="s">
        <v>16</v>
      </c>
      <c r="I1614" s="36" t="s">
        <v>376</v>
      </c>
      <c r="J1614" s="76" t="s">
        <v>404</v>
      </c>
      <c r="K1614" s="9" t="s">
        <v>5569</v>
      </c>
      <c r="L1614" s="9" t="s">
        <v>5423</v>
      </c>
      <c r="M1614" s="9" t="s">
        <v>1490</v>
      </c>
      <c r="N1614" s="9" t="s">
        <v>1459</v>
      </c>
      <c r="O1614" s="9" t="s">
        <v>5781</v>
      </c>
      <c r="P1614" s="61"/>
      <c r="Q1614" s="11" t="s">
        <v>584</v>
      </c>
      <c r="R1614" s="20" t="s">
        <v>5782</v>
      </c>
      <c r="S1614" s="62" t="s">
        <v>5581</v>
      </c>
      <c r="T1614" s="74" t="s">
        <v>3750</v>
      </c>
      <c r="U1614" s="50" t="s">
        <v>7546</v>
      </c>
      <c r="V1614" s="118" t="str">
        <f>+Agencia[[#This Row],[idcoleccion]]&amp;"-"&amp;Agencia[[#This Row],[id]]</f>
        <v>990-1603</v>
      </c>
      <c r="W1614" s="118">
        <f>+VLOOKUP(Agencia[[#This Row],[Filtro URL]],Estructura!$X$4:$Y$500,2,0)</f>
        <v>99200009</v>
      </c>
      <c r="X1614" s="118" t="str">
        <f>+VLOOKUP(Agencia[[#This Row],[tema]],Estructura!$A$4:$C$500,3,0)</f>
        <v>T-1066</v>
      </c>
      <c r="Y1614" s="118" t="str">
        <f>+VLOOKUP(Agencia[[#This Row],[contenido]],Estructura!$E$4:$G$500,3,0)</f>
        <v>C-1012</v>
      </c>
      <c r="Z1614" s="118" t="str">
        <f>+VLOOKUP(Agencia[[#This Row],[Filtro Integrado]],Estructura!$I$4:$K$500,3,0)</f>
        <v>FI-993</v>
      </c>
      <c r="AA1614" s="118" t="str">
        <f>+VLOOKUP(Agencia[[#This Row],[Muestra]],Estructura!$M$4:$O$500,3,0)</f>
        <v>M-1124</v>
      </c>
    </row>
    <row r="1615" spans="1:27" ht="72" x14ac:dyDescent="0.3">
      <c r="A1615" s="21" t="s">
        <v>6085</v>
      </c>
      <c r="B1615" s="9">
        <v>990</v>
      </c>
      <c r="C1615" s="10" t="s">
        <v>401</v>
      </c>
      <c r="D1615" s="10" t="s">
        <v>822</v>
      </c>
      <c r="E1615" s="19">
        <v>10</v>
      </c>
      <c r="F1615" s="10" t="s">
        <v>5420</v>
      </c>
      <c r="G1615" s="10" t="s">
        <v>5421</v>
      </c>
      <c r="H1615" s="35" t="s">
        <v>16</v>
      </c>
      <c r="I1615" s="36" t="s">
        <v>377</v>
      </c>
      <c r="J1615" s="76" t="s">
        <v>404</v>
      </c>
      <c r="K1615" s="9" t="s">
        <v>5569</v>
      </c>
      <c r="L1615" s="9" t="s">
        <v>5423</v>
      </c>
      <c r="M1615" s="9" t="s">
        <v>1490</v>
      </c>
      <c r="N1615" s="9" t="s">
        <v>1459</v>
      </c>
      <c r="O1615" s="9" t="s">
        <v>5783</v>
      </c>
      <c r="P1615" s="61"/>
      <c r="Q1615" s="11" t="s">
        <v>584</v>
      </c>
      <c r="R1615" s="20" t="s">
        <v>5784</v>
      </c>
      <c r="S1615" s="62" t="s">
        <v>5582</v>
      </c>
      <c r="T1615" s="74" t="s">
        <v>3751</v>
      </c>
      <c r="U1615" s="50" t="s">
        <v>7547</v>
      </c>
      <c r="V1615" s="118" t="str">
        <f>+Agencia[[#This Row],[idcoleccion]]&amp;"-"&amp;Agencia[[#This Row],[id]]</f>
        <v>990-1604</v>
      </c>
      <c r="W1615" s="118">
        <f>+VLOOKUP(Agencia[[#This Row],[Filtro URL]],Estructura!$X$4:$Y$500,2,0)</f>
        <v>99200010</v>
      </c>
      <c r="X1615" s="118" t="str">
        <f>+VLOOKUP(Agencia[[#This Row],[tema]],Estructura!$A$4:$C$500,3,0)</f>
        <v>T-1066</v>
      </c>
      <c r="Y1615" s="118" t="str">
        <f>+VLOOKUP(Agencia[[#This Row],[contenido]],Estructura!$E$4:$G$500,3,0)</f>
        <v>C-1012</v>
      </c>
      <c r="Z1615" s="118" t="str">
        <f>+VLOOKUP(Agencia[[#This Row],[Filtro Integrado]],Estructura!$I$4:$K$500,3,0)</f>
        <v>FI-993</v>
      </c>
      <c r="AA1615" s="118" t="str">
        <f>+VLOOKUP(Agencia[[#This Row],[Muestra]],Estructura!$M$4:$O$500,3,0)</f>
        <v>M-1124</v>
      </c>
    </row>
    <row r="1616" spans="1:27" ht="72" x14ac:dyDescent="0.3">
      <c r="A1616" s="21" t="s">
        <v>6086</v>
      </c>
      <c r="B1616" s="9">
        <v>990</v>
      </c>
      <c r="C1616" s="10" t="s">
        <v>401</v>
      </c>
      <c r="D1616" s="10" t="s">
        <v>822</v>
      </c>
      <c r="E1616" s="19">
        <v>11</v>
      </c>
      <c r="F1616" s="10" t="s">
        <v>5420</v>
      </c>
      <c r="G1616" s="10" t="s">
        <v>5421</v>
      </c>
      <c r="H1616" s="35" t="s">
        <v>16</v>
      </c>
      <c r="I1616" s="36" t="s">
        <v>378</v>
      </c>
      <c r="J1616" s="76" t="s">
        <v>404</v>
      </c>
      <c r="K1616" s="9" t="s">
        <v>5569</v>
      </c>
      <c r="L1616" s="9" t="s">
        <v>5423</v>
      </c>
      <c r="M1616" s="9" t="s">
        <v>1490</v>
      </c>
      <c r="N1616" s="9" t="s">
        <v>1459</v>
      </c>
      <c r="O1616" s="9" t="s">
        <v>5785</v>
      </c>
      <c r="P1616" s="61"/>
      <c r="Q1616" s="11" t="s">
        <v>584</v>
      </c>
      <c r="R1616" s="20" t="s">
        <v>5786</v>
      </c>
      <c r="S1616" s="62" t="s">
        <v>5583</v>
      </c>
      <c r="T1616" s="74" t="s">
        <v>3748</v>
      </c>
      <c r="U1616" s="50" t="s">
        <v>7548</v>
      </c>
      <c r="V1616" s="118" t="str">
        <f>+Agencia[[#This Row],[idcoleccion]]&amp;"-"&amp;Agencia[[#This Row],[id]]</f>
        <v>990-1605</v>
      </c>
      <c r="W1616" s="118">
        <f>+VLOOKUP(Agencia[[#This Row],[Filtro URL]],Estructura!$X$4:$Y$500,2,0)</f>
        <v>99200011</v>
      </c>
      <c r="X1616" s="118" t="str">
        <f>+VLOOKUP(Agencia[[#This Row],[tema]],Estructura!$A$4:$C$500,3,0)</f>
        <v>T-1066</v>
      </c>
      <c r="Y1616" s="118" t="str">
        <f>+VLOOKUP(Agencia[[#This Row],[contenido]],Estructura!$E$4:$G$500,3,0)</f>
        <v>C-1012</v>
      </c>
      <c r="Z1616" s="118" t="str">
        <f>+VLOOKUP(Agencia[[#This Row],[Filtro Integrado]],Estructura!$I$4:$K$500,3,0)</f>
        <v>FI-993</v>
      </c>
      <c r="AA1616" s="118" t="str">
        <f>+VLOOKUP(Agencia[[#This Row],[Muestra]],Estructura!$M$4:$O$500,3,0)</f>
        <v>M-1124</v>
      </c>
    </row>
    <row r="1617" spans="1:27" ht="72" x14ac:dyDescent="0.3">
      <c r="A1617" s="21" t="s">
        <v>6087</v>
      </c>
      <c r="B1617" s="9">
        <v>990</v>
      </c>
      <c r="C1617" s="10" t="s">
        <v>401</v>
      </c>
      <c r="D1617" s="10" t="s">
        <v>822</v>
      </c>
      <c r="E1617" s="19">
        <v>12</v>
      </c>
      <c r="F1617" s="10" t="s">
        <v>5420</v>
      </c>
      <c r="G1617" s="10" t="s">
        <v>5421</v>
      </c>
      <c r="H1617" s="35" t="s">
        <v>16</v>
      </c>
      <c r="I1617" s="36" t="s">
        <v>379</v>
      </c>
      <c r="J1617" s="76" t="s">
        <v>404</v>
      </c>
      <c r="K1617" s="9" t="s">
        <v>5569</v>
      </c>
      <c r="L1617" s="9" t="s">
        <v>5423</v>
      </c>
      <c r="M1617" s="9" t="s">
        <v>1490</v>
      </c>
      <c r="N1617" s="9" t="s">
        <v>1459</v>
      </c>
      <c r="O1617" s="9" t="s">
        <v>5787</v>
      </c>
      <c r="P1617" s="61"/>
      <c r="Q1617" s="11" t="s">
        <v>584</v>
      </c>
      <c r="R1617" s="20" t="s">
        <v>5788</v>
      </c>
      <c r="S1617" s="62" t="s">
        <v>5584</v>
      </c>
      <c r="T1617" s="74" t="s">
        <v>3753</v>
      </c>
      <c r="U1617" s="50" t="s">
        <v>7549</v>
      </c>
      <c r="V1617" s="118" t="str">
        <f>+Agencia[[#This Row],[idcoleccion]]&amp;"-"&amp;Agencia[[#This Row],[id]]</f>
        <v>990-1606</v>
      </c>
      <c r="W1617" s="118">
        <f>+VLOOKUP(Agencia[[#This Row],[Filtro URL]],Estructura!$X$4:$Y$500,2,0)</f>
        <v>99200012</v>
      </c>
      <c r="X1617" s="118" t="str">
        <f>+VLOOKUP(Agencia[[#This Row],[tema]],Estructura!$A$4:$C$500,3,0)</f>
        <v>T-1066</v>
      </c>
      <c r="Y1617" s="118" t="str">
        <f>+VLOOKUP(Agencia[[#This Row],[contenido]],Estructura!$E$4:$G$500,3,0)</f>
        <v>C-1012</v>
      </c>
      <c r="Z1617" s="118" t="str">
        <f>+VLOOKUP(Agencia[[#This Row],[Filtro Integrado]],Estructura!$I$4:$K$500,3,0)</f>
        <v>FI-993</v>
      </c>
      <c r="AA1617" s="118" t="str">
        <f>+VLOOKUP(Agencia[[#This Row],[Muestra]],Estructura!$M$4:$O$500,3,0)</f>
        <v>M-1124</v>
      </c>
    </row>
    <row r="1618" spans="1:27" ht="72" x14ac:dyDescent="0.3">
      <c r="A1618" s="21" t="s">
        <v>6088</v>
      </c>
      <c r="B1618" s="9">
        <v>990</v>
      </c>
      <c r="C1618" s="10" t="s">
        <v>401</v>
      </c>
      <c r="D1618" s="10" t="s">
        <v>822</v>
      </c>
      <c r="E1618" s="19">
        <v>13</v>
      </c>
      <c r="F1618" s="10" t="s">
        <v>5420</v>
      </c>
      <c r="G1618" s="10" t="s">
        <v>5421</v>
      </c>
      <c r="H1618" s="35" t="s">
        <v>16</v>
      </c>
      <c r="I1618" s="36" t="s">
        <v>380</v>
      </c>
      <c r="J1618" s="76" t="s">
        <v>404</v>
      </c>
      <c r="K1618" s="9" t="s">
        <v>5569</v>
      </c>
      <c r="L1618" s="9" t="s">
        <v>5423</v>
      </c>
      <c r="M1618" s="9" t="s">
        <v>1490</v>
      </c>
      <c r="N1618" s="9" t="s">
        <v>1459</v>
      </c>
      <c r="O1618" s="9" t="s">
        <v>5789</v>
      </c>
      <c r="P1618" s="61"/>
      <c r="Q1618" s="11" t="s">
        <v>584</v>
      </c>
      <c r="R1618" s="20" t="s">
        <v>5790</v>
      </c>
      <c r="S1618" s="62" t="s">
        <v>5585</v>
      </c>
      <c r="T1618" s="74" t="s">
        <v>3760</v>
      </c>
      <c r="U1618" s="50" t="s">
        <v>7550</v>
      </c>
      <c r="V1618" s="118" t="str">
        <f>+Agencia[[#This Row],[idcoleccion]]&amp;"-"&amp;Agencia[[#This Row],[id]]</f>
        <v>990-1607</v>
      </c>
      <c r="W1618" s="118">
        <f>+VLOOKUP(Agencia[[#This Row],[Filtro URL]],Estructura!$X$4:$Y$500,2,0)</f>
        <v>99200013</v>
      </c>
      <c r="X1618" s="118" t="str">
        <f>+VLOOKUP(Agencia[[#This Row],[tema]],Estructura!$A$4:$C$500,3,0)</f>
        <v>T-1066</v>
      </c>
      <c r="Y1618" s="118" t="str">
        <f>+VLOOKUP(Agencia[[#This Row],[contenido]],Estructura!$E$4:$G$500,3,0)</f>
        <v>C-1012</v>
      </c>
      <c r="Z1618" s="118" t="str">
        <f>+VLOOKUP(Agencia[[#This Row],[Filtro Integrado]],Estructura!$I$4:$K$500,3,0)</f>
        <v>FI-993</v>
      </c>
      <c r="AA1618" s="118" t="str">
        <f>+VLOOKUP(Agencia[[#This Row],[Muestra]],Estructura!$M$4:$O$500,3,0)</f>
        <v>M-1124</v>
      </c>
    </row>
    <row r="1619" spans="1:27" ht="72" x14ac:dyDescent="0.3">
      <c r="A1619" s="21" t="s">
        <v>6089</v>
      </c>
      <c r="B1619" s="9">
        <v>990</v>
      </c>
      <c r="C1619" s="10" t="s">
        <v>401</v>
      </c>
      <c r="D1619" s="10" t="s">
        <v>822</v>
      </c>
      <c r="E1619" s="19">
        <v>14</v>
      </c>
      <c r="F1619" s="10" t="s">
        <v>5420</v>
      </c>
      <c r="G1619" s="10" t="s">
        <v>5421</v>
      </c>
      <c r="H1619" s="35" t="s">
        <v>16</v>
      </c>
      <c r="I1619" s="36" t="s">
        <v>381</v>
      </c>
      <c r="J1619" s="76" t="s">
        <v>404</v>
      </c>
      <c r="K1619" s="9" t="s">
        <v>5569</v>
      </c>
      <c r="L1619" s="9" t="s">
        <v>5423</v>
      </c>
      <c r="M1619" s="9" t="s">
        <v>1490</v>
      </c>
      <c r="N1619" s="9" t="s">
        <v>1459</v>
      </c>
      <c r="O1619" s="9" t="s">
        <v>5791</v>
      </c>
      <c r="P1619" s="61"/>
      <c r="Q1619" s="11" t="s">
        <v>584</v>
      </c>
      <c r="R1619" s="20" t="s">
        <v>5792</v>
      </c>
      <c r="S1619" s="62" t="s">
        <v>5586</v>
      </c>
      <c r="T1619" s="74" t="s">
        <v>3752</v>
      </c>
      <c r="U1619" s="50" t="s">
        <v>7551</v>
      </c>
      <c r="V1619" s="118" t="str">
        <f>+Agencia[[#This Row],[idcoleccion]]&amp;"-"&amp;Agencia[[#This Row],[id]]</f>
        <v>990-1608</v>
      </c>
      <c r="W1619" s="118">
        <f>+VLOOKUP(Agencia[[#This Row],[Filtro URL]],Estructura!$X$4:$Y$500,2,0)</f>
        <v>99200014</v>
      </c>
      <c r="X1619" s="118" t="str">
        <f>+VLOOKUP(Agencia[[#This Row],[tema]],Estructura!$A$4:$C$500,3,0)</f>
        <v>T-1066</v>
      </c>
      <c r="Y1619" s="118" t="str">
        <f>+VLOOKUP(Agencia[[#This Row],[contenido]],Estructura!$E$4:$G$500,3,0)</f>
        <v>C-1012</v>
      </c>
      <c r="Z1619" s="118" t="str">
        <f>+VLOOKUP(Agencia[[#This Row],[Filtro Integrado]],Estructura!$I$4:$K$500,3,0)</f>
        <v>FI-993</v>
      </c>
      <c r="AA1619" s="118" t="str">
        <f>+VLOOKUP(Agencia[[#This Row],[Muestra]],Estructura!$M$4:$O$500,3,0)</f>
        <v>M-1124</v>
      </c>
    </row>
    <row r="1620" spans="1:27" ht="72" x14ac:dyDescent="0.3">
      <c r="A1620" s="21" t="s">
        <v>6090</v>
      </c>
      <c r="B1620" s="9">
        <v>990</v>
      </c>
      <c r="C1620" s="10" t="s">
        <v>401</v>
      </c>
      <c r="D1620" s="10" t="s">
        <v>822</v>
      </c>
      <c r="E1620" s="19">
        <v>15</v>
      </c>
      <c r="F1620" s="10" t="s">
        <v>5420</v>
      </c>
      <c r="G1620" s="10" t="s">
        <v>5421</v>
      </c>
      <c r="H1620" s="35" t="s">
        <v>16</v>
      </c>
      <c r="I1620" s="36" t="s">
        <v>382</v>
      </c>
      <c r="J1620" s="76" t="s">
        <v>404</v>
      </c>
      <c r="K1620" s="9" t="s">
        <v>5569</v>
      </c>
      <c r="L1620" s="9" t="s">
        <v>5423</v>
      </c>
      <c r="M1620" s="9" t="s">
        <v>1490</v>
      </c>
      <c r="N1620" s="9" t="s">
        <v>1459</v>
      </c>
      <c r="O1620" s="9" t="s">
        <v>5793</v>
      </c>
      <c r="P1620" s="61"/>
      <c r="Q1620" s="11" t="s">
        <v>584</v>
      </c>
      <c r="R1620" s="20" t="s">
        <v>5794</v>
      </c>
      <c r="S1620" s="62" t="s">
        <v>5587</v>
      </c>
      <c r="T1620" s="74" t="s">
        <v>3746</v>
      </c>
      <c r="U1620" s="50" t="s">
        <v>7552</v>
      </c>
      <c r="V1620" s="118" t="str">
        <f>+Agencia[[#This Row],[idcoleccion]]&amp;"-"&amp;Agencia[[#This Row],[id]]</f>
        <v>990-1609</v>
      </c>
      <c r="W1620" s="118">
        <f>+VLOOKUP(Agencia[[#This Row],[Filtro URL]],Estructura!$X$4:$Y$500,2,0)</f>
        <v>99200015</v>
      </c>
      <c r="X1620" s="118" t="str">
        <f>+VLOOKUP(Agencia[[#This Row],[tema]],Estructura!$A$4:$C$500,3,0)</f>
        <v>T-1066</v>
      </c>
      <c r="Y1620" s="118" t="str">
        <f>+VLOOKUP(Agencia[[#This Row],[contenido]],Estructura!$E$4:$G$500,3,0)</f>
        <v>C-1012</v>
      </c>
      <c r="Z1620" s="118" t="str">
        <f>+VLOOKUP(Agencia[[#This Row],[Filtro Integrado]],Estructura!$I$4:$K$500,3,0)</f>
        <v>FI-993</v>
      </c>
      <c r="AA1620" s="118" t="str">
        <f>+VLOOKUP(Agencia[[#This Row],[Muestra]],Estructura!$M$4:$O$500,3,0)</f>
        <v>M-1124</v>
      </c>
    </row>
    <row r="1621" spans="1:27" ht="72" x14ac:dyDescent="0.3">
      <c r="A1621" s="21" t="s">
        <v>6091</v>
      </c>
      <c r="B1621" s="9">
        <v>990</v>
      </c>
      <c r="C1621" s="10" t="s">
        <v>401</v>
      </c>
      <c r="D1621" s="10" t="s">
        <v>822</v>
      </c>
      <c r="E1621" s="19">
        <v>16</v>
      </c>
      <c r="F1621" s="10" t="s">
        <v>5420</v>
      </c>
      <c r="G1621" s="10" t="s">
        <v>5421</v>
      </c>
      <c r="H1621" s="35" t="s">
        <v>16</v>
      </c>
      <c r="I1621" s="36" t="s">
        <v>383</v>
      </c>
      <c r="J1621" s="76" t="s">
        <v>404</v>
      </c>
      <c r="K1621" s="9" t="s">
        <v>5569</v>
      </c>
      <c r="L1621" s="9" t="s">
        <v>5423</v>
      </c>
      <c r="M1621" s="9" t="s">
        <v>1490</v>
      </c>
      <c r="N1621" s="9" t="s">
        <v>1459</v>
      </c>
      <c r="O1621" s="9" t="s">
        <v>5795</v>
      </c>
      <c r="P1621" s="61"/>
      <c r="Q1621" s="11" t="s">
        <v>584</v>
      </c>
      <c r="R1621" s="20" t="s">
        <v>5796</v>
      </c>
      <c r="S1621" s="62" t="s">
        <v>5588</v>
      </c>
      <c r="T1621" s="74" t="s">
        <v>3755</v>
      </c>
      <c r="U1621" s="50" t="s">
        <v>7553</v>
      </c>
      <c r="V1621" s="118" t="str">
        <f>+Agencia[[#This Row],[idcoleccion]]&amp;"-"&amp;Agencia[[#This Row],[id]]</f>
        <v>990-1610</v>
      </c>
      <c r="W1621" s="118">
        <f>+VLOOKUP(Agencia[[#This Row],[Filtro URL]],Estructura!$X$4:$Y$500,2,0)</f>
        <v>99200016</v>
      </c>
      <c r="X1621" s="118" t="str">
        <f>+VLOOKUP(Agencia[[#This Row],[tema]],Estructura!$A$4:$C$500,3,0)</f>
        <v>T-1066</v>
      </c>
      <c r="Y1621" s="118" t="str">
        <f>+VLOOKUP(Agencia[[#This Row],[contenido]],Estructura!$E$4:$G$500,3,0)</f>
        <v>C-1012</v>
      </c>
      <c r="Z1621" s="118" t="str">
        <f>+VLOOKUP(Agencia[[#This Row],[Filtro Integrado]],Estructura!$I$4:$K$500,3,0)</f>
        <v>FI-993</v>
      </c>
      <c r="AA1621" s="118" t="str">
        <f>+VLOOKUP(Agencia[[#This Row],[Muestra]],Estructura!$M$4:$O$500,3,0)</f>
        <v>M-1124</v>
      </c>
    </row>
    <row r="1622" spans="1:27" ht="60" x14ac:dyDescent="0.3">
      <c r="A1622" s="21" t="s">
        <v>6092</v>
      </c>
      <c r="B1622" s="9">
        <v>990</v>
      </c>
      <c r="C1622" s="10" t="s">
        <v>401</v>
      </c>
      <c r="D1622" s="10" t="s">
        <v>405</v>
      </c>
      <c r="E1622" s="14">
        <v>0</v>
      </c>
      <c r="F1622" s="10" t="s">
        <v>5589</v>
      </c>
      <c r="G1622" s="10" t="s">
        <v>3769</v>
      </c>
      <c r="H1622" s="33" t="s">
        <v>20</v>
      </c>
      <c r="I1622" s="34" t="s">
        <v>15</v>
      </c>
      <c r="J1622" s="76" t="s">
        <v>5590</v>
      </c>
      <c r="K1622" s="9" t="s">
        <v>5591</v>
      </c>
      <c r="L1622" s="9" t="s">
        <v>5592</v>
      </c>
      <c r="M1622" s="9" t="s">
        <v>5593</v>
      </c>
      <c r="N1622" s="9" t="s">
        <v>5594</v>
      </c>
      <c r="O1622" s="9" t="s">
        <v>5595</v>
      </c>
      <c r="P1622" s="9" t="s">
        <v>5596</v>
      </c>
      <c r="Q1622" s="11" t="s">
        <v>821</v>
      </c>
      <c r="R1622" s="9" t="s">
        <v>5597</v>
      </c>
      <c r="S1622" s="62" t="s">
        <v>5598</v>
      </c>
      <c r="T1622" s="74">
        <v>0</v>
      </c>
      <c r="U1622" s="50" t="s">
        <v>7554</v>
      </c>
      <c r="V1622" s="118" t="str">
        <f>+Agencia[[#This Row],[idcoleccion]]&amp;"-"&amp;Agencia[[#This Row],[id]]</f>
        <v>990-1611</v>
      </c>
      <c r="W1622" s="118">
        <f>+VLOOKUP(Agencia[[#This Row],[Filtro URL]],Estructura!$X$4:$Y$500,2,0)</f>
        <v>99100000</v>
      </c>
      <c r="X1622" s="118" t="str">
        <f>+VLOOKUP(Agencia[[#This Row],[tema]],Estructura!$A$4:$C$500,3,0)</f>
        <v>T-1067</v>
      </c>
      <c r="Y1622" s="118" t="str">
        <f>+VLOOKUP(Agencia[[#This Row],[contenido]],Estructura!$E$4:$G$500,3,0)</f>
        <v>C-1005</v>
      </c>
      <c r="Z1622" s="118" t="str">
        <f>+VLOOKUP(Agencia[[#This Row],[Filtro Integrado]],Estructura!$I$4:$K$500,3,0)</f>
        <v>FI-1009</v>
      </c>
      <c r="AA1622" s="118" t="str">
        <f>+VLOOKUP(Agencia[[#This Row],[Muestra]],Estructura!$M$4:$O$500,3,0)</f>
        <v>M-1125</v>
      </c>
    </row>
    <row r="1623" spans="1:27" ht="96" x14ac:dyDescent="0.3">
      <c r="A1623" s="21" t="s">
        <v>6093</v>
      </c>
      <c r="B1623" s="9">
        <v>990</v>
      </c>
      <c r="C1623" s="10" t="s">
        <v>401</v>
      </c>
      <c r="D1623" s="10" t="s">
        <v>405</v>
      </c>
      <c r="E1623" s="14">
        <v>0</v>
      </c>
      <c r="F1623" s="10" t="s">
        <v>5599</v>
      </c>
      <c r="G1623" s="10" t="s">
        <v>3769</v>
      </c>
      <c r="H1623" s="33" t="s">
        <v>20</v>
      </c>
      <c r="I1623" s="34" t="s">
        <v>15</v>
      </c>
      <c r="J1623" s="76" t="s">
        <v>5590</v>
      </c>
      <c r="K1623" s="9" t="s">
        <v>6249</v>
      </c>
      <c r="L1623" s="9" t="s">
        <v>5592</v>
      </c>
      <c r="M1623" s="9" t="s">
        <v>426</v>
      </c>
      <c r="N1623" s="9" t="s">
        <v>5594</v>
      </c>
      <c r="O1623" s="9" t="s">
        <v>5600</v>
      </c>
      <c r="P1623" s="9" t="s">
        <v>5601</v>
      </c>
      <c r="Q1623" s="11" t="s">
        <v>821</v>
      </c>
      <c r="R1623" s="9" t="s">
        <v>8339</v>
      </c>
      <c r="S1623" s="62" t="s">
        <v>5602</v>
      </c>
      <c r="T1623" s="74">
        <v>0</v>
      </c>
      <c r="U1623" s="50" t="s">
        <v>7555</v>
      </c>
      <c r="V1623" s="118" t="str">
        <f>+Agencia[[#This Row],[idcoleccion]]&amp;"-"&amp;Agencia[[#This Row],[id]]</f>
        <v>990-1612</v>
      </c>
      <c r="W1623" s="118">
        <f>+VLOOKUP(Agencia[[#This Row],[Filtro URL]],Estructura!$X$4:$Y$500,2,0)</f>
        <v>99100000</v>
      </c>
      <c r="X1623" s="118" t="str">
        <f>+VLOOKUP(Agencia[[#This Row],[tema]],Estructura!$A$4:$C$500,3,0)</f>
        <v>T-1068</v>
      </c>
      <c r="Y1623" s="118" t="str">
        <f>+VLOOKUP(Agencia[[#This Row],[contenido]],Estructura!$E$4:$G$500,3,0)</f>
        <v>C-1005</v>
      </c>
      <c r="Z1623" s="118" t="str">
        <f>+VLOOKUP(Agencia[[#This Row],[Filtro Integrado]],Estructura!$I$4:$K$500,3,0)</f>
        <v>FI-1009</v>
      </c>
      <c r="AA1623" s="118" t="str">
        <f>+VLOOKUP(Agencia[[#This Row],[Muestra]],Estructura!$M$4:$O$500,3,0)</f>
        <v>M-1126</v>
      </c>
    </row>
    <row r="1624" spans="1:27" ht="60" x14ac:dyDescent="0.3">
      <c r="A1624" s="21" t="s">
        <v>6094</v>
      </c>
      <c r="B1624" s="9">
        <v>990</v>
      </c>
      <c r="C1624" s="10" t="s">
        <v>401</v>
      </c>
      <c r="D1624" s="10" t="s">
        <v>405</v>
      </c>
      <c r="E1624" s="14">
        <v>0</v>
      </c>
      <c r="F1624" s="10" t="s">
        <v>5603</v>
      </c>
      <c r="G1624" s="10" t="s">
        <v>3769</v>
      </c>
      <c r="H1624" s="33" t="s">
        <v>20</v>
      </c>
      <c r="I1624" s="34" t="s">
        <v>15</v>
      </c>
      <c r="J1624" s="76" t="s">
        <v>5590</v>
      </c>
      <c r="K1624" s="9" t="s">
        <v>5604</v>
      </c>
      <c r="L1624" s="9" t="s">
        <v>5592</v>
      </c>
      <c r="M1624" s="9" t="s">
        <v>426</v>
      </c>
      <c r="N1624" s="9" t="s">
        <v>5594</v>
      </c>
      <c r="O1624" s="9" t="s">
        <v>5605</v>
      </c>
      <c r="P1624" s="9" t="s">
        <v>5606</v>
      </c>
      <c r="Q1624" s="11" t="s">
        <v>821</v>
      </c>
      <c r="R1624" s="9" t="s">
        <v>8340</v>
      </c>
      <c r="S1624" s="62" t="s">
        <v>5607</v>
      </c>
      <c r="T1624" s="74">
        <v>0</v>
      </c>
      <c r="U1624" s="50" t="s">
        <v>7556</v>
      </c>
      <c r="V1624" s="118" t="str">
        <f>+Agencia[[#This Row],[idcoleccion]]&amp;"-"&amp;Agencia[[#This Row],[id]]</f>
        <v>990-1613</v>
      </c>
      <c r="W1624" s="118">
        <f>+VLOOKUP(Agencia[[#This Row],[Filtro URL]],Estructura!$X$4:$Y$500,2,0)</f>
        <v>99100000</v>
      </c>
      <c r="X1624" s="118" t="str">
        <f>+VLOOKUP(Agencia[[#This Row],[tema]],Estructura!$A$4:$C$500,3,0)</f>
        <v>T-1069</v>
      </c>
      <c r="Y1624" s="118" t="str">
        <f>+VLOOKUP(Agencia[[#This Row],[contenido]],Estructura!$E$4:$G$500,3,0)</f>
        <v>C-1005</v>
      </c>
      <c r="Z1624" s="118" t="str">
        <f>+VLOOKUP(Agencia[[#This Row],[Filtro Integrado]],Estructura!$I$4:$K$500,3,0)</f>
        <v>FI-1009</v>
      </c>
      <c r="AA1624" s="118" t="str">
        <f>+VLOOKUP(Agencia[[#This Row],[Muestra]],Estructura!$M$4:$O$500,3,0)</f>
        <v>M-1127</v>
      </c>
    </row>
    <row r="1625" spans="1:27" ht="96" x14ac:dyDescent="0.3">
      <c r="A1625" s="21" t="s">
        <v>6095</v>
      </c>
      <c r="B1625" s="9">
        <v>990</v>
      </c>
      <c r="C1625" s="10" t="s">
        <v>401</v>
      </c>
      <c r="D1625" s="10" t="s">
        <v>881</v>
      </c>
      <c r="E1625" s="14">
        <v>0</v>
      </c>
      <c r="F1625" s="10" t="s">
        <v>5608</v>
      </c>
      <c r="G1625" s="10" t="s">
        <v>5609</v>
      </c>
      <c r="H1625" s="33" t="s">
        <v>20</v>
      </c>
      <c r="I1625" s="34" t="s">
        <v>15</v>
      </c>
      <c r="J1625" s="76" t="s">
        <v>5610</v>
      </c>
      <c r="K1625" s="9" t="s">
        <v>5611</v>
      </c>
      <c r="L1625" s="9" t="s">
        <v>1559</v>
      </c>
      <c r="M1625" s="9" t="s">
        <v>5612</v>
      </c>
      <c r="N1625" s="9" t="s">
        <v>1459</v>
      </c>
      <c r="O1625" s="9" t="s">
        <v>5613</v>
      </c>
      <c r="P1625" s="9" t="s">
        <v>5614</v>
      </c>
      <c r="Q1625" s="11" t="s">
        <v>821</v>
      </c>
      <c r="R1625" s="9" t="s">
        <v>8341</v>
      </c>
      <c r="S1625" s="62" t="s">
        <v>5615</v>
      </c>
      <c r="T1625" s="72" t="s">
        <v>855</v>
      </c>
      <c r="U1625" s="50" t="s">
        <v>7557</v>
      </c>
      <c r="V1625" s="118" t="str">
        <f>+Agencia[[#This Row],[idcoleccion]]&amp;"-"&amp;Agencia[[#This Row],[id]]</f>
        <v>990-1614</v>
      </c>
      <c r="W1625" s="118">
        <f>+VLOOKUP(Agencia[[#This Row],[Filtro URL]],Estructura!$X$4:$Y$500,2,0)</f>
        <v>99100000</v>
      </c>
      <c r="X1625" s="118" t="str">
        <f>+VLOOKUP(Agencia[[#This Row],[tema]],Estructura!$A$4:$C$500,3,0)</f>
        <v>T-1070</v>
      </c>
      <c r="Y1625" s="118" t="str">
        <f>+VLOOKUP(Agencia[[#This Row],[contenido]],Estructura!$E$4:$G$500,3,0)</f>
        <v>C-1023</v>
      </c>
      <c r="Z1625" s="118" t="str">
        <f>+VLOOKUP(Agencia[[#This Row],[Filtro Integrado]],Estructura!$I$4:$K$500,3,0)</f>
        <v>FI-1010</v>
      </c>
      <c r="AA1625" s="118" t="str">
        <f>+VLOOKUP(Agencia[[#This Row],[Muestra]],Estructura!$M$4:$O$500,3,0)</f>
        <v>M-1128</v>
      </c>
    </row>
    <row r="1626" spans="1:27" ht="72" x14ac:dyDescent="0.3">
      <c r="A1626" s="21" t="s">
        <v>6096</v>
      </c>
      <c r="B1626" s="9">
        <v>990</v>
      </c>
      <c r="C1626" s="10" t="s">
        <v>401</v>
      </c>
      <c r="D1626" s="10" t="s">
        <v>881</v>
      </c>
      <c r="E1626" s="19">
        <v>1</v>
      </c>
      <c r="F1626" s="10" t="s">
        <v>5608</v>
      </c>
      <c r="G1626" s="10" t="s">
        <v>5609</v>
      </c>
      <c r="H1626" s="35" t="s">
        <v>16</v>
      </c>
      <c r="I1626" s="36" t="s">
        <v>368</v>
      </c>
      <c r="J1626" s="79" t="s">
        <v>5590</v>
      </c>
      <c r="K1626" s="9" t="s">
        <v>5611</v>
      </c>
      <c r="L1626" s="63" t="s">
        <v>1559</v>
      </c>
      <c r="M1626" s="9" t="s">
        <v>5612</v>
      </c>
      <c r="N1626" s="63" t="s">
        <v>1459</v>
      </c>
      <c r="O1626" s="9" t="s">
        <v>5797</v>
      </c>
      <c r="P1626" s="64"/>
      <c r="Q1626" s="65" t="s">
        <v>821</v>
      </c>
      <c r="R1626" s="9" t="s">
        <v>5798</v>
      </c>
      <c r="S1626" s="66" t="s">
        <v>5616</v>
      </c>
      <c r="T1626" s="75" t="s">
        <v>3757</v>
      </c>
      <c r="U1626" s="50" t="s">
        <v>7558</v>
      </c>
      <c r="V1626" s="118" t="str">
        <f>+Agencia[[#This Row],[idcoleccion]]&amp;"-"&amp;Agencia[[#This Row],[id]]</f>
        <v>990-1615</v>
      </c>
      <c r="W1626" s="118">
        <f>+VLOOKUP(Agencia[[#This Row],[Filtro URL]],Estructura!$X$4:$Y$500,2,0)</f>
        <v>99200001</v>
      </c>
      <c r="X1626" s="118" t="str">
        <f>+VLOOKUP(Agencia[[#This Row],[tema]],Estructura!$A$4:$C$500,3,0)</f>
        <v>T-1070</v>
      </c>
      <c r="Y1626" s="118" t="str">
        <f>+VLOOKUP(Agencia[[#This Row],[contenido]],Estructura!$E$4:$G$500,3,0)</f>
        <v>C-1023</v>
      </c>
      <c r="Z1626" s="118" t="str">
        <f>+VLOOKUP(Agencia[[#This Row],[Filtro Integrado]],Estructura!$I$4:$K$500,3,0)</f>
        <v>FI-1009</v>
      </c>
      <c r="AA1626" s="118" t="str">
        <f>+VLOOKUP(Agencia[[#This Row],[Muestra]],Estructura!$M$4:$O$500,3,0)</f>
        <v>M-1128</v>
      </c>
    </row>
    <row r="1627" spans="1:27" ht="72" x14ac:dyDescent="0.3">
      <c r="A1627" s="21" t="s">
        <v>6097</v>
      </c>
      <c r="B1627" s="9">
        <v>990</v>
      </c>
      <c r="C1627" s="10" t="s">
        <v>401</v>
      </c>
      <c r="D1627" s="10" t="s">
        <v>881</v>
      </c>
      <c r="E1627" s="19">
        <v>2</v>
      </c>
      <c r="F1627" s="10" t="s">
        <v>5608</v>
      </c>
      <c r="G1627" s="10" t="s">
        <v>5609</v>
      </c>
      <c r="H1627" s="35" t="s">
        <v>16</v>
      </c>
      <c r="I1627" s="36" t="s">
        <v>369</v>
      </c>
      <c r="J1627" s="79" t="s">
        <v>5590</v>
      </c>
      <c r="K1627" s="9" t="s">
        <v>5611</v>
      </c>
      <c r="L1627" s="63" t="s">
        <v>1559</v>
      </c>
      <c r="M1627" s="9" t="s">
        <v>5612</v>
      </c>
      <c r="N1627" s="63" t="s">
        <v>1459</v>
      </c>
      <c r="O1627" s="9" t="s">
        <v>5799</v>
      </c>
      <c r="P1627" s="64"/>
      <c r="Q1627" s="65" t="s">
        <v>821</v>
      </c>
      <c r="R1627" s="9" t="s">
        <v>5800</v>
      </c>
      <c r="S1627" s="66" t="s">
        <v>5617</v>
      </c>
      <c r="T1627" s="75" t="s">
        <v>3745</v>
      </c>
      <c r="U1627" s="50" t="s">
        <v>7559</v>
      </c>
      <c r="V1627" s="118" t="str">
        <f>+Agencia[[#This Row],[idcoleccion]]&amp;"-"&amp;Agencia[[#This Row],[id]]</f>
        <v>990-1616</v>
      </c>
      <c r="W1627" s="118">
        <f>+VLOOKUP(Agencia[[#This Row],[Filtro URL]],Estructura!$X$4:$Y$500,2,0)</f>
        <v>99200002</v>
      </c>
      <c r="X1627" s="118" t="str">
        <f>+VLOOKUP(Agencia[[#This Row],[tema]],Estructura!$A$4:$C$500,3,0)</f>
        <v>T-1070</v>
      </c>
      <c r="Y1627" s="118" t="str">
        <f>+VLOOKUP(Agencia[[#This Row],[contenido]],Estructura!$E$4:$G$500,3,0)</f>
        <v>C-1023</v>
      </c>
      <c r="Z1627" s="118" t="str">
        <f>+VLOOKUP(Agencia[[#This Row],[Filtro Integrado]],Estructura!$I$4:$K$500,3,0)</f>
        <v>FI-1009</v>
      </c>
      <c r="AA1627" s="118" t="str">
        <f>+VLOOKUP(Agencia[[#This Row],[Muestra]],Estructura!$M$4:$O$500,3,0)</f>
        <v>M-1128</v>
      </c>
    </row>
    <row r="1628" spans="1:27" ht="72" x14ac:dyDescent="0.3">
      <c r="A1628" s="21" t="s">
        <v>6098</v>
      </c>
      <c r="B1628" s="9">
        <v>990</v>
      </c>
      <c r="C1628" s="10" t="s">
        <v>401</v>
      </c>
      <c r="D1628" s="10" t="s">
        <v>881</v>
      </c>
      <c r="E1628" s="19">
        <v>3</v>
      </c>
      <c r="F1628" s="10" t="s">
        <v>5608</v>
      </c>
      <c r="G1628" s="10" t="s">
        <v>5609</v>
      </c>
      <c r="H1628" s="35" t="s">
        <v>16</v>
      </c>
      <c r="I1628" s="36" t="s">
        <v>370</v>
      </c>
      <c r="J1628" s="79" t="s">
        <v>5590</v>
      </c>
      <c r="K1628" s="9" t="s">
        <v>5611</v>
      </c>
      <c r="L1628" s="63" t="s">
        <v>1559</v>
      </c>
      <c r="M1628" s="9" t="s">
        <v>5612</v>
      </c>
      <c r="N1628" s="63" t="s">
        <v>1459</v>
      </c>
      <c r="O1628" s="9" t="s">
        <v>5801</v>
      </c>
      <c r="P1628" s="64"/>
      <c r="Q1628" s="65" t="s">
        <v>821</v>
      </c>
      <c r="R1628" s="9" t="s">
        <v>5802</v>
      </c>
      <c r="S1628" s="66" t="s">
        <v>5618</v>
      </c>
      <c r="T1628" s="75" t="s">
        <v>3747</v>
      </c>
      <c r="U1628" s="50" t="s">
        <v>7560</v>
      </c>
      <c r="V1628" s="118" t="str">
        <f>+Agencia[[#This Row],[idcoleccion]]&amp;"-"&amp;Agencia[[#This Row],[id]]</f>
        <v>990-1617</v>
      </c>
      <c r="W1628" s="118">
        <f>+VLOOKUP(Agencia[[#This Row],[Filtro URL]],Estructura!$X$4:$Y$500,2,0)</f>
        <v>99200003</v>
      </c>
      <c r="X1628" s="118" t="str">
        <f>+VLOOKUP(Agencia[[#This Row],[tema]],Estructura!$A$4:$C$500,3,0)</f>
        <v>T-1070</v>
      </c>
      <c r="Y1628" s="118" t="str">
        <f>+VLOOKUP(Agencia[[#This Row],[contenido]],Estructura!$E$4:$G$500,3,0)</f>
        <v>C-1023</v>
      </c>
      <c r="Z1628" s="118" t="str">
        <f>+VLOOKUP(Agencia[[#This Row],[Filtro Integrado]],Estructura!$I$4:$K$500,3,0)</f>
        <v>FI-1009</v>
      </c>
      <c r="AA1628" s="118" t="str">
        <f>+VLOOKUP(Agencia[[#This Row],[Muestra]],Estructura!$M$4:$O$500,3,0)</f>
        <v>M-1128</v>
      </c>
    </row>
    <row r="1629" spans="1:27" ht="72" x14ac:dyDescent="0.3">
      <c r="A1629" s="21" t="s">
        <v>6099</v>
      </c>
      <c r="B1629" s="9">
        <v>990</v>
      </c>
      <c r="C1629" s="10" t="s">
        <v>401</v>
      </c>
      <c r="D1629" s="10" t="s">
        <v>881</v>
      </c>
      <c r="E1629" s="19">
        <v>4</v>
      </c>
      <c r="F1629" s="10" t="s">
        <v>5608</v>
      </c>
      <c r="G1629" s="10" t="s">
        <v>5609</v>
      </c>
      <c r="H1629" s="35" t="s">
        <v>16</v>
      </c>
      <c r="I1629" s="36" t="s">
        <v>371</v>
      </c>
      <c r="J1629" s="79" t="s">
        <v>5590</v>
      </c>
      <c r="K1629" s="9" t="s">
        <v>5611</v>
      </c>
      <c r="L1629" s="63" t="s">
        <v>1559</v>
      </c>
      <c r="M1629" s="9" t="s">
        <v>5612</v>
      </c>
      <c r="N1629" s="63" t="s">
        <v>1459</v>
      </c>
      <c r="O1629" s="9" t="s">
        <v>5803</v>
      </c>
      <c r="P1629" s="64"/>
      <c r="Q1629" s="65" t="s">
        <v>821</v>
      </c>
      <c r="R1629" s="9" t="s">
        <v>5804</v>
      </c>
      <c r="S1629" s="66" t="s">
        <v>5619</v>
      </c>
      <c r="T1629" s="75" t="s">
        <v>3749</v>
      </c>
      <c r="U1629" s="50" t="s">
        <v>7561</v>
      </c>
      <c r="V1629" s="118" t="str">
        <f>+Agencia[[#This Row],[idcoleccion]]&amp;"-"&amp;Agencia[[#This Row],[id]]</f>
        <v>990-1618</v>
      </c>
      <c r="W1629" s="118">
        <f>+VLOOKUP(Agencia[[#This Row],[Filtro URL]],Estructura!$X$4:$Y$500,2,0)</f>
        <v>99200004</v>
      </c>
      <c r="X1629" s="118" t="str">
        <f>+VLOOKUP(Agencia[[#This Row],[tema]],Estructura!$A$4:$C$500,3,0)</f>
        <v>T-1070</v>
      </c>
      <c r="Y1629" s="118" t="str">
        <f>+VLOOKUP(Agencia[[#This Row],[contenido]],Estructura!$E$4:$G$500,3,0)</f>
        <v>C-1023</v>
      </c>
      <c r="Z1629" s="118" t="str">
        <f>+VLOOKUP(Agencia[[#This Row],[Filtro Integrado]],Estructura!$I$4:$K$500,3,0)</f>
        <v>FI-1009</v>
      </c>
      <c r="AA1629" s="118" t="str">
        <f>+VLOOKUP(Agencia[[#This Row],[Muestra]],Estructura!$M$4:$O$500,3,0)</f>
        <v>M-1128</v>
      </c>
    </row>
    <row r="1630" spans="1:27" ht="72" x14ac:dyDescent="0.3">
      <c r="A1630" s="21" t="s">
        <v>6100</v>
      </c>
      <c r="B1630" s="9">
        <v>990</v>
      </c>
      <c r="C1630" s="10" t="s">
        <v>401</v>
      </c>
      <c r="D1630" s="10" t="s">
        <v>881</v>
      </c>
      <c r="E1630" s="14">
        <v>0</v>
      </c>
      <c r="F1630" s="10" t="s">
        <v>5608</v>
      </c>
      <c r="G1630" s="10" t="s">
        <v>5609</v>
      </c>
      <c r="H1630" s="33" t="s">
        <v>20</v>
      </c>
      <c r="I1630" s="34" t="s">
        <v>15</v>
      </c>
      <c r="J1630" s="76" t="s">
        <v>5610</v>
      </c>
      <c r="K1630" s="9" t="s">
        <v>5620</v>
      </c>
      <c r="L1630" s="9" t="s">
        <v>1559</v>
      </c>
      <c r="M1630" s="9" t="s">
        <v>6255</v>
      </c>
      <c r="N1630" s="9" t="s">
        <v>1459</v>
      </c>
      <c r="O1630" s="9" t="s">
        <v>5621</v>
      </c>
      <c r="P1630" s="9" t="s">
        <v>5622</v>
      </c>
      <c r="Q1630" s="11" t="s">
        <v>821</v>
      </c>
      <c r="R1630" s="9" t="s">
        <v>8342</v>
      </c>
      <c r="S1630" s="62" t="s">
        <v>5623</v>
      </c>
      <c r="T1630" s="72" t="s">
        <v>855</v>
      </c>
      <c r="U1630" s="50" t="s">
        <v>7562</v>
      </c>
      <c r="V1630" s="118" t="str">
        <f>+Agencia[[#This Row],[idcoleccion]]&amp;"-"&amp;Agencia[[#This Row],[id]]</f>
        <v>990-1619</v>
      </c>
      <c r="W1630" s="118">
        <f>+VLOOKUP(Agencia[[#This Row],[Filtro URL]],Estructura!$X$4:$Y$500,2,0)</f>
        <v>99100000</v>
      </c>
      <c r="X1630" s="118" t="str">
        <f>+VLOOKUP(Agencia[[#This Row],[tema]],Estructura!$A$4:$C$500,3,0)</f>
        <v>T-1070</v>
      </c>
      <c r="Y1630" s="118" t="str">
        <f>+VLOOKUP(Agencia[[#This Row],[contenido]],Estructura!$E$4:$G$500,3,0)</f>
        <v>C-1023</v>
      </c>
      <c r="Z1630" s="118" t="str">
        <f>+VLOOKUP(Agencia[[#This Row],[Filtro Integrado]],Estructura!$I$4:$K$500,3,0)</f>
        <v>FI-1010</v>
      </c>
      <c r="AA1630" s="118" t="str">
        <f>+VLOOKUP(Agencia[[#This Row],[Muestra]],Estructura!$M$4:$O$500,3,0)</f>
        <v>M-1129</v>
      </c>
    </row>
    <row r="1631" spans="1:27" ht="36" x14ac:dyDescent="0.3">
      <c r="A1631" s="21" t="s">
        <v>6101</v>
      </c>
      <c r="B1631" s="9">
        <v>990</v>
      </c>
      <c r="C1631" s="10" t="s">
        <v>401</v>
      </c>
      <c r="D1631" s="10" t="s">
        <v>881</v>
      </c>
      <c r="E1631" s="19">
        <v>1</v>
      </c>
      <c r="F1631" s="10" t="s">
        <v>5608</v>
      </c>
      <c r="G1631" s="10" t="s">
        <v>5609</v>
      </c>
      <c r="H1631" s="35" t="s">
        <v>16</v>
      </c>
      <c r="I1631" s="36" t="s">
        <v>368</v>
      </c>
      <c r="J1631" s="76" t="s">
        <v>5610</v>
      </c>
      <c r="K1631" s="9" t="s">
        <v>5620</v>
      </c>
      <c r="L1631" s="9" t="s">
        <v>1559</v>
      </c>
      <c r="M1631" s="9" t="s">
        <v>6255</v>
      </c>
      <c r="N1631" s="9" t="s">
        <v>1459</v>
      </c>
      <c r="O1631" s="9" t="s">
        <v>5624</v>
      </c>
      <c r="P1631" s="61"/>
      <c r="Q1631" s="11" t="s">
        <v>821</v>
      </c>
      <c r="R1631" s="9" t="s">
        <v>8343</v>
      </c>
      <c r="S1631" s="67" t="s">
        <v>5625</v>
      </c>
      <c r="T1631" s="74" t="s">
        <v>3757</v>
      </c>
      <c r="U1631" s="50" t="s">
        <v>7563</v>
      </c>
      <c r="V1631" s="118" t="str">
        <f>+Agencia[[#This Row],[idcoleccion]]&amp;"-"&amp;Agencia[[#This Row],[id]]</f>
        <v>990-1620</v>
      </c>
      <c r="W1631" s="118">
        <f>+VLOOKUP(Agencia[[#This Row],[Filtro URL]],Estructura!$X$4:$Y$500,2,0)</f>
        <v>99200001</v>
      </c>
      <c r="X1631" s="118" t="str">
        <f>+VLOOKUP(Agencia[[#This Row],[tema]],Estructura!$A$4:$C$500,3,0)</f>
        <v>T-1070</v>
      </c>
      <c r="Y1631" s="118" t="str">
        <f>+VLOOKUP(Agencia[[#This Row],[contenido]],Estructura!$E$4:$G$500,3,0)</f>
        <v>C-1023</v>
      </c>
      <c r="Z1631" s="118" t="str">
        <f>+VLOOKUP(Agencia[[#This Row],[Filtro Integrado]],Estructura!$I$4:$K$500,3,0)</f>
        <v>FI-1010</v>
      </c>
      <c r="AA1631" s="118" t="str">
        <f>+VLOOKUP(Agencia[[#This Row],[Muestra]],Estructura!$M$4:$O$500,3,0)</f>
        <v>M-1129</v>
      </c>
    </row>
    <row r="1632" spans="1:27" ht="36" x14ac:dyDescent="0.3">
      <c r="A1632" s="21" t="s">
        <v>6102</v>
      </c>
      <c r="B1632" s="9">
        <v>990</v>
      </c>
      <c r="C1632" s="10" t="s">
        <v>401</v>
      </c>
      <c r="D1632" s="10" t="s">
        <v>881</v>
      </c>
      <c r="E1632" s="19">
        <v>2</v>
      </c>
      <c r="F1632" s="10" t="s">
        <v>5608</v>
      </c>
      <c r="G1632" s="10" t="s">
        <v>5609</v>
      </c>
      <c r="H1632" s="35" t="s">
        <v>16</v>
      </c>
      <c r="I1632" s="36" t="s">
        <v>369</v>
      </c>
      <c r="J1632" s="76" t="s">
        <v>5610</v>
      </c>
      <c r="K1632" s="9" t="s">
        <v>5620</v>
      </c>
      <c r="L1632" s="9" t="s">
        <v>1559</v>
      </c>
      <c r="M1632" s="9" t="s">
        <v>6255</v>
      </c>
      <c r="N1632" s="9" t="s">
        <v>1459</v>
      </c>
      <c r="O1632" s="9" t="s">
        <v>5626</v>
      </c>
      <c r="P1632" s="61"/>
      <c r="Q1632" s="11" t="s">
        <v>821</v>
      </c>
      <c r="R1632" s="9" t="s">
        <v>8344</v>
      </c>
      <c r="S1632" s="67" t="s">
        <v>5627</v>
      </c>
      <c r="T1632" s="74" t="s">
        <v>3745</v>
      </c>
      <c r="U1632" s="50" t="s">
        <v>7564</v>
      </c>
      <c r="V1632" s="118" t="str">
        <f>+Agencia[[#This Row],[idcoleccion]]&amp;"-"&amp;Agencia[[#This Row],[id]]</f>
        <v>990-1621</v>
      </c>
      <c r="W1632" s="118">
        <f>+VLOOKUP(Agencia[[#This Row],[Filtro URL]],Estructura!$X$4:$Y$500,2,0)</f>
        <v>99200002</v>
      </c>
      <c r="X1632" s="118" t="str">
        <f>+VLOOKUP(Agencia[[#This Row],[tema]],Estructura!$A$4:$C$500,3,0)</f>
        <v>T-1070</v>
      </c>
      <c r="Y1632" s="118" t="str">
        <f>+VLOOKUP(Agencia[[#This Row],[contenido]],Estructura!$E$4:$G$500,3,0)</f>
        <v>C-1023</v>
      </c>
      <c r="Z1632" s="118" t="str">
        <f>+VLOOKUP(Agencia[[#This Row],[Filtro Integrado]],Estructura!$I$4:$K$500,3,0)</f>
        <v>FI-1010</v>
      </c>
      <c r="AA1632" s="118" t="str">
        <f>+VLOOKUP(Agencia[[#This Row],[Muestra]],Estructura!$M$4:$O$500,3,0)</f>
        <v>M-1129</v>
      </c>
    </row>
    <row r="1633" spans="1:27" ht="36" x14ac:dyDescent="0.3">
      <c r="A1633" s="21" t="s">
        <v>6103</v>
      </c>
      <c r="B1633" s="9">
        <v>990</v>
      </c>
      <c r="C1633" s="10" t="s">
        <v>401</v>
      </c>
      <c r="D1633" s="10" t="s">
        <v>881</v>
      </c>
      <c r="E1633" s="19">
        <v>3</v>
      </c>
      <c r="F1633" s="10" t="s">
        <v>5608</v>
      </c>
      <c r="G1633" s="10" t="s">
        <v>5609</v>
      </c>
      <c r="H1633" s="35" t="s">
        <v>16</v>
      </c>
      <c r="I1633" s="36" t="s">
        <v>370</v>
      </c>
      <c r="J1633" s="76" t="s">
        <v>5610</v>
      </c>
      <c r="K1633" s="9" t="s">
        <v>5620</v>
      </c>
      <c r="L1633" s="9" t="s">
        <v>1559</v>
      </c>
      <c r="M1633" s="9" t="s">
        <v>6255</v>
      </c>
      <c r="N1633" s="9" t="s">
        <v>1459</v>
      </c>
      <c r="O1633" s="9" t="s">
        <v>5628</v>
      </c>
      <c r="P1633" s="61"/>
      <c r="Q1633" s="11" t="s">
        <v>821</v>
      </c>
      <c r="R1633" s="9" t="s">
        <v>8345</v>
      </c>
      <c r="S1633" s="67" t="s">
        <v>5629</v>
      </c>
      <c r="T1633" s="74" t="s">
        <v>3747</v>
      </c>
      <c r="U1633" s="50" t="s">
        <v>7565</v>
      </c>
      <c r="V1633" s="118" t="str">
        <f>+Agencia[[#This Row],[idcoleccion]]&amp;"-"&amp;Agencia[[#This Row],[id]]</f>
        <v>990-1622</v>
      </c>
      <c r="W1633" s="118">
        <f>+VLOOKUP(Agencia[[#This Row],[Filtro URL]],Estructura!$X$4:$Y$500,2,0)</f>
        <v>99200003</v>
      </c>
      <c r="X1633" s="118" t="str">
        <f>+VLOOKUP(Agencia[[#This Row],[tema]],Estructura!$A$4:$C$500,3,0)</f>
        <v>T-1070</v>
      </c>
      <c r="Y1633" s="118" t="str">
        <f>+VLOOKUP(Agencia[[#This Row],[contenido]],Estructura!$E$4:$G$500,3,0)</f>
        <v>C-1023</v>
      </c>
      <c r="Z1633" s="118" t="str">
        <f>+VLOOKUP(Agencia[[#This Row],[Filtro Integrado]],Estructura!$I$4:$K$500,3,0)</f>
        <v>FI-1010</v>
      </c>
      <c r="AA1633" s="118" t="str">
        <f>+VLOOKUP(Agencia[[#This Row],[Muestra]],Estructura!$M$4:$O$500,3,0)</f>
        <v>M-1129</v>
      </c>
    </row>
    <row r="1634" spans="1:27" ht="36" x14ac:dyDescent="0.3">
      <c r="A1634" s="21" t="s">
        <v>6104</v>
      </c>
      <c r="B1634" s="9">
        <v>990</v>
      </c>
      <c r="C1634" s="10" t="s">
        <v>401</v>
      </c>
      <c r="D1634" s="10" t="s">
        <v>881</v>
      </c>
      <c r="E1634" s="19">
        <v>4</v>
      </c>
      <c r="F1634" s="10" t="s">
        <v>5608</v>
      </c>
      <c r="G1634" s="10" t="s">
        <v>5609</v>
      </c>
      <c r="H1634" s="35" t="s">
        <v>16</v>
      </c>
      <c r="I1634" s="36" t="s">
        <v>371</v>
      </c>
      <c r="J1634" s="76" t="s">
        <v>5610</v>
      </c>
      <c r="K1634" s="9" t="s">
        <v>5620</v>
      </c>
      <c r="L1634" s="9" t="s">
        <v>1559</v>
      </c>
      <c r="M1634" s="9" t="s">
        <v>6255</v>
      </c>
      <c r="N1634" s="9" t="s">
        <v>1459</v>
      </c>
      <c r="O1634" s="9" t="s">
        <v>5621</v>
      </c>
      <c r="P1634" s="61"/>
      <c r="Q1634" s="11" t="s">
        <v>821</v>
      </c>
      <c r="R1634" s="9" t="s">
        <v>8346</v>
      </c>
      <c r="S1634" s="67" t="s">
        <v>5630</v>
      </c>
      <c r="T1634" s="74" t="s">
        <v>3749</v>
      </c>
      <c r="U1634" s="50" t="s">
        <v>7566</v>
      </c>
      <c r="V1634" s="118" t="str">
        <f>+Agencia[[#This Row],[idcoleccion]]&amp;"-"&amp;Agencia[[#This Row],[id]]</f>
        <v>990-1623</v>
      </c>
      <c r="W1634" s="118">
        <f>+VLOOKUP(Agencia[[#This Row],[Filtro URL]],Estructura!$X$4:$Y$500,2,0)</f>
        <v>99200004</v>
      </c>
      <c r="X1634" s="118" t="str">
        <f>+VLOOKUP(Agencia[[#This Row],[tema]],Estructura!$A$4:$C$500,3,0)</f>
        <v>T-1070</v>
      </c>
      <c r="Y1634" s="118" t="str">
        <f>+VLOOKUP(Agencia[[#This Row],[contenido]],Estructura!$E$4:$G$500,3,0)</f>
        <v>C-1023</v>
      </c>
      <c r="Z1634" s="118" t="str">
        <f>+VLOOKUP(Agencia[[#This Row],[Filtro Integrado]],Estructura!$I$4:$K$500,3,0)</f>
        <v>FI-1010</v>
      </c>
      <c r="AA1634" s="118" t="str">
        <f>+VLOOKUP(Agencia[[#This Row],[Muestra]],Estructura!$M$4:$O$500,3,0)</f>
        <v>M-1129</v>
      </c>
    </row>
    <row r="1635" spans="1:27" ht="36" x14ac:dyDescent="0.3">
      <c r="A1635" s="21" t="s">
        <v>6105</v>
      </c>
      <c r="B1635" s="9">
        <v>990</v>
      </c>
      <c r="C1635" s="10" t="s">
        <v>401</v>
      </c>
      <c r="D1635" s="10" t="s">
        <v>881</v>
      </c>
      <c r="E1635" s="19">
        <v>5</v>
      </c>
      <c r="F1635" s="10" t="s">
        <v>5608</v>
      </c>
      <c r="G1635" s="10" t="s">
        <v>5609</v>
      </c>
      <c r="H1635" s="35" t="s">
        <v>16</v>
      </c>
      <c r="I1635" s="36" t="s">
        <v>372</v>
      </c>
      <c r="J1635" s="76" t="s">
        <v>5610</v>
      </c>
      <c r="K1635" s="9" t="s">
        <v>5620</v>
      </c>
      <c r="L1635" s="9" t="s">
        <v>1559</v>
      </c>
      <c r="M1635" s="9" t="s">
        <v>6255</v>
      </c>
      <c r="N1635" s="9" t="s">
        <v>1459</v>
      </c>
      <c r="O1635" s="9" t="s">
        <v>5631</v>
      </c>
      <c r="P1635" s="61"/>
      <c r="Q1635" s="11" t="s">
        <v>821</v>
      </c>
      <c r="R1635" s="9" t="s">
        <v>8347</v>
      </c>
      <c r="S1635" s="67" t="s">
        <v>5632</v>
      </c>
      <c r="T1635" s="74" t="s">
        <v>3758</v>
      </c>
      <c r="U1635" s="50" t="s">
        <v>7567</v>
      </c>
      <c r="V1635" s="118" t="str">
        <f>+Agencia[[#This Row],[idcoleccion]]&amp;"-"&amp;Agencia[[#This Row],[id]]</f>
        <v>990-1624</v>
      </c>
      <c r="W1635" s="118">
        <f>+VLOOKUP(Agencia[[#This Row],[Filtro URL]],Estructura!$X$4:$Y$500,2,0)</f>
        <v>99200005</v>
      </c>
      <c r="X1635" s="118" t="str">
        <f>+VLOOKUP(Agencia[[#This Row],[tema]],Estructura!$A$4:$C$500,3,0)</f>
        <v>T-1070</v>
      </c>
      <c r="Y1635" s="118" t="str">
        <f>+VLOOKUP(Agencia[[#This Row],[contenido]],Estructura!$E$4:$G$500,3,0)</f>
        <v>C-1023</v>
      </c>
      <c r="Z1635" s="118" t="str">
        <f>+VLOOKUP(Agencia[[#This Row],[Filtro Integrado]],Estructura!$I$4:$K$500,3,0)</f>
        <v>FI-1010</v>
      </c>
      <c r="AA1635" s="118" t="str">
        <f>+VLOOKUP(Agencia[[#This Row],[Muestra]],Estructura!$M$4:$O$500,3,0)</f>
        <v>M-1129</v>
      </c>
    </row>
    <row r="1636" spans="1:27" ht="72" x14ac:dyDescent="0.3">
      <c r="A1636" s="21" t="s">
        <v>6106</v>
      </c>
      <c r="B1636" s="9">
        <v>990</v>
      </c>
      <c r="C1636" s="10" t="s">
        <v>401</v>
      </c>
      <c r="D1636" s="10" t="s">
        <v>881</v>
      </c>
      <c r="E1636" s="14">
        <v>0</v>
      </c>
      <c r="F1636" s="10" t="s">
        <v>5608</v>
      </c>
      <c r="G1636" s="10" t="s">
        <v>5609</v>
      </c>
      <c r="H1636" s="33" t="s">
        <v>20</v>
      </c>
      <c r="I1636" s="34" t="s">
        <v>15</v>
      </c>
      <c r="J1636" s="76" t="s">
        <v>5610</v>
      </c>
      <c r="K1636" s="9" t="s">
        <v>5633</v>
      </c>
      <c r="L1636" s="9" t="s">
        <v>1559</v>
      </c>
      <c r="M1636" s="9" t="s">
        <v>581</v>
      </c>
      <c r="N1636" s="9" t="s">
        <v>1459</v>
      </c>
      <c r="O1636" s="9" t="s">
        <v>5634</v>
      </c>
      <c r="P1636" s="9" t="s">
        <v>5635</v>
      </c>
      <c r="Q1636" s="11" t="s">
        <v>821</v>
      </c>
      <c r="R1636" s="9" t="s">
        <v>8348</v>
      </c>
      <c r="S1636" s="62" t="s">
        <v>5636</v>
      </c>
      <c r="T1636" s="72">
        <v>0</v>
      </c>
      <c r="U1636" s="50" t="s">
        <v>7568</v>
      </c>
      <c r="V1636" s="118" t="str">
        <f>+Agencia[[#This Row],[idcoleccion]]&amp;"-"&amp;Agencia[[#This Row],[id]]</f>
        <v>990-1625</v>
      </c>
      <c r="W1636" s="118">
        <f>+VLOOKUP(Agencia[[#This Row],[Filtro URL]],Estructura!$X$4:$Y$500,2,0)</f>
        <v>99100000</v>
      </c>
      <c r="X1636" s="118" t="str">
        <f>+VLOOKUP(Agencia[[#This Row],[tema]],Estructura!$A$4:$C$500,3,0)</f>
        <v>T-1070</v>
      </c>
      <c r="Y1636" s="118" t="str">
        <f>+VLOOKUP(Agencia[[#This Row],[contenido]],Estructura!$E$4:$G$500,3,0)</f>
        <v>C-1023</v>
      </c>
      <c r="Z1636" s="118" t="str">
        <f>+VLOOKUP(Agencia[[#This Row],[Filtro Integrado]],Estructura!$I$4:$K$500,3,0)</f>
        <v>FI-1010</v>
      </c>
      <c r="AA1636" s="118" t="str">
        <f>+VLOOKUP(Agencia[[#This Row],[Muestra]],Estructura!$M$4:$O$500,3,0)</f>
        <v>M-1130</v>
      </c>
    </row>
    <row r="1637" spans="1:27" ht="72" x14ac:dyDescent="0.3">
      <c r="A1637" s="21" t="s">
        <v>6107</v>
      </c>
      <c r="B1637" s="9">
        <v>990</v>
      </c>
      <c r="C1637" s="10" t="s">
        <v>401</v>
      </c>
      <c r="D1637" s="10" t="s">
        <v>881</v>
      </c>
      <c r="E1637" s="14">
        <v>0</v>
      </c>
      <c r="F1637" s="10" t="s">
        <v>5608</v>
      </c>
      <c r="G1637" s="10" t="s">
        <v>5609</v>
      </c>
      <c r="H1637" s="33" t="s">
        <v>20</v>
      </c>
      <c r="I1637" s="34" t="s">
        <v>15</v>
      </c>
      <c r="J1637" s="76" t="s">
        <v>5610</v>
      </c>
      <c r="K1637" s="9" t="s">
        <v>5637</v>
      </c>
      <c r="L1637" s="9" t="s">
        <v>1559</v>
      </c>
      <c r="M1637" s="9" t="s">
        <v>6256</v>
      </c>
      <c r="N1637" s="9" t="s">
        <v>1459</v>
      </c>
      <c r="O1637" s="9" t="s">
        <v>5638</v>
      </c>
      <c r="P1637" s="9" t="s">
        <v>5639</v>
      </c>
      <c r="Q1637" s="11" t="s">
        <v>821</v>
      </c>
      <c r="R1637" s="9" t="s">
        <v>8349</v>
      </c>
      <c r="S1637" s="62" t="s">
        <v>5640</v>
      </c>
      <c r="T1637" s="72">
        <v>0</v>
      </c>
      <c r="U1637" s="50" t="s">
        <v>7569</v>
      </c>
      <c r="V1637" s="118" t="str">
        <f>+Agencia[[#This Row],[idcoleccion]]&amp;"-"&amp;Agencia[[#This Row],[id]]</f>
        <v>990-1626</v>
      </c>
      <c r="W1637" s="118">
        <f>+VLOOKUP(Agencia[[#This Row],[Filtro URL]],Estructura!$X$4:$Y$500,2,0)</f>
        <v>99100000</v>
      </c>
      <c r="X1637" s="118" t="str">
        <f>+VLOOKUP(Agencia[[#This Row],[tema]],Estructura!$A$4:$C$500,3,0)</f>
        <v>T-1070</v>
      </c>
      <c r="Y1637" s="118" t="str">
        <f>+VLOOKUP(Agencia[[#This Row],[contenido]],Estructura!$E$4:$G$500,3,0)</f>
        <v>C-1023</v>
      </c>
      <c r="Z1637" s="118" t="str">
        <f>+VLOOKUP(Agencia[[#This Row],[Filtro Integrado]],Estructura!$I$4:$K$500,3,0)</f>
        <v>FI-1010</v>
      </c>
      <c r="AA1637" s="118" t="str">
        <f>+VLOOKUP(Agencia[[#This Row],[Muestra]],Estructura!$M$4:$O$500,3,0)</f>
        <v>M-1131</v>
      </c>
    </row>
    <row r="1638" spans="1:27" ht="72" x14ac:dyDescent="0.3">
      <c r="A1638" s="21" t="s">
        <v>6108</v>
      </c>
      <c r="B1638" s="9">
        <v>990</v>
      </c>
      <c r="C1638" s="10" t="s">
        <v>401</v>
      </c>
      <c r="D1638" s="10" t="s">
        <v>5641</v>
      </c>
      <c r="E1638" s="14">
        <v>0</v>
      </c>
      <c r="F1638" s="10" t="s">
        <v>5642</v>
      </c>
      <c r="G1638" s="10" t="s">
        <v>5641</v>
      </c>
      <c r="H1638" s="33" t="s">
        <v>20</v>
      </c>
      <c r="I1638" s="34" t="s">
        <v>15</v>
      </c>
      <c r="J1638" s="76" t="s">
        <v>5610</v>
      </c>
      <c r="K1638" s="9" t="s">
        <v>5643</v>
      </c>
      <c r="L1638" s="9" t="s">
        <v>1075</v>
      </c>
      <c r="M1638" s="9" t="s">
        <v>5644</v>
      </c>
      <c r="N1638" s="9" t="s">
        <v>1459</v>
      </c>
      <c r="O1638" s="9" t="s">
        <v>5645</v>
      </c>
      <c r="P1638" s="9" t="s">
        <v>5646</v>
      </c>
      <c r="Q1638" s="11" t="s">
        <v>821</v>
      </c>
      <c r="R1638" s="9" t="s">
        <v>8350</v>
      </c>
      <c r="S1638" s="62" t="s">
        <v>5647</v>
      </c>
      <c r="T1638" s="72" t="s">
        <v>855</v>
      </c>
      <c r="U1638" s="50" t="s">
        <v>7570</v>
      </c>
      <c r="V1638" s="118" t="str">
        <f>+Agencia[[#This Row],[idcoleccion]]&amp;"-"&amp;Agencia[[#This Row],[id]]</f>
        <v>990-1627</v>
      </c>
      <c r="W1638" s="118">
        <f>+VLOOKUP(Agencia[[#This Row],[Filtro URL]],Estructura!$X$4:$Y$500,2,0)</f>
        <v>99100000</v>
      </c>
      <c r="X1638" s="118" t="str">
        <f>+VLOOKUP(Agencia[[#This Row],[tema]],Estructura!$A$4:$C$500,3,0)</f>
        <v>T-1071</v>
      </c>
      <c r="Y1638" s="118" t="str">
        <f>+VLOOKUP(Agencia[[#This Row],[contenido]],Estructura!$E$4:$G$500,3,0)</f>
        <v>C-1024</v>
      </c>
      <c r="Z1638" s="118" t="str">
        <f>+VLOOKUP(Agencia[[#This Row],[Filtro Integrado]],Estructura!$I$4:$K$500,3,0)</f>
        <v>FI-1010</v>
      </c>
      <c r="AA1638" s="118" t="str">
        <f>+VLOOKUP(Agencia[[#This Row],[Muestra]],Estructura!$M$4:$O$500,3,0)</f>
        <v>M-1132</v>
      </c>
    </row>
    <row r="1639" spans="1:27" ht="72" x14ac:dyDescent="0.3">
      <c r="A1639" s="21" t="s">
        <v>6109</v>
      </c>
      <c r="B1639" s="9">
        <v>990</v>
      </c>
      <c r="C1639" s="10" t="s">
        <v>401</v>
      </c>
      <c r="D1639" s="10" t="s">
        <v>5641</v>
      </c>
      <c r="E1639" s="19">
        <v>1</v>
      </c>
      <c r="F1639" s="10" t="s">
        <v>5642</v>
      </c>
      <c r="G1639" s="10" t="s">
        <v>5641</v>
      </c>
      <c r="H1639" s="35" t="s">
        <v>16</v>
      </c>
      <c r="I1639" s="36" t="s">
        <v>368</v>
      </c>
      <c r="J1639" s="76" t="s">
        <v>5590</v>
      </c>
      <c r="K1639" s="9" t="s">
        <v>5643</v>
      </c>
      <c r="L1639" s="9" t="s">
        <v>1075</v>
      </c>
      <c r="M1639" s="9" t="s">
        <v>5644</v>
      </c>
      <c r="N1639" s="9" t="s">
        <v>1459</v>
      </c>
      <c r="O1639" s="9" t="s">
        <v>5805</v>
      </c>
      <c r="P1639" s="61"/>
      <c r="Q1639" s="11" t="s">
        <v>821</v>
      </c>
      <c r="R1639" s="9" t="s">
        <v>5806</v>
      </c>
      <c r="S1639" s="62" t="s">
        <v>5648</v>
      </c>
      <c r="T1639" s="72" t="s">
        <v>3757</v>
      </c>
      <c r="U1639" s="50" t="s">
        <v>7571</v>
      </c>
      <c r="V1639" s="118" t="str">
        <f>+Agencia[[#This Row],[idcoleccion]]&amp;"-"&amp;Agencia[[#This Row],[id]]</f>
        <v>990-1628</v>
      </c>
      <c r="W1639" s="118">
        <f>+VLOOKUP(Agencia[[#This Row],[Filtro URL]],Estructura!$X$4:$Y$500,2,0)</f>
        <v>99200001</v>
      </c>
      <c r="X1639" s="118" t="str">
        <f>+VLOOKUP(Agencia[[#This Row],[tema]],Estructura!$A$4:$C$500,3,0)</f>
        <v>T-1071</v>
      </c>
      <c r="Y1639" s="118" t="str">
        <f>+VLOOKUP(Agencia[[#This Row],[contenido]],Estructura!$E$4:$G$500,3,0)</f>
        <v>C-1024</v>
      </c>
      <c r="Z1639" s="118" t="str">
        <f>+VLOOKUP(Agencia[[#This Row],[Filtro Integrado]],Estructura!$I$4:$K$500,3,0)</f>
        <v>FI-1009</v>
      </c>
      <c r="AA1639" s="118" t="str">
        <f>+VLOOKUP(Agencia[[#This Row],[Muestra]],Estructura!$M$4:$O$500,3,0)</f>
        <v>M-1132</v>
      </c>
    </row>
    <row r="1640" spans="1:27" ht="72" x14ac:dyDescent="0.3">
      <c r="A1640" s="21" t="s">
        <v>6110</v>
      </c>
      <c r="B1640" s="9">
        <v>990</v>
      </c>
      <c r="C1640" s="10" t="s">
        <v>401</v>
      </c>
      <c r="D1640" s="10" t="s">
        <v>5641</v>
      </c>
      <c r="E1640" s="19">
        <v>2</v>
      </c>
      <c r="F1640" s="10" t="s">
        <v>5642</v>
      </c>
      <c r="G1640" s="10" t="s">
        <v>5641</v>
      </c>
      <c r="H1640" s="35" t="s">
        <v>16</v>
      </c>
      <c r="I1640" s="36" t="s">
        <v>369</v>
      </c>
      <c r="J1640" s="76" t="s">
        <v>5590</v>
      </c>
      <c r="K1640" s="9" t="s">
        <v>5643</v>
      </c>
      <c r="L1640" s="9" t="s">
        <v>1075</v>
      </c>
      <c r="M1640" s="9" t="s">
        <v>5644</v>
      </c>
      <c r="N1640" s="9" t="s">
        <v>1459</v>
      </c>
      <c r="O1640" s="9" t="s">
        <v>5807</v>
      </c>
      <c r="P1640" s="61"/>
      <c r="Q1640" s="11" t="s">
        <v>821</v>
      </c>
      <c r="R1640" s="9" t="s">
        <v>5808</v>
      </c>
      <c r="S1640" s="62" t="s">
        <v>5649</v>
      </c>
      <c r="T1640" s="72" t="s">
        <v>3745</v>
      </c>
      <c r="U1640" s="50" t="s">
        <v>7572</v>
      </c>
      <c r="V1640" s="118" t="str">
        <f>+Agencia[[#This Row],[idcoleccion]]&amp;"-"&amp;Agencia[[#This Row],[id]]</f>
        <v>990-1629</v>
      </c>
      <c r="W1640" s="118">
        <f>+VLOOKUP(Agencia[[#This Row],[Filtro URL]],Estructura!$X$4:$Y$500,2,0)</f>
        <v>99200002</v>
      </c>
      <c r="X1640" s="118" t="str">
        <f>+VLOOKUP(Agencia[[#This Row],[tema]],Estructura!$A$4:$C$500,3,0)</f>
        <v>T-1071</v>
      </c>
      <c r="Y1640" s="118" t="str">
        <f>+VLOOKUP(Agencia[[#This Row],[contenido]],Estructura!$E$4:$G$500,3,0)</f>
        <v>C-1024</v>
      </c>
      <c r="Z1640" s="118" t="str">
        <f>+VLOOKUP(Agencia[[#This Row],[Filtro Integrado]],Estructura!$I$4:$K$500,3,0)</f>
        <v>FI-1009</v>
      </c>
      <c r="AA1640" s="118" t="str">
        <f>+VLOOKUP(Agencia[[#This Row],[Muestra]],Estructura!$M$4:$O$500,3,0)</f>
        <v>M-1132</v>
      </c>
    </row>
    <row r="1641" spans="1:27" ht="72" x14ac:dyDescent="0.3">
      <c r="A1641" s="21" t="s">
        <v>6111</v>
      </c>
      <c r="B1641" s="9">
        <v>990</v>
      </c>
      <c r="C1641" s="10" t="s">
        <v>401</v>
      </c>
      <c r="D1641" s="10" t="s">
        <v>5641</v>
      </c>
      <c r="E1641" s="19">
        <v>3</v>
      </c>
      <c r="F1641" s="10" t="s">
        <v>5642</v>
      </c>
      <c r="G1641" s="10" t="s">
        <v>5641</v>
      </c>
      <c r="H1641" s="35" t="s">
        <v>16</v>
      </c>
      <c r="I1641" s="36" t="s">
        <v>370</v>
      </c>
      <c r="J1641" s="76" t="s">
        <v>5590</v>
      </c>
      <c r="K1641" s="9" t="s">
        <v>5643</v>
      </c>
      <c r="L1641" s="9" t="s">
        <v>1075</v>
      </c>
      <c r="M1641" s="9" t="s">
        <v>5644</v>
      </c>
      <c r="N1641" s="9" t="s">
        <v>1459</v>
      </c>
      <c r="O1641" s="9" t="s">
        <v>5809</v>
      </c>
      <c r="P1641" s="61"/>
      <c r="Q1641" s="11" t="s">
        <v>821</v>
      </c>
      <c r="R1641" s="9" t="s">
        <v>5810</v>
      </c>
      <c r="S1641" s="62" t="s">
        <v>5650</v>
      </c>
      <c r="T1641" s="72" t="s">
        <v>3747</v>
      </c>
      <c r="U1641" s="50" t="s">
        <v>7573</v>
      </c>
      <c r="V1641" s="118" t="str">
        <f>+Agencia[[#This Row],[idcoleccion]]&amp;"-"&amp;Agencia[[#This Row],[id]]</f>
        <v>990-1630</v>
      </c>
      <c r="W1641" s="118">
        <f>+VLOOKUP(Agencia[[#This Row],[Filtro URL]],Estructura!$X$4:$Y$500,2,0)</f>
        <v>99200003</v>
      </c>
      <c r="X1641" s="118" t="str">
        <f>+VLOOKUP(Agencia[[#This Row],[tema]],Estructura!$A$4:$C$500,3,0)</f>
        <v>T-1071</v>
      </c>
      <c r="Y1641" s="118" t="str">
        <f>+VLOOKUP(Agencia[[#This Row],[contenido]],Estructura!$E$4:$G$500,3,0)</f>
        <v>C-1024</v>
      </c>
      <c r="Z1641" s="118" t="str">
        <f>+VLOOKUP(Agencia[[#This Row],[Filtro Integrado]],Estructura!$I$4:$K$500,3,0)</f>
        <v>FI-1009</v>
      </c>
      <c r="AA1641" s="118" t="str">
        <f>+VLOOKUP(Agencia[[#This Row],[Muestra]],Estructura!$M$4:$O$500,3,0)</f>
        <v>M-1132</v>
      </c>
    </row>
    <row r="1642" spans="1:27" ht="72" x14ac:dyDescent="0.3">
      <c r="A1642" s="21" t="s">
        <v>6112</v>
      </c>
      <c r="B1642" s="9">
        <v>990</v>
      </c>
      <c r="C1642" s="10" t="s">
        <v>401</v>
      </c>
      <c r="D1642" s="10" t="s">
        <v>5641</v>
      </c>
      <c r="E1642" s="19">
        <v>4</v>
      </c>
      <c r="F1642" s="10" t="s">
        <v>5642</v>
      </c>
      <c r="G1642" s="10" t="s">
        <v>5641</v>
      </c>
      <c r="H1642" s="35" t="s">
        <v>16</v>
      </c>
      <c r="I1642" s="36" t="s">
        <v>371</v>
      </c>
      <c r="J1642" s="76" t="s">
        <v>5590</v>
      </c>
      <c r="K1642" s="9" t="s">
        <v>5643</v>
      </c>
      <c r="L1642" s="9" t="s">
        <v>1075</v>
      </c>
      <c r="M1642" s="9" t="s">
        <v>5644</v>
      </c>
      <c r="N1642" s="9" t="s">
        <v>1459</v>
      </c>
      <c r="O1642" s="9" t="s">
        <v>5811</v>
      </c>
      <c r="P1642" s="61"/>
      <c r="Q1642" s="11" t="s">
        <v>821</v>
      </c>
      <c r="R1642" s="9" t="s">
        <v>5812</v>
      </c>
      <c r="S1642" s="62" t="s">
        <v>5651</v>
      </c>
      <c r="T1642" s="72" t="s">
        <v>3749</v>
      </c>
      <c r="U1642" s="50" t="s">
        <v>7574</v>
      </c>
      <c r="V1642" s="118" t="str">
        <f>+Agencia[[#This Row],[idcoleccion]]&amp;"-"&amp;Agencia[[#This Row],[id]]</f>
        <v>990-1631</v>
      </c>
      <c r="W1642" s="118">
        <f>+VLOOKUP(Agencia[[#This Row],[Filtro URL]],Estructura!$X$4:$Y$500,2,0)</f>
        <v>99200004</v>
      </c>
      <c r="X1642" s="118" t="str">
        <f>+VLOOKUP(Agencia[[#This Row],[tema]],Estructura!$A$4:$C$500,3,0)</f>
        <v>T-1071</v>
      </c>
      <c r="Y1642" s="118" t="str">
        <f>+VLOOKUP(Agencia[[#This Row],[contenido]],Estructura!$E$4:$G$500,3,0)</f>
        <v>C-1024</v>
      </c>
      <c r="Z1642" s="118" t="str">
        <f>+VLOOKUP(Agencia[[#This Row],[Filtro Integrado]],Estructura!$I$4:$K$500,3,0)</f>
        <v>FI-1009</v>
      </c>
      <c r="AA1642" s="118" t="str">
        <f>+VLOOKUP(Agencia[[#This Row],[Muestra]],Estructura!$M$4:$O$500,3,0)</f>
        <v>M-1132</v>
      </c>
    </row>
    <row r="1643" spans="1:27" ht="72" x14ac:dyDescent="0.3">
      <c r="A1643" s="21" t="s">
        <v>6113</v>
      </c>
      <c r="B1643" s="9">
        <v>990</v>
      </c>
      <c r="C1643" s="10" t="s">
        <v>401</v>
      </c>
      <c r="D1643" s="10" t="s">
        <v>5641</v>
      </c>
      <c r="E1643" s="19">
        <v>5</v>
      </c>
      <c r="F1643" s="10" t="s">
        <v>5642</v>
      </c>
      <c r="G1643" s="10" t="s">
        <v>5641</v>
      </c>
      <c r="H1643" s="35" t="s">
        <v>16</v>
      </c>
      <c r="I1643" s="36" t="s">
        <v>372</v>
      </c>
      <c r="J1643" s="76" t="s">
        <v>5590</v>
      </c>
      <c r="K1643" s="9" t="s">
        <v>5643</v>
      </c>
      <c r="L1643" s="9" t="s">
        <v>1075</v>
      </c>
      <c r="M1643" s="9" t="s">
        <v>5644</v>
      </c>
      <c r="N1643" s="9" t="s">
        <v>1459</v>
      </c>
      <c r="O1643" s="9" t="s">
        <v>5813</v>
      </c>
      <c r="P1643" s="61"/>
      <c r="Q1643" s="11" t="s">
        <v>821</v>
      </c>
      <c r="R1643" s="9" t="s">
        <v>5814</v>
      </c>
      <c r="S1643" s="62" t="s">
        <v>5652</v>
      </c>
      <c r="T1643" s="72" t="s">
        <v>3758</v>
      </c>
      <c r="U1643" s="50" t="s">
        <v>7575</v>
      </c>
      <c r="V1643" s="118" t="str">
        <f>+Agencia[[#This Row],[idcoleccion]]&amp;"-"&amp;Agencia[[#This Row],[id]]</f>
        <v>990-1632</v>
      </c>
      <c r="W1643" s="118">
        <f>+VLOOKUP(Agencia[[#This Row],[Filtro URL]],Estructura!$X$4:$Y$500,2,0)</f>
        <v>99200005</v>
      </c>
      <c r="X1643" s="118" t="str">
        <f>+VLOOKUP(Agencia[[#This Row],[tema]],Estructura!$A$4:$C$500,3,0)</f>
        <v>T-1071</v>
      </c>
      <c r="Y1643" s="118" t="str">
        <f>+VLOOKUP(Agencia[[#This Row],[contenido]],Estructura!$E$4:$G$500,3,0)</f>
        <v>C-1024</v>
      </c>
      <c r="Z1643" s="118" t="str">
        <f>+VLOOKUP(Agencia[[#This Row],[Filtro Integrado]],Estructura!$I$4:$K$500,3,0)</f>
        <v>FI-1009</v>
      </c>
      <c r="AA1643" s="118" t="str">
        <f>+VLOOKUP(Agencia[[#This Row],[Muestra]],Estructura!$M$4:$O$500,3,0)</f>
        <v>M-1132</v>
      </c>
    </row>
    <row r="1644" spans="1:27" ht="72" x14ac:dyDescent="0.3">
      <c r="A1644" s="21" t="s">
        <v>6114</v>
      </c>
      <c r="B1644" s="9">
        <v>990</v>
      </c>
      <c r="C1644" s="10" t="s">
        <v>401</v>
      </c>
      <c r="D1644" s="10" t="s">
        <v>5641</v>
      </c>
      <c r="E1644" s="19">
        <v>6</v>
      </c>
      <c r="F1644" s="10" t="s">
        <v>5642</v>
      </c>
      <c r="G1644" s="10" t="s">
        <v>5641</v>
      </c>
      <c r="H1644" s="35" t="s">
        <v>16</v>
      </c>
      <c r="I1644" s="36" t="s">
        <v>373</v>
      </c>
      <c r="J1644" s="76" t="s">
        <v>5590</v>
      </c>
      <c r="K1644" s="9" t="s">
        <v>5643</v>
      </c>
      <c r="L1644" s="9" t="s">
        <v>1075</v>
      </c>
      <c r="M1644" s="9" t="s">
        <v>5644</v>
      </c>
      <c r="N1644" s="9" t="s">
        <v>1459</v>
      </c>
      <c r="O1644" s="9" t="s">
        <v>5815</v>
      </c>
      <c r="P1644" s="61"/>
      <c r="Q1644" s="11" t="s">
        <v>821</v>
      </c>
      <c r="R1644" s="9" t="s">
        <v>5816</v>
      </c>
      <c r="S1644" s="62" t="s">
        <v>5653</v>
      </c>
      <c r="T1644" s="72" t="s">
        <v>3756</v>
      </c>
      <c r="U1644" s="50" t="s">
        <v>7576</v>
      </c>
      <c r="V1644" s="118" t="str">
        <f>+Agencia[[#This Row],[idcoleccion]]&amp;"-"&amp;Agencia[[#This Row],[id]]</f>
        <v>990-1633</v>
      </c>
      <c r="W1644" s="118">
        <f>+VLOOKUP(Agencia[[#This Row],[Filtro URL]],Estructura!$X$4:$Y$500,2,0)</f>
        <v>99200006</v>
      </c>
      <c r="X1644" s="118" t="str">
        <f>+VLOOKUP(Agencia[[#This Row],[tema]],Estructura!$A$4:$C$500,3,0)</f>
        <v>T-1071</v>
      </c>
      <c r="Y1644" s="118" t="str">
        <f>+VLOOKUP(Agencia[[#This Row],[contenido]],Estructura!$E$4:$G$500,3,0)</f>
        <v>C-1024</v>
      </c>
      <c r="Z1644" s="118" t="str">
        <f>+VLOOKUP(Agencia[[#This Row],[Filtro Integrado]],Estructura!$I$4:$K$500,3,0)</f>
        <v>FI-1009</v>
      </c>
      <c r="AA1644" s="118" t="str">
        <f>+VLOOKUP(Agencia[[#This Row],[Muestra]],Estructura!$M$4:$O$500,3,0)</f>
        <v>M-1132</v>
      </c>
    </row>
    <row r="1645" spans="1:27" ht="72" x14ac:dyDescent="0.3">
      <c r="A1645" s="21" t="s">
        <v>6115</v>
      </c>
      <c r="B1645" s="9">
        <v>990</v>
      </c>
      <c r="C1645" s="10" t="s">
        <v>401</v>
      </c>
      <c r="D1645" s="10" t="s">
        <v>5641</v>
      </c>
      <c r="E1645" s="19">
        <v>7</v>
      </c>
      <c r="F1645" s="10" t="s">
        <v>5642</v>
      </c>
      <c r="G1645" s="10" t="s">
        <v>5641</v>
      </c>
      <c r="H1645" s="35" t="s">
        <v>16</v>
      </c>
      <c r="I1645" s="36" t="s">
        <v>374</v>
      </c>
      <c r="J1645" s="76" t="s">
        <v>5590</v>
      </c>
      <c r="K1645" s="9" t="s">
        <v>5643</v>
      </c>
      <c r="L1645" s="9" t="s">
        <v>1075</v>
      </c>
      <c r="M1645" s="9" t="s">
        <v>5644</v>
      </c>
      <c r="N1645" s="9" t="s">
        <v>1459</v>
      </c>
      <c r="O1645" s="9" t="s">
        <v>5817</v>
      </c>
      <c r="P1645" s="61"/>
      <c r="Q1645" s="11" t="s">
        <v>821</v>
      </c>
      <c r="R1645" s="9" t="s">
        <v>5818</v>
      </c>
      <c r="S1645" s="62" t="s">
        <v>5654</v>
      </c>
      <c r="T1645" s="72" t="s">
        <v>3754</v>
      </c>
      <c r="U1645" s="50" t="s">
        <v>7577</v>
      </c>
      <c r="V1645" s="118" t="str">
        <f>+Agencia[[#This Row],[idcoleccion]]&amp;"-"&amp;Agencia[[#This Row],[id]]</f>
        <v>990-1634</v>
      </c>
      <c r="W1645" s="118">
        <f>+VLOOKUP(Agencia[[#This Row],[Filtro URL]],Estructura!$X$4:$Y$500,2,0)</f>
        <v>99200007</v>
      </c>
      <c r="X1645" s="118" t="str">
        <f>+VLOOKUP(Agencia[[#This Row],[tema]],Estructura!$A$4:$C$500,3,0)</f>
        <v>T-1071</v>
      </c>
      <c r="Y1645" s="118" t="str">
        <f>+VLOOKUP(Agencia[[#This Row],[contenido]],Estructura!$E$4:$G$500,3,0)</f>
        <v>C-1024</v>
      </c>
      <c r="Z1645" s="118" t="str">
        <f>+VLOOKUP(Agencia[[#This Row],[Filtro Integrado]],Estructura!$I$4:$K$500,3,0)</f>
        <v>FI-1009</v>
      </c>
      <c r="AA1645" s="118" t="str">
        <f>+VLOOKUP(Agencia[[#This Row],[Muestra]],Estructura!$M$4:$O$500,3,0)</f>
        <v>M-1132</v>
      </c>
    </row>
    <row r="1646" spans="1:27" ht="72" x14ac:dyDescent="0.3">
      <c r="A1646" s="21" t="s">
        <v>6116</v>
      </c>
      <c r="B1646" s="9">
        <v>990</v>
      </c>
      <c r="C1646" s="10" t="s">
        <v>401</v>
      </c>
      <c r="D1646" s="10" t="s">
        <v>5641</v>
      </c>
      <c r="E1646" s="19">
        <v>8</v>
      </c>
      <c r="F1646" s="10" t="s">
        <v>5642</v>
      </c>
      <c r="G1646" s="10" t="s">
        <v>5641</v>
      </c>
      <c r="H1646" s="35" t="s">
        <v>16</v>
      </c>
      <c r="I1646" s="36" t="s">
        <v>375</v>
      </c>
      <c r="J1646" s="76" t="s">
        <v>5590</v>
      </c>
      <c r="K1646" s="9" t="s">
        <v>5643</v>
      </c>
      <c r="L1646" s="9" t="s">
        <v>1075</v>
      </c>
      <c r="M1646" s="9" t="s">
        <v>5644</v>
      </c>
      <c r="N1646" s="9" t="s">
        <v>1459</v>
      </c>
      <c r="O1646" s="9" t="s">
        <v>5819</v>
      </c>
      <c r="P1646" s="61"/>
      <c r="Q1646" s="11" t="s">
        <v>821</v>
      </c>
      <c r="R1646" s="9" t="s">
        <v>5820</v>
      </c>
      <c r="S1646" s="62" t="s">
        <v>5655</v>
      </c>
      <c r="T1646" s="72" t="s">
        <v>3759</v>
      </c>
      <c r="U1646" s="50" t="s">
        <v>7578</v>
      </c>
      <c r="V1646" s="118" t="str">
        <f>+Agencia[[#This Row],[idcoleccion]]&amp;"-"&amp;Agencia[[#This Row],[id]]</f>
        <v>990-1635</v>
      </c>
      <c r="W1646" s="118">
        <f>+VLOOKUP(Agencia[[#This Row],[Filtro URL]],Estructura!$X$4:$Y$500,2,0)</f>
        <v>99200008</v>
      </c>
      <c r="X1646" s="118" t="str">
        <f>+VLOOKUP(Agencia[[#This Row],[tema]],Estructura!$A$4:$C$500,3,0)</f>
        <v>T-1071</v>
      </c>
      <c r="Y1646" s="118" t="str">
        <f>+VLOOKUP(Agencia[[#This Row],[contenido]],Estructura!$E$4:$G$500,3,0)</f>
        <v>C-1024</v>
      </c>
      <c r="Z1646" s="118" t="str">
        <f>+VLOOKUP(Agencia[[#This Row],[Filtro Integrado]],Estructura!$I$4:$K$500,3,0)</f>
        <v>FI-1009</v>
      </c>
      <c r="AA1646" s="118" t="str">
        <f>+VLOOKUP(Agencia[[#This Row],[Muestra]],Estructura!$M$4:$O$500,3,0)</f>
        <v>M-1132</v>
      </c>
    </row>
    <row r="1647" spans="1:27" ht="72" x14ac:dyDescent="0.3">
      <c r="A1647" s="21" t="s">
        <v>6117</v>
      </c>
      <c r="B1647" s="9">
        <v>990</v>
      </c>
      <c r="C1647" s="10" t="s">
        <v>401</v>
      </c>
      <c r="D1647" s="10" t="s">
        <v>5641</v>
      </c>
      <c r="E1647" s="19">
        <v>9</v>
      </c>
      <c r="F1647" s="10" t="s">
        <v>5642</v>
      </c>
      <c r="G1647" s="10" t="s">
        <v>5641</v>
      </c>
      <c r="H1647" s="35" t="s">
        <v>16</v>
      </c>
      <c r="I1647" s="36" t="s">
        <v>376</v>
      </c>
      <c r="J1647" s="76" t="s">
        <v>5590</v>
      </c>
      <c r="K1647" s="9" t="s">
        <v>5643</v>
      </c>
      <c r="L1647" s="9" t="s">
        <v>1075</v>
      </c>
      <c r="M1647" s="9" t="s">
        <v>5644</v>
      </c>
      <c r="N1647" s="9" t="s">
        <v>1459</v>
      </c>
      <c r="O1647" s="9" t="s">
        <v>5821</v>
      </c>
      <c r="P1647" s="61"/>
      <c r="Q1647" s="11" t="s">
        <v>821</v>
      </c>
      <c r="R1647" s="9" t="s">
        <v>5822</v>
      </c>
      <c r="S1647" s="62" t="s">
        <v>5656</v>
      </c>
      <c r="T1647" s="72" t="s">
        <v>3750</v>
      </c>
      <c r="U1647" s="50" t="s">
        <v>7579</v>
      </c>
      <c r="V1647" s="118" t="str">
        <f>+Agencia[[#This Row],[idcoleccion]]&amp;"-"&amp;Agencia[[#This Row],[id]]</f>
        <v>990-1636</v>
      </c>
      <c r="W1647" s="118">
        <f>+VLOOKUP(Agencia[[#This Row],[Filtro URL]],Estructura!$X$4:$Y$500,2,0)</f>
        <v>99200009</v>
      </c>
      <c r="X1647" s="118" t="str">
        <f>+VLOOKUP(Agencia[[#This Row],[tema]],Estructura!$A$4:$C$500,3,0)</f>
        <v>T-1071</v>
      </c>
      <c r="Y1647" s="118" t="str">
        <f>+VLOOKUP(Agencia[[#This Row],[contenido]],Estructura!$E$4:$G$500,3,0)</f>
        <v>C-1024</v>
      </c>
      <c r="Z1647" s="118" t="str">
        <f>+VLOOKUP(Agencia[[#This Row],[Filtro Integrado]],Estructura!$I$4:$K$500,3,0)</f>
        <v>FI-1009</v>
      </c>
      <c r="AA1647" s="118" t="str">
        <f>+VLOOKUP(Agencia[[#This Row],[Muestra]],Estructura!$M$4:$O$500,3,0)</f>
        <v>M-1132</v>
      </c>
    </row>
    <row r="1648" spans="1:27" ht="72" x14ac:dyDescent="0.3">
      <c r="A1648" s="21" t="s">
        <v>6118</v>
      </c>
      <c r="B1648" s="9">
        <v>990</v>
      </c>
      <c r="C1648" s="10" t="s">
        <v>401</v>
      </c>
      <c r="D1648" s="10" t="s">
        <v>5641</v>
      </c>
      <c r="E1648" s="19">
        <v>10</v>
      </c>
      <c r="F1648" s="10" t="s">
        <v>5642</v>
      </c>
      <c r="G1648" s="10" t="s">
        <v>5641</v>
      </c>
      <c r="H1648" s="35" t="s">
        <v>16</v>
      </c>
      <c r="I1648" s="36" t="s">
        <v>377</v>
      </c>
      <c r="J1648" s="76" t="s">
        <v>5590</v>
      </c>
      <c r="K1648" s="9" t="s">
        <v>5643</v>
      </c>
      <c r="L1648" s="9" t="s">
        <v>1075</v>
      </c>
      <c r="M1648" s="9" t="s">
        <v>5644</v>
      </c>
      <c r="N1648" s="9" t="s">
        <v>1459</v>
      </c>
      <c r="O1648" s="9" t="s">
        <v>5823</v>
      </c>
      <c r="P1648" s="61"/>
      <c r="Q1648" s="11" t="s">
        <v>821</v>
      </c>
      <c r="R1648" s="9" t="s">
        <v>5824</v>
      </c>
      <c r="S1648" s="62" t="s">
        <v>5657</v>
      </c>
      <c r="T1648" s="72" t="s">
        <v>3751</v>
      </c>
      <c r="U1648" s="50" t="s">
        <v>7580</v>
      </c>
      <c r="V1648" s="118" t="str">
        <f>+Agencia[[#This Row],[idcoleccion]]&amp;"-"&amp;Agencia[[#This Row],[id]]</f>
        <v>990-1637</v>
      </c>
      <c r="W1648" s="118">
        <f>+VLOOKUP(Agencia[[#This Row],[Filtro URL]],Estructura!$X$4:$Y$500,2,0)</f>
        <v>99200010</v>
      </c>
      <c r="X1648" s="118" t="str">
        <f>+VLOOKUP(Agencia[[#This Row],[tema]],Estructura!$A$4:$C$500,3,0)</f>
        <v>T-1071</v>
      </c>
      <c r="Y1648" s="118" t="str">
        <f>+VLOOKUP(Agencia[[#This Row],[contenido]],Estructura!$E$4:$G$500,3,0)</f>
        <v>C-1024</v>
      </c>
      <c r="Z1648" s="118" t="str">
        <f>+VLOOKUP(Agencia[[#This Row],[Filtro Integrado]],Estructura!$I$4:$K$500,3,0)</f>
        <v>FI-1009</v>
      </c>
      <c r="AA1648" s="118" t="str">
        <f>+VLOOKUP(Agencia[[#This Row],[Muestra]],Estructura!$M$4:$O$500,3,0)</f>
        <v>M-1132</v>
      </c>
    </row>
    <row r="1649" spans="1:27" ht="72" x14ac:dyDescent="0.3">
      <c r="A1649" s="21" t="s">
        <v>6119</v>
      </c>
      <c r="B1649" s="9">
        <v>990</v>
      </c>
      <c r="C1649" s="10" t="s">
        <v>401</v>
      </c>
      <c r="D1649" s="10" t="s">
        <v>5641</v>
      </c>
      <c r="E1649" s="19">
        <v>11</v>
      </c>
      <c r="F1649" s="10" t="s">
        <v>5642</v>
      </c>
      <c r="G1649" s="10" t="s">
        <v>5641</v>
      </c>
      <c r="H1649" s="35" t="s">
        <v>16</v>
      </c>
      <c r="I1649" s="36" t="s">
        <v>378</v>
      </c>
      <c r="J1649" s="76" t="s">
        <v>5590</v>
      </c>
      <c r="K1649" s="9" t="s">
        <v>5643</v>
      </c>
      <c r="L1649" s="9" t="s">
        <v>1075</v>
      </c>
      <c r="M1649" s="9" t="s">
        <v>5644</v>
      </c>
      <c r="N1649" s="9" t="s">
        <v>1459</v>
      </c>
      <c r="O1649" s="9" t="s">
        <v>5825</v>
      </c>
      <c r="P1649" s="61"/>
      <c r="Q1649" s="11" t="s">
        <v>821</v>
      </c>
      <c r="R1649" s="9" t="s">
        <v>5826</v>
      </c>
      <c r="S1649" s="62" t="s">
        <v>5658</v>
      </c>
      <c r="T1649" s="72" t="s">
        <v>3748</v>
      </c>
      <c r="U1649" s="50" t="s">
        <v>7581</v>
      </c>
      <c r="V1649" s="118" t="str">
        <f>+Agencia[[#This Row],[idcoleccion]]&amp;"-"&amp;Agencia[[#This Row],[id]]</f>
        <v>990-1638</v>
      </c>
      <c r="W1649" s="118">
        <f>+VLOOKUP(Agencia[[#This Row],[Filtro URL]],Estructura!$X$4:$Y$500,2,0)</f>
        <v>99200011</v>
      </c>
      <c r="X1649" s="118" t="str">
        <f>+VLOOKUP(Agencia[[#This Row],[tema]],Estructura!$A$4:$C$500,3,0)</f>
        <v>T-1071</v>
      </c>
      <c r="Y1649" s="118" t="str">
        <f>+VLOOKUP(Agencia[[#This Row],[contenido]],Estructura!$E$4:$G$500,3,0)</f>
        <v>C-1024</v>
      </c>
      <c r="Z1649" s="118" t="str">
        <f>+VLOOKUP(Agencia[[#This Row],[Filtro Integrado]],Estructura!$I$4:$K$500,3,0)</f>
        <v>FI-1009</v>
      </c>
      <c r="AA1649" s="118" t="str">
        <f>+VLOOKUP(Agencia[[#This Row],[Muestra]],Estructura!$M$4:$O$500,3,0)</f>
        <v>M-1132</v>
      </c>
    </row>
    <row r="1650" spans="1:27" ht="72" x14ac:dyDescent="0.3">
      <c r="A1650" s="21" t="s">
        <v>6120</v>
      </c>
      <c r="B1650" s="9">
        <v>990</v>
      </c>
      <c r="C1650" s="10" t="s">
        <v>401</v>
      </c>
      <c r="D1650" s="10" t="s">
        <v>5641</v>
      </c>
      <c r="E1650" s="19">
        <v>12</v>
      </c>
      <c r="F1650" s="10" t="s">
        <v>5642</v>
      </c>
      <c r="G1650" s="10" t="s">
        <v>5641</v>
      </c>
      <c r="H1650" s="35" t="s">
        <v>16</v>
      </c>
      <c r="I1650" s="36" t="s">
        <v>379</v>
      </c>
      <c r="J1650" s="76" t="s">
        <v>5590</v>
      </c>
      <c r="K1650" s="9" t="s">
        <v>5643</v>
      </c>
      <c r="L1650" s="9" t="s">
        <v>1075</v>
      </c>
      <c r="M1650" s="9" t="s">
        <v>5644</v>
      </c>
      <c r="N1650" s="9" t="s">
        <v>1459</v>
      </c>
      <c r="O1650" s="9" t="s">
        <v>5827</v>
      </c>
      <c r="P1650" s="61"/>
      <c r="Q1650" s="11" t="s">
        <v>821</v>
      </c>
      <c r="R1650" s="9" t="s">
        <v>5828</v>
      </c>
      <c r="S1650" s="62" t="s">
        <v>5659</v>
      </c>
      <c r="T1650" s="72" t="s">
        <v>3753</v>
      </c>
      <c r="U1650" s="50" t="s">
        <v>7582</v>
      </c>
      <c r="V1650" s="118" t="str">
        <f>+Agencia[[#This Row],[idcoleccion]]&amp;"-"&amp;Agencia[[#This Row],[id]]</f>
        <v>990-1639</v>
      </c>
      <c r="W1650" s="118">
        <f>+VLOOKUP(Agencia[[#This Row],[Filtro URL]],Estructura!$X$4:$Y$500,2,0)</f>
        <v>99200012</v>
      </c>
      <c r="X1650" s="118" t="str">
        <f>+VLOOKUP(Agencia[[#This Row],[tema]],Estructura!$A$4:$C$500,3,0)</f>
        <v>T-1071</v>
      </c>
      <c r="Y1650" s="118" t="str">
        <f>+VLOOKUP(Agencia[[#This Row],[contenido]],Estructura!$E$4:$G$500,3,0)</f>
        <v>C-1024</v>
      </c>
      <c r="Z1650" s="118" t="str">
        <f>+VLOOKUP(Agencia[[#This Row],[Filtro Integrado]],Estructura!$I$4:$K$500,3,0)</f>
        <v>FI-1009</v>
      </c>
      <c r="AA1650" s="118" t="str">
        <f>+VLOOKUP(Agencia[[#This Row],[Muestra]],Estructura!$M$4:$O$500,3,0)</f>
        <v>M-1132</v>
      </c>
    </row>
    <row r="1651" spans="1:27" ht="72" x14ac:dyDescent="0.3">
      <c r="A1651" s="21" t="s">
        <v>6121</v>
      </c>
      <c r="B1651" s="9">
        <v>990</v>
      </c>
      <c r="C1651" s="10" t="s">
        <v>401</v>
      </c>
      <c r="D1651" s="10" t="s">
        <v>5641</v>
      </c>
      <c r="E1651" s="19">
        <v>13</v>
      </c>
      <c r="F1651" s="10" t="s">
        <v>5642</v>
      </c>
      <c r="G1651" s="10" t="s">
        <v>5641</v>
      </c>
      <c r="H1651" s="35" t="s">
        <v>16</v>
      </c>
      <c r="I1651" s="36" t="s">
        <v>380</v>
      </c>
      <c r="J1651" s="76" t="s">
        <v>5590</v>
      </c>
      <c r="K1651" s="9" t="s">
        <v>5643</v>
      </c>
      <c r="L1651" s="9" t="s">
        <v>1075</v>
      </c>
      <c r="M1651" s="9" t="s">
        <v>5644</v>
      </c>
      <c r="N1651" s="9" t="s">
        <v>1459</v>
      </c>
      <c r="O1651" s="9" t="s">
        <v>5829</v>
      </c>
      <c r="P1651" s="61"/>
      <c r="Q1651" s="11" t="s">
        <v>821</v>
      </c>
      <c r="R1651" s="9" t="s">
        <v>5830</v>
      </c>
      <c r="S1651" s="62" t="s">
        <v>5660</v>
      </c>
      <c r="T1651" s="72" t="s">
        <v>3760</v>
      </c>
      <c r="U1651" s="50" t="s">
        <v>7583</v>
      </c>
      <c r="V1651" s="118" t="str">
        <f>+Agencia[[#This Row],[idcoleccion]]&amp;"-"&amp;Agencia[[#This Row],[id]]</f>
        <v>990-1640</v>
      </c>
      <c r="W1651" s="118">
        <f>+VLOOKUP(Agencia[[#This Row],[Filtro URL]],Estructura!$X$4:$Y$500,2,0)</f>
        <v>99200013</v>
      </c>
      <c r="X1651" s="118" t="str">
        <f>+VLOOKUP(Agencia[[#This Row],[tema]],Estructura!$A$4:$C$500,3,0)</f>
        <v>T-1071</v>
      </c>
      <c r="Y1651" s="118" t="str">
        <f>+VLOOKUP(Agencia[[#This Row],[contenido]],Estructura!$E$4:$G$500,3,0)</f>
        <v>C-1024</v>
      </c>
      <c r="Z1651" s="118" t="str">
        <f>+VLOOKUP(Agencia[[#This Row],[Filtro Integrado]],Estructura!$I$4:$K$500,3,0)</f>
        <v>FI-1009</v>
      </c>
      <c r="AA1651" s="118" t="str">
        <f>+VLOOKUP(Agencia[[#This Row],[Muestra]],Estructura!$M$4:$O$500,3,0)</f>
        <v>M-1132</v>
      </c>
    </row>
    <row r="1652" spans="1:27" ht="72" x14ac:dyDescent="0.3">
      <c r="A1652" s="21" t="s">
        <v>6122</v>
      </c>
      <c r="B1652" s="9">
        <v>990</v>
      </c>
      <c r="C1652" s="10" t="s">
        <v>401</v>
      </c>
      <c r="D1652" s="10" t="s">
        <v>5641</v>
      </c>
      <c r="E1652" s="19">
        <v>14</v>
      </c>
      <c r="F1652" s="10" t="s">
        <v>5642</v>
      </c>
      <c r="G1652" s="10" t="s">
        <v>5641</v>
      </c>
      <c r="H1652" s="35" t="s">
        <v>16</v>
      </c>
      <c r="I1652" s="36" t="s">
        <v>381</v>
      </c>
      <c r="J1652" s="76" t="s">
        <v>5590</v>
      </c>
      <c r="K1652" s="9" t="s">
        <v>5643</v>
      </c>
      <c r="L1652" s="9" t="s">
        <v>1075</v>
      </c>
      <c r="M1652" s="9" t="s">
        <v>5644</v>
      </c>
      <c r="N1652" s="9" t="s">
        <v>1459</v>
      </c>
      <c r="O1652" s="9" t="s">
        <v>5831</v>
      </c>
      <c r="P1652" s="61"/>
      <c r="Q1652" s="11" t="s">
        <v>821</v>
      </c>
      <c r="R1652" s="9" t="s">
        <v>5832</v>
      </c>
      <c r="S1652" s="62" t="s">
        <v>5661</v>
      </c>
      <c r="T1652" s="72" t="s">
        <v>3752</v>
      </c>
      <c r="U1652" s="50" t="s">
        <v>7584</v>
      </c>
      <c r="V1652" s="118" t="str">
        <f>+Agencia[[#This Row],[idcoleccion]]&amp;"-"&amp;Agencia[[#This Row],[id]]</f>
        <v>990-1641</v>
      </c>
      <c r="W1652" s="118">
        <f>+VLOOKUP(Agencia[[#This Row],[Filtro URL]],Estructura!$X$4:$Y$500,2,0)</f>
        <v>99200014</v>
      </c>
      <c r="X1652" s="118" t="str">
        <f>+VLOOKUP(Agencia[[#This Row],[tema]],Estructura!$A$4:$C$500,3,0)</f>
        <v>T-1071</v>
      </c>
      <c r="Y1652" s="118" t="str">
        <f>+VLOOKUP(Agencia[[#This Row],[contenido]],Estructura!$E$4:$G$500,3,0)</f>
        <v>C-1024</v>
      </c>
      <c r="Z1652" s="118" t="str">
        <f>+VLOOKUP(Agencia[[#This Row],[Filtro Integrado]],Estructura!$I$4:$K$500,3,0)</f>
        <v>FI-1009</v>
      </c>
      <c r="AA1652" s="118" t="str">
        <f>+VLOOKUP(Agencia[[#This Row],[Muestra]],Estructura!$M$4:$O$500,3,0)</f>
        <v>M-1132</v>
      </c>
    </row>
    <row r="1653" spans="1:27" ht="72" x14ac:dyDescent="0.3">
      <c r="A1653" s="21" t="s">
        <v>6123</v>
      </c>
      <c r="B1653" s="9">
        <v>990</v>
      </c>
      <c r="C1653" s="10" t="s">
        <v>401</v>
      </c>
      <c r="D1653" s="10" t="s">
        <v>5641</v>
      </c>
      <c r="E1653" s="19">
        <v>15</v>
      </c>
      <c r="F1653" s="10" t="s">
        <v>5642</v>
      </c>
      <c r="G1653" s="10" t="s">
        <v>5641</v>
      </c>
      <c r="H1653" s="35" t="s">
        <v>16</v>
      </c>
      <c r="I1653" s="36" t="s">
        <v>382</v>
      </c>
      <c r="J1653" s="76" t="s">
        <v>5590</v>
      </c>
      <c r="K1653" s="9" t="s">
        <v>5643</v>
      </c>
      <c r="L1653" s="9" t="s">
        <v>1075</v>
      </c>
      <c r="M1653" s="9" t="s">
        <v>5644</v>
      </c>
      <c r="N1653" s="9" t="s">
        <v>1459</v>
      </c>
      <c r="O1653" s="9" t="s">
        <v>5833</v>
      </c>
      <c r="P1653" s="61"/>
      <c r="Q1653" s="11" t="s">
        <v>821</v>
      </c>
      <c r="R1653" s="9" t="s">
        <v>5834</v>
      </c>
      <c r="S1653" s="62" t="s">
        <v>5662</v>
      </c>
      <c r="T1653" s="72" t="s">
        <v>3746</v>
      </c>
      <c r="U1653" s="50" t="s">
        <v>7585</v>
      </c>
      <c r="V1653" s="118" t="str">
        <f>+Agencia[[#This Row],[idcoleccion]]&amp;"-"&amp;Agencia[[#This Row],[id]]</f>
        <v>990-1642</v>
      </c>
      <c r="W1653" s="118">
        <f>+VLOOKUP(Agencia[[#This Row],[Filtro URL]],Estructura!$X$4:$Y$500,2,0)</f>
        <v>99200015</v>
      </c>
      <c r="X1653" s="118" t="str">
        <f>+VLOOKUP(Agencia[[#This Row],[tema]],Estructura!$A$4:$C$500,3,0)</f>
        <v>T-1071</v>
      </c>
      <c r="Y1653" s="118" t="str">
        <f>+VLOOKUP(Agencia[[#This Row],[contenido]],Estructura!$E$4:$G$500,3,0)</f>
        <v>C-1024</v>
      </c>
      <c r="Z1653" s="118" t="str">
        <f>+VLOOKUP(Agencia[[#This Row],[Filtro Integrado]],Estructura!$I$4:$K$500,3,0)</f>
        <v>FI-1009</v>
      </c>
      <c r="AA1653" s="118" t="str">
        <f>+VLOOKUP(Agencia[[#This Row],[Muestra]],Estructura!$M$4:$O$500,3,0)</f>
        <v>M-1132</v>
      </c>
    </row>
    <row r="1654" spans="1:27" ht="72" x14ac:dyDescent="0.3">
      <c r="A1654" s="21" t="s">
        <v>6124</v>
      </c>
      <c r="B1654" s="9">
        <v>990</v>
      </c>
      <c r="C1654" s="10" t="s">
        <v>401</v>
      </c>
      <c r="D1654" s="10" t="s">
        <v>5641</v>
      </c>
      <c r="E1654" s="19">
        <v>16</v>
      </c>
      <c r="F1654" s="10" t="s">
        <v>5642</v>
      </c>
      <c r="G1654" s="10" t="s">
        <v>5641</v>
      </c>
      <c r="H1654" s="35" t="s">
        <v>16</v>
      </c>
      <c r="I1654" s="36" t="s">
        <v>383</v>
      </c>
      <c r="J1654" s="76" t="s">
        <v>5590</v>
      </c>
      <c r="K1654" s="9" t="s">
        <v>5643</v>
      </c>
      <c r="L1654" s="9" t="s">
        <v>1075</v>
      </c>
      <c r="M1654" s="9" t="s">
        <v>5644</v>
      </c>
      <c r="N1654" s="9" t="s">
        <v>1459</v>
      </c>
      <c r="O1654" s="9" t="s">
        <v>5835</v>
      </c>
      <c r="P1654" s="61"/>
      <c r="Q1654" s="11" t="s">
        <v>821</v>
      </c>
      <c r="R1654" s="9" t="s">
        <v>5836</v>
      </c>
      <c r="S1654" s="62" t="s">
        <v>5663</v>
      </c>
      <c r="T1654" s="72" t="s">
        <v>3755</v>
      </c>
      <c r="U1654" s="50" t="s">
        <v>7586</v>
      </c>
      <c r="V1654" s="118" t="str">
        <f>+Agencia[[#This Row],[idcoleccion]]&amp;"-"&amp;Agencia[[#This Row],[id]]</f>
        <v>990-1643</v>
      </c>
      <c r="W1654" s="118">
        <f>+VLOOKUP(Agencia[[#This Row],[Filtro URL]],Estructura!$X$4:$Y$500,2,0)</f>
        <v>99200016</v>
      </c>
      <c r="X1654" s="118" t="str">
        <f>+VLOOKUP(Agencia[[#This Row],[tema]],Estructura!$A$4:$C$500,3,0)</f>
        <v>T-1071</v>
      </c>
      <c r="Y1654" s="118" t="str">
        <f>+VLOOKUP(Agencia[[#This Row],[contenido]],Estructura!$E$4:$G$500,3,0)</f>
        <v>C-1024</v>
      </c>
      <c r="Z1654" s="118" t="str">
        <f>+VLOOKUP(Agencia[[#This Row],[Filtro Integrado]],Estructura!$I$4:$K$500,3,0)</f>
        <v>FI-1009</v>
      </c>
      <c r="AA1654" s="118" t="str">
        <f>+VLOOKUP(Agencia[[#This Row],[Muestra]],Estructura!$M$4:$O$500,3,0)</f>
        <v>M-1132</v>
      </c>
    </row>
    <row r="1655" spans="1:27" ht="72" x14ac:dyDescent="0.3">
      <c r="A1655" s="21" t="s">
        <v>6125</v>
      </c>
      <c r="B1655" s="9">
        <v>990</v>
      </c>
      <c r="C1655" s="10" t="s">
        <v>401</v>
      </c>
      <c r="D1655" s="10" t="s">
        <v>5641</v>
      </c>
      <c r="E1655" s="14">
        <v>0</v>
      </c>
      <c r="F1655" s="10" t="s">
        <v>5664</v>
      </c>
      <c r="G1655" s="10" t="s">
        <v>5641</v>
      </c>
      <c r="H1655" s="33" t="s">
        <v>20</v>
      </c>
      <c r="I1655" s="34" t="s">
        <v>15</v>
      </c>
      <c r="J1655" s="76" t="s">
        <v>5610</v>
      </c>
      <c r="K1655" s="9" t="s">
        <v>5665</v>
      </c>
      <c r="L1655" s="9" t="s">
        <v>1075</v>
      </c>
      <c r="M1655" s="9" t="s">
        <v>1594</v>
      </c>
      <c r="N1655" s="9" t="s">
        <v>1459</v>
      </c>
      <c r="O1655" s="9" t="s">
        <v>5666</v>
      </c>
      <c r="P1655" s="9" t="s">
        <v>5667</v>
      </c>
      <c r="Q1655" s="11" t="s">
        <v>821</v>
      </c>
      <c r="R1655" s="9" t="s">
        <v>5668</v>
      </c>
      <c r="S1655" s="62" t="s">
        <v>5669</v>
      </c>
      <c r="T1655" s="72" t="s">
        <v>855</v>
      </c>
      <c r="U1655" s="50" t="s">
        <v>7587</v>
      </c>
      <c r="V1655" s="118" t="str">
        <f>+Agencia[[#This Row],[idcoleccion]]&amp;"-"&amp;Agencia[[#This Row],[id]]</f>
        <v>990-1644</v>
      </c>
      <c r="W1655" s="118">
        <f>+VLOOKUP(Agencia[[#This Row],[Filtro URL]],Estructura!$X$4:$Y$500,2,0)</f>
        <v>99100000</v>
      </c>
      <c r="X1655" s="118" t="str">
        <f>+VLOOKUP(Agencia[[#This Row],[tema]],Estructura!$A$4:$C$500,3,0)</f>
        <v>T-1072</v>
      </c>
      <c r="Y1655" s="118" t="str">
        <f>+VLOOKUP(Agencia[[#This Row],[contenido]],Estructura!$E$4:$G$500,3,0)</f>
        <v>C-1024</v>
      </c>
      <c r="Z1655" s="118" t="str">
        <f>+VLOOKUP(Agencia[[#This Row],[Filtro Integrado]],Estructura!$I$4:$K$500,3,0)</f>
        <v>FI-1010</v>
      </c>
      <c r="AA1655" s="118" t="str">
        <f>+VLOOKUP(Agencia[[#This Row],[Muestra]],Estructura!$M$4:$O$500,3,0)</f>
        <v>M-1133</v>
      </c>
    </row>
    <row r="1656" spans="1:27" ht="72" x14ac:dyDescent="0.3">
      <c r="A1656" s="21" t="s">
        <v>6126</v>
      </c>
      <c r="B1656" s="9">
        <v>990</v>
      </c>
      <c r="C1656" s="10" t="s">
        <v>401</v>
      </c>
      <c r="D1656" s="10" t="s">
        <v>5641</v>
      </c>
      <c r="E1656" s="19">
        <v>1</v>
      </c>
      <c r="F1656" s="10" t="s">
        <v>5664</v>
      </c>
      <c r="G1656" s="10" t="s">
        <v>5641</v>
      </c>
      <c r="H1656" s="35" t="s">
        <v>16</v>
      </c>
      <c r="I1656" s="36" t="s">
        <v>368</v>
      </c>
      <c r="J1656" s="76" t="s">
        <v>5590</v>
      </c>
      <c r="K1656" s="9" t="s">
        <v>5665</v>
      </c>
      <c r="L1656" s="9" t="s">
        <v>1075</v>
      </c>
      <c r="M1656" s="9" t="s">
        <v>1594</v>
      </c>
      <c r="N1656" s="9" t="s">
        <v>1459</v>
      </c>
      <c r="O1656" s="9" t="s">
        <v>5837</v>
      </c>
      <c r="P1656" s="61"/>
      <c r="Q1656" s="11" t="s">
        <v>821</v>
      </c>
      <c r="R1656" s="9" t="s">
        <v>5838</v>
      </c>
      <c r="S1656" s="62" t="s">
        <v>5670</v>
      </c>
      <c r="T1656" s="74" t="s">
        <v>3757</v>
      </c>
      <c r="U1656" s="50" t="s">
        <v>7588</v>
      </c>
      <c r="V1656" s="118" t="str">
        <f>+Agencia[[#This Row],[idcoleccion]]&amp;"-"&amp;Agencia[[#This Row],[id]]</f>
        <v>990-1645</v>
      </c>
      <c r="W1656" s="118">
        <f>+VLOOKUP(Agencia[[#This Row],[Filtro URL]],Estructura!$X$4:$Y$500,2,0)</f>
        <v>99200001</v>
      </c>
      <c r="X1656" s="118" t="str">
        <f>+VLOOKUP(Agencia[[#This Row],[tema]],Estructura!$A$4:$C$500,3,0)</f>
        <v>T-1072</v>
      </c>
      <c r="Y1656" s="118" t="str">
        <f>+VLOOKUP(Agencia[[#This Row],[contenido]],Estructura!$E$4:$G$500,3,0)</f>
        <v>C-1024</v>
      </c>
      <c r="Z1656" s="118" t="str">
        <f>+VLOOKUP(Agencia[[#This Row],[Filtro Integrado]],Estructura!$I$4:$K$500,3,0)</f>
        <v>FI-1009</v>
      </c>
      <c r="AA1656" s="118" t="str">
        <f>+VLOOKUP(Agencia[[#This Row],[Muestra]],Estructura!$M$4:$O$500,3,0)</f>
        <v>M-1133</v>
      </c>
    </row>
    <row r="1657" spans="1:27" ht="72" x14ac:dyDescent="0.3">
      <c r="A1657" s="21" t="s">
        <v>6127</v>
      </c>
      <c r="B1657" s="9">
        <v>990</v>
      </c>
      <c r="C1657" s="10" t="s">
        <v>401</v>
      </c>
      <c r="D1657" s="10" t="s">
        <v>5641</v>
      </c>
      <c r="E1657" s="19">
        <v>2</v>
      </c>
      <c r="F1657" s="10" t="s">
        <v>5664</v>
      </c>
      <c r="G1657" s="10" t="s">
        <v>5641</v>
      </c>
      <c r="H1657" s="35" t="s">
        <v>16</v>
      </c>
      <c r="I1657" s="36" t="s">
        <v>369</v>
      </c>
      <c r="J1657" s="76" t="s">
        <v>5590</v>
      </c>
      <c r="K1657" s="9" t="s">
        <v>5665</v>
      </c>
      <c r="L1657" s="9" t="s">
        <v>1075</v>
      </c>
      <c r="M1657" s="9" t="s">
        <v>1594</v>
      </c>
      <c r="N1657" s="9" t="s">
        <v>1459</v>
      </c>
      <c r="O1657" s="9" t="s">
        <v>5839</v>
      </c>
      <c r="P1657" s="61"/>
      <c r="Q1657" s="11" t="s">
        <v>821</v>
      </c>
      <c r="R1657" s="9" t="s">
        <v>5840</v>
      </c>
      <c r="S1657" s="62" t="s">
        <v>5671</v>
      </c>
      <c r="T1657" s="74" t="s">
        <v>3745</v>
      </c>
      <c r="U1657" s="50" t="s">
        <v>7589</v>
      </c>
      <c r="V1657" s="118" t="str">
        <f>+Agencia[[#This Row],[idcoleccion]]&amp;"-"&amp;Agencia[[#This Row],[id]]</f>
        <v>990-1646</v>
      </c>
      <c r="W1657" s="118">
        <f>+VLOOKUP(Agencia[[#This Row],[Filtro URL]],Estructura!$X$4:$Y$500,2,0)</f>
        <v>99200002</v>
      </c>
      <c r="X1657" s="118" t="str">
        <f>+VLOOKUP(Agencia[[#This Row],[tema]],Estructura!$A$4:$C$500,3,0)</f>
        <v>T-1072</v>
      </c>
      <c r="Y1657" s="118" t="str">
        <f>+VLOOKUP(Agencia[[#This Row],[contenido]],Estructura!$E$4:$G$500,3,0)</f>
        <v>C-1024</v>
      </c>
      <c r="Z1657" s="118" t="str">
        <f>+VLOOKUP(Agencia[[#This Row],[Filtro Integrado]],Estructura!$I$4:$K$500,3,0)</f>
        <v>FI-1009</v>
      </c>
      <c r="AA1657" s="118" t="str">
        <f>+VLOOKUP(Agencia[[#This Row],[Muestra]],Estructura!$M$4:$O$500,3,0)</f>
        <v>M-1133</v>
      </c>
    </row>
    <row r="1658" spans="1:27" ht="72" x14ac:dyDescent="0.3">
      <c r="A1658" s="21" t="s">
        <v>6128</v>
      </c>
      <c r="B1658" s="9">
        <v>990</v>
      </c>
      <c r="C1658" s="10" t="s">
        <v>401</v>
      </c>
      <c r="D1658" s="10" t="s">
        <v>5641</v>
      </c>
      <c r="E1658" s="19">
        <v>3</v>
      </c>
      <c r="F1658" s="10" t="s">
        <v>5664</v>
      </c>
      <c r="G1658" s="10" t="s">
        <v>5641</v>
      </c>
      <c r="H1658" s="35" t="s">
        <v>16</v>
      </c>
      <c r="I1658" s="36" t="s">
        <v>370</v>
      </c>
      <c r="J1658" s="76" t="s">
        <v>5590</v>
      </c>
      <c r="K1658" s="9" t="s">
        <v>5665</v>
      </c>
      <c r="L1658" s="9" t="s">
        <v>1075</v>
      </c>
      <c r="M1658" s="9" t="s">
        <v>1594</v>
      </c>
      <c r="N1658" s="9" t="s">
        <v>1459</v>
      </c>
      <c r="O1658" s="9" t="s">
        <v>5841</v>
      </c>
      <c r="P1658" s="61"/>
      <c r="Q1658" s="11" t="s">
        <v>821</v>
      </c>
      <c r="R1658" s="9" t="s">
        <v>5842</v>
      </c>
      <c r="S1658" s="62" t="s">
        <v>5672</v>
      </c>
      <c r="T1658" s="74" t="s">
        <v>3747</v>
      </c>
      <c r="U1658" s="50" t="s">
        <v>7590</v>
      </c>
      <c r="V1658" s="118" t="str">
        <f>+Agencia[[#This Row],[idcoleccion]]&amp;"-"&amp;Agencia[[#This Row],[id]]</f>
        <v>990-1647</v>
      </c>
      <c r="W1658" s="118">
        <f>+VLOOKUP(Agencia[[#This Row],[Filtro URL]],Estructura!$X$4:$Y$500,2,0)</f>
        <v>99200003</v>
      </c>
      <c r="X1658" s="118" t="str">
        <f>+VLOOKUP(Agencia[[#This Row],[tema]],Estructura!$A$4:$C$500,3,0)</f>
        <v>T-1072</v>
      </c>
      <c r="Y1658" s="118" t="str">
        <f>+VLOOKUP(Agencia[[#This Row],[contenido]],Estructura!$E$4:$G$500,3,0)</f>
        <v>C-1024</v>
      </c>
      <c r="Z1658" s="118" t="str">
        <f>+VLOOKUP(Agencia[[#This Row],[Filtro Integrado]],Estructura!$I$4:$K$500,3,0)</f>
        <v>FI-1009</v>
      </c>
      <c r="AA1658" s="118" t="str">
        <f>+VLOOKUP(Agencia[[#This Row],[Muestra]],Estructura!$M$4:$O$500,3,0)</f>
        <v>M-1133</v>
      </c>
    </row>
    <row r="1659" spans="1:27" ht="72" x14ac:dyDescent="0.3">
      <c r="A1659" s="21" t="s">
        <v>6129</v>
      </c>
      <c r="B1659" s="9">
        <v>990</v>
      </c>
      <c r="C1659" s="10" t="s">
        <v>401</v>
      </c>
      <c r="D1659" s="10" t="s">
        <v>5641</v>
      </c>
      <c r="E1659" s="19">
        <v>4</v>
      </c>
      <c r="F1659" s="10" t="s">
        <v>5664</v>
      </c>
      <c r="G1659" s="10" t="s">
        <v>5641</v>
      </c>
      <c r="H1659" s="35" t="s">
        <v>16</v>
      </c>
      <c r="I1659" s="36" t="s">
        <v>371</v>
      </c>
      <c r="J1659" s="76" t="s">
        <v>5590</v>
      </c>
      <c r="K1659" s="9" t="s">
        <v>5665</v>
      </c>
      <c r="L1659" s="9" t="s">
        <v>1075</v>
      </c>
      <c r="M1659" s="9" t="s">
        <v>1594</v>
      </c>
      <c r="N1659" s="9" t="s">
        <v>1459</v>
      </c>
      <c r="O1659" s="9" t="s">
        <v>5843</v>
      </c>
      <c r="P1659" s="61"/>
      <c r="Q1659" s="11" t="s">
        <v>821</v>
      </c>
      <c r="R1659" s="9" t="s">
        <v>5844</v>
      </c>
      <c r="S1659" s="62" t="s">
        <v>5673</v>
      </c>
      <c r="T1659" s="74" t="s">
        <v>3749</v>
      </c>
      <c r="U1659" s="50" t="s">
        <v>7591</v>
      </c>
      <c r="V1659" s="118" t="str">
        <f>+Agencia[[#This Row],[idcoleccion]]&amp;"-"&amp;Agencia[[#This Row],[id]]</f>
        <v>990-1648</v>
      </c>
      <c r="W1659" s="118">
        <f>+VLOOKUP(Agencia[[#This Row],[Filtro URL]],Estructura!$X$4:$Y$500,2,0)</f>
        <v>99200004</v>
      </c>
      <c r="X1659" s="118" t="str">
        <f>+VLOOKUP(Agencia[[#This Row],[tema]],Estructura!$A$4:$C$500,3,0)</f>
        <v>T-1072</v>
      </c>
      <c r="Y1659" s="118" t="str">
        <f>+VLOOKUP(Agencia[[#This Row],[contenido]],Estructura!$E$4:$G$500,3,0)</f>
        <v>C-1024</v>
      </c>
      <c r="Z1659" s="118" t="str">
        <f>+VLOOKUP(Agencia[[#This Row],[Filtro Integrado]],Estructura!$I$4:$K$500,3,0)</f>
        <v>FI-1009</v>
      </c>
      <c r="AA1659" s="118" t="str">
        <f>+VLOOKUP(Agencia[[#This Row],[Muestra]],Estructura!$M$4:$O$500,3,0)</f>
        <v>M-1133</v>
      </c>
    </row>
    <row r="1660" spans="1:27" ht="72" x14ac:dyDescent="0.3">
      <c r="A1660" s="21" t="s">
        <v>6130</v>
      </c>
      <c r="B1660" s="9">
        <v>990</v>
      </c>
      <c r="C1660" s="10" t="s">
        <v>401</v>
      </c>
      <c r="D1660" s="10" t="s">
        <v>5641</v>
      </c>
      <c r="E1660" s="19">
        <v>5</v>
      </c>
      <c r="F1660" s="10" t="s">
        <v>5664</v>
      </c>
      <c r="G1660" s="10" t="s">
        <v>5641</v>
      </c>
      <c r="H1660" s="35" t="s">
        <v>16</v>
      </c>
      <c r="I1660" s="36" t="s">
        <v>372</v>
      </c>
      <c r="J1660" s="76" t="s">
        <v>5590</v>
      </c>
      <c r="K1660" s="9" t="s">
        <v>5665</v>
      </c>
      <c r="L1660" s="9" t="s">
        <v>1075</v>
      </c>
      <c r="M1660" s="9" t="s">
        <v>1594</v>
      </c>
      <c r="N1660" s="9" t="s">
        <v>1459</v>
      </c>
      <c r="O1660" s="9" t="s">
        <v>5845</v>
      </c>
      <c r="P1660" s="61"/>
      <c r="Q1660" s="11" t="s">
        <v>821</v>
      </c>
      <c r="R1660" s="9" t="s">
        <v>5846</v>
      </c>
      <c r="S1660" s="62" t="s">
        <v>5674</v>
      </c>
      <c r="T1660" s="74" t="s">
        <v>3758</v>
      </c>
      <c r="U1660" s="50" t="s">
        <v>7592</v>
      </c>
      <c r="V1660" s="118" t="str">
        <f>+Agencia[[#This Row],[idcoleccion]]&amp;"-"&amp;Agencia[[#This Row],[id]]</f>
        <v>990-1649</v>
      </c>
      <c r="W1660" s="118">
        <f>+VLOOKUP(Agencia[[#This Row],[Filtro URL]],Estructura!$X$4:$Y$500,2,0)</f>
        <v>99200005</v>
      </c>
      <c r="X1660" s="118" t="str">
        <f>+VLOOKUP(Agencia[[#This Row],[tema]],Estructura!$A$4:$C$500,3,0)</f>
        <v>T-1072</v>
      </c>
      <c r="Y1660" s="118" t="str">
        <f>+VLOOKUP(Agencia[[#This Row],[contenido]],Estructura!$E$4:$G$500,3,0)</f>
        <v>C-1024</v>
      </c>
      <c r="Z1660" s="118" t="str">
        <f>+VLOOKUP(Agencia[[#This Row],[Filtro Integrado]],Estructura!$I$4:$K$500,3,0)</f>
        <v>FI-1009</v>
      </c>
      <c r="AA1660" s="118" t="str">
        <f>+VLOOKUP(Agencia[[#This Row],[Muestra]],Estructura!$M$4:$O$500,3,0)</f>
        <v>M-1133</v>
      </c>
    </row>
    <row r="1661" spans="1:27" ht="72" x14ac:dyDescent="0.3">
      <c r="A1661" s="21" t="s">
        <v>6131</v>
      </c>
      <c r="B1661" s="9">
        <v>990</v>
      </c>
      <c r="C1661" s="10" t="s">
        <v>401</v>
      </c>
      <c r="D1661" s="10" t="s">
        <v>5641</v>
      </c>
      <c r="E1661" s="19">
        <v>6</v>
      </c>
      <c r="F1661" s="10" t="s">
        <v>5664</v>
      </c>
      <c r="G1661" s="10" t="s">
        <v>5641</v>
      </c>
      <c r="H1661" s="35" t="s">
        <v>16</v>
      </c>
      <c r="I1661" s="36" t="s">
        <v>373</v>
      </c>
      <c r="J1661" s="76" t="s">
        <v>5590</v>
      </c>
      <c r="K1661" s="9" t="s">
        <v>5665</v>
      </c>
      <c r="L1661" s="9" t="s">
        <v>1075</v>
      </c>
      <c r="M1661" s="9" t="s">
        <v>1594</v>
      </c>
      <c r="N1661" s="9" t="s">
        <v>1459</v>
      </c>
      <c r="O1661" s="9" t="s">
        <v>5847</v>
      </c>
      <c r="P1661" s="61"/>
      <c r="Q1661" s="11" t="s">
        <v>821</v>
      </c>
      <c r="R1661" s="9" t="s">
        <v>5848</v>
      </c>
      <c r="S1661" s="62" t="s">
        <v>5675</v>
      </c>
      <c r="T1661" s="74" t="s">
        <v>3756</v>
      </c>
      <c r="U1661" s="50" t="s">
        <v>7593</v>
      </c>
      <c r="V1661" s="118" t="str">
        <f>+Agencia[[#This Row],[idcoleccion]]&amp;"-"&amp;Agencia[[#This Row],[id]]</f>
        <v>990-1650</v>
      </c>
      <c r="W1661" s="118">
        <f>+VLOOKUP(Agencia[[#This Row],[Filtro URL]],Estructura!$X$4:$Y$500,2,0)</f>
        <v>99200006</v>
      </c>
      <c r="X1661" s="118" t="str">
        <f>+VLOOKUP(Agencia[[#This Row],[tema]],Estructura!$A$4:$C$500,3,0)</f>
        <v>T-1072</v>
      </c>
      <c r="Y1661" s="118" t="str">
        <f>+VLOOKUP(Agencia[[#This Row],[contenido]],Estructura!$E$4:$G$500,3,0)</f>
        <v>C-1024</v>
      </c>
      <c r="Z1661" s="118" t="str">
        <f>+VLOOKUP(Agencia[[#This Row],[Filtro Integrado]],Estructura!$I$4:$K$500,3,0)</f>
        <v>FI-1009</v>
      </c>
      <c r="AA1661" s="118" t="str">
        <f>+VLOOKUP(Agencia[[#This Row],[Muestra]],Estructura!$M$4:$O$500,3,0)</f>
        <v>M-1133</v>
      </c>
    </row>
    <row r="1662" spans="1:27" ht="72" x14ac:dyDescent="0.3">
      <c r="A1662" s="21" t="s">
        <v>6132</v>
      </c>
      <c r="B1662" s="9">
        <v>990</v>
      </c>
      <c r="C1662" s="10" t="s">
        <v>401</v>
      </c>
      <c r="D1662" s="10" t="s">
        <v>5641</v>
      </c>
      <c r="E1662" s="19">
        <v>7</v>
      </c>
      <c r="F1662" s="10" t="s">
        <v>5664</v>
      </c>
      <c r="G1662" s="10" t="s">
        <v>5641</v>
      </c>
      <c r="H1662" s="35" t="s">
        <v>16</v>
      </c>
      <c r="I1662" s="36" t="s">
        <v>374</v>
      </c>
      <c r="J1662" s="76" t="s">
        <v>5590</v>
      </c>
      <c r="K1662" s="9" t="s">
        <v>5665</v>
      </c>
      <c r="L1662" s="9" t="s">
        <v>1075</v>
      </c>
      <c r="M1662" s="9" t="s">
        <v>1594</v>
      </c>
      <c r="N1662" s="9" t="s">
        <v>1459</v>
      </c>
      <c r="O1662" s="9" t="s">
        <v>5849</v>
      </c>
      <c r="P1662" s="61"/>
      <c r="Q1662" s="11" t="s">
        <v>821</v>
      </c>
      <c r="R1662" s="9" t="s">
        <v>5850</v>
      </c>
      <c r="S1662" s="62" t="s">
        <v>5676</v>
      </c>
      <c r="T1662" s="74" t="s">
        <v>3754</v>
      </c>
      <c r="U1662" s="50" t="s">
        <v>7594</v>
      </c>
      <c r="V1662" s="118" t="str">
        <f>+Agencia[[#This Row],[idcoleccion]]&amp;"-"&amp;Agencia[[#This Row],[id]]</f>
        <v>990-1651</v>
      </c>
      <c r="W1662" s="118">
        <f>+VLOOKUP(Agencia[[#This Row],[Filtro URL]],Estructura!$X$4:$Y$500,2,0)</f>
        <v>99200007</v>
      </c>
      <c r="X1662" s="118" t="str">
        <f>+VLOOKUP(Agencia[[#This Row],[tema]],Estructura!$A$4:$C$500,3,0)</f>
        <v>T-1072</v>
      </c>
      <c r="Y1662" s="118" t="str">
        <f>+VLOOKUP(Agencia[[#This Row],[contenido]],Estructura!$E$4:$G$500,3,0)</f>
        <v>C-1024</v>
      </c>
      <c r="Z1662" s="118" t="str">
        <f>+VLOOKUP(Agencia[[#This Row],[Filtro Integrado]],Estructura!$I$4:$K$500,3,0)</f>
        <v>FI-1009</v>
      </c>
      <c r="AA1662" s="118" t="str">
        <f>+VLOOKUP(Agencia[[#This Row],[Muestra]],Estructura!$M$4:$O$500,3,0)</f>
        <v>M-1133</v>
      </c>
    </row>
    <row r="1663" spans="1:27" ht="72" x14ac:dyDescent="0.3">
      <c r="A1663" s="21" t="s">
        <v>6133</v>
      </c>
      <c r="B1663" s="9">
        <v>990</v>
      </c>
      <c r="C1663" s="10" t="s">
        <v>401</v>
      </c>
      <c r="D1663" s="10" t="s">
        <v>5641</v>
      </c>
      <c r="E1663" s="19">
        <v>8</v>
      </c>
      <c r="F1663" s="10" t="s">
        <v>5664</v>
      </c>
      <c r="G1663" s="10" t="s">
        <v>5641</v>
      </c>
      <c r="H1663" s="35" t="s">
        <v>16</v>
      </c>
      <c r="I1663" s="36" t="s">
        <v>375</v>
      </c>
      <c r="J1663" s="76" t="s">
        <v>5590</v>
      </c>
      <c r="K1663" s="9" t="s">
        <v>5665</v>
      </c>
      <c r="L1663" s="9" t="s">
        <v>1075</v>
      </c>
      <c r="M1663" s="9" t="s">
        <v>1594</v>
      </c>
      <c r="N1663" s="9" t="s">
        <v>1459</v>
      </c>
      <c r="O1663" s="9" t="s">
        <v>5851</v>
      </c>
      <c r="P1663" s="61"/>
      <c r="Q1663" s="11" t="s">
        <v>821</v>
      </c>
      <c r="R1663" s="9" t="s">
        <v>5852</v>
      </c>
      <c r="S1663" s="62" t="s">
        <v>5677</v>
      </c>
      <c r="T1663" s="74" t="s">
        <v>3759</v>
      </c>
      <c r="U1663" s="50" t="s">
        <v>7595</v>
      </c>
      <c r="V1663" s="118" t="str">
        <f>+Agencia[[#This Row],[idcoleccion]]&amp;"-"&amp;Agencia[[#This Row],[id]]</f>
        <v>990-1652</v>
      </c>
      <c r="W1663" s="118">
        <f>+VLOOKUP(Agencia[[#This Row],[Filtro URL]],Estructura!$X$4:$Y$500,2,0)</f>
        <v>99200008</v>
      </c>
      <c r="X1663" s="118" t="str">
        <f>+VLOOKUP(Agencia[[#This Row],[tema]],Estructura!$A$4:$C$500,3,0)</f>
        <v>T-1072</v>
      </c>
      <c r="Y1663" s="118" t="str">
        <f>+VLOOKUP(Agencia[[#This Row],[contenido]],Estructura!$E$4:$G$500,3,0)</f>
        <v>C-1024</v>
      </c>
      <c r="Z1663" s="118" t="str">
        <f>+VLOOKUP(Agencia[[#This Row],[Filtro Integrado]],Estructura!$I$4:$K$500,3,0)</f>
        <v>FI-1009</v>
      </c>
      <c r="AA1663" s="118" t="str">
        <f>+VLOOKUP(Agencia[[#This Row],[Muestra]],Estructura!$M$4:$O$500,3,0)</f>
        <v>M-1133</v>
      </c>
    </row>
    <row r="1664" spans="1:27" ht="72" x14ac:dyDescent="0.3">
      <c r="A1664" s="21" t="s">
        <v>6134</v>
      </c>
      <c r="B1664" s="9">
        <v>990</v>
      </c>
      <c r="C1664" s="10" t="s">
        <v>401</v>
      </c>
      <c r="D1664" s="10" t="s">
        <v>5641</v>
      </c>
      <c r="E1664" s="19">
        <v>9</v>
      </c>
      <c r="F1664" s="10" t="s">
        <v>5664</v>
      </c>
      <c r="G1664" s="10" t="s">
        <v>5641</v>
      </c>
      <c r="H1664" s="35" t="s">
        <v>16</v>
      </c>
      <c r="I1664" s="36" t="s">
        <v>376</v>
      </c>
      <c r="J1664" s="76" t="s">
        <v>5590</v>
      </c>
      <c r="K1664" s="9" t="s">
        <v>5665</v>
      </c>
      <c r="L1664" s="9" t="s">
        <v>1075</v>
      </c>
      <c r="M1664" s="9" t="s">
        <v>1594</v>
      </c>
      <c r="N1664" s="9" t="s">
        <v>1459</v>
      </c>
      <c r="O1664" s="9" t="s">
        <v>5853</v>
      </c>
      <c r="P1664" s="61"/>
      <c r="Q1664" s="11" t="s">
        <v>821</v>
      </c>
      <c r="R1664" s="9" t="s">
        <v>5854</v>
      </c>
      <c r="S1664" s="62" t="s">
        <v>5678</v>
      </c>
      <c r="T1664" s="74" t="s">
        <v>3750</v>
      </c>
      <c r="U1664" s="50" t="s">
        <v>7596</v>
      </c>
      <c r="V1664" s="118" t="str">
        <f>+Agencia[[#This Row],[idcoleccion]]&amp;"-"&amp;Agencia[[#This Row],[id]]</f>
        <v>990-1653</v>
      </c>
      <c r="W1664" s="118">
        <f>+VLOOKUP(Agencia[[#This Row],[Filtro URL]],Estructura!$X$4:$Y$500,2,0)</f>
        <v>99200009</v>
      </c>
      <c r="X1664" s="118" t="str">
        <f>+VLOOKUP(Agencia[[#This Row],[tema]],Estructura!$A$4:$C$500,3,0)</f>
        <v>T-1072</v>
      </c>
      <c r="Y1664" s="118" t="str">
        <f>+VLOOKUP(Agencia[[#This Row],[contenido]],Estructura!$E$4:$G$500,3,0)</f>
        <v>C-1024</v>
      </c>
      <c r="Z1664" s="118" t="str">
        <f>+VLOOKUP(Agencia[[#This Row],[Filtro Integrado]],Estructura!$I$4:$K$500,3,0)</f>
        <v>FI-1009</v>
      </c>
      <c r="AA1664" s="118" t="str">
        <f>+VLOOKUP(Agencia[[#This Row],[Muestra]],Estructura!$M$4:$O$500,3,0)</f>
        <v>M-1133</v>
      </c>
    </row>
    <row r="1665" spans="1:27" ht="72" x14ac:dyDescent="0.3">
      <c r="A1665" s="21" t="s">
        <v>6135</v>
      </c>
      <c r="B1665" s="9">
        <v>990</v>
      </c>
      <c r="C1665" s="10" t="s">
        <v>401</v>
      </c>
      <c r="D1665" s="10" t="s">
        <v>5641</v>
      </c>
      <c r="E1665" s="19">
        <v>10</v>
      </c>
      <c r="F1665" s="10" t="s">
        <v>5664</v>
      </c>
      <c r="G1665" s="10" t="s">
        <v>5641</v>
      </c>
      <c r="H1665" s="35" t="s">
        <v>16</v>
      </c>
      <c r="I1665" s="36" t="s">
        <v>377</v>
      </c>
      <c r="J1665" s="76" t="s">
        <v>5590</v>
      </c>
      <c r="K1665" s="9" t="s">
        <v>5665</v>
      </c>
      <c r="L1665" s="9" t="s">
        <v>1075</v>
      </c>
      <c r="M1665" s="9" t="s">
        <v>1594</v>
      </c>
      <c r="N1665" s="9" t="s">
        <v>1459</v>
      </c>
      <c r="O1665" s="9" t="s">
        <v>5855</v>
      </c>
      <c r="P1665" s="61"/>
      <c r="Q1665" s="11" t="s">
        <v>821</v>
      </c>
      <c r="R1665" s="9" t="s">
        <v>5856</v>
      </c>
      <c r="S1665" s="62" t="s">
        <v>5679</v>
      </c>
      <c r="T1665" s="74" t="s">
        <v>3751</v>
      </c>
      <c r="U1665" s="50" t="s">
        <v>7597</v>
      </c>
      <c r="V1665" s="118" t="str">
        <f>+Agencia[[#This Row],[idcoleccion]]&amp;"-"&amp;Agencia[[#This Row],[id]]</f>
        <v>990-1654</v>
      </c>
      <c r="W1665" s="118">
        <f>+VLOOKUP(Agencia[[#This Row],[Filtro URL]],Estructura!$X$4:$Y$500,2,0)</f>
        <v>99200010</v>
      </c>
      <c r="X1665" s="118" t="str">
        <f>+VLOOKUP(Agencia[[#This Row],[tema]],Estructura!$A$4:$C$500,3,0)</f>
        <v>T-1072</v>
      </c>
      <c r="Y1665" s="118" t="str">
        <f>+VLOOKUP(Agencia[[#This Row],[contenido]],Estructura!$E$4:$G$500,3,0)</f>
        <v>C-1024</v>
      </c>
      <c r="Z1665" s="118" t="str">
        <f>+VLOOKUP(Agencia[[#This Row],[Filtro Integrado]],Estructura!$I$4:$K$500,3,0)</f>
        <v>FI-1009</v>
      </c>
      <c r="AA1665" s="118" t="str">
        <f>+VLOOKUP(Agencia[[#This Row],[Muestra]],Estructura!$M$4:$O$500,3,0)</f>
        <v>M-1133</v>
      </c>
    </row>
    <row r="1666" spans="1:27" ht="72" x14ac:dyDescent="0.3">
      <c r="A1666" s="21" t="s">
        <v>6136</v>
      </c>
      <c r="B1666" s="9">
        <v>990</v>
      </c>
      <c r="C1666" s="10" t="s">
        <v>401</v>
      </c>
      <c r="D1666" s="10" t="s">
        <v>5641</v>
      </c>
      <c r="E1666" s="19">
        <v>11</v>
      </c>
      <c r="F1666" s="10" t="s">
        <v>5664</v>
      </c>
      <c r="G1666" s="10" t="s">
        <v>5641</v>
      </c>
      <c r="H1666" s="35" t="s">
        <v>16</v>
      </c>
      <c r="I1666" s="36" t="s">
        <v>378</v>
      </c>
      <c r="J1666" s="76" t="s">
        <v>5590</v>
      </c>
      <c r="K1666" s="9" t="s">
        <v>5665</v>
      </c>
      <c r="L1666" s="9" t="s">
        <v>1075</v>
      </c>
      <c r="M1666" s="9" t="s">
        <v>1594</v>
      </c>
      <c r="N1666" s="9" t="s">
        <v>1459</v>
      </c>
      <c r="O1666" s="9" t="s">
        <v>5857</v>
      </c>
      <c r="P1666" s="61"/>
      <c r="Q1666" s="11" t="s">
        <v>821</v>
      </c>
      <c r="R1666" s="9" t="s">
        <v>5858</v>
      </c>
      <c r="S1666" s="62" t="s">
        <v>5680</v>
      </c>
      <c r="T1666" s="74" t="s">
        <v>3748</v>
      </c>
      <c r="U1666" s="50" t="s">
        <v>7598</v>
      </c>
      <c r="V1666" s="118" t="str">
        <f>+Agencia[[#This Row],[idcoleccion]]&amp;"-"&amp;Agencia[[#This Row],[id]]</f>
        <v>990-1655</v>
      </c>
      <c r="W1666" s="118">
        <f>+VLOOKUP(Agencia[[#This Row],[Filtro URL]],Estructura!$X$4:$Y$500,2,0)</f>
        <v>99200011</v>
      </c>
      <c r="X1666" s="118" t="str">
        <f>+VLOOKUP(Agencia[[#This Row],[tema]],Estructura!$A$4:$C$500,3,0)</f>
        <v>T-1072</v>
      </c>
      <c r="Y1666" s="118" t="str">
        <f>+VLOOKUP(Agencia[[#This Row],[contenido]],Estructura!$E$4:$G$500,3,0)</f>
        <v>C-1024</v>
      </c>
      <c r="Z1666" s="118" t="str">
        <f>+VLOOKUP(Agencia[[#This Row],[Filtro Integrado]],Estructura!$I$4:$K$500,3,0)</f>
        <v>FI-1009</v>
      </c>
      <c r="AA1666" s="118" t="str">
        <f>+VLOOKUP(Agencia[[#This Row],[Muestra]],Estructura!$M$4:$O$500,3,0)</f>
        <v>M-1133</v>
      </c>
    </row>
    <row r="1667" spans="1:27" ht="72" x14ac:dyDescent="0.3">
      <c r="A1667" s="21" t="s">
        <v>6137</v>
      </c>
      <c r="B1667" s="9">
        <v>990</v>
      </c>
      <c r="C1667" s="10" t="s">
        <v>401</v>
      </c>
      <c r="D1667" s="10" t="s">
        <v>5641</v>
      </c>
      <c r="E1667" s="19">
        <v>12</v>
      </c>
      <c r="F1667" s="10" t="s">
        <v>5664</v>
      </c>
      <c r="G1667" s="10" t="s">
        <v>5641</v>
      </c>
      <c r="H1667" s="35" t="s">
        <v>16</v>
      </c>
      <c r="I1667" s="36" t="s">
        <v>379</v>
      </c>
      <c r="J1667" s="76" t="s">
        <v>5590</v>
      </c>
      <c r="K1667" s="9" t="s">
        <v>5665</v>
      </c>
      <c r="L1667" s="9" t="s">
        <v>1075</v>
      </c>
      <c r="M1667" s="9" t="s">
        <v>1594</v>
      </c>
      <c r="N1667" s="9" t="s">
        <v>1459</v>
      </c>
      <c r="O1667" s="9" t="s">
        <v>5859</v>
      </c>
      <c r="P1667" s="61"/>
      <c r="Q1667" s="11" t="s">
        <v>821</v>
      </c>
      <c r="R1667" s="9" t="s">
        <v>5860</v>
      </c>
      <c r="S1667" s="62" t="s">
        <v>5681</v>
      </c>
      <c r="T1667" s="74" t="s">
        <v>3753</v>
      </c>
      <c r="U1667" s="50" t="s">
        <v>7599</v>
      </c>
      <c r="V1667" s="118" t="str">
        <f>+Agencia[[#This Row],[idcoleccion]]&amp;"-"&amp;Agencia[[#This Row],[id]]</f>
        <v>990-1656</v>
      </c>
      <c r="W1667" s="118">
        <f>+VLOOKUP(Agencia[[#This Row],[Filtro URL]],Estructura!$X$4:$Y$500,2,0)</f>
        <v>99200012</v>
      </c>
      <c r="X1667" s="118" t="str">
        <f>+VLOOKUP(Agencia[[#This Row],[tema]],Estructura!$A$4:$C$500,3,0)</f>
        <v>T-1072</v>
      </c>
      <c r="Y1667" s="118" t="str">
        <f>+VLOOKUP(Agencia[[#This Row],[contenido]],Estructura!$E$4:$G$500,3,0)</f>
        <v>C-1024</v>
      </c>
      <c r="Z1667" s="118" t="str">
        <f>+VLOOKUP(Agencia[[#This Row],[Filtro Integrado]],Estructura!$I$4:$K$500,3,0)</f>
        <v>FI-1009</v>
      </c>
      <c r="AA1667" s="118" t="str">
        <f>+VLOOKUP(Agencia[[#This Row],[Muestra]],Estructura!$M$4:$O$500,3,0)</f>
        <v>M-1133</v>
      </c>
    </row>
    <row r="1668" spans="1:27" ht="72" x14ac:dyDescent="0.3">
      <c r="A1668" s="21" t="s">
        <v>6138</v>
      </c>
      <c r="B1668" s="9">
        <v>990</v>
      </c>
      <c r="C1668" s="10" t="s">
        <v>401</v>
      </c>
      <c r="D1668" s="10" t="s">
        <v>5641</v>
      </c>
      <c r="E1668" s="19">
        <v>13</v>
      </c>
      <c r="F1668" s="10" t="s">
        <v>5664</v>
      </c>
      <c r="G1668" s="10" t="s">
        <v>5641</v>
      </c>
      <c r="H1668" s="35" t="s">
        <v>16</v>
      </c>
      <c r="I1668" s="36" t="s">
        <v>380</v>
      </c>
      <c r="J1668" s="76" t="s">
        <v>5590</v>
      </c>
      <c r="K1668" s="9" t="s">
        <v>5665</v>
      </c>
      <c r="L1668" s="9" t="s">
        <v>1075</v>
      </c>
      <c r="M1668" s="9" t="s">
        <v>1594</v>
      </c>
      <c r="N1668" s="9" t="s">
        <v>1459</v>
      </c>
      <c r="O1668" s="9" t="s">
        <v>5861</v>
      </c>
      <c r="P1668" s="61"/>
      <c r="Q1668" s="11" t="s">
        <v>821</v>
      </c>
      <c r="R1668" s="9" t="s">
        <v>5862</v>
      </c>
      <c r="S1668" s="62" t="s">
        <v>5682</v>
      </c>
      <c r="T1668" s="74" t="s">
        <v>3760</v>
      </c>
      <c r="U1668" s="50" t="s">
        <v>7600</v>
      </c>
      <c r="V1668" s="118" t="str">
        <f>+Agencia[[#This Row],[idcoleccion]]&amp;"-"&amp;Agencia[[#This Row],[id]]</f>
        <v>990-1657</v>
      </c>
      <c r="W1668" s="118">
        <f>+VLOOKUP(Agencia[[#This Row],[Filtro URL]],Estructura!$X$4:$Y$500,2,0)</f>
        <v>99200013</v>
      </c>
      <c r="X1668" s="118" t="str">
        <f>+VLOOKUP(Agencia[[#This Row],[tema]],Estructura!$A$4:$C$500,3,0)</f>
        <v>T-1072</v>
      </c>
      <c r="Y1668" s="118" t="str">
        <f>+VLOOKUP(Agencia[[#This Row],[contenido]],Estructura!$E$4:$G$500,3,0)</f>
        <v>C-1024</v>
      </c>
      <c r="Z1668" s="118" t="str">
        <f>+VLOOKUP(Agencia[[#This Row],[Filtro Integrado]],Estructura!$I$4:$K$500,3,0)</f>
        <v>FI-1009</v>
      </c>
      <c r="AA1668" s="118" t="str">
        <f>+VLOOKUP(Agencia[[#This Row],[Muestra]],Estructura!$M$4:$O$500,3,0)</f>
        <v>M-1133</v>
      </c>
    </row>
    <row r="1669" spans="1:27" ht="72" x14ac:dyDescent="0.3">
      <c r="A1669" s="21" t="s">
        <v>6139</v>
      </c>
      <c r="B1669" s="9">
        <v>990</v>
      </c>
      <c r="C1669" s="10" t="s">
        <v>401</v>
      </c>
      <c r="D1669" s="10" t="s">
        <v>5641</v>
      </c>
      <c r="E1669" s="19">
        <v>14</v>
      </c>
      <c r="F1669" s="10" t="s">
        <v>5664</v>
      </c>
      <c r="G1669" s="10" t="s">
        <v>5641</v>
      </c>
      <c r="H1669" s="35" t="s">
        <v>16</v>
      </c>
      <c r="I1669" s="36" t="s">
        <v>381</v>
      </c>
      <c r="J1669" s="76" t="s">
        <v>5590</v>
      </c>
      <c r="K1669" s="9" t="s">
        <v>5665</v>
      </c>
      <c r="L1669" s="9" t="s">
        <v>1075</v>
      </c>
      <c r="M1669" s="9" t="s">
        <v>1594</v>
      </c>
      <c r="N1669" s="9" t="s">
        <v>1459</v>
      </c>
      <c r="O1669" s="9" t="s">
        <v>5863</v>
      </c>
      <c r="P1669" s="61"/>
      <c r="Q1669" s="11" t="s">
        <v>821</v>
      </c>
      <c r="R1669" s="9" t="s">
        <v>5864</v>
      </c>
      <c r="S1669" s="62" t="s">
        <v>5683</v>
      </c>
      <c r="T1669" s="74" t="s">
        <v>3752</v>
      </c>
      <c r="U1669" s="50" t="s">
        <v>7601</v>
      </c>
      <c r="V1669" s="118" t="str">
        <f>+Agencia[[#This Row],[idcoleccion]]&amp;"-"&amp;Agencia[[#This Row],[id]]</f>
        <v>990-1658</v>
      </c>
      <c r="W1669" s="118">
        <f>+VLOOKUP(Agencia[[#This Row],[Filtro URL]],Estructura!$X$4:$Y$500,2,0)</f>
        <v>99200014</v>
      </c>
      <c r="X1669" s="118" t="str">
        <f>+VLOOKUP(Agencia[[#This Row],[tema]],Estructura!$A$4:$C$500,3,0)</f>
        <v>T-1072</v>
      </c>
      <c r="Y1669" s="118" t="str">
        <f>+VLOOKUP(Agencia[[#This Row],[contenido]],Estructura!$E$4:$G$500,3,0)</f>
        <v>C-1024</v>
      </c>
      <c r="Z1669" s="118" t="str">
        <f>+VLOOKUP(Agencia[[#This Row],[Filtro Integrado]],Estructura!$I$4:$K$500,3,0)</f>
        <v>FI-1009</v>
      </c>
      <c r="AA1669" s="118" t="str">
        <f>+VLOOKUP(Agencia[[#This Row],[Muestra]],Estructura!$M$4:$O$500,3,0)</f>
        <v>M-1133</v>
      </c>
    </row>
    <row r="1670" spans="1:27" ht="72" x14ac:dyDescent="0.3">
      <c r="A1670" s="21" t="s">
        <v>6140</v>
      </c>
      <c r="B1670" s="9">
        <v>990</v>
      </c>
      <c r="C1670" s="10" t="s">
        <v>401</v>
      </c>
      <c r="D1670" s="10" t="s">
        <v>5641</v>
      </c>
      <c r="E1670" s="19">
        <v>15</v>
      </c>
      <c r="F1670" s="10" t="s">
        <v>5664</v>
      </c>
      <c r="G1670" s="10" t="s">
        <v>5641</v>
      </c>
      <c r="H1670" s="35" t="s">
        <v>16</v>
      </c>
      <c r="I1670" s="36" t="s">
        <v>382</v>
      </c>
      <c r="J1670" s="76" t="s">
        <v>5590</v>
      </c>
      <c r="K1670" s="9" t="s">
        <v>5665</v>
      </c>
      <c r="L1670" s="9" t="s">
        <v>1075</v>
      </c>
      <c r="M1670" s="9" t="s">
        <v>1594</v>
      </c>
      <c r="N1670" s="9" t="s">
        <v>1459</v>
      </c>
      <c r="O1670" s="9" t="s">
        <v>5865</v>
      </c>
      <c r="P1670" s="61"/>
      <c r="Q1670" s="11" t="s">
        <v>821</v>
      </c>
      <c r="R1670" s="9" t="s">
        <v>5866</v>
      </c>
      <c r="S1670" s="62" t="s">
        <v>5684</v>
      </c>
      <c r="T1670" s="74" t="s">
        <v>3746</v>
      </c>
      <c r="U1670" s="50" t="s">
        <v>7602</v>
      </c>
      <c r="V1670" s="118" t="str">
        <f>+Agencia[[#This Row],[idcoleccion]]&amp;"-"&amp;Agencia[[#This Row],[id]]</f>
        <v>990-1659</v>
      </c>
      <c r="W1670" s="118">
        <f>+VLOOKUP(Agencia[[#This Row],[Filtro URL]],Estructura!$X$4:$Y$500,2,0)</f>
        <v>99200015</v>
      </c>
      <c r="X1670" s="118" t="str">
        <f>+VLOOKUP(Agencia[[#This Row],[tema]],Estructura!$A$4:$C$500,3,0)</f>
        <v>T-1072</v>
      </c>
      <c r="Y1670" s="118" t="str">
        <f>+VLOOKUP(Agencia[[#This Row],[contenido]],Estructura!$E$4:$G$500,3,0)</f>
        <v>C-1024</v>
      </c>
      <c r="Z1670" s="118" t="str">
        <f>+VLOOKUP(Agencia[[#This Row],[Filtro Integrado]],Estructura!$I$4:$K$500,3,0)</f>
        <v>FI-1009</v>
      </c>
      <c r="AA1670" s="118" t="str">
        <f>+VLOOKUP(Agencia[[#This Row],[Muestra]],Estructura!$M$4:$O$500,3,0)</f>
        <v>M-1133</v>
      </c>
    </row>
    <row r="1671" spans="1:27" ht="72" x14ac:dyDescent="0.3">
      <c r="A1671" s="21" t="s">
        <v>6141</v>
      </c>
      <c r="B1671" s="9">
        <v>990</v>
      </c>
      <c r="C1671" s="10" t="s">
        <v>401</v>
      </c>
      <c r="D1671" s="10" t="s">
        <v>5641</v>
      </c>
      <c r="E1671" s="19">
        <v>16</v>
      </c>
      <c r="F1671" s="10" t="s">
        <v>5664</v>
      </c>
      <c r="G1671" s="10" t="s">
        <v>5641</v>
      </c>
      <c r="H1671" s="35" t="s">
        <v>16</v>
      </c>
      <c r="I1671" s="36" t="s">
        <v>383</v>
      </c>
      <c r="J1671" s="76" t="s">
        <v>5590</v>
      </c>
      <c r="K1671" s="9" t="s">
        <v>5665</v>
      </c>
      <c r="L1671" s="9" t="s">
        <v>1075</v>
      </c>
      <c r="M1671" s="9" t="s">
        <v>1594</v>
      </c>
      <c r="N1671" s="9" t="s">
        <v>1459</v>
      </c>
      <c r="O1671" s="9" t="s">
        <v>5867</v>
      </c>
      <c r="P1671" s="61"/>
      <c r="Q1671" s="11" t="s">
        <v>821</v>
      </c>
      <c r="R1671" s="9" t="s">
        <v>5868</v>
      </c>
      <c r="S1671" s="62" t="s">
        <v>5685</v>
      </c>
      <c r="T1671" s="74" t="s">
        <v>3755</v>
      </c>
      <c r="U1671" s="50" t="s">
        <v>7603</v>
      </c>
      <c r="V1671" s="118" t="str">
        <f>+Agencia[[#This Row],[idcoleccion]]&amp;"-"&amp;Agencia[[#This Row],[id]]</f>
        <v>990-1660</v>
      </c>
      <c r="W1671" s="118">
        <f>+VLOOKUP(Agencia[[#This Row],[Filtro URL]],Estructura!$X$4:$Y$500,2,0)</f>
        <v>99200016</v>
      </c>
      <c r="X1671" s="118" t="str">
        <f>+VLOOKUP(Agencia[[#This Row],[tema]],Estructura!$A$4:$C$500,3,0)</f>
        <v>T-1072</v>
      </c>
      <c r="Y1671" s="118" t="str">
        <f>+VLOOKUP(Agencia[[#This Row],[contenido]],Estructura!$E$4:$G$500,3,0)</f>
        <v>C-1024</v>
      </c>
      <c r="Z1671" s="118" t="str">
        <f>+VLOOKUP(Agencia[[#This Row],[Filtro Integrado]],Estructura!$I$4:$K$500,3,0)</f>
        <v>FI-1009</v>
      </c>
      <c r="AA1671" s="118" t="str">
        <f>+VLOOKUP(Agencia[[#This Row],[Muestra]],Estructura!$M$4:$O$500,3,0)</f>
        <v>M-1133</v>
      </c>
    </row>
    <row r="1672" spans="1:27" ht="60" x14ac:dyDescent="0.3">
      <c r="A1672" s="21" t="s">
        <v>6142</v>
      </c>
      <c r="B1672" s="9">
        <v>990</v>
      </c>
      <c r="C1672" s="10" t="s">
        <v>401</v>
      </c>
      <c r="D1672" s="80" t="s">
        <v>578</v>
      </c>
      <c r="E1672" s="14">
        <v>0</v>
      </c>
      <c r="F1672" s="10" t="s">
        <v>5686</v>
      </c>
      <c r="G1672" s="91" t="s">
        <v>7428</v>
      </c>
      <c r="H1672" s="33" t="s">
        <v>20</v>
      </c>
      <c r="I1672" s="34" t="s">
        <v>15</v>
      </c>
      <c r="J1672" s="76" t="s">
        <v>5610</v>
      </c>
      <c r="K1672" s="9" t="s">
        <v>5687</v>
      </c>
      <c r="L1672" s="9" t="s">
        <v>1559</v>
      </c>
      <c r="M1672" s="9" t="s">
        <v>581</v>
      </c>
      <c r="N1672" s="9" t="s">
        <v>1082</v>
      </c>
      <c r="O1672" s="9" t="s">
        <v>5688</v>
      </c>
      <c r="P1672" s="9" t="s">
        <v>5689</v>
      </c>
      <c r="Q1672" s="11" t="s">
        <v>821</v>
      </c>
      <c r="R1672" s="9" t="s">
        <v>8360</v>
      </c>
      <c r="S1672" s="62" t="s">
        <v>5690</v>
      </c>
      <c r="T1672" s="74" t="s">
        <v>855</v>
      </c>
      <c r="U1672" s="50" t="s">
        <v>7604</v>
      </c>
      <c r="V1672" s="118" t="str">
        <f>+Agencia[[#This Row],[idcoleccion]]&amp;"-"&amp;Agencia[[#This Row],[id]]</f>
        <v>990-1661</v>
      </c>
      <c r="W1672" s="118">
        <f>+VLOOKUP(Agencia[[#This Row],[Filtro URL]],Estructura!$X$4:$Y$500,2,0)</f>
        <v>99100000</v>
      </c>
      <c r="X1672" s="118" t="str">
        <f>+VLOOKUP(Agencia[[#This Row],[tema]],Estructura!$A$4:$C$500,3,0)</f>
        <v>T-1073</v>
      </c>
      <c r="Y1672" s="118" t="str">
        <f>+VLOOKUP(Agencia[[#This Row],[contenido]],Estructura!$E$4:$G$500,3,0)</f>
        <v>C-1020</v>
      </c>
      <c r="Z1672" s="118" t="str">
        <f>+VLOOKUP(Agencia[[#This Row],[Filtro Integrado]],Estructura!$I$4:$K$500,3,0)</f>
        <v>FI-1010</v>
      </c>
      <c r="AA1672" s="118" t="str">
        <f>+VLOOKUP(Agencia[[#This Row],[Muestra]],Estructura!$M$4:$O$500,3,0)</f>
        <v>M-1134</v>
      </c>
    </row>
    <row r="1673" spans="1:27" ht="72" x14ac:dyDescent="0.3">
      <c r="A1673" s="21" t="s">
        <v>6143</v>
      </c>
      <c r="B1673" s="9">
        <v>990</v>
      </c>
      <c r="C1673" s="10" t="s">
        <v>401</v>
      </c>
      <c r="D1673" s="80" t="s">
        <v>578</v>
      </c>
      <c r="E1673" s="14">
        <v>0</v>
      </c>
      <c r="F1673" s="10" t="s">
        <v>5691</v>
      </c>
      <c r="G1673" s="91" t="s">
        <v>7428</v>
      </c>
      <c r="H1673" s="33" t="s">
        <v>20</v>
      </c>
      <c r="I1673" s="34" t="s">
        <v>15</v>
      </c>
      <c r="J1673" s="76" t="s">
        <v>5590</v>
      </c>
      <c r="K1673" s="9" t="s">
        <v>5692</v>
      </c>
      <c r="L1673" s="9" t="s">
        <v>1559</v>
      </c>
      <c r="M1673" s="9" t="s">
        <v>581</v>
      </c>
      <c r="N1673" s="9" t="s">
        <v>1082</v>
      </c>
      <c r="O1673" s="9" t="s">
        <v>5693</v>
      </c>
      <c r="P1673" s="9" t="s">
        <v>5694</v>
      </c>
      <c r="Q1673" s="11" t="s">
        <v>821</v>
      </c>
      <c r="R1673" s="9" t="s">
        <v>8361</v>
      </c>
      <c r="S1673" s="62" t="s">
        <v>5695</v>
      </c>
      <c r="T1673" s="74">
        <v>0</v>
      </c>
      <c r="U1673" s="50" t="s">
        <v>7605</v>
      </c>
      <c r="V1673" s="118" t="str">
        <f>+Agencia[[#This Row],[idcoleccion]]&amp;"-"&amp;Agencia[[#This Row],[id]]</f>
        <v>990-1662</v>
      </c>
      <c r="W1673" s="118">
        <f>+VLOOKUP(Agencia[[#This Row],[Filtro URL]],Estructura!$X$4:$Y$500,2,0)</f>
        <v>99100000</v>
      </c>
      <c r="X1673" s="118" t="str">
        <f>+VLOOKUP(Agencia[[#This Row],[tema]],Estructura!$A$4:$C$500,3,0)</f>
        <v>T-1074</v>
      </c>
      <c r="Y1673" s="118" t="str">
        <f>+VLOOKUP(Agencia[[#This Row],[contenido]],Estructura!$E$4:$G$500,3,0)</f>
        <v>C-1020</v>
      </c>
      <c r="Z1673" s="118" t="str">
        <f>+VLOOKUP(Agencia[[#This Row],[Filtro Integrado]],Estructura!$I$4:$K$500,3,0)</f>
        <v>FI-1009</v>
      </c>
      <c r="AA1673" s="118" t="str">
        <f>+VLOOKUP(Agencia[[#This Row],[Muestra]],Estructura!$M$4:$O$500,3,0)</f>
        <v>M-1135</v>
      </c>
    </row>
    <row r="1674" spans="1:27" ht="120" x14ac:dyDescent="0.3">
      <c r="A1674" s="21" t="s">
        <v>6144</v>
      </c>
      <c r="B1674" s="9">
        <v>990</v>
      </c>
      <c r="C1674" s="10" t="s">
        <v>401</v>
      </c>
      <c r="D1674" s="80" t="s">
        <v>578</v>
      </c>
      <c r="E1674" s="14">
        <v>0</v>
      </c>
      <c r="F1674" s="10" t="s">
        <v>5696</v>
      </c>
      <c r="G1674" s="91" t="s">
        <v>7428</v>
      </c>
      <c r="H1674" s="33" t="s">
        <v>20</v>
      </c>
      <c r="I1674" s="34" t="s">
        <v>15</v>
      </c>
      <c r="J1674" s="76" t="s">
        <v>5590</v>
      </c>
      <c r="K1674" s="9" t="s">
        <v>5697</v>
      </c>
      <c r="L1674" s="9" t="s">
        <v>1559</v>
      </c>
      <c r="M1674" s="9" t="s">
        <v>581</v>
      </c>
      <c r="N1674" s="9" t="s">
        <v>1082</v>
      </c>
      <c r="O1674" s="9" t="s">
        <v>5698</v>
      </c>
      <c r="P1674" s="9" t="s">
        <v>5699</v>
      </c>
      <c r="Q1674" s="11" t="s">
        <v>821</v>
      </c>
      <c r="R1674" s="9" t="s">
        <v>8362</v>
      </c>
      <c r="S1674" s="62" t="s">
        <v>5700</v>
      </c>
      <c r="T1674" s="74">
        <v>0</v>
      </c>
      <c r="U1674" s="50" t="s">
        <v>7606</v>
      </c>
      <c r="V1674" s="118" t="str">
        <f>+Agencia[[#This Row],[idcoleccion]]&amp;"-"&amp;Agencia[[#This Row],[id]]</f>
        <v>990-1663</v>
      </c>
      <c r="W1674" s="118">
        <f>+VLOOKUP(Agencia[[#This Row],[Filtro URL]],Estructura!$X$4:$Y$500,2,0)</f>
        <v>99100000</v>
      </c>
      <c r="X1674" s="118" t="str">
        <f>+VLOOKUP(Agencia[[#This Row],[tema]],Estructura!$A$4:$C$500,3,0)</f>
        <v>T-1075</v>
      </c>
      <c r="Y1674" s="118" t="str">
        <f>+VLOOKUP(Agencia[[#This Row],[contenido]],Estructura!$E$4:$G$500,3,0)</f>
        <v>C-1020</v>
      </c>
      <c r="Z1674" s="118" t="str">
        <f>+VLOOKUP(Agencia[[#This Row],[Filtro Integrado]],Estructura!$I$4:$K$500,3,0)</f>
        <v>FI-1009</v>
      </c>
      <c r="AA1674" s="118" t="str">
        <f>+VLOOKUP(Agencia[[#This Row],[Muestra]],Estructura!$M$4:$O$500,3,0)</f>
        <v>M-1136</v>
      </c>
    </row>
    <row r="1675" spans="1:27" ht="180" x14ac:dyDescent="0.3">
      <c r="A1675" s="21" t="s">
        <v>6145</v>
      </c>
      <c r="B1675" s="9">
        <v>990</v>
      </c>
      <c r="C1675" s="10" t="s">
        <v>401</v>
      </c>
      <c r="D1675" s="61" t="s">
        <v>508</v>
      </c>
      <c r="E1675" s="14">
        <v>0</v>
      </c>
      <c r="F1675" s="10" t="s">
        <v>5701</v>
      </c>
      <c r="G1675" s="10" t="s">
        <v>3795</v>
      </c>
      <c r="H1675" s="33" t="s">
        <v>20</v>
      </c>
      <c r="I1675" s="34" t="s">
        <v>15</v>
      </c>
      <c r="J1675" s="76" t="s">
        <v>1032</v>
      </c>
      <c r="K1675" s="9" t="s">
        <v>5702</v>
      </c>
      <c r="L1675" s="9" t="s">
        <v>886</v>
      </c>
      <c r="M1675" s="9" t="s">
        <v>612</v>
      </c>
      <c r="N1675" s="9" t="s">
        <v>431</v>
      </c>
      <c r="O1675" s="9" t="s">
        <v>5703</v>
      </c>
      <c r="P1675" s="9" t="s">
        <v>5704</v>
      </c>
      <c r="Q1675" s="11" t="s">
        <v>831</v>
      </c>
      <c r="R1675" s="9" t="s">
        <v>8351</v>
      </c>
      <c r="S1675" s="62" t="s">
        <v>5705</v>
      </c>
      <c r="T1675" s="74" t="s">
        <v>1033</v>
      </c>
      <c r="U1675" s="50" t="s">
        <v>7607</v>
      </c>
      <c r="V1675" s="118" t="str">
        <f>+Agencia[[#This Row],[idcoleccion]]&amp;"-"&amp;Agencia[[#This Row],[id]]</f>
        <v>990-1664</v>
      </c>
      <c r="W1675" s="118">
        <f>+VLOOKUP(Agencia[[#This Row],[Filtro URL]],Estructura!$X$4:$Y$500,2,0)</f>
        <v>99100000</v>
      </c>
      <c r="X1675" s="118" t="str">
        <f>+VLOOKUP(Agencia[[#This Row],[tema]],Estructura!$A$4:$C$500,3,0)</f>
        <v>T-1053</v>
      </c>
      <c r="Y1675" s="118" t="str">
        <f>+VLOOKUP(Agencia[[#This Row],[contenido]],Estructura!$E$4:$G$500,3,0)</f>
        <v>C-1015</v>
      </c>
      <c r="Z1675" s="118" t="str">
        <f>+VLOOKUP(Agencia[[#This Row],[Filtro Integrado]],Estructura!$I$4:$K$500,3,0)</f>
        <v>FI-994</v>
      </c>
      <c r="AA1675" s="118" t="str">
        <f>+VLOOKUP(Agencia[[#This Row],[Muestra]],Estructura!$M$4:$O$500,3,0)</f>
        <v>M-1137</v>
      </c>
    </row>
    <row r="1676" spans="1:27" ht="57.6" x14ac:dyDescent="0.3">
      <c r="A1676" s="21" t="s">
        <v>6146</v>
      </c>
      <c r="B1676" s="9">
        <v>990</v>
      </c>
      <c r="C1676" s="10" t="s">
        <v>401</v>
      </c>
      <c r="D1676" s="61" t="s">
        <v>508</v>
      </c>
      <c r="E1676" s="19">
        <v>1</v>
      </c>
      <c r="F1676" s="10" t="s">
        <v>5701</v>
      </c>
      <c r="G1676" s="10" t="s">
        <v>3795</v>
      </c>
      <c r="H1676" s="35" t="s">
        <v>16</v>
      </c>
      <c r="I1676" s="36" t="s">
        <v>368</v>
      </c>
      <c r="J1676" s="76" t="s">
        <v>18</v>
      </c>
      <c r="K1676" s="9" t="s">
        <v>5702</v>
      </c>
      <c r="L1676" s="9" t="s">
        <v>886</v>
      </c>
      <c r="M1676" s="9" t="s">
        <v>612</v>
      </c>
      <c r="N1676" s="9" t="s">
        <v>431</v>
      </c>
      <c r="O1676" s="9" t="s">
        <v>5869</v>
      </c>
      <c r="P1676" s="61"/>
      <c r="Q1676" s="11" t="s">
        <v>831</v>
      </c>
      <c r="R1676" s="9" t="s">
        <v>5870</v>
      </c>
      <c r="S1676" s="62" t="s">
        <v>5706</v>
      </c>
      <c r="T1676" s="74" t="s">
        <v>3741</v>
      </c>
      <c r="U1676" s="50" t="s">
        <v>7608</v>
      </c>
      <c r="V1676" s="118" t="str">
        <f>+Agencia[[#This Row],[idcoleccion]]&amp;"-"&amp;Agencia[[#This Row],[id]]</f>
        <v>990-1665</v>
      </c>
      <c r="W1676" s="118">
        <f>+VLOOKUP(Agencia[[#This Row],[Filtro URL]],Estructura!$X$4:$Y$500,2,0)</f>
        <v>99200001</v>
      </c>
      <c r="X1676" s="118" t="str">
        <f>+VLOOKUP(Agencia[[#This Row],[tema]],Estructura!$A$4:$C$500,3,0)</f>
        <v>T-1053</v>
      </c>
      <c r="Y1676" s="118" t="str">
        <f>+VLOOKUP(Agencia[[#This Row],[contenido]],Estructura!$E$4:$G$500,3,0)</f>
        <v>C-1015</v>
      </c>
      <c r="Z1676" s="118" t="str">
        <f>+VLOOKUP(Agencia[[#This Row],[Filtro Integrado]],Estructura!$I$4:$K$500,3,0)</f>
        <v>FI-991</v>
      </c>
      <c r="AA1676" s="118" t="str">
        <f>+VLOOKUP(Agencia[[#This Row],[Muestra]],Estructura!$M$4:$O$500,3,0)</f>
        <v>M-1137</v>
      </c>
    </row>
    <row r="1677" spans="1:27" ht="57.6" x14ac:dyDescent="0.3">
      <c r="A1677" s="21" t="s">
        <v>6147</v>
      </c>
      <c r="B1677" s="9">
        <v>990</v>
      </c>
      <c r="C1677" s="10" t="s">
        <v>401</v>
      </c>
      <c r="D1677" s="61" t="s">
        <v>508</v>
      </c>
      <c r="E1677" s="19">
        <v>2</v>
      </c>
      <c r="F1677" s="10" t="s">
        <v>5701</v>
      </c>
      <c r="G1677" s="10" t="s">
        <v>3795</v>
      </c>
      <c r="H1677" s="35" t="s">
        <v>16</v>
      </c>
      <c r="I1677" s="36" t="s">
        <v>369</v>
      </c>
      <c r="J1677" s="76" t="s">
        <v>18</v>
      </c>
      <c r="K1677" s="9" t="s">
        <v>5702</v>
      </c>
      <c r="L1677" s="9" t="s">
        <v>886</v>
      </c>
      <c r="M1677" s="9" t="s">
        <v>612</v>
      </c>
      <c r="N1677" s="9" t="s">
        <v>431</v>
      </c>
      <c r="O1677" s="9" t="s">
        <v>5871</v>
      </c>
      <c r="P1677" s="61"/>
      <c r="Q1677" s="61"/>
      <c r="R1677" s="9" t="s">
        <v>5872</v>
      </c>
      <c r="S1677" s="62" t="s">
        <v>5707</v>
      </c>
      <c r="T1677" s="74" t="s">
        <v>3729</v>
      </c>
      <c r="U1677" s="50" t="s">
        <v>7609</v>
      </c>
      <c r="V1677" s="118" t="str">
        <f>+Agencia[[#This Row],[idcoleccion]]&amp;"-"&amp;Agencia[[#This Row],[id]]</f>
        <v>990-1666</v>
      </c>
      <c r="W1677" s="118">
        <f>+VLOOKUP(Agencia[[#This Row],[Filtro URL]],Estructura!$X$4:$Y$500,2,0)</f>
        <v>99200002</v>
      </c>
      <c r="X1677" s="118" t="str">
        <f>+VLOOKUP(Agencia[[#This Row],[tema]],Estructura!$A$4:$C$500,3,0)</f>
        <v>T-1053</v>
      </c>
      <c r="Y1677" s="118" t="str">
        <f>+VLOOKUP(Agencia[[#This Row],[contenido]],Estructura!$E$4:$G$500,3,0)</f>
        <v>C-1015</v>
      </c>
      <c r="Z1677" s="118" t="str">
        <f>+VLOOKUP(Agencia[[#This Row],[Filtro Integrado]],Estructura!$I$4:$K$500,3,0)</f>
        <v>FI-991</v>
      </c>
      <c r="AA1677" s="118" t="str">
        <f>+VLOOKUP(Agencia[[#This Row],[Muestra]],Estructura!$M$4:$O$500,3,0)</f>
        <v>M-1137</v>
      </c>
    </row>
    <row r="1678" spans="1:27" ht="57.6" x14ac:dyDescent="0.3">
      <c r="A1678" s="21" t="s">
        <v>6148</v>
      </c>
      <c r="B1678" s="9">
        <v>990</v>
      </c>
      <c r="C1678" s="10" t="s">
        <v>401</v>
      </c>
      <c r="D1678" s="61" t="s">
        <v>508</v>
      </c>
      <c r="E1678" s="19">
        <v>3</v>
      </c>
      <c r="F1678" s="10" t="s">
        <v>5701</v>
      </c>
      <c r="G1678" s="10" t="s">
        <v>3795</v>
      </c>
      <c r="H1678" s="35" t="s">
        <v>16</v>
      </c>
      <c r="I1678" s="36" t="s">
        <v>370</v>
      </c>
      <c r="J1678" s="76" t="s">
        <v>18</v>
      </c>
      <c r="K1678" s="9" t="s">
        <v>5702</v>
      </c>
      <c r="L1678" s="9" t="s">
        <v>886</v>
      </c>
      <c r="M1678" s="9" t="s">
        <v>612</v>
      </c>
      <c r="N1678" s="9" t="s">
        <v>431</v>
      </c>
      <c r="O1678" s="9" t="s">
        <v>5873</v>
      </c>
      <c r="P1678" s="61"/>
      <c r="Q1678" s="61"/>
      <c r="R1678" s="9" t="s">
        <v>5874</v>
      </c>
      <c r="S1678" s="62" t="s">
        <v>5708</v>
      </c>
      <c r="T1678" s="74" t="s">
        <v>3731</v>
      </c>
      <c r="U1678" s="50" t="s">
        <v>7610</v>
      </c>
      <c r="V1678" s="118" t="str">
        <f>+Agencia[[#This Row],[idcoleccion]]&amp;"-"&amp;Agencia[[#This Row],[id]]</f>
        <v>990-1667</v>
      </c>
      <c r="W1678" s="118">
        <f>+VLOOKUP(Agencia[[#This Row],[Filtro URL]],Estructura!$X$4:$Y$500,2,0)</f>
        <v>99200003</v>
      </c>
      <c r="X1678" s="118" t="str">
        <f>+VLOOKUP(Agencia[[#This Row],[tema]],Estructura!$A$4:$C$500,3,0)</f>
        <v>T-1053</v>
      </c>
      <c r="Y1678" s="118" t="str">
        <f>+VLOOKUP(Agencia[[#This Row],[contenido]],Estructura!$E$4:$G$500,3,0)</f>
        <v>C-1015</v>
      </c>
      <c r="Z1678" s="118" t="str">
        <f>+VLOOKUP(Agencia[[#This Row],[Filtro Integrado]],Estructura!$I$4:$K$500,3,0)</f>
        <v>FI-991</v>
      </c>
      <c r="AA1678" s="118" t="str">
        <f>+VLOOKUP(Agencia[[#This Row],[Muestra]],Estructura!$M$4:$O$500,3,0)</f>
        <v>M-1137</v>
      </c>
    </row>
    <row r="1679" spans="1:27" ht="57.6" x14ac:dyDescent="0.3">
      <c r="A1679" s="21" t="s">
        <v>6149</v>
      </c>
      <c r="B1679" s="9">
        <v>990</v>
      </c>
      <c r="C1679" s="10" t="s">
        <v>401</v>
      </c>
      <c r="D1679" s="61" t="s">
        <v>508</v>
      </c>
      <c r="E1679" s="19">
        <v>4</v>
      </c>
      <c r="F1679" s="10" t="s">
        <v>5701</v>
      </c>
      <c r="G1679" s="10" t="s">
        <v>3795</v>
      </c>
      <c r="H1679" s="35" t="s">
        <v>16</v>
      </c>
      <c r="I1679" s="36" t="s">
        <v>371</v>
      </c>
      <c r="J1679" s="76" t="s">
        <v>18</v>
      </c>
      <c r="K1679" s="9" t="s">
        <v>5702</v>
      </c>
      <c r="L1679" s="9" t="s">
        <v>886</v>
      </c>
      <c r="M1679" s="9" t="s">
        <v>612</v>
      </c>
      <c r="N1679" s="9" t="s">
        <v>431</v>
      </c>
      <c r="O1679" s="9" t="s">
        <v>5875</v>
      </c>
      <c r="P1679" s="61"/>
      <c r="Q1679" s="61"/>
      <c r="R1679" s="9" t="s">
        <v>5876</v>
      </c>
      <c r="S1679" s="62" t="s">
        <v>5709</v>
      </c>
      <c r="T1679" s="74" t="s">
        <v>3733</v>
      </c>
      <c r="U1679" s="50" t="s">
        <v>7611</v>
      </c>
      <c r="V1679" s="118" t="str">
        <f>+Agencia[[#This Row],[idcoleccion]]&amp;"-"&amp;Agencia[[#This Row],[id]]</f>
        <v>990-1668</v>
      </c>
      <c r="W1679" s="118">
        <f>+VLOOKUP(Agencia[[#This Row],[Filtro URL]],Estructura!$X$4:$Y$500,2,0)</f>
        <v>99200004</v>
      </c>
      <c r="X1679" s="118" t="str">
        <f>+VLOOKUP(Agencia[[#This Row],[tema]],Estructura!$A$4:$C$500,3,0)</f>
        <v>T-1053</v>
      </c>
      <c r="Y1679" s="118" t="str">
        <f>+VLOOKUP(Agencia[[#This Row],[contenido]],Estructura!$E$4:$G$500,3,0)</f>
        <v>C-1015</v>
      </c>
      <c r="Z1679" s="118" t="str">
        <f>+VLOOKUP(Agencia[[#This Row],[Filtro Integrado]],Estructura!$I$4:$K$500,3,0)</f>
        <v>FI-991</v>
      </c>
      <c r="AA1679" s="118" t="str">
        <f>+VLOOKUP(Agencia[[#This Row],[Muestra]],Estructura!$M$4:$O$500,3,0)</f>
        <v>M-1137</v>
      </c>
    </row>
    <row r="1680" spans="1:27" ht="57.6" x14ac:dyDescent="0.3">
      <c r="A1680" s="21" t="s">
        <v>6150</v>
      </c>
      <c r="B1680" s="9">
        <v>990</v>
      </c>
      <c r="C1680" s="10" t="s">
        <v>401</v>
      </c>
      <c r="D1680" s="61" t="s">
        <v>508</v>
      </c>
      <c r="E1680" s="19">
        <v>5</v>
      </c>
      <c r="F1680" s="10" t="s">
        <v>5701</v>
      </c>
      <c r="G1680" s="10" t="s">
        <v>3795</v>
      </c>
      <c r="H1680" s="35" t="s">
        <v>16</v>
      </c>
      <c r="I1680" s="36" t="s">
        <v>372</v>
      </c>
      <c r="J1680" s="76" t="s">
        <v>18</v>
      </c>
      <c r="K1680" s="9" t="s">
        <v>5702</v>
      </c>
      <c r="L1680" s="9" t="s">
        <v>886</v>
      </c>
      <c r="M1680" s="9" t="s">
        <v>612</v>
      </c>
      <c r="N1680" s="9" t="s">
        <v>431</v>
      </c>
      <c r="O1680" s="9" t="s">
        <v>5877</v>
      </c>
      <c r="P1680" s="61"/>
      <c r="Q1680" s="61"/>
      <c r="R1680" s="9" t="s">
        <v>5878</v>
      </c>
      <c r="S1680" s="62" t="s">
        <v>5710</v>
      </c>
      <c r="T1680" s="74" t="s">
        <v>3742</v>
      </c>
      <c r="U1680" s="50" t="s">
        <v>7612</v>
      </c>
      <c r="V1680" s="118" t="str">
        <f>+Agencia[[#This Row],[idcoleccion]]&amp;"-"&amp;Agencia[[#This Row],[id]]</f>
        <v>990-1669</v>
      </c>
      <c r="W1680" s="118">
        <f>+VLOOKUP(Agencia[[#This Row],[Filtro URL]],Estructura!$X$4:$Y$500,2,0)</f>
        <v>99200005</v>
      </c>
      <c r="X1680" s="118" t="str">
        <f>+VLOOKUP(Agencia[[#This Row],[tema]],Estructura!$A$4:$C$500,3,0)</f>
        <v>T-1053</v>
      </c>
      <c r="Y1680" s="118" t="str">
        <f>+VLOOKUP(Agencia[[#This Row],[contenido]],Estructura!$E$4:$G$500,3,0)</f>
        <v>C-1015</v>
      </c>
      <c r="Z1680" s="118" t="str">
        <f>+VLOOKUP(Agencia[[#This Row],[Filtro Integrado]],Estructura!$I$4:$K$500,3,0)</f>
        <v>FI-991</v>
      </c>
      <c r="AA1680" s="118" t="str">
        <f>+VLOOKUP(Agencia[[#This Row],[Muestra]],Estructura!$M$4:$O$500,3,0)</f>
        <v>M-1137</v>
      </c>
    </row>
    <row r="1681" spans="1:27" ht="57.6" x14ac:dyDescent="0.3">
      <c r="A1681" s="21" t="s">
        <v>6151</v>
      </c>
      <c r="B1681" s="9">
        <v>990</v>
      </c>
      <c r="C1681" s="10" t="s">
        <v>401</v>
      </c>
      <c r="D1681" s="61" t="s">
        <v>508</v>
      </c>
      <c r="E1681" s="19">
        <v>6</v>
      </c>
      <c r="F1681" s="10" t="s">
        <v>5701</v>
      </c>
      <c r="G1681" s="10" t="s">
        <v>3795</v>
      </c>
      <c r="H1681" s="35" t="s">
        <v>16</v>
      </c>
      <c r="I1681" s="36" t="s">
        <v>373</v>
      </c>
      <c r="J1681" s="76" t="s">
        <v>18</v>
      </c>
      <c r="K1681" s="9" t="s">
        <v>5702</v>
      </c>
      <c r="L1681" s="9" t="s">
        <v>886</v>
      </c>
      <c r="M1681" s="9" t="s">
        <v>612</v>
      </c>
      <c r="N1681" s="9" t="s">
        <v>431</v>
      </c>
      <c r="O1681" s="9" t="s">
        <v>5879</v>
      </c>
      <c r="P1681" s="61"/>
      <c r="Q1681" s="61"/>
      <c r="R1681" s="9" t="s">
        <v>5880</v>
      </c>
      <c r="S1681" s="62" t="s">
        <v>5711</v>
      </c>
      <c r="T1681" s="74" t="s">
        <v>3740</v>
      </c>
      <c r="U1681" s="50" t="s">
        <v>7613</v>
      </c>
      <c r="V1681" s="118" t="str">
        <f>+Agencia[[#This Row],[idcoleccion]]&amp;"-"&amp;Agencia[[#This Row],[id]]</f>
        <v>990-1670</v>
      </c>
      <c r="W1681" s="118">
        <f>+VLOOKUP(Agencia[[#This Row],[Filtro URL]],Estructura!$X$4:$Y$500,2,0)</f>
        <v>99200006</v>
      </c>
      <c r="X1681" s="118" t="str">
        <f>+VLOOKUP(Agencia[[#This Row],[tema]],Estructura!$A$4:$C$500,3,0)</f>
        <v>T-1053</v>
      </c>
      <c r="Y1681" s="118" t="str">
        <f>+VLOOKUP(Agencia[[#This Row],[contenido]],Estructura!$E$4:$G$500,3,0)</f>
        <v>C-1015</v>
      </c>
      <c r="Z1681" s="118" t="str">
        <f>+VLOOKUP(Agencia[[#This Row],[Filtro Integrado]],Estructura!$I$4:$K$500,3,0)</f>
        <v>FI-991</v>
      </c>
      <c r="AA1681" s="118" t="str">
        <f>+VLOOKUP(Agencia[[#This Row],[Muestra]],Estructura!$M$4:$O$500,3,0)</f>
        <v>M-1137</v>
      </c>
    </row>
    <row r="1682" spans="1:27" ht="57.6" x14ac:dyDescent="0.3">
      <c r="A1682" s="21" t="s">
        <v>6152</v>
      </c>
      <c r="B1682" s="9">
        <v>990</v>
      </c>
      <c r="C1682" s="10" t="s">
        <v>401</v>
      </c>
      <c r="D1682" s="61" t="s">
        <v>508</v>
      </c>
      <c r="E1682" s="19">
        <v>7</v>
      </c>
      <c r="F1682" s="10" t="s">
        <v>5701</v>
      </c>
      <c r="G1682" s="10" t="s">
        <v>3795</v>
      </c>
      <c r="H1682" s="35" t="s">
        <v>16</v>
      </c>
      <c r="I1682" s="36" t="s">
        <v>374</v>
      </c>
      <c r="J1682" s="76" t="s">
        <v>18</v>
      </c>
      <c r="K1682" s="9" t="s">
        <v>5702</v>
      </c>
      <c r="L1682" s="9" t="s">
        <v>886</v>
      </c>
      <c r="M1682" s="9" t="s">
        <v>612</v>
      </c>
      <c r="N1682" s="9" t="s">
        <v>431</v>
      </c>
      <c r="O1682" s="9" t="s">
        <v>5881</v>
      </c>
      <c r="P1682" s="61"/>
      <c r="Q1682" s="61"/>
      <c r="R1682" s="9" t="s">
        <v>5882</v>
      </c>
      <c r="S1682" s="62" t="s">
        <v>5712</v>
      </c>
      <c r="T1682" s="74" t="s">
        <v>3738</v>
      </c>
      <c r="U1682" s="50" t="s">
        <v>7614</v>
      </c>
      <c r="V1682" s="118" t="str">
        <f>+Agencia[[#This Row],[idcoleccion]]&amp;"-"&amp;Agencia[[#This Row],[id]]</f>
        <v>990-1671</v>
      </c>
      <c r="W1682" s="118">
        <f>+VLOOKUP(Agencia[[#This Row],[Filtro URL]],Estructura!$X$4:$Y$500,2,0)</f>
        <v>99200007</v>
      </c>
      <c r="X1682" s="118" t="str">
        <f>+VLOOKUP(Agencia[[#This Row],[tema]],Estructura!$A$4:$C$500,3,0)</f>
        <v>T-1053</v>
      </c>
      <c r="Y1682" s="118" t="str">
        <f>+VLOOKUP(Agencia[[#This Row],[contenido]],Estructura!$E$4:$G$500,3,0)</f>
        <v>C-1015</v>
      </c>
      <c r="Z1682" s="118" t="str">
        <f>+VLOOKUP(Agencia[[#This Row],[Filtro Integrado]],Estructura!$I$4:$K$500,3,0)</f>
        <v>FI-991</v>
      </c>
      <c r="AA1682" s="118" t="str">
        <f>+VLOOKUP(Agencia[[#This Row],[Muestra]],Estructura!$M$4:$O$500,3,0)</f>
        <v>M-1137</v>
      </c>
    </row>
    <row r="1683" spans="1:27" ht="57.6" x14ac:dyDescent="0.3">
      <c r="A1683" s="21" t="s">
        <v>6153</v>
      </c>
      <c r="B1683" s="9">
        <v>990</v>
      </c>
      <c r="C1683" s="10" t="s">
        <v>401</v>
      </c>
      <c r="D1683" s="61" t="s">
        <v>508</v>
      </c>
      <c r="E1683" s="19">
        <v>8</v>
      </c>
      <c r="F1683" s="10" t="s">
        <v>5701</v>
      </c>
      <c r="G1683" s="10" t="s">
        <v>3795</v>
      </c>
      <c r="H1683" s="35" t="s">
        <v>16</v>
      </c>
      <c r="I1683" s="36" t="s">
        <v>375</v>
      </c>
      <c r="J1683" s="76" t="s">
        <v>18</v>
      </c>
      <c r="K1683" s="9" t="s">
        <v>5702</v>
      </c>
      <c r="L1683" s="9" t="s">
        <v>886</v>
      </c>
      <c r="M1683" s="9" t="s">
        <v>612</v>
      </c>
      <c r="N1683" s="9" t="s">
        <v>431</v>
      </c>
      <c r="O1683" s="9" t="s">
        <v>5883</v>
      </c>
      <c r="P1683" s="61"/>
      <c r="Q1683" s="61"/>
      <c r="R1683" s="9" t="s">
        <v>5884</v>
      </c>
      <c r="S1683" s="62" t="s">
        <v>5713</v>
      </c>
      <c r="T1683" s="74" t="s">
        <v>3743</v>
      </c>
      <c r="U1683" s="50" t="s">
        <v>7615</v>
      </c>
      <c r="V1683" s="118" t="str">
        <f>+Agencia[[#This Row],[idcoleccion]]&amp;"-"&amp;Agencia[[#This Row],[id]]</f>
        <v>990-1672</v>
      </c>
      <c r="W1683" s="118">
        <f>+VLOOKUP(Agencia[[#This Row],[Filtro URL]],Estructura!$X$4:$Y$500,2,0)</f>
        <v>99200008</v>
      </c>
      <c r="X1683" s="118" t="str">
        <f>+VLOOKUP(Agencia[[#This Row],[tema]],Estructura!$A$4:$C$500,3,0)</f>
        <v>T-1053</v>
      </c>
      <c r="Y1683" s="118" t="str">
        <f>+VLOOKUP(Agencia[[#This Row],[contenido]],Estructura!$E$4:$G$500,3,0)</f>
        <v>C-1015</v>
      </c>
      <c r="Z1683" s="118" t="str">
        <f>+VLOOKUP(Agencia[[#This Row],[Filtro Integrado]],Estructura!$I$4:$K$500,3,0)</f>
        <v>FI-991</v>
      </c>
      <c r="AA1683" s="118" t="str">
        <f>+VLOOKUP(Agencia[[#This Row],[Muestra]],Estructura!$M$4:$O$500,3,0)</f>
        <v>M-1137</v>
      </c>
    </row>
    <row r="1684" spans="1:27" ht="57.6" x14ac:dyDescent="0.3">
      <c r="A1684" s="21" t="s">
        <v>6154</v>
      </c>
      <c r="B1684" s="9">
        <v>990</v>
      </c>
      <c r="C1684" s="10" t="s">
        <v>401</v>
      </c>
      <c r="D1684" s="61" t="s">
        <v>508</v>
      </c>
      <c r="E1684" s="19">
        <v>9</v>
      </c>
      <c r="F1684" s="10" t="s">
        <v>5701</v>
      </c>
      <c r="G1684" s="10" t="s">
        <v>3795</v>
      </c>
      <c r="H1684" s="35" t="s">
        <v>16</v>
      </c>
      <c r="I1684" s="36" t="s">
        <v>376</v>
      </c>
      <c r="J1684" s="76" t="s">
        <v>18</v>
      </c>
      <c r="K1684" s="9" t="s">
        <v>5702</v>
      </c>
      <c r="L1684" s="9" t="s">
        <v>886</v>
      </c>
      <c r="M1684" s="9" t="s">
        <v>612</v>
      </c>
      <c r="N1684" s="9" t="s">
        <v>431</v>
      </c>
      <c r="O1684" s="9" t="s">
        <v>5885</v>
      </c>
      <c r="P1684" s="61"/>
      <c r="Q1684" s="61"/>
      <c r="R1684" s="9" t="s">
        <v>5886</v>
      </c>
      <c r="S1684" s="62" t="s">
        <v>5714</v>
      </c>
      <c r="T1684" s="74" t="s">
        <v>3734</v>
      </c>
      <c r="U1684" s="50" t="s">
        <v>7616</v>
      </c>
      <c r="V1684" s="118" t="str">
        <f>+Agencia[[#This Row],[idcoleccion]]&amp;"-"&amp;Agencia[[#This Row],[id]]</f>
        <v>990-1673</v>
      </c>
      <c r="W1684" s="118">
        <f>+VLOOKUP(Agencia[[#This Row],[Filtro URL]],Estructura!$X$4:$Y$500,2,0)</f>
        <v>99200009</v>
      </c>
      <c r="X1684" s="118" t="str">
        <f>+VLOOKUP(Agencia[[#This Row],[tema]],Estructura!$A$4:$C$500,3,0)</f>
        <v>T-1053</v>
      </c>
      <c r="Y1684" s="118" t="str">
        <f>+VLOOKUP(Agencia[[#This Row],[contenido]],Estructura!$E$4:$G$500,3,0)</f>
        <v>C-1015</v>
      </c>
      <c r="Z1684" s="118" t="str">
        <f>+VLOOKUP(Agencia[[#This Row],[Filtro Integrado]],Estructura!$I$4:$K$500,3,0)</f>
        <v>FI-991</v>
      </c>
      <c r="AA1684" s="118" t="str">
        <f>+VLOOKUP(Agencia[[#This Row],[Muestra]],Estructura!$M$4:$O$500,3,0)</f>
        <v>M-1137</v>
      </c>
    </row>
    <row r="1685" spans="1:27" ht="57.6" x14ac:dyDescent="0.3">
      <c r="A1685" s="21" t="s">
        <v>6155</v>
      </c>
      <c r="B1685" s="9">
        <v>990</v>
      </c>
      <c r="C1685" s="10" t="s">
        <v>401</v>
      </c>
      <c r="D1685" s="61" t="s">
        <v>508</v>
      </c>
      <c r="E1685" s="19">
        <v>10</v>
      </c>
      <c r="F1685" s="10" t="s">
        <v>5701</v>
      </c>
      <c r="G1685" s="10" t="s">
        <v>3795</v>
      </c>
      <c r="H1685" s="35" t="s">
        <v>16</v>
      </c>
      <c r="I1685" s="36" t="s">
        <v>377</v>
      </c>
      <c r="J1685" s="76" t="s">
        <v>18</v>
      </c>
      <c r="K1685" s="9" t="s">
        <v>5702</v>
      </c>
      <c r="L1685" s="9" t="s">
        <v>886</v>
      </c>
      <c r="M1685" s="9" t="s">
        <v>612</v>
      </c>
      <c r="N1685" s="9" t="s">
        <v>431</v>
      </c>
      <c r="O1685" s="9" t="s">
        <v>5887</v>
      </c>
      <c r="P1685" s="61"/>
      <c r="Q1685" s="61"/>
      <c r="R1685" s="9" t="s">
        <v>5888</v>
      </c>
      <c r="S1685" s="62" t="s">
        <v>5715</v>
      </c>
      <c r="T1685" s="74" t="s">
        <v>3735</v>
      </c>
      <c r="U1685" s="50" t="s">
        <v>7617</v>
      </c>
      <c r="V1685" s="118" t="str">
        <f>+Agencia[[#This Row],[idcoleccion]]&amp;"-"&amp;Agencia[[#This Row],[id]]</f>
        <v>990-1674</v>
      </c>
      <c r="W1685" s="118">
        <f>+VLOOKUP(Agencia[[#This Row],[Filtro URL]],Estructura!$X$4:$Y$500,2,0)</f>
        <v>99200010</v>
      </c>
      <c r="X1685" s="118" t="str">
        <f>+VLOOKUP(Agencia[[#This Row],[tema]],Estructura!$A$4:$C$500,3,0)</f>
        <v>T-1053</v>
      </c>
      <c r="Y1685" s="118" t="str">
        <f>+VLOOKUP(Agencia[[#This Row],[contenido]],Estructura!$E$4:$G$500,3,0)</f>
        <v>C-1015</v>
      </c>
      <c r="Z1685" s="118" t="str">
        <f>+VLOOKUP(Agencia[[#This Row],[Filtro Integrado]],Estructura!$I$4:$K$500,3,0)</f>
        <v>FI-991</v>
      </c>
      <c r="AA1685" s="118" t="str">
        <f>+VLOOKUP(Agencia[[#This Row],[Muestra]],Estructura!$M$4:$O$500,3,0)</f>
        <v>M-1137</v>
      </c>
    </row>
    <row r="1686" spans="1:27" ht="57.6" x14ac:dyDescent="0.3">
      <c r="A1686" s="21" t="s">
        <v>6156</v>
      </c>
      <c r="B1686" s="9">
        <v>990</v>
      </c>
      <c r="C1686" s="10" t="s">
        <v>401</v>
      </c>
      <c r="D1686" s="61" t="s">
        <v>508</v>
      </c>
      <c r="E1686" s="19">
        <v>11</v>
      </c>
      <c r="F1686" s="10" t="s">
        <v>5701</v>
      </c>
      <c r="G1686" s="10" t="s">
        <v>3795</v>
      </c>
      <c r="H1686" s="35" t="s">
        <v>16</v>
      </c>
      <c r="I1686" s="36" t="s">
        <v>378</v>
      </c>
      <c r="J1686" s="76" t="s">
        <v>18</v>
      </c>
      <c r="K1686" s="9" t="s">
        <v>5702</v>
      </c>
      <c r="L1686" s="9" t="s">
        <v>886</v>
      </c>
      <c r="M1686" s="9" t="s">
        <v>612</v>
      </c>
      <c r="N1686" s="9" t="s">
        <v>431</v>
      </c>
      <c r="O1686" s="9" t="s">
        <v>5889</v>
      </c>
      <c r="P1686" s="61"/>
      <c r="Q1686" s="61"/>
      <c r="R1686" s="9" t="s">
        <v>5890</v>
      </c>
      <c r="S1686" s="62" t="s">
        <v>5716</v>
      </c>
      <c r="T1686" s="74" t="s">
        <v>3732</v>
      </c>
      <c r="U1686" s="50" t="s">
        <v>7618</v>
      </c>
      <c r="V1686" s="118" t="str">
        <f>+Agencia[[#This Row],[idcoleccion]]&amp;"-"&amp;Agencia[[#This Row],[id]]</f>
        <v>990-1675</v>
      </c>
      <c r="W1686" s="118">
        <f>+VLOOKUP(Agencia[[#This Row],[Filtro URL]],Estructura!$X$4:$Y$500,2,0)</f>
        <v>99200011</v>
      </c>
      <c r="X1686" s="118" t="str">
        <f>+VLOOKUP(Agencia[[#This Row],[tema]],Estructura!$A$4:$C$500,3,0)</f>
        <v>T-1053</v>
      </c>
      <c r="Y1686" s="118" t="str">
        <f>+VLOOKUP(Agencia[[#This Row],[contenido]],Estructura!$E$4:$G$500,3,0)</f>
        <v>C-1015</v>
      </c>
      <c r="Z1686" s="118" t="str">
        <f>+VLOOKUP(Agencia[[#This Row],[Filtro Integrado]],Estructura!$I$4:$K$500,3,0)</f>
        <v>FI-991</v>
      </c>
      <c r="AA1686" s="118" t="str">
        <f>+VLOOKUP(Agencia[[#This Row],[Muestra]],Estructura!$M$4:$O$500,3,0)</f>
        <v>M-1137</v>
      </c>
    </row>
    <row r="1687" spans="1:27" ht="57.6" x14ac:dyDescent="0.3">
      <c r="A1687" s="21" t="s">
        <v>6157</v>
      </c>
      <c r="B1687" s="9">
        <v>990</v>
      </c>
      <c r="C1687" s="10" t="s">
        <v>401</v>
      </c>
      <c r="D1687" s="61" t="s">
        <v>508</v>
      </c>
      <c r="E1687" s="19">
        <v>12</v>
      </c>
      <c r="F1687" s="10" t="s">
        <v>5701</v>
      </c>
      <c r="G1687" s="10" t="s">
        <v>3795</v>
      </c>
      <c r="H1687" s="35" t="s">
        <v>16</v>
      </c>
      <c r="I1687" s="36" t="s">
        <v>379</v>
      </c>
      <c r="J1687" s="76" t="s">
        <v>18</v>
      </c>
      <c r="K1687" s="9" t="s">
        <v>5702</v>
      </c>
      <c r="L1687" s="9" t="s">
        <v>886</v>
      </c>
      <c r="M1687" s="9" t="s">
        <v>612</v>
      </c>
      <c r="N1687" s="9" t="s">
        <v>431</v>
      </c>
      <c r="O1687" s="9" t="s">
        <v>5891</v>
      </c>
      <c r="P1687" s="61"/>
      <c r="Q1687" s="61"/>
      <c r="R1687" s="9" t="s">
        <v>5892</v>
      </c>
      <c r="S1687" s="62" t="s">
        <v>5717</v>
      </c>
      <c r="T1687" s="74" t="s">
        <v>3737</v>
      </c>
      <c r="U1687" s="50" t="s">
        <v>7619</v>
      </c>
      <c r="V1687" s="118" t="str">
        <f>+Agencia[[#This Row],[idcoleccion]]&amp;"-"&amp;Agencia[[#This Row],[id]]</f>
        <v>990-1676</v>
      </c>
      <c r="W1687" s="118">
        <f>+VLOOKUP(Agencia[[#This Row],[Filtro URL]],Estructura!$X$4:$Y$500,2,0)</f>
        <v>99200012</v>
      </c>
      <c r="X1687" s="118" t="str">
        <f>+VLOOKUP(Agencia[[#This Row],[tema]],Estructura!$A$4:$C$500,3,0)</f>
        <v>T-1053</v>
      </c>
      <c r="Y1687" s="118" t="str">
        <f>+VLOOKUP(Agencia[[#This Row],[contenido]],Estructura!$E$4:$G$500,3,0)</f>
        <v>C-1015</v>
      </c>
      <c r="Z1687" s="118" t="str">
        <f>+VLOOKUP(Agencia[[#This Row],[Filtro Integrado]],Estructura!$I$4:$K$500,3,0)</f>
        <v>FI-991</v>
      </c>
      <c r="AA1687" s="118" t="str">
        <f>+VLOOKUP(Agencia[[#This Row],[Muestra]],Estructura!$M$4:$O$500,3,0)</f>
        <v>M-1137</v>
      </c>
    </row>
    <row r="1688" spans="1:27" ht="57.6" x14ac:dyDescent="0.3">
      <c r="A1688" s="21" t="s">
        <v>6158</v>
      </c>
      <c r="B1688" s="9">
        <v>990</v>
      </c>
      <c r="C1688" s="10" t="s">
        <v>401</v>
      </c>
      <c r="D1688" s="61" t="s">
        <v>508</v>
      </c>
      <c r="E1688" s="19">
        <v>13</v>
      </c>
      <c r="F1688" s="10" t="s">
        <v>5701</v>
      </c>
      <c r="G1688" s="10" t="s">
        <v>3795</v>
      </c>
      <c r="H1688" s="35" t="s">
        <v>16</v>
      </c>
      <c r="I1688" s="36" t="s">
        <v>380</v>
      </c>
      <c r="J1688" s="76" t="s">
        <v>18</v>
      </c>
      <c r="K1688" s="9" t="s">
        <v>5702</v>
      </c>
      <c r="L1688" s="9" t="s">
        <v>886</v>
      </c>
      <c r="M1688" s="9" t="s">
        <v>612</v>
      </c>
      <c r="N1688" s="9" t="s">
        <v>431</v>
      </c>
      <c r="O1688" s="9" t="s">
        <v>5893</v>
      </c>
      <c r="P1688" s="61"/>
      <c r="Q1688" s="61"/>
      <c r="R1688" s="9" t="s">
        <v>5894</v>
      </c>
      <c r="S1688" s="62" t="s">
        <v>5718</v>
      </c>
      <c r="T1688" s="74" t="s">
        <v>3744</v>
      </c>
      <c r="U1688" s="50" t="s">
        <v>7620</v>
      </c>
      <c r="V1688" s="118" t="str">
        <f>+Agencia[[#This Row],[idcoleccion]]&amp;"-"&amp;Agencia[[#This Row],[id]]</f>
        <v>990-1677</v>
      </c>
      <c r="W1688" s="118">
        <f>+VLOOKUP(Agencia[[#This Row],[Filtro URL]],Estructura!$X$4:$Y$500,2,0)</f>
        <v>99200013</v>
      </c>
      <c r="X1688" s="118" t="str">
        <f>+VLOOKUP(Agencia[[#This Row],[tema]],Estructura!$A$4:$C$500,3,0)</f>
        <v>T-1053</v>
      </c>
      <c r="Y1688" s="118" t="str">
        <f>+VLOOKUP(Agencia[[#This Row],[contenido]],Estructura!$E$4:$G$500,3,0)</f>
        <v>C-1015</v>
      </c>
      <c r="Z1688" s="118" t="str">
        <f>+VLOOKUP(Agencia[[#This Row],[Filtro Integrado]],Estructura!$I$4:$K$500,3,0)</f>
        <v>FI-991</v>
      </c>
      <c r="AA1688" s="118" t="str">
        <f>+VLOOKUP(Agencia[[#This Row],[Muestra]],Estructura!$M$4:$O$500,3,0)</f>
        <v>M-1137</v>
      </c>
    </row>
    <row r="1689" spans="1:27" ht="57.6" x14ac:dyDescent="0.3">
      <c r="A1689" s="21" t="s">
        <v>6159</v>
      </c>
      <c r="B1689" s="9">
        <v>990</v>
      </c>
      <c r="C1689" s="10" t="s">
        <v>401</v>
      </c>
      <c r="D1689" s="61" t="s">
        <v>508</v>
      </c>
      <c r="E1689" s="19">
        <v>14</v>
      </c>
      <c r="F1689" s="10" t="s">
        <v>5701</v>
      </c>
      <c r="G1689" s="10" t="s">
        <v>3795</v>
      </c>
      <c r="H1689" s="35" t="s">
        <v>16</v>
      </c>
      <c r="I1689" s="36" t="s">
        <v>381</v>
      </c>
      <c r="J1689" s="76" t="s">
        <v>18</v>
      </c>
      <c r="K1689" s="9" t="s">
        <v>5702</v>
      </c>
      <c r="L1689" s="9" t="s">
        <v>886</v>
      </c>
      <c r="M1689" s="9" t="s">
        <v>612</v>
      </c>
      <c r="N1689" s="9" t="s">
        <v>431</v>
      </c>
      <c r="O1689" s="9" t="s">
        <v>5895</v>
      </c>
      <c r="P1689" s="61"/>
      <c r="Q1689" s="61"/>
      <c r="R1689" s="9" t="s">
        <v>5896</v>
      </c>
      <c r="S1689" s="62" t="s">
        <v>5719</v>
      </c>
      <c r="T1689" s="74" t="s">
        <v>3736</v>
      </c>
      <c r="U1689" s="50" t="s">
        <v>7621</v>
      </c>
      <c r="V1689" s="118" t="str">
        <f>+Agencia[[#This Row],[idcoleccion]]&amp;"-"&amp;Agencia[[#This Row],[id]]</f>
        <v>990-1678</v>
      </c>
      <c r="W1689" s="118">
        <f>+VLOOKUP(Agencia[[#This Row],[Filtro URL]],Estructura!$X$4:$Y$500,2,0)</f>
        <v>99200014</v>
      </c>
      <c r="X1689" s="118" t="str">
        <f>+VLOOKUP(Agencia[[#This Row],[tema]],Estructura!$A$4:$C$500,3,0)</f>
        <v>T-1053</v>
      </c>
      <c r="Y1689" s="118" t="str">
        <f>+VLOOKUP(Agencia[[#This Row],[contenido]],Estructura!$E$4:$G$500,3,0)</f>
        <v>C-1015</v>
      </c>
      <c r="Z1689" s="118" t="str">
        <f>+VLOOKUP(Agencia[[#This Row],[Filtro Integrado]],Estructura!$I$4:$K$500,3,0)</f>
        <v>FI-991</v>
      </c>
      <c r="AA1689" s="118" t="str">
        <f>+VLOOKUP(Agencia[[#This Row],[Muestra]],Estructura!$M$4:$O$500,3,0)</f>
        <v>M-1137</v>
      </c>
    </row>
    <row r="1690" spans="1:27" ht="57.6" x14ac:dyDescent="0.3">
      <c r="A1690" s="21" t="s">
        <v>6160</v>
      </c>
      <c r="B1690" s="9">
        <v>990</v>
      </c>
      <c r="C1690" s="10" t="s">
        <v>401</v>
      </c>
      <c r="D1690" s="61" t="s">
        <v>508</v>
      </c>
      <c r="E1690" s="19">
        <v>15</v>
      </c>
      <c r="F1690" s="10" t="s">
        <v>5701</v>
      </c>
      <c r="G1690" s="10" t="s">
        <v>3795</v>
      </c>
      <c r="H1690" s="35" t="s">
        <v>16</v>
      </c>
      <c r="I1690" s="36" t="s">
        <v>382</v>
      </c>
      <c r="J1690" s="76" t="s">
        <v>18</v>
      </c>
      <c r="K1690" s="9" t="s">
        <v>5702</v>
      </c>
      <c r="L1690" s="9" t="s">
        <v>886</v>
      </c>
      <c r="M1690" s="9" t="s">
        <v>612</v>
      </c>
      <c r="N1690" s="9" t="s">
        <v>431</v>
      </c>
      <c r="O1690" s="9" t="s">
        <v>5897</v>
      </c>
      <c r="P1690" s="61"/>
      <c r="Q1690" s="61"/>
      <c r="R1690" s="9" t="s">
        <v>5898</v>
      </c>
      <c r="S1690" s="62" t="s">
        <v>5720</v>
      </c>
      <c r="T1690" s="74" t="s">
        <v>3730</v>
      </c>
      <c r="U1690" s="50" t="s">
        <v>7622</v>
      </c>
      <c r="V1690" s="118" t="str">
        <f>+Agencia[[#This Row],[idcoleccion]]&amp;"-"&amp;Agencia[[#This Row],[id]]</f>
        <v>990-1679</v>
      </c>
      <c r="W1690" s="118">
        <f>+VLOOKUP(Agencia[[#This Row],[Filtro URL]],Estructura!$X$4:$Y$500,2,0)</f>
        <v>99200015</v>
      </c>
      <c r="X1690" s="118" t="str">
        <f>+VLOOKUP(Agencia[[#This Row],[tema]],Estructura!$A$4:$C$500,3,0)</f>
        <v>T-1053</v>
      </c>
      <c r="Y1690" s="118" t="str">
        <f>+VLOOKUP(Agencia[[#This Row],[contenido]],Estructura!$E$4:$G$500,3,0)</f>
        <v>C-1015</v>
      </c>
      <c r="Z1690" s="118" t="str">
        <f>+VLOOKUP(Agencia[[#This Row],[Filtro Integrado]],Estructura!$I$4:$K$500,3,0)</f>
        <v>FI-991</v>
      </c>
      <c r="AA1690" s="118" t="str">
        <f>+VLOOKUP(Agencia[[#This Row],[Muestra]],Estructura!$M$4:$O$500,3,0)</f>
        <v>M-1137</v>
      </c>
    </row>
    <row r="1691" spans="1:27" ht="57.6" x14ac:dyDescent="0.3">
      <c r="A1691" s="21" t="s">
        <v>6161</v>
      </c>
      <c r="B1691" s="9">
        <v>990</v>
      </c>
      <c r="C1691" s="10" t="s">
        <v>401</v>
      </c>
      <c r="D1691" s="61" t="s">
        <v>508</v>
      </c>
      <c r="E1691" s="114">
        <v>16</v>
      </c>
      <c r="F1691" s="10" t="s">
        <v>5701</v>
      </c>
      <c r="G1691" s="10" t="s">
        <v>3795</v>
      </c>
      <c r="H1691" s="35" t="s">
        <v>16</v>
      </c>
      <c r="I1691" s="36" t="s">
        <v>383</v>
      </c>
      <c r="J1691" s="76" t="s">
        <v>18</v>
      </c>
      <c r="K1691" s="9" t="s">
        <v>5702</v>
      </c>
      <c r="L1691" s="9" t="s">
        <v>886</v>
      </c>
      <c r="M1691" s="9" t="s">
        <v>612</v>
      </c>
      <c r="N1691" s="9" t="s">
        <v>431</v>
      </c>
      <c r="O1691" s="9" t="s">
        <v>5899</v>
      </c>
      <c r="P1691" s="61"/>
      <c r="Q1691" s="61"/>
      <c r="R1691" s="9" t="s">
        <v>5900</v>
      </c>
      <c r="S1691" s="62" t="s">
        <v>5721</v>
      </c>
      <c r="T1691" s="74" t="s">
        <v>3739</v>
      </c>
      <c r="U1691" s="50" t="s">
        <v>7623</v>
      </c>
      <c r="V1691" s="118" t="str">
        <f>+Agencia[[#This Row],[idcoleccion]]&amp;"-"&amp;Agencia[[#This Row],[id]]</f>
        <v>990-1680</v>
      </c>
      <c r="W1691" s="118">
        <f>+VLOOKUP(Agencia[[#This Row],[Filtro URL]],Estructura!$X$4:$Y$500,2,0)</f>
        <v>99200016</v>
      </c>
      <c r="X1691" s="118" t="str">
        <f>+VLOOKUP(Agencia[[#This Row],[tema]],Estructura!$A$4:$C$500,3,0)</f>
        <v>T-1053</v>
      </c>
      <c r="Y1691" s="118" t="str">
        <f>+VLOOKUP(Agencia[[#This Row],[contenido]],Estructura!$E$4:$G$500,3,0)</f>
        <v>C-1015</v>
      </c>
      <c r="Z1691" s="118" t="str">
        <f>+VLOOKUP(Agencia[[#This Row],[Filtro Integrado]],Estructura!$I$4:$K$500,3,0)</f>
        <v>FI-991</v>
      </c>
      <c r="AA1691" s="118" t="str">
        <f>+VLOOKUP(Agencia[[#This Row],[Muestra]],Estructura!$M$4:$O$500,3,0)</f>
        <v>M-1137</v>
      </c>
    </row>
    <row r="1692" spans="1:27" ht="84" x14ac:dyDescent="0.3">
      <c r="A1692" s="21" t="s">
        <v>6162</v>
      </c>
      <c r="B1692" s="9">
        <v>990</v>
      </c>
      <c r="C1692" s="10" t="s">
        <v>401</v>
      </c>
      <c r="D1692" s="61" t="s">
        <v>508</v>
      </c>
      <c r="E1692" s="115">
        <v>0</v>
      </c>
      <c r="F1692" s="10" t="s">
        <v>5722</v>
      </c>
      <c r="G1692" s="10" t="s">
        <v>3795</v>
      </c>
      <c r="H1692" s="33" t="s">
        <v>20</v>
      </c>
      <c r="I1692" s="34" t="s">
        <v>15</v>
      </c>
      <c r="J1692" s="76" t="s">
        <v>1032</v>
      </c>
      <c r="K1692" s="9" t="s">
        <v>5723</v>
      </c>
      <c r="L1692" s="9" t="s">
        <v>886</v>
      </c>
      <c r="M1692" s="9" t="s">
        <v>612</v>
      </c>
      <c r="N1692" s="9" t="s">
        <v>431</v>
      </c>
      <c r="O1692" s="9" t="s">
        <v>5901</v>
      </c>
      <c r="P1692" s="9" t="s">
        <v>5724</v>
      </c>
      <c r="Q1692" s="9" t="s">
        <v>831</v>
      </c>
      <c r="R1692" s="9" t="s">
        <v>8352</v>
      </c>
      <c r="S1692" s="62" t="s">
        <v>5725</v>
      </c>
      <c r="T1692" s="74" t="s">
        <v>1033</v>
      </c>
      <c r="U1692" s="50" t="s">
        <v>7624</v>
      </c>
      <c r="V1692" s="118" t="str">
        <f>+Agencia[[#This Row],[idcoleccion]]&amp;"-"&amp;Agencia[[#This Row],[id]]</f>
        <v>990-1681</v>
      </c>
      <c r="W1692" s="118">
        <f>+VLOOKUP(Agencia[[#This Row],[Filtro URL]],Estructura!$X$4:$Y$500,2,0)</f>
        <v>99100000</v>
      </c>
      <c r="X1692" s="118" t="str">
        <f>+VLOOKUP(Agencia[[#This Row],[tema]],Estructura!$A$4:$C$500,3,0)</f>
        <v>T-1054</v>
      </c>
      <c r="Y1692" s="118" t="str">
        <f>+VLOOKUP(Agencia[[#This Row],[contenido]],Estructura!$E$4:$G$500,3,0)</f>
        <v>C-1015</v>
      </c>
      <c r="Z1692" s="118" t="str">
        <f>+VLOOKUP(Agencia[[#This Row],[Filtro Integrado]],Estructura!$I$4:$K$500,3,0)</f>
        <v>FI-994</v>
      </c>
      <c r="AA1692" s="118" t="str">
        <f>+VLOOKUP(Agencia[[#This Row],[Muestra]],Estructura!$M$4:$O$500,3,0)</f>
        <v>M-1138</v>
      </c>
    </row>
    <row r="1693" spans="1:27" ht="57.6" x14ac:dyDescent="0.3">
      <c r="A1693" s="21" t="s">
        <v>6163</v>
      </c>
      <c r="B1693" s="9">
        <v>990</v>
      </c>
      <c r="C1693" s="10" t="s">
        <v>401</v>
      </c>
      <c r="D1693" s="61" t="s">
        <v>508</v>
      </c>
      <c r="E1693" s="114">
        <v>1</v>
      </c>
      <c r="F1693" s="10" t="s">
        <v>5722</v>
      </c>
      <c r="G1693" s="10" t="s">
        <v>3795</v>
      </c>
      <c r="H1693" s="35" t="s">
        <v>16</v>
      </c>
      <c r="I1693" s="36" t="s">
        <v>368</v>
      </c>
      <c r="J1693" s="76" t="s">
        <v>18</v>
      </c>
      <c r="K1693" s="9" t="s">
        <v>5723</v>
      </c>
      <c r="L1693" s="9" t="s">
        <v>886</v>
      </c>
      <c r="M1693" s="9" t="s">
        <v>612</v>
      </c>
      <c r="N1693" s="9" t="s">
        <v>431</v>
      </c>
      <c r="O1693" s="9" t="s">
        <v>5902</v>
      </c>
      <c r="P1693" s="61"/>
      <c r="Q1693" s="9" t="s">
        <v>831</v>
      </c>
      <c r="R1693" s="9" t="s">
        <v>5903</v>
      </c>
      <c r="S1693" s="62" t="s">
        <v>5726</v>
      </c>
      <c r="T1693" s="74" t="s">
        <v>3741</v>
      </c>
      <c r="U1693" s="50" t="s">
        <v>7625</v>
      </c>
      <c r="V1693" s="118" t="str">
        <f>+Agencia[[#This Row],[idcoleccion]]&amp;"-"&amp;Agencia[[#This Row],[id]]</f>
        <v>990-1682</v>
      </c>
      <c r="W1693" s="118">
        <f>+VLOOKUP(Agencia[[#This Row],[Filtro URL]],Estructura!$X$4:$Y$500,2,0)</f>
        <v>99200001</v>
      </c>
      <c r="X1693" s="118" t="str">
        <f>+VLOOKUP(Agencia[[#This Row],[tema]],Estructura!$A$4:$C$500,3,0)</f>
        <v>T-1054</v>
      </c>
      <c r="Y1693" s="118" t="str">
        <f>+VLOOKUP(Agencia[[#This Row],[contenido]],Estructura!$E$4:$G$500,3,0)</f>
        <v>C-1015</v>
      </c>
      <c r="Z1693" s="118" t="str">
        <f>+VLOOKUP(Agencia[[#This Row],[Filtro Integrado]],Estructura!$I$4:$K$500,3,0)</f>
        <v>FI-991</v>
      </c>
      <c r="AA1693" s="118" t="str">
        <f>+VLOOKUP(Agencia[[#This Row],[Muestra]],Estructura!$M$4:$O$500,3,0)</f>
        <v>M-1138</v>
      </c>
    </row>
    <row r="1694" spans="1:27" ht="57.6" x14ac:dyDescent="0.3">
      <c r="A1694" s="21" t="s">
        <v>6164</v>
      </c>
      <c r="B1694" s="9">
        <v>990</v>
      </c>
      <c r="C1694" s="10" t="s">
        <v>401</v>
      </c>
      <c r="D1694" s="61" t="s">
        <v>508</v>
      </c>
      <c r="E1694" s="114">
        <v>2</v>
      </c>
      <c r="F1694" s="10" t="s">
        <v>5722</v>
      </c>
      <c r="G1694" s="10" t="s">
        <v>3795</v>
      </c>
      <c r="H1694" s="35" t="s">
        <v>16</v>
      </c>
      <c r="I1694" s="36" t="s">
        <v>369</v>
      </c>
      <c r="J1694" s="76" t="s">
        <v>18</v>
      </c>
      <c r="K1694" s="9" t="s">
        <v>5723</v>
      </c>
      <c r="L1694" s="9" t="s">
        <v>886</v>
      </c>
      <c r="M1694" s="9" t="s">
        <v>612</v>
      </c>
      <c r="N1694" s="9" t="s">
        <v>431</v>
      </c>
      <c r="O1694" s="9" t="s">
        <v>5904</v>
      </c>
      <c r="P1694" s="61"/>
      <c r="Q1694" s="9" t="s">
        <v>831</v>
      </c>
      <c r="R1694" s="9" t="s">
        <v>5905</v>
      </c>
      <c r="S1694" s="62" t="s">
        <v>5727</v>
      </c>
      <c r="T1694" s="74" t="s">
        <v>3729</v>
      </c>
      <c r="U1694" s="50" t="s">
        <v>7626</v>
      </c>
      <c r="V1694" s="118" t="str">
        <f>+Agencia[[#This Row],[idcoleccion]]&amp;"-"&amp;Agencia[[#This Row],[id]]</f>
        <v>990-1683</v>
      </c>
      <c r="W1694" s="118">
        <f>+VLOOKUP(Agencia[[#This Row],[Filtro URL]],Estructura!$X$4:$Y$500,2,0)</f>
        <v>99200002</v>
      </c>
      <c r="X1694" s="118" t="str">
        <f>+VLOOKUP(Agencia[[#This Row],[tema]],Estructura!$A$4:$C$500,3,0)</f>
        <v>T-1054</v>
      </c>
      <c r="Y1694" s="118" t="str">
        <f>+VLOOKUP(Agencia[[#This Row],[contenido]],Estructura!$E$4:$G$500,3,0)</f>
        <v>C-1015</v>
      </c>
      <c r="Z1694" s="118" t="str">
        <f>+VLOOKUP(Agencia[[#This Row],[Filtro Integrado]],Estructura!$I$4:$K$500,3,0)</f>
        <v>FI-991</v>
      </c>
      <c r="AA1694" s="118" t="str">
        <f>+VLOOKUP(Agencia[[#This Row],[Muestra]],Estructura!$M$4:$O$500,3,0)</f>
        <v>M-1138</v>
      </c>
    </row>
    <row r="1695" spans="1:27" ht="57.6" x14ac:dyDescent="0.3">
      <c r="A1695" s="21" t="s">
        <v>6165</v>
      </c>
      <c r="B1695" s="9">
        <v>990</v>
      </c>
      <c r="C1695" s="10" t="s">
        <v>401</v>
      </c>
      <c r="D1695" s="61" t="s">
        <v>508</v>
      </c>
      <c r="E1695" s="114">
        <v>3</v>
      </c>
      <c r="F1695" s="10" t="s">
        <v>5722</v>
      </c>
      <c r="G1695" s="10" t="s">
        <v>3795</v>
      </c>
      <c r="H1695" s="35" t="s">
        <v>16</v>
      </c>
      <c r="I1695" s="36" t="s">
        <v>370</v>
      </c>
      <c r="J1695" s="76" t="s">
        <v>18</v>
      </c>
      <c r="K1695" s="9" t="s">
        <v>5723</v>
      </c>
      <c r="L1695" s="9" t="s">
        <v>886</v>
      </c>
      <c r="M1695" s="9" t="s">
        <v>612</v>
      </c>
      <c r="N1695" s="9" t="s">
        <v>431</v>
      </c>
      <c r="O1695" s="9" t="s">
        <v>5906</v>
      </c>
      <c r="P1695" s="61"/>
      <c r="Q1695" s="9" t="s">
        <v>831</v>
      </c>
      <c r="R1695" s="9" t="s">
        <v>5907</v>
      </c>
      <c r="S1695" s="62" t="s">
        <v>5728</v>
      </c>
      <c r="T1695" s="74" t="s">
        <v>3731</v>
      </c>
      <c r="U1695" s="50" t="s">
        <v>7627</v>
      </c>
      <c r="V1695" s="118" t="str">
        <f>+Agencia[[#This Row],[idcoleccion]]&amp;"-"&amp;Agencia[[#This Row],[id]]</f>
        <v>990-1684</v>
      </c>
      <c r="W1695" s="118">
        <f>+VLOOKUP(Agencia[[#This Row],[Filtro URL]],Estructura!$X$4:$Y$500,2,0)</f>
        <v>99200003</v>
      </c>
      <c r="X1695" s="118" t="str">
        <f>+VLOOKUP(Agencia[[#This Row],[tema]],Estructura!$A$4:$C$500,3,0)</f>
        <v>T-1054</v>
      </c>
      <c r="Y1695" s="118" t="str">
        <f>+VLOOKUP(Agencia[[#This Row],[contenido]],Estructura!$E$4:$G$500,3,0)</f>
        <v>C-1015</v>
      </c>
      <c r="Z1695" s="118" t="str">
        <f>+VLOOKUP(Agencia[[#This Row],[Filtro Integrado]],Estructura!$I$4:$K$500,3,0)</f>
        <v>FI-991</v>
      </c>
      <c r="AA1695" s="118" t="str">
        <f>+VLOOKUP(Agencia[[#This Row],[Muestra]],Estructura!$M$4:$O$500,3,0)</f>
        <v>M-1138</v>
      </c>
    </row>
    <row r="1696" spans="1:27" ht="57.6" x14ac:dyDescent="0.3">
      <c r="A1696" s="21" t="s">
        <v>6166</v>
      </c>
      <c r="B1696" s="9">
        <v>990</v>
      </c>
      <c r="C1696" s="10" t="s">
        <v>401</v>
      </c>
      <c r="D1696" s="61" t="s">
        <v>508</v>
      </c>
      <c r="E1696" s="114">
        <v>4</v>
      </c>
      <c r="F1696" s="10" t="s">
        <v>5722</v>
      </c>
      <c r="G1696" s="10" t="s">
        <v>3795</v>
      </c>
      <c r="H1696" s="35" t="s">
        <v>16</v>
      </c>
      <c r="I1696" s="36" t="s">
        <v>371</v>
      </c>
      <c r="J1696" s="76" t="s">
        <v>18</v>
      </c>
      <c r="K1696" s="9" t="s">
        <v>5723</v>
      </c>
      <c r="L1696" s="9" t="s">
        <v>886</v>
      </c>
      <c r="M1696" s="9" t="s">
        <v>612</v>
      </c>
      <c r="N1696" s="9" t="s">
        <v>431</v>
      </c>
      <c r="O1696" s="9" t="s">
        <v>5908</v>
      </c>
      <c r="P1696" s="61"/>
      <c r="Q1696" s="9" t="s">
        <v>831</v>
      </c>
      <c r="R1696" s="9" t="s">
        <v>5909</v>
      </c>
      <c r="S1696" s="62" t="s">
        <v>5729</v>
      </c>
      <c r="T1696" s="74" t="s">
        <v>3733</v>
      </c>
      <c r="U1696" s="50" t="s">
        <v>7628</v>
      </c>
      <c r="V1696" s="118" t="str">
        <f>+Agencia[[#This Row],[idcoleccion]]&amp;"-"&amp;Agencia[[#This Row],[id]]</f>
        <v>990-1685</v>
      </c>
      <c r="W1696" s="118">
        <f>+VLOOKUP(Agencia[[#This Row],[Filtro URL]],Estructura!$X$4:$Y$500,2,0)</f>
        <v>99200004</v>
      </c>
      <c r="X1696" s="118" t="str">
        <f>+VLOOKUP(Agencia[[#This Row],[tema]],Estructura!$A$4:$C$500,3,0)</f>
        <v>T-1054</v>
      </c>
      <c r="Y1696" s="118" t="str">
        <f>+VLOOKUP(Agencia[[#This Row],[contenido]],Estructura!$E$4:$G$500,3,0)</f>
        <v>C-1015</v>
      </c>
      <c r="Z1696" s="118" t="str">
        <f>+VLOOKUP(Agencia[[#This Row],[Filtro Integrado]],Estructura!$I$4:$K$500,3,0)</f>
        <v>FI-991</v>
      </c>
      <c r="AA1696" s="118" t="str">
        <f>+VLOOKUP(Agencia[[#This Row],[Muestra]],Estructura!$M$4:$O$500,3,0)</f>
        <v>M-1138</v>
      </c>
    </row>
    <row r="1697" spans="1:27" ht="57.6" x14ac:dyDescent="0.3">
      <c r="A1697" s="21" t="s">
        <v>6167</v>
      </c>
      <c r="B1697" s="9">
        <v>990</v>
      </c>
      <c r="C1697" s="10" t="s">
        <v>401</v>
      </c>
      <c r="D1697" s="61" t="s">
        <v>508</v>
      </c>
      <c r="E1697" s="114">
        <v>5</v>
      </c>
      <c r="F1697" s="10" t="s">
        <v>5722</v>
      </c>
      <c r="G1697" s="10" t="s">
        <v>3795</v>
      </c>
      <c r="H1697" s="35" t="s">
        <v>16</v>
      </c>
      <c r="I1697" s="36" t="s">
        <v>372</v>
      </c>
      <c r="J1697" s="76" t="s">
        <v>18</v>
      </c>
      <c r="K1697" s="9" t="s">
        <v>5723</v>
      </c>
      <c r="L1697" s="9" t="s">
        <v>886</v>
      </c>
      <c r="M1697" s="9" t="s">
        <v>612</v>
      </c>
      <c r="N1697" s="9" t="s">
        <v>431</v>
      </c>
      <c r="O1697" s="9" t="s">
        <v>5910</v>
      </c>
      <c r="P1697" s="61"/>
      <c r="Q1697" s="9" t="s">
        <v>831</v>
      </c>
      <c r="R1697" s="9" t="s">
        <v>5911</v>
      </c>
      <c r="S1697" s="62" t="s">
        <v>5730</v>
      </c>
      <c r="T1697" s="74" t="s">
        <v>3742</v>
      </c>
      <c r="U1697" s="50" t="s">
        <v>7629</v>
      </c>
      <c r="V1697" s="118" t="str">
        <f>+Agencia[[#This Row],[idcoleccion]]&amp;"-"&amp;Agencia[[#This Row],[id]]</f>
        <v>990-1686</v>
      </c>
      <c r="W1697" s="118">
        <f>+VLOOKUP(Agencia[[#This Row],[Filtro URL]],Estructura!$X$4:$Y$500,2,0)</f>
        <v>99200005</v>
      </c>
      <c r="X1697" s="118" t="str">
        <f>+VLOOKUP(Agencia[[#This Row],[tema]],Estructura!$A$4:$C$500,3,0)</f>
        <v>T-1054</v>
      </c>
      <c r="Y1697" s="118" t="str">
        <f>+VLOOKUP(Agencia[[#This Row],[contenido]],Estructura!$E$4:$G$500,3,0)</f>
        <v>C-1015</v>
      </c>
      <c r="Z1697" s="118" t="str">
        <f>+VLOOKUP(Agencia[[#This Row],[Filtro Integrado]],Estructura!$I$4:$K$500,3,0)</f>
        <v>FI-991</v>
      </c>
      <c r="AA1697" s="118" t="str">
        <f>+VLOOKUP(Agencia[[#This Row],[Muestra]],Estructura!$M$4:$O$500,3,0)</f>
        <v>M-1138</v>
      </c>
    </row>
    <row r="1698" spans="1:27" ht="57.6" x14ac:dyDescent="0.3">
      <c r="A1698" s="21" t="s">
        <v>6168</v>
      </c>
      <c r="B1698" s="9">
        <v>990</v>
      </c>
      <c r="C1698" s="10" t="s">
        <v>401</v>
      </c>
      <c r="D1698" s="61" t="s">
        <v>508</v>
      </c>
      <c r="E1698" s="114">
        <v>6</v>
      </c>
      <c r="F1698" s="10" t="s">
        <v>5722</v>
      </c>
      <c r="G1698" s="10" t="s">
        <v>3795</v>
      </c>
      <c r="H1698" s="35" t="s">
        <v>16</v>
      </c>
      <c r="I1698" s="36" t="s">
        <v>373</v>
      </c>
      <c r="J1698" s="76" t="s">
        <v>18</v>
      </c>
      <c r="K1698" s="9" t="s">
        <v>5723</v>
      </c>
      <c r="L1698" s="9" t="s">
        <v>886</v>
      </c>
      <c r="M1698" s="9" t="s">
        <v>612</v>
      </c>
      <c r="N1698" s="9" t="s">
        <v>431</v>
      </c>
      <c r="O1698" s="9" t="s">
        <v>5912</v>
      </c>
      <c r="P1698" s="61"/>
      <c r="Q1698" s="9" t="s">
        <v>831</v>
      </c>
      <c r="R1698" s="9" t="s">
        <v>5913</v>
      </c>
      <c r="S1698" s="62" t="s">
        <v>5731</v>
      </c>
      <c r="T1698" s="74" t="s">
        <v>3740</v>
      </c>
      <c r="U1698" s="50" t="s">
        <v>7630</v>
      </c>
      <c r="V1698" s="118" t="str">
        <f>+Agencia[[#This Row],[idcoleccion]]&amp;"-"&amp;Agencia[[#This Row],[id]]</f>
        <v>990-1687</v>
      </c>
      <c r="W1698" s="118">
        <f>+VLOOKUP(Agencia[[#This Row],[Filtro URL]],Estructura!$X$4:$Y$500,2,0)</f>
        <v>99200006</v>
      </c>
      <c r="X1698" s="118" t="str">
        <f>+VLOOKUP(Agencia[[#This Row],[tema]],Estructura!$A$4:$C$500,3,0)</f>
        <v>T-1054</v>
      </c>
      <c r="Y1698" s="118" t="str">
        <f>+VLOOKUP(Agencia[[#This Row],[contenido]],Estructura!$E$4:$G$500,3,0)</f>
        <v>C-1015</v>
      </c>
      <c r="Z1698" s="118" t="str">
        <f>+VLOOKUP(Agencia[[#This Row],[Filtro Integrado]],Estructura!$I$4:$K$500,3,0)</f>
        <v>FI-991</v>
      </c>
      <c r="AA1698" s="118" t="str">
        <f>+VLOOKUP(Agencia[[#This Row],[Muestra]],Estructura!$M$4:$O$500,3,0)</f>
        <v>M-1138</v>
      </c>
    </row>
    <row r="1699" spans="1:27" ht="57.6" x14ac:dyDescent="0.3">
      <c r="A1699" s="21" t="s">
        <v>6169</v>
      </c>
      <c r="B1699" s="9">
        <v>990</v>
      </c>
      <c r="C1699" s="10" t="s">
        <v>401</v>
      </c>
      <c r="D1699" s="61" t="s">
        <v>508</v>
      </c>
      <c r="E1699" s="114">
        <v>7</v>
      </c>
      <c r="F1699" s="10" t="s">
        <v>5722</v>
      </c>
      <c r="G1699" s="10" t="s">
        <v>3795</v>
      </c>
      <c r="H1699" s="35" t="s">
        <v>16</v>
      </c>
      <c r="I1699" s="36" t="s">
        <v>374</v>
      </c>
      <c r="J1699" s="76" t="s">
        <v>18</v>
      </c>
      <c r="K1699" s="9" t="s">
        <v>5723</v>
      </c>
      <c r="L1699" s="9" t="s">
        <v>886</v>
      </c>
      <c r="M1699" s="9" t="s">
        <v>612</v>
      </c>
      <c r="N1699" s="9" t="s">
        <v>431</v>
      </c>
      <c r="O1699" s="9" t="s">
        <v>5914</v>
      </c>
      <c r="P1699" s="61"/>
      <c r="Q1699" s="9" t="s">
        <v>831</v>
      </c>
      <c r="R1699" s="9" t="s">
        <v>5915</v>
      </c>
      <c r="S1699" s="62" t="s">
        <v>5732</v>
      </c>
      <c r="T1699" s="74" t="s">
        <v>3738</v>
      </c>
      <c r="U1699" s="50" t="s">
        <v>7631</v>
      </c>
      <c r="V1699" s="118" t="str">
        <f>+Agencia[[#This Row],[idcoleccion]]&amp;"-"&amp;Agencia[[#This Row],[id]]</f>
        <v>990-1688</v>
      </c>
      <c r="W1699" s="118">
        <f>+VLOOKUP(Agencia[[#This Row],[Filtro URL]],Estructura!$X$4:$Y$500,2,0)</f>
        <v>99200007</v>
      </c>
      <c r="X1699" s="118" t="str">
        <f>+VLOOKUP(Agencia[[#This Row],[tema]],Estructura!$A$4:$C$500,3,0)</f>
        <v>T-1054</v>
      </c>
      <c r="Y1699" s="118" t="str">
        <f>+VLOOKUP(Agencia[[#This Row],[contenido]],Estructura!$E$4:$G$500,3,0)</f>
        <v>C-1015</v>
      </c>
      <c r="Z1699" s="118" t="str">
        <f>+VLOOKUP(Agencia[[#This Row],[Filtro Integrado]],Estructura!$I$4:$K$500,3,0)</f>
        <v>FI-991</v>
      </c>
      <c r="AA1699" s="118" t="str">
        <f>+VLOOKUP(Agencia[[#This Row],[Muestra]],Estructura!$M$4:$O$500,3,0)</f>
        <v>M-1138</v>
      </c>
    </row>
    <row r="1700" spans="1:27" ht="57.6" x14ac:dyDescent="0.3">
      <c r="A1700" s="21" t="s">
        <v>6170</v>
      </c>
      <c r="B1700" s="9">
        <v>990</v>
      </c>
      <c r="C1700" s="10" t="s">
        <v>401</v>
      </c>
      <c r="D1700" s="61" t="s">
        <v>508</v>
      </c>
      <c r="E1700" s="114">
        <v>8</v>
      </c>
      <c r="F1700" s="10" t="s">
        <v>5722</v>
      </c>
      <c r="G1700" s="10" t="s">
        <v>3795</v>
      </c>
      <c r="H1700" s="35" t="s">
        <v>16</v>
      </c>
      <c r="I1700" s="36" t="s">
        <v>375</v>
      </c>
      <c r="J1700" s="76" t="s">
        <v>18</v>
      </c>
      <c r="K1700" s="9" t="s">
        <v>5723</v>
      </c>
      <c r="L1700" s="9" t="s">
        <v>886</v>
      </c>
      <c r="M1700" s="9" t="s">
        <v>612</v>
      </c>
      <c r="N1700" s="9" t="s">
        <v>431</v>
      </c>
      <c r="O1700" s="9" t="s">
        <v>5916</v>
      </c>
      <c r="P1700" s="61"/>
      <c r="Q1700" s="9" t="s">
        <v>831</v>
      </c>
      <c r="R1700" s="9" t="s">
        <v>5917</v>
      </c>
      <c r="S1700" s="62" t="s">
        <v>5733</v>
      </c>
      <c r="T1700" s="74" t="s">
        <v>3743</v>
      </c>
      <c r="U1700" s="50" t="s">
        <v>7632</v>
      </c>
      <c r="V1700" s="118" t="str">
        <f>+Agencia[[#This Row],[idcoleccion]]&amp;"-"&amp;Agencia[[#This Row],[id]]</f>
        <v>990-1689</v>
      </c>
      <c r="W1700" s="118">
        <f>+VLOOKUP(Agencia[[#This Row],[Filtro URL]],Estructura!$X$4:$Y$500,2,0)</f>
        <v>99200008</v>
      </c>
      <c r="X1700" s="118" t="str">
        <f>+VLOOKUP(Agencia[[#This Row],[tema]],Estructura!$A$4:$C$500,3,0)</f>
        <v>T-1054</v>
      </c>
      <c r="Y1700" s="118" t="str">
        <f>+VLOOKUP(Agencia[[#This Row],[contenido]],Estructura!$E$4:$G$500,3,0)</f>
        <v>C-1015</v>
      </c>
      <c r="Z1700" s="118" t="str">
        <f>+VLOOKUP(Agencia[[#This Row],[Filtro Integrado]],Estructura!$I$4:$K$500,3,0)</f>
        <v>FI-991</v>
      </c>
      <c r="AA1700" s="118" t="str">
        <f>+VLOOKUP(Agencia[[#This Row],[Muestra]],Estructura!$M$4:$O$500,3,0)</f>
        <v>M-1138</v>
      </c>
    </row>
    <row r="1701" spans="1:27" ht="57.6" x14ac:dyDescent="0.3">
      <c r="A1701" s="21" t="s">
        <v>6171</v>
      </c>
      <c r="B1701" s="9">
        <v>990</v>
      </c>
      <c r="C1701" s="10" t="s">
        <v>401</v>
      </c>
      <c r="D1701" s="61" t="s">
        <v>508</v>
      </c>
      <c r="E1701" s="114">
        <v>9</v>
      </c>
      <c r="F1701" s="10" t="s">
        <v>5722</v>
      </c>
      <c r="G1701" s="10" t="s">
        <v>3795</v>
      </c>
      <c r="H1701" s="35" t="s">
        <v>16</v>
      </c>
      <c r="I1701" s="36" t="s">
        <v>376</v>
      </c>
      <c r="J1701" s="76" t="s">
        <v>18</v>
      </c>
      <c r="K1701" s="9" t="s">
        <v>5723</v>
      </c>
      <c r="L1701" s="9" t="s">
        <v>886</v>
      </c>
      <c r="M1701" s="9" t="s">
        <v>612</v>
      </c>
      <c r="N1701" s="9" t="s">
        <v>431</v>
      </c>
      <c r="O1701" s="9" t="s">
        <v>5918</v>
      </c>
      <c r="P1701" s="61"/>
      <c r="Q1701" s="9" t="s">
        <v>831</v>
      </c>
      <c r="R1701" s="9" t="s">
        <v>5919</v>
      </c>
      <c r="S1701" s="62" t="s">
        <v>5734</v>
      </c>
      <c r="T1701" s="74" t="s">
        <v>3734</v>
      </c>
      <c r="U1701" s="50" t="s">
        <v>7633</v>
      </c>
      <c r="V1701" s="118" t="str">
        <f>+Agencia[[#This Row],[idcoleccion]]&amp;"-"&amp;Agencia[[#This Row],[id]]</f>
        <v>990-1690</v>
      </c>
      <c r="W1701" s="118">
        <f>+VLOOKUP(Agencia[[#This Row],[Filtro URL]],Estructura!$X$4:$Y$500,2,0)</f>
        <v>99200009</v>
      </c>
      <c r="X1701" s="118" t="str">
        <f>+VLOOKUP(Agencia[[#This Row],[tema]],Estructura!$A$4:$C$500,3,0)</f>
        <v>T-1054</v>
      </c>
      <c r="Y1701" s="118" t="str">
        <f>+VLOOKUP(Agencia[[#This Row],[contenido]],Estructura!$E$4:$G$500,3,0)</f>
        <v>C-1015</v>
      </c>
      <c r="Z1701" s="118" t="str">
        <f>+VLOOKUP(Agencia[[#This Row],[Filtro Integrado]],Estructura!$I$4:$K$500,3,0)</f>
        <v>FI-991</v>
      </c>
      <c r="AA1701" s="118" t="str">
        <f>+VLOOKUP(Agencia[[#This Row],[Muestra]],Estructura!$M$4:$O$500,3,0)</f>
        <v>M-1138</v>
      </c>
    </row>
    <row r="1702" spans="1:27" ht="57.6" x14ac:dyDescent="0.3">
      <c r="A1702" s="21" t="s">
        <v>6172</v>
      </c>
      <c r="B1702" s="9">
        <v>990</v>
      </c>
      <c r="C1702" s="10" t="s">
        <v>401</v>
      </c>
      <c r="D1702" s="61" t="s">
        <v>508</v>
      </c>
      <c r="E1702" s="114">
        <v>10</v>
      </c>
      <c r="F1702" s="10" t="s">
        <v>5722</v>
      </c>
      <c r="G1702" s="10" t="s">
        <v>3795</v>
      </c>
      <c r="H1702" s="35" t="s">
        <v>16</v>
      </c>
      <c r="I1702" s="36" t="s">
        <v>377</v>
      </c>
      <c r="J1702" s="76" t="s">
        <v>18</v>
      </c>
      <c r="K1702" s="9" t="s">
        <v>5723</v>
      </c>
      <c r="L1702" s="9" t="s">
        <v>886</v>
      </c>
      <c r="M1702" s="9" t="s">
        <v>612</v>
      </c>
      <c r="N1702" s="9" t="s">
        <v>431</v>
      </c>
      <c r="O1702" s="9" t="s">
        <v>5920</v>
      </c>
      <c r="P1702" s="61"/>
      <c r="Q1702" s="9" t="s">
        <v>831</v>
      </c>
      <c r="R1702" s="9" t="s">
        <v>5921</v>
      </c>
      <c r="S1702" s="62" t="s">
        <v>5735</v>
      </c>
      <c r="T1702" s="74" t="s">
        <v>3735</v>
      </c>
      <c r="U1702" s="50" t="s">
        <v>7634</v>
      </c>
      <c r="V1702" s="118" t="str">
        <f>+Agencia[[#This Row],[idcoleccion]]&amp;"-"&amp;Agencia[[#This Row],[id]]</f>
        <v>990-1691</v>
      </c>
      <c r="W1702" s="118">
        <f>+VLOOKUP(Agencia[[#This Row],[Filtro URL]],Estructura!$X$4:$Y$500,2,0)</f>
        <v>99200010</v>
      </c>
      <c r="X1702" s="118" t="str">
        <f>+VLOOKUP(Agencia[[#This Row],[tema]],Estructura!$A$4:$C$500,3,0)</f>
        <v>T-1054</v>
      </c>
      <c r="Y1702" s="118" t="str">
        <f>+VLOOKUP(Agencia[[#This Row],[contenido]],Estructura!$E$4:$G$500,3,0)</f>
        <v>C-1015</v>
      </c>
      <c r="Z1702" s="118" t="str">
        <f>+VLOOKUP(Agencia[[#This Row],[Filtro Integrado]],Estructura!$I$4:$K$500,3,0)</f>
        <v>FI-991</v>
      </c>
      <c r="AA1702" s="118" t="str">
        <f>+VLOOKUP(Agencia[[#This Row],[Muestra]],Estructura!$M$4:$O$500,3,0)</f>
        <v>M-1138</v>
      </c>
    </row>
    <row r="1703" spans="1:27" ht="57.6" x14ac:dyDescent="0.3">
      <c r="A1703" s="21" t="s">
        <v>6173</v>
      </c>
      <c r="B1703" s="9">
        <v>990</v>
      </c>
      <c r="C1703" s="10" t="s">
        <v>401</v>
      </c>
      <c r="D1703" s="61" t="s">
        <v>508</v>
      </c>
      <c r="E1703" s="114">
        <v>11</v>
      </c>
      <c r="F1703" s="10" t="s">
        <v>5722</v>
      </c>
      <c r="G1703" s="10" t="s">
        <v>3795</v>
      </c>
      <c r="H1703" s="35" t="s">
        <v>16</v>
      </c>
      <c r="I1703" s="36" t="s">
        <v>378</v>
      </c>
      <c r="J1703" s="76" t="s">
        <v>18</v>
      </c>
      <c r="K1703" s="9" t="s">
        <v>5723</v>
      </c>
      <c r="L1703" s="9" t="s">
        <v>886</v>
      </c>
      <c r="M1703" s="9" t="s">
        <v>612</v>
      </c>
      <c r="N1703" s="9" t="s">
        <v>431</v>
      </c>
      <c r="O1703" s="9" t="s">
        <v>5922</v>
      </c>
      <c r="P1703" s="61"/>
      <c r="Q1703" s="9" t="s">
        <v>831</v>
      </c>
      <c r="R1703" s="9" t="s">
        <v>5923</v>
      </c>
      <c r="S1703" s="62" t="s">
        <v>5736</v>
      </c>
      <c r="T1703" s="74" t="s">
        <v>3732</v>
      </c>
      <c r="U1703" s="50" t="s">
        <v>7635</v>
      </c>
      <c r="V1703" s="118" t="str">
        <f>+Agencia[[#This Row],[idcoleccion]]&amp;"-"&amp;Agencia[[#This Row],[id]]</f>
        <v>990-1692</v>
      </c>
      <c r="W1703" s="118">
        <f>+VLOOKUP(Agencia[[#This Row],[Filtro URL]],Estructura!$X$4:$Y$500,2,0)</f>
        <v>99200011</v>
      </c>
      <c r="X1703" s="118" t="str">
        <f>+VLOOKUP(Agencia[[#This Row],[tema]],Estructura!$A$4:$C$500,3,0)</f>
        <v>T-1054</v>
      </c>
      <c r="Y1703" s="118" t="str">
        <f>+VLOOKUP(Agencia[[#This Row],[contenido]],Estructura!$E$4:$G$500,3,0)</f>
        <v>C-1015</v>
      </c>
      <c r="Z1703" s="118" t="str">
        <f>+VLOOKUP(Agencia[[#This Row],[Filtro Integrado]],Estructura!$I$4:$K$500,3,0)</f>
        <v>FI-991</v>
      </c>
      <c r="AA1703" s="118" t="str">
        <f>+VLOOKUP(Agencia[[#This Row],[Muestra]],Estructura!$M$4:$O$500,3,0)</f>
        <v>M-1138</v>
      </c>
    </row>
    <row r="1704" spans="1:27" ht="57.6" x14ac:dyDescent="0.3">
      <c r="A1704" s="21" t="s">
        <v>6174</v>
      </c>
      <c r="B1704" s="9">
        <v>990</v>
      </c>
      <c r="C1704" s="10" t="s">
        <v>401</v>
      </c>
      <c r="D1704" s="61" t="s">
        <v>508</v>
      </c>
      <c r="E1704" s="114">
        <v>12</v>
      </c>
      <c r="F1704" s="10" t="s">
        <v>5722</v>
      </c>
      <c r="G1704" s="10" t="s">
        <v>3795</v>
      </c>
      <c r="H1704" s="35" t="s">
        <v>16</v>
      </c>
      <c r="I1704" s="36" t="s">
        <v>379</v>
      </c>
      <c r="J1704" s="76" t="s">
        <v>18</v>
      </c>
      <c r="K1704" s="9" t="s">
        <v>5723</v>
      </c>
      <c r="L1704" s="9" t="s">
        <v>886</v>
      </c>
      <c r="M1704" s="9" t="s">
        <v>612</v>
      </c>
      <c r="N1704" s="9" t="s">
        <v>431</v>
      </c>
      <c r="O1704" s="9" t="s">
        <v>5924</v>
      </c>
      <c r="P1704" s="61"/>
      <c r="Q1704" s="9" t="s">
        <v>831</v>
      </c>
      <c r="R1704" s="9" t="s">
        <v>5925</v>
      </c>
      <c r="S1704" s="62" t="s">
        <v>5737</v>
      </c>
      <c r="T1704" s="74" t="s">
        <v>3737</v>
      </c>
      <c r="U1704" s="50" t="s">
        <v>7636</v>
      </c>
      <c r="V1704" s="118" t="str">
        <f>+Agencia[[#This Row],[idcoleccion]]&amp;"-"&amp;Agencia[[#This Row],[id]]</f>
        <v>990-1693</v>
      </c>
      <c r="W1704" s="118">
        <f>+VLOOKUP(Agencia[[#This Row],[Filtro URL]],Estructura!$X$4:$Y$500,2,0)</f>
        <v>99200012</v>
      </c>
      <c r="X1704" s="118" t="str">
        <f>+VLOOKUP(Agencia[[#This Row],[tema]],Estructura!$A$4:$C$500,3,0)</f>
        <v>T-1054</v>
      </c>
      <c r="Y1704" s="118" t="str">
        <f>+VLOOKUP(Agencia[[#This Row],[contenido]],Estructura!$E$4:$G$500,3,0)</f>
        <v>C-1015</v>
      </c>
      <c r="Z1704" s="118" t="str">
        <f>+VLOOKUP(Agencia[[#This Row],[Filtro Integrado]],Estructura!$I$4:$K$500,3,0)</f>
        <v>FI-991</v>
      </c>
      <c r="AA1704" s="118" t="str">
        <f>+VLOOKUP(Agencia[[#This Row],[Muestra]],Estructura!$M$4:$O$500,3,0)</f>
        <v>M-1138</v>
      </c>
    </row>
    <row r="1705" spans="1:27" ht="57.6" x14ac:dyDescent="0.3">
      <c r="A1705" s="21" t="s">
        <v>6175</v>
      </c>
      <c r="B1705" s="9">
        <v>990</v>
      </c>
      <c r="C1705" s="10" t="s">
        <v>401</v>
      </c>
      <c r="D1705" s="61" t="s">
        <v>508</v>
      </c>
      <c r="E1705" s="114">
        <v>13</v>
      </c>
      <c r="F1705" s="10" t="s">
        <v>5722</v>
      </c>
      <c r="G1705" s="10" t="s">
        <v>3795</v>
      </c>
      <c r="H1705" s="35" t="s">
        <v>16</v>
      </c>
      <c r="I1705" s="36" t="s">
        <v>380</v>
      </c>
      <c r="J1705" s="76" t="s">
        <v>18</v>
      </c>
      <c r="K1705" s="9" t="s">
        <v>5723</v>
      </c>
      <c r="L1705" s="9" t="s">
        <v>886</v>
      </c>
      <c r="M1705" s="9" t="s">
        <v>612</v>
      </c>
      <c r="N1705" s="9" t="s">
        <v>431</v>
      </c>
      <c r="O1705" s="9" t="s">
        <v>5926</v>
      </c>
      <c r="P1705" s="61"/>
      <c r="Q1705" s="9" t="s">
        <v>831</v>
      </c>
      <c r="R1705" s="9" t="s">
        <v>5927</v>
      </c>
      <c r="S1705" s="62" t="s">
        <v>5738</v>
      </c>
      <c r="T1705" s="74" t="s">
        <v>3744</v>
      </c>
      <c r="U1705" s="50" t="s">
        <v>7637</v>
      </c>
      <c r="V1705" s="118" t="str">
        <f>+Agencia[[#This Row],[idcoleccion]]&amp;"-"&amp;Agencia[[#This Row],[id]]</f>
        <v>990-1694</v>
      </c>
      <c r="W1705" s="118">
        <f>+VLOOKUP(Agencia[[#This Row],[Filtro URL]],Estructura!$X$4:$Y$500,2,0)</f>
        <v>99200013</v>
      </c>
      <c r="X1705" s="118" t="str">
        <f>+VLOOKUP(Agencia[[#This Row],[tema]],Estructura!$A$4:$C$500,3,0)</f>
        <v>T-1054</v>
      </c>
      <c r="Y1705" s="118" t="str">
        <f>+VLOOKUP(Agencia[[#This Row],[contenido]],Estructura!$E$4:$G$500,3,0)</f>
        <v>C-1015</v>
      </c>
      <c r="Z1705" s="118" t="str">
        <f>+VLOOKUP(Agencia[[#This Row],[Filtro Integrado]],Estructura!$I$4:$K$500,3,0)</f>
        <v>FI-991</v>
      </c>
      <c r="AA1705" s="118" t="str">
        <f>+VLOOKUP(Agencia[[#This Row],[Muestra]],Estructura!$M$4:$O$500,3,0)</f>
        <v>M-1138</v>
      </c>
    </row>
    <row r="1706" spans="1:27" ht="57.6" x14ac:dyDescent="0.3">
      <c r="A1706" s="21" t="s">
        <v>6176</v>
      </c>
      <c r="B1706" s="9">
        <v>990</v>
      </c>
      <c r="C1706" s="10" t="s">
        <v>401</v>
      </c>
      <c r="D1706" s="61" t="s">
        <v>508</v>
      </c>
      <c r="E1706" s="114">
        <v>14</v>
      </c>
      <c r="F1706" s="10" t="s">
        <v>5722</v>
      </c>
      <c r="G1706" s="10" t="s">
        <v>3795</v>
      </c>
      <c r="H1706" s="35" t="s">
        <v>16</v>
      </c>
      <c r="I1706" s="36" t="s">
        <v>381</v>
      </c>
      <c r="J1706" s="76" t="s">
        <v>18</v>
      </c>
      <c r="K1706" s="9" t="s">
        <v>5723</v>
      </c>
      <c r="L1706" s="9" t="s">
        <v>886</v>
      </c>
      <c r="M1706" s="9" t="s">
        <v>612</v>
      </c>
      <c r="N1706" s="9" t="s">
        <v>431</v>
      </c>
      <c r="O1706" s="9" t="s">
        <v>5928</v>
      </c>
      <c r="P1706" s="61"/>
      <c r="Q1706" s="9" t="s">
        <v>831</v>
      </c>
      <c r="R1706" s="9" t="s">
        <v>5929</v>
      </c>
      <c r="S1706" s="62" t="s">
        <v>5739</v>
      </c>
      <c r="T1706" s="74" t="s">
        <v>3736</v>
      </c>
      <c r="U1706" s="50" t="s">
        <v>7638</v>
      </c>
      <c r="V1706" s="118" t="str">
        <f>+Agencia[[#This Row],[idcoleccion]]&amp;"-"&amp;Agencia[[#This Row],[id]]</f>
        <v>990-1695</v>
      </c>
      <c r="W1706" s="118">
        <f>+VLOOKUP(Agencia[[#This Row],[Filtro URL]],Estructura!$X$4:$Y$500,2,0)</f>
        <v>99200014</v>
      </c>
      <c r="X1706" s="118" t="str">
        <f>+VLOOKUP(Agencia[[#This Row],[tema]],Estructura!$A$4:$C$500,3,0)</f>
        <v>T-1054</v>
      </c>
      <c r="Y1706" s="118" t="str">
        <f>+VLOOKUP(Agencia[[#This Row],[contenido]],Estructura!$E$4:$G$500,3,0)</f>
        <v>C-1015</v>
      </c>
      <c r="Z1706" s="118" t="str">
        <f>+VLOOKUP(Agencia[[#This Row],[Filtro Integrado]],Estructura!$I$4:$K$500,3,0)</f>
        <v>FI-991</v>
      </c>
      <c r="AA1706" s="118" t="str">
        <f>+VLOOKUP(Agencia[[#This Row],[Muestra]],Estructura!$M$4:$O$500,3,0)</f>
        <v>M-1138</v>
      </c>
    </row>
    <row r="1707" spans="1:27" ht="57.6" x14ac:dyDescent="0.3">
      <c r="A1707" s="21" t="s">
        <v>6177</v>
      </c>
      <c r="B1707" s="9">
        <v>990</v>
      </c>
      <c r="C1707" s="10" t="s">
        <v>401</v>
      </c>
      <c r="D1707" s="61" t="s">
        <v>508</v>
      </c>
      <c r="E1707" s="114">
        <v>15</v>
      </c>
      <c r="F1707" s="10" t="s">
        <v>5722</v>
      </c>
      <c r="G1707" s="10" t="s">
        <v>3795</v>
      </c>
      <c r="H1707" s="35" t="s">
        <v>16</v>
      </c>
      <c r="I1707" s="36" t="s">
        <v>382</v>
      </c>
      <c r="J1707" s="76" t="s">
        <v>18</v>
      </c>
      <c r="K1707" s="9" t="s">
        <v>5723</v>
      </c>
      <c r="L1707" s="9" t="s">
        <v>886</v>
      </c>
      <c r="M1707" s="9" t="s">
        <v>612</v>
      </c>
      <c r="N1707" s="9" t="s">
        <v>431</v>
      </c>
      <c r="O1707" s="9" t="s">
        <v>5930</v>
      </c>
      <c r="P1707" s="61"/>
      <c r="Q1707" s="9" t="s">
        <v>831</v>
      </c>
      <c r="R1707" s="9" t="s">
        <v>5931</v>
      </c>
      <c r="S1707" s="62" t="s">
        <v>5740</v>
      </c>
      <c r="T1707" s="74" t="s">
        <v>3730</v>
      </c>
      <c r="U1707" s="50" t="s">
        <v>7639</v>
      </c>
      <c r="V1707" s="118" t="str">
        <f>+Agencia[[#This Row],[idcoleccion]]&amp;"-"&amp;Agencia[[#This Row],[id]]</f>
        <v>990-1696</v>
      </c>
      <c r="W1707" s="118">
        <f>+VLOOKUP(Agencia[[#This Row],[Filtro URL]],Estructura!$X$4:$Y$500,2,0)</f>
        <v>99200015</v>
      </c>
      <c r="X1707" s="118" t="str">
        <f>+VLOOKUP(Agencia[[#This Row],[tema]],Estructura!$A$4:$C$500,3,0)</f>
        <v>T-1054</v>
      </c>
      <c r="Y1707" s="118" t="str">
        <f>+VLOOKUP(Agencia[[#This Row],[contenido]],Estructura!$E$4:$G$500,3,0)</f>
        <v>C-1015</v>
      </c>
      <c r="Z1707" s="118" t="str">
        <f>+VLOOKUP(Agencia[[#This Row],[Filtro Integrado]],Estructura!$I$4:$K$500,3,0)</f>
        <v>FI-991</v>
      </c>
      <c r="AA1707" s="118" t="str">
        <f>+VLOOKUP(Agencia[[#This Row],[Muestra]],Estructura!$M$4:$O$500,3,0)</f>
        <v>M-1138</v>
      </c>
    </row>
    <row r="1708" spans="1:27" ht="57.6" x14ac:dyDescent="0.3">
      <c r="A1708" s="21" t="s">
        <v>6178</v>
      </c>
      <c r="B1708" s="9">
        <v>990</v>
      </c>
      <c r="C1708" s="10" t="s">
        <v>401</v>
      </c>
      <c r="D1708" s="61" t="s">
        <v>508</v>
      </c>
      <c r="E1708" s="114">
        <v>16</v>
      </c>
      <c r="F1708" s="10" t="s">
        <v>5722</v>
      </c>
      <c r="G1708" s="10" t="s">
        <v>3795</v>
      </c>
      <c r="H1708" s="35" t="s">
        <v>16</v>
      </c>
      <c r="I1708" s="36" t="s">
        <v>383</v>
      </c>
      <c r="J1708" s="76" t="s">
        <v>18</v>
      </c>
      <c r="K1708" s="9" t="s">
        <v>5723</v>
      </c>
      <c r="L1708" s="9" t="s">
        <v>886</v>
      </c>
      <c r="M1708" s="9" t="s">
        <v>612</v>
      </c>
      <c r="N1708" s="9" t="s">
        <v>431</v>
      </c>
      <c r="O1708" s="61"/>
      <c r="P1708" s="61"/>
      <c r="Q1708" s="61"/>
      <c r="R1708" s="9" t="s">
        <v>5932</v>
      </c>
      <c r="S1708" s="62" t="s">
        <v>5741</v>
      </c>
      <c r="T1708" s="74" t="s">
        <v>3739</v>
      </c>
      <c r="U1708" s="50" t="s">
        <v>7640</v>
      </c>
      <c r="V1708" s="118" t="str">
        <f>+Agencia[[#This Row],[idcoleccion]]&amp;"-"&amp;Agencia[[#This Row],[id]]</f>
        <v>990-1697</v>
      </c>
      <c r="W1708" s="118">
        <f>+VLOOKUP(Agencia[[#This Row],[Filtro URL]],Estructura!$X$4:$Y$500,2,0)</f>
        <v>99200016</v>
      </c>
      <c r="X1708" s="118" t="str">
        <f>+VLOOKUP(Agencia[[#This Row],[tema]],Estructura!$A$4:$C$500,3,0)</f>
        <v>T-1054</v>
      </c>
      <c r="Y1708" s="118" t="str">
        <f>+VLOOKUP(Agencia[[#This Row],[contenido]],Estructura!$E$4:$G$500,3,0)</f>
        <v>C-1015</v>
      </c>
      <c r="Z1708" s="118" t="str">
        <f>+VLOOKUP(Agencia[[#This Row],[Filtro Integrado]],Estructura!$I$4:$K$500,3,0)</f>
        <v>FI-991</v>
      </c>
      <c r="AA1708" s="118" t="str">
        <f>+VLOOKUP(Agencia[[#This Row],[Muestra]],Estructura!$M$4:$O$500,3,0)</f>
        <v>M-1138</v>
      </c>
    </row>
    <row r="1709" spans="1:27" ht="96" x14ac:dyDescent="0.3">
      <c r="A1709" s="21" t="s">
        <v>6179</v>
      </c>
      <c r="B1709" s="9">
        <v>990</v>
      </c>
      <c r="C1709" s="10" t="s">
        <v>401</v>
      </c>
      <c r="D1709" s="61" t="s">
        <v>881</v>
      </c>
      <c r="E1709" s="115">
        <v>0</v>
      </c>
      <c r="F1709" s="10" t="s">
        <v>1010</v>
      </c>
      <c r="G1709" s="10" t="s">
        <v>5742</v>
      </c>
      <c r="H1709" s="33" t="s">
        <v>20</v>
      </c>
      <c r="I1709" s="34" t="s">
        <v>15</v>
      </c>
      <c r="J1709" s="76" t="s">
        <v>5590</v>
      </c>
      <c r="K1709" s="9" t="s">
        <v>5743</v>
      </c>
      <c r="L1709" s="9" t="s">
        <v>4108</v>
      </c>
      <c r="M1709" s="9" t="s">
        <v>928</v>
      </c>
      <c r="N1709" s="9" t="s">
        <v>4102</v>
      </c>
      <c r="O1709" s="9" t="s">
        <v>5744</v>
      </c>
      <c r="P1709" s="9" t="s">
        <v>5745</v>
      </c>
      <c r="Q1709" s="9" t="s">
        <v>821</v>
      </c>
      <c r="R1709" s="9" t="s">
        <v>8336</v>
      </c>
      <c r="S1709" s="62" t="s">
        <v>5746</v>
      </c>
      <c r="T1709" s="74">
        <v>0</v>
      </c>
      <c r="U1709" s="50" t="s">
        <v>7641</v>
      </c>
      <c r="V1709" s="118" t="str">
        <f>+Agencia[[#This Row],[idcoleccion]]&amp;"-"&amp;Agencia[[#This Row],[id]]</f>
        <v>990-1698</v>
      </c>
      <c r="W1709" s="118">
        <f>+VLOOKUP(Agencia[[#This Row],[Filtro URL]],Estructura!$X$4:$Y$500,2,0)</f>
        <v>99100000</v>
      </c>
      <c r="X1709" s="118" t="str">
        <f>+VLOOKUP(Agencia[[#This Row],[tema]],Estructura!$A$4:$C$500,3,0)</f>
        <v>T-1042</v>
      </c>
      <c r="Y1709" s="118" t="str">
        <f>+VLOOKUP(Agencia[[#This Row],[contenido]],Estructura!$E$4:$G$500,3,0)</f>
        <v>C-1014</v>
      </c>
      <c r="Z1709" s="118" t="str">
        <f>+VLOOKUP(Agencia[[#This Row],[Filtro Integrado]],Estructura!$I$4:$K$500,3,0)</f>
        <v>FI-1009</v>
      </c>
      <c r="AA1709" s="118" t="str">
        <f>+VLOOKUP(Agencia[[#This Row],[Muestra]],Estructura!$M$4:$O$500,3,0)</f>
        <v>M-1139</v>
      </c>
    </row>
    <row r="1710" spans="1:27" ht="84" x14ac:dyDescent="0.3">
      <c r="A1710" s="21" t="s">
        <v>6180</v>
      </c>
      <c r="B1710" s="9">
        <v>990</v>
      </c>
      <c r="C1710" s="10" t="s">
        <v>401</v>
      </c>
      <c r="D1710" s="61" t="s">
        <v>881</v>
      </c>
      <c r="E1710" s="115">
        <v>0</v>
      </c>
      <c r="F1710" s="10" t="s">
        <v>5747</v>
      </c>
      <c r="G1710" s="10" t="s">
        <v>5742</v>
      </c>
      <c r="H1710" s="33" t="s">
        <v>20</v>
      </c>
      <c r="I1710" s="34" t="s">
        <v>15</v>
      </c>
      <c r="J1710" s="76" t="s">
        <v>5590</v>
      </c>
      <c r="K1710" s="9" t="s">
        <v>5748</v>
      </c>
      <c r="L1710" s="9" t="s">
        <v>4108</v>
      </c>
      <c r="M1710" s="9" t="s">
        <v>928</v>
      </c>
      <c r="N1710" s="9" t="s">
        <v>4102</v>
      </c>
      <c r="O1710" s="9" t="s">
        <v>5749</v>
      </c>
      <c r="P1710" s="9" t="s">
        <v>5750</v>
      </c>
      <c r="Q1710" s="9" t="s">
        <v>821</v>
      </c>
      <c r="R1710" s="9" t="s">
        <v>8337</v>
      </c>
      <c r="S1710" s="62" t="s">
        <v>5751</v>
      </c>
      <c r="T1710" s="74">
        <v>0</v>
      </c>
      <c r="U1710" s="50" t="s">
        <v>7642</v>
      </c>
      <c r="V1710" s="118" t="str">
        <f>+Agencia[[#This Row],[idcoleccion]]&amp;"-"&amp;Agencia[[#This Row],[id]]</f>
        <v>990-1699</v>
      </c>
      <c r="W1710" s="118">
        <f>+VLOOKUP(Agencia[[#This Row],[Filtro URL]],Estructura!$X$4:$Y$500,2,0)</f>
        <v>99100000</v>
      </c>
      <c r="X1710" s="118" t="str">
        <f>+VLOOKUP(Agencia[[#This Row],[tema]],Estructura!$A$4:$C$500,3,0)</f>
        <v>T-1076</v>
      </c>
      <c r="Y1710" s="118" t="str">
        <f>+VLOOKUP(Agencia[[#This Row],[contenido]],Estructura!$E$4:$G$500,3,0)</f>
        <v>C-1014</v>
      </c>
      <c r="Z1710" s="118" t="str">
        <f>+VLOOKUP(Agencia[[#This Row],[Filtro Integrado]],Estructura!$I$4:$K$500,3,0)</f>
        <v>FI-1009</v>
      </c>
      <c r="AA1710" s="118" t="str">
        <f>+VLOOKUP(Agencia[[#This Row],[Muestra]],Estructura!$M$4:$O$500,3,0)</f>
        <v>M-1140</v>
      </c>
    </row>
    <row r="1711" spans="1:27" ht="72" x14ac:dyDescent="0.3">
      <c r="A1711" s="21" t="s">
        <v>6181</v>
      </c>
      <c r="B1711" s="9">
        <v>990</v>
      </c>
      <c r="C1711" s="10" t="s">
        <v>401</v>
      </c>
      <c r="D1711" s="61" t="s">
        <v>881</v>
      </c>
      <c r="E1711" s="115">
        <v>0</v>
      </c>
      <c r="F1711" s="10" t="s">
        <v>579</v>
      </c>
      <c r="G1711" s="10" t="s">
        <v>5742</v>
      </c>
      <c r="H1711" s="33" t="s">
        <v>20</v>
      </c>
      <c r="I1711" s="34" t="s">
        <v>15</v>
      </c>
      <c r="J1711" s="76" t="s">
        <v>20</v>
      </c>
      <c r="K1711" s="9" t="s">
        <v>5752</v>
      </c>
      <c r="L1711" s="9" t="s">
        <v>5753</v>
      </c>
      <c r="M1711" s="9" t="s">
        <v>928</v>
      </c>
      <c r="N1711" s="83" t="s">
        <v>582</v>
      </c>
      <c r="O1711" s="9" t="s">
        <v>5754</v>
      </c>
      <c r="P1711" s="9" t="s">
        <v>5755</v>
      </c>
      <c r="Q1711" s="9" t="s">
        <v>831</v>
      </c>
      <c r="R1711" s="9" t="s">
        <v>8353</v>
      </c>
      <c r="S1711" s="62" t="s">
        <v>5756</v>
      </c>
      <c r="T1711" s="74">
        <v>0</v>
      </c>
      <c r="U1711" s="50" t="s">
        <v>7643</v>
      </c>
      <c r="V1711" s="118" t="str">
        <f>+Agencia[[#This Row],[idcoleccion]]&amp;"-"&amp;Agencia[[#This Row],[id]]</f>
        <v>990-1700</v>
      </c>
      <c r="W1711" s="118">
        <f>+VLOOKUP(Agencia[[#This Row],[Filtro URL]],Estructura!$X$4:$Y$500,2,0)</f>
        <v>99100000</v>
      </c>
      <c r="X1711" s="118" t="str">
        <f>+VLOOKUP(Agencia[[#This Row],[tema]],Estructura!$A$4:$C$500,3,0)</f>
        <v>T-1031</v>
      </c>
      <c r="Y1711" s="118" t="str">
        <f>+VLOOKUP(Agencia[[#This Row],[contenido]],Estructura!$E$4:$G$500,3,0)</f>
        <v>C-1014</v>
      </c>
      <c r="Z1711" s="118" t="str">
        <f>+VLOOKUP(Agencia[[#This Row],[Filtro Integrado]],Estructura!$I$4:$K$500,3,0)</f>
        <v>FI-1011</v>
      </c>
      <c r="AA1711" s="118" t="str">
        <f>+VLOOKUP(Agencia[[#This Row],[Muestra]],Estructura!$M$4:$O$500,3,0)</f>
        <v>M-1141</v>
      </c>
    </row>
    <row r="1712" spans="1:27" ht="84" x14ac:dyDescent="0.3">
      <c r="A1712" s="21" t="s">
        <v>6182</v>
      </c>
      <c r="B1712" s="9">
        <v>990</v>
      </c>
      <c r="C1712" s="10" t="s">
        <v>401</v>
      </c>
      <c r="D1712" s="61" t="s">
        <v>881</v>
      </c>
      <c r="E1712" s="115">
        <v>0</v>
      </c>
      <c r="F1712" s="10" t="s">
        <v>1010</v>
      </c>
      <c r="G1712" s="10" t="s">
        <v>5742</v>
      </c>
      <c r="H1712" s="33" t="s">
        <v>20</v>
      </c>
      <c r="I1712" s="34" t="s">
        <v>15</v>
      </c>
      <c r="J1712" s="76" t="s">
        <v>404</v>
      </c>
      <c r="K1712" s="9" t="s">
        <v>5757</v>
      </c>
      <c r="L1712" s="9" t="s">
        <v>614</v>
      </c>
      <c r="M1712" s="9" t="s">
        <v>928</v>
      </c>
      <c r="N1712" s="9" t="s">
        <v>4102</v>
      </c>
      <c r="O1712" s="9" t="s">
        <v>5758</v>
      </c>
      <c r="P1712" s="9" t="s">
        <v>5759</v>
      </c>
      <c r="Q1712" s="9" t="s">
        <v>831</v>
      </c>
      <c r="R1712" s="9" t="s">
        <v>8354</v>
      </c>
      <c r="S1712" s="62" t="s">
        <v>5760</v>
      </c>
      <c r="T1712" s="74">
        <v>0</v>
      </c>
      <c r="U1712" s="50" t="s">
        <v>7644</v>
      </c>
      <c r="V1712" s="118" t="str">
        <f>+Agencia[[#This Row],[idcoleccion]]&amp;"-"&amp;Agencia[[#This Row],[id]]</f>
        <v>990-1701</v>
      </c>
      <c r="W1712" s="118">
        <f>+VLOOKUP(Agencia[[#This Row],[Filtro URL]],Estructura!$X$4:$Y$500,2,0)</f>
        <v>99100000</v>
      </c>
      <c r="X1712" s="118" t="str">
        <f>+VLOOKUP(Agencia[[#This Row],[tema]],Estructura!$A$4:$C$500,3,0)</f>
        <v>T-1042</v>
      </c>
      <c r="Y1712" s="118" t="str">
        <f>+VLOOKUP(Agencia[[#This Row],[contenido]],Estructura!$E$4:$G$500,3,0)</f>
        <v>C-1014</v>
      </c>
      <c r="Z1712" s="118" t="str">
        <f>+VLOOKUP(Agencia[[#This Row],[Filtro Integrado]],Estructura!$I$4:$K$500,3,0)</f>
        <v>FI-993</v>
      </c>
      <c r="AA1712" s="118" t="str">
        <f>+VLOOKUP(Agencia[[#This Row],[Muestra]],Estructura!$M$4:$O$500,3,0)</f>
        <v>M-1142</v>
      </c>
    </row>
    <row r="1713" spans="1:27" ht="60" x14ac:dyDescent="0.3">
      <c r="A1713" s="21" t="s">
        <v>6183</v>
      </c>
      <c r="B1713" s="9">
        <v>990</v>
      </c>
      <c r="C1713" s="10" t="s">
        <v>401</v>
      </c>
      <c r="D1713" s="61" t="s">
        <v>881</v>
      </c>
      <c r="E1713" s="115">
        <v>0</v>
      </c>
      <c r="F1713" s="10" t="s">
        <v>579</v>
      </c>
      <c r="G1713" s="10" t="s">
        <v>5742</v>
      </c>
      <c r="H1713" s="33" t="s">
        <v>20</v>
      </c>
      <c r="I1713" s="34" t="s">
        <v>15</v>
      </c>
      <c r="J1713" s="76" t="s">
        <v>4100</v>
      </c>
      <c r="K1713" s="9" t="s">
        <v>5761</v>
      </c>
      <c r="L1713" s="9" t="s">
        <v>4108</v>
      </c>
      <c r="M1713" s="9" t="s">
        <v>928</v>
      </c>
      <c r="N1713" s="83" t="s">
        <v>582</v>
      </c>
      <c r="O1713" s="9" t="s">
        <v>5762</v>
      </c>
      <c r="P1713" s="9" t="s">
        <v>5763</v>
      </c>
      <c r="Q1713" s="9" t="s">
        <v>821</v>
      </c>
      <c r="R1713" s="9" t="s">
        <v>8338</v>
      </c>
      <c r="S1713" s="62" t="s">
        <v>5764</v>
      </c>
      <c r="T1713" s="74">
        <v>0</v>
      </c>
      <c r="U1713" s="50" t="s">
        <v>7645</v>
      </c>
      <c r="V1713" s="118" t="str">
        <f>+Agencia[[#This Row],[idcoleccion]]&amp;"-"&amp;Agencia[[#This Row],[id]]</f>
        <v>990-1702</v>
      </c>
      <c r="W1713" s="118">
        <f>+VLOOKUP(Agencia[[#This Row],[Filtro URL]],Estructura!$X$4:$Y$500,2,0)</f>
        <v>99100000</v>
      </c>
      <c r="X1713" s="118" t="str">
        <f>+VLOOKUP(Agencia[[#This Row],[tema]],Estructura!$A$4:$C$500,3,0)</f>
        <v>T-1031</v>
      </c>
      <c r="Y1713" s="118" t="str">
        <f>+VLOOKUP(Agencia[[#This Row],[contenido]],Estructura!$E$4:$G$500,3,0)</f>
        <v>C-1014</v>
      </c>
      <c r="Z1713" s="118" t="str">
        <f>+VLOOKUP(Agencia[[#This Row],[Filtro Integrado]],Estructura!$I$4:$K$500,3,0)</f>
        <v>FI-1006</v>
      </c>
      <c r="AA1713" s="118" t="str">
        <f>+VLOOKUP(Agencia[[#This Row],[Muestra]],Estructura!$M$4:$O$500,3,0)</f>
        <v>M-1143</v>
      </c>
    </row>
    <row r="1714" spans="1:27" ht="91.8" x14ac:dyDescent="0.3">
      <c r="A1714" s="21" t="s">
        <v>7981</v>
      </c>
      <c r="B1714" s="89">
        <v>990</v>
      </c>
      <c r="C1714" s="90" t="s">
        <v>401</v>
      </c>
      <c r="D1714" s="90" t="s">
        <v>881</v>
      </c>
      <c r="E1714" s="115">
        <v>0</v>
      </c>
      <c r="F1714" s="90" t="s">
        <v>7345</v>
      </c>
      <c r="G1714" s="91" t="s">
        <v>6259</v>
      </c>
      <c r="H1714" s="96" t="s">
        <v>20</v>
      </c>
      <c r="I1714" s="97" t="s">
        <v>15</v>
      </c>
      <c r="J1714" s="89" t="s">
        <v>5610</v>
      </c>
      <c r="K1714" s="89" t="s">
        <v>6258</v>
      </c>
      <c r="L1714" s="89" t="s">
        <v>1559</v>
      </c>
      <c r="M1714" s="105" t="s">
        <v>6260</v>
      </c>
      <c r="N1714" s="83" t="s">
        <v>1459</v>
      </c>
      <c r="O1714" s="92" t="s">
        <v>6261</v>
      </c>
      <c r="P1714" s="107" t="s">
        <v>6262</v>
      </c>
      <c r="Q1714" s="93" t="s">
        <v>821</v>
      </c>
      <c r="R1714" s="92" t="s">
        <v>6263</v>
      </c>
      <c r="S1714" s="104" t="s">
        <v>6264</v>
      </c>
      <c r="T1714" s="94" t="s">
        <v>855</v>
      </c>
      <c r="U1714" s="50" t="s">
        <v>7646</v>
      </c>
      <c r="V1714" s="118" t="str">
        <f>+Agencia[[#This Row],[idcoleccion]]&amp;"-"&amp;Agencia[[#This Row],[id]]</f>
        <v>990-1703</v>
      </c>
      <c r="W1714" s="121">
        <v>99100000</v>
      </c>
      <c r="X1714" s="118" t="str">
        <f>+VLOOKUP(Agencia[[#This Row],[tema]],Estructura!$A$4:$C$500,3,0)</f>
        <v>T-1077</v>
      </c>
      <c r="Y1714" s="118" t="str">
        <f>+VLOOKUP(Agencia[[#This Row],[contenido]],Estructura!$E$4:$G$500,3,0)</f>
        <v>C-1025</v>
      </c>
      <c r="Z1714" s="118" t="str">
        <f>+VLOOKUP(Agencia[[#This Row],[Filtro Integrado]],Estructura!$I$4:$K$500,3,0)</f>
        <v>FI-1010</v>
      </c>
      <c r="AA1714" s="118" t="str">
        <f>+VLOOKUP(Agencia[[#This Row],[Muestra]],Estructura!$M$4:$O$500,3,0)</f>
        <v>M-1144</v>
      </c>
    </row>
    <row r="1715" spans="1:27" ht="91.8" x14ac:dyDescent="0.3">
      <c r="A1715" s="21" t="s">
        <v>7982</v>
      </c>
      <c r="B1715" s="89">
        <v>990</v>
      </c>
      <c r="C1715" s="90" t="s">
        <v>401</v>
      </c>
      <c r="D1715" s="90" t="s">
        <v>881</v>
      </c>
      <c r="E1715" s="114">
        <v>5</v>
      </c>
      <c r="F1715" s="90" t="s">
        <v>7345</v>
      </c>
      <c r="G1715" s="91" t="s">
        <v>6259</v>
      </c>
      <c r="H1715" s="98" t="s">
        <v>16</v>
      </c>
      <c r="I1715" s="99" t="s">
        <v>372</v>
      </c>
      <c r="J1715" s="83" t="s">
        <v>5590</v>
      </c>
      <c r="K1715" s="89" t="s">
        <v>6258</v>
      </c>
      <c r="L1715" s="89" t="s">
        <v>1559</v>
      </c>
      <c r="M1715" s="105" t="s">
        <v>6260</v>
      </c>
      <c r="N1715" s="83" t="s">
        <v>1459</v>
      </c>
      <c r="O1715" s="92" t="s">
        <v>6265</v>
      </c>
      <c r="P1715" s="109" t="s">
        <v>6266</v>
      </c>
      <c r="Q1715" s="85" t="s">
        <v>821</v>
      </c>
      <c r="R1715" s="92" t="s">
        <v>6267</v>
      </c>
      <c r="S1715" s="106" t="s">
        <v>6268</v>
      </c>
      <c r="T1715" s="88" t="s">
        <v>3758</v>
      </c>
      <c r="U1715" s="50" t="s">
        <v>7647</v>
      </c>
      <c r="V1715" s="118" t="str">
        <f>+Agencia[[#This Row],[idcoleccion]]&amp;"-"&amp;Agencia[[#This Row],[id]]</f>
        <v>990-1704</v>
      </c>
      <c r="W1715" s="121">
        <v>99200005</v>
      </c>
      <c r="X1715" s="118" t="str">
        <f>+VLOOKUP(Agencia[[#This Row],[tema]],Estructura!$A$4:$C$500,3,0)</f>
        <v>T-1077</v>
      </c>
      <c r="Y1715" s="118" t="str">
        <f>+VLOOKUP(Agencia[[#This Row],[contenido]],Estructura!$E$4:$G$500,3,0)</f>
        <v>C-1025</v>
      </c>
      <c r="Z1715" s="118" t="str">
        <f>+VLOOKUP(Agencia[[#This Row],[Filtro Integrado]],Estructura!$I$4:$K$500,3,0)</f>
        <v>FI-1009</v>
      </c>
      <c r="AA1715" s="118" t="str">
        <f>+VLOOKUP(Agencia[[#This Row],[Muestra]],Estructura!$M$4:$O$500,3,0)</f>
        <v>M-1144</v>
      </c>
    </row>
    <row r="1716" spans="1:27" ht="102" x14ac:dyDescent="0.3">
      <c r="A1716" s="21" t="s">
        <v>7983</v>
      </c>
      <c r="B1716" s="89">
        <v>990</v>
      </c>
      <c r="C1716" s="90" t="s">
        <v>401</v>
      </c>
      <c r="D1716" s="90" t="s">
        <v>881</v>
      </c>
      <c r="E1716" s="114">
        <v>6</v>
      </c>
      <c r="F1716" s="90" t="s">
        <v>7345</v>
      </c>
      <c r="G1716" s="91" t="s">
        <v>6259</v>
      </c>
      <c r="H1716" s="98" t="s">
        <v>16</v>
      </c>
      <c r="I1716" s="99" t="s">
        <v>373</v>
      </c>
      <c r="J1716" s="83" t="s">
        <v>5590</v>
      </c>
      <c r="K1716" s="89" t="s">
        <v>6258</v>
      </c>
      <c r="L1716" s="89" t="s">
        <v>1559</v>
      </c>
      <c r="M1716" s="105" t="s">
        <v>6260</v>
      </c>
      <c r="N1716" s="83" t="s">
        <v>1459</v>
      </c>
      <c r="O1716" s="92" t="s">
        <v>6269</v>
      </c>
      <c r="P1716" s="109" t="s">
        <v>6270</v>
      </c>
      <c r="Q1716" s="85" t="s">
        <v>821</v>
      </c>
      <c r="R1716" s="92" t="s">
        <v>6271</v>
      </c>
      <c r="S1716" s="106" t="s">
        <v>6272</v>
      </c>
      <c r="T1716" s="88" t="s">
        <v>3756</v>
      </c>
      <c r="U1716" s="50" t="s">
        <v>7648</v>
      </c>
      <c r="V1716" s="118" t="str">
        <f>+Agencia[[#This Row],[idcoleccion]]&amp;"-"&amp;Agencia[[#This Row],[id]]</f>
        <v>990-1705</v>
      </c>
      <c r="W1716" s="121">
        <v>99200006</v>
      </c>
      <c r="X1716" s="118" t="str">
        <f>+VLOOKUP(Agencia[[#This Row],[tema]],Estructura!$A$4:$C$500,3,0)</f>
        <v>T-1077</v>
      </c>
      <c r="Y1716" s="118" t="str">
        <f>+VLOOKUP(Agencia[[#This Row],[contenido]],Estructura!$E$4:$G$500,3,0)</f>
        <v>C-1025</v>
      </c>
      <c r="Z1716" s="118" t="str">
        <f>+VLOOKUP(Agencia[[#This Row],[Filtro Integrado]],Estructura!$I$4:$K$500,3,0)</f>
        <v>FI-1009</v>
      </c>
      <c r="AA1716" s="118" t="str">
        <f>+VLOOKUP(Agencia[[#This Row],[Muestra]],Estructura!$M$4:$O$500,3,0)</f>
        <v>M-1144</v>
      </c>
    </row>
    <row r="1717" spans="1:27" ht="91.8" x14ac:dyDescent="0.3">
      <c r="A1717" s="21" t="s">
        <v>7984</v>
      </c>
      <c r="B1717" s="89">
        <v>990</v>
      </c>
      <c r="C1717" s="90" t="s">
        <v>401</v>
      </c>
      <c r="D1717" s="90" t="s">
        <v>881</v>
      </c>
      <c r="E1717" s="114">
        <v>8</v>
      </c>
      <c r="F1717" s="90" t="s">
        <v>7345</v>
      </c>
      <c r="G1717" s="91" t="s">
        <v>6259</v>
      </c>
      <c r="H1717" s="98" t="s">
        <v>16</v>
      </c>
      <c r="I1717" s="99" t="s">
        <v>375</v>
      </c>
      <c r="J1717" s="83" t="s">
        <v>5590</v>
      </c>
      <c r="K1717" s="89" t="s">
        <v>6258</v>
      </c>
      <c r="L1717" s="89" t="s">
        <v>1559</v>
      </c>
      <c r="M1717" s="105" t="s">
        <v>6260</v>
      </c>
      <c r="N1717" s="83" t="s">
        <v>1459</v>
      </c>
      <c r="O1717" s="92" t="s">
        <v>6273</v>
      </c>
      <c r="P1717" s="109" t="s">
        <v>6274</v>
      </c>
      <c r="Q1717" s="85" t="s">
        <v>821</v>
      </c>
      <c r="R1717" s="92" t="s">
        <v>6275</v>
      </c>
      <c r="S1717" s="106" t="s">
        <v>6276</v>
      </c>
      <c r="T1717" s="88" t="s">
        <v>3759</v>
      </c>
      <c r="U1717" s="50" t="s">
        <v>7649</v>
      </c>
      <c r="V1717" s="118" t="str">
        <f>+Agencia[[#This Row],[idcoleccion]]&amp;"-"&amp;Agencia[[#This Row],[id]]</f>
        <v>990-1706</v>
      </c>
      <c r="W1717" s="121">
        <v>99200008</v>
      </c>
      <c r="X1717" s="118" t="str">
        <f>+VLOOKUP(Agencia[[#This Row],[tema]],Estructura!$A$4:$C$500,3,0)</f>
        <v>T-1077</v>
      </c>
      <c r="Y1717" s="118" t="str">
        <f>+VLOOKUP(Agencia[[#This Row],[contenido]],Estructura!$E$4:$G$500,3,0)</f>
        <v>C-1025</v>
      </c>
      <c r="Z1717" s="118" t="str">
        <f>+VLOOKUP(Agencia[[#This Row],[Filtro Integrado]],Estructura!$I$4:$K$500,3,0)</f>
        <v>FI-1009</v>
      </c>
      <c r="AA1717" s="118" t="str">
        <f>+VLOOKUP(Agencia[[#This Row],[Muestra]],Estructura!$M$4:$O$500,3,0)</f>
        <v>M-1144</v>
      </c>
    </row>
    <row r="1718" spans="1:27" ht="102" x14ac:dyDescent="0.3">
      <c r="A1718" s="21" t="s">
        <v>7985</v>
      </c>
      <c r="B1718" s="89">
        <v>990</v>
      </c>
      <c r="C1718" s="90" t="s">
        <v>401</v>
      </c>
      <c r="D1718" s="90" t="s">
        <v>881</v>
      </c>
      <c r="E1718" s="114">
        <v>9</v>
      </c>
      <c r="F1718" s="90" t="s">
        <v>7345</v>
      </c>
      <c r="G1718" s="91" t="s">
        <v>6259</v>
      </c>
      <c r="H1718" s="98" t="s">
        <v>16</v>
      </c>
      <c r="I1718" s="99" t="s">
        <v>376</v>
      </c>
      <c r="J1718" s="83" t="s">
        <v>5590</v>
      </c>
      <c r="K1718" s="89" t="s">
        <v>6258</v>
      </c>
      <c r="L1718" s="89" t="s">
        <v>1559</v>
      </c>
      <c r="M1718" s="105" t="s">
        <v>6260</v>
      </c>
      <c r="N1718" s="83" t="s">
        <v>1459</v>
      </c>
      <c r="O1718" s="92" t="s">
        <v>6277</v>
      </c>
      <c r="P1718" s="109" t="s">
        <v>6278</v>
      </c>
      <c r="Q1718" s="85" t="s">
        <v>821</v>
      </c>
      <c r="R1718" s="92" t="s">
        <v>6279</v>
      </c>
      <c r="S1718" s="106" t="s">
        <v>6280</v>
      </c>
      <c r="T1718" s="88" t="s">
        <v>3750</v>
      </c>
      <c r="U1718" s="50" t="s">
        <v>7650</v>
      </c>
      <c r="V1718" s="118" t="str">
        <f>+Agencia[[#This Row],[idcoleccion]]&amp;"-"&amp;Agencia[[#This Row],[id]]</f>
        <v>990-1707</v>
      </c>
      <c r="W1718" s="121">
        <v>99200009</v>
      </c>
      <c r="X1718" s="118" t="str">
        <f>+VLOOKUP(Agencia[[#This Row],[tema]],Estructura!$A$4:$C$500,3,0)</f>
        <v>T-1077</v>
      </c>
      <c r="Y1718" s="118" t="str">
        <f>+VLOOKUP(Agencia[[#This Row],[contenido]],Estructura!$E$4:$G$500,3,0)</f>
        <v>C-1025</v>
      </c>
      <c r="Z1718" s="118" t="str">
        <f>+VLOOKUP(Agencia[[#This Row],[Filtro Integrado]],Estructura!$I$4:$K$500,3,0)</f>
        <v>FI-1009</v>
      </c>
      <c r="AA1718" s="118" t="str">
        <f>+VLOOKUP(Agencia[[#This Row],[Muestra]],Estructura!$M$4:$O$500,3,0)</f>
        <v>M-1144</v>
      </c>
    </row>
    <row r="1719" spans="1:27" ht="91.8" x14ac:dyDescent="0.3">
      <c r="A1719" s="21" t="s">
        <v>7986</v>
      </c>
      <c r="B1719" s="89">
        <v>990</v>
      </c>
      <c r="C1719" s="90" t="s">
        <v>401</v>
      </c>
      <c r="D1719" s="90" t="s">
        <v>881</v>
      </c>
      <c r="E1719" s="114">
        <v>14</v>
      </c>
      <c r="F1719" s="90" t="s">
        <v>7345</v>
      </c>
      <c r="G1719" s="91" t="s">
        <v>6259</v>
      </c>
      <c r="H1719" s="98" t="s">
        <v>16</v>
      </c>
      <c r="I1719" s="99" t="s">
        <v>381</v>
      </c>
      <c r="J1719" s="83" t="s">
        <v>5590</v>
      </c>
      <c r="K1719" s="89" t="s">
        <v>6258</v>
      </c>
      <c r="L1719" s="89" t="s">
        <v>1559</v>
      </c>
      <c r="M1719" s="105" t="s">
        <v>6260</v>
      </c>
      <c r="N1719" s="83" t="s">
        <v>1459</v>
      </c>
      <c r="O1719" s="92" t="s">
        <v>6281</v>
      </c>
      <c r="P1719" s="109" t="s">
        <v>6282</v>
      </c>
      <c r="Q1719" s="85" t="s">
        <v>821</v>
      </c>
      <c r="R1719" s="92" t="s">
        <v>6283</v>
      </c>
      <c r="S1719" s="106" t="s">
        <v>6284</v>
      </c>
      <c r="T1719" s="88" t="s">
        <v>3752</v>
      </c>
      <c r="U1719" s="50" t="s">
        <v>7651</v>
      </c>
      <c r="V1719" s="118" t="str">
        <f>+Agencia[[#This Row],[idcoleccion]]&amp;"-"&amp;Agencia[[#This Row],[id]]</f>
        <v>990-1708</v>
      </c>
      <c r="W1719" s="121">
        <v>99200014</v>
      </c>
      <c r="X1719" s="118" t="str">
        <f>+VLOOKUP(Agencia[[#This Row],[tema]],Estructura!$A$4:$C$500,3,0)</f>
        <v>T-1077</v>
      </c>
      <c r="Y1719" s="118" t="str">
        <f>+VLOOKUP(Agencia[[#This Row],[contenido]],Estructura!$E$4:$G$500,3,0)</f>
        <v>C-1025</v>
      </c>
      <c r="Z1719" s="118" t="str">
        <f>+VLOOKUP(Agencia[[#This Row],[Filtro Integrado]],Estructura!$I$4:$K$500,3,0)</f>
        <v>FI-1009</v>
      </c>
      <c r="AA1719" s="118" t="str">
        <f>+VLOOKUP(Agencia[[#This Row],[Muestra]],Estructura!$M$4:$O$500,3,0)</f>
        <v>M-1144</v>
      </c>
    </row>
    <row r="1720" spans="1:27" ht="51" x14ac:dyDescent="0.3">
      <c r="A1720" s="21" t="s">
        <v>7987</v>
      </c>
      <c r="B1720" s="89">
        <v>990</v>
      </c>
      <c r="C1720" s="90" t="s">
        <v>401</v>
      </c>
      <c r="D1720" s="90" t="s">
        <v>881</v>
      </c>
      <c r="E1720" s="115">
        <v>0</v>
      </c>
      <c r="F1720" s="91" t="s">
        <v>6285</v>
      </c>
      <c r="G1720" s="91" t="s">
        <v>6286</v>
      </c>
      <c r="H1720" s="96" t="s">
        <v>20</v>
      </c>
      <c r="I1720" s="97" t="s">
        <v>15</v>
      </c>
      <c r="J1720" s="89" t="s">
        <v>5610</v>
      </c>
      <c r="K1720" s="89" t="s">
        <v>6287</v>
      </c>
      <c r="L1720" s="89" t="s">
        <v>1559</v>
      </c>
      <c r="M1720" s="89" t="s">
        <v>6288</v>
      </c>
      <c r="N1720" s="89" t="s">
        <v>1459</v>
      </c>
      <c r="O1720" s="92" t="s">
        <v>6289</v>
      </c>
      <c r="P1720" s="107" t="s">
        <v>6290</v>
      </c>
      <c r="Q1720" s="93" t="s">
        <v>821</v>
      </c>
      <c r="R1720" s="92" t="s">
        <v>6291</v>
      </c>
      <c r="S1720" s="104" t="s">
        <v>6292</v>
      </c>
      <c r="T1720" s="94" t="s">
        <v>855</v>
      </c>
      <c r="U1720" s="50" t="s">
        <v>7652</v>
      </c>
      <c r="V1720" s="118" t="str">
        <f>+Agencia[[#This Row],[idcoleccion]]&amp;"-"&amp;Agencia[[#This Row],[id]]</f>
        <v>990-1709</v>
      </c>
      <c r="W1720" s="121">
        <v>99100000</v>
      </c>
      <c r="X1720" s="118" t="str">
        <f>+VLOOKUP(Agencia[[#This Row],[tema]],Estructura!$A$4:$C$500,3,0)</f>
        <v>T-1078</v>
      </c>
      <c r="Y1720" s="118" t="str">
        <f>+VLOOKUP(Agencia[[#This Row],[contenido]],Estructura!$E$4:$G$500,3,0)</f>
        <v>C-1026</v>
      </c>
      <c r="Z1720" s="118" t="str">
        <f>+VLOOKUP(Agencia[[#This Row],[Filtro Integrado]],Estructura!$I$4:$K$500,3,0)</f>
        <v>FI-1010</v>
      </c>
      <c r="AA1720" s="118" t="str">
        <f>+VLOOKUP(Agencia[[#This Row],[Muestra]],Estructura!$M$4:$O$500,3,0)</f>
        <v>M-1145</v>
      </c>
    </row>
    <row r="1721" spans="1:27" ht="51" x14ac:dyDescent="0.3">
      <c r="A1721" s="21" t="s">
        <v>7988</v>
      </c>
      <c r="B1721" s="89">
        <v>990</v>
      </c>
      <c r="C1721" s="90" t="s">
        <v>401</v>
      </c>
      <c r="D1721" s="90" t="s">
        <v>881</v>
      </c>
      <c r="E1721" s="114">
        <v>1</v>
      </c>
      <c r="F1721" s="91" t="s">
        <v>6285</v>
      </c>
      <c r="G1721" s="91" t="s">
        <v>6286</v>
      </c>
      <c r="H1721" s="98" t="s">
        <v>16</v>
      </c>
      <c r="I1721" s="99" t="s">
        <v>368</v>
      </c>
      <c r="J1721" s="83" t="s">
        <v>5590</v>
      </c>
      <c r="K1721" s="89" t="s">
        <v>6287</v>
      </c>
      <c r="L1721" s="89" t="s">
        <v>1559</v>
      </c>
      <c r="M1721" s="89" t="s">
        <v>6288</v>
      </c>
      <c r="N1721" s="89" t="s">
        <v>1459</v>
      </c>
      <c r="O1721" s="92" t="s">
        <v>6293</v>
      </c>
      <c r="P1721" s="109" t="s">
        <v>6294</v>
      </c>
      <c r="Q1721" s="85" t="s">
        <v>821</v>
      </c>
      <c r="R1721" s="92" t="s">
        <v>6295</v>
      </c>
      <c r="S1721" s="103" t="s">
        <v>6296</v>
      </c>
      <c r="T1721" s="88" t="s">
        <v>3757</v>
      </c>
      <c r="U1721" s="50" t="s">
        <v>7653</v>
      </c>
      <c r="V1721" s="118" t="str">
        <f>+Agencia[[#This Row],[idcoleccion]]&amp;"-"&amp;Agencia[[#This Row],[id]]</f>
        <v>990-1710</v>
      </c>
      <c r="W1721" s="121">
        <v>99200001</v>
      </c>
      <c r="X1721" s="118" t="str">
        <f>+VLOOKUP(Agencia[[#This Row],[tema]],Estructura!$A$4:$C$500,3,0)</f>
        <v>T-1078</v>
      </c>
      <c r="Y1721" s="118" t="str">
        <f>+VLOOKUP(Agencia[[#This Row],[contenido]],Estructura!$E$4:$G$500,3,0)</f>
        <v>C-1026</v>
      </c>
      <c r="Z1721" s="118" t="str">
        <f>+VLOOKUP(Agencia[[#This Row],[Filtro Integrado]],Estructura!$I$4:$K$500,3,0)</f>
        <v>FI-1009</v>
      </c>
      <c r="AA1721" s="118" t="str">
        <f>+VLOOKUP(Agencia[[#This Row],[Muestra]],Estructura!$M$4:$O$500,3,0)</f>
        <v>M-1145</v>
      </c>
    </row>
    <row r="1722" spans="1:27" ht="48" x14ac:dyDescent="0.3">
      <c r="A1722" s="21" t="s">
        <v>7989</v>
      </c>
      <c r="B1722" s="89">
        <v>990</v>
      </c>
      <c r="C1722" s="90" t="s">
        <v>401</v>
      </c>
      <c r="D1722" s="90" t="s">
        <v>881</v>
      </c>
      <c r="E1722" s="114">
        <v>2</v>
      </c>
      <c r="F1722" s="91" t="s">
        <v>6285</v>
      </c>
      <c r="G1722" s="91" t="s">
        <v>6286</v>
      </c>
      <c r="H1722" s="98" t="s">
        <v>16</v>
      </c>
      <c r="I1722" s="99" t="s">
        <v>369</v>
      </c>
      <c r="J1722" s="83" t="s">
        <v>5590</v>
      </c>
      <c r="K1722" s="89" t="s">
        <v>6287</v>
      </c>
      <c r="L1722" s="89" t="s">
        <v>1559</v>
      </c>
      <c r="M1722" s="89" t="s">
        <v>6288</v>
      </c>
      <c r="N1722" s="89" t="s">
        <v>1459</v>
      </c>
      <c r="O1722" s="92" t="s">
        <v>6297</v>
      </c>
      <c r="P1722" s="109" t="s">
        <v>6298</v>
      </c>
      <c r="Q1722" s="85" t="s">
        <v>821</v>
      </c>
      <c r="R1722" s="92" t="s">
        <v>6299</v>
      </c>
      <c r="S1722" s="103" t="s">
        <v>6300</v>
      </c>
      <c r="T1722" s="88" t="s">
        <v>3745</v>
      </c>
      <c r="U1722" s="50" t="s">
        <v>7654</v>
      </c>
      <c r="V1722" s="118" t="str">
        <f>+Agencia[[#This Row],[idcoleccion]]&amp;"-"&amp;Agencia[[#This Row],[id]]</f>
        <v>990-1711</v>
      </c>
      <c r="W1722" s="121">
        <v>99200002</v>
      </c>
      <c r="X1722" s="118" t="str">
        <f>+VLOOKUP(Agencia[[#This Row],[tema]],Estructura!$A$4:$C$500,3,0)</f>
        <v>T-1078</v>
      </c>
      <c r="Y1722" s="118" t="str">
        <f>+VLOOKUP(Agencia[[#This Row],[contenido]],Estructura!$E$4:$G$500,3,0)</f>
        <v>C-1026</v>
      </c>
      <c r="Z1722" s="118" t="str">
        <f>+VLOOKUP(Agencia[[#This Row],[Filtro Integrado]],Estructura!$I$4:$K$500,3,0)</f>
        <v>FI-1009</v>
      </c>
      <c r="AA1722" s="118" t="str">
        <f>+VLOOKUP(Agencia[[#This Row],[Muestra]],Estructura!$M$4:$O$500,3,0)</f>
        <v>M-1145</v>
      </c>
    </row>
    <row r="1723" spans="1:27" ht="48" x14ac:dyDescent="0.3">
      <c r="A1723" s="21" t="s">
        <v>7990</v>
      </c>
      <c r="B1723" s="89">
        <v>990</v>
      </c>
      <c r="C1723" s="90" t="s">
        <v>401</v>
      </c>
      <c r="D1723" s="90" t="s">
        <v>881</v>
      </c>
      <c r="E1723" s="114">
        <v>3</v>
      </c>
      <c r="F1723" s="91" t="s">
        <v>6285</v>
      </c>
      <c r="G1723" s="91" t="s">
        <v>6286</v>
      </c>
      <c r="H1723" s="98" t="s">
        <v>16</v>
      </c>
      <c r="I1723" s="99" t="s">
        <v>370</v>
      </c>
      <c r="J1723" s="83" t="s">
        <v>5590</v>
      </c>
      <c r="K1723" s="89" t="s">
        <v>6287</v>
      </c>
      <c r="L1723" s="89" t="s">
        <v>1559</v>
      </c>
      <c r="M1723" s="89" t="s">
        <v>6288</v>
      </c>
      <c r="N1723" s="89" t="s">
        <v>1459</v>
      </c>
      <c r="O1723" s="92" t="s">
        <v>6301</v>
      </c>
      <c r="P1723" s="109" t="s">
        <v>6302</v>
      </c>
      <c r="Q1723" s="85" t="s">
        <v>821</v>
      </c>
      <c r="R1723" s="92" t="s">
        <v>6303</v>
      </c>
      <c r="S1723" s="103" t="s">
        <v>6304</v>
      </c>
      <c r="T1723" s="88" t="s">
        <v>3747</v>
      </c>
      <c r="U1723" s="50" t="s">
        <v>7655</v>
      </c>
      <c r="V1723" s="118" t="str">
        <f>+Agencia[[#This Row],[idcoleccion]]&amp;"-"&amp;Agencia[[#This Row],[id]]</f>
        <v>990-1712</v>
      </c>
      <c r="W1723" s="121">
        <v>99200003</v>
      </c>
      <c r="X1723" s="118" t="str">
        <f>+VLOOKUP(Agencia[[#This Row],[tema]],Estructura!$A$4:$C$500,3,0)</f>
        <v>T-1078</v>
      </c>
      <c r="Y1723" s="118" t="str">
        <f>+VLOOKUP(Agencia[[#This Row],[contenido]],Estructura!$E$4:$G$500,3,0)</f>
        <v>C-1026</v>
      </c>
      <c r="Z1723" s="118" t="str">
        <f>+VLOOKUP(Agencia[[#This Row],[Filtro Integrado]],Estructura!$I$4:$K$500,3,0)</f>
        <v>FI-1009</v>
      </c>
      <c r="AA1723" s="118" t="str">
        <f>+VLOOKUP(Agencia[[#This Row],[Muestra]],Estructura!$M$4:$O$500,3,0)</f>
        <v>M-1145</v>
      </c>
    </row>
    <row r="1724" spans="1:27" ht="51" x14ac:dyDescent="0.3">
      <c r="A1724" s="21" t="s">
        <v>7991</v>
      </c>
      <c r="B1724" s="89">
        <v>990</v>
      </c>
      <c r="C1724" s="90" t="s">
        <v>401</v>
      </c>
      <c r="D1724" s="90" t="s">
        <v>881</v>
      </c>
      <c r="E1724" s="114">
        <v>4</v>
      </c>
      <c r="F1724" s="91" t="s">
        <v>6285</v>
      </c>
      <c r="G1724" s="91" t="s">
        <v>6286</v>
      </c>
      <c r="H1724" s="98" t="s">
        <v>16</v>
      </c>
      <c r="I1724" s="99" t="s">
        <v>371</v>
      </c>
      <c r="J1724" s="83" t="s">
        <v>5590</v>
      </c>
      <c r="K1724" s="89" t="s">
        <v>6287</v>
      </c>
      <c r="L1724" s="89" t="s">
        <v>1559</v>
      </c>
      <c r="M1724" s="89" t="s">
        <v>6288</v>
      </c>
      <c r="N1724" s="89" t="s">
        <v>1459</v>
      </c>
      <c r="O1724" s="92" t="s">
        <v>6305</v>
      </c>
      <c r="P1724" s="109" t="s">
        <v>6306</v>
      </c>
      <c r="Q1724" s="85" t="s">
        <v>821</v>
      </c>
      <c r="R1724" s="92" t="s">
        <v>6307</v>
      </c>
      <c r="S1724" s="103" t="s">
        <v>6308</v>
      </c>
      <c r="T1724" s="88" t="s">
        <v>3749</v>
      </c>
      <c r="U1724" s="50" t="s">
        <v>7656</v>
      </c>
      <c r="V1724" s="118" t="str">
        <f>+Agencia[[#This Row],[idcoleccion]]&amp;"-"&amp;Agencia[[#This Row],[id]]</f>
        <v>990-1713</v>
      </c>
      <c r="W1724" s="121">
        <v>99200004</v>
      </c>
      <c r="X1724" s="118" t="str">
        <f>+VLOOKUP(Agencia[[#This Row],[tema]],Estructura!$A$4:$C$500,3,0)</f>
        <v>T-1078</v>
      </c>
      <c r="Y1724" s="118" t="str">
        <f>+VLOOKUP(Agencia[[#This Row],[contenido]],Estructura!$E$4:$G$500,3,0)</f>
        <v>C-1026</v>
      </c>
      <c r="Z1724" s="118" t="str">
        <f>+VLOOKUP(Agencia[[#This Row],[Filtro Integrado]],Estructura!$I$4:$K$500,3,0)</f>
        <v>FI-1009</v>
      </c>
      <c r="AA1724" s="118" t="str">
        <f>+VLOOKUP(Agencia[[#This Row],[Muestra]],Estructura!$M$4:$O$500,3,0)</f>
        <v>M-1145</v>
      </c>
    </row>
    <row r="1725" spans="1:27" ht="51" x14ac:dyDescent="0.3">
      <c r="A1725" s="21" t="s">
        <v>7992</v>
      </c>
      <c r="B1725" s="89">
        <v>990</v>
      </c>
      <c r="C1725" s="90" t="s">
        <v>401</v>
      </c>
      <c r="D1725" s="90" t="s">
        <v>881</v>
      </c>
      <c r="E1725" s="114">
        <v>5</v>
      </c>
      <c r="F1725" s="91" t="s">
        <v>6285</v>
      </c>
      <c r="G1725" s="91" t="s">
        <v>6286</v>
      </c>
      <c r="H1725" s="98" t="s">
        <v>16</v>
      </c>
      <c r="I1725" s="99" t="s">
        <v>372</v>
      </c>
      <c r="J1725" s="83" t="s">
        <v>5590</v>
      </c>
      <c r="K1725" s="89" t="s">
        <v>6287</v>
      </c>
      <c r="L1725" s="89" t="s">
        <v>1559</v>
      </c>
      <c r="M1725" s="89" t="s">
        <v>6288</v>
      </c>
      <c r="N1725" s="89" t="s">
        <v>1459</v>
      </c>
      <c r="O1725" s="92" t="s">
        <v>6309</v>
      </c>
      <c r="P1725" s="109" t="s">
        <v>6310</v>
      </c>
      <c r="Q1725" s="85" t="s">
        <v>821</v>
      </c>
      <c r="R1725" s="92" t="s">
        <v>6311</v>
      </c>
      <c r="S1725" s="103" t="s">
        <v>6312</v>
      </c>
      <c r="T1725" s="88" t="s">
        <v>3758</v>
      </c>
      <c r="U1725" s="50" t="s">
        <v>7657</v>
      </c>
      <c r="V1725" s="118" t="str">
        <f>+Agencia[[#This Row],[idcoleccion]]&amp;"-"&amp;Agencia[[#This Row],[id]]</f>
        <v>990-1714</v>
      </c>
      <c r="W1725" s="121">
        <v>99200005</v>
      </c>
      <c r="X1725" s="118" t="str">
        <f>+VLOOKUP(Agencia[[#This Row],[tema]],Estructura!$A$4:$C$500,3,0)</f>
        <v>T-1078</v>
      </c>
      <c r="Y1725" s="118" t="str">
        <f>+VLOOKUP(Agencia[[#This Row],[contenido]],Estructura!$E$4:$G$500,3,0)</f>
        <v>C-1026</v>
      </c>
      <c r="Z1725" s="118" t="str">
        <f>+VLOOKUP(Agencia[[#This Row],[Filtro Integrado]],Estructura!$I$4:$K$500,3,0)</f>
        <v>FI-1009</v>
      </c>
      <c r="AA1725" s="118" t="str">
        <f>+VLOOKUP(Agencia[[#This Row],[Muestra]],Estructura!$M$4:$O$500,3,0)</f>
        <v>M-1145</v>
      </c>
    </row>
    <row r="1726" spans="1:27" ht="51" x14ac:dyDescent="0.3">
      <c r="A1726" s="21" t="s">
        <v>7993</v>
      </c>
      <c r="B1726" s="89">
        <v>990</v>
      </c>
      <c r="C1726" s="90" t="s">
        <v>401</v>
      </c>
      <c r="D1726" s="90" t="s">
        <v>881</v>
      </c>
      <c r="E1726" s="114">
        <v>6</v>
      </c>
      <c r="F1726" s="91" t="s">
        <v>6285</v>
      </c>
      <c r="G1726" s="91" t="s">
        <v>6286</v>
      </c>
      <c r="H1726" s="98" t="s">
        <v>16</v>
      </c>
      <c r="I1726" s="99" t="s">
        <v>373</v>
      </c>
      <c r="J1726" s="83" t="s">
        <v>5590</v>
      </c>
      <c r="K1726" s="89" t="s">
        <v>6287</v>
      </c>
      <c r="L1726" s="89" t="s">
        <v>1559</v>
      </c>
      <c r="M1726" s="89" t="s">
        <v>6288</v>
      </c>
      <c r="N1726" s="89" t="s">
        <v>1459</v>
      </c>
      <c r="O1726" s="92" t="s">
        <v>6313</v>
      </c>
      <c r="P1726" s="109" t="s">
        <v>6314</v>
      </c>
      <c r="Q1726" s="85" t="s">
        <v>821</v>
      </c>
      <c r="R1726" s="92" t="s">
        <v>6315</v>
      </c>
      <c r="S1726" s="103" t="s">
        <v>6316</v>
      </c>
      <c r="T1726" s="88" t="s">
        <v>3756</v>
      </c>
      <c r="U1726" s="50" t="s">
        <v>7658</v>
      </c>
      <c r="V1726" s="118" t="str">
        <f>+Agencia[[#This Row],[idcoleccion]]&amp;"-"&amp;Agencia[[#This Row],[id]]</f>
        <v>990-1715</v>
      </c>
      <c r="W1726" s="121">
        <v>99200006</v>
      </c>
      <c r="X1726" s="118" t="str">
        <f>+VLOOKUP(Agencia[[#This Row],[tema]],Estructura!$A$4:$C$500,3,0)</f>
        <v>T-1078</v>
      </c>
      <c r="Y1726" s="118" t="str">
        <f>+VLOOKUP(Agencia[[#This Row],[contenido]],Estructura!$E$4:$G$500,3,0)</f>
        <v>C-1026</v>
      </c>
      <c r="Z1726" s="118" t="str">
        <f>+VLOOKUP(Agencia[[#This Row],[Filtro Integrado]],Estructura!$I$4:$K$500,3,0)</f>
        <v>FI-1009</v>
      </c>
      <c r="AA1726" s="118" t="str">
        <f>+VLOOKUP(Agencia[[#This Row],[Muestra]],Estructura!$M$4:$O$500,3,0)</f>
        <v>M-1145</v>
      </c>
    </row>
    <row r="1727" spans="1:27" ht="48" x14ac:dyDescent="0.3">
      <c r="A1727" s="21" t="s">
        <v>7994</v>
      </c>
      <c r="B1727" s="89">
        <v>990</v>
      </c>
      <c r="C1727" s="90" t="s">
        <v>401</v>
      </c>
      <c r="D1727" s="90" t="s">
        <v>881</v>
      </c>
      <c r="E1727" s="114">
        <v>7</v>
      </c>
      <c r="F1727" s="91" t="s">
        <v>6285</v>
      </c>
      <c r="G1727" s="91" t="s">
        <v>6286</v>
      </c>
      <c r="H1727" s="98" t="s">
        <v>16</v>
      </c>
      <c r="I1727" s="99" t="s">
        <v>374</v>
      </c>
      <c r="J1727" s="83" t="s">
        <v>5590</v>
      </c>
      <c r="K1727" s="89" t="s">
        <v>6287</v>
      </c>
      <c r="L1727" s="89" t="s">
        <v>1559</v>
      </c>
      <c r="M1727" s="89" t="s">
        <v>6288</v>
      </c>
      <c r="N1727" s="89" t="s">
        <v>1459</v>
      </c>
      <c r="O1727" s="92" t="s">
        <v>6317</v>
      </c>
      <c r="P1727" s="109" t="s">
        <v>6318</v>
      </c>
      <c r="Q1727" s="85" t="s">
        <v>821</v>
      </c>
      <c r="R1727" s="92" t="s">
        <v>6319</v>
      </c>
      <c r="S1727" s="103" t="s">
        <v>6320</v>
      </c>
      <c r="T1727" s="88" t="s">
        <v>3754</v>
      </c>
      <c r="U1727" s="50" t="s">
        <v>7659</v>
      </c>
      <c r="V1727" s="118" t="str">
        <f>+Agencia[[#This Row],[idcoleccion]]&amp;"-"&amp;Agencia[[#This Row],[id]]</f>
        <v>990-1716</v>
      </c>
      <c r="W1727" s="121">
        <v>99200007</v>
      </c>
      <c r="X1727" s="118" t="str">
        <f>+VLOOKUP(Agencia[[#This Row],[tema]],Estructura!$A$4:$C$500,3,0)</f>
        <v>T-1078</v>
      </c>
      <c r="Y1727" s="118" t="str">
        <f>+VLOOKUP(Agencia[[#This Row],[contenido]],Estructura!$E$4:$G$500,3,0)</f>
        <v>C-1026</v>
      </c>
      <c r="Z1727" s="118" t="str">
        <f>+VLOOKUP(Agencia[[#This Row],[Filtro Integrado]],Estructura!$I$4:$K$500,3,0)</f>
        <v>FI-1009</v>
      </c>
      <c r="AA1727" s="118" t="str">
        <f>+VLOOKUP(Agencia[[#This Row],[Muestra]],Estructura!$M$4:$O$500,3,0)</f>
        <v>M-1145</v>
      </c>
    </row>
    <row r="1728" spans="1:27" ht="48" x14ac:dyDescent="0.3">
      <c r="A1728" s="21" t="s">
        <v>7995</v>
      </c>
      <c r="B1728" s="89">
        <v>990</v>
      </c>
      <c r="C1728" s="90" t="s">
        <v>401</v>
      </c>
      <c r="D1728" s="90" t="s">
        <v>881</v>
      </c>
      <c r="E1728" s="114">
        <v>8</v>
      </c>
      <c r="F1728" s="91" t="s">
        <v>6285</v>
      </c>
      <c r="G1728" s="91" t="s">
        <v>6286</v>
      </c>
      <c r="H1728" s="98" t="s">
        <v>16</v>
      </c>
      <c r="I1728" s="99" t="s">
        <v>375</v>
      </c>
      <c r="J1728" s="83" t="s">
        <v>5590</v>
      </c>
      <c r="K1728" s="89" t="s">
        <v>6287</v>
      </c>
      <c r="L1728" s="89" t="s">
        <v>1559</v>
      </c>
      <c r="M1728" s="89" t="s">
        <v>6288</v>
      </c>
      <c r="N1728" s="89" t="s">
        <v>1459</v>
      </c>
      <c r="O1728" s="92" t="s">
        <v>6321</v>
      </c>
      <c r="P1728" s="109" t="s">
        <v>6322</v>
      </c>
      <c r="Q1728" s="85" t="s">
        <v>821</v>
      </c>
      <c r="R1728" s="92" t="s">
        <v>6323</v>
      </c>
      <c r="S1728" s="103" t="s">
        <v>6324</v>
      </c>
      <c r="T1728" s="88" t="s">
        <v>3759</v>
      </c>
      <c r="U1728" s="50" t="s">
        <v>7660</v>
      </c>
      <c r="V1728" s="118" t="str">
        <f>+Agencia[[#This Row],[idcoleccion]]&amp;"-"&amp;Agencia[[#This Row],[id]]</f>
        <v>990-1717</v>
      </c>
      <c r="W1728" s="121">
        <v>99200008</v>
      </c>
      <c r="X1728" s="118" t="str">
        <f>+VLOOKUP(Agencia[[#This Row],[tema]],Estructura!$A$4:$C$500,3,0)</f>
        <v>T-1078</v>
      </c>
      <c r="Y1728" s="118" t="str">
        <f>+VLOOKUP(Agencia[[#This Row],[contenido]],Estructura!$E$4:$G$500,3,0)</f>
        <v>C-1026</v>
      </c>
      <c r="Z1728" s="118" t="str">
        <f>+VLOOKUP(Agencia[[#This Row],[Filtro Integrado]],Estructura!$I$4:$K$500,3,0)</f>
        <v>FI-1009</v>
      </c>
      <c r="AA1728" s="118" t="str">
        <f>+VLOOKUP(Agencia[[#This Row],[Muestra]],Estructura!$M$4:$O$500,3,0)</f>
        <v>M-1145</v>
      </c>
    </row>
    <row r="1729" spans="1:27" ht="51" x14ac:dyDescent="0.3">
      <c r="A1729" s="21" t="s">
        <v>7996</v>
      </c>
      <c r="B1729" s="89">
        <v>990</v>
      </c>
      <c r="C1729" s="90" t="s">
        <v>401</v>
      </c>
      <c r="D1729" s="90" t="s">
        <v>881</v>
      </c>
      <c r="E1729" s="114">
        <v>9</v>
      </c>
      <c r="F1729" s="91" t="s">
        <v>6285</v>
      </c>
      <c r="G1729" s="91" t="s">
        <v>6286</v>
      </c>
      <c r="H1729" s="98" t="s">
        <v>16</v>
      </c>
      <c r="I1729" s="99" t="s">
        <v>376</v>
      </c>
      <c r="J1729" s="83" t="s">
        <v>5590</v>
      </c>
      <c r="K1729" s="89" t="s">
        <v>6287</v>
      </c>
      <c r="L1729" s="89" t="s">
        <v>1559</v>
      </c>
      <c r="M1729" s="89" t="s">
        <v>6288</v>
      </c>
      <c r="N1729" s="89" t="s">
        <v>1459</v>
      </c>
      <c r="O1729" s="92" t="s">
        <v>6325</v>
      </c>
      <c r="P1729" s="109" t="s">
        <v>6326</v>
      </c>
      <c r="Q1729" s="85" t="s">
        <v>821</v>
      </c>
      <c r="R1729" s="92" t="s">
        <v>6327</v>
      </c>
      <c r="S1729" s="103" t="s">
        <v>6328</v>
      </c>
      <c r="T1729" s="88" t="s">
        <v>3750</v>
      </c>
      <c r="U1729" s="50" t="s">
        <v>7661</v>
      </c>
      <c r="V1729" s="118" t="str">
        <f>+Agencia[[#This Row],[idcoleccion]]&amp;"-"&amp;Agencia[[#This Row],[id]]</f>
        <v>990-1718</v>
      </c>
      <c r="W1729" s="121">
        <v>99200009</v>
      </c>
      <c r="X1729" s="118" t="str">
        <f>+VLOOKUP(Agencia[[#This Row],[tema]],Estructura!$A$4:$C$500,3,0)</f>
        <v>T-1078</v>
      </c>
      <c r="Y1729" s="118" t="str">
        <f>+VLOOKUP(Agencia[[#This Row],[contenido]],Estructura!$E$4:$G$500,3,0)</f>
        <v>C-1026</v>
      </c>
      <c r="Z1729" s="118" t="str">
        <f>+VLOOKUP(Agencia[[#This Row],[Filtro Integrado]],Estructura!$I$4:$K$500,3,0)</f>
        <v>FI-1009</v>
      </c>
      <c r="AA1729" s="118" t="str">
        <f>+VLOOKUP(Agencia[[#This Row],[Muestra]],Estructura!$M$4:$O$500,3,0)</f>
        <v>M-1145</v>
      </c>
    </row>
    <row r="1730" spans="1:27" ht="51" x14ac:dyDescent="0.3">
      <c r="A1730" s="21" t="s">
        <v>7997</v>
      </c>
      <c r="B1730" s="89">
        <v>990</v>
      </c>
      <c r="C1730" s="90" t="s">
        <v>401</v>
      </c>
      <c r="D1730" s="90" t="s">
        <v>881</v>
      </c>
      <c r="E1730" s="114">
        <v>10</v>
      </c>
      <c r="F1730" s="91" t="s">
        <v>6285</v>
      </c>
      <c r="G1730" s="91" t="s">
        <v>6286</v>
      </c>
      <c r="H1730" s="98" t="s">
        <v>16</v>
      </c>
      <c r="I1730" s="99" t="s">
        <v>377</v>
      </c>
      <c r="J1730" s="83" t="s">
        <v>5590</v>
      </c>
      <c r="K1730" s="89" t="s">
        <v>6287</v>
      </c>
      <c r="L1730" s="89" t="s">
        <v>1559</v>
      </c>
      <c r="M1730" s="89" t="s">
        <v>6288</v>
      </c>
      <c r="N1730" s="89" t="s">
        <v>1459</v>
      </c>
      <c r="O1730" s="92" t="s">
        <v>6329</v>
      </c>
      <c r="P1730" s="109" t="s">
        <v>6330</v>
      </c>
      <c r="Q1730" s="85" t="s">
        <v>821</v>
      </c>
      <c r="R1730" s="92" t="s">
        <v>6331</v>
      </c>
      <c r="S1730" s="103" t="s">
        <v>6332</v>
      </c>
      <c r="T1730" s="88" t="s">
        <v>3751</v>
      </c>
      <c r="U1730" s="50" t="s">
        <v>7662</v>
      </c>
      <c r="V1730" s="118" t="str">
        <f>+Agencia[[#This Row],[idcoleccion]]&amp;"-"&amp;Agencia[[#This Row],[id]]</f>
        <v>990-1719</v>
      </c>
      <c r="W1730" s="121">
        <v>99200010</v>
      </c>
      <c r="X1730" s="118" t="str">
        <f>+VLOOKUP(Agencia[[#This Row],[tema]],Estructura!$A$4:$C$500,3,0)</f>
        <v>T-1078</v>
      </c>
      <c r="Y1730" s="118" t="str">
        <f>+VLOOKUP(Agencia[[#This Row],[contenido]],Estructura!$E$4:$G$500,3,0)</f>
        <v>C-1026</v>
      </c>
      <c r="Z1730" s="118" t="str">
        <f>+VLOOKUP(Agencia[[#This Row],[Filtro Integrado]],Estructura!$I$4:$K$500,3,0)</f>
        <v>FI-1009</v>
      </c>
      <c r="AA1730" s="118" t="str">
        <f>+VLOOKUP(Agencia[[#This Row],[Muestra]],Estructura!$M$4:$O$500,3,0)</f>
        <v>M-1145</v>
      </c>
    </row>
    <row r="1731" spans="1:27" ht="48" x14ac:dyDescent="0.3">
      <c r="A1731" s="21" t="s">
        <v>7998</v>
      </c>
      <c r="B1731" s="89">
        <v>990</v>
      </c>
      <c r="C1731" s="90" t="s">
        <v>401</v>
      </c>
      <c r="D1731" s="90" t="s">
        <v>881</v>
      </c>
      <c r="E1731" s="114">
        <v>11</v>
      </c>
      <c r="F1731" s="91" t="s">
        <v>6285</v>
      </c>
      <c r="G1731" s="91" t="s">
        <v>6286</v>
      </c>
      <c r="H1731" s="98" t="s">
        <v>16</v>
      </c>
      <c r="I1731" s="99" t="s">
        <v>378</v>
      </c>
      <c r="J1731" s="83" t="s">
        <v>5590</v>
      </c>
      <c r="K1731" s="89" t="s">
        <v>6287</v>
      </c>
      <c r="L1731" s="89" t="s">
        <v>1559</v>
      </c>
      <c r="M1731" s="89" t="s">
        <v>6288</v>
      </c>
      <c r="N1731" s="89" t="s">
        <v>1459</v>
      </c>
      <c r="O1731" s="92" t="s">
        <v>6333</v>
      </c>
      <c r="P1731" s="109" t="s">
        <v>6334</v>
      </c>
      <c r="Q1731" s="85" t="s">
        <v>821</v>
      </c>
      <c r="R1731" s="92" t="s">
        <v>6335</v>
      </c>
      <c r="S1731" s="103" t="s">
        <v>6336</v>
      </c>
      <c r="T1731" s="88" t="s">
        <v>3748</v>
      </c>
      <c r="U1731" s="50" t="s">
        <v>7663</v>
      </c>
      <c r="V1731" s="118" t="str">
        <f>+Agencia[[#This Row],[idcoleccion]]&amp;"-"&amp;Agencia[[#This Row],[id]]</f>
        <v>990-1720</v>
      </c>
      <c r="W1731" s="121">
        <v>99200011</v>
      </c>
      <c r="X1731" s="118" t="str">
        <f>+VLOOKUP(Agencia[[#This Row],[tema]],Estructura!$A$4:$C$500,3,0)</f>
        <v>T-1078</v>
      </c>
      <c r="Y1731" s="118" t="str">
        <f>+VLOOKUP(Agencia[[#This Row],[contenido]],Estructura!$E$4:$G$500,3,0)</f>
        <v>C-1026</v>
      </c>
      <c r="Z1731" s="118" t="str">
        <f>+VLOOKUP(Agencia[[#This Row],[Filtro Integrado]],Estructura!$I$4:$K$500,3,0)</f>
        <v>FI-1009</v>
      </c>
      <c r="AA1731" s="118" t="str">
        <f>+VLOOKUP(Agencia[[#This Row],[Muestra]],Estructura!$M$4:$O$500,3,0)</f>
        <v>M-1145</v>
      </c>
    </row>
    <row r="1732" spans="1:27" ht="51" x14ac:dyDescent="0.3">
      <c r="A1732" s="21" t="s">
        <v>7999</v>
      </c>
      <c r="B1732" s="89">
        <v>990</v>
      </c>
      <c r="C1732" s="90" t="s">
        <v>401</v>
      </c>
      <c r="D1732" s="90" t="s">
        <v>881</v>
      </c>
      <c r="E1732" s="114">
        <v>12</v>
      </c>
      <c r="F1732" s="91" t="s">
        <v>6285</v>
      </c>
      <c r="G1732" s="91" t="s">
        <v>6286</v>
      </c>
      <c r="H1732" s="98" t="s">
        <v>16</v>
      </c>
      <c r="I1732" s="99" t="s">
        <v>379</v>
      </c>
      <c r="J1732" s="83" t="s">
        <v>5590</v>
      </c>
      <c r="K1732" s="89" t="s">
        <v>6287</v>
      </c>
      <c r="L1732" s="89" t="s">
        <v>1559</v>
      </c>
      <c r="M1732" s="89" t="s">
        <v>6288</v>
      </c>
      <c r="N1732" s="89" t="s">
        <v>1459</v>
      </c>
      <c r="O1732" s="92" t="s">
        <v>6337</v>
      </c>
      <c r="P1732" s="109" t="s">
        <v>6338</v>
      </c>
      <c r="Q1732" s="85" t="s">
        <v>821</v>
      </c>
      <c r="R1732" s="92" t="s">
        <v>6339</v>
      </c>
      <c r="S1732" s="103" t="s">
        <v>6340</v>
      </c>
      <c r="T1732" s="88" t="s">
        <v>3753</v>
      </c>
      <c r="U1732" s="50" t="s">
        <v>7664</v>
      </c>
      <c r="V1732" s="118" t="str">
        <f>+Agencia[[#This Row],[idcoleccion]]&amp;"-"&amp;Agencia[[#This Row],[id]]</f>
        <v>990-1721</v>
      </c>
      <c r="W1732" s="121">
        <v>99200012</v>
      </c>
      <c r="X1732" s="118" t="str">
        <f>+VLOOKUP(Agencia[[#This Row],[tema]],Estructura!$A$4:$C$500,3,0)</f>
        <v>T-1078</v>
      </c>
      <c r="Y1732" s="118" t="str">
        <f>+VLOOKUP(Agencia[[#This Row],[contenido]],Estructura!$E$4:$G$500,3,0)</f>
        <v>C-1026</v>
      </c>
      <c r="Z1732" s="118" t="str">
        <f>+VLOOKUP(Agencia[[#This Row],[Filtro Integrado]],Estructura!$I$4:$K$500,3,0)</f>
        <v>FI-1009</v>
      </c>
      <c r="AA1732" s="118" t="str">
        <f>+VLOOKUP(Agencia[[#This Row],[Muestra]],Estructura!$M$4:$O$500,3,0)</f>
        <v>M-1145</v>
      </c>
    </row>
    <row r="1733" spans="1:27" ht="51" x14ac:dyDescent="0.3">
      <c r="A1733" s="21" t="s">
        <v>8000</v>
      </c>
      <c r="B1733" s="89">
        <v>990</v>
      </c>
      <c r="C1733" s="90" t="s">
        <v>401</v>
      </c>
      <c r="D1733" s="90" t="s">
        <v>881</v>
      </c>
      <c r="E1733" s="114">
        <v>13</v>
      </c>
      <c r="F1733" s="91" t="s">
        <v>6285</v>
      </c>
      <c r="G1733" s="91" t="s">
        <v>6286</v>
      </c>
      <c r="H1733" s="98" t="s">
        <v>16</v>
      </c>
      <c r="I1733" s="99" t="s">
        <v>380</v>
      </c>
      <c r="J1733" s="83" t="s">
        <v>5590</v>
      </c>
      <c r="K1733" s="89" t="s">
        <v>6287</v>
      </c>
      <c r="L1733" s="89" t="s">
        <v>1559</v>
      </c>
      <c r="M1733" s="89" t="s">
        <v>6288</v>
      </c>
      <c r="N1733" s="89" t="s">
        <v>1459</v>
      </c>
      <c r="O1733" s="92" t="s">
        <v>6341</v>
      </c>
      <c r="P1733" s="109" t="s">
        <v>6342</v>
      </c>
      <c r="Q1733" s="85" t="s">
        <v>821</v>
      </c>
      <c r="R1733" s="92" t="s">
        <v>6343</v>
      </c>
      <c r="S1733" s="103" t="s">
        <v>6344</v>
      </c>
      <c r="T1733" s="88" t="s">
        <v>3760</v>
      </c>
      <c r="U1733" s="50" t="s">
        <v>7665</v>
      </c>
      <c r="V1733" s="118" t="str">
        <f>+Agencia[[#This Row],[idcoleccion]]&amp;"-"&amp;Agencia[[#This Row],[id]]</f>
        <v>990-1722</v>
      </c>
      <c r="W1733" s="121">
        <v>99200013</v>
      </c>
      <c r="X1733" s="118" t="str">
        <f>+VLOOKUP(Agencia[[#This Row],[tema]],Estructura!$A$4:$C$500,3,0)</f>
        <v>T-1078</v>
      </c>
      <c r="Y1733" s="118" t="str">
        <f>+VLOOKUP(Agencia[[#This Row],[contenido]],Estructura!$E$4:$G$500,3,0)</f>
        <v>C-1026</v>
      </c>
      <c r="Z1733" s="118" t="str">
        <f>+VLOOKUP(Agencia[[#This Row],[Filtro Integrado]],Estructura!$I$4:$K$500,3,0)</f>
        <v>FI-1009</v>
      </c>
      <c r="AA1733" s="118" t="str">
        <f>+VLOOKUP(Agencia[[#This Row],[Muestra]],Estructura!$M$4:$O$500,3,0)</f>
        <v>M-1145</v>
      </c>
    </row>
    <row r="1734" spans="1:27" ht="48" x14ac:dyDescent="0.3">
      <c r="A1734" s="21" t="s">
        <v>8001</v>
      </c>
      <c r="B1734" s="89">
        <v>990</v>
      </c>
      <c r="C1734" s="90" t="s">
        <v>401</v>
      </c>
      <c r="D1734" s="90" t="s">
        <v>881</v>
      </c>
      <c r="E1734" s="114">
        <v>14</v>
      </c>
      <c r="F1734" s="91" t="s">
        <v>6285</v>
      </c>
      <c r="G1734" s="91" t="s">
        <v>6286</v>
      </c>
      <c r="H1734" s="98" t="s">
        <v>16</v>
      </c>
      <c r="I1734" s="99" t="s">
        <v>381</v>
      </c>
      <c r="J1734" s="83" t="s">
        <v>5590</v>
      </c>
      <c r="K1734" s="89" t="s">
        <v>6287</v>
      </c>
      <c r="L1734" s="89" t="s">
        <v>1559</v>
      </c>
      <c r="M1734" s="89" t="s">
        <v>6288</v>
      </c>
      <c r="N1734" s="89" t="s">
        <v>1459</v>
      </c>
      <c r="O1734" s="92" t="s">
        <v>6345</v>
      </c>
      <c r="P1734" s="109" t="s">
        <v>6346</v>
      </c>
      <c r="Q1734" s="85" t="s">
        <v>821</v>
      </c>
      <c r="R1734" s="92" t="s">
        <v>6347</v>
      </c>
      <c r="S1734" s="103" t="s">
        <v>6348</v>
      </c>
      <c r="T1734" s="88" t="s">
        <v>3752</v>
      </c>
      <c r="U1734" s="50" t="s">
        <v>7666</v>
      </c>
      <c r="V1734" s="118" t="str">
        <f>+Agencia[[#This Row],[idcoleccion]]&amp;"-"&amp;Agencia[[#This Row],[id]]</f>
        <v>990-1723</v>
      </c>
      <c r="W1734" s="121">
        <v>99200014</v>
      </c>
      <c r="X1734" s="118" t="str">
        <f>+VLOOKUP(Agencia[[#This Row],[tema]],Estructura!$A$4:$C$500,3,0)</f>
        <v>T-1078</v>
      </c>
      <c r="Y1734" s="118" t="str">
        <f>+VLOOKUP(Agencia[[#This Row],[contenido]],Estructura!$E$4:$G$500,3,0)</f>
        <v>C-1026</v>
      </c>
      <c r="Z1734" s="118" t="str">
        <f>+VLOOKUP(Agencia[[#This Row],[Filtro Integrado]],Estructura!$I$4:$K$500,3,0)</f>
        <v>FI-1009</v>
      </c>
      <c r="AA1734" s="118" t="str">
        <f>+VLOOKUP(Agencia[[#This Row],[Muestra]],Estructura!$M$4:$O$500,3,0)</f>
        <v>M-1145</v>
      </c>
    </row>
    <row r="1735" spans="1:27" ht="51" x14ac:dyDescent="0.3">
      <c r="A1735" s="21" t="s">
        <v>8002</v>
      </c>
      <c r="B1735" s="89">
        <v>990</v>
      </c>
      <c r="C1735" s="90" t="s">
        <v>401</v>
      </c>
      <c r="D1735" s="90" t="s">
        <v>881</v>
      </c>
      <c r="E1735" s="114">
        <v>15</v>
      </c>
      <c r="F1735" s="91" t="s">
        <v>6285</v>
      </c>
      <c r="G1735" s="91" t="s">
        <v>6286</v>
      </c>
      <c r="H1735" s="98" t="s">
        <v>16</v>
      </c>
      <c r="I1735" s="99" t="s">
        <v>382</v>
      </c>
      <c r="J1735" s="83" t="s">
        <v>5590</v>
      </c>
      <c r="K1735" s="89" t="s">
        <v>6287</v>
      </c>
      <c r="L1735" s="89" t="s">
        <v>1559</v>
      </c>
      <c r="M1735" s="89" t="s">
        <v>6288</v>
      </c>
      <c r="N1735" s="89" t="s">
        <v>1459</v>
      </c>
      <c r="O1735" s="92" t="s">
        <v>6349</v>
      </c>
      <c r="P1735" s="109" t="s">
        <v>6350</v>
      </c>
      <c r="Q1735" s="85" t="s">
        <v>821</v>
      </c>
      <c r="R1735" s="92" t="s">
        <v>6351</v>
      </c>
      <c r="S1735" s="103" t="s">
        <v>6352</v>
      </c>
      <c r="T1735" s="88" t="s">
        <v>3746</v>
      </c>
      <c r="U1735" s="50" t="s">
        <v>7667</v>
      </c>
      <c r="V1735" s="118" t="str">
        <f>+Agencia[[#This Row],[idcoleccion]]&amp;"-"&amp;Agencia[[#This Row],[id]]</f>
        <v>990-1724</v>
      </c>
      <c r="W1735" s="121">
        <v>99200015</v>
      </c>
      <c r="X1735" s="118" t="str">
        <f>+VLOOKUP(Agencia[[#This Row],[tema]],Estructura!$A$4:$C$500,3,0)</f>
        <v>T-1078</v>
      </c>
      <c r="Y1735" s="118" t="str">
        <f>+VLOOKUP(Agencia[[#This Row],[contenido]],Estructura!$E$4:$G$500,3,0)</f>
        <v>C-1026</v>
      </c>
      <c r="Z1735" s="118" t="str">
        <f>+VLOOKUP(Agencia[[#This Row],[Filtro Integrado]],Estructura!$I$4:$K$500,3,0)</f>
        <v>FI-1009</v>
      </c>
      <c r="AA1735" s="118" t="str">
        <f>+VLOOKUP(Agencia[[#This Row],[Muestra]],Estructura!$M$4:$O$500,3,0)</f>
        <v>M-1145</v>
      </c>
    </row>
    <row r="1736" spans="1:27" ht="48" x14ac:dyDescent="0.3">
      <c r="A1736" s="21" t="s">
        <v>8003</v>
      </c>
      <c r="B1736" s="89">
        <v>990</v>
      </c>
      <c r="C1736" s="90" t="s">
        <v>401</v>
      </c>
      <c r="D1736" s="90" t="s">
        <v>881</v>
      </c>
      <c r="E1736" s="114">
        <v>16</v>
      </c>
      <c r="F1736" s="91" t="s">
        <v>6285</v>
      </c>
      <c r="G1736" s="91" t="s">
        <v>6286</v>
      </c>
      <c r="H1736" s="98" t="s">
        <v>16</v>
      </c>
      <c r="I1736" s="99" t="s">
        <v>383</v>
      </c>
      <c r="J1736" s="83" t="s">
        <v>5590</v>
      </c>
      <c r="K1736" s="89" t="s">
        <v>6287</v>
      </c>
      <c r="L1736" s="89" t="s">
        <v>1559</v>
      </c>
      <c r="M1736" s="89" t="s">
        <v>6288</v>
      </c>
      <c r="N1736" s="89" t="s">
        <v>1459</v>
      </c>
      <c r="O1736" s="92" t="s">
        <v>6353</v>
      </c>
      <c r="P1736" s="109" t="s">
        <v>6354</v>
      </c>
      <c r="Q1736" s="85" t="s">
        <v>821</v>
      </c>
      <c r="R1736" s="92" t="s">
        <v>6355</v>
      </c>
      <c r="S1736" s="103" t="s">
        <v>6356</v>
      </c>
      <c r="T1736" s="88" t="s">
        <v>3755</v>
      </c>
      <c r="U1736" s="50" t="s">
        <v>7668</v>
      </c>
      <c r="V1736" s="118" t="str">
        <f>+Agencia[[#This Row],[idcoleccion]]&amp;"-"&amp;Agencia[[#This Row],[id]]</f>
        <v>990-1725</v>
      </c>
      <c r="W1736" s="121">
        <v>99200016</v>
      </c>
      <c r="X1736" s="118" t="str">
        <f>+VLOOKUP(Agencia[[#This Row],[tema]],Estructura!$A$4:$C$500,3,0)</f>
        <v>T-1078</v>
      </c>
      <c r="Y1736" s="118" t="str">
        <f>+VLOOKUP(Agencia[[#This Row],[contenido]],Estructura!$E$4:$G$500,3,0)</f>
        <v>C-1026</v>
      </c>
      <c r="Z1736" s="118" t="str">
        <f>+VLOOKUP(Agencia[[#This Row],[Filtro Integrado]],Estructura!$I$4:$K$500,3,0)</f>
        <v>FI-1009</v>
      </c>
      <c r="AA1736" s="118" t="str">
        <f>+VLOOKUP(Agencia[[#This Row],[Muestra]],Estructura!$M$4:$O$500,3,0)</f>
        <v>M-1145</v>
      </c>
    </row>
    <row r="1737" spans="1:27" ht="71.400000000000006" x14ac:dyDescent="0.3">
      <c r="A1737" s="21" t="s">
        <v>8004</v>
      </c>
      <c r="B1737" s="83">
        <v>990</v>
      </c>
      <c r="C1737" s="84" t="s">
        <v>401</v>
      </c>
      <c r="D1737" s="84" t="s">
        <v>881</v>
      </c>
      <c r="E1737" s="115">
        <v>0</v>
      </c>
      <c r="F1737" s="90" t="s">
        <v>7345</v>
      </c>
      <c r="G1737" s="86" t="s">
        <v>6259</v>
      </c>
      <c r="H1737" s="96" t="s">
        <v>20</v>
      </c>
      <c r="I1737" s="97" t="s">
        <v>15</v>
      </c>
      <c r="J1737" s="83" t="s">
        <v>5610</v>
      </c>
      <c r="K1737" s="84" t="s">
        <v>6357</v>
      </c>
      <c r="L1737" s="89" t="s">
        <v>1559</v>
      </c>
      <c r="M1737" s="83" t="s">
        <v>6260</v>
      </c>
      <c r="N1737" s="89" t="s">
        <v>1459</v>
      </c>
      <c r="O1737" s="87" t="s">
        <v>6358</v>
      </c>
      <c r="P1737" s="95" t="s">
        <v>6359</v>
      </c>
      <c r="Q1737" s="85" t="s">
        <v>821</v>
      </c>
      <c r="R1737" s="87" t="s">
        <v>6360</v>
      </c>
      <c r="S1737" s="103" t="s">
        <v>6361</v>
      </c>
      <c r="T1737" s="88" t="s">
        <v>855</v>
      </c>
      <c r="U1737" s="50" t="s">
        <v>7669</v>
      </c>
      <c r="V1737" s="118" t="str">
        <f>+Agencia[[#This Row],[idcoleccion]]&amp;"-"&amp;Agencia[[#This Row],[id]]</f>
        <v>990-1726</v>
      </c>
      <c r="W1737" s="121">
        <v>99100000</v>
      </c>
      <c r="X1737" s="118" t="str">
        <f>+VLOOKUP(Agencia[[#This Row],[tema]],Estructura!$A$4:$C$500,3,0)</f>
        <v>T-1077</v>
      </c>
      <c r="Y1737" s="118" t="str">
        <f>+VLOOKUP(Agencia[[#This Row],[contenido]],Estructura!$E$4:$G$500,3,0)</f>
        <v>C-1025</v>
      </c>
      <c r="Z1737" s="118" t="str">
        <f>+VLOOKUP(Agencia[[#This Row],[Filtro Integrado]],Estructura!$I$4:$K$500,3,0)</f>
        <v>FI-1010</v>
      </c>
      <c r="AA1737" s="118" t="str">
        <f>+VLOOKUP(Agencia[[#This Row],[Muestra]],Estructura!$M$4:$O$500,3,0)</f>
        <v>M-1146</v>
      </c>
    </row>
    <row r="1738" spans="1:27" ht="61.2" x14ac:dyDescent="0.3">
      <c r="A1738" s="21" t="s">
        <v>8005</v>
      </c>
      <c r="B1738" s="83">
        <v>990</v>
      </c>
      <c r="C1738" s="84" t="s">
        <v>401</v>
      </c>
      <c r="D1738" s="84" t="s">
        <v>881</v>
      </c>
      <c r="E1738" s="114">
        <v>5</v>
      </c>
      <c r="F1738" s="90" t="s">
        <v>7345</v>
      </c>
      <c r="G1738" s="86" t="s">
        <v>6259</v>
      </c>
      <c r="H1738" s="98" t="s">
        <v>16</v>
      </c>
      <c r="I1738" s="99" t="s">
        <v>372</v>
      </c>
      <c r="J1738" s="83" t="s">
        <v>5590</v>
      </c>
      <c r="K1738" s="84" t="s">
        <v>6357</v>
      </c>
      <c r="L1738" s="89" t="s">
        <v>1559</v>
      </c>
      <c r="M1738" s="83" t="s">
        <v>6260</v>
      </c>
      <c r="N1738" s="89" t="s">
        <v>1459</v>
      </c>
      <c r="O1738" s="87" t="s">
        <v>6362</v>
      </c>
      <c r="P1738" s="110" t="s">
        <v>6363</v>
      </c>
      <c r="Q1738" s="85" t="s">
        <v>821</v>
      </c>
      <c r="R1738" s="87" t="s">
        <v>6364</v>
      </c>
      <c r="S1738" s="103" t="s">
        <v>6365</v>
      </c>
      <c r="T1738" s="88" t="s">
        <v>3758</v>
      </c>
      <c r="U1738" s="50" t="s">
        <v>7670</v>
      </c>
      <c r="V1738" s="118" t="str">
        <f>+Agencia[[#This Row],[idcoleccion]]&amp;"-"&amp;Agencia[[#This Row],[id]]</f>
        <v>990-1727</v>
      </c>
      <c r="W1738" s="121">
        <v>99200005</v>
      </c>
      <c r="X1738" s="118" t="str">
        <f>+VLOOKUP(Agencia[[#This Row],[tema]],Estructura!$A$4:$C$500,3,0)</f>
        <v>T-1077</v>
      </c>
      <c r="Y1738" s="118" t="str">
        <f>+VLOOKUP(Agencia[[#This Row],[contenido]],Estructura!$E$4:$G$500,3,0)</f>
        <v>C-1025</v>
      </c>
      <c r="Z1738" s="118" t="str">
        <f>+VLOOKUP(Agencia[[#This Row],[Filtro Integrado]],Estructura!$I$4:$K$500,3,0)</f>
        <v>FI-1009</v>
      </c>
      <c r="AA1738" s="118" t="str">
        <f>+VLOOKUP(Agencia[[#This Row],[Muestra]],Estructura!$M$4:$O$500,3,0)</f>
        <v>M-1146</v>
      </c>
    </row>
    <row r="1739" spans="1:27" ht="61.2" x14ac:dyDescent="0.3">
      <c r="A1739" s="21" t="s">
        <v>8006</v>
      </c>
      <c r="B1739" s="83">
        <v>990</v>
      </c>
      <c r="C1739" s="84" t="s">
        <v>401</v>
      </c>
      <c r="D1739" s="84" t="s">
        <v>881</v>
      </c>
      <c r="E1739" s="114">
        <v>6</v>
      </c>
      <c r="F1739" s="90" t="s">
        <v>7345</v>
      </c>
      <c r="G1739" s="86" t="s">
        <v>6259</v>
      </c>
      <c r="H1739" s="98" t="s">
        <v>16</v>
      </c>
      <c r="I1739" s="99" t="s">
        <v>373</v>
      </c>
      <c r="J1739" s="83" t="s">
        <v>5590</v>
      </c>
      <c r="K1739" s="84" t="s">
        <v>6357</v>
      </c>
      <c r="L1739" s="89" t="s">
        <v>1559</v>
      </c>
      <c r="M1739" s="83" t="s">
        <v>6260</v>
      </c>
      <c r="N1739" s="89" t="s">
        <v>1459</v>
      </c>
      <c r="O1739" s="87" t="s">
        <v>6366</v>
      </c>
      <c r="P1739" s="110" t="s">
        <v>6367</v>
      </c>
      <c r="Q1739" s="85" t="s">
        <v>821</v>
      </c>
      <c r="R1739" s="87" t="s">
        <v>6368</v>
      </c>
      <c r="S1739" s="103" t="s">
        <v>6369</v>
      </c>
      <c r="T1739" s="88" t="s">
        <v>3756</v>
      </c>
      <c r="U1739" s="50" t="s">
        <v>7671</v>
      </c>
      <c r="V1739" s="118" t="str">
        <f>+Agencia[[#This Row],[idcoleccion]]&amp;"-"&amp;Agencia[[#This Row],[id]]</f>
        <v>990-1728</v>
      </c>
      <c r="W1739" s="121">
        <v>99200006</v>
      </c>
      <c r="X1739" s="118" t="str">
        <f>+VLOOKUP(Agencia[[#This Row],[tema]],Estructura!$A$4:$C$500,3,0)</f>
        <v>T-1077</v>
      </c>
      <c r="Y1739" s="118" t="str">
        <f>+VLOOKUP(Agencia[[#This Row],[contenido]],Estructura!$E$4:$G$500,3,0)</f>
        <v>C-1025</v>
      </c>
      <c r="Z1739" s="118" t="str">
        <f>+VLOOKUP(Agencia[[#This Row],[Filtro Integrado]],Estructura!$I$4:$K$500,3,0)</f>
        <v>FI-1009</v>
      </c>
      <c r="AA1739" s="118" t="str">
        <f>+VLOOKUP(Agencia[[#This Row],[Muestra]],Estructura!$M$4:$O$500,3,0)</f>
        <v>M-1146</v>
      </c>
    </row>
    <row r="1740" spans="1:27" ht="61.2" x14ac:dyDescent="0.3">
      <c r="A1740" s="21" t="s">
        <v>8007</v>
      </c>
      <c r="B1740" s="83">
        <v>990</v>
      </c>
      <c r="C1740" s="84" t="s">
        <v>401</v>
      </c>
      <c r="D1740" s="84" t="s">
        <v>881</v>
      </c>
      <c r="E1740" s="114">
        <v>8</v>
      </c>
      <c r="F1740" s="90" t="s">
        <v>7345</v>
      </c>
      <c r="G1740" s="86" t="s">
        <v>6259</v>
      </c>
      <c r="H1740" s="98" t="s">
        <v>16</v>
      </c>
      <c r="I1740" s="99" t="s">
        <v>375</v>
      </c>
      <c r="J1740" s="83" t="s">
        <v>5590</v>
      </c>
      <c r="K1740" s="84" t="s">
        <v>6357</v>
      </c>
      <c r="L1740" s="89" t="s">
        <v>1559</v>
      </c>
      <c r="M1740" s="83" t="s">
        <v>6260</v>
      </c>
      <c r="N1740" s="89" t="s">
        <v>1459</v>
      </c>
      <c r="O1740" s="87" t="s">
        <v>6370</v>
      </c>
      <c r="P1740" s="110" t="s">
        <v>6371</v>
      </c>
      <c r="Q1740" s="85" t="s">
        <v>821</v>
      </c>
      <c r="R1740" s="87" t="s">
        <v>6372</v>
      </c>
      <c r="S1740" s="103" t="s">
        <v>6373</v>
      </c>
      <c r="T1740" s="88" t="s">
        <v>3759</v>
      </c>
      <c r="U1740" s="50" t="s">
        <v>7672</v>
      </c>
      <c r="V1740" s="118" t="str">
        <f>+Agencia[[#This Row],[idcoleccion]]&amp;"-"&amp;Agencia[[#This Row],[id]]</f>
        <v>990-1729</v>
      </c>
      <c r="W1740" s="121">
        <v>99200008</v>
      </c>
      <c r="X1740" s="118" t="str">
        <f>+VLOOKUP(Agencia[[#This Row],[tema]],Estructura!$A$4:$C$500,3,0)</f>
        <v>T-1077</v>
      </c>
      <c r="Y1740" s="118" t="str">
        <f>+VLOOKUP(Agencia[[#This Row],[contenido]],Estructura!$E$4:$G$500,3,0)</f>
        <v>C-1025</v>
      </c>
      <c r="Z1740" s="118" t="str">
        <f>+VLOOKUP(Agencia[[#This Row],[Filtro Integrado]],Estructura!$I$4:$K$500,3,0)</f>
        <v>FI-1009</v>
      </c>
      <c r="AA1740" s="118" t="str">
        <f>+VLOOKUP(Agencia[[#This Row],[Muestra]],Estructura!$M$4:$O$500,3,0)</f>
        <v>M-1146</v>
      </c>
    </row>
    <row r="1741" spans="1:27" ht="61.2" x14ac:dyDescent="0.3">
      <c r="A1741" s="21" t="s">
        <v>8008</v>
      </c>
      <c r="B1741" s="89">
        <v>990</v>
      </c>
      <c r="C1741" s="90" t="s">
        <v>401</v>
      </c>
      <c r="D1741" s="90" t="s">
        <v>881</v>
      </c>
      <c r="E1741" s="116">
        <v>14</v>
      </c>
      <c r="F1741" s="90" t="s">
        <v>7345</v>
      </c>
      <c r="G1741" s="86" t="s">
        <v>6259</v>
      </c>
      <c r="H1741" s="98" t="s">
        <v>16</v>
      </c>
      <c r="I1741" s="99" t="s">
        <v>381</v>
      </c>
      <c r="J1741" s="89" t="s">
        <v>5590</v>
      </c>
      <c r="K1741" s="84" t="s">
        <v>6357</v>
      </c>
      <c r="L1741" s="89" t="s">
        <v>1559</v>
      </c>
      <c r="M1741" s="83" t="s">
        <v>6260</v>
      </c>
      <c r="N1741" s="89" t="s">
        <v>1459</v>
      </c>
      <c r="O1741" s="87" t="s">
        <v>6374</v>
      </c>
      <c r="P1741" s="110" t="s">
        <v>6375</v>
      </c>
      <c r="Q1741" s="93" t="s">
        <v>821</v>
      </c>
      <c r="R1741" s="87" t="s">
        <v>6376</v>
      </c>
      <c r="S1741" s="103" t="s">
        <v>6377</v>
      </c>
      <c r="T1741" s="94" t="s">
        <v>3752</v>
      </c>
      <c r="U1741" s="50" t="s">
        <v>7673</v>
      </c>
      <c r="V1741" s="118" t="str">
        <f>+Agencia[[#This Row],[idcoleccion]]&amp;"-"&amp;Agencia[[#This Row],[id]]</f>
        <v>990-1730</v>
      </c>
      <c r="W1741" s="121">
        <v>99200014</v>
      </c>
      <c r="X1741" s="118" t="str">
        <f>+VLOOKUP(Agencia[[#This Row],[tema]],Estructura!$A$4:$C$500,3,0)</f>
        <v>T-1077</v>
      </c>
      <c r="Y1741" s="118" t="str">
        <f>+VLOOKUP(Agencia[[#This Row],[contenido]],Estructura!$E$4:$G$500,3,0)</f>
        <v>C-1025</v>
      </c>
      <c r="Z1741" s="118" t="str">
        <f>+VLOOKUP(Agencia[[#This Row],[Filtro Integrado]],Estructura!$I$4:$K$500,3,0)</f>
        <v>FI-1009</v>
      </c>
      <c r="AA1741" s="118" t="str">
        <f>+VLOOKUP(Agencia[[#This Row],[Muestra]],Estructura!$M$4:$O$500,3,0)</f>
        <v>M-1146</v>
      </c>
    </row>
    <row r="1742" spans="1:27" ht="61.2" x14ac:dyDescent="0.3">
      <c r="A1742" s="21" t="s">
        <v>8009</v>
      </c>
      <c r="B1742" s="89">
        <v>990</v>
      </c>
      <c r="C1742" s="90" t="s">
        <v>401</v>
      </c>
      <c r="D1742" s="90" t="s">
        <v>881</v>
      </c>
      <c r="E1742" s="115">
        <v>0</v>
      </c>
      <c r="F1742" s="90" t="s">
        <v>7345</v>
      </c>
      <c r="G1742" s="91" t="s">
        <v>6259</v>
      </c>
      <c r="H1742" s="96" t="s">
        <v>20</v>
      </c>
      <c r="I1742" s="97" t="s">
        <v>15</v>
      </c>
      <c r="J1742" s="89" t="s">
        <v>5590</v>
      </c>
      <c r="K1742" s="90" t="s">
        <v>6378</v>
      </c>
      <c r="L1742" s="89" t="s">
        <v>1559</v>
      </c>
      <c r="M1742" s="83" t="s">
        <v>6260</v>
      </c>
      <c r="N1742" s="89" t="s">
        <v>1459</v>
      </c>
      <c r="O1742" s="92" t="s">
        <v>6379</v>
      </c>
      <c r="P1742" s="107" t="s">
        <v>6380</v>
      </c>
      <c r="Q1742" s="93" t="s">
        <v>821</v>
      </c>
      <c r="R1742" s="92" t="s">
        <v>6381</v>
      </c>
      <c r="S1742" s="104" t="s">
        <v>6382</v>
      </c>
      <c r="T1742" s="94">
        <v>0</v>
      </c>
      <c r="U1742" s="50" t="s">
        <v>7674</v>
      </c>
      <c r="V1742" s="118" t="str">
        <f>+Agencia[[#This Row],[idcoleccion]]&amp;"-"&amp;Agencia[[#This Row],[id]]</f>
        <v>990-1731</v>
      </c>
      <c r="W1742" s="121">
        <v>99100000</v>
      </c>
      <c r="X1742" s="118" t="str">
        <f>+VLOOKUP(Agencia[[#This Row],[tema]],Estructura!$A$4:$C$500,3,0)</f>
        <v>T-1077</v>
      </c>
      <c r="Y1742" s="118" t="str">
        <f>+VLOOKUP(Agencia[[#This Row],[contenido]],Estructura!$E$4:$G$500,3,0)</f>
        <v>C-1025</v>
      </c>
      <c r="Z1742" s="118" t="str">
        <f>+VLOOKUP(Agencia[[#This Row],[Filtro Integrado]],Estructura!$I$4:$K$500,3,0)</f>
        <v>FI-1009</v>
      </c>
      <c r="AA1742" s="118" t="str">
        <f>+VLOOKUP(Agencia[[#This Row],[Muestra]],Estructura!$M$4:$O$500,3,0)</f>
        <v>M-1147</v>
      </c>
    </row>
    <row r="1743" spans="1:27" ht="61.2" x14ac:dyDescent="0.3">
      <c r="A1743" s="21" t="s">
        <v>8010</v>
      </c>
      <c r="B1743" s="83">
        <v>990</v>
      </c>
      <c r="C1743" s="84" t="s">
        <v>401</v>
      </c>
      <c r="D1743" s="84" t="s">
        <v>881</v>
      </c>
      <c r="E1743" s="115">
        <v>0</v>
      </c>
      <c r="F1743" s="90" t="s">
        <v>7345</v>
      </c>
      <c r="G1743" s="86" t="s">
        <v>6259</v>
      </c>
      <c r="H1743" s="96" t="s">
        <v>20</v>
      </c>
      <c r="I1743" s="97" t="s">
        <v>15</v>
      </c>
      <c r="J1743" s="83" t="s">
        <v>5610</v>
      </c>
      <c r="K1743" s="83" t="s">
        <v>6383</v>
      </c>
      <c r="L1743" s="89" t="s">
        <v>1559</v>
      </c>
      <c r="M1743" s="83" t="s">
        <v>6260</v>
      </c>
      <c r="N1743" s="89" t="s">
        <v>1459</v>
      </c>
      <c r="O1743" s="87" t="s">
        <v>6384</v>
      </c>
      <c r="P1743" s="95" t="s">
        <v>6385</v>
      </c>
      <c r="Q1743" s="85" t="s">
        <v>821</v>
      </c>
      <c r="R1743" s="87" t="s">
        <v>6386</v>
      </c>
      <c r="S1743" s="103" t="s">
        <v>6387</v>
      </c>
      <c r="T1743" s="88" t="s">
        <v>855</v>
      </c>
      <c r="U1743" s="50" t="s">
        <v>7675</v>
      </c>
      <c r="V1743" s="118" t="str">
        <f>+Agencia[[#This Row],[idcoleccion]]&amp;"-"&amp;Agencia[[#This Row],[id]]</f>
        <v>990-1732</v>
      </c>
      <c r="W1743" s="121">
        <v>99100000</v>
      </c>
      <c r="X1743" s="118" t="str">
        <f>+VLOOKUP(Agencia[[#This Row],[tema]],Estructura!$A$4:$C$500,3,0)</f>
        <v>T-1077</v>
      </c>
      <c r="Y1743" s="118" t="str">
        <f>+VLOOKUP(Agencia[[#This Row],[contenido]],Estructura!$E$4:$G$500,3,0)</f>
        <v>C-1025</v>
      </c>
      <c r="Z1743" s="118" t="str">
        <f>+VLOOKUP(Agencia[[#This Row],[Filtro Integrado]],Estructura!$I$4:$K$500,3,0)</f>
        <v>FI-1010</v>
      </c>
      <c r="AA1743" s="118" t="str">
        <f>+VLOOKUP(Agencia[[#This Row],[Muestra]],Estructura!$M$4:$O$500,3,0)</f>
        <v>M-1148</v>
      </c>
    </row>
    <row r="1744" spans="1:27" ht="71.400000000000006" x14ac:dyDescent="0.3">
      <c r="A1744" s="21" t="s">
        <v>8011</v>
      </c>
      <c r="B1744" s="83">
        <v>990</v>
      </c>
      <c r="C1744" s="84" t="s">
        <v>401</v>
      </c>
      <c r="D1744" s="84" t="s">
        <v>881</v>
      </c>
      <c r="E1744" s="114">
        <v>5</v>
      </c>
      <c r="F1744" s="90" t="s">
        <v>7345</v>
      </c>
      <c r="G1744" s="86" t="s">
        <v>6259</v>
      </c>
      <c r="H1744" s="98" t="s">
        <v>16</v>
      </c>
      <c r="I1744" s="99" t="s">
        <v>372</v>
      </c>
      <c r="J1744" s="83" t="s">
        <v>5590</v>
      </c>
      <c r="K1744" s="83" t="s">
        <v>6383</v>
      </c>
      <c r="L1744" s="89" t="s">
        <v>1559</v>
      </c>
      <c r="M1744" s="83" t="s">
        <v>6260</v>
      </c>
      <c r="N1744" s="89" t="s">
        <v>1459</v>
      </c>
      <c r="O1744" s="87" t="s">
        <v>6388</v>
      </c>
      <c r="P1744" s="110" t="s">
        <v>6389</v>
      </c>
      <c r="Q1744" s="85" t="s">
        <v>821</v>
      </c>
      <c r="R1744" s="87" t="s">
        <v>6390</v>
      </c>
      <c r="S1744" s="103" t="s">
        <v>6391</v>
      </c>
      <c r="T1744" s="88" t="s">
        <v>3758</v>
      </c>
      <c r="U1744" s="50" t="s">
        <v>7676</v>
      </c>
      <c r="V1744" s="118" t="str">
        <f>+Agencia[[#This Row],[idcoleccion]]&amp;"-"&amp;Agencia[[#This Row],[id]]</f>
        <v>990-1733</v>
      </c>
      <c r="W1744" s="121">
        <v>99200005</v>
      </c>
      <c r="X1744" s="118" t="str">
        <f>+VLOOKUP(Agencia[[#This Row],[tema]],Estructura!$A$4:$C$500,3,0)</f>
        <v>T-1077</v>
      </c>
      <c r="Y1744" s="118" t="str">
        <f>+VLOOKUP(Agencia[[#This Row],[contenido]],Estructura!$E$4:$G$500,3,0)</f>
        <v>C-1025</v>
      </c>
      <c r="Z1744" s="118" t="str">
        <f>+VLOOKUP(Agencia[[#This Row],[Filtro Integrado]],Estructura!$I$4:$K$500,3,0)</f>
        <v>FI-1009</v>
      </c>
      <c r="AA1744" s="118" t="str">
        <f>+VLOOKUP(Agencia[[#This Row],[Muestra]],Estructura!$M$4:$O$500,3,0)</f>
        <v>M-1148</v>
      </c>
    </row>
    <row r="1745" spans="1:27" ht="61.2" x14ac:dyDescent="0.3">
      <c r="A1745" s="21" t="s">
        <v>8012</v>
      </c>
      <c r="B1745" s="83">
        <v>990</v>
      </c>
      <c r="C1745" s="84" t="s">
        <v>401</v>
      </c>
      <c r="D1745" s="84" t="s">
        <v>881</v>
      </c>
      <c r="E1745" s="114">
        <v>6</v>
      </c>
      <c r="F1745" s="90" t="s">
        <v>7345</v>
      </c>
      <c r="G1745" s="86" t="s">
        <v>6259</v>
      </c>
      <c r="H1745" s="98" t="s">
        <v>16</v>
      </c>
      <c r="I1745" s="99" t="s">
        <v>373</v>
      </c>
      <c r="J1745" s="83" t="s">
        <v>5590</v>
      </c>
      <c r="K1745" s="83" t="s">
        <v>6383</v>
      </c>
      <c r="L1745" s="89" t="s">
        <v>1559</v>
      </c>
      <c r="M1745" s="83" t="s">
        <v>6260</v>
      </c>
      <c r="N1745" s="89" t="s">
        <v>1459</v>
      </c>
      <c r="O1745" s="87" t="s">
        <v>6392</v>
      </c>
      <c r="P1745" s="110" t="s">
        <v>6393</v>
      </c>
      <c r="Q1745" s="85" t="s">
        <v>821</v>
      </c>
      <c r="R1745" s="87" t="s">
        <v>6394</v>
      </c>
      <c r="S1745" s="103" t="s">
        <v>6395</v>
      </c>
      <c r="T1745" s="88" t="s">
        <v>3756</v>
      </c>
      <c r="U1745" s="50" t="s">
        <v>7677</v>
      </c>
      <c r="V1745" s="118" t="str">
        <f>+Agencia[[#This Row],[idcoleccion]]&amp;"-"&amp;Agencia[[#This Row],[id]]</f>
        <v>990-1734</v>
      </c>
      <c r="W1745" s="121">
        <v>99200006</v>
      </c>
      <c r="X1745" s="118" t="str">
        <f>+VLOOKUP(Agencia[[#This Row],[tema]],Estructura!$A$4:$C$500,3,0)</f>
        <v>T-1077</v>
      </c>
      <c r="Y1745" s="118" t="str">
        <f>+VLOOKUP(Agencia[[#This Row],[contenido]],Estructura!$E$4:$G$500,3,0)</f>
        <v>C-1025</v>
      </c>
      <c r="Z1745" s="118" t="str">
        <f>+VLOOKUP(Agencia[[#This Row],[Filtro Integrado]],Estructura!$I$4:$K$500,3,0)</f>
        <v>FI-1009</v>
      </c>
      <c r="AA1745" s="118" t="str">
        <f>+VLOOKUP(Agencia[[#This Row],[Muestra]],Estructura!$M$4:$O$500,3,0)</f>
        <v>M-1148</v>
      </c>
    </row>
    <row r="1746" spans="1:27" ht="61.2" x14ac:dyDescent="0.3">
      <c r="A1746" s="21" t="s">
        <v>8013</v>
      </c>
      <c r="B1746" s="89">
        <v>990</v>
      </c>
      <c r="C1746" s="90" t="s">
        <v>401</v>
      </c>
      <c r="D1746" s="90" t="s">
        <v>881</v>
      </c>
      <c r="E1746" s="116">
        <v>8</v>
      </c>
      <c r="F1746" s="90" t="s">
        <v>7345</v>
      </c>
      <c r="G1746" s="91" t="s">
        <v>6259</v>
      </c>
      <c r="H1746" s="98" t="s">
        <v>16</v>
      </c>
      <c r="I1746" s="99" t="s">
        <v>375</v>
      </c>
      <c r="J1746" s="89" t="s">
        <v>5590</v>
      </c>
      <c r="K1746" s="83" t="s">
        <v>6383</v>
      </c>
      <c r="L1746" s="89" t="s">
        <v>1559</v>
      </c>
      <c r="M1746" s="83" t="s">
        <v>6260</v>
      </c>
      <c r="N1746" s="89" t="s">
        <v>1459</v>
      </c>
      <c r="O1746" s="87" t="s">
        <v>6396</v>
      </c>
      <c r="P1746" s="110" t="s">
        <v>6397</v>
      </c>
      <c r="Q1746" s="93" t="s">
        <v>821</v>
      </c>
      <c r="R1746" s="87" t="s">
        <v>6398</v>
      </c>
      <c r="S1746" s="103" t="s">
        <v>6399</v>
      </c>
      <c r="T1746" s="94" t="s">
        <v>3759</v>
      </c>
      <c r="U1746" s="50" t="s">
        <v>7678</v>
      </c>
      <c r="V1746" s="118" t="str">
        <f>+Agencia[[#This Row],[idcoleccion]]&amp;"-"&amp;Agencia[[#This Row],[id]]</f>
        <v>990-1735</v>
      </c>
      <c r="W1746" s="121">
        <v>99200008</v>
      </c>
      <c r="X1746" s="118" t="str">
        <f>+VLOOKUP(Agencia[[#This Row],[tema]],Estructura!$A$4:$C$500,3,0)</f>
        <v>T-1077</v>
      </c>
      <c r="Y1746" s="118" t="str">
        <f>+VLOOKUP(Agencia[[#This Row],[contenido]],Estructura!$E$4:$G$500,3,0)</f>
        <v>C-1025</v>
      </c>
      <c r="Z1746" s="118" t="str">
        <f>+VLOOKUP(Agencia[[#This Row],[Filtro Integrado]],Estructura!$I$4:$K$500,3,0)</f>
        <v>FI-1009</v>
      </c>
      <c r="AA1746" s="118" t="str">
        <f>+VLOOKUP(Agencia[[#This Row],[Muestra]],Estructura!$M$4:$O$500,3,0)</f>
        <v>M-1148</v>
      </c>
    </row>
    <row r="1747" spans="1:27" ht="60" x14ac:dyDescent="0.3">
      <c r="A1747" s="21" t="s">
        <v>8014</v>
      </c>
      <c r="B1747" s="83">
        <v>990</v>
      </c>
      <c r="C1747" s="84" t="s">
        <v>401</v>
      </c>
      <c r="D1747" s="84" t="s">
        <v>1467</v>
      </c>
      <c r="E1747" s="115">
        <v>0</v>
      </c>
      <c r="F1747" s="84" t="s">
        <v>6400</v>
      </c>
      <c r="G1747" s="86" t="s">
        <v>6401</v>
      </c>
      <c r="H1747" s="96" t="s">
        <v>20</v>
      </c>
      <c r="I1747" s="97" t="s">
        <v>15</v>
      </c>
      <c r="J1747" s="83" t="s">
        <v>5610</v>
      </c>
      <c r="K1747" s="83" t="s">
        <v>6402</v>
      </c>
      <c r="L1747" s="89" t="s">
        <v>1559</v>
      </c>
      <c r="M1747" s="83" t="s">
        <v>6257</v>
      </c>
      <c r="N1747" s="83" t="s">
        <v>6403</v>
      </c>
      <c r="O1747" s="87" t="s">
        <v>6404</v>
      </c>
      <c r="P1747" s="95" t="s">
        <v>6405</v>
      </c>
      <c r="Q1747" s="85" t="s">
        <v>821</v>
      </c>
      <c r="R1747" s="87" t="s">
        <v>6406</v>
      </c>
      <c r="S1747" s="103" t="s">
        <v>6407</v>
      </c>
      <c r="T1747" s="88" t="s">
        <v>855</v>
      </c>
      <c r="U1747" s="50" t="s">
        <v>7679</v>
      </c>
      <c r="V1747" s="118" t="str">
        <f>+Agencia[[#This Row],[idcoleccion]]&amp;"-"&amp;Agencia[[#This Row],[id]]</f>
        <v>990-1736</v>
      </c>
      <c r="W1747" s="121">
        <v>99100000</v>
      </c>
      <c r="X1747" s="118" t="str">
        <f>+VLOOKUP(Agencia[[#This Row],[tema]],Estructura!$A$4:$C$500,3,0)</f>
        <v>T-1079</v>
      </c>
      <c r="Y1747" s="118" t="str">
        <f>+VLOOKUP(Agencia[[#This Row],[contenido]],Estructura!$E$4:$G$500,3,0)</f>
        <v>C-1027</v>
      </c>
      <c r="Z1747" s="118" t="str">
        <f>+VLOOKUP(Agencia[[#This Row],[Filtro Integrado]],Estructura!$I$4:$K$500,3,0)</f>
        <v>FI-1010</v>
      </c>
      <c r="AA1747" s="118" t="str">
        <f>+VLOOKUP(Agencia[[#This Row],[Muestra]],Estructura!$M$4:$O$500,3,0)</f>
        <v>M-1149</v>
      </c>
    </row>
    <row r="1748" spans="1:27" ht="60" x14ac:dyDescent="0.3">
      <c r="A1748" s="21" t="s">
        <v>8015</v>
      </c>
      <c r="B1748" s="83">
        <v>990</v>
      </c>
      <c r="C1748" s="84" t="s">
        <v>401</v>
      </c>
      <c r="D1748" s="84" t="s">
        <v>1467</v>
      </c>
      <c r="E1748" s="114">
        <v>5</v>
      </c>
      <c r="F1748" s="84" t="s">
        <v>6400</v>
      </c>
      <c r="G1748" s="86" t="s">
        <v>6401</v>
      </c>
      <c r="H1748" s="98" t="s">
        <v>16</v>
      </c>
      <c r="I1748" s="99" t="s">
        <v>372</v>
      </c>
      <c r="J1748" s="83" t="s">
        <v>5590</v>
      </c>
      <c r="K1748" s="83" t="s">
        <v>6402</v>
      </c>
      <c r="L1748" s="89" t="s">
        <v>1559</v>
      </c>
      <c r="M1748" s="83" t="s">
        <v>6257</v>
      </c>
      <c r="N1748" s="83" t="s">
        <v>6403</v>
      </c>
      <c r="O1748" s="87" t="s">
        <v>6408</v>
      </c>
      <c r="P1748" s="110" t="s">
        <v>6409</v>
      </c>
      <c r="Q1748" s="85" t="s">
        <v>821</v>
      </c>
      <c r="R1748" s="87" t="s">
        <v>6410</v>
      </c>
      <c r="S1748" s="103" t="s">
        <v>6411</v>
      </c>
      <c r="T1748" s="88" t="s">
        <v>3758</v>
      </c>
      <c r="U1748" s="50" t="s">
        <v>7680</v>
      </c>
      <c r="V1748" s="118" t="str">
        <f>+Agencia[[#This Row],[idcoleccion]]&amp;"-"&amp;Agencia[[#This Row],[id]]</f>
        <v>990-1737</v>
      </c>
      <c r="W1748" s="121">
        <v>99200005</v>
      </c>
      <c r="X1748" s="118" t="str">
        <f>+VLOOKUP(Agencia[[#This Row],[tema]],Estructura!$A$4:$C$500,3,0)</f>
        <v>T-1079</v>
      </c>
      <c r="Y1748" s="118" t="str">
        <f>+VLOOKUP(Agencia[[#This Row],[contenido]],Estructura!$E$4:$G$500,3,0)</f>
        <v>C-1027</v>
      </c>
      <c r="Z1748" s="118" t="str">
        <f>+VLOOKUP(Agencia[[#This Row],[Filtro Integrado]],Estructura!$I$4:$K$500,3,0)</f>
        <v>FI-1009</v>
      </c>
      <c r="AA1748" s="118" t="str">
        <f>+VLOOKUP(Agencia[[#This Row],[Muestra]],Estructura!$M$4:$O$500,3,0)</f>
        <v>M-1149</v>
      </c>
    </row>
    <row r="1749" spans="1:27" ht="60" x14ac:dyDescent="0.3">
      <c r="A1749" s="21" t="s">
        <v>8016</v>
      </c>
      <c r="B1749" s="83">
        <v>990</v>
      </c>
      <c r="C1749" s="84" t="s">
        <v>401</v>
      </c>
      <c r="D1749" s="84" t="s">
        <v>1467</v>
      </c>
      <c r="E1749" s="114">
        <v>8</v>
      </c>
      <c r="F1749" s="84" t="s">
        <v>6400</v>
      </c>
      <c r="G1749" s="86" t="s">
        <v>6401</v>
      </c>
      <c r="H1749" s="98" t="s">
        <v>16</v>
      </c>
      <c r="I1749" s="99" t="s">
        <v>375</v>
      </c>
      <c r="J1749" s="83" t="s">
        <v>5590</v>
      </c>
      <c r="K1749" s="83" t="s">
        <v>6402</v>
      </c>
      <c r="L1749" s="89" t="s">
        <v>1559</v>
      </c>
      <c r="M1749" s="83" t="s">
        <v>6257</v>
      </c>
      <c r="N1749" s="83" t="s">
        <v>6403</v>
      </c>
      <c r="O1749" s="87" t="s">
        <v>6412</v>
      </c>
      <c r="P1749" s="110" t="s">
        <v>6413</v>
      </c>
      <c r="Q1749" s="85" t="s">
        <v>821</v>
      </c>
      <c r="R1749" s="87" t="s">
        <v>6414</v>
      </c>
      <c r="S1749" s="103" t="s">
        <v>6415</v>
      </c>
      <c r="T1749" s="88" t="s">
        <v>3759</v>
      </c>
      <c r="U1749" s="50" t="s">
        <v>7681</v>
      </c>
      <c r="V1749" s="118" t="str">
        <f>+Agencia[[#This Row],[idcoleccion]]&amp;"-"&amp;Agencia[[#This Row],[id]]</f>
        <v>990-1738</v>
      </c>
      <c r="W1749" s="121">
        <v>99200008</v>
      </c>
      <c r="X1749" s="118" t="str">
        <f>+VLOOKUP(Agencia[[#This Row],[tema]],Estructura!$A$4:$C$500,3,0)</f>
        <v>T-1079</v>
      </c>
      <c r="Y1749" s="118" t="str">
        <f>+VLOOKUP(Agencia[[#This Row],[contenido]],Estructura!$E$4:$G$500,3,0)</f>
        <v>C-1027</v>
      </c>
      <c r="Z1749" s="118" t="str">
        <f>+VLOOKUP(Agencia[[#This Row],[Filtro Integrado]],Estructura!$I$4:$K$500,3,0)</f>
        <v>FI-1009</v>
      </c>
      <c r="AA1749" s="118" t="str">
        <f>+VLOOKUP(Agencia[[#This Row],[Muestra]],Estructura!$M$4:$O$500,3,0)</f>
        <v>M-1149</v>
      </c>
    </row>
    <row r="1750" spans="1:27" ht="60" x14ac:dyDescent="0.3">
      <c r="A1750" s="21" t="s">
        <v>8017</v>
      </c>
      <c r="B1750" s="83">
        <v>990</v>
      </c>
      <c r="C1750" s="84" t="s">
        <v>401</v>
      </c>
      <c r="D1750" s="84" t="s">
        <v>1467</v>
      </c>
      <c r="E1750" s="114">
        <v>13</v>
      </c>
      <c r="F1750" s="84" t="s">
        <v>6400</v>
      </c>
      <c r="G1750" s="86" t="s">
        <v>6401</v>
      </c>
      <c r="H1750" s="98" t="s">
        <v>16</v>
      </c>
      <c r="I1750" s="99" t="s">
        <v>380</v>
      </c>
      <c r="J1750" s="83" t="s">
        <v>5590</v>
      </c>
      <c r="K1750" s="83" t="s">
        <v>6402</v>
      </c>
      <c r="L1750" s="89" t="s">
        <v>1559</v>
      </c>
      <c r="M1750" s="83" t="s">
        <v>6257</v>
      </c>
      <c r="N1750" s="83" t="s">
        <v>6403</v>
      </c>
      <c r="O1750" s="87" t="s">
        <v>6416</v>
      </c>
      <c r="P1750" s="110" t="s">
        <v>6417</v>
      </c>
      <c r="Q1750" s="85" t="s">
        <v>821</v>
      </c>
      <c r="R1750" s="87" t="s">
        <v>6418</v>
      </c>
      <c r="S1750" s="103" t="s">
        <v>6419</v>
      </c>
      <c r="T1750" s="88" t="s">
        <v>3760</v>
      </c>
      <c r="U1750" s="50" t="s">
        <v>7682</v>
      </c>
      <c r="V1750" s="118" t="str">
        <f>+Agencia[[#This Row],[idcoleccion]]&amp;"-"&amp;Agencia[[#This Row],[id]]</f>
        <v>990-1739</v>
      </c>
      <c r="W1750" s="121">
        <v>99200013</v>
      </c>
      <c r="X1750" s="118" t="str">
        <f>+VLOOKUP(Agencia[[#This Row],[tema]],Estructura!$A$4:$C$500,3,0)</f>
        <v>T-1079</v>
      </c>
      <c r="Y1750" s="118" t="str">
        <f>+VLOOKUP(Agencia[[#This Row],[contenido]],Estructura!$E$4:$G$500,3,0)</f>
        <v>C-1027</v>
      </c>
      <c r="Z1750" s="118" t="str">
        <f>+VLOOKUP(Agencia[[#This Row],[Filtro Integrado]],Estructura!$I$4:$K$500,3,0)</f>
        <v>FI-1009</v>
      </c>
      <c r="AA1750" s="118" t="str">
        <f>+VLOOKUP(Agencia[[#This Row],[Muestra]],Estructura!$M$4:$O$500,3,0)</f>
        <v>M-1149</v>
      </c>
    </row>
    <row r="1751" spans="1:27" ht="60" x14ac:dyDescent="0.3">
      <c r="A1751" s="21" t="s">
        <v>8018</v>
      </c>
      <c r="B1751" s="89">
        <v>990</v>
      </c>
      <c r="C1751" s="90" t="s">
        <v>401</v>
      </c>
      <c r="D1751" s="84" t="s">
        <v>1467</v>
      </c>
      <c r="E1751" s="116">
        <v>16</v>
      </c>
      <c r="F1751" s="84" t="s">
        <v>6400</v>
      </c>
      <c r="G1751" s="86" t="s">
        <v>6401</v>
      </c>
      <c r="H1751" s="98" t="s">
        <v>16</v>
      </c>
      <c r="I1751" s="99" t="s">
        <v>383</v>
      </c>
      <c r="J1751" s="89" t="s">
        <v>5590</v>
      </c>
      <c r="K1751" s="83" t="s">
        <v>6402</v>
      </c>
      <c r="L1751" s="89" t="s">
        <v>1559</v>
      </c>
      <c r="M1751" s="83" t="s">
        <v>6257</v>
      </c>
      <c r="N1751" s="83" t="s">
        <v>6403</v>
      </c>
      <c r="O1751" s="87" t="s">
        <v>6420</v>
      </c>
      <c r="P1751" s="110" t="s">
        <v>6421</v>
      </c>
      <c r="Q1751" s="93" t="s">
        <v>821</v>
      </c>
      <c r="R1751" s="87" t="s">
        <v>6422</v>
      </c>
      <c r="S1751" s="103" t="s">
        <v>6423</v>
      </c>
      <c r="T1751" s="94" t="s">
        <v>3755</v>
      </c>
      <c r="U1751" s="50" t="s">
        <v>7683</v>
      </c>
      <c r="V1751" s="118" t="str">
        <f>+Agencia[[#This Row],[idcoleccion]]&amp;"-"&amp;Agencia[[#This Row],[id]]</f>
        <v>990-1740</v>
      </c>
      <c r="W1751" s="121">
        <v>99200016</v>
      </c>
      <c r="X1751" s="118" t="str">
        <f>+VLOOKUP(Agencia[[#This Row],[tema]],Estructura!$A$4:$C$500,3,0)</f>
        <v>T-1079</v>
      </c>
      <c r="Y1751" s="118" t="str">
        <f>+VLOOKUP(Agencia[[#This Row],[contenido]],Estructura!$E$4:$G$500,3,0)</f>
        <v>C-1027</v>
      </c>
      <c r="Z1751" s="118" t="str">
        <f>+VLOOKUP(Agencia[[#This Row],[Filtro Integrado]],Estructura!$I$4:$K$500,3,0)</f>
        <v>FI-1009</v>
      </c>
      <c r="AA1751" s="118" t="str">
        <f>+VLOOKUP(Agencia[[#This Row],[Muestra]],Estructura!$M$4:$O$500,3,0)</f>
        <v>M-1149</v>
      </c>
    </row>
    <row r="1752" spans="1:27" ht="71.400000000000006" x14ac:dyDescent="0.3">
      <c r="A1752" s="21" t="s">
        <v>8019</v>
      </c>
      <c r="B1752" s="89">
        <v>990</v>
      </c>
      <c r="C1752" s="90" t="s">
        <v>401</v>
      </c>
      <c r="D1752" s="90" t="s">
        <v>1467</v>
      </c>
      <c r="E1752" s="115">
        <v>0</v>
      </c>
      <c r="F1752" s="90" t="s">
        <v>7407</v>
      </c>
      <c r="G1752" s="91" t="s">
        <v>3770</v>
      </c>
      <c r="H1752" s="96" t="s">
        <v>20</v>
      </c>
      <c r="I1752" s="97" t="s">
        <v>15</v>
      </c>
      <c r="J1752" s="89" t="s">
        <v>5610</v>
      </c>
      <c r="K1752" s="83" t="s">
        <v>6424</v>
      </c>
      <c r="L1752" s="89" t="s">
        <v>1559</v>
      </c>
      <c r="M1752" s="89" t="s">
        <v>6257</v>
      </c>
      <c r="N1752" s="83" t="s">
        <v>6403</v>
      </c>
      <c r="O1752" s="92" t="s">
        <v>6425</v>
      </c>
      <c r="P1752" s="107" t="s">
        <v>6426</v>
      </c>
      <c r="Q1752" s="93" t="s">
        <v>821</v>
      </c>
      <c r="R1752" s="92" t="s">
        <v>6427</v>
      </c>
      <c r="S1752" s="104" t="s">
        <v>6428</v>
      </c>
      <c r="T1752" s="94" t="s">
        <v>855</v>
      </c>
      <c r="U1752" s="50" t="s">
        <v>7684</v>
      </c>
      <c r="V1752" s="118" t="str">
        <f>+Agencia[[#This Row],[idcoleccion]]&amp;"-"&amp;Agencia[[#This Row],[id]]</f>
        <v>990-1741</v>
      </c>
      <c r="W1752" s="121">
        <v>99100000</v>
      </c>
      <c r="X1752" s="118" t="str">
        <f>+VLOOKUP(Agencia[[#This Row],[tema]],Estructura!$A$4:$C$500,3,0)</f>
        <v>T-1080</v>
      </c>
      <c r="Y1752" s="118" t="str">
        <f>+VLOOKUP(Agencia[[#This Row],[contenido]],Estructura!$E$4:$G$500,3,0)</f>
        <v>C-1003</v>
      </c>
      <c r="Z1752" s="118" t="str">
        <f>+VLOOKUP(Agencia[[#This Row],[Filtro Integrado]],Estructura!$I$4:$K$500,3,0)</f>
        <v>FI-1010</v>
      </c>
      <c r="AA1752" s="118" t="str">
        <f>+VLOOKUP(Agencia[[#This Row],[Muestra]],Estructura!$M$4:$O$500,3,0)</f>
        <v>M-1150</v>
      </c>
    </row>
    <row r="1753" spans="1:27" ht="40.799999999999997" x14ac:dyDescent="0.3">
      <c r="A1753" s="21" t="s">
        <v>8020</v>
      </c>
      <c r="B1753" s="89">
        <v>990</v>
      </c>
      <c r="C1753" s="90" t="s">
        <v>401</v>
      </c>
      <c r="D1753" s="90" t="s">
        <v>1467</v>
      </c>
      <c r="E1753" s="116">
        <v>1</v>
      </c>
      <c r="F1753" s="90" t="s">
        <v>7407</v>
      </c>
      <c r="G1753" s="91" t="s">
        <v>3770</v>
      </c>
      <c r="H1753" s="98" t="s">
        <v>16</v>
      </c>
      <c r="I1753" s="99" t="s">
        <v>368</v>
      </c>
      <c r="J1753" s="89" t="s">
        <v>5590</v>
      </c>
      <c r="K1753" s="83" t="s">
        <v>6424</v>
      </c>
      <c r="L1753" s="89" t="s">
        <v>1559</v>
      </c>
      <c r="M1753" s="89" t="s">
        <v>6257</v>
      </c>
      <c r="N1753" s="83" t="s">
        <v>6403</v>
      </c>
      <c r="O1753" s="92" t="s">
        <v>6429</v>
      </c>
      <c r="P1753" s="109"/>
      <c r="Q1753" s="93" t="s">
        <v>821</v>
      </c>
      <c r="R1753" s="92" t="s">
        <v>6430</v>
      </c>
      <c r="S1753" s="104" t="s">
        <v>6431</v>
      </c>
      <c r="T1753" s="94" t="s">
        <v>3757</v>
      </c>
      <c r="U1753" s="50" t="s">
        <v>7685</v>
      </c>
      <c r="V1753" s="118" t="str">
        <f>+Agencia[[#This Row],[idcoleccion]]&amp;"-"&amp;Agencia[[#This Row],[id]]</f>
        <v>990-1742</v>
      </c>
      <c r="W1753" s="121">
        <v>99200001</v>
      </c>
      <c r="X1753" s="118" t="str">
        <f>+VLOOKUP(Agencia[[#This Row],[tema]],Estructura!$A$4:$C$500,3,0)</f>
        <v>T-1080</v>
      </c>
      <c r="Y1753" s="118" t="str">
        <f>+VLOOKUP(Agencia[[#This Row],[contenido]],Estructura!$E$4:$G$500,3,0)</f>
        <v>C-1003</v>
      </c>
      <c r="Z1753" s="118" t="str">
        <f>+VLOOKUP(Agencia[[#This Row],[Filtro Integrado]],Estructura!$I$4:$K$500,3,0)</f>
        <v>FI-1009</v>
      </c>
      <c r="AA1753" s="118" t="str">
        <f>+VLOOKUP(Agencia[[#This Row],[Muestra]],Estructura!$M$4:$O$500,3,0)</f>
        <v>M-1150</v>
      </c>
    </row>
    <row r="1754" spans="1:27" ht="40.799999999999997" x14ac:dyDescent="0.3">
      <c r="A1754" s="21" t="s">
        <v>8021</v>
      </c>
      <c r="B1754" s="89">
        <v>990</v>
      </c>
      <c r="C1754" s="90" t="s">
        <v>401</v>
      </c>
      <c r="D1754" s="90" t="s">
        <v>1467</v>
      </c>
      <c r="E1754" s="114">
        <v>2</v>
      </c>
      <c r="F1754" s="90" t="s">
        <v>7407</v>
      </c>
      <c r="G1754" s="91" t="s">
        <v>3770</v>
      </c>
      <c r="H1754" s="98" t="s">
        <v>16</v>
      </c>
      <c r="I1754" s="99" t="s">
        <v>369</v>
      </c>
      <c r="J1754" s="89" t="s">
        <v>5590</v>
      </c>
      <c r="K1754" s="83" t="s">
        <v>6424</v>
      </c>
      <c r="L1754" s="89" t="s">
        <v>1559</v>
      </c>
      <c r="M1754" s="89" t="s">
        <v>6257</v>
      </c>
      <c r="N1754" s="83" t="s">
        <v>6403</v>
      </c>
      <c r="O1754" s="92" t="s">
        <v>6432</v>
      </c>
      <c r="P1754" s="110"/>
      <c r="Q1754" s="85" t="s">
        <v>821</v>
      </c>
      <c r="R1754" s="92" t="s">
        <v>6433</v>
      </c>
      <c r="S1754" s="104" t="s">
        <v>6434</v>
      </c>
      <c r="T1754" s="88" t="s">
        <v>3745</v>
      </c>
      <c r="U1754" s="50" t="s">
        <v>7686</v>
      </c>
      <c r="V1754" s="118" t="str">
        <f>+Agencia[[#This Row],[idcoleccion]]&amp;"-"&amp;Agencia[[#This Row],[id]]</f>
        <v>990-1743</v>
      </c>
      <c r="W1754" s="121">
        <v>99200002</v>
      </c>
      <c r="X1754" s="118" t="str">
        <f>+VLOOKUP(Agencia[[#This Row],[tema]],Estructura!$A$4:$C$500,3,0)</f>
        <v>T-1080</v>
      </c>
      <c r="Y1754" s="118" t="str">
        <f>+VLOOKUP(Agencia[[#This Row],[contenido]],Estructura!$E$4:$G$500,3,0)</f>
        <v>C-1003</v>
      </c>
      <c r="Z1754" s="118" t="str">
        <f>+VLOOKUP(Agencia[[#This Row],[Filtro Integrado]],Estructura!$I$4:$K$500,3,0)</f>
        <v>FI-1009</v>
      </c>
      <c r="AA1754" s="118" t="str">
        <f>+VLOOKUP(Agencia[[#This Row],[Muestra]],Estructura!$M$4:$O$500,3,0)</f>
        <v>M-1150</v>
      </c>
    </row>
    <row r="1755" spans="1:27" ht="40.799999999999997" x14ac:dyDescent="0.3">
      <c r="A1755" s="21" t="s">
        <v>8022</v>
      </c>
      <c r="B1755" s="89">
        <v>990</v>
      </c>
      <c r="C1755" s="90" t="s">
        <v>401</v>
      </c>
      <c r="D1755" s="90" t="s">
        <v>1467</v>
      </c>
      <c r="E1755" s="116">
        <v>3</v>
      </c>
      <c r="F1755" s="90" t="s">
        <v>7407</v>
      </c>
      <c r="G1755" s="91" t="s">
        <v>3770</v>
      </c>
      <c r="H1755" s="98" t="s">
        <v>16</v>
      </c>
      <c r="I1755" s="99" t="s">
        <v>370</v>
      </c>
      <c r="J1755" s="89" t="s">
        <v>5590</v>
      </c>
      <c r="K1755" s="83" t="s">
        <v>6424</v>
      </c>
      <c r="L1755" s="89" t="s">
        <v>1559</v>
      </c>
      <c r="M1755" s="89" t="s">
        <v>6257</v>
      </c>
      <c r="N1755" s="83" t="s">
        <v>6403</v>
      </c>
      <c r="O1755" s="92" t="s">
        <v>6435</v>
      </c>
      <c r="P1755" s="110"/>
      <c r="Q1755" s="85" t="s">
        <v>821</v>
      </c>
      <c r="R1755" s="92" t="s">
        <v>6436</v>
      </c>
      <c r="S1755" s="104" t="s">
        <v>6437</v>
      </c>
      <c r="T1755" s="88" t="s">
        <v>3747</v>
      </c>
      <c r="U1755" s="50" t="s">
        <v>7687</v>
      </c>
      <c r="V1755" s="118" t="str">
        <f>+Agencia[[#This Row],[idcoleccion]]&amp;"-"&amp;Agencia[[#This Row],[id]]</f>
        <v>990-1744</v>
      </c>
      <c r="W1755" s="121">
        <v>99200003</v>
      </c>
      <c r="X1755" s="118" t="str">
        <f>+VLOOKUP(Agencia[[#This Row],[tema]],Estructura!$A$4:$C$500,3,0)</f>
        <v>T-1080</v>
      </c>
      <c r="Y1755" s="118" t="str">
        <f>+VLOOKUP(Agencia[[#This Row],[contenido]],Estructura!$E$4:$G$500,3,0)</f>
        <v>C-1003</v>
      </c>
      <c r="Z1755" s="118" t="str">
        <f>+VLOOKUP(Agencia[[#This Row],[Filtro Integrado]],Estructura!$I$4:$K$500,3,0)</f>
        <v>FI-1009</v>
      </c>
      <c r="AA1755" s="118" t="str">
        <f>+VLOOKUP(Agencia[[#This Row],[Muestra]],Estructura!$M$4:$O$500,3,0)</f>
        <v>M-1150</v>
      </c>
    </row>
    <row r="1756" spans="1:27" ht="40.799999999999997" x14ac:dyDescent="0.3">
      <c r="A1756" s="21" t="s">
        <v>8023</v>
      </c>
      <c r="B1756" s="89">
        <v>990</v>
      </c>
      <c r="C1756" s="90" t="s">
        <v>401</v>
      </c>
      <c r="D1756" s="90" t="s">
        <v>1467</v>
      </c>
      <c r="E1756" s="114">
        <v>4</v>
      </c>
      <c r="F1756" s="90" t="s">
        <v>7407</v>
      </c>
      <c r="G1756" s="91" t="s">
        <v>3770</v>
      </c>
      <c r="H1756" s="98" t="s">
        <v>16</v>
      </c>
      <c r="I1756" s="99" t="s">
        <v>371</v>
      </c>
      <c r="J1756" s="89" t="s">
        <v>5590</v>
      </c>
      <c r="K1756" s="83" t="s">
        <v>6424</v>
      </c>
      <c r="L1756" s="89" t="s">
        <v>1559</v>
      </c>
      <c r="M1756" s="89" t="s">
        <v>6257</v>
      </c>
      <c r="N1756" s="83" t="s">
        <v>6403</v>
      </c>
      <c r="O1756" s="92" t="s">
        <v>6438</v>
      </c>
      <c r="P1756" s="110"/>
      <c r="Q1756" s="85" t="s">
        <v>821</v>
      </c>
      <c r="R1756" s="92" t="s">
        <v>6439</v>
      </c>
      <c r="S1756" s="104" t="s">
        <v>6440</v>
      </c>
      <c r="T1756" s="88" t="s">
        <v>3749</v>
      </c>
      <c r="U1756" s="50" t="s">
        <v>7688</v>
      </c>
      <c r="V1756" s="118" t="str">
        <f>+Agencia[[#This Row],[idcoleccion]]&amp;"-"&amp;Agencia[[#This Row],[id]]</f>
        <v>990-1745</v>
      </c>
      <c r="W1756" s="121">
        <v>99200004</v>
      </c>
      <c r="X1756" s="118" t="str">
        <f>+VLOOKUP(Agencia[[#This Row],[tema]],Estructura!$A$4:$C$500,3,0)</f>
        <v>T-1080</v>
      </c>
      <c r="Y1756" s="118" t="str">
        <f>+VLOOKUP(Agencia[[#This Row],[contenido]],Estructura!$E$4:$G$500,3,0)</f>
        <v>C-1003</v>
      </c>
      <c r="Z1756" s="118" t="str">
        <f>+VLOOKUP(Agencia[[#This Row],[Filtro Integrado]],Estructura!$I$4:$K$500,3,0)</f>
        <v>FI-1009</v>
      </c>
      <c r="AA1756" s="118" t="str">
        <f>+VLOOKUP(Agencia[[#This Row],[Muestra]],Estructura!$M$4:$O$500,3,0)</f>
        <v>M-1150</v>
      </c>
    </row>
    <row r="1757" spans="1:27" ht="40.799999999999997" x14ac:dyDescent="0.3">
      <c r="A1757" s="21" t="s">
        <v>8024</v>
      </c>
      <c r="B1757" s="89">
        <v>990</v>
      </c>
      <c r="C1757" s="90" t="s">
        <v>401</v>
      </c>
      <c r="D1757" s="90" t="s">
        <v>1467</v>
      </c>
      <c r="E1757" s="116">
        <v>5</v>
      </c>
      <c r="F1757" s="90" t="s">
        <v>7407</v>
      </c>
      <c r="G1757" s="91" t="s">
        <v>3770</v>
      </c>
      <c r="H1757" s="98" t="s">
        <v>16</v>
      </c>
      <c r="I1757" s="99" t="s">
        <v>372</v>
      </c>
      <c r="J1757" s="89" t="s">
        <v>5590</v>
      </c>
      <c r="K1757" s="83" t="s">
        <v>6424</v>
      </c>
      <c r="L1757" s="89" t="s">
        <v>1559</v>
      </c>
      <c r="M1757" s="89" t="s">
        <v>6257</v>
      </c>
      <c r="N1757" s="83" t="s">
        <v>6403</v>
      </c>
      <c r="O1757" s="92" t="s">
        <v>6441</v>
      </c>
      <c r="P1757" s="110"/>
      <c r="Q1757" s="85" t="s">
        <v>821</v>
      </c>
      <c r="R1757" s="92" t="s">
        <v>6442</v>
      </c>
      <c r="S1757" s="104" t="s">
        <v>6443</v>
      </c>
      <c r="T1757" s="88" t="s">
        <v>3758</v>
      </c>
      <c r="U1757" s="50" t="s">
        <v>7689</v>
      </c>
      <c r="V1757" s="118" t="str">
        <f>+Agencia[[#This Row],[idcoleccion]]&amp;"-"&amp;Agencia[[#This Row],[id]]</f>
        <v>990-1746</v>
      </c>
      <c r="W1757" s="121">
        <v>99200005</v>
      </c>
      <c r="X1757" s="118" t="str">
        <f>+VLOOKUP(Agencia[[#This Row],[tema]],Estructura!$A$4:$C$500,3,0)</f>
        <v>T-1080</v>
      </c>
      <c r="Y1757" s="118" t="str">
        <f>+VLOOKUP(Agencia[[#This Row],[contenido]],Estructura!$E$4:$G$500,3,0)</f>
        <v>C-1003</v>
      </c>
      <c r="Z1757" s="118" t="str">
        <f>+VLOOKUP(Agencia[[#This Row],[Filtro Integrado]],Estructura!$I$4:$K$500,3,0)</f>
        <v>FI-1009</v>
      </c>
      <c r="AA1757" s="118" t="str">
        <f>+VLOOKUP(Agencia[[#This Row],[Muestra]],Estructura!$M$4:$O$500,3,0)</f>
        <v>M-1150</v>
      </c>
    </row>
    <row r="1758" spans="1:27" ht="40.799999999999997" x14ac:dyDescent="0.3">
      <c r="A1758" s="21" t="s">
        <v>8025</v>
      </c>
      <c r="B1758" s="89">
        <v>990</v>
      </c>
      <c r="C1758" s="90" t="s">
        <v>401</v>
      </c>
      <c r="D1758" s="90" t="s">
        <v>1467</v>
      </c>
      <c r="E1758" s="114">
        <v>6</v>
      </c>
      <c r="F1758" s="90" t="s">
        <v>7407</v>
      </c>
      <c r="G1758" s="91" t="s">
        <v>3770</v>
      </c>
      <c r="H1758" s="98" t="s">
        <v>16</v>
      </c>
      <c r="I1758" s="99" t="s">
        <v>373</v>
      </c>
      <c r="J1758" s="89" t="s">
        <v>5590</v>
      </c>
      <c r="K1758" s="83" t="s">
        <v>6424</v>
      </c>
      <c r="L1758" s="89" t="s">
        <v>1559</v>
      </c>
      <c r="M1758" s="89" t="s">
        <v>6257</v>
      </c>
      <c r="N1758" s="83" t="s">
        <v>6403</v>
      </c>
      <c r="O1758" s="92" t="s">
        <v>6444</v>
      </c>
      <c r="P1758" s="110"/>
      <c r="Q1758" s="85" t="s">
        <v>821</v>
      </c>
      <c r="R1758" s="92" t="s">
        <v>6445</v>
      </c>
      <c r="S1758" s="104" t="s">
        <v>6446</v>
      </c>
      <c r="T1758" s="88" t="s">
        <v>3756</v>
      </c>
      <c r="U1758" s="50" t="s">
        <v>7690</v>
      </c>
      <c r="V1758" s="118" t="str">
        <f>+Agencia[[#This Row],[idcoleccion]]&amp;"-"&amp;Agencia[[#This Row],[id]]</f>
        <v>990-1747</v>
      </c>
      <c r="W1758" s="121">
        <v>99200006</v>
      </c>
      <c r="X1758" s="118" t="str">
        <f>+VLOOKUP(Agencia[[#This Row],[tema]],Estructura!$A$4:$C$500,3,0)</f>
        <v>T-1080</v>
      </c>
      <c r="Y1758" s="118" t="str">
        <f>+VLOOKUP(Agencia[[#This Row],[contenido]],Estructura!$E$4:$G$500,3,0)</f>
        <v>C-1003</v>
      </c>
      <c r="Z1758" s="118" t="str">
        <f>+VLOOKUP(Agencia[[#This Row],[Filtro Integrado]],Estructura!$I$4:$K$500,3,0)</f>
        <v>FI-1009</v>
      </c>
      <c r="AA1758" s="118" t="str">
        <f>+VLOOKUP(Agencia[[#This Row],[Muestra]],Estructura!$M$4:$O$500,3,0)</f>
        <v>M-1150</v>
      </c>
    </row>
    <row r="1759" spans="1:27" ht="40.799999999999997" x14ac:dyDescent="0.3">
      <c r="A1759" s="21" t="s">
        <v>8026</v>
      </c>
      <c r="B1759" s="89">
        <v>990</v>
      </c>
      <c r="C1759" s="90" t="s">
        <v>401</v>
      </c>
      <c r="D1759" s="90" t="s">
        <v>1467</v>
      </c>
      <c r="E1759" s="116">
        <v>7</v>
      </c>
      <c r="F1759" s="90" t="s">
        <v>7407</v>
      </c>
      <c r="G1759" s="91" t="s">
        <v>3770</v>
      </c>
      <c r="H1759" s="98" t="s">
        <v>16</v>
      </c>
      <c r="I1759" s="99" t="s">
        <v>374</v>
      </c>
      <c r="J1759" s="89" t="s">
        <v>5590</v>
      </c>
      <c r="K1759" s="83" t="s">
        <v>6424</v>
      </c>
      <c r="L1759" s="89" t="s">
        <v>1559</v>
      </c>
      <c r="M1759" s="89" t="s">
        <v>6257</v>
      </c>
      <c r="N1759" s="83" t="s">
        <v>6403</v>
      </c>
      <c r="O1759" s="92" t="s">
        <v>6447</v>
      </c>
      <c r="P1759" s="110"/>
      <c r="Q1759" s="85" t="s">
        <v>821</v>
      </c>
      <c r="R1759" s="92" t="s">
        <v>6448</v>
      </c>
      <c r="S1759" s="104" t="s">
        <v>6449</v>
      </c>
      <c r="T1759" s="88" t="s">
        <v>3754</v>
      </c>
      <c r="U1759" s="50" t="s">
        <v>7691</v>
      </c>
      <c r="V1759" s="118" t="str">
        <f>+Agencia[[#This Row],[idcoleccion]]&amp;"-"&amp;Agencia[[#This Row],[id]]</f>
        <v>990-1748</v>
      </c>
      <c r="W1759" s="121">
        <v>99200007</v>
      </c>
      <c r="X1759" s="118" t="str">
        <f>+VLOOKUP(Agencia[[#This Row],[tema]],Estructura!$A$4:$C$500,3,0)</f>
        <v>T-1080</v>
      </c>
      <c r="Y1759" s="118" t="str">
        <f>+VLOOKUP(Agencia[[#This Row],[contenido]],Estructura!$E$4:$G$500,3,0)</f>
        <v>C-1003</v>
      </c>
      <c r="Z1759" s="118" t="str">
        <f>+VLOOKUP(Agencia[[#This Row],[Filtro Integrado]],Estructura!$I$4:$K$500,3,0)</f>
        <v>FI-1009</v>
      </c>
      <c r="AA1759" s="118" t="str">
        <f>+VLOOKUP(Agencia[[#This Row],[Muestra]],Estructura!$M$4:$O$500,3,0)</f>
        <v>M-1150</v>
      </c>
    </row>
    <row r="1760" spans="1:27" ht="40.799999999999997" x14ac:dyDescent="0.3">
      <c r="A1760" s="21" t="s">
        <v>8027</v>
      </c>
      <c r="B1760" s="89">
        <v>990</v>
      </c>
      <c r="C1760" s="90" t="s">
        <v>401</v>
      </c>
      <c r="D1760" s="90" t="s">
        <v>1467</v>
      </c>
      <c r="E1760" s="114">
        <v>8</v>
      </c>
      <c r="F1760" s="90" t="s">
        <v>7407</v>
      </c>
      <c r="G1760" s="91" t="s">
        <v>3770</v>
      </c>
      <c r="H1760" s="98" t="s">
        <v>16</v>
      </c>
      <c r="I1760" s="99" t="s">
        <v>375</v>
      </c>
      <c r="J1760" s="89" t="s">
        <v>5590</v>
      </c>
      <c r="K1760" s="83" t="s">
        <v>6424</v>
      </c>
      <c r="L1760" s="89" t="s">
        <v>1559</v>
      </c>
      <c r="M1760" s="89" t="s">
        <v>6257</v>
      </c>
      <c r="N1760" s="83" t="s">
        <v>6403</v>
      </c>
      <c r="O1760" s="92" t="s">
        <v>6450</v>
      </c>
      <c r="P1760" s="110"/>
      <c r="Q1760" s="85" t="s">
        <v>821</v>
      </c>
      <c r="R1760" s="92" t="s">
        <v>6451</v>
      </c>
      <c r="S1760" s="104" t="s">
        <v>6452</v>
      </c>
      <c r="T1760" s="88" t="s">
        <v>3759</v>
      </c>
      <c r="U1760" s="50" t="s">
        <v>7692</v>
      </c>
      <c r="V1760" s="118" t="str">
        <f>+Agencia[[#This Row],[idcoleccion]]&amp;"-"&amp;Agencia[[#This Row],[id]]</f>
        <v>990-1749</v>
      </c>
      <c r="W1760" s="121">
        <v>99200008</v>
      </c>
      <c r="X1760" s="118" t="str">
        <f>+VLOOKUP(Agencia[[#This Row],[tema]],Estructura!$A$4:$C$500,3,0)</f>
        <v>T-1080</v>
      </c>
      <c r="Y1760" s="118" t="str">
        <f>+VLOOKUP(Agencia[[#This Row],[contenido]],Estructura!$E$4:$G$500,3,0)</f>
        <v>C-1003</v>
      </c>
      <c r="Z1760" s="118" t="str">
        <f>+VLOOKUP(Agencia[[#This Row],[Filtro Integrado]],Estructura!$I$4:$K$500,3,0)</f>
        <v>FI-1009</v>
      </c>
      <c r="AA1760" s="118" t="str">
        <f>+VLOOKUP(Agencia[[#This Row],[Muestra]],Estructura!$M$4:$O$500,3,0)</f>
        <v>M-1150</v>
      </c>
    </row>
    <row r="1761" spans="1:27" ht="40.799999999999997" x14ac:dyDescent="0.3">
      <c r="A1761" s="21" t="s">
        <v>8028</v>
      </c>
      <c r="B1761" s="89">
        <v>990</v>
      </c>
      <c r="C1761" s="90" t="s">
        <v>401</v>
      </c>
      <c r="D1761" s="90" t="s">
        <v>1467</v>
      </c>
      <c r="E1761" s="116">
        <v>9</v>
      </c>
      <c r="F1761" s="90" t="s">
        <v>7407</v>
      </c>
      <c r="G1761" s="91" t="s">
        <v>3770</v>
      </c>
      <c r="H1761" s="98" t="s">
        <v>16</v>
      </c>
      <c r="I1761" s="99" t="s">
        <v>376</v>
      </c>
      <c r="J1761" s="89" t="s">
        <v>5590</v>
      </c>
      <c r="K1761" s="83" t="s">
        <v>6424</v>
      </c>
      <c r="L1761" s="89" t="s">
        <v>1559</v>
      </c>
      <c r="M1761" s="89" t="s">
        <v>6257</v>
      </c>
      <c r="N1761" s="83" t="s">
        <v>6403</v>
      </c>
      <c r="O1761" s="92" t="s">
        <v>6453</v>
      </c>
      <c r="P1761" s="110"/>
      <c r="Q1761" s="85" t="s">
        <v>821</v>
      </c>
      <c r="R1761" s="92" t="s">
        <v>6454</v>
      </c>
      <c r="S1761" s="104" t="s">
        <v>6455</v>
      </c>
      <c r="T1761" s="88" t="s">
        <v>3750</v>
      </c>
      <c r="U1761" s="50" t="s">
        <v>7693</v>
      </c>
      <c r="V1761" s="118" t="str">
        <f>+Agencia[[#This Row],[idcoleccion]]&amp;"-"&amp;Agencia[[#This Row],[id]]</f>
        <v>990-1750</v>
      </c>
      <c r="W1761" s="121">
        <v>99200009</v>
      </c>
      <c r="X1761" s="118" t="str">
        <f>+VLOOKUP(Agencia[[#This Row],[tema]],Estructura!$A$4:$C$500,3,0)</f>
        <v>T-1080</v>
      </c>
      <c r="Y1761" s="118" t="str">
        <f>+VLOOKUP(Agencia[[#This Row],[contenido]],Estructura!$E$4:$G$500,3,0)</f>
        <v>C-1003</v>
      </c>
      <c r="Z1761" s="118" t="str">
        <f>+VLOOKUP(Agencia[[#This Row],[Filtro Integrado]],Estructura!$I$4:$K$500,3,0)</f>
        <v>FI-1009</v>
      </c>
      <c r="AA1761" s="118" t="str">
        <f>+VLOOKUP(Agencia[[#This Row],[Muestra]],Estructura!$M$4:$O$500,3,0)</f>
        <v>M-1150</v>
      </c>
    </row>
    <row r="1762" spans="1:27" ht="40.799999999999997" x14ac:dyDescent="0.3">
      <c r="A1762" s="21" t="s">
        <v>8029</v>
      </c>
      <c r="B1762" s="89">
        <v>990</v>
      </c>
      <c r="C1762" s="90" t="s">
        <v>401</v>
      </c>
      <c r="D1762" s="90" t="s">
        <v>1467</v>
      </c>
      <c r="E1762" s="114">
        <v>10</v>
      </c>
      <c r="F1762" s="90" t="s">
        <v>7407</v>
      </c>
      <c r="G1762" s="91" t="s">
        <v>3770</v>
      </c>
      <c r="H1762" s="98" t="s">
        <v>16</v>
      </c>
      <c r="I1762" s="99" t="s">
        <v>377</v>
      </c>
      <c r="J1762" s="89" t="s">
        <v>5590</v>
      </c>
      <c r="K1762" s="83" t="s">
        <v>6424</v>
      </c>
      <c r="L1762" s="89" t="s">
        <v>1559</v>
      </c>
      <c r="M1762" s="89" t="s">
        <v>6257</v>
      </c>
      <c r="N1762" s="83" t="s">
        <v>6403</v>
      </c>
      <c r="O1762" s="92" t="s">
        <v>6456</v>
      </c>
      <c r="P1762" s="110"/>
      <c r="Q1762" s="85" t="s">
        <v>821</v>
      </c>
      <c r="R1762" s="92" t="s">
        <v>6457</v>
      </c>
      <c r="S1762" s="104" t="s">
        <v>6458</v>
      </c>
      <c r="T1762" s="88" t="s">
        <v>3751</v>
      </c>
      <c r="U1762" s="50" t="s">
        <v>7694</v>
      </c>
      <c r="V1762" s="118" t="str">
        <f>+Agencia[[#This Row],[idcoleccion]]&amp;"-"&amp;Agencia[[#This Row],[id]]</f>
        <v>990-1751</v>
      </c>
      <c r="W1762" s="121">
        <v>99200010</v>
      </c>
      <c r="X1762" s="118" t="str">
        <f>+VLOOKUP(Agencia[[#This Row],[tema]],Estructura!$A$4:$C$500,3,0)</f>
        <v>T-1080</v>
      </c>
      <c r="Y1762" s="118" t="str">
        <f>+VLOOKUP(Agencia[[#This Row],[contenido]],Estructura!$E$4:$G$500,3,0)</f>
        <v>C-1003</v>
      </c>
      <c r="Z1762" s="118" t="str">
        <f>+VLOOKUP(Agencia[[#This Row],[Filtro Integrado]],Estructura!$I$4:$K$500,3,0)</f>
        <v>FI-1009</v>
      </c>
      <c r="AA1762" s="118" t="str">
        <f>+VLOOKUP(Agencia[[#This Row],[Muestra]],Estructura!$M$4:$O$500,3,0)</f>
        <v>M-1150</v>
      </c>
    </row>
    <row r="1763" spans="1:27" ht="40.799999999999997" x14ac:dyDescent="0.3">
      <c r="A1763" s="21" t="s">
        <v>8030</v>
      </c>
      <c r="B1763" s="89">
        <v>990</v>
      </c>
      <c r="C1763" s="90" t="s">
        <v>401</v>
      </c>
      <c r="D1763" s="90" t="s">
        <v>1467</v>
      </c>
      <c r="E1763" s="116">
        <v>11</v>
      </c>
      <c r="F1763" s="90" t="s">
        <v>7407</v>
      </c>
      <c r="G1763" s="91" t="s">
        <v>3770</v>
      </c>
      <c r="H1763" s="98" t="s">
        <v>16</v>
      </c>
      <c r="I1763" s="99" t="s">
        <v>378</v>
      </c>
      <c r="J1763" s="89" t="s">
        <v>5590</v>
      </c>
      <c r="K1763" s="83" t="s">
        <v>6424</v>
      </c>
      <c r="L1763" s="89" t="s">
        <v>1559</v>
      </c>
      <c r="M1763" s="89" t="s">
        <v>6257</v>
      </c>
      <c r="N1763" s="83" t="s">
        <v>6403</v>
      </c>
      <c r="O1763" s="92" t="s">
        <v>6459</v>
      </c>
      <c r="P1763" s="110"/>
      <c r="Q1763" s="85" t="s">
        <v>821</v>
      </c>
      <c r="R1763" s="92" t="s">
        <v>6460</v>
      </c>
      <c r="S1763" s="104" t="s">
        <v>6461</v>
      </c>
      <c r="T1763" s="88" t="s">
        <v>3748</v>
      </c>
      <c r="U1763" s="50" t="s">
        <v>7695</v>
      </c>
      <c r="V1763" s="118" t="str">
        <f>+Agencia[[#This Row],[idcoleccion]]&amp;"-"&amp;Agencia[[#This Row],[id]]</f>
        <v>990-1752</v>
      </c>
      <c r="W1763" s="121">
        <v>99200011</v>
      </c>
      <c r="X1763" s="118" t="str">
        <f>+VLOOKUP(Agencia[[#This Row],[tema]],Estructura!$A$4:$C$500,3,0)</f>
        <v>T-1080</v>
      </c>
      <c r="Y1763" s="118" t="str">
        <f>+VLOOKUP(Agencia[[#This Row],[contenido]],Estructura!$E$4:$G$500,3,0)</f>
        <v>C-1003</v>
      </c>
      <c r="Z1763" s="118" t="str">
        <f>+VLOOKUP(Agencia[[#This Row],[Filtro Integrado]],Estructura!$I$4:$K$500,3,0)</f>
        <v>FI-1009</v>
      </c>
      <c r="AA1763" s="118" t="str">
        <f>+VLOOKUP(Agencia[[#This Row],[Muestra]],Estructura!$M$4:$O$500,3,0)</f>
        <v>M-1150</v>
      </c>
    </row>
    <row r="1764" spans="1:27" ht="40.799999999999997" x14ac:dyDescent="0.3">
      <c r="A1764" s="21" t="s">
        <v>8031</v>
      </c>
      <c r="B1764" s="89">
        <v>990</v>
      </c>
      <c r="C1764" s="90" t="s">
        <v>401</v>
      </c>
      <c r="D1764" s="90" t="s">
        <v>1467</v>
      </c>
      <c r="E1764" s="114">
        <v>12</v>
      </c>
      <c r="F1764" s="90" t="s">
        <v>7407</v>
      </c>
      <c r="G1764" s="91" t="s">
        <v>3770</v>
      </c>
      <c r="H1764" s="98" t="s">
        <v>16</v>
      </c>
      <c r="I1764" s="99" t="s">
        <v>379</v>
      </c>
      <c r="J1764" s="89" t="s">
        <v>5590</v>
      </c>
      <c r="K1764" s="83" t="s">
        <v>6424</v>
      </c>
      <c r="L1764" s="89" t="s">
        <v>1559</v>
      </c>
      <c r="M1764" s="89" t="s">
        <v>6257</v>
      </c>
      <c r="N1764" s="83" t="s">
        <v>6403</v>
      </c>
      <c r="O1764" s="92" t="s">
        <v>6462</v>
      </c>
      <c r="P1764" s="110"/>
      <c r="Q1764" s="85" t="s">
        <v>821</v>
      </c>
      <c r="R1764" s="92" t="s">
        <v>6463</v>
      </c>
      <c r="S1764" s="104" t="s">
        <v>6464</v>
      </c>
      <c r="T1764" s="88" t="s">
        <v>3753</v>
      </c>
      <c r="U1764" s="50" t="s">
        <v>7696</v>
      </c>
      <c r="V1764" s="118" t="str">
        <f>+Agencia[[#This Row],[idcoleccion]]&amp;"-"&amp;Agencia[[#This Row],[id]]</f>
        <v>990-1753</v>
      </c>
      <c r="W1764" s="121">
        <v>99200012</v>
      </c>
      <c r="X1764" s="118" t="str">
        <f>+VLOOKUP(Agencia[[#This Row],[tema]],Estructura!$A$4:$C$500,3,0)</f>
        <v>T-1080</v>
      </c>
      <c r="Y1764" s="118" t="str">
        <f>+VLOOKUP(Agencia[[#This Row],[contenido]],Estructura!$E$4:$G$500,3,0)</f>
        <v>C-1003</v>
      </c>
      <c r="Z1764" s="118" t="str">
        <f>+VLOOKUP(Agencia[[#This Row],[Filtro Integrado]],Estructura!$I$4:$K$500,3,0)</f>
        <v>FI-1009</v>
      </c>
      <c r="AA1764" s="118" t="str">
        <f>+VLOOKUP(Agencia[[#This Row],[Muestra]],Estructura!$M$4:$O$500,3,0)</f>
        <v>M-1150</v>
      </c>
    </row>
    <row r="1765" spans="1:27" ht="40.799999999999997" x14ac:dyDescent="0.3">
      <c r="A1765" s="21" t="s">
        <v>8032</v>
      </c>
      <c r="B1765" s="89">
        <v>990</v>
      </c>
      <c r="C1765" s="90" t="s">
        <v>401</v>
      </c>
      <c r="D1765" s="90" t="s">
        <v>1467</v>
      </c>
      <c r="E1765" s="116">
        <v>13</v>
      </c>
      <c r="F1765" s="90" t="s">
        <v>7407</v>
      </c>
      <c r="G1765" s="91" t="s">
        <v>3770</v>
      </c>
      <c r="H1765" s="98" t="s">
        <v>16</v>
      </c>
      <c r="I1765" s="99" t="s">
        <v>380</v>
      </c>
      <c r="J1765" s="89" t="s">
        <v>5590</v>
      </c>
      <c r="K1765" s="83" t="s">
        <v>6424</v>
      </c>
      <c r="L1765" s="89" t="s">
        <v>1559</v>
      </c>
      <c r="M1765" s="89" t="s">
        <v>6257</v>
      </c>
      <c r="N1765" s="83" t="s">
        <v>6403</v>
      </c>
      <c r="O1765" s="92" t="s">
        <v>6465</v>
      </c>
      <c r="P1765" s="110"/>
      <c r="Q1765" s="85" t="s">
        <v>821</v>
      </c>
      <c r="R1765" s="92" t="s">
        <v>6466</v>
      </c>
      <c r="S1765" s="104" t="s">
        <v>6467</v>
      </c>
      <c r="T1765" s="88" t="s">
        <v>3760</v>
      </c>
      <c r="U1765" s="50" t="s">
        <v>7697</v>
      </c>
      <c r="V1765" s="118" t="str">
        <f>+Agencia[[#This Row],[idcoleccion]]&amp;"-"&amp;Agencia[[#This Row],[id]]</f>
        <v>990-1754</v>
      </c>
      <c r="W1765" s="121">
        <v>99200013</v>
      </c>
      <c r="X1765" s="118" t="str">
        <f>+VLOOKUP(Agencia[[#This Row],[tema]],Estructura!$A$4:$C$500,3,0)</f>
        <v>T-1080</v>
      </c>
      <c r="Y1765" s="118" t="str">
        <f>+VLOOKUP(Agencia[[#This Row],[contenido]],Estructura!$E$4:$G$500,3,0)</f>
        <v>C-1003</v>
      </c>
      <c r="Z1765" s="118" t="str">
        <f>+VLOOKUP(Agencia[[#This Row],[Filtro Integrado]],Estructura!$I$4:$K$500,3,0)</f>
        <v>FI-1009</v>
      </c>
      <c r="AA1765" s="118" t="str">
        <f>+VLOOKUP(Agencia[[#This Row],[Muestra]],Estructura!$M$4:$O$500,3,0)</f>
        <v>M-1150</v>
      </c>
    </row>
    <row r="1766" spans="1:27" ht="40.799999999999997" x14ac:dyDescent="0.3">
      <c r="A1766" s="21" t="s">
        <v>8033</v>
      </c>
      <c r="B1766" s="89">
        <v>990</v>
      </c>
      <c r="C1766" s="90" t="s">
        <v>401</v>
      </c>
      <c r="D1766" s="90" t="s">
        <v>1467</v>
      </c>
      <c r="E1766" s="114">
        <v>14</v>
      </c>
      <c r="F1766" s="90" t="s">
        <v>7407</v>
      </c>
      <c r="G1766" s="91" t="s">
        <v>3770</v>
      </c>
      <c r="H1766" s="98" t="s">
        <v>16</v>
      </c>
      <c r="I1766" s="99" t="s">
        <v>381</v>
      </c>
      <c r="J1766" s="89" t="s">
        <v>5590</v>
      </c>
      <c r="K1766" s="83" t="s">
        <v>6424</v>
      </c>
      <c r="L1766" s="89" t="s">
        <v>1559</v>
      </c>
      <c r="M1766" s="89" t="s">
        <v>6257</v>
      </c>
      <c r="N1766" s="83" t="s">
        <v>6403</v>
      </c>
      <c r="O1766" s="92" t="s">
        <v>6468</v>
      </c>
      <c r="P1766" s="110"/>
      <c r="Q1766" s="85" t="s">
        <v>821</v>
      </c>
      <c r="R1766" s="92" t="s">
        <v>6469</v>
      </c>
      <c r="S1766" s="104" t="s">
        <v>6470</v>
      </c>
      <c r="T1766" s="88" t="s">
        <v>3752</v>
      </c>
      <c r="U1766" s="50" t="s">
        <v>7698</v>
      </c>
      <c r="V1766" s="118" t="str">
        <f>+Agencia[[#This Row],[idcoleccion]]&amp;"-"&amp;Agencia[[#This Row],[id]]</f>
        <v>990-1755</v>
      </c>
      <c r="W1766" s="121">
        <v>99200014</v>
      </c>
      <c r="X1766" s="118" t="str">
        <f>+VLOOKUP(Agencia[[#This Row],[tema]],Estructura!$A$4:$C$500,3,0)</f>
        <v>T-1080</v>
      </c>
      <c r="Y1766" s="118" t="str">
        <f>+VLOOKUP(Agencia[[#This Row],[contenido]],Estructura!$E$4:$G$500,3,0)</f>
        <v>C-1003</v>
      </c>
      <c r="Z1766" s="118" t="str">
        <f>+VLOOKUP(Agencia[[#This Row],[Filtro Integrado]],Estructura!$I$4:$K$500,3,0)</f>
        <v>FI-1009</v>
      </c>
      <c r="AA1766" s="118" t="str">
        <f>+VLOOKUP(Agencia[[#This Row],[Muestra]],Estructura!$M$4:$O$500,3,0)</f>
        <v>M-1150</v>
      </c>
    </row>
    <row r="1767" spans="1:27" ht="40.799999999999997" x14ac:dyDescent="0.3">
      <c r="A1767" s="21" t="s">
        <v>8034</v>
      </c>
      <c r="B1767" s="89">
        <v>990</v>
      </c>
      <c r="C1767" s="90" t="s">
        <v>401</v>
      </c>
      <c r="D1767" s="90" t="s">
        <v>1467</v>
      </c>
      <c r="E1767" s="116">
        <v>15</v>
      </c>
      <c r="F1767" s="90" t="s">
        <v>7407</v>
      </c>
      <c r="G1767" s="91" t="s">
        <v>3770</v>
      </c>
      <c r="H1767" s="98" t="s">
        <v>16</v>
      </c>
      <c r="I1767" s="99" t="s">
        <v>382</v>
      </c>
      <c r="J1767" s="89" t="s">
        <v>5590</v>
      </c>
      <c r="K1767" s="83" t="s">
        <v>6424</v>
      </c>
      <c r="L1767" s="89" t="s">
        <v>1559</v>
      </c>
      <c r="M1767" s="89" t="s">
        <v>6257</v>
      </c>
      <c r="N1767" s="83" t="s">
        <v>6403</v>
      </c>
      <c r="O1767" s="92" t="s">
        <v>6471</v>
      </c>
      <c r="P1767" s="110"/>
      <c r="Q1767" s="85" t="s">
        <v>821</v>
      </c>
      <c r="R1767" s="92" t="s">
        <v>6472</v>
      </c>
      <c r="S1767" s="104" t="s">
        <v>6473</v>
      </c>
      <c r="T1767" s="88" t="s">
        <v>3746</v>
      </c>
      <c r="U1767" s="50" t="s">
        <v>7699</v>
      </c>
      <c r="V1767" s="118" t="str">
        <f>+Agencia[[#This Row],[idcoleccion]]&amp;"-"&amp;Agencia[[#This Row],[id]]</f>
        <v>990-1756</v>
      </c>
      <c r="W1767" s="121">
        <v>99200015</v>
      </c>
      <c r="X1767" s="118" t="str">
        <f>+VLOOKUP(Agencia[[#This Row],[tema]],Estructura!$A$4:$C$500,3,0)</f>
        <v>T-1080</v>
      </c>
      <c r="Y1767" s="118" t="str">
        <f>+VLOOKUP(Agencia[[#This Row],[contenido]],Estructura!$E$4:$G$500,3,0)</f>
        <v>C-1003</v>
      </c>
      <c r="Z1767" s="118" t="str">
        <f>+VLOOKUP(Agencia[[#This Row],[Filtro Integrado]],Estructura!$I$4:$K$500,3,0)</f>
        <v>FI-1009</v>
      </c>
      <c r="AA1767" s="118" t="str">
        <f>+VLOOKUP(Agencia[[#This Row],[Muestra]],Estructura!$M$4:$O$500,3,0)</f>
        <v>M-1150</v>
      </c>
    </row>
    <row r="1768" spans="1:27" ht="40.799999999999997" x14ac:dyDescent="0.3">
      <c r="A1768" s="21" t="s">
        <v>8035</v>
      </c>
      <c r="B1768" s="89">
        <v>990</v>
      </c>
      <c r="C1768" s="90" t="s">
        <v>401</v>
      </c>
      <c r="D1768" s="90" t="s">
        <v>1467</v>
      </c>
      <c r="E1768" s="114">
        <v>16</v>
      </c>
      <c r="F1768" s="90" t="s">
        <v>7407</v>
      </c>
      <c r="G1768" s="91" t="s">
        <v>3770</v>
      </c>
      <c r="H1768" s="98" t="s">
        <v>16</v>
      </c>
      <c r="I1768" s="99" t="s">
        <v>383</v>
      </c>
      <c r="J1768" s="89" t="s">
        <v>5590</v>
      </c>
      <c r="K1768" s="83" t="s">
        <v>6424</v>
      </c>
      <c r="L1768" s="89" t="s">
        <v>1559</v>
      </c>
      <c r="M1768" s="89" t="s">
        <v>6257</v>
      </c>
      <c r="N1768" s="83" t="s">
        <v>6403</v>
      </c>
      <c r="O1768" s="92" t="s">
        <v>6474</v>
      </c>
      <c r="P1768" s="110"/>
      <c r="Q1768" s="85" t="s">
        <v>821</v>
      </c>
      <c r="R1768" s="92" t="s">
        <v>6475</v>
      </c>
      <c r="S1768" s="104" t="s">
        <v>6476</v>
      </c>
      <c r="T1768" s="88" t="s">
        <v>3755</v>
      </c>
      <c r="U1768" s="50" t="s">
        <v>7700</v>
      </c>
      <c r="V1768" s="118" t="str">
        <f>+Agencia[[#This Row],[idcoleccion]]&amp;"-"&amp;Agencia[[#This Row],[id]]</f>
        <v>990-1757</v>
      </c>
      <c r="W1768" s="121">
        <v>99200016</v>
      </c>
      <c r="X1768" s="118" t="str">
        <f>+VLOOKUP(Agencia[[#This Row],[tema]],Estructura!$A$4:$C$500,3,0)</f>
        <v>T-1080</v>
      </c>
      <c r="Y1768" s="118" t="str">
        <f>+VLOOKUP(Agencia[[#This Row],[contenido]],Estructura!$E$4:$G$500,3,0)</f>
        <v>C-1003</v>
      </c>
      <c r="Z1768" s="118" t="str">
        <f>+VLOOKUP(Agencia[[#This Row],[Filtro Integrado]],Estructura!$I$4:$K$500,3,0)</f>
        <v>FI-1009</v>
      </c>
      <c r="AA1768" s="118" t="str">
        <f>+VLOOKUP(Agencia[[#This Row],[Muestra]],Estructura!$M$4:$O$500,3,0)</f>
        <v>M-1150</v>
      </c>
    </row>
    <row r="1769" spans="1:27" ht="71.400000000000006" x14ac:dyDescent="0.3">
      <c r="A1769" s="21" t="s">
        <v>8036</v>
      </c>
      <c r="B1769" s="89">
        <v>990</v>
      </c>
      <c r="C1769" s="90" t="s">
        <v>401</v>
      </c>
      <c r="D1769" s="90" t="s">
        <v>1467</v>
      </c>
      <c r="E1769" s="115">
        <v>0</v>
      </c>
      <c r="F1769" s="90" t="s">
        <v>6477</v>
      </c>
      <c r="G1769" s="91" t="s">
        <v>6478</v>
      </c>
      <c r="H1769" s="96" t="s">
        <v>20</v>
      </c>
      <c r="I1769" s="97" t="s">
        <v>15</v>
      </c>
      <c r="J1769" s="89" t="s">
        <v>5610</v>
      </c>
      <c r="K1769" s="89" t="s">
        <v>6479</v>
      </c>
      <c r="L1769" s="89" t="s">
        <v>1559</v>
      </c>
      <c r="M1769" s="89" t="s">
        <v>581</v>
      </c>
      <c r="N1769" s="83" t="s">
        <v>6403</v>
      </c>
      <c r="O1769" s="92" t="s">
        <v>6480</v>
      </c>
      <c r="P1769" s="107" t="s">
        <v>6481</v>
      </c>
      <c r="Q1769" s="93" t="s">
        <v>821</v>
      </c>
      <c r="R1769" s="92" t="s">
        <v>6482</v>
      </c>
      <c r="S1769" s="100" t="s">
        <v>6483</v>
      </c>
      <c r="T1769" s="94" t="s">
        <v>855</v>
      </c>
      <c r="U1769" s="50" t="s">
        <v>7701</v>
      </c>
      <c r="V1769" s="118" t="str">
        <f>+Agencia[[#This Row],[idcoleccion]]&amp;"-"&amp;Agencia[[#This Row],[id]]</f>
        <v>990-1758</v>
      </c>
      <c r="W1769" s="121">
        <v>99100000</v>
      </c>
      <c r="X1769" s="118" t="str">
        <f>+VLOOKUP(Agencia[[#This Row],[tema]],Estructura!$A$4:$C$500,3,0)</f>
        <v>T-1081</v>
      </c>
      <c r="Y1769" s="118" t="str">
        <f>+VLOOKUP(Agencia[[#This Row],[contenido]],Estructura!$E$4:$G$500,3,0)</f>
        <v>C-1028</v>
      </c>
      <c r="Z1769" s="118" t="str">
        <f>+VLOOKUP(Agencia[[#This Row],[Filtro Integrado]],Estructura!$I$4:$K$500,3,0)</f>
        <v>FI-1010</v>
      </c>
      <c r="AA1769" s="118" t="str">
        <f>+VLOOKUP(Agencia[[#This Row],[Muestra]],Estructura!$M$4:$O$500,3,0)</f>
        <v>M-1151</v>
      </c>
    </row>
    <row r="1770" spans="1:27" ht="40.799999999999997" x14ac:dyDescent="0.3">
      <c r="A1770" s="21" t="s">
        <v>8037</v>
      </c>
      <c r="B1770" s="89">
        <v>990</v>
      </c>
      <c r="C1770" s="90" t="s">
        <v>401</v>
      </c>
      <c r="D1770" s="90" t="s">
        <v>1467</v>
      </c>
      <c r="E1770" s="116">
        <v>1</v>
      </c>
      <c r="F1770" s="90" t="s">
        <v>6477</v>
      </c>
      <c r="G1770" s="91" t="s">
        <v>6478</v>
      </c>
      <c r="H1770" s="98" t="s">
        <v>16</v>
      </c>
      <c r="I1770" s="99" t="s">
        <v>368</v>
      </c>
      <c r="J1770" s="89" t="s">
        <v>5590</v>
      </c>
      <c r="K1770" s="89" t="s">
        <v>6479</v>
      </c>
      <c r="L1770" s="89" t="s">
        <v>1559</v>
      </c>
      <c r="M1770" s="89" t="s">
        <v>581</v>
      </c>
      <c r="N1770" s="83" t="s">
        <v>6403</v>
      </c>
      <c r="O1770" s="92" t="s">
        <v>6484</v>
      </c>
      <c r="P1770" s="109"/>
      <c r="Q1770" s="93" t="s">
        <v>821</v>
      </c>
      <c r="R1770" s="92" t="s">
        <v>6485</v>
      </c>
      <c r="S1770" s="104" t="s">
        <v>6486</v>
      </c>
      <c r="T1770" s="94" t="s">
        <v>3757</v>
      </c>
      <c r="U1770" s="50" t="s">
        <v>7702</v>
      </c>
      <c r="V1770" s="118" t="str">
        <f>+Agencia[[#This Row],[idcoleccion]]&amp;"-"&amp;Agencia[[#This Row],[id]]</f>
        <v>990-1759</v>
      </c>
      <c r="W1770" s="121">
        <v>99200001</v>
      </c>
      <c r="X1770" s="118" t="str">
        <f>+VLOOKUP(Agencia[[#This Row],[tema]],Estructura!$A$4:$C$500,3,0)</f>
        <v>T-1081</v>
      </c>
      <c r="Y1770" s="118" t="str">
        <f>+VLOOKUP(Agencia[[#This Row],[contenido]],Estructura!$E$4:$G$500,3,0)</f>
        <v>C-1028</v>
      </c>
      <c r="Z1770" s="118" t="str">
        <f>+VLOOKUP(Agencia[[#This Row],[Filtro Integrado]],Estructura!$I$4:$K$500,3,0)</f>
        <v>FI-1009</v>
      </c>
      <c r="AA1770" s="118" t="str">
        <f>+VLOOKUP(Agencia[[#This Row],[Muestra]],Estructura!$M$4:$O$500,3,0)</f>
        <v>M-1151</v>
      </c>
    </row>
    <row r="1771" spans="1:27" ht="40.799999999999997" x14ac:dyDescent="0.3">
      <c r="A1771" s="21" t="s">
        <v>8038</v>
      </c>
      <c r="B1771" s="89">
        <v>990</v>
      </c>
      <c r="C1771" s="90" t="s">
        <v>401</v>
      </c>
      <c r="D1771" s="90" t="s">
        <v>1467</v>
      </c>
      <c r="E1771" s="116">
        <v>5</v>
      </c>
      <c r="F1771" s="90" t="s">
        <v>6477</v>
      </c>
      <c r="G1771" s="91" t="s">
        <v>6478</v>
      </c>
      <c r="H1771" s="98" t="s">
        <v>16</v>
      </c>
      <c r="I1771" s="99" t="s">
        <v>372</v>
      </c>
      <c r="J1771" s="89" t="s">
        <v>5590</v>
      </c>
      <c r="K1771" s="89" t="s">
        <v>6479</v>
      </c>
      <c r="L1771" s="89" t="s">
        <v>1559</v>
      </c>
      <c r="M1771" s="89" t="s">
        <v>581</v>
      </c>
      <c r="N1771" s="83" t="s">
        <v>6403</v>
      </c>
      <c r="O1771" s="92" t="s">
        <v>6487</v>
      </c>
      <c r="P1771" s="109"/>
      <c r="Q1771" s="93" t="s">
        <v>821</v>
      </c>
      <c r="R1771" s="92" t="s">
        <v>6488</v>
      </c>
      <c r="S1771" s="104" t="s">
        <v>6489</v>
      </c>
      <c r="T1771" s="94" t="s">
        <v>3758</v>
      </c>
      <c r="U1771" s="50" t="s">
        <v>7703</v>
      </c>
      <c r="V1771" s="118" t="str">
        <f>+Agencia[[#This Row],[idcoleccion]]&amp;"-"&amp;Agencia[[#This Row],[id]]</f>
        <v>990-1760</v>
      </c>
      <c r="W1771" s="121">
        <v>99200005</v>
      </c>
      <c r="X1771" s="118" t="str">
        <f>+VLOOKUP(Agencia[[#This Row],[tema]],Estructura!$A$4:$C$500,3,0)</f>
        <v>T-1081</v>
      </c>
      <c r="Y1771" s="118" t="str">
        <f>+VLOOKUP(Agencia[[#This Row],[contenido]],Estructura!$E$4:$G$500,3,0)</f>
        <v>C-1028</v>
      </c>
      <c r="Z1771" s="118" t="str">
        <f>+VLOOKUP(Agencia[[#This Row],[Filtro Integrado]],Estructura!$I$4:$K$500,3,0)</f>
        <v>FI-1009</v>
      </c>
      <c r="AA1771" s="118" t="str">
        <f>+VLOOKUP(Agencia[[#This Row],[Muestra]],Estructura!$M$4:$O$500,3,0)</f>
        <v>M-1151</v>
      </c>
    </row>
    <row r="1772" spans="1:27" ht="40.799999999999997" x14ac:dyDescent="0.3">
      <c r="A1772" s="21" t="s">
        <v>8039</v>
      </c>
      <c r="B1772" s="89">
        <v>990</v>
      </c>
      <c r="C1772" s="90" t="s">
        <v>401</v>
      </c>
      <c r="D1772" s="90" t="s">
        <v>1467</v>
      </c>
      <c r="E1772" s="116">
        <v>8</v>
      </c>
      <c r="F1772" s="90" t="s">
        <v>6477</v>
      </c>
      <c r="G1772" s="91" t="s">
        <v>6478</v>
      </c>
      <c r="H1772" s="98" t="s">
        <v>16</v>
      </c>
      <c r="I1772" s="99" t="s">
        <v>375</v>
      </c>
      <c r="J1772" s="89" t="s">
        <v>5590</v>
      </c>
      <c r="K1772" s="89" t="s">
        <v>6479</v>
      </c>
      <c r="L1772" s="89" t="s">
        <v>1559</v>
      </c>
      <c r="M1772" s="89" t="s">
        <v>581</v>
      </c>
      <c r="N1772" s="83" t="s">
        <v>6403</v>
      </c>
      <c r="O1772" s="92" t="s">
        <v>6490</v>
      </c>
      <c r="P1772" s="109"/>
      <c r="Q1772" s="93" t="s">
        <v>821</v>
      </c>
      <c r="R1772" s="92" t="s">
        <v>6491</v>
      </c>
      <c r="S1772" s="104" t="s">
        <v>6492</v>
      </c>
      <c r="T1772" s="94" t="s">
        <v>3759</v>
      </c>
      <c r="U1772" s="50" t="s">
        <v>7704</v>
      </c>
      <c r="V1772" s="118" t="str">
        <f>+Agencia[[#This Row],[idcoleccion]]&amp;"-"&amp;Agencia[[#This Row],[id]]</f>
        <v>990-1761</v>
      </c>
      <c r="W1772" s="121">
        <v>99200008</v>
      </c>
      <c r="X1772" s="118" t="str">
        <f>+VLOOKUP(Agencia[[#This Row],[tema]],Estructura!$A$4:$C$500,3,0)</f>
        <v>T-1081</v>
      </c>
      <c r="Y1772" s="118" t="str">
        <f>+VLOOKUP(Agencia[[#This Row],[contenido]],Estructura!$E$4:$G$500,3,0)</f>
        <v>C-1028</v>
      </c>
      <c r="Z1772" s="118" t="str">
        <f>+VLOOKUP(Agencia[[#This Row],[Filtro Integrado]],Estructura!$I$4:$K$500,3,0)</f>
        <v>FI-1009</v>
      </c>
      <c r="AA1772" s="118" t="str">
        <f>+VLOOKUP(Agencia[[#This Row],[Muestra]],Estructura!$M$4:$O$500,3,0)</f>
        <v>M-1151</v>
      </c>
    </row>
    <row r="1773" spans="1:27" ht="71.400000000000006" x14ac:dyDescent="0.3">
      <c r="A1773" s="21" t="s">
        <v>8040</v>
      </c>
      <c r="B1773" s="89">
        <v>990</v>
      </c>
      <c r="C1773" s="90" t="s">
        <v>401</v>
      </c>
      <c r="D1773" s="90" t="s">
        <v>870</v>
      </c>
      <c r="E1773" s="115">
        <v>0</v>
      </c>
      <c r="F1773" s="90" t="s">
        <v>6493</v>
      </c>
      <c r="G1773" s="91" t="s">
        <v>870</v>
      </c>
      <c r="H1773" s="96" t="s">
        <v>20</v>
      </c>
      <c r="I1773" s="97" t="s">
        <v>15</v>
      </c>
      <c r="J1773" s="89" t="s">
        <v>5590</v>
      </c>
      <c r="K1773" s="89" t="s">
        <v>6494</v>
      </c>
      <c r="L1773" s="89" t="s">
        <v>1559</v>
      </c>
      <c r="M1773" s="89" t="s">
        <v>1586</v>
      </c>
      <c r="N1773" s="83" t="s">
        <v>1459</v>
      </c>
      <c r="O1773" s="92" t="s">
        <v>6495</v>
      </c>
      <c r="P1773" s="107" t="s">
        <v>6496</v>
      </c>
      <c r="Q1773" s="93" t="s">
        <v>821</v>
      </c>
      <c r="R1773" s="92" t="s">
        <v>6497</v>
      </c>
      <c r="S1773" s="104" t="s">
        <v>6498</v>
      </c>
      <c r="T1773" s="94" t="s">
        <v>855</v>
      </c>
      <c r="U1773" s="50" t="s">
        <v>7705</v>
      </c>
      <c r="V1773" s="118" t="str">
        <f>+Agencia[[#This Row],[idcoleccion]]&amp;"-"&amp;Agencia[[#This Row],[id]]</f>
        <v>990-1762</v>
      </c>
      <c r="W1773" s="121">
        <v>99100000</v>
      </c>
      <c r="X1773" s="118" t="str">
        <f>+VLOOKUP(Agencia[[#This Row],[tema]],Estructura!$A$4:$C$500,3,0)</f>
        <v>T-1082</v>
      </c>
      <c r="Y1773" s="118" t="str">
        <f>+VLOOKUP(Agencia[[#This Row],[contenido]],Estructura!$E$4:$G$500,3,0)</f>
        <v>C-1011</v>
      </c>
      <c r="Z1773" s="118" t="str">
        <f>+VLOOKUP(Agencia[[#This Row],[Filtro Integrado]],Estructura!$I$4:$K$500,3,0)</f>
        <v>FI-1009</v>
      </c>
      <c r="AA1773" s="118" t="str">
        <f>+VLOOKUP(Agencia[[#This Row],[Muestra]],Estructura!$M$4:$O$500,3,0)</f>
        <v>M-1152</v>
      </c>
    </row>
    <row r="1774" spans="1:27" ht="48" x14ac:dyDescent="0.3">
      <c r="A1774" s="21" t="s">
        <v>8041</v>
      </c>
      <c r="B1774" s="89">
        <v>990</v>
      </c>
      <c r="C1774" s="90" t="s">
        <v>401</v>
      </c>
      <c r="D1774" s="90" t="s">
        <v>870</v>
      </c>
      <c r="E1774" s="114">
        <v>1</v>
      </c>
      <c r="F1774" s="90" t="s">
        <v>6493</v>
      </c>
      <c r="G1774" s="91" t="s">
        <v>870</v>
      </c>
      <c r="H1774" s="98" t="s">
        <v>16</v>
      </c>
      <c r="I1774" s="99" t="s">
        <v>368</v>
      </c>
      <c r="J1774" s="83" t="s">
        <v>5610</v>
      </c>
      <c r="K1774" s="89" t="s">
        <v>6494</v>
      </c>
      <c r="L1774" s="89" t="s">
        <v>1559</v>
      </c>
      <c r="M1774" s="89" t="s">
        <v>1586</v>
      </c>
      <c r="N1774" s="83" t="s">
        <v>1459</v>
      </c>
      <c r="O1774" s="92" t="s">
        <v>6499</v>
      </c>
      <c r="P1774" s="110"/>
      <c r="Q1774" s="85" t="s">
        <v>821</v>
      </c>
      <c r="R1774" s="92" t="s">
        <v>6500</v>
      </c>
      <c r="S1774" s="103" t="s">
        <v>6501</v>
      </c>
      <c r="T1774" s="88" t="s">
        <v>3757</v>
      </c>
      <c r="U1774" s="50" t="s">
        <v>7706</v>
      </c>
      <c r="V1774" s="118" t="str">
        <f>+Agencia[[#This Row],[idcoleccion]]&amp;"-"&amp;Agencia[[#This Row],[id]]</f>
        <v>990-1763</v>
      </c>
      <c r="W1774" s="121">
        <v>99200001</v>
      </c>
      <c r="X1774" s="118" t="str">
        <f>+VLOOKUP(Agencia[[#This Row],[tema]],Estructura!$A$4:$C$500,3,0)</f>
        <v>T-1082</v>
      </c>
      <c r="Y1774" s="118" t="str">
        <f>+VLOOKUP(Agencia[[#This Row],[contenido]],Estructura!$E$4:$G$500,3,0)</f>
        <v>C-1011</v>
      </c>
      <c r="Z1774" s="118" t="str">
        <f>+VLOOKUP(Agencia[[#This Row],[Filtro Integrado]],Estructura!$I$4:$K$500,3,0)</f>
        <v>FI-1010</v>
      </c>
      <c r="AA1774" s="118" t="str">
        <f>+VLOOKUP(Agencia[[#This Row],[Muestra]],Estructura!$M$4:$O$500,3,0)</f>
        <v>M-1152</v>
      </c>
    </row>
    <row r="1775" spans="1:27" ht="48" x14ac:dyDescent="0.3">
      <c r="A1775" s="21" t="s">
        <v>8042</v>
      </c>
      <c r="B1775" s="89">
        <v>990</v>
      </c>
      <c r="C1775" s="90" t="s">
        <v>401</v>
      </c>
      <c r="D1775" s="90" t="s">
        <v>870</v>
      </c>
      <c r="E1775" s="114">
        <v>2</v>
      </c>
      <c r="F1775" s="90" t="s">
        <v>6493</v>
      </c>
      <c r="G1775" s="91" t="s">
        <v>870</v>
      </c>
      <c r="H1775" s="98" t="s">
        <v>16</v>
      </c>
      <c r="I1775" s="99" t="s">
        <v>369</v>
      </c>
      <c r="J1775" s="83" t="s">
        <v>5590</v>
      </c>
      <c r="K1775" s="89" t="s">
        <v>6494</v>
      </c>
      <c r="L1775" s="89" t="s">
        <v>1559</v>
      </c>
      <c r="M1775" s="89" t="s">
        <v>1586</v>
      </c>
      <c r="N1775" s="83" t="s">
        <v>1459</v>
      </c>
      <c r="O1775" s="92" t="s">
        <v>6502</v>
      </c>
      <c r="P1775" s="110"/>
      <c r="Q1775" s="85" t="s">
        <v>821</v>
      </c>
      <c r="R1775" s="92" t="s">
        <v>6503</v>
      </c>
      <c r="S1775" s="103" t="s">
        <v>6504</v>
      </c>
      <c r="T1775" s="88" t="s">
        <v>3745</v>
      </c>
      <c r="U1775" s="50" t="s">
        <v>7707</v>
      </c>
      <c r="V1775" s="118" t="str">
        <f>+Agencia[[#This Row],[idcoleccion]]&amp;"-"&amp;Agencia[[#This Row],[id]]</f>
        <v>990-1764</v>
      </c>
      <c r="W1775" s="121">
        <v>99200002</v>
      </c>
      <c r="X1775" s="118" t="str">
        <f>+VLOOKUP(Agencia[[#This Row],[tema]],Estructura!$A$4:$C$500,3,0)</f>
        <v>T-1082</v>
      </c>
      <c r="Y1775" s="118" t="str">
        <f>+VLOOKUP(Agencia[[#This Row],[contenido]],Estructura!$E$4:$G$500,3,0)</f>
        <v>C-1011</v>
      </c>
      <c r="Z1775" s="118" t="str">
        <f>+VLOOKUP(Agencia[[#This Row],[Filtro Integrado]],Estructura!$I$4:$K$500,3,0)</f>
        <v>FI-1009</v>
      </c>
      <c r="AA1775" s="118" t="str">
        <f>+VLOOKUP(Agencia[[#This Row],[Muestra]],Estructura!$M$4:$O$500,3,0)</f>
        <v>M-1152</v>
      </c>
    </row>
    <row r="1776" spans="1:27" ht="48" x14ac:dyDescent="0.3">
      <c r="A1776" s="21" t="s">
        <v>8043</v>
      </c>
      <c r="B1776" s="89">
        <v>990</v>
      </c>
      <c r="C1776" s="90" t="s">
        <v>401</v>
      </c>
      <c r="D1776" s="90" t="s">
        <v>870</v>
      </c>
      <c r="E1776" s="114">
        <v>3</v>
      </c>
      <c r="F1776" s="90" t="s">
        <v>6493</v>
      </c>
      <c r="G1776" s="91" t="s">
        <v>870</v>
      </c>
      <c r="H1776" s="98" t="s">
        <v>16</v>
      </c>
      <c r="I1776" s="99" t="s">
        <v>370</v>
      </c>
      <c r="J1776" s="83" t="s">
        <v>5590</v>
      </c>
      <c r="K1776" s="89" t="s">
        <v>6494</v>
      </c>
      <c r="L1776" s="89" t="s">
        <v>1559</v>
      </c>
      <c r="M1776" s="89" t="s">
        <v>1586</v>
      </c>
      <c r="N1776" s="83" t="s">
        <v>1459</v>
      </c>
      <c r="O1776" s="92" t="s">
        <v>6505</v>
      </c>
      <c r="P1776" s="110"/>
      <c r="Q1776" s="85" t="s">
        <v>821</v>
      </c>
      <c r="R1776" s="92" t="s">
        <v>6506</v>
      </c>
      <c r="S1776" s="103" t="s">
        <v>6507</v>
      </c>
      <c r="T1776" s="88" t="s">
        <v>3747</v>
      </c>
      <c r="U1776" s="50" t="s">
        <v>7708</v>
      </c>
      <c r="V1776" s="118" t="str">
        <f>+Agencia[[#This Row],[idcoleccion]]&amp;"-"&amp;Agencia[[#This Row],[id]]</f>
        <v>990-1765</v>
      </c>
      <c r="W1776" s="121">
        <v>99200003</v>
      </c>
      <c r="X1776" s="118" t="str">
        <f>+VLOOKUP(Agencia[[#This Row],[tema]],Estructura!$A$4:$C$500,3,0)</f>
        <v>T-1082</v>
      </c>
      <c r="Y1776" s="118" t="str">
        <f>+VLOOKUP(Agencia[[#This Row],[contenido]],Estructura!$E$4:$G$500,3,0)</f>
        <v>C-1011</v>
      </c>
      <c r="Z1776" s="118" t="str">
        <f>+VLOOKUP(Agencia[[#This Row],[Filtro Integrado]],Estructura!$I$4:$K$500,3,0)</f>
        <v>FI-1009</v>
      </c>
      <c r="AA1776" s="118" t="str">
        <f>+VLOOKUP(Agencia[[#This Row],[Muestra]],Estructura!$M$4:$O$500,3,0)</f>
        <v>M-1152</v>
      </c>
    </row>
    <row r="1777" spans="1:27" ht="48" x14ac:dyDescent="0.3">
      <c r="A1777" s="21" t="s">
        <v>8044</v>
      </c>
      <c r="B1777" s="89">
        <v>990</v>
      </c>
      <c r="C1777" s="90" t="s">
        <v>401</v>
      </c>
      <c r="D1777" s="90" t="s">
        <v>870</v>
      </c>
      <c r="E1777" s="114">
        <v>4</v>
      </c>
      <c r="F1777" s="90" t="s">
        <v>6493</v>
      </c>
      <c r="G1777" s="91" t="s">
        <v>870</v>
      </c>
      <c r="H1777" s="98" t="s">
        <v>16</v>
      </c>
      <c r="I1777" s="99" t="s">
        <v>371</v>
      </c>
      <c r="J1777" s="83" t="s">
        <v>5590</v>
      </c>
      <c r="K1777" s="89" t="s">
        <v>6494</v>
      </c>
      <c r="L1777" s="89" t="s">
        <v>1559</v>
      </c>
      <c r="M1777" s="89" t="s">
        <v>1586</v>
      </c>
      <c r="N1777" s="83" t="s">
        <v>1459</v>
      </c>
      <c r="O1777" s="92" t="s">
        <v>6508</v>
      </c>
      <c r="P1777" s="110"/>
      <c r="Q1777" s="85" t="s">
        <v>821</v>
      </c>
      <c r="R1777" s="92" t="s">
        <v>6509</v>
      </c>
      <c r="S1777" s="103" t="s">
        <v>6510</v>
      </c>
      <c r="T1777" s="88" t="s">
        <v>3749</v>
      </c>
      <c r="U1777" s="50" t="s">
        <v>7709</v>
      </c>
      <c r="V1777" s="118" t="str">
        <f>+Agencia[[#This Row],[idcoleccion]]&amp;"-"&amp;Agencia[[#This Row],[id]]</f>
        <v>990-1766</v>
      </c>
      <c r="W1777" s="121">
        <v>99200004</v>
      </c>
      <c r="X1777" s="118" t="str">
        <f>+VLOOKUP(Agencia[[#This Row],[tema]],Estructura!$A$4:$C$500,3,0)</f>
        <v>T-1082</v>
      </c>
      <c r="Y1777" s="118" t="str">
        <f>+VLOOKUP(Agencia[[#This Row],[contenido]],Estructura!$E$4:$G$500,3,0)</f>
        <v>C-1011</v>
      </c>
      <c r="Z1777" s="118" t="str">
        <f>+VLOOKUP(Agencia[[#This Row],[Filtro Integrado]],Estructura!$I$4:$K$500,3,0)</f>
        <v>FI-1009</v>
      </c>
      <c r="AA1777" s="118" t="str">
        <f>+VLOOKUP(Agencia[[#This Row],[Muestra]],Estructura!$M$4:$O$500,3,0)</f>
        <v>M-1152</v>
      </c>
    </row>
    <row r="1778" spans="1:27" ht="48" x14ac:dyDescent="0.3">
      <c r="A1778" s="21" t="s">
        <v>8045</v>
      </c>
      <c r="B1778" s="89">
        <v>990</v>
      </c>
      <c r="C1778" s="90" t="s">
        <v>401</v>
      </c>
      <c r="D1778" s="90" t="s">
        <v>870</v>
      </c>
      <c r="E1778" s="114">
        <v>5</v>
      </c>
      <c r="F1778" s="90" t="s">
        <v>6493</v>
      </c>
      <c r="G1778" s="91" t="s">
        <v>870</v>
      </c>
      <c r="H1778" s="98" t="s">
        <v>16</v>
      </c>
      <c r="I1778" s="99" t="s">
        <v>372</v>
      </c>
      <c r="J1778" s="83" t="s">
        <v>5590</v>
      </c>
      <c r="K1778" s="89" t="s">
        <v>6494</v>
      </c>
      <c r="L1778" s="89" t="s">
        <v>1559</v>
      </c>
      <c r="M1778" s="89" t="s">
        <v>1586</v>
      </c>
      <c r="N1778" s="83" t="s">
        <v>1459</v>
      </c>
      <c r="O1778" s="92" t="s">
        <v>6511</v>
      </c>
      <c r="P1778" s="110"/>
      <c r="Q1778" s="85" t="s">
        <v>821</v>
      </c>
      <c r="R1778" s="92" t="s">
        <v>6512</v>
      </c>
      <c r="S1778" s="103" t="s">
        <v>6513</v>
      </c>
      <c r="T1778" s="88" t="s">
        <v>3758</v>
      </c>
      <c r="U1778" s="50" t="s">
        <v>7710</v>
      </c>
      <c r="V1778" s="118" t="str">
        <f>+Agencia[[#This Row],[idcoleccion]]&amp;"-"&amp;Agencia[[#This Row],[id]]</f>
        <v>990-1767</v>
      </c>
      <c r="W1778" s="121">
        <v>99200005</v>
      </c>
      <c r="X1778" s="118" t="str">
        <f>+VLOOKUP(Agencia[[#This Row],[tema]],Estructura!$A$4:$C$500,3,0)</f>
        <v>T-1082</v>
      </c>
      <c r="Y1778" s="118" t="str">
        <f>+VLOOKUP(Agencia[[#This Row],[contenido]],Estructura!$E$4:$G$500,3,0)</f>
        <v>C-1011</v>
      </c>
      <c r="Z1778" s="118" t="str">
        <f>+VLOOKUP(Agencia[[#This Row],[Filtro Integrado]],Estructura!$I$4:$K$500,3,0)</f>
        <v>FI-1009</v>
      </c>
      <c r="AA1778" s="118" t="str">
        <f>+VLOOKUP(Agencia[[#This Row],[Muestra]],Estructura!$M$4:$O$500,3,0)</f>
        <v>M-1152</v>
      </c>
    </row>
    <row r="1779" spans="1:27" ht="48" x14ac:dyDescent="0.3">
      <c r="A1779" s="21" t="s">
        <v>8046</v>
      </c>
      <c r="B1779" s="89">
        <v>990</v>
      </c>
      <c r="C1779" s="90" t="s">
        <v>401</v>
      </c>
      <c r="D1779" s="90" t="s">
        <v>870</v>
      </c>
      <c r="E1779" s="114">
        <v>6</v>
      </c>
      <c r="F1779" s="90" t="s">
        <v>6493</v>
      </c>
      <c r="G1779" s="91" t="s">
        <v>870</v>
      </c>
      <c r="H1779" s="98" t="s">
        <v>16</v>
      </c>
      <c r="I1779" s="99" t="s">
        <v>373</v>
      </c>
      <c r="J1779" s="83" t="s">
        <v>5590</v>
      </c>
      <c r="K1779" s="89" t="s">
        <v>6494</v>
      </c>
      <c r="L1779" s="89" t="s">
        <v>1559</v>
      </c>
      <c r="M1779" s="89" t="s">
        <v>1586</v>
      </c>
      <c r="N1779" s="83" t="s">
        <v>1459</v>
      </c>
      <c r="O1779" s="92" t="s">
        <v>6514</v>
      </c>
      <c r="P1779" s="110"/>
      <c r="Q1779" s="85" t="s">
        <v>821</v>
      </c>
      <c r="R1779" s="92" t="s">
        <v>6515</v>
      </c>
      <c r="S1779" s="103" t="s">
        <v>6516</v>
      </c>
      <c r="T1779" s="88" t="s">
        <v>3756</v>
      </c>
      <c r="U1779" s="50" t="s">
        <v>7711</v>
      </c>
      <c r="V1779" s="118" t="str">
        <f>+Agencia[[#This Row],[idcoleccion]]&amp;"-"&amp;Agencia[[#This Row],[id]]</f>
        <v>990-1768</v>
      </c>
      <c r="W1779" s="121">
        <v>99200006</v>
      </c>
      <c r="X1779" s="118" t="str">
        <f>+VLOOKUP(Agencia[[#This Row],[tema]],Estructura!$A$4:$C$500,3,0)</f>
        <v>T-1082</v>
      </c>
      <c r="Y1779" s="118" t="str">
        <f>+VLOOKUP(Agencia[[#This Row],[contenido]],Estructura!$E$4:$G$500,3,0)</f>
        <v>C-1011</v>
      </c>
      <c r="Z1779" s="118" t="str">
        <f>+VLOOKUP(Agencia[[#This Row],[Filtro Integrado]],Estructura!$I$4:$K$500,3,0)</f>
        <v>FI-1009</v>
      </c>
      <c r="AA1779" s="118" t="str">
        <f>+VLOOKUP(Agencia[[#This Row],[Muestra]],Estructura!$M$4:$O$500,3,0)</f>
        <v>M-1152</v>
      </c>
    </row>
    <row r="1780" spans="1:27" ht="48" x14ac:dyDescent="0.3">
      <c r="A1780" s="21" t="s">
        <v>8047</v>
      </c>
      <c r="B1780" s="89">
        <v>990</v>
      </c>
      <c r="C1780" s="90" t="s">
        <v>401</v>
      </c>
      <c r="D1780" s="90" t="s">
        <v>870</v>
      </c>
      <c r="E1780" s="114">
        <v>7</v>
      </c>
      <c r="F1780" s="90" t="s">
        <v>6493</v>
      </c>
      <c r="G1780" s="91" t="s">
        <v>870</v>
      </c>
      <c r="H1780" s="98" t="s">
        <v>16</v>
      </c>
      <c r="I1780" s="99" t="s">
        <v>374</v>
      </c>
      <c r="J1780" s="83" t="s">
        <v>5590</v>
      </c>
      <c r="K1780" s="89" t="s">
        <v>6494</v>
      </c>
      <c r="L1780" s="89" t="s">
        <v>1559</v>
      </c>
      <c r="M1780" s="89" t="s">
        <v>1586</v>
      </c>
      <c r="N1780" s="83" t="s">
        <v>1459</v>
      </c>
      <c r="O1780" s="92" t="s">
        <v>6517</v>
      </c>
      <c r="P1780" s="110"/>
      <c r="Q1780" s="85" t="s">
        <v>821</v>
      </c>
      <c r="R1780" s="92" t="s">
        <v>6518</v>
      </c>
      <c r="S1780" s="103" t="s">
        <v>6519</v>
      </c>
      <c r="T1780" s="88" t="s">
        <v>3754</v>
      </c>
      <c r="U1780" s="50" t="s">
        <v>7712</v>
      </c>
      <c r="V1780" s="118" t="str">
        <f>+Agencia[[#This Row],[idcoleccion]]&amp;"-"&amp;Agencia[[#This Row],[id]]</f>
        <v>990-1769</v>
      </c>
      <c r="W1780" s="121">
        <v>99200007</v>
      </c>
      <c r="X1780" s="118" t="str">
        <f>+VLOOKUP(Agencia[[#This Row],[tema]],Estructura!$A$4:$C$500,3,0)</f>
        <v>T-1082</v>
      </c>
      <c r="Y1780" s="118" t="str">
        <f>+VLOOKUP(Agencia[[#This Row],[contenido]],Estructura!$E$4:$G$500,3,0)</f>
        <v>C-1011</v>
      </c>
      <c r="Z1780" s="118" t="str">
        <f>+VLOOKUP(Agencia[[#This Row],[Filtro Integrado]],Estructura!$I$4:$K$500,3,0)</f>
        <v>FI-1009</v>
      </c>
      <c r="AA1780" s="118" t="str">
        <f>+VLOOKUP(Agencia[[#This Row],[Muestra]],Estructura!$M$4:$O$500,3,0)</f>
        <v>M-1152</v>
      </c>
    </row>
    <row r="1781" spans="1:27" ht="48" x14ac:dyDescent="0.3">
      <c r="A1781" s="21" t="s">
        <v>8048</v>
      </c>
      <c r="B1781" s="89">
        <v>990</v>
      </c>
      <c r="C1781" s="90" t="s">
        <v>401</v>
      </c>
      <c r="D1781" s="90" t="s">
        <v>870</v>
      </c>
      <c r="E1781" s="114">
        <v>8</v>
      </c>
      <c r="F1781" s="90" t="s">
        <v>6493</v>
      </c>
      <c r="G1781" s="91" t="s">
        <v>870</v>
      </c>
      <c r="H1781" s="98" t="s">
        <v>16</v>
      </c>
      <c r="I1781" s="99" t="s">
        <v>375</v>
      </c>
      <c r="J1781" s="83" t="s">
        <v>5590</v>
      </c>
      <c r="K1781" s="89" t="s">
        <v>6494</v>
      </c>
      <c r="L1781" s="89" t="s">
        <v>1559</v>
      </c>
      <c r="M1781" s="89" t="s">
        <v>1586</v>
      </c>
      <c r="N1781" s="83" t="s">
        <v>1459</v>
      </c>
      <c r="O1781" s="92" t="s">
        <v>6520</v>
      </c>
      <c r="P1781" s="110"/>
      <c r="Q1781" s="85" t="s">
        <v>821</v>
      </c>
      <c r="R1781" s="92" t="s">
        <v>6521</v>
      </c>
      <c r="S1781" s="103" t="s">
        <v>6522</v>
      </c>
      <c r="T1781" s="88" t="s">
        <v>3759</v>
      </c>
      <c r="U1781" s="50" t="s">
        <v>7713</v>
      </c>
      <c r="V1781" s="118" t="str">
        <f>+Agencia[[#This Row],[idcoleccion]]&amp;"-"&amp;Agencia[[#This Row],[id]]</f>
        <v>990-1770</v>
      </c>
      <c r="W1781" s="121">
        <v>99200008</v>
      </c>
      <c r="X1781" s="118" t="str">
        <f>+VLOOKUP(Agencia[[#This Row],[tema]],Estructura!$A$4:$C$500,3,0)</f>
        <v>T-1082</v>
      </c>
      <c r="Y1781" s="118" t="str">
        <f>+VLOOKUP(Agencia[[#This Row],[contenido]],Estructura!$E$4:$G$500,3,0)</f>
        <v>C-1011</v>
      </c>
      <c r="Z1781" s="118" t="str">
        <f>+VLOOKUP(Agencia[[#This Row],[Filtro Integrado]],Estructura!$I$4:$K$500,3,0)</f>
        <v>FI-1009</v>
      </c>
      <c r="AA1781" s="118" t="str">
        <f>+VLOOKUP(Agencia[[#This Row],[Muestra]],Estructura!$M$4:$O$500,3,0)</f>
        <v>M-1152</v>
      </c>
    </row>
    <row r="1782" spans="1:27" ht="48" x14ac:dyDescent="0.3">
      <c r="A1782" s="21" t="s">
        <v>8049</v>
      </c>
      <c r="B1782" s="89">
        <v>990</v>
      </c>
      <c r="C1782" s="90" t="s">
        <v>401</v>
      </c>
      <c r="D1782" s="90" t="s">
        <v>870</v>
      </c>
      <c r="E1782" s="114">
        <v>9</v>
      </c>
      <c r="F1782" s="90" t="s">
        <v>6493</v>
      </c>
      <c r="G1782" s="91" t="s">
        <v>870</v>
      </c>
      <c r="H1782" s="98" t="s">
        <v>16</v>
      </c>
      <c r="I1782" s="99" t="s">
        <v>376</v>
      </c>
      <c r="J1782" s="83" t="s">
        <v>5590</v>
      </c>
      <c r="K1782" s="89" t="s">
        <v>6494</v>
      </c>
      <c r="L1782" s="89" t="s">
        <v>1559</v>
      </c>
      <c r="M1782" s="89" t="s">
        <v>1586</v>
      </c>
      <c r="N1782" s="83" t="s">
        <v>1459</v>
      </c>
      <c r="O1782" s="92" t="s">
        <v>6523</v>
      </c>
      <c r="P1782" s="110"/>
      <c r="Q1782" s="85" t="s">
        <v>821</v>
      </c>
      <c r="R1782" s="92" t="s">
        <v>6524</v>
      </c>
      <c r="S1782" s="103" t="s">
        <v>6525</v>
      </c>
      <c r="T1782" s="88" t="s">
        <v>3750</v>
      </c>
      <c r="U1782" s="50" t="s">
        <v>7714</v>
      </c>
      <c r="V1782" s="118" t="str">
        <f>+Agencia[[#This Row],[idcoleccion]]&amp;"-"&amp;Agencia[[#This Row],[id]]</f>
        <v>990-1771</v>
      </c>
      <c r="W1782" s="121">
        <v>99200009</v>
      </c>
      <c r="X1782" s="118" t="str">
        <f>+VLOOKUP(Agencia[[#This Row],[tema]],Estructura!$A$4:$C$500,3,0)</f>
        <v>T-1082</v>
      </c>
      <c r="Y1782" s="118" t="str">
        <f>+VLOOKUP(Agencia[[#This Row],[contenido]],Estructura!$E$4:$G$500,3,0)</f>
        <v>C-1011</v>
      </c>
      <c r="Z1782" s="118" t="str">
        <f>+VLOOKUP(Agencia[[#This Row],[Filtro Integrado]],Estructura!$I$4:$K$500,3,0)</f>
        <v>FI-1009</v>
      </c>
      <c r="AA1782" s="118" t="str">
        <f>+VLOOKUP(Agencia[[#This Row],[Muestra]],Estructura!$M$4:$O$500,3,0)</f>
        <v>M-1152</v>
      </c>
    </row>
    <row r="1783" spans="1:27" ht="48" x14ac:dyDescent="0.3">
      <c r="A1783" s="21" t="s">
        <v>8050</v>
      </c>
      <c r="B1783" s="89">
        <v>990</v>
      </c>
      <c r="C1783" s="90" t="s">
        <v>401</v>
      </c>
      <c r="D1783" s="90" t="s">
        <v>870</v>
      </c>
      <c r="E1783" s="114">
        <v>10</v>
      </c>
      <c r="F1783" s="90" t="s">
        <v>6493</v>
      </c>
      <c r="G1783" s="91" t="s">
        <v>870</v>
      </c>
      <c r="H1783" s="98" t="s">
        <v>16</v>
      </c>
      <c r="I1783" s="99" t="s">
        <v>377</v>
      </c>
      <c r="J1783" s="83" t="s">
        <v>5590</v>
      </c>
      <c r="K1783" s="89" t="s">
        <v>6494</v>
      </c>
      <c r="L1783" s="89" t="s">
        <v>1559</v>
      </c>
      <c r="M1783" s="89" t="s">
        <v>1586</v>
      </c>
      <c r="N1783" s="83" t="s">
        <v>1459</v>
      </c>
      <c r="O1783" s="92" t="s">
        <v>6526</v>
      </c>
      <c r="P1783" s="110"/>
      <c r="Q1783" s="85" t="s">
        <v>821</v>
      </c>
      <c r="R1783" s="92" t="s">
        <v>6527</v>
      </c>
      <c r="S1783" s="103" t="s">
        <v>6528</v>
      </c>
      <c r="T1783" s="88" t="s">
        <v>3751</v>
      </c>
      <c r="U1783" s="50" t="s">
        <v>7715</v>
      </c>
      <c r="V1783" s="118" t="str">
        <f>+Agencia[[#This Row],[idcoleccion]]&amp;"-"&amp;Agencia[[#This Row],[id]]</f>
        <v>990-1772</v>
      </c>
      <c r="W1783" s="121">
        <v>99200010</v>
      </c>
      <c r="X1783" s="118" t="str">
        <f>+VLOOKUP(Agencia[[#This Row],[tema]],Estructura!$A$4:$C$500,3,0)</f>
        <v>T-1082</v>
      </c>
      <c r="Y1783" s="118" t="str">
        <f>+VLOOKUP(Agencia[[#This Row],[contenido]],Estructura!$E$4:$G$500,3,0)</f>
        <v>C-1011</v>
      </c>
      <c r="Z1783" s="118" t="str">
        <f>+VLOOKUP(Agencia[[#This Row],[Filtro Integrado]],Estructura!$I$4:$K$500,3,0)</f>
        <v>FI-1009</v>
      </c>
      <c r="AA1783" s="118" t="str">
        <f>+VLOOKUP(Agencia[[#This Row],[Muestra]],Estructura!$M$4:$O$500,3,0)</f>
        <v>M-1152</v>
      </c>
    </row>
    <row r="1784" spans="1:27" ht="48" x14ac:dyDescent="0.3">
      <c r="A1784" s="21" t="s">
        <v>8051</v>
      </c>
      <c r="B1784" s="89">
        <v>990</v>
      </c>
      <c r="C1784" s="90" t="s">
        <v>401</v>
      </c>
      <c r="D1784" s="90" t="s">
        <v>870</v>
      </c>
      <c r="E1784" s="114">
        <v>11</v>
      </c>
      <c r="F1784" s="90" t="s">
        <v>6493</v>
      </c>
      <c r="G1784" s="91" t="s">
        <v>870</v>
      </c>
      <c r="H1784" s="98" t="s">
        <v>16</v>
      </c>
      <c r="I1784" s="99" t="s">
        <v>378</v>
      </c>
      <c r="J1784" s="83" t="s">
        <v>5590</v>
      </c>
      <c r="K1784" s="89" t="s">
        <v>6494</v>
      </c>
      <c r="L1784" s="89" t="s">
        <v>1559</v>
      </c>
      <c r="M1784" s="89" t="s">
        <v>1586</v>
      </c>
      <c r="N1784" s="83" t="s">
        <v>1459</v>
      </c>
      <c r="O1784" s="92" t="s">
        <v>6529</v>
      </c>
      <c r="P1784" s="110"/>
      <c r="Q1784" s="85" t="s">
        <v>821</v>
      </c>
      <c r="R1784" s="92" t="s">
        <v>6530</v>
      </c>
      <c r="S1784" s="103" t="s">
        <v>6531</v>
      </c>
      <c r="T1784" s="88" t="s">
        <v>3748</v>
      </c>
      <c r="U1784" s="50" t="s">
        <v>7716</v>
      </c>
      <c r="V1784" s="118" t="str">
        <f>+Agencia[[#This Row],[idcoleccion]]&amp;"-"&amp;Agencia[[#This Row],[id]]</f>
        <v>990-1773</v>
      </c>
      <c r="W1784" s="121">
        <v>99200011</v>
      </c>
      <c r="X1784" s="118" t="str">
        <f>+VLOOKUP(Agencia[[#This Row],[tema]],Estructura!$A$4:$C$500,3,0)</f>
        <v>T-1082</v>
      </c>
      <c r="Y1784" s="118" t="str">
        <f>+VLOOKUP(Agencia[[#This Row],[contenido]],Estructura!$E$4:$G$500,3,0)</f>
        <v>C-1011</v>
      </c>
      <c r="Z1784" s="118" t="str">
        <f>+VLOOKUP(Agencia[[#This Row],[Filtro Integrado]],Estructura!$I$4:$K$500,3,0)</f>
        <v>FI-1009</v>
      </c>
      <c r="AA1784" s="118" t="str">
        <f>+VLOOKUP(Agencia[[#This Row],[Muestra]],Estructura!$M$4:$O$500,3,0)</f>
        <v>M-1152</v>
      </c>
    </row>
    <row r="1785" spans="1:27" ht="48" x14ac:dyDescent="0.3">
      <c r="A1785" s="21" t="s">
        <v>8052</v>
      </c>
      <c r="B1785" s="89">
        <v>990</v>
      </c>
      <c r="C1785" s="90" t="s">
        <v>401</v>
      </c>
      <c r="D1785" s="90" t="s">
        <v>870</v>
      </c>
      <c r="E1785" s="114">
        <v>12</v>
      </c>
      <c r="F1785" s="90" t="s">
        <v>6493</v>
      </c>
      <c r="G1785" s="91" t="s">
        <v>870</v>
      </c>
      <c r="H1785" s="98" t="s">
        <v>16</v>
      </c>
      <c r="I1785" s="99" t="s">
        <v>379</v>
      </c>
      <c r="J1785" s="83" t="s">
        <v>5590</v>
      </c>
      <c r="K1785" s="89" t="s">
        <v>6494</v>
      </c>
      <c r="L1785" s="89" t="s">
        <v>1559</v>
      </c>
      <c r="M1785" s="89" t="s">
        <v>1586</v>
      </c>
      <c r="N1785" s="83" t="s">
        <v>1459</v>
      </c>
      <c r="O1785" s="92" t="s">
        <v>6532</v>
      </c>
      <c r="P1785" s="110"/>
      <c r="Q1785" s="85" t="s">
        <v>821</v>
      </c>
      <c r="R1785" s="92" t="s">
        <v>6533</v>
      </c>
      <c r="S1785" s="103" t="s">
        <v>6534</v>
      </c>
      <c r="T1785" s="88" t="s">
        <v>3753</v>
      </c>
      <c r="U1785" s="50" t="s">
        <v>7717</v>
      </c>
      <c r="V1785" s="118" t="str">
        <f>+Agencia[[#This Row],[idcoleccion]]&amp;"-"&amp;Agencia[[#This Row],[id]]</f>
        <v>990-1774</v>
      </c>
      <c r="W1785" s="121">
        <v>99200012</v>
      </c>
      <c r="X1785" s="118" t="str">
        <f>+VLOOKUP(Agencia[[#This Row],[tema]],Estructura!$A$4:$C$500,3,0)</f>
        <v>T-1082</v>
      </c>
      <c r="Y1785" s="118" t="str">
        <f>+VLOOKUP(Agencia[[#This Row],[contenido]],Estructura!$E$4:$G$500,3,0)</f>
        <v>C-1011</v>
      </c>
      <c r="Z1785" s="118" t="str">
        <f>+VLOOKUP(Agencia[[#This Row],[Filtro Integrado]],Estructura!$I$4:$K$500,3,0)</f>
        <v>FI-1009</v>
      </c>
      <c r="AA1785" s="118" t="str">
        <f>+VLOOKUP(Agencia[[#This Row],[Muestra]],Estructura!$M$4:$O$500,3,0)</f>
        <v>M-1152</v>
      </c>
    </row>
    <row r="1786" spans="1:27" ht="48" x14ac:dyDescent="0.3">
      <c r="A1786" s="21" t="s">
        <v>8053</v>
      </c>
      <c r="B1786" s="89">
        <v>990</v>
      </c>
      <c r="C1786" s="90" t="s">
        <v>401</v>
      </c>
      <c r="D1786" s="90" t="s">
        <v>870</v>
      </c>
      <c r="E1786" s="114">
        <v>13</v>
      </c>
      <c r="F1786" s="90" t="s">
        <v>6493</v>
      </c>
      <c r="G1786" s="91" t="s">
        <v>870</v>
      </c>
      <c r="H1786" s="98" t="s">
        <v>16</v>
      </c>
      <c r="I1786" s="99" t="s">
        <v>380</v>
      </c>
      <c r="J1786" s="83" t="s">
        <v>5590</v>
      </c>
      <c r="K1786" s="89" t="s">
        <v>6494</v>
      </c>
      <c r="L1786" s="89" t="s">
        <v>1559</v>
      </c>
      <c r="M1786" s="89" t="s">
        <v>1586</v>
      </c>
      <c r="N1786" s="83" t="s">
        <v>1459</v>
      </c>
      <c r="O1786" s="92" t="s">
        <v>6535</v>
      </c>
      <c r="P1786" s="110"/>
      <c r="Q1786" s="85" t="s">
        <v>821</v>
      </c>
      <c r="R1786" s="92" t="s">
        <v>6536</v>
      </c>
      <c r="S1786" s="103" t="s">
        <v>6537</v>
      </c>
      <c r="T1786" s="88" t="s">
        <v>3760</v>
      </c>
      <c r="U1786" s="50" t="s">
        <v>7718</v>
      </c>
      <c r="V1786" s="118" t="str">
        <f>+Agencia[[#This Row],[idcoleccion]]&amp;"-"&amp;Agencia[[#This Row],[id]]</f>
        <v>990-1775</v>
      </c>
      <c r="W1786" s="121">
        <v>99200013</v>
      </c>
      <c r="X1786" s="118" t="str">
        <f>+VLOOKUP(Agencia[[#This Row],[tema]],Estructura!$A$4:$C$500,3,0)</f>
        <v>T-1082</v>
      </c>
      <c r="Y1786" s="118" t="str">
        <f>+VLOOKUP(Agencia[[#This Row],[contenido]],Estructura!$E$4:$G$500,3,0)</f>
        <v>C-1011</v>
      </c>
      <c r="Z1786" s="118" t="str">
        <f>+VLOOKUP(Agencia[[#This Row],[Filtro Integrado]],Estructura!$I$4:$K$500,3,0)</f>
        <v>FI-1009</v>
      </c>
      <c r="AA1786" s="118" t="str">
        <f>+VLOOKUP(Agencia[[#This Row],[Muestra]],Estructura!$M$4:$O$500,3,0)</f>
        <v>M-1152</v>
      </c>
    </row>
    <row r="1787" spans="1:27" ht="48" x14ac:dyDescent="0.3">
      <c r="A1787" s="21" t="s">
        <v>8054</v>
      </c>
      <c r="B1787" s="89">
        <v>990</v>
      </c>
      <c r="C1787" s="90" t="s">
        <v>401</v>
      </c>
      <c r="D1787" s="90" t="s">
        <v>870</v>
      </c>
      <c r="E1787" s="114">
        <v>14</v>
      </c>
      <c r="F1787" s="90" t="s">
        <v>6493</v>
      </c>
      <c r="G1787" s="91" t="s">
        <v>870</v>
      </c>
      <c r="H1787" s="98" t="s">
        <v>16</v>
      </c>
      <c r="I1787" s="99" t="s">
        <v>381</v>
      </c>
      <c r="J1787" s="83" t="s">
        <v>5590</v>
      </c>
      <c r="K1787" s="89" t="s">
        <v>6494</v>
      </c>
      <c r="L1787" s="89" t="s">
        <v>1559</v>
      </c>
      <c r="M1787" s="89" t="s">
        <v>1586</v>
      </c>
      <c r="N1787" s="83" t="s">
        <v>1459</v>
      </c>
      <c r="O1787" s="92" t="s">
        <v>6538</v>
      </c>
      <c r="P1787" s="110"/>
      <c r="Q1787" s="85" t="s">
        <v>821</v>
      </c>
      <c r="R1787" s="92" t="s">
        <v>6539</v>
      </c>
      <c r="S1787" s="103" t="s">
        <v>6540</v>
      </c>
      <c r="T1787" s="88" t="s">
        <v>3752</v>
      </c>
      <c r="U1787" s="50" t="s">
        <v>7719</v>
      </c>
      <c r="V1787" s="118" t="str">
        <f>+Agencia[[#This Row],[idcoleccion]]&amp;"-"&amp;Agencia[[#This Row],[id]]</f>
        <v>990-1776</v>
      </c>
      <c r="W1787" s="121">
        <v>99200014</v>
      </c>
      <c r="X1787" s="118" t="str">
        <f>+VLOOKUP(Agencia[[#This Row],[tema]],Estructura!$A$4:$C$500,3,0)</f>
        <v>T-1082</v>
      </c>
      <c r="Y1787" s="118" t="str">
        <f>+VLOOKUP(Agencia[[#This Row],[contenido]],Estructura!$E$4:$G$500,3,0)</f>
        <v>C-1011</v>
      </c>
      <c r="Z1787" s="118" t="str">
        <f>+VLOOKUP(Agencia[[#This Row],[Filtro Integrado]],Estructura!$I$4:$K$500,3,0)</f>
        <v>FI-1009</v>
      </c>
      <c r="AA1787" s="118" t="str">
        <f>+VLOOKUP(Agencia[[#This Row],[Muestra]],Estructura!$M$4:$O$500,3,0)</f>
        <v>M-1152</v>
      </c>
    </row>
    <row r="1788" spans="1:27" ht="48" x14ac:dyDescent="0.3">
      <c r="A1788" s="21" t="s">
        <v>8055</v>
      </c>
      <c r="B1788" s="89">
        <v>990</v>
      </c>
      <c r="C1788" s="90" t="s">
        <v>401</v>
      </c>
      <c r="D1788" s="90" t="s">
        <v>870</v>
      </c>
      <c r="E1788" s="114">
        <v>15</v>
      </c>
      <c r="F1788" s="90" t="s">
        <v>6493</v>
      </c>
      <c r="G1788" s="91" t="s">
        <v>870</v>
      </c>
      <c r="H1788" s="98" t="s">
        <v>16</v>
      </c>
      <c r="I1788" s="99" t="s">
        <v>382</v>
      </c>
      <c r="J1788" s="83" t="s">
        <v>5590</v>
      </c>
      <c r="K1788" s="89" t="s">
        <v>6494</v>
      </c>
      <c r="L1788" s="89" t="s">
        <v>1559</v>
      </c>
      <c r="M1788" s="89" t="s">
        <v>1586</v>
      </c>
      <c r="N1788" s="83" t="s">
        <v>1459</v>
      </c>
      <c r="O1788" s="92" t="s">
        <v>6541</v>
      </c>
      <c r="P1788" s="110"/>
      <c r="Q1788" s="85" t="s">
        <v>821</v>
      </c>
      <c r="R1788" s="92" t="s">
        <v>6542</v>
      </c>
      <c r="S1788" s="103" t="s">
        <v>6543</v>
      </c>
      <c r="T1788" s="88" t="s">
        <v>3746</v>
      </c>
      <c r="U1788" s="50" t="s">
        <v>7720</v>
      </c>
      <c r="V1788" s="118" t="str">
        <f>+Agencia[[#This Row],[idcoleccion]]&amp;"-"&amp;Agencia[[#This Row],[id]]</f>
        <v>990-1777</v>
      </c>
      <c r="W1788" s="121">
        <v>99200015</v>
      </c>
      <c r="X1788" s="118" t="str">
        <f>+VLOOKUP(Agencia[[#This Row],[tema]],Estructura!$A$4:$C$500,3,0)</f>
        <v>T-1082</v>
      </c>
      <c r="Y1788" s="118" t="str">
        <f>+VLOOKUP(Agencia[[#This Row],[contenido]],Estructura!$E$4:$G$500,3,0)</f>
        <v>C-1011</v>
      </c>
      <c r="Z1788" s="118" t="str">
        <f>+VLOOKUP(Agencia[[#This Row],[Filtro Integrado]],Estructura!$I$4:$K$500,3,0)</f>
        <v>FI-1009</v>
      </c>
      <c r="AA1788" s="118" t="str">
        <f>+VLOOKUP(Agencia[[#This Row],[Muestra]],Estructura!$M$4:$O$500,3,0)</f>
        <v>M-1152</v>
      </c>
    </row>
    <row r="1789" spans="1:27" ht="48" x14ac:dyDescent="0.3">
      <c r="A1789" s="21" t="s">
        <v>8056</v>
      </c>
      <c r="B1789" s="89">
        <v>990</v>
      </c>
      <c r="C1789" s="90" t="s">
        <v>401</v>
      </c>
      <c r="D1789" s="90" t="s">
        <v>870</v>
      </c>
      <c r="E1789" s="114">
        <v>16</v>
      </c>
      <c r="F1789" s="90" t="s">
        <v>6493</v>
      </c>
      <c r="G1789" s="91" t="s">
        <v>870</v>
      </c>
      <c r="H1789" s="98" t="s">
        <v>16</v>
      </c>
      <c r="I1789" s="99" t="s">
        <v>383</v>
      </c>
      <c r="J1789" s="83" t="s">
        <v>5590</v>
      </c>
      <c r="K1789" s="89" t="s">
        <v>6494</v>
      </c>
      <c r="L1789" s="89" t="s">
        <v>1559</v>
      </c>
      <c r="M1789" s="89" t="s">
        <v>1586</v>
      </c>
      <c r="N1789" s="83" t="s">
        <v>1459</v>
      </c>
      <c r="O1789" s="92" t="s">
        <v>6544</v>
      </c>
      <c r="P1789" s="110"/>
      <c r="Q1789" s="85" t="s">
        <v>821</v>
      </c>
      <c r="R1789" s="92" t="s">
        <v>6545</v>
      </c>
      <c r="S1789" s="103" t="s">
        <v>6546</v>
      </c>
      <c r="T1789" s="88" t="s">
        <v>3755</v>
      </c>
      <c r="U1789" s="50" t="s">
        <v>7721</v>
      </c>
      <c r="V1789" s="118" t="str">
        <f>+Agencia[[#This Row],[idcoleccion]]&amp;"-"&amp;Agencia[[#This Row],[id]]</f>
        <v>990-1778</v>
      </c>
      <c r="W1789" s="121">
        <v>99200016</v>
      </c>
      <c r="X1789" s="118" t="str">
        <f>+VLOOKUP(Agencia[[#This Row],[tema]],Estructura!$A$4:$C$500,3,0)</f>
        <v>T-1082</v>
      </c>
      <c r="Y1789" s="118" t="str">
        <f>+VLOOKUP(Agencia[[#This Row],[contenido]],Estructura!$E$4:$G$500,3,0)</f>
        <v>C-1011</v>
      </c>
      <c r="Z1789" s="118" t="str">
        <f>+VLOOKUP(Agencia[[#This Row],[Filtro Integrado]],Estructura!$I$4:$K$500,3,0)</f>
        <v>FI-1009</v>
      </c>
      <c r="AA1789" s="118" t="str">
        <f>+VLOOKUP(Agencia[[#This Row],[Muestra]],Estructura!$M$4:$O$500,3,0)</f>
        <v>M-1152</v>
      </c>
    </row>
    <row r="1790" spans="1:27" ht="61.2" x14ac:dyDescent="0.3">
      <c r="A1790" s="21" t="s">
        <v>8057</v>
      </c>
      <c r="B1790" s="89">
        <v>990</v>
      </c>
      <c r="C1790" s="90" t="s">
        <v>401</v>
      </c>
      <c r="D1790" s="90" t="s">
        <v>870</v>
      </c>
      <c r="E1790" s="115">
        <v>0</v>
      </c>
      <c r="F1790" s="90" t="s">
        <v>6547</v>
      </c>
      <c r="G1790" s="86" t="s">
        <v>870</v>
      </c>
      <c r="H1790" s="96" t="s">
        <v>20</v>
      </c>
      <c r="I1790" s="97" t="s">
        <v>15</v>
      </c>
      <c r="J1790" s="89" t="s">
        <v>5610</v>
      </c>
      <c r="K1790" s="89" t="s">
        <v>6547</v>
      </c>
      <c r="L1790" s="89" t="s">
        <v>1559</v>
      </c>
      <c r="M1790" s="89" t="s">
        <v>6548</v>
      </c>
      <c r="N1790" s="83" t="s">
        <v>1459</v>
      </c>
      <c r="O1790" s="92" t="s">
        <v>6549</v>
      </c>
      <c r="P1790" s="107" t="s">
        <v>6550</v>
      </c>
      <c r="Q1790" s="93" t="s">
        <v>821</v>
      </c>
      <c r="R1790" s="92" t="s">
        <v>6551</v>
      </c>
      <c r="S1790" s="100" t="s">
        <v>6552</v>
      </c>
      <c r="T1790" s="94" t="s">
        <v>855</v>
      </c>
      <c r="U1790" s="50" t="s">
        <v>7722</v>
      </c>
      <c r="V1790" s="118" t="str">
        <f>+Agencia[[#This Row],[idcoleccion]]&amp;"-"&amp;Agencia[[#This Row],[id]]</f>
        <v>990-1779</v>
      </c>
      <c r="W1790" s="121">
        <v>99100000</v>
      </c>
      <c r="X1790" s="118" t="str">
        <f>+VLOOKUP(Agencia[[#This Row],[tema]],Estructura!$A$4:$C$500,3,0)</f>
        <v>T-1083</v>
      </c>
      <c r="Y1790" s="118" t="str">
        <f>+VLOOKUP(Agencia[[#This Row],[contenido]],Estructura!$E$4:$G$500,3,0)</f>
        <v>C-1011</v>
      </c>
      <c r="Z1790" s="118" t="str">
        <f>+VLOOKUP(Agencia[[#This Row],[Filtro Integrado]],Estructura!$I$4:$K$500,3,0)</f>
        <v>FI-1010</v>
      </c>
      <c r="AA1790" s="118" t="str">
        <f>+VLOOKUP(Agencia[[#This Row],[Muestra]],Estructura!$M$4:$O$500,3,0)</f>
        <v>M-1153</v>
      </c>
    </row>
    <row r="1791" spans="1:27" ht="40.799999999999997" x14ac:dyDescent="0.3">
      <c r="A1791" s="21" t="s">
        <v>8058</v>
      </c>
      <c r="B1791" s="89">
        <v>990</v>
      </c>
      <c r="C1791" s="90" t="s">
        <v>401</v>
      </c>
      <c r="D1791" s="90" t="s">
        <v>870</v>
      </c>
      <c r="E1791" s="114">
        <v>1</v>
      </c>
      <c r="F1791" s="90" t="s">
        <v>6547</v>
      </c>
      <c r="G1791" s="86" t="s">
        <v>870</v>
      </c>
      <c r="H1791" s="98" t="s">
        <v>16</v>
      </c>
      <c r="I1791" s="99" t="s">
        <v>368</v>
      </c>
      <c r="J1791" s="83" t="s">
        <v>5590</v>
      </c>
      <c r="K1791" s="89" t="s">
        <v>6547</v>
      </c>
      <c r="L1791" s="89" t="s">
        <v>1559</v>
      </c>
      <c r="M1791" s="89" t="s">
        <v>6548</v>
      </c>
      <c r="N1791" s="83" t="s">
        <v>1459</v>
      </c>
      <c r="O1791" s="92" t="s">
        <v>6553</v>
      </c>
      <c r="P1791" s="110"/>
      <c r="Q1791" s="85" t="s">
        <v>821</v>
      </c>
      <c r="R1791" s="92" t="s">
        <v>6554</v>
      </c>
      <c r="S1791" s="103" t="s">
        <v>6555</v>
      </c>
      <c r="T1791" s="88" t="s">
        <v>3757</v>
      </c>
      <c r="U1791" s="50" t="s">
        <v>7723</v>
      </c>
      <c r="V1791" s="118" t="str">
        <f>+Agencia[[#This Row],[idcoleccion]]&amp;"-"&amp;Agencia[[#This Row],[id]]</f>
        <v>990-1780</v>
      </c>
      <c r="W1791" s="121">
        <v>99200001</v>
      </c>
      <c r="X1791" s="118" t="str">
        <f>+VLOOKUP(Agencia[[#This Row],[tema]],Estructura!$A$4:$C$500,3,0)</f>
        <v>T-1083</v>
      </c>
      <c r="Y1791" s="118" t="str">
        <f>+VLOOKUP(Agencia[[#This Row],[contenido]],Estructura!$E$4:$G$500,3,0)</f>
        <v>C-1011</v>
      </c>
      <c r="Z1791" s="118" t="str">
        <f>+VLOOKUP(Agencia[[#This Row],[Filtro Integrado]],Estructura!$I$4:$K$500,3,0)</f>
        <v>FI-1009</v>
      </c>
      <c r="AA1791" s="118" t="str">
        <f>+VLOOKUP(Agencia[[#This Row],[Muestra]],Estructura!$M$4:$O$500,3,0)</f>
        <v>M-1153</v>
      </c>
    </row>
    <row r="1792" spans="1:27" ht="40.799999999999997" x14ac:dyDescent="0.3">
      <c r="A1792" s="21" t="s">
        <v>8059</v>
      </c>
      <c r="B1792" s="89">
        <v>990</v>
      </c>
      <c r="C1792" s="90" t="s">
        <v>401</v>
      </c>
      <c r="D1792" s="90" t="s">
        <v>870</v>
      </c>
      <c r="E1792" s="114">
        <v>2</v>
      </c>
      <c r="F1792" s="90" t="s">
        <v>6547</v>
      </c>
      <c r="G1792" s="86" t="s">
        <v>870</v>
      </c>
      <c r="H1792" s="98" t="s">
        <v>16</v>
      </c>
      <c r="I1792" s="99" t="s">
        <v>369</v>
      </c>
      <c r="J1792" s="83" t="s">
        <v>5590</v>
      </c>
      <c r="K1792" s="89" t="s">
        <v>6547</v>
      </c>
      <c r="L1792" s="89" t="s">
        <v>1559</v>
      </c>
      <c r="M1792" s="89" t="s">
        <v>6548</v>
      </c>
      <c r="N1792" s="83" t="s">
        <v>1459</v>
      </c>
      <c r="O1792" s="92" t="s">
        <v>6556</v>
      </c>
      <c r="P1792" s="110"/>
      <c r="Q1792" s="85" t="s">
        <v>821</v>
      </c>
      <c r="R1792" s="92" t="s">
        <v>6557</v>
      </c>
      <c r="S1792" s="103" t="s">
        <v>6558</v>
      </c>
      <c r="T1792" s="88" t="s">
        <v>3745</v>
      </c>
      <c r="U1792" s="50" t="s">
        <v>7724</v>
      </c>
      <c r="V1792" s="118" t="str">
        <f>+Agencia[[#This Row],[idcoleccion]]&amp;"-"&amp;Agencia[[#This Row],[id]]</f>
        <v>990-1781</v>
      </c>
      <c r="W1792" s="121">
        <v>99200002</v>
      </c>
      <c r="X1792" s="118" t="str">
        <f>+VLOOKUP(Agencia[[#This Row],[tema]],Estructura!$A$4:$C$500,3,0)</f>
        <v>T-1083</v>
      </c>
      <c r="Y1792" s="118" t="str">
        <f>+VLOOKUP(Agencia[[#This Row],[contenido]],Estructura!$E$4:$G$500,3,0)</f>
        <v>C-1011</v>
      </c>
      <c r="Z1792" s="118" t="str">
        <f>+VLOOKUP(Agencia[[#This Row],[Filtro Integrado]],Estructura!$I$4:$K$500,3,0)</f>
        <v>FI-1009</v>
      </c>
      <c r="AA1792" s="118" t="str">
        <f>+VLOOKUP(Agencia[[#This Row],[Muestra]],Estructura!$M$4:$O$500,3,0)</f>
        <v>M-1153</v>
      </c>
    </row>
    <row r="1793" spans="1:27" ht="72" x14ac:dyDescent="0.3">
      <c r="A1793" s="21" t="s">
        <v>8060</v>
      </c>
      <c r="B1793" s="89">
        <v>990</v>
      </c>
      <c r="C1793" s="90" t="s">
        <v>401</v>
      </c>
      <c r="D1793" s="90" t="s">
        <v>870</v>
      </c>
      <c r="E1793" s="114">
        <v>3</v>
      </c>
      <c r="F1793" s="90" t="s">
        <v>6547</v>
      </c>
      <c r="G1793" s="86" t="s">
        <v>870</v>
      </c>
      <c r="H1793" s="98" t="s">
        <v>16</v>
      </c>
      <c r="I1793" s="99" t="s">
        <v>370</v>
      </c>
      <c r="J1793" s="83" t="s">
        <v>5590</v>
      </c>
      <c r="K1793" s="89" t="s">
        <v>6547</v>
      </c>
      <c r="L1793" s="89" t="s">
        <v>1559</v>
      </c>
      <c r="M1793" s="89" t="s">
        <v>6548</v>
      </c>
      <c r="N1793" s="83" t="s">
        <v>1459</v>
      </c>
      <c r="O1793" s="92" t="s">
        <v>6559</v>
      </c>
      <c r="P1793" s="110"/>
      <c r="Q1793" s="85" t="s">
        <v>821</v>
      </c>
      <c r="R1793" s="92" t="s">
        <v>6560</v>
      </c>
      <c r="S1793" s="102" t="s">
        <v>6561</v>
      </c>
      <c r="T1793" s="88" t="s">
        <v>3747</v>
      </c>
      <c r="U1793" s="50" t="s">
        <v>7725</v>
      </c>
      <c r="V1793" s="118" t="str">
        <f>+Agencia[[#This Row],[idcoleccion]]&amp;"-"&amp;Agencia[[#This Row],[id]]</f>
        <v>990-1782</v>
      </c>
      <c r="W1793" s="121">
        <v>99200003</v>
      </c>
      <c r="X1793" s="118" t="str">
        <f>+VLOOKUP(Agencia[[#This Row],[tema]],Estructura!$A$4:$C$500,3,0)</f>
        <v>T-1083</v>
      </c>
      <c r="Y1793" s="118" t="str">
        <f>+VLOOKUP(Agencia[[#This Row],[contenido]],Estructura!$E$4:$G$500,3,0)</f>
        <v>C-1011</v>
      </c>
      <c r="Z1793" s="118" t="str">
        <f>+VLOOKUP(Agencia[[#This Row],[Filtro Integrado]],Estructura!$I$4:$K$500,3,0)</f>
        <v>FI-1009</v>
      </c>
      <c r="AA1793" s="118" t="str">
        <f>+VLOOKUP(Agencia[[#This Row],[Muestra]],Estructura!$M$4:$O$500,3,0)</f>
        <v>M-1153</v>
      </c>
    </row>
    <row r="1794" spans="1:27" ht="40.799999999999997" x14ac:dyDescent="0.3">
      <c r="A1794" s="21" t="s">
        <v>8061</v>
      </c>
      <c r="B1794" s="89">
        <v>990</v>
      </c>
      <c r="C1794" s="90" t="s">
        <v>401</v>
      </c>
      <c r="D1794" s="90" t="s">
        <v>870</v>
      </c>
      <c r="E1794" s="114">
        <v>4</v>
      </c>
      <c r="F1794" s="90" t="s">
        <v>6547</v>
      </c>
      <c r="G1794" s="86" t="s">
        <v>870</v>
      </c>
      <c r="H1794" s="98" t="s">
        <v>16</v>
      </c>
      <c r="I1794" s="99" t="s">
        <v>371</v>
      </c>
      <c r="J1794" s="83" t="s">
        <v>5590</v>
      </c>
      <c r="K1794" s="89" t="s">
        <v>6547</v>
      </c>
      <c r="L1794" s="89" t="s">
        <v>1559</v>
      </c>
      <c r="M1794" s="89" t="s">
        <v>6548</v>
      </c>
      <c r="N1794" s="83" t="s">
        <v>1459</v>
      </c>
      <c r="O1794" s="92" t="s">
        <v>6562</v>
      </c>
      <c r="P1794" s="110"/>
      <c r="Q1794" s="85" t="s">
        <v>821</v>
      </c>
      <c r="R1794" s="92" t="s">
        <v>6563</v>
      </c>
      <c r="S1794" s="103" t="s">
        <v>6564</v>
      </c>
      <c r="T1794" s="88" t="s">
        <v>3749</v>
      </c>
      <c r="U1794" s="50" t="s">
        <v>7726</v>
      </c>
      <c r="V1794" s="118" t="str">
        <f>+Agencia[[#This Row],[idcoleccion]]&amp;"-"&amp;Agencia[[#This Row],[id]]</f>
        <v>990-1783</v>
      </c>
      <c r="W1794" s="121">
        <v>99200004</v>
      </c>
      <c r="X1794" s="118" t="str">
        <f>+VLOOKUP(Agencia[[#This Row],[tema]],Estructura!$A$4:$C$500,3,0)</f>
        <v>T-1083</v>
      </c>
      <c r="Y1794" s="118" t="str">
        <f>+VLOOKUP(Agencia[[#This Row],[contenido]],Estructura!$E$4:$G$500,3,0)</f>
        <v>C-1011</v>
      </c>
      <c r="Z1794" s="118" t="str">
        <f>+VLOOKUP(Agencia[[#This Row],[Filtro Integrado]],Estructura!$I$4:$K$500,3,0)</f>
        <v>FI-1009</v>
      </c>
      <c r="AA1794" s="118" t="str">
        <f>+VLOOKUP(Agencia[[#This Row],[Muestra]],Estructura!$M$4:$O$500,3,0)</f>
        <v>M-1153</v>
      </c>
    </row>
    <row r="1795" spans="1:27" ht="40.799999999999997" x14ac:dyDescent="0.3">
      <c r="A1795" s="21" t="s">
        <v>8062</v>
      </c>
      <c r="B1795" s="89">
        <v>990</v>
      </c>
      <c r="C1795" s="90" t="s">
        <v>401</v>
      </c>
      <c r="D1795" s="90" t="s">
        <v>870</v>
      </c>
      <c r="E1795" s="114">
        <v>5</v>
      </c>
      <c r="F1795" s="90" t="s">
        <v>6547</v>
      </c>
      <c r="G1795" s="86" t="s">
        <v>870</v>
      </c>
      <c r="H1795" s="98" t="s">
        <v>16</v>
      </c>
      <c r="I1795" s="99" t="s">
        <v>372</v>
      </c>
      <c r="J1795" s="83" t="s">
        <v>5590</v>
      </c>
      <c r="K1795" s="89" t="s">
        <v>6547</v>
      </c>
      <c r="L1795" s="89" t="s">
        <v>1559</v>
      </c>
      <c r="M1795" s="89" t="s">
        <v>6548</v>
      </c>
      <c r="N1795" s="83" t="s">
        <v>1459</v>
      </c>
      <c r="O1795" s="92" t="s">
        <v>6565</v>
      </c>
      <c r="P1795" s="110"/>
      <c r="Q1795" s="85" t="s">
        <v>821</v>
      </c>
      <c r="R1795" s="92" t="s">
        <v>6566</v>
      </c>
      <c r="S1795" s="103" t="s">
        <v>6567</v>
      </c>
      <c r="T1795" s="88" t="s">
        <v>3758</v>
      </c>
      <c r="U1795" s="50" t="s">
        <v>7727</v>
      </c>
      <c r="V1795" s="118" t="str">
        <f>+Agencia[[#This Row],[idcoleccion]]&amp;"-"&amp;Agencia[[#This Row],[id]]</f>
        <v>990-1784</v>
      </c>
      <c r="W1795" s="121">
        <v>99200005</v>
      </c>
      <c r="X1795" s="118" t="str">
        <f>+VLOOKUP(Agencia[[#This Row],[tema]],Estructura!$A$4:$C$500,3,0)</f>
        <v>T-1083</v>
      </c>
      <c r="Y1795" s="118" t="str">
        <f>+VLOOKUP(Agencia[[#This Row],[contenido]],Estructura!$E$4:$G$500,3,0)</f>
        <v>C-1011</v>
      </c>
      <c r="Z1795" s="118" t="str">
        <f>+VLOOKUP(Agencia[[#This Row],[Filtro Integrado]],Estructura!$I$4:$K$500,3,0)</f>
        <v>FI-1009</v>
      </c>
      <c r="AA1795" s="118" t="str">
        <f>+VLOOKUP(Agencia[[#This Row],[Muestra]],Estructura!$M$4:$O$500,3,0)</f>
        <v>M-1153</v>
      </c>
    </row>
    <row r="1796" spans="1:27" ht="40.799999999999997" x14ac:dyDescent="0.3">
      <c r="A1796" s="21" t="s">
        <v>8063</v>
      </c>
      <c r="B1796" s="89">
        <v>990</v>
      </c>
      <c r="C1796" s="90" t="s">
        <v>401</v>
      </c>
      <c r="D1796" s="90" t="s">
        <v>870</v>
      </c>
      <c r="E1796" s="114">
        <v>6</v>
      </c>
      <c r="F1796" s="90" t="s">
        <v>6547</v>
      </c>
      <c r="G1796" s="86" t="s">
        <v>870</v>
      </c>
      <c r="H1796" s="98" t="s">
        <v>16</v>
      </c>
      <c r="I1796" s="99" t="s">
        <v>373</v>
      </c>
      <c r="J1796" s="83" t="s">
        <v>5590</v>
      </c>
      <c r="K1796" s="89" t="s">
        <v>6547</v>
      </c>
      <c r="L1796" s="89" t="s">
        <v>1559</v>
      </c>
      <c r="M1796" s="89" t="s">
        <v>6548</v>
      </c>
      <c r="N1796" s="83" t="s">
        <v>1459</v>
      </c>
      <c r="O1796" s="92" t="s">
        <v>6568</v>
      </c>
      <c r="P1796" s="110"/>
      <c r="Q1796" s="85" t="s">
        <v>821</v>
      </c>
      <c r="R1796" s="92" t="s">
        <v>6569</v>
      </c>
      <c r="S1796" s="103" t="s">
        <v>6570</v>
      </c>
      <c r="T1796" s="88" t="s">
        <v>3756</v>
      </c>
      <c r="U1796" s="50" t="s">
        <v>7728</v>
      </c>
      <c r="V1796" s="118" t="str">
        <f>+Agencia[[#This Row],[idcoleccion]]&amp;"-"&amp;Agencia[[#This Row],[id]]</f>
        <v>990-1785</v>
      </c>
      <c r="W1796" s="121">
        <v>99200006</v>
      </c>
      <c r="X1796" s="118" t="str">
        <f>+VLOOKUP(Agencia[[#This Row],[tema]],Estructura!$A$4:$C$500,3,0)</f>
        <v>T-1083</v>
      </c>
      <c r="Y1796" s="118" t="str">
        <f>+VLOOKUP(Agencia[[#This Row],[contenido]],Estructura!$E$4:$G$500,3,0)</f>
        <v>C-1011</v>
      </c>
      <c r="Z1796" s="118" t="str">
        <f>+VLOOKUP(Agencia[[#This Row],[Filtro Integrado]],Estructura!$I$4:$K$500,3,0)</f>
        <v>FI-1009</v>
      </c>
      <c r="AA1796" s="118" t="str">
        <f>+VLOOKUP(Agencia[[#This Row],[Muestra]],Estructura!$M$4:$O$500,3,0)</f>
        <v>M-1153</v>
      </c>
    </row>
    <row r="1797" spans="1:27" ht="40.799999999999997" x14ac:dyDescent="0.3">
      <c r="A1797" s="21" t="s">
        <v>8064</v>
      </c>
      <c r="B1797" s="89">
        <v>990</v>
      </c>
      <c r="C1797" s="90" t="s">
        <v>401</v>
      </c>
      <c r="D1797" s="90" t="s">
        <v>870</v>
      </c>
      <c r="E1797" s="114">
        <v>7</v>
      </c>
      <c r="F1797" s="90" t="s">
        <v>6547</v>
      </c>
      <c r="G1797" s="86" t="s">
        <v>870</v>
      </c>
      <c r="H1797" s="98" t="s">
        <v>16</v>
      </c>
      <c r="I1797" s="99" t="s">
        <v>374</v>
      </c>
      <c r="J1797" s="83" t="s">
        <v>5590</v>
      </c>
      <c r="K1797" s="89" t="s">
        <v>6547</v>
      </c>
      <c r="L1797" s="89" t="s">
        <v>1559</v>
      </c>
      <c r="M1797" s="89" t="s">
        <v>6548</v>
      </c>
      <c r="N1797" s="83" t="s">
        <v>1459</v>
      </c>
      <c r="O1797" s="92" t="s">
        <v>6571</v>
      </c>
      <c r="P1797" s="110"/>
      <c r="Q1797" s="85" t="s">
        <v>821</v>
      </c>
      <c r="R1797" s="92" t="s">
        <v>6572</v>
      </c>
      <c r="S1797" s="103" t="s">
        <v>6573</v>
      </c>
      <c r="T1797" s="88" t="s">
        <v>3754</v>
      </c>
      <c r="U1797" s="50" t="s">
        <v>7729</v>
      </c>
      <c r="V1797" s="118" t="str">
        <f>+Agencia[[#This Row],[idcoleccion]]&amp;"-"&amp;Agencia[[#This Row],[id]]</f>
        <v>990-1786</v>
      </c>
      <c r="W1797" s="121">
        <v>99200007</v>
      </c>
      <c r="X1797" s="118" t="str">
        <f>+VLOOKUP(Agencia[[#This Row],[tema]],Estructura!$A$4:$C$500,3,0)</f>
        <v>T-1083</v>
      </c>
      <c r="Y1797" s="118" t="str">
        <f>+VLOOKUP(Agencia[[#This Row],[contenido]],Estructura!$E$4:$G$500,3,0)</f>
        <v>C-1011</v>
      </c>
      <c r="Z1797" s="118" t="str">
        <f>+VLOOKUP(Agencia[[#This Row],[Filtro Integrado]],Estructura!$I$4:$K$500,3,0)</f>
        <v>FI-1009</v>
      </c>
      <c r="AA1797" s="118" t="str">
        <f>+VLOOKUP(Agencia[[#This Row],[Muestra]],Estructura!$M$4:$O$500,3,0)</f>
        <v>M-1153</v>
      </c>
    </row>
    <row r="1798" spans="1:27" ht="40.799999999999997" x14ac:dyDescent="0.3">
      <c r="A1798" s="21" t="s">
        <v>8065</v>
      </c>
      <c r="B1798" s="89">
        <v>990</v>
      </c>
      <c r="C1798" s="90" t="s">
        <v>401</v>
      </c>
      <c r="D1798" s="90" t="s">
        <v>870</v>
      </c>
      <c r="E1798" s="114">
        <v>8</v>
      </c>
      <c r="F1798" s="90" t="s">
        <v>6547</v>
      </c>
      <c r="G1798" s="86" t="s">
        <v>870</v>
      </c>
      <c r="H1798" s="98" t="s">
        <v>16</v>
      </c>
      <c r="I1798" s="99" t="s">
        <v>375</v>
      </c>
      <c r="J1798" s="83" t="s">
        <v>5590</v>
      </c>
      <c r="K1798" s="89" t="s">
        <v>6547</v>
      </c>
      <c r="L1798" s="89" t="s">
        <v>1559</v>
      </c>
      <c r="M1798" s="89" t="s">
        <v>6548</v>
      </c>
      <c r="N1798" s="83" t="s">
        <v>1459</v>
      </c>
      <c r="O1798" s="92" t="s">
        <v>6574</v>
      </c>
      <c r="P1798" s="110"/>
      <c r="Q1798" s="85" t="s">
        <v>821</v>
      </c>
      <c r="R1798" s="92" t="s">
        <v>6575</v>
      </c>
      <c r="S1798" s="103" t="s">
        <v>6576</v>
      </c>
      <c r="T1798" s="88" t="s">
        <v>3759</v>
      </c>
      <c r="U1798" s="50" t="s">
        <v>7730</v>
      </c>
      <c r="V1798" s="118" t="str">
        <f>+Agencia[[#This Row],[idcoleccion]]&amp;"-"&amp;Agencia[[#This Row],[id]]</f>
        <v>990-1787</v>
      </c>
      <c r="W1798" s="121">
        <v>99200008</v>
      </c>
      <c r="X1798" s="118" t="str">
        <f>+VLOOKUP(Agencia[[#This Row],[tema]],Estructura!$A$4:$C$500,3,0)</f>
        <v>T-1083</v>
      </c>
      <c r="Y1798" s="118" t="str">
        <f>+VLOOKUP(Agencia[[#This Row],[contenido]],Estructura!$E$4:$G$500,3,0)</f>
        <v>C-1011</v>
      </c>
      <c r="Z1798" s="118" t="str">
        <f>+VLOOKUP(Agencia[[#This Row],[Filtro Integrado]],Estructura!$I$4:$K$500,3,0)</f>
        <v>FI-1009</v>
      </c>
      <c r="AA1798" s="118" t="str">
        <f>+VLOOKUP(Agencia[[#This Row],[Muestra]],Estructura!$M$4:$O$500,3,0)</f>
        <v>M-1153</v>
      </c>
    </row>
    <row r="1799" spans="1:27" ht="40.799999999999997" x14ac:dyDescent="0.3">
      <c r="A1799" s="21" t="s">
        <v>8066</v>
      </c>
      <c r="B1799" s="89">
        <v>990</v>
      </c>
      <c r="C1799" s="90" t="s">
        <v>401</v>
      </c>
      <c r="D1799" s="90" t="s">
        <v>870</v>
      </c>
      <c r="E1799" s="114">
        <v>9</v>
      </c>
      <c r="F1799" s="90" t="s">
        <v>6547</v>
      </c>
      <c r="G1799" s="86" t="s">
        <v>870</v>
      </c>
      <c r="H1799" s="98" t="s">
        <v>16</v>
      </c>
      <c r="I1799" s="99" t="s">
        <v>376</v>
      </c>
      <c r="J1799" s="83" t="s">
        <v>5590</v>
      </c>
      <c r="K1799" s="89" t="s">
        <v>6547</v>
      </c>
      <c r="L1799" s="89" t="s">
        <v>1559</v>
      </c>
      <c r="M1799" s="89" t="s">
        <v>6548</v>
      </c>
      <c r="N1799" s="83" t="s">
        <v>1459</v>
      </c>
      <c r="O1799" s="92" t="s">
        <v>6577</v>
      </c>
      <c r="P1799" s="110"/>
      <c r="Q1799" s="85" t="s">
        <v>821</v>
      </c>
      <c r="R1799" s="92" t="s">
        <v>6578</v>
      </c>
      <c r="S1799" s="103" t="s">
        <v>6579</v>
      </c>
      <c r="T1799" s="88" t="s">
        <v>3750</v>
      </c>
      <c r="U1799" s="50" t="s">
        <v>7731</v>
      </c>
      <c r="V1799" s="118" t="str">
        <f>+Agencia[[#This Row],[idcoleccion]]&amp;"-"&amp;Agencia[[#This Row],[id]]</f>
        <v>990-1788</v>
      </c>
      <c r="W1799" s="121">
        <v>99200009</v>
      </c>
      <c r="X1799" s="118" t="str">
        <f>+VLOOKUP(Agencia[[#This Row],[tema]],Estructura!$A$4:$C$500,3,0)</f>
        <v>T-1083</v>
      </c>
      <c r="Y1799" s="118" t="str">
        <f>+VLOOKUP(Agencia[[#This Row],[contenido]],Estructura!$E$4:$G$500,3,0)</f>
        <v>C-1011</v>
      </c>
      <c r="Z1799" s="118" t="str">
        <f>+VLOOKUP(Agencia[[#This Row],[Filtro Integrado]],Estructura!$I$4:$K$500,3,0)</f>
        <v>FI-1009</v>
      </c>
      <c r="AA1799" s="118" t="str">
        <f>+VLOOKUP(Agencia[[#This Row],[Muestra]],Estructura!$M$4:$O$500,3,0)</f>
        <v>M-1153</v>
      </c>
    </row>
    <row r="1800" spans="1:27" ht="40.799999999999997" x14ac:dyDescent="0.3">
      <c r="A1800" s="21" t="s">
        <v>8067</v>
      </c>
      <c r="B1800" s="89">
        <v>990</v>
      </c>
      <c r="C1800" s="90" t="s">
        <v>401</v>
      </c>
      <c r="D1800" s="90" t="s">
        <v>870</v>
      </c>
      <c r="E1800" s="114">
        <v>10</v>
      </c>
      <c r="F1800" s="90" t="s">
        <v>6547</v>
      </c>
      <c r="G1800" s="86" t="s">
        <v>870</v>
      </c>
      <c r="H1800" s="98" t="s">
        <v>16</v>
      </c>
      <c r="I1800" s="99" t="s">
        <v>377</v>
      </c>
      <c r="J1800" s="83" t="s">
        <v>5590</v>
      </c>
      <c r="K1800" s="89" t="s">
        <v>6547</v>
      </c>
      <c r="L1800" s="89" t="s">
        <v>1559</v>
      </c>
      <c r="M1800" s="89" t="s">
        <v>6548</v>
      </c>
      <c r="N1800" s="83" t="s">
        <v>1459</v>
      </c>
      <c r="O1800" s="92" t="s">
        <v>6580</v>
      </c>
      <c r="P1800" s="110"/>
      <c r="Q1800" s="85" t="s">
        <v>821</v>
      </c>
      <c r="R1800" s="92" t="s">
        <v>6581</v>
      </c>
      <c r="S1800" s="103" t="s">
        <v>6582</v>
      </c>
      <c r="T1800" s="88" t="s">
        <v>3751</v>
      </c>
      <c r="U1800" s="50" t="s">
        <v>7732</v>
      </c>
      <c r="V1800" s="118" t="str">
        <f>+Agencia[[#This Row],[idcoleccion]]&amp;"-"&amp;Agencia[[#This Row],[id]]</f>
        <v>990-1789</v>
      </c>
      <c r="W1800" s="121">
        <v>99200010</v>
      </c>
      <c r="X1800" s="118" t="str">
        <f>+VLOOKUP(Agencia[[#This Row],[tema]],Estructura!$A$4:$C$500,3,0)</f>
        <v>T-1083</v>
      </c>
      <c r="Y1800" s="118" t="str">
        <f>+VLOOKUP(Agencia[[#This Row],[contenido]],Estructura!$E$4:$G$500,3,0)</f>
        <v>C-1011</v>
      </c>
      <c r="Z1800" s="118" t="str">
        <f>+VLOOKUP(Agencia[[#This Row],[Filtro Integrado]],Estructura!$I$4:$K$500,3,0)</f>
        <v>FI-1009</v>
      </c>
      <c r="AA1800" s="118" t="str">
        <f>+VLOOKUP(Agencia[[#This Row],[Muestra]],Estructura!$M$4:$O$500,3,0)</f>
        <v>M-1153</v>
      </c>
    </row>
    <row r="1801" spans="1:27" ht="40.799999999999997" x14ac:dyDescent="0.3">
      <c r="A1801" s="21" t="s">
        <v>8068</v>
      </c>
      <c r="B1801" s="89">
        <v>990</v>
      </c>
      <c r="C1801" s="90" t="s">
        <v>401</v>
      </c>
      <c r="D1801" s="90" t="s">
        <v>870</v>
      </c>
      <c r="E1801" s="114">
        <v>11</v>
      </c>
      <c r="F1801" s="90" t="s">
        <v>6547</v>
      </c>
      <c r="G1801" s="86" t="s">
        <v>870</v>
      </c>
      <c r="H1801" s="98" t="s">
        <v>16</v>
      </c>
      <c r="I1801" s="99" t="s">
        <v>378</v>
      </c>
      <c r="J1801" s="83" t="s">
        <v>5590</v>
      </c>
      <c r="K1801" s="89" t="s">
        <v>6547</v>
      </c>
      <c r="L1801" s="89" t="s">
        <v>1559</v>
      </c>
      <c r="M1801" s="89" t="s">
        <v>6548</v>
      </c>
      <c r="N1801" s="83" t="s">
        <v>1459</v>
      </c>
      <c r="O1801" s="92" t="s">
        <v>6583</v>
      </c>
      <c r="P1801" s="110"/>
      <c r="Q1801" s="85" t="s">
        <v>821</v>
      </c>
      <c r="R1801" s="92" t="s">
        <v>6584</v>
      </c>
      <c r="S1801" s="103" t="s">
        <v>6585</v>
      </c>
      <c r="T1801" s="88" t="s">
        <v>3748</v>
      </c>
      <c r="U1801" s="50" t="s">
        <v>7733</v>
      </c>
      <c r="V1801" s="118" t="str">
        <f>+Agencia[[#This Row],[idcoleccion]]&amp;"-"&amp;Agencia[[#This Row],[id]]</f>
        <v>990-1790</v>
      </c>
      <c r="W1801" s="121">
        <v>99200011</v>
      </c>
      <c r="X1801" s="118" t="str">
        <f>+VLOOKUP(Agencia[[#This Row],[tema]],Estructura!$A$4:$C$500,3,0)</f>
        <v>T-1083</v>
      </c>
      <c r="Y1801" s="118" t="str">
        <f>+VLOOKUP(Agencia[[#This Row],[contenido]],Estructura!$E$4:$G$500,3,0)</f>
        <v>C-1011</v>
      </c>
      <c r="Z1801" s="118" t="str">
        <f>+VLOOKUP(Agencia[[#This Row],[Filtro Integrado]],Estructura!$I$4:$K$500,3,0)</f>
        <v>FI-1009</v>
      </c>
      <c r="AA1801" s="118" t="str">
        <f>+VLOOKUP(Agencia[[#This Row],[Muestra]],Estructura!$M$4:$O$500,3,0)</f>
        <v>M-1153</v>
      </c>
    </row>
    <row r="1802" spans="1:27" ht="40.799999999999997" x14ac:dyDescent="0.3">
      <c r="A1802" s="21" t="s">
        <v>8069</v>
      </c>
      <c r="B1802" s="89">
        <v>990</v>
      </c>
      <c r="C1802" s="90" t="s">
        <v>401</v>
      </c>
      <c r="D1802" s="90" t="s">
        <v>870</v>
      </c>
      <c r="E1802" s="114">
        <v>12</v>
      </c>
      <c r="F1802" s="90" t="s">
        <v>6547</v>
      </c>
      <c r="G1802" s="86" t="s">
        <v>870</v>
      </c>
      <c r="H1802" s="98" t="s">
        <v>16</v>
      </c>
      <c r="I1802" s="99" t="s">
        <v>379</v>
      </c>
      <c r="J1802" s="83" t="s">
        <v>5590</v>
      </c>
      <c r="K1802" s="89" t="s">
        <v>6547</v>
      </c>
      <c r="L1802" s="89" t="s">
        <v>1559</v>
      </c>
      <c r="M1802" s="89" t="s">
        <v>6548</v>
      </c>
      <c r="N1802" s="83" t="s">
        <v>1459</v>
      </c>
      <c r="O1802" s="92" t="s">
        <v>6586</v>
      </c>
      <c r="P1802" s="110"/>
      <c r="Q1802" s="85" t="s">
        <v>821</v>
      </c>
      <c r="R1802" s="92" t="s">
        <v>6587</v>
      </c>
      <c r="S1802" s="103" t="s">
        <v>6588</v>
      </c>
      <c r="T1802" s="88" t="s">
        <v>3753</v>
      </c>
      <c r="U1802" s="50" t="s">
        <v>7734</v>
      </c>
      <c r="V1802" s="118" t="str">
        <f>+Agencia[[#This Row],[idcoleccion]]&amp;"-"&amp;Agencia[[#This Row],[id]]</f>
        <v>990-1791</v>
      </c>
      <c r="W1802" s="121">
        <v>99200012</v>
      </c>
      <c r="X1802" s="118" t="str">
        <f>+VLOOKUP(Agencia[[#This Row],[tema]],Estructura!$A$4:$C$500,3,0)</f>
        <v>T-1083</v>
      </c>
      <c r="Y1802" s="118" t="str">
        <f>+VLOOKUP(Agencia[[#This Row],[contenido]],Estructura!$E$4:$G$500,3,0)</f>
        <v>C-1011</v>
      </c>
      <c r="Z1802" s="118" t="str">
        <f>+VLOOKUP(Agencia[[#This Row],[Filtro Integrado]],Estructura!$I$4:$K$500,3,0)</f>
        <v>FI-1009</v>
      </c>
      <c r="AA1802" s="118" t="str">
        <f>+VLOOKUP(Agencia[[#This Row],[Muestra]],Estructura!$M$4:$O$500,3,0)</f>
        <v>M-1153</v>
      </c>
    </row>
    <row r="1803" spans="1:27" ht="40.799999999999997" x14ac:dyDescent="0.3">
      <c r="A1803" s="21" t="s">
        <v>8070</v>
      </c>
      <c r="B1803" s="89">
        <v>990</v>
      </c>
      <c r="C1803" s="90" t="s">
        <v>401</v>
      </c>
      <c r="D1803" s="90" t="s">
        <v>870</v>
      </c>
      <c r="E1803" s="114">
        <v>13</v>
      </c>
      <c r="F1803" s="90" t="s">
        <v>6547</v>
      </c>
      <c r="G1803" s="86" t="s">
        <v>870</v>
      </c>
      <c r="H1803" s="98" t="s">
        <v>16</v>
      </c>
      <c r="I1803" s="99" t="s">
        <v>380</v>
      </c>
      <c r="J1803" s="83" t="s">
        <v>5590</v>
      </c>
      <c r="K1803" s="89" t="s">
        <v>6547</v>
      </c>
      <c r="L1803" s="89" t="s">
        <v>1559</v>
      </c>
      <c r="M1803" s="89" t="s">
        <v>6548</v>
      </c>
      <c r="N1803" s="83" t="s">
        <v>1459</v>
      </c>
      <c r="O1803" s="92" t="s">
        <v>6589</v>
      </c>
      <c r="P1803" s="110"/>
      <c r="Q1803" s="85" t="s">
        <v>821</v>
      </c>
      <c r="R1803" s="92" t="s">
        <v>6590</v>
      </c>
      <c r="S1803" s="103" t="s">
        <v>6591</v>
      </c>
      <c r="T1803" s="88" t="s">
        <v>3760</v>
      </c>
      <c r="U1803" s="50" t="s">
        <v>7735</v>
      </c>
      <c r="V1803" s="118" t="str">
        <f>+Agencia[[#This Row],[idcoleccion]]&amp;"-"&amp;Agencia[[#This Row],[id]]</f>
        <v>990-1792</v>
      </c>
      <c r="W1803" s="121">
        <v>99200013</v>
      </c>
      <c r="X1803" s="118" t="str">
        <f>+VLOOKUP(Agencia[[#This Row],[tema]],Estructura!$A$4:$C$500,3,0)</f>
        <v>T-1083</v>
      </c>
      <c r="Y1803" s="118" t="str">
        <f>+VLOOKUP(Agencia[[#This Row],[contenido]],Estructura!$E$4:$G$500,3,0)</f>
        <v>C-1011</v>
      </c>
      <c r="Z1803" s="118" t="str">
        <f>+VLOOKUP(Agencia[[#This Row],[Filtro Integrado]],Estructura!$I$4:$K$500,3,0)</f>
        <v>FI-1009</v>
      </c>
      <c r="AA1803" s="118" t="str">
        <f>+VLOOKUP(Agencia[[#This Row],[Muestra]],Estructura!$M$4:$O$500,3,0)</f>
        <v>M-1153</v>
      </c>
    </row>
    <row r="1804" spans="1:27" ht="40.799999999999997" x14ac:dyDescent="0.3">
      <c r="A1804" s="21" t="s">
        <v>8071</v>
      </c>
      <c r="B1804" s="89">
        <v>990</v>
      </c>
      <c r="C1804" s="90" t="s">
        <v>401</v>
      </c>
      <c r="D1804" s="90" t="s">
        <v>870</v>
      </c>
      <c r="E1804" s="114">
        <v>14</v>
      </c>
      <c r="F1804" s="90" t="s">
        <v>6547</v>
      </c>
      <c r="G1804" s="86" t="s">
        <v>870</v>
      </c>
      <c r="H1804" s="98" t="s">
        <v>16</v>
      </c>
      <c r="I1804" s="99" t="s">
        <v>381</v>
      </c>
      <c r="J1804" s="83" t="s">
        <v>5590</v>
      </c>
      <c r="K1804" s="89" t="s">
        <v>6547</v>
      </c>
      <c r="L1804" s="89" t="s">
        <v>1559</v>
      </c>
      <c r="M1804" s="89" t="s">
        <v>6548</v>
      </c>
      <c r="N1804" s="83" t="s">
        <v>1459</v>
      </c>
      <c r="O1804" s="92" t="s">
        <v>6592</v>
      </c>
      <c r="P1804" s="110"/>
      <c r="Q1804" s="85" t="s">
        <v>821</v>
      </c>
      <c r="R1804" s="92" t="s">
        <v>6593</v>
      </c>
      <c r="S1804" s="103" t="s">
        <v>6594</v>
      </c>
      <c r="T1804" s="88" t="s">
        <v>3752</v>
      </c>
      <c r="U1804" s="50" t="s">
        <v>7736</v>
      </c>
      <c r="V1804" s="118" t="str">
        <f>+Agencia[[#This Row],[idcoleccion]]&amp;"-"&amp;Agencia[[#This Row],[id]]</f>
        <v>990-1793</v>
      </c>
      <c r="W1804" s="121">
        <v>99200014</v>
      </c>
      <c r="X1804" s="118" t="str">
        <f>+VLOOKUP(Agencia[[#This Row],[tema]],Estructura!$A$4:$C$500,3,0)</f>
        <v>T-1083</v>
      </c>
      <c r="Y1804" s="118" t="str">
        <f>+VLOOKUP(Agencia[[#This Row],[contenido]],Estructura!$E$4:$G$500,3,0)</f>
        <v>C-1011</v>
      </c>
      <c r="Z1804" s="118" t="str">
        <f>+VLOOKUP(Agencia[[#This Row],[Filtro Integrado]],Estructura!$I$4:$K$500,3,0)</f>
        <v>FI-1009</v>
      </c>
      <c r="AA1804" s="118" t="str">
        <f>+VLOOKUP(Agencia[[#This Row],[Muestra]],Estructura!$M$4:$O$500,3,0)</f>
        <v>M-1153</v>
      </c>
    </row>
    <row r="1805" spans="1:27" ht="40.799999999999997" x14ac:dyDescent="0.3">
      <c r="A1805" s="21" t="s">
        <v>8072</v>
      </c>
      <c r="B1805" s="89">
        <v>990</v>
      </c>
      <c r="C1805" s="90" t="s">
        <v>401</v>
      </c>
      <c r="D1805" s="90" t="s">
        <v>870</v>
      </c>
      <c r="E1805" s="114">
        <v>15</v>
      </c>
      <c r="F1805" s="90" t="s">
        <v>6547</v>
      </c>
      <c r="G1805" s="86" t="s">
        <v>870</v>
      </c>
      <c r="H1805" s="98" t="s">
        <v>16</v>
      </c>
      <c r="I1805" s="99" t="s">
        <v>382</v>
      </c>
      <c r="J1805" s="83" t="s">
        <v>5590</v>
      </c>
      <c r="K1805" s="89" t="s">
        <v>6547</v>
      </c>
      <c r="L1805" s="89" t="s">
        <v>1559</v>
      </c>
      <c r="M1805" s="89" t="s">
        <v>6548</v>
      </c>
      <c r="N1805" s="83" t="s">
        <v>1459</v>
      </c>
      <c r="O1805" s="92" t="s">
        <v>6595</v>
      </c>
      <c r="P1805" s="110"/>
      <c r="Q1805" s="85" t="s">
        <v>821</v>
      </c>
      <c r="R1805" s="92" t="s">
        <v>6596</v>
      </c>
      <c r="S1805" s="103" t="s">
        <v>6597</v>
      </c>
      <c r="T1805" s="88" t="s">
        <v>3746</v>
      </c>
      <c r="U1805" s="50" t="s">
        <v>7737</v>
      </c>
      <c r="V1805" s="118" t="str">
        <f>+Agencia[[#This Row],[idcoleccion]]&amp;"-"&amp;Agencia[[#This Row],[id]]</f>
        <v>990-1794</v>
      </c>
      <c r="W1805" s="121">
        <v>99200015</v>
      </c>
      <c r="X1805" s="118" t="str">
        <f>+VLOOKUP(Agencia[[#This Row],[tema]],Estructura!$A$4:$C$500,3,0)</f>
        <v>T-1083</v>
      </c>
      <c r="Y1805" s="118" t="str">
        <f>+VLOOKUP(Agencia[[#This Row],[contenido]],Estructura!$E$4:$G$500,3,0)</f>
        <v>C-1011</v>
      </c>
      <c r="Z1805" s="118" t="str">
        <f>+VLOOKUP(Agencia[[#This Row],[Filtro Integrado]],Estructura!$I$4:$K$500,3,0)</f>
        <v>FI-1009</v>
      </c>
      <c r="AA1805" s="118" t="str">
        <f>+VLOOKUP(Agencia[[#This Row],[Muestra]],Estructura!$M$4:$O$500,3,0)</f>
        <v>M-1153</v>
      </c>
    </row>
    <row r="1806" spans="1:27" ht="40.799999999999997" x14ac:dyDescent="0.3">
      <c r="A1806" s="21" t="s">
        <v>8073</v>
      </c>
      <c r="B1806" s="89">
        <v>990</v>
      </c>
      <c r="C1806" s="90" t="s">
        <v>401</v>
      </c>
      <c r="D1806" s="90" t="s">
        <v>870</v>
      </c>
      <c r="E1806" s="114">
        <v>16</v>
      </c>
      <c r="F1806" s="90" t="s">
        <v>6547</v>
      </c>
      <c r="G1806" s="86" t="s">
        <v>870</v>
      </c>
      <c r="H1806" s="98" t="s">
        <v>16</v>
      </c>
      <c r="I1806" s="99" t="s">
        <v>383</v>
      </c>
      <c r="J1806" s="83" t="s">
        <v>5590</v>
      </c>
      <c r="K1806" s="89" t="s">
        <v>6547</v>
      </c>
      <c r="L1806" s="89" t="s">
        <v>1559</v>
      </c>
      <c r="M1806" s="89" t="s">
        <v>6548</v>
      </c>
      <c r="N1806" s="83" t="s">
        <v>1459</v>
      </c>
      <c r="O1806" s="92" t="s">
        <v>6598</v>
      </c>
      <c r="P1806" s="109"/>
      <c r="Q1806" s="93" t="s">
        <v>821</v>
      </c>
      <c r="R1806" s="92" t="s">
        <v>6599</v>
      </c>
      <c r="S1806" s="103" t="s">
        <v>6600</v>
      </c>
      <c r="T1806" s="94" t="s">
        <v>3755</v>
      </c>
      <c r="U1806" s="50" t="s">
        <v>7738</v>
      </c>
      <c r="V1806" s="118" t="str">
        <f>+Agencia[[#This Row],[idcoleccion]]&amp;"-"&amp;Agencia[[#This Row],[id]]</f>
        <v>990-1795</v>
      </c>
      <c r="W1806" s="121">
        <v>99200016</v>
      </c>
      <c r="X1806" s="118" t="str">
        <f>+VLOOKUP(Agencia[[#This Row],[tema]],Estructura!$A$4:$C$500,3,0)</f>
        <v>T-1083</v>
      </c>
      <c r="Y1806" s="118" t="str">
        <f>+VLOOKUP(Agencia[[#This Row],[contenido]],Estructura!$E$4:$G$500,3,0)</f>
        <v>C-1011</v>
      </c>
      <c r="Z1806" s="118" t="str">
        <f>+VLOOKUP(Agencia[[#This Row],[Filtro Integrado]],Estructura!$I$4:$K$500,3,0)</f>
        <v>FI-1009</v>
      </c>
      <c r="AA1806" s="118" t="str">
        <f>+VLOOKUP(Agencia[[#This Row],[Muestra]],Estructura!$M$4:$O$500,3,0)</f>
        <v>M-1153</v>
      </c>
    </row>
    <row r="1807" spans="1:27" ht="71.400000000000006" x14ac:dyDescent="0.3">
      <c r="A1807" s="21" t="s">
        <v>8074</v>
      </c>
      <c r="B1807" s="89">
        <v>990</v>
      </c>
      <c r="C1807" s="90" t="s">
        <v>401</v>
      </c>
      <c r="D1807" s="90" t="s">
        <v>870</v>
      </c>
      <c r="E1807" s="115">
        <v>0</v>
      </c>
      <c r="F1807" s="91" t="s">
        <v>6601</v>
      </c>
      <c r="G1807" s="91" t="s">
        <v>870</v>
      </c>
      <c r="H1807" s="96" t="s">
        <v>20</v>
      </c>
      <c r="I1807" s="97" t="s">
        <v>15</v>
      </c>
      <c r="J1807" s="89" t="s">
        <v>5610</v>
      </c>
      <c r="K1807" s="89" t="s">
        <v>6602</v>
      </c>
      <c r="L1807" s="89" t="s">
        <v>1559</v>
      </c>
      <c r="M1807" s="89" t="s">
        <v>1586</v>
      </c>
      <c r="N1807" s="83" t="s">
        <v>1459</v>
      </c>
      <c r="O1807" s="92" t="s">
        <v>6603</v>
      </c>
      <c r="P1807" s="107" t="s">
        <v>6604</v>
      </c>
      <c r="Q1807" s="93" t="s">
        <v>821</v>
      </c>
      <c r="R1807" s="92" t="s">
        <v>6605</v>
      </c>
      <c r="S1807" s="104" t="s">
        <v>6606</v>
      </c>
      <c r="T1807" s="94" t="s">
        <v>855</v>
      </c>
      <c r="U1807" s="50" t="s">
        <v>7739</v>
      </c>
      <c r="V1807" s="118" t="str">
        <f>+Agencia[[#This Row],[idcoleccion]]&amp;"-"&amp;Agencia[[#This Row],[id]]</f>
        <v>990-1796</v>
      </c>
      <c r="W1807" s="121">
        <v>99100000</v>
      </c>
      <c r="X1807" s="118" t="str">
        <f>+VLOOKUP(Agencia[[#This Row],[tema]],Estructura!$A$4:$C$500,3,0)</f>
        <v>T-1084</v>
      </c>
      <c r="Y1807" s="118" t="str">
        <f>+VLOOKUP(Agencia[[#This Row],[contenido]],Estructura!$E$4:$G$500,3,0)</f>
        <v>C-1011</v>
      </c>
      <c r="Z1807" s="118" t="str">
        <f>+VLOOKUP(Agencia[[#This Row],[Filtro Integrado]],Estructura!$I$4:$K$500,3,0)</f>
        <v>FI-1010</v>
      </c>
      <c r="AA1807" s="118" t="str">
        <f>+VLOOKUP(Agencia[[#This Row],[Muestra]],Estructura!$M$4:$O$500,3,0)</f>
        <v>M-1154</v>
      </c>
    </row>
    <row r="1808" spans="1:27" ht="51" x14ac:dyDescent="0.3">
      <c r="A1808" s="21" t="s">
        <v>8075</v>
      </c>
      <c r="B1808" s="89">
        <v>990</v>
      </c>
      <c r="C1808" s="90" t="s">
        <v>401</v>
      </c>
      <c r="D1808" s="90" t="s">
        <v>870</v>
      </c>
      <c r="E1808" s="114">
        <v>1</v>
      </c>
      <c r="F1808" s="91" t="s">
        <v>6601</v>
      </c>
      <c r="G1808" s="91" t="s">
        <v>870</v>
      </c>
      <c r="H1808" s="98" t="s">
        <v>16</v>
      </c>
      <c r="I1808" s="99" t="s">
        <v>368</v>
      </c>
      <c r="J1808" s="83" t="s">
        <v>5590</v>
      </c>
      <c r="K1808" s="89" t="s">
        <v>6602</v>
      </c>
      <c r="L1808" s="89" t="s">
        <v>1559</v>
      </c>
      <c r="M1808" s="89" t="s">
        <v>1586</v>
      </c>
      <c r="N1808" s="83" t="s">
        <v>1459</v>
      </c>
      <c r="O1808" s="92" t="s">
        <v>6607</v>
      </c>
      <c r="P1808" s="110"/>
      <c r="Q1808" s="85" t="s">
        <v>821</v>
      </c>
      <c r="R1808" s="92" t="s">
        <v>6608</v>
      </c>
      <c r="S1808" s="103" t="s">
        <v>6609</v>
      </c>
      <c r="T1808" s="88" t="s">
        <v>3757</v>
      </c>
      <c r="U1808" s="50" t="s">
        <v>7740</v>
      </c>
      <c r="V1808" s="118" t="str">
        <f>+Agencia[[#This Row],[idcoleccion]]&amp;"-"&amp;Agencia[[#This Row],[id]]</f>
        <v>990-1797</v>
      </c>
      <c r="W1808" s="121">
        <v>99200001</v>
      </c>
      <c r="X1808" s="118" t="str">
        <f>+VLOOKUP(Agencia[[#This Row],[tema]],Estructura!$A$4:$C$500,3,0)</f>
        <v>T-1084</v>
      </c>
      <c r="Y1808" s="118" t="str">
        <f>+VLOOKUP(Agencia[[#This Row],[contenido]],Estructura!$E$4:$G$500,3,0)</f>
        <v>C-1011</v>
      </c>
      <c r="Z1808" s="118" t="str">
        <f>+VLOOKUP(Agencia[[#This Row],[Filtro Integrado]],Estructura!$I$4:$K$500,3,0)</f>
        <v>FI-1009</v>
      </c>
      <c r="AA1808" s="118" t="str">
        <f>+VLOOKUP(Agencia[[#This Row],[Muestra]],Estructura!$M$4:$O$500,3,0)</f>
        <v>M-1154</v>
      </c>
    </row>
    <row r="1809" spans="1:27" ht="51" x14ac:dyDescent="0.3">
      <c r="A1809" s="21" t="s">
        <v>8076</v>
      </c>
      <c r="B1809" s="89">
        <v>990</v>
      </c>
      <c r="C1809" s="90" t="s">
        <v>401</v>
      </c>
      <c r="D1809" s="90" t="s">
        <v>870</v>
      </c>
      <c r="E1809" s="114">
        <v>2</v>
      </c>
      <c r="F1809" s="91" t="s">
        <v>6601</v>
      </c>
      <c r="G1809" s="91" t="s">
        <v>870</v>
      </c>
      <c r="H1809" s="98" t="s">
        <v>16</v>
      </c>
      <c r="I1809" s="99" t="s">
        <v>369</v>
      </c>
      <c r="J1809" s="83" t="s">
        <v>5590</v>
      </c>
      <c r="K1809" s="89" t="s">
        <v>6602</v>
      </c>
      <c r="L1809" s="89" t="s">
        <v>1559</v>
      </c>
      <c r="M1809" s="89" t="s">
        <v>1586</v>
      </c>
      <c r="N1809" s="83" t="s">
        <v>1459</v>
      </c>
      <c r="O1809" s="92" t="s">
        <v>6610</v>
      </c>
      <c r="P1809" s="110"/>
      <c r="Q1809" s="85" t="s">
        <v>821</v>
      </c>
      <c r="R1809" s="92" t="s">
        <v>6611</v>
      </c>
      <c r="S1809" s="103" t="s">
        <v>6612</v>
      </c>
      <c r="T1809" s="88" t="s">
        <v>3745</v>
      </c>
      <c r="U1809" s="50" t="s">
        <v>7741</v>
      </c>
      <c r="V1809" s="118" t="str">
        <f>+Agencia[[#This Row],[idcoleccion]]&amp;"-"&amp;Agencia[[#This Row],[id]]</f>
        <v>990-1798</v>
      </c>
      <c r="W1809" s="121">
        <v>99200002</v>
      </c>
      <c r="X1809" s="118" t="str">
        <f>+VLOOKUP(Agencia[[#This Row],[tema]],Estructura!$A$4:$C$500,3,0)</f>
        <v>T-1084</v>
      </c>
      <c r="Y1809" s="118" t="str">
        <f>+VLOOKUP(Agencia[[#This Row],[contenido]],Estructura!$E$4:$G$500,3,0)</f>
        <v>C-1011</v>
      </c>
      <c r="Z1809" s="118" t="str">
        <f>+VLOOKUP(Agencia[[#This Row],[Filtro Integrado]],Estructura!$I$4:$K$500,3,0)</f>
        <v>FI-1009</v>
      </c>
      <c r="AA1809" s="118" t="str">
        <f>+VLOOKUP(Agencia[[#This Row],[Muestra]],Estructura!$M$4:$O$500,3,0)</f>
        <v>M-1154</v>
      </c>
    </row>
    <row r="1810" spans="1:27" ht="51" x14ac:dyDescent="0.3">
      <c r="A1810" s="21" t="s">
        <v>8077</v>
      </c>
      <c r="B1810" s="89">
        <v>990</v>
      </c>
      <c r="C1810" s="90" t="s">
        <v>401</v>
      </c>
      <c r="D1810" s="90" t="s">
        <v>870</v>
      </c>
      <c r="E1810" s="114">
        <v>3</v>
      </c>
      <c r="F1810" s="91" t="s">
        <v>6601</v>
      </c>
      <c r="G1810" s="91" t="s">
        <v>870</v>
      </c>
      <c r="H1810" s="98" t="s">
        <v>16</v>
      </c>
      <c r="I1810" s="99" t="s">
        <v>370</v>
      </c>
      <c r="J1810" s="83" t="s">
        <v>5590</v>
      </c>
      <c r="K1810" s="89" t="s">
        <v>6602</v>
      </c>
      <c r="L1810" s="89" t="s">
        <v>1559</v>
      </c>
      <c r="M1810" s="89" t="s">
        <v>1586</v>
      </c>
      <c r="N1810" s="83" t="s">
        <v>1459</v>
      </c>
      <c r="O1810" s="92" t="s">
        <v>6613</v>
      </c>
      <c r="P1810" s="110"/>
      <c r="Q1810" s="85" t="s">
        <v>821</v>
      </c>
      <c r="R1810" s="92" t="s">
        <v>6614</v>
      </c>
      <c r="S1810" s="103" t="s">
        <v>6615</v>
      </c>
      <c r="T1810" s="88" t="s">
        <v>3747</v>
      </c>
      <c r="U1810" s="50" t="s">
        <v>7742</v>
      </c>
      <c r="V1810" s="118" t="str">
        <f>+Agencia[[#This Row],[idcoleccion]]&amp;"-"&amp;Agencia[[#This Row],[id]]</f>
        <v>990-1799</v>
      </c>
      <c r="W1810" s="121">
        <v>99200003</v>
      </c>
      <c r="X1810" s="118" t="str">
        <f>+VLOOKUP(Agencia[[#This Row],[tema]],Estructura!$A$4:$C$500,3,0)</f>
        <v>T-1084</v>
      </c>
      <c r="Y1810" s="118" t="str">
        <f>+VLOOKUP(Agencia[[#This Row],[contenido]],Estructura!$E$4:$G$500,3,0)</f>
        <v>C-1011</v>
      </c>
      <c r="Z1810" s="118" t="str">
        <f>+VLOOKUP(Agencia[[#This Row],[Filtro Integrado]],Estructura!$I$4:$K$500,3,0)</f>
        <v>FI-1009</v>
      </c>
      <c r="AA1810" s="118" t="str">
        <f>+VLOOKUP(Agencia[[#This Row],[Muestra]],Estructura!$M$4:$O$500,3,0)</f>
        <v>M-1154</v>
      </c>
    </row>
    <row r="1811" spans="1:27" ht="51" x14ac:dyDescent="0.3">
      <c r="A1811" s="21" t="s">
        <v>8078</v>
      </c>
      <c r="B1811" s="89">
        <v>990</v>
      </c>
      <c r="C1811" s="90" t="s">
        <v>401</v>
      </c>
      <c r="D1811" s="90" t="s">
        <v>870</v>
      </c>
      <c r="E1811" s="114">
        <v>4</v>
      </c>
      <c r="F1811" s="91" t="s">
        <v>6601</v>
      </c>
      <c r="G1811" s="91" t="s">
        <v>870</v>
      </c>
      <c r="H1811" s="98" t="s">
        <v>16</v>
      </c>
      <c r="I1811" s="99" t="s">
        <v>371</v>
      </c>
      <c r="J1811" s="83" t="s">
        <v>5590</v>
      </c>
      <c r="K1811" s="89" t="s">
        <v>6602</v>
      </c>
      <c r="L1811" s="89" t="s">
        <v>1559</v>
      </c>
      <c r="M1811" s="89" t="s">
        <v>1586</v>
      </c>
      <c r="N1811" s="83" t="s">
        <v>1459</v>
      </c>
      <c r="O1811" s="92" t="s">
        <v>6616</v>
      </c>
      <c r="P1811" s="110"/>
      <c r="Q1811" s="85" t="s">
        <v>821</v>
      </c>
      <c r="R1811" s="92" t="s">
        <v>6617</v>
      </c>
      <c r="S1811" s="103" t="s">
        <v>6618</v>
      </c>
      <c r="T1811" s="88" t="s">
        <v>3749</v>
      </c>
      <c r="U1811" s="50" t="s">
        <v>7743</v>
      </c>
      <c r="V1811" s="118" t="str">
        <f>+Agencia[[#This Row],[idcoleccion]]&amp;"-"&amp;Agencia[[#This Row],[id]]</f>
        <v>990-1800</v>
      </c>
      <c r="W1811" s="121">
        <v>99200004</v>
      </c>
      <c r="X1811" s="118" t="str">
        <f>+VLOOKUP(Agencia[[#This Row],[tema]],Estructura!$A$4:$C$500,3,0)</f>
        <v>T-1084</v>
      </c>
      <c r="Y1811" s="118" t="str">
        <f>+VLOOKUP(Agencia[[#This Row],[contenido]],Estructura!$E$4:$G$500,3,0)</f>
        <v>C-1011</v>
      </c>
      <c r="Z1811" s="118" t="str">
        <f>+VLOOKUP(Agencia[[#This Row],[Filtro Integrado]],Estructura!$I$4:$K$500,3,0)</f>
        <v>FI-1009</v>
      </c>
      <c r="AA1811" s="118" t="str">
        <f>+VLOOKUP(Agencia[[#This Row],[Muestra]],Estructura!$M$4:$O$500,3,0)</f>
        <v>M-1154</v>
      </c>
    </row>
    <row r="1812" spans="1:27" ht="51" x14ac:dyDescent="0.3">
      <c r="A1812" s="21" t="s">
        <v>8079</v>
      </c>
      <c r="B1812" s="89">
        <v>990</v>
      </c>
      <c r="C1812" s="90" t="s">
        <v>401</v>
      </c>
      <c r="D1812" s="90" t="s">
        <v>870</v>
      </c>
      <c r="E1812" s="114">
        <v>5</v>
      </c>
      <c r="F1812" s="91" t="s">
        <v>6601</v>
      </c>
      <c r="G1812" s="91" t="s">
        <v>870</v>
      </c>
      <c r="H1812" s="98" t="s">
        <v>16</v>
      </c>
      <c r="I1812" s="99" t="s">
        <v>372</v>
      </c>
      <c r="J1812" s="83" t="s">
        <v>5590</v>
      </c>
      <c r="K1812" s="89" t="s">
        <v>6602</v>
      </c>
      <c r="L1812" s="89" t="s">
        <v>1559</v>
      </c>
      <c r="M1812" s="89" t="s">
        <v>1586</v>
      </c>
      <c r="N1812" s="83" t="s">
        <v>1459</v>
      </c>
      <c r="O1812" s="92" t="s">
        <v>6619</v>
      </c>
      <c r="P1812" s="110"/>
      <c r="Q1812" s="85" t="s">
        <v>821</v>
      </c>
      <c r="R1812" s="92" t="s">
        <v>6620</v>
      </c>
      <c r="S1812" s="103" t="s">
        <v>6621</v>
      </c>
      <c r="T1812" s="88" t="s">
        <v>3758</v>
      </c>
      <c r="U1812" s="50" t="s">
        <v>7744</v>
      </c>
      <c r="V1812" s="118" t="str">
        <f>+Agencia[[#This Row],[idcoleccion]]&amp;"-"&amp;Agencia[[#This Row],[id]]</f>
        <v>990-1801</v>
      </c>
      <c r="W1812" s="121">
        <v>99200005</v>
      </c>
      <c r="X1812" s="118" t="str">
        <f>+VLOOKUP(Agencia[[#This Row],[tema]],Estructura!$A$4:$C$500,3,0)</f>
        <v>T-1084</v>
      </c>
      <c r="Y1812" s="118" t="str">
        <f>+VLOOKUP(Agencia[[#This Row],[contenido]],Estructura!$E$4:$G$500,3,0)</f>
        <v>C-1011</v>
      </c>
      <c r="Z1812" s="118" t="str">
        <f>+VLOOKUP(Agencia[[#This Row],[Filtro Integrado]],Estructura!$I$4:$K$500,3,0)</f>
        <v>FI-1009</v>
      </c>
      <c r="AA1812" s="118" t="str">
        <f>+VLOOKUP(Agencia[[#This Row],[Muestra]],Estructura!$M$4:$O$500,3,0)</f>
        <v>M-1154</v>
      </c>
    </row>
    <row r="1813" spans="1:27" ht="51" x14ac:dyDescent="0.3">
      <c r="A1813" s="21" t="s">
        <v>8080</v>
      </c>
      <c r="B1813" s="89">
        <v>990</v>
      </c>
      <c r="C1813" s="90" t="s">
        <v>401</v>
      </c>
      <c r="D1813" s="90" t="s">
        <v>870</v>
      </c>
      <c r="E1813" s="114">
        <v>6</v>
      </c>
      <c r="F1813" s="91" t="s">
        <v>6601</v>
      </c>
      <c r="G1813" s="91" t="s">
        <v>870</v>
      </c>
      <c r="H1813" s="98" t="s">
        <v>16</v>
      </c>
      <c r="I1813" s="99" t="s">
        <v>373</v>
      </c>
      <c r="J1813" s="83" t="s">
        <v>5590</v>
      </c>
      <c r="K1813" s="89" t="s">
        <v>6602</v>
      </c>
      <c r="L1813" s="89" t="s">
        <v>1559</v>
      </c>
      <c r="M1813" s="89" t="s">
        <v>1586</v>
      </c>
      <c r="N1813" s="83" t="s">
        <v>1459</v>
      </c>
      <c r="O1813" s="92" t="s">
        <v>6622</v>
      </c>
      <c r="P1813" s="110"/>
      <c r="Q1813" s="85" t="s">
        <v>821</v>
      </c>
      <c r="R1813" s="92" t="s">
        <v>6623</v>
      </c>
      <c r="S1813" s="103" t="s">
        <v>6624</v>
      </c>
      <c r="T1813" s="88" t="s">
        <v>3756</v>
      </c>
      <c r="U1813" s="50" t="s">
        <v>7745</v>
      </c>
      <c r="V1813" s="118" t="str">
        <f>+Agencia[[#This Row],[idcoleccion]]&amp;"-"&amp;Agencia[[#This Row],[id]]</f>
        <v>990-1802</v>
      </c>
      <c r="W1813" s="121">
        <v>99200006</v>
      </c>
      <c r="X1813" s="118" t="str">
        <f>+VLOOKUP(Agencia[[#This Row],[tema]],Estructura!$A$4:$C$500,3,0)</f>
        <v>T-1084</v>
      </c>
      <c r="Y1813" s="118" t="str">
        <f>+VLOOKUP(Agencia[[#This Row],[contenido]],Estructura!$E$4:$G$500,3,0)</f>
        <v>C-1011</v>
      </c>
      <c r="Z1813" s="118" t="str">
        <f>+VLOOKUP(Agencia[[#This Row],[Filtro Integrado]],Estructura!$I$4:$K$500,3,0)</f>
        <v>FI-1009</v>
      </c>
      <c r="AA1813" s="118" t="str">
        <f>+VLOOKUP(Agencia[[#This Row],[Muestra]],Estructura!$M$4:$O$500,3,0)</f>
        <v>M-1154</v>
      </c>
    </row>
    <row r="1814" spans="1:27" ht="51" x14ac:dyDescent="0.3">
      <c r="A1814" s="21" t="s">
        <v>8081</v>
      </c>
      <c r="B1814" s="89">
        <v>990</v>
      </c>
      <c r="C1814" s="90" t="s">
        <v>401</v>
      </c>
      <c r="D1814" s="90" t="s">
        <v>870</v>
      </c>
      <c r="E1814" s="114">
        <v>7</v>
      </c>
      <c r="F1814" s="91" t="s">
        <v>6601</v>
      </c>
      <c r="G1814" s="91" t="s">
        <v>870</v>
      </c>
      <c r="H1814" s="98" t="s">
        <v>16</v>
      </c>
      <c r="I1814" s="99" t="s">
        <v>374</v>
      </c>
      <c r="J1814" s="83" t="s">
        <v>5590</v>
      </c>
      <c r="K1814" s="89" t="s">
        <v>6602</v>
      </c>
      <c r="L1814" s="89" t="s">
        <v>1559</v>
      </c>
      <c r="M1814" s="89" t="s">
        <v>1586</v>
      </c>
      <c r="N1814" s="83" t="s">
        <v>1459</v>
      </c>
      <c r="O1814" s="92" t="s">
        <v>6625</v>
      </c>
      <c r="P1814" s="110"/>
      <c r="Q1814" s="85" t="s">
        <v>821</v>
      </c>
      <c r="R1814" s="92" t="s">
        <v>6626</v>
      </c>
      <c r="S1814" s="103" t="s">
        <v>6627</v>
      </c>
      <c r="T1814" s="88" t="s">
        <v>3754</v>
      </c>
      <c r="U1814" s="50" t="s">
        <v>7746</v>
      </c>
      <c r="V1814" s="118" t="str">
        <f>+Agencia[[#This Row],[idcoleccion]]&amp;"-"&amp;Agencia[[#This Row],[id]]</f>
        <v>990-1803</v>
      </c>
      <c r="W1814" s="121">
        <v>99200007</v>
      </c>
      <c r="X1814" s="118" t="str">
        <f>+VLOOKUP(Agencia[[#This Row],[tema]],Estructura!$A$4:$C$500,3,0)</f>
        <v>T-1084</v>
      </c>
      <c r="Y1814" s="118" t="str">
        <f>+VLOOKUP(Agencia[[#This Row],[contenido]],Estructura!$E$4:$G$500,3,0)</f>
        <v>C-1011</v>
      </c>
      <c r="Z1814" s="118" t="str">
        <f>+VLOOKUP(Agencia[[#This Row],[Filtro Integrado]],Estructura!$I$4:$K$500,3,0)</f>
        <v>FI-1009</v>
      </c>
      <c r="AA1814" s="118" t="str">
        <f>+VLOOKUP(Agencia[[#This Row],[Muestra]],Estructura!$M$4:$O$500,3,0)</f>
        <v>M-1154</v>
      </c>
    </row>
    <row r="1815" spans="1:27" ht="51" x14ac:dyDescent="0.3">
      <c r="A1815" s="21" t="s">
        <v>8082</v>
      </c>
      <c r="B1815" s="89">
        <v>990</v>
      </c>
      <c r="C1815" s="90" t="s">
        <v>401</v>
      </c>
      <c r="D1815" s="90" t="s">
        <v>870</v>
      </c>
      <c r="E1815" s="114">
        <v>8</v>
      </c>
      <c r="F1815" s="91" t="s">
        <v>6601</v>
      </c>
      <c r="G1815" s="91" t="s">
        <v>870</v>
      </c>
      <c r="H1815" s="98" t="s">
        <v>16</v>
      </c>
      <c r="I1815" s="99" t="s">
        <v>375</v>
      </c>
      <c r="J1815" s="83" t="s">
        <v>5590</v>
      </c>
      <c r="K1815" s="89" t="s">
        <v>6602</v>
      </c>
      <c r="L1815" s="89" t="s">
        <v>1559</v>
      </c>
      <c r="M1815" s="89" t="s">
        <v>1586</v>
      </c>
      <c r="N1815" s="83" t="s">
        <v>1459</v>
      </c>
      <c r="O1815" s="92" t="s">
        <v>6628</v>
      </c>
      <c r="P1815" s="110"/>
      <c r="Q1815" s="85" t="s">
        <v>821</v>
      </c>
      <c r="R1815" s="92" t="s">
        <v>6629</v>
      </c>
      <c r="S1815" s="103" t="s">
        <v>6630</v>
      </c>
      <c r="T1815" s="88" t="s">
        <v>3759</v>
      </c>
      <c r="U1815" s="50" t="s">
        <v>7747</v>
      </c>
      <c r="V1815" s="118" t="str">
        <f>+Agencia[[#This Row],[idcoleccion]]&amp;"-"&amp;Agencia[[#This Row],[id]]</f>
        <v>990-1804</v>
      </c>
      <c r="W1815" s="121">
        <v>99200008</v>
      </c>
      <c r="X1815" s="118" t="str">
        <f>+VLOOKUP(Agencia[[#This Row],[tema]],Estructura!$A$4:$C$500,3,0)</f>
        <v>T-1084</v>
      </c>
      <c r="Y1815" s="118" t="str">
        <f>+VLOOKUP(Agencia[[#This Row],[contenido]],Estructura!$E$4:$G$500,3,0)</f>
        <v>C-1011</v>
      </c>
      <c r="Z1815" s="118" t="str">
        <f>+VLOOKUP(Agencia[[#This Row],[Filtro Integrado]],Estructura!$I$4:$K$500,3,0)</f>
        <v>FI-1009</v>
      </c>
      <c r="AA1815" s="118" t="str">
        <f>+VLOOKUP(Agencia[[#This Row],[Muestra]],Estructura!$M$4:$O$500,3,0)</f>
        <v>M-1154</v>
      </c>
    </row>
    <row r="1816" spans="1:27" ht="51" x14ac:dyDescent="0.3">
      <c r="A1816" s="21" t="s">
        <v>8083</v>
      </c>
      <c r="B1816" s="89">
        <v>990</v>
      </c>
      <c r="C1816" s="90" t="s">
        <v>401</v>
      </c>
      <c r="D1816" s="90" t="s">
        <v>870</v>
      </c>
      <c r="E1816" s="114">
        <v>9</v>
      </c>
      <c r="F1816" s="91" t="s">
        <v>6601</v>
      </c>
      <c r="G1816" s="91" t="s">
        <v>870</v>
      </c>
      <c r="H1816" s="98" t="s">
        <v>16</v>
      </c>
      <c r="I1816" s="99" t="s">
        <v>376</v>
      </c>
      <c r="J1816" s="83" t="s">
        <v>5590</v>
      </c>
      <c r="K1816" s="89" t="s">
        <v>6602</v>
      </c>
      <c r="L1816" s="89" t="s">
        <v>1559</v>
      </c>
      <c r="M1816" s="89" t="s">
        <v>1586</v>
      </c>
      <c r="N1816" s="83" t="s">
        <v>1459</v>
      </c>
      <c r="O1816" s="92" t="s">
        <v>6631</v>
      </c>
      <c r="P1816" s="110"/>
      <c r="Q1816" s="85" t="s">
        <v>821</v>
      </c>
      <c r="R1816" s="92" t="s">
        <v>6632</v>
      </c>
      <c r="S1816" s="103" t="s">
        <v>6633</v>
      </c>
      <c r="T1816" s="88" t="s">
        <v>3750</v>
      </c>
      <c r="U1816" s="50" t="s">
        <v>7748</v>
      </c>
      <c r="V1816" s="118" t="str">
        <f>+Agencia[[#This Row],[idcoleccion]]&amp;"-"&amp;Agencia[[#This Row],[id]]</f>
        <v>990-1805</v>
      </c>
      <c r="W1816" s="121">
        <v>99200009</v>
      </c>
      <c r="X1816" s="118" t="str">
        <f>+VLOOKUP(Agencia[[#This Row],[tema]],Estructura!$A$4:$C$500,3,0)</f>
        <v>T-1084</v>
      </c>
      <c r="Y1816" s="118" t="str">
        <f>+VLOOKUP(Agencia[[#This Row],[contenido]],Estructura!$E$4:$G$500,3,0)</f>
        <v>C-1011</v>
      </c>
      <c r="Z1816" s="118" t="str">
        <f>+VLOOKUP(Agencia[[#This Row],[Filtro Integrado]],Estructura!$I$4:$K$500,3,0)</f>
        <v>FI-1009</v>
      </c>
      <c r="AA1816" s="118" t="str">
        <f>+VLOOKUP(Agencia[[#This Row],[Muestra]],Estructura!$M$4:$O$500,3,0)</f>
        <v>M-1154</v>
      </c>
    </row>
    <row r="1817" spans="1:27" ht="51" x14ac:dyDescent="0.3">
      <c r="A1817" s="21" t="s">
        <v>8084</v>
      </c>
      <c r="B1817" s="89">
        <v>990</v>
      </c>
      <c r="C1817" s="90" t="s">
        <v>401</v>
      </c>
      <c r="D1817" s="90" t="s">
        <v>870</v>
      </c>
      <c r="E1817" s="114">
        <v>10</v>
      </c>
      <c r="F1817" s="91" t="s">
        <v>6601</v>
      </c>
      <c r="G1817" s="91" t="s">
        <v>870</v>
      </c>
      <c r="H1817" s="98" t="s">
        <v>16</v>
      </c>
      <c r="I1817" s="99" t="s">
        <v>377</v>
      </c>
      <c r="J1817" s="83" t="s">
        <v>5590</v>
      </c>
      <c r="K1817" s="89" t="s">
        <v>6602</v>
      </c>
      <c r="L1817" s="89" t="s">
        <v>1559</v>
      </c>
      <c r="M1817" s="89" t="s">
        <v>1586</v>
      </c>
      <c r="N1817" s="83" t="s">
        <v>1459</v>
      </c>
      <c r="O1817" s="92" t="s">
        <v>6634</v>
      </c>
      <c r="P1817" s="110"/>
      <c r="Q1817" s="85" t="s">
        <v>821</v>
      </c>
      <c r="R1817" s="92" t="s">
        <v>6635</v>
      </c>
      <c r="S1817" s="103" t="s">
        <v>6636</v>
      </c>
      <c r="T1817" s="88" t="s">
        <v>3751</v>
      </c>
      <c r="U1817" s="50" t="s">
        <v>7749</v>
      </c>
      <c r="V1817" s="118" t="str">
        <f>+Agencia[[#This Row],[idcoleccion]]&amp;"-"&amp;Agencia[[#This Row],[id]]</f>
        <v>990-1806</v>
      </c>
      <c r="W1817" s="121">
        <v>99200010</v>
      </c>
      <c r="X1817" s="118" t="str">
        <f>+VLOOKUP(Agencia[[#This Row],[tema]],Estructura!$A$4:$C$500,3,0)</f>
        <v>T-1084</v>
      </c>
      <c r="Y1817" s="118" t="str">
        <f>+VLOOKUP(Agencia[[#This Row],[contenido]],Estructura!$E$4:$G$500,3,0)</f>
        <v>C-1011</v>
      </c>
      <c r="Z1817" s="118" t="str">
        <f>+VLOOKUP(Agencia[[#This Row],[Filtro Integrado]],Estructura!$I$4:$K$500,3,0)</f>
        <v>FI-1009</v>
      </c>
      <c r="AA1817" s="118" t="str">
        <f>+VLOOKUP(Agencia[[#This Row],[Muestra]],Estructura!$M$4:$O$500,3,0)</f>
        <v>M-1154</v>
      </c>
    </row>
    <row r="1818" spans="1:27" ht="51" x14ac:dyDescent="0.3">
      <c r="A1818" s="21" t="s">
        <v>8085</v>
      </c>
      <c r="B1818" s="89">
        <v>990</v>
      </c>
      <c r="C1818" s="90" t="s">
        <v>401</v>
      </c>
      <c r="D1818" s="90" t="s">
        <v>870</v>
      </c>
      <c r="E1818" s="114">
        <v>11</v>
      </c>
      <c r="F1818" s="91" t="s">
        <v>6601</v>
      </c>
      <c r="G1818" s="91" t="s">
        <v>870</v>
      </c>
      <c r="H1818" s="98" t="s">
        <v>16</v>
      </c>
      <c r="I1818" s="99" t="s">
        <v>378</v>
      </c>
      <c r="J1818" s="83" t="s">
        <v>5590</v>
      </c>
      <c r="K1818" s="89" t="s">
        <v>6602</v>
      </c>
      <c r="L1818" s="89" t="s">
        <v>1559</v>
      </c>
      <c r="M1818" s="89" t="s">
        <v>1586</v>
      </c>
      <c r="N1818" s="83" t="s">
        <v>1459</v>
      </c>
      <c r="O1818" s="92" t="s">
        <v>6637</v>
      </c>
      <c r="P1818" s="110"/>
      <c r="Q1818" s="85" t="s">
        <v>821</v>
      </c>
      <c r="R1818" s="92" t="s">
        <v>6638</v>
      </c>
      <c r="S1818" s="103" t="s">
        <v>6639</v>
      </c>
      <c r="T1818" s="88" t="s">
        <v>3748</v>
      </c>
      <c r="U1818" s="50" t="s">
        <v>7750</v>
      </c>
      <c r="V1818" s="118" t="str">
        <f>+Agencia[[#This Row],[idcoleccion]]&amp;"-"&amp;Agencia[[#This Row],[id]]</f>
        <v>990-1807</v>
      </c>
      <c r="W1818" s="121">
        <v>99200011</v>
      </c>
      <c r="X1818" s="118" t="str">
        <f>+VLOOKUP(Agencia[[#This Row],[tema]],Estructura!$A$4:$C$500,3,0)</f>
        <v>T-1084</v>
      </c>
      <c r="Y1818" s="118" t="str">
        <f>+VLOOKUP(Agencia[[#This Row],[contenido]],Estructura!$E$4:$G$500,3,0)</f>
        <v>C-1011</v>
      </c>
      <c r="Z1818" s="118" t="str">
        <f>+VLOOKUP(Agencia[[#This Row],[Filtro Integrado]],Estructura!$I$4:$K$500,3,0)</f>
        <v>FI-1009</v>
      </c>
      <c r="AA1818" s="118" t="str">
        <f>+VLOOKUP(Agencia[[#This Row],[Muestra]],Estructura!$M$4:$O$500,3,0)</f>
        <v>M-1154</v>
      </c>
    </row>
    <row r="1819" spans="1:27" ht="51" x14ac:dyDescent="0.3">
      <c r="A1819" s="21" t="s">
        <v>8086</v>
      </c>
      <c r="B1819" s="89">
        <v>990</v>
      </c>
      <c r="C1819" s="90" t="s">
        <v>401</v>
      </c>
      <c r="D1819" s="90" t="s">
        <v>870</v>
      </c>
      <c r="E1819" s="114">
        <v>12</v>
      </c>
      <c r="F1819" s="91" t="s">
        <v>6601</v>
      </c>
      <c r="G1819" s="91" t="s">
        <v>870</v>
      </c>
      <c r="H1819" s="98" t="s">
        <v>16</v>
      </c>
      <c r="I1819" s="99" t="s">
        <v>379</v>
      </c>
      <c r="J1819" s="83" t="s">
        <v>5590</v>
      </c>
      <c r="K1819" s="89" t="s">
        <v>6602</v>
      </c>
      <c r="L1819" s="89" t="s">
        <v>1559</v>
      </c>
      <c r="M1819" s="89" t="s">
        <v>1586</v>
      </c>
      <c r="N1819" s="83" t="s">
        <v>1459</v>
      </c>
      <c r="O1819" s="92" t="s">
        <v>6640</v>
      </c>
      <c r="P1819" s="110"/>
      <c r="Q1819" s="85" t="s">
        <v>821</v>
      </c>
      <c r="R1819" s="92" t="s">
        <v>6641</v>
      </c>
      <c r="S1819" s="103" t="s">
        <v>6642</v>
      </c>
      <c r="T1819" s="88" t="s">
        <v>3753</v>
      </c>
      <c r="U1819" s="50" t="s">
        <v>7751</v>
      </c>
      <c r="V1819" s="118" t="str">
        <f>+Agencia[[#This Row],[idcoleccion]]&amp;"-"&amp;Agencia[[#This Row],[id]]</f>
        <v>990-1808</v>
      </c>
      <c r="W1819" s="121">
        <v>99200012</v>
      </c>
      <c r="X1819" s="118" t="str">
        <f>+VLOOKUP(Agencia[[#This Row],[tema]],Estructura!$A$4:$C$500,3,0)</f>
        <v>T-1084</v>
      </c>
      <c r="Y1819" s="118" t="str">
        <f>+VLOOKUP(Agencia[[#This Row],[contenido]],Estructura!$E$4:$G$500,3,0)</f>
        <v>C-1011</v>
      </c>
      <c r="Z1819" s="118" t="str">
        <f>+VLOOKUP(Agencia[[#This Row],[Filtro Integrado]],Estructura!$I$4:$K$500,3,0)</f>
        <v>FI-1009</v>
      </c>
      <c r="AA1819" s="118" t="str">
        <f>+VLOOKUP(Agencia[[#This Row],[Muestra]],Estructura!$M$4:$O$500,3,0)</f>
        <v>M-1154</v>
      </c>
    </row>
    <row r="1820" spans="1:27" ht="51" x14ac:dyDescent="0.3">
      <c r="A1820" s="21" t="s">
        <v>8087</v>
      </c>
      <c r="B1820" s="89">
        <v>990</v>
      </c>
      <c r="C1820" s="90" t="s">
        <v>401</v>
      </c>
      <c r="D1820" s="90" t="s">
        <v>870</v>
      </c>
      <c r="E1820" s="114">
        <v>13</v>
      </c>
      <c r="F1820" s="91" t="s">
        <v>6601</v>
      </c>
      <c r="G1820" s="91" t="s">
        <v>870</v>
      </c>
      <c r="H1820" s="98" t="s">
        <v>16</v>
      </c>
      <c r="I1820" s="99" t="s">
        <v>380</v>
      </c>
      <c r="J1820" s="83" t="s">
        <v>5590</v>
      </c>
      <c r="K1820" s="89" t="s">
        <v>6602</v>
      </c>
      <c r="L1820" s="89" t="s">
        <v>1559</v>
      </c>
      <c r="M1820" s="89" t="s">
        <v>1586</v>
      </c>
      <c r="N1820" s="83" t="s">
        <v>1459</v>
      </c>
      <c r="O1820" s="92" t="s">
        <v>6643</v>
      </c>
      <c r="P1820" s="110"/>
      <c r="Q1820" s="85" t="s">
        <v>821</v>
      </c>
      <c r="R1820" s="92" t="s">
        <v>6644</v>
      </c>
      <c r="S1820" s="103" t="s">
        <v>6645</v>
      </c>
      <c r="T1820" s="88" t="s">
        <v>3760</v>
      </c>
      <c r="U1820" s="50" t="s">
        <v>7752</v>
      </c>
      <c r="V1820" s="118" t="str">
        <f>+Agencia[[#This Row],[idcoleccion]]&amp;"-"&amp;Agencia[[#This Row],[id]]</f>
        <v>990-1809</v>
      </c>
      <c r="W1820" s="121">
        <v>99200013</v>
      </c>
      <c r="X1820" s="118" t="str">
        <f>+VLOOKUP(Agencia[[#This Row],[tema]],Estructura!$A$4:$C$500,3,0)</f>
        <v>T-1084</v>
      </c>
      <c r="Y1820" s="118" t="str">
        <f>+VLOOKUP(Agencia[[#This Row],[contenido]],Estructura!$E$4:$G$500,3,0)</f>
        <v>C-1011</v>
      </c>
      <c r="Z1820" s="118" t="str">
        <f>+VLOOKUP(Agencia[[#This Row],[Filtro Integrado]],Estructura!$I$4:$K$500,3,0)</f>
        <v>FI-1009</v>
      </c>
      <c r="AA1820" s="118" t="str">
        <f>+VLOOKUP(Agencia[[#This Row],[Muestra]],Estructura!$M$4:$O$500,3,0)</f>
        <v>M-1154</v>
      </c>
    </row>
    <row r="1821" spans="1:27" ht="51" x14ac:dyDescent="0.3">
      <c r="A1821" s="21" t="s">
        <v>8088</v>
      </c>
      <c r="B1821" s="89">
        <v>990</v>
      </c>
      <c r="C1821" s="90" t="s">
        <v>401</v>
      </c>
      <c r="D1821" s="90" t="s">
        <v>870</v>
      </c>
      <c r="E1821" s="114">
        <v>14</v>
      </c>
      <c r="F1821" s="91" t="s">
        <v>6601</v>
      </c>
      <c r="G1821" s="91" t="s">
        <v>870</v>
      </c>
      <c r="H1821" s="98" t="s">
        <v>16</v>
      </c>
      <c r="I1821" s="99" t="s">
        <v>381</v>
      </c>
      <c r="J1821" s="83" t="s">
        <v>5590</v>
      </c>
      <c r="K1821" s="89" t="s">
        <v>6602</v>
      </c>
      <c r="L1821" s="89" t="s">
        <v>1559</v>
      </c>
      <c r="M1821" s="89" t="s">
        <v>1586</v>
      </c>
      <c r="N1821" s="83" t="s">
        <v>1459</v>
      </c>
      <c r="O1821" s="92" t="s">
        <v>6646</v>
      </c>
      <c r="P1821" s="110"/>
      <c r="Q1821" s="85" t="s">
        <v>821</v>
      </c>
      <c r="R1821" s="92" t="s">
        <v>6647</v>
      </c>
      <c r="S1821" s="103" t="s">
        <v>6648</v>
      </c>
      <c r="T1821" s="88" t="s">
        <v>3752</v>
      </c>
      <c r="U1821" s="50" t="s">
        <v>7753</v>
      </c>
      <c r="V1821" s="118" t="str">
        <f>+Agencia[[#This Row],[idcoleccion]]&amp;"-"&amp;Agencia[[#This Row],[id]]</f>
        <v>990-1810</v>
      </c>
      <c r="W1821" s="121">
        <v>99200014</v>
      </c>
      <c r="X1821" s="118" t="str">
        <f>+VLOOKUP(Agencia[[#This Row],[tema]],Estructura!$A$4:$C$500,3,0)</f>
        <v>T-1084</v>
      </c>
      <c r="Y1821" s="118" t="str">
        <f>+VLOOKUP(Agencia[[#This Row],[contenido]],Estructura!$E$4:$G$500,3,0)</f>
        <v>C-1011</v>
      </c>
      <c r="Z1821" s="118" t="str">
        <f>+VLOOKUP(Agencia[[#This Row],[Filtro Integrado]],Estructura!$I$4:$K$500,3,0)</f>
        <v>FI-1009</v>
      </c>
      <c r="AA1821" s="118" t="str">
        <f>+VLOOKUP(Agencia[[#This Row],[Muestra]],Estructura!$M$4:$O$500,3,0)</f>
        <v>M-1154</v>
      </c>
    </row>
    <row r="1822" spans="1:27" ht="51" x14ac:dyDescent="0.3">
      <c r="A1822" s="21" t="s">
        <v>8089</v>
      </c>
      <c r="B1822" s="89">
        <v>990</v>
      </c>
      <c r="C1822" s="90" t="s">
        <v>401</v>
      </c>
      <c r="D1822" s="90" t="s">
        <v>870</v>
      </c>
      <c r="E1822" s="114">
        <v>15</v>
      </c>
      <c r="F1822" s="91" t="s">
        <v>6601</v>
      </c>
      <c r="G1822" s="91" t="s">
        <v>870</v>
      </c>
      <c r="H1822" s="98" t="s">
        <v>16</v>
      </c>
      <c r="I1822" s="99" t="s">
        <v>382</v>
      </c>
      <c r="J1822" s="83" t="s">
        <v>5590</v>
      </c>
      <c r="K1822" s="89" t="s">
        <v>6602</v>
      </c>
      <c r="L1822" s="89" t="s">
        <v>1559</v>
      </c>
      <c r="M1822" s="89" t="s">
        <v>1586</v>
      </c>
      <c r="N1822" s="83" t="s">
        <v>1459</v>
      </c>
      <c r="O1822" s="92" t="s">
        <v>6649</v>
      </c>
      <c r="P1822" s="110"/>
      <c r="Q1822" s="85" t="s">
        <v>821</v>
      </c>
      <c r="R1822" s="92" t="s">
        <v>6650</v>
      </c>
      <c r="S1822" s="103" t="s">
        <v>6651</v>
      </c>
      <c r="T1822" s="88" t="s">
        <v>3746</v>
      </c>
      <c r="U1822" s="50" t="s">
        <v>7754</v>
      </c>
      <c r="V1822" s="118" t="str">
        <f>+Agencia[[#This Row],[idcoleccion]]&amp;"-"&amp;Agencia[[#This Row],[id]]</f>
        <v>990-1811</v>
      </c>
      <c r="W1822" s="121">
        <v>99200015</v>
      </c>
      <c r="X1822" s="118" t="str">
        <f>+VLOOKUP(Agencia[[#This Row],[tema]],Estructura!$A$4:$C$500,3,0)</f>
        <v>T-1084</v>
      </c>
      <c r="Y1822" s="118" t="str">
        <f>+VLOOKUP(Agencia[[#This Row],[contenido]],Estructura!$E$4:$G$500,3,0)</f>
        <v>C-1011</v>
      </c>
      <c r="Z1822" s="118" t="str">
        <f>+VLOOKUP(Agencia[[#This Row],[Filtro Integrado]],Estructura!$I$4:$K$500,3,0)</f>
        <v>FI-1009</v>
      </c>
      <c r="AA1822" s="118" t="str">
        <f>+VLOOKUP(Agencia[[#This Row],[Muestra]],Estructura!$M$4:$O$500,3,0)</f>
        <v>M-1154</v>
      </c>
    </row>
    <row r="1823" spans="1:27" ht="51" x14ac:dyDescent="0.3">
      <c r="A1823" s="21" t="s">
        <v>8090</v>
      </c>
      <c r="B1823" s="89">
        <v>990</v>
      </c>
      <c r="C1823" s="90" t="s">
        <v>401</v>
      </c>
      <c r="D1823" s="90" t="s">
        <v>870</v>
      </c>
      <c r="E1823" s="114">
        <v>16</v>
      </c>
      <c r="F1823" s="91" t="s">
        <v>6601</v>
      </c>
      <c r="G1823" s="91" t="s">
        <v>870</v>
      </c>
      <c r="H1823" s="98" t="s">
        <v>16</v>
      </c>
      <c r="I1823" s="99" t="s">
        <v>383</v>
      </c>
      <c r="J1823" s="83" t="s">
        <v>5590</v>
      </c>
      <c r="K1823" s="89" t="s">
        <v>6602</v>
      </c>
      <c r="L1823" s="89" t="s">
        <v>1559</v>
      </c>
      <c r="M1823" s="89" t="s">
        <v>1586</v>
      </c>
      <c r="N1823" s="83" t="s">
        <v>1459</v>
      </c>
      <c r="O1823" s="92" t="s">
        <v>6652</v>
      </c>
      <c r="P1823" s="109"/>
      <c r="Q1823" s="93" t="s">
        <v>821</v>
      </c>
      <c r="R1823" s="92" t="s">
        <v>6653</v>
      </c>
      <c r="S1823" s="103" t="s">
        <v>6654</v>
      </c>
      <c r="T1823" s="94" t="s">
        <v>3755</v>
      </c>
      <c r="U1823" s="50" t="s">
        <v>7755</v>
      </c>
      <c r="V1823" s="118" t="str">
        <f>+Agencia[[#This Row],[idcoleccion]]&amp;"-"&amp;Agencia[[#This Row],[id]]</f>
        <v>990-1812</v>
      </c>
      <c r="W1823" s="121">
        <v>99200016</v>
      </c>
      <c r="X1823" s="118" t="str">
        <f>+VLOOKUP(Agencia[[#This Row],[tema]],Estructura!$A$4:$C$500,3,0)</f>
        <v>T-1084</v>
      </c>
      <c r="Y1823" s="118" t="str">
        <f>+VLOOKUP(Agencia[[#This Row],[contenido]],Estructura!$E$4:$G$500,3,0)</f>
        <v>C-1011</v>
      </c>
      <c r="Z1823" s="118" t="str">
        <f>+VLOOKUP(Agencia[[#This Row],[Filtro Integrado]],Estructura!$I$4:$K$500,3,0)</f>
        <v>FI-1009</v>
      </c>
      <c r="AA1823" s="118" t="str">
        <f>+VLOOKUP(Agencia[[#This Row],[Muestra]],Estructura!$M$4:$O$500,3,0)</f>
        <v>M-1154</v>
      </c>
    </row>
    <row r="1824" spans="1:27" ht="61.2" x14ac:dyDescent="0.3">
      <c r="A1824" s="21" t="s">
        <v>8091</v>
      </c>
      <c r="B1824" s="89">
        <v>990</v>
      </c>
      <c r="C1824" s="90" t="s">
        <v>401</v>
      </c>
      <c r="D1824" s="90" t="s">
        <v>822</v>
      </c>
      <c r="E1824" s="115">
        <v>0</v>
      </c>
      <c r="F1824" s="90" t="s">
        <v>7404</v>
      </c>
      <c r="G1824" s="91" t="s">
        <v>3764</v>
      </c>
      <c r="H1824" s="96" t="s">
        <v>20</v>
      </c>
      <c r="I1824" s="97" t="s">
        <v>15</v>
      </c>
      <c r="J1824" s="89" t="s">
        <v>16</v>
      </c>
      <c r="K1824" s="89" t="s">
        <v>6655</v>
      </c>
      <c r="L1824" s="89" t="s">
        <v>506</v>
      </c>
      <c r="M1824" s="89" t="s">
        <v>4247</v>
      </c>
      <c r="N1824" s="89" t="s">
        <v>459</v>
      </c>
      <c r="O1824" s="92" t="s">
        <v>6656</v>
      </c>
      <c r="P1824" s="107" t="s">
        <v>6657</v>
      </c>
      <c r="Q1824" s="93" t="s">
        <v>821</v>
      </c>
      <c r="R1824" s="92" t="s">
        <v>6658</v>
      </c>
      <c r="S1824" s="104" t="s">
        <v>6659</v>
      </c>
      <c r="T1824" s="94" t="s">
        <v>1033</v>
      </c>
      <c r="U1824" s="50" t="s">
        <v>7756</v>
      </c>
      <c r="V1824" s="118" t="str">
        <f>+Agencia[[#This Row],[idcoleccion]]&amp;"-"&amp;Agencia[[#This Row],[id]]</f>
        <v>990-1813</v>
      </c>
      <c r="W1824" s="121">
        <v>99100000</v>
      </c>
      <c r="X1824" s="118" t="str">
        <f>+VLOOKUP(Agencia[[#This Row],[tema]],Estructura!$A$4:$C$500,3,0)</f>
        <v>T-1085</v>
      </c>
      <c r="Y1824" s="118" t="str">
        <f>+VLOOKUP(Agencia[[#This Row],[contenido]],Estructura!$E$4:$G$500,3,0)</f>
        <v>C-998</v>
      </c>
      <c r="Z1824" s="118" t="str">
        <f>+VLOOKUP(Agencia[[#This Row],[Filtro Integrado]],Estructura!$I$4:$K$500,3,0)</f>
        <v>FI-992</v>
      </c>
      <c r="AA1824" s="118" t="str">
        <f>+VLOOKUP(Agencia[[#This Row],[Muestra]],Estructura!$M$4:$O$500,3,0)</f>
        <v>M-1155</v>
      </c>
    </row>
    <row r="1825" spans="1:27" ht="60" x14ac:dyDescent="0.3">
      <c r="A1825" s="21" t="s">
        <v>8092</v>
      </c>
      <c r="B1825" s="89">
        <v>990</v>
      </c>
      <c r="C1825" s="90" t="s">
        <v>401</v>
      </c>
      <c r="D1825" s="90" t="s">
        <v>822</v>
      </c>
      <c r="E1825" s="114">
        <v>1</v>
      </c>
      <c r="F1825" s="90" t="s">
        <v>7404</v>
      </c>
      <c r="G1825" s="91" t="s">
        <v>3764</v>
      </c>
      <c r="H1825" s="98" t="s">
        <v>16</v>
      </c>
      <c r="I1825" s="99" t="s">
        <v>368</v>
      </c>
      <c r="J1825" s="83" t="s">
        <v>404</v>
      </c>
      <c r="K1825" s="89" t="s">
        <v>6655</v>
      </c>
      <c r="L1825" s="89" t="s">
        <v>506</v>
      </c>
      <c r="M1825" s="89" t="s">
        <v>4247</v>
      </c>
      <c r="N1825" s="89" t="s">
        <v>459</v>
      </c>
      <c r="O1825" s="92" t="s">
        <v>6660</v>
      </c>
      <c r="P1825" s="110"/>
      <c r="Q1825" s="85" t="s">
        <v>821</v>
      </c>
      <c r="R1825" s="92" t="s">
        <v>6661</v>
      </c>
      <c r="S1825" s="103" t="s">
        <v>6662</v>
      </c>
      <c r="T1825" s="88" t="s">
        <v>3741</v>
      </c>
      <c r="U1825" s="50" t="s">
        <v>7757</v>
      </c>
      <c r="V1825" s="118" t="str">
        <f>+Agencia[[#This Row],[idcoleccion]]&amp;"-"&amp;Agencia[[#This Row],[id]]</f>
        <v>990-1814</v>
      </c>
      <c r="W1825" s="121">
        <v>99200001</v>
      </c>
      <c r="X1825" s="118" t="str">
        <f>+VLOOKUP(Agencia[[#This Row],[tema]],Estructura!$A$4:$C$500,3,0)</f>
        <v>T-1085</v>
      </c>
      <c r="Y1825" s="118" t="str">
        <f>+VLOOKUP(Agencia[[#This Row],[contenido]],Estructura!$E$4:$G$500,3,0)</f>
        <v>C-998</v>
      </c>
      <c r="Z1825" s="118" t="str">
        <f>+VLOOKUP(Agencia[[#This Row],[Filtro Integrado]],Estructura!$I$4:$K$500,3,0)</f>
        <v>FI-993</v>
      </c>
      <c r="AA1825" s="118" t="str">
        <f>+VLOOKUP(Agencia[[#This Row],[Muestra]],Estructura!$M$4:$O$500,3,0)</f>
        <v>M-1155</v>
      </c>
    </row>
    <row r="1826" spans="1:27" ht="60" x14ac:dyDescent="0.3">
      <c r="A1826" s="21" t="s">
        <v>8093</v>
      </c>
      <c r="B1826" s="89">
        <v>990</v>
      </c>
      <c r="C1826" s="90" t="s">
        <v>401</v>
      </c>
      <c r="D1826" s="90" t="s">
        <v>822</v>
      </c>
      <c r="E1826" s="114">
        <v>2</v>
      </c>
      <c r="F1826" s="90" t="s">
        <v>7404</v>
      </c>
      <c r="G1826" s="91" t="s">
        <v>3764</v>
      </c>
      <c r="H1826" s="98" t="s">
        <v>16</v>
      </c>
      <c r="I1826" s="99" t="s">
        <v>369</v>
      </c>
      <c r="J1826" s="83" t="s">
        <v>404</v>
      </c>
      <c r="K1826" s="89" t="s">
        <v>6655</v>
      </c>
      <c r="L1826" s="89" t="s">
        <v>506</v>
      </c>
      <c r="M1826" s="89" t="s">
        <v>4247</v>
      </c>
      <c r="N1826" s="89" t="s">
        <v>459</v>
      </c>
      <c r="O1826" s="92" t="s">
        <v>6663</v>
      </c>
      <c r="P1826" s="110"/>
      <c r="Q1826" s="85" t="s">
        <v>821</v>
      </c>
      <c r="R1826" s="92" t="s">
        <v>6664</v>
      </c>
      <c r="S1826" s="103" t="s">
        <v>6665</v>
      </c>
      <c r="T1826" s="88" t="s">
        <v>3729</v>
      </c>
      <c r="U1826" s="50" t="s">
        <v>7758</v>
      </c>
      <c r="V1826" s="118" t="str">
        <f>+Agencia[[#This Row],[idcoleccion]]&amp;"-"&amp;Agencia[[#This Row],[id]]</f>
        <v>990-1815</v>
      </c>
      <c r="W1826" s="121">
        <v>99200002</v>
      </c>
      <c r="X1826" s="118" t="str">
        <f>+VLOOKUP(Agencia[[#This Row],[tema]],Estructura!$A$4:$C$500,3,0)</f>
        <v>T-1085</v>
      </c>
      <c r="Y1826" s="118" t="str">
        <f>+VLOOKUP(Agencia[[#This Row],[contenido]],Estructura!$E$4:$G$500,3,0)</f>
        <v>C-998</v>
      </c>
      <c r="Z1826" s="118" t="str">
        <f>+VLOOKUP(Agencia[[#This Row],[Filtro Integrado]],Estructura!$I$4:$K$500,3,0)</f>
        <v>FI-993</v>
      </c>
      <c r="AA1826" s="118" t="str">
        <f>+VLOOKUP(Agencia[[#This Row],[Muestra]],Estructura!$M$4:$O$500,3,0)</f>
        <v>M-1155</v>
      </c>
    </row>
    <row r="1827" spans="1:27" ht="60" x14ac:dyDescent="0.3">
      <c r="A1827" s="21" t="s">
        <v>8094</v>
      </c>
      <c r="B1827" s="89">
        <v>990</v>
      </c>
      <c r="C1827" s="90" t="s">
        <v>401</v>
      </c>
      <c r="D1827" s="90" t="s">
        <v>822</v>
      </c>
      <c r="E1827" s="114">
        <v>3</v>
      </c>
      <c r="F1827" s="90" t="s">
        <v>7404</v>
      </c>
      <c r="G1827" s="91" t="s">
        <v>3764</v>
      </c>
      <c r="H1827" s="98" t="s">
        <v>16</v>
      </c>
      <c r="I1827" s="99" t="s">
        <v>370</v>
      </c>
      <c r="J1827" s="83" t="s">
        <v>404</v>
      </c>
      <c r="K1827" s="89" t="s">
        <v>6655</v>
      </c>
      <c r="L1827" s="89" t="s">
        <v>506</v>
      </c>
      <c r="M1827" s="89" t="s">
        <v>4247</v>
      </c>
      <c r="N1827" s="89" t="s">
        <v>459</v>
      </c>
      <c r="O1827" s="92" t="s">
        <v>6666</v>
      </c>
      <c r="P1827" s="110"/>
      <c r="Q1827" s="85" t="s">
        <v>821</v>
      </c>
      <c r="R1827" s="92" t="s">
        <v>6667</v>
      </c>
      <c r="S1827" s="103" t="s">
        <v>6668</v>
      </c>
      <c r="T1827" s="88" t="s">
        <v>3731</v>
      </c>
      <c r="U1827" s="50" t="s">
        <v>7759</v>
      </c>
      <c r="V1827" s="118" t="str">
        <f>+Agencia[[#This Row],[idcoleccion]]&amp;"-"&amp;Agencia[[#This Row],[id]]</f>
        <v>990-1816</v>
      </c>
      <c r="W1827" s="121">
        <v>99200003</v>
      </c>
      <c r="X1827" s="118" t="str">
        <f>+VLOOKUP(Agencia[[#This Row],[tema]],Estructura!$A$4:$C$500,3,0)</f>
        <v>T-1085</v>
      </c>
      <c r="Y1827" s="118" t="str">
        <f>+VLOOKUP(Agencia[[#This Row],[contenido]],Estructura!$E$4:$G$500,3,0)</f>
        <v>C-998</v>
      </c>
      <c r="Z1827" s="118" t="str">
        <f>+VLOOKUP(Agencia[[#This Row],[Filtro Integrado]],Estructura!$I$4:$K$500,3,0)</f>
        <v>FI-993</v>
      </c>
      <c r="AA1827" s="118" t="str">
        <f>+VLOOKUP(Agencia[[#This Row],[Muestra]],Estructura!$M$4:$O$500,3,0)</f>
        <v>M-1155</v>
      </c>
    </row>
    <row r="1828" spans="1:27" ht="60" x14ac:dyDescent="0.3">
      <c r="A1828" s="21" t="s">
        <v>8095</v>
      </c>
      <c r="B1828" s="89">
        <v>990</v>
      </c>
      <c r="C1828" s="90" t="s">
        <v>401</v>
      </c>
      <c r="D1828" s="90" t="s">
        <v>822</v>
      </c>
      <c r="E1828" s="114">
        <v>4</v>
      </c>
      <c r="F1828" s="90" t="s">
        <v>7404</v>
      </c>
      <c r="G1828" s="91" t="s">
        <v>3764</v>
      </c>
      <c r="H1828" s="98" t="s">
        <v>16</v>
      </c>
      <c r="I1828" s="99" t="s">
        <v>371</v>
      </c>
      <c r="J1828" s="83" t="s">
        <v>404</v>
      </c>
      <c r="K1828" s="89" t="s">
        <v>6655</v>
      </c>
      <c r="L1828" s="89" t="s">
        <v>506</v>
      </c>
      <c r="M1828" s="89" t="s">
        <v>4247</v>
      </c>
      <c r="N1828" s="89" t="s">
        <v>459</v>
      </c>
      <c r="O1828" s="92" t="s">
        <v>6669</v>
      </c>
      <c r="P1828" s="110"/>
      <c r="Q1828" s="85" t="s">
        <v>821</v>
      </c>
      <c r="R1828" s="92" t="s">
        <v>6670</v>
      </c>
      <c r="S1828" s="103" t="s">
        <v>6671</v>
      </c>
      <c r="T1828" s="88" t="s">
        <v>3733</v>
      </c>
      <c r="U1828" s="50" t="s">
        <v>7760</v>
      </c>
      <c r="V1828" s="118" t="str">
        <f>+Agencia[[#This Row],[idcoleccion]]&amp;"-"&amp;Agencia[[#This Row],[id]]</f>
        <v>990-1817</v>
      </c>
      <c r="W1828" s="121">
        <v>99200004</v>
      </c>
      <c r="X1828" s="118" t="str">
        <f>+VLOOKUP(Agencia[[#This Row],[tema]],Estructura!$A$4:$C$500,3,0)</f>
        <v>T-1085</v>
      </c>
      <c r="Y1828" s="118" t="str">
        <f>+VLOOKUP(Agencia[[#This Row],[contenido]],Estructura!$E$4:$G$500,3,0)</f>
        <v>C-998</v>
      </c>
      <c r="Z1828" s="118" t="str">
        <f>+VLOOKUP(Agencia[[#This Row],[Filtro Integrado]],Estructura!$I$4:$K$500,3,0)</f>
        <v>FI-993</v>
      </c>
      <c r="AA1828" s="118" t="str">
        <f>+VLOOKUP(Agencia[[#This Row],[Muestra]],Estructura!$M$4:$O$500,3,0)</f>
        <v>M-1155</v>
      </c>
    </row>
    <row r="1829" spans="1:27" ht="60" x14ac:dyDescent="0.3">
      <c r="A1829" s="21" t="s">
        <v>8096</v>
      </c>
      <c r="B1829" s="89">
        <v>990</v>
      </c>
      <c r="C1829" s="90" t="s">
        <v>401</v>
      </c>
      <c r="D1829" s="90" t="s">
        <v>822</v>
      </c>
      <c r="E1829" s="114">
        <v>5</v>
      </c>
      <c r="F1829" s="90" t="s">
        <v>7404</v>
      </c>
      <c r="G1829" s="91" t="s">
        <v>3764</v>
      </c>
      <c r="H1829" s="98" t="s">
        <v>16</v>
      </c>
      <c r="I1829" s="99" t="s">
        <v>372</v>
      </c>
      <c r="J1829" s="83" t="s">
        <v>404</v>
      </c>
      <c r="K1829" s="89" t="s">
        <v>6655</v>
      </c>
      <c r="L1829" s="89" t="s">
        <v>506</v>
      </c>
      <c r="M1829" s="89" t="s">
        <v>4247</v>
      </c>
      <c r="N1829" s="89" t="s">
        <v>459</v>
      </c>
      <c r="O1829" s="92" t="s">
        <v>6672</v>
      </c>
      <c r="P1829" s="110"/>
      <c r="Q1829" s="85" t="s">
        <v>821</v>
      </c>
      <c r="R1829" s="92" t="s">
        <v>6673</v>
      </c>
      <c r="S1829" s="103" t="s">
        <v>6674</v>
      </c>
      <c r="T1829" s="88" t="s">
        <v>3742</v>
      </c>
      <c r="U1829" s="50" t="s">
        <v>7761</v>
      </c>
      <c r="V1829" s="118" t="str">
        <f>+Agencia[[#This Row],[idcoleccion]]&amp;"-"&amp;Agencia[[#This Row],[id]]</f>
        <v>990-1818</v>
      </c>
      <c r="W1829" s="121">
        <v>99200005</v>
      </c>
      <c r="X1829" s="118" t="str">
        <f>+VLOOKUP(Agencia[[#This Row],[tema]],Estructura!$A$4:$C$500,3,0)</f>
        <v>T-1085</v>
      </c>
      <c r="Y1829" s="118" t="str">
        <f>+VLOOKUP(Agencia[[#This Row],[contenido]],Estructura!$E$4:$G$500,3,0)</f>
        <v>C-998</v>
      </c>
      <c r="Z1829" s="118" t="str">
        <f>+VLOOKUP(Agencia[[#This Row],[Filtro Integrado]],Estructura!$I$4:$K$500,3,0)</f>
        <v>FI-993</v>
      </c>
      <c r="AA1829" s="118" t="str">
        <f>+VLOOKUP(Agencia[[#This Row],[Muestra]],Estructura!$M$4:$O$500,3,0)</f>
        <v>M-1155</v>
      </c>
    </row>
    <row r="1830" spans="1:27" ht="60" x14ac:dyDescent="0.3">
      <c r="A1830" s="21" t="s">
        <v>8097</v>
      </c>
      <c r="B1830" s="89">
        <v>990</v>
      </c>
      <c r="C1830" s="90" t="s">
        <v>401</v>
      </c>
      <c r="D1830" s="90" t="s">
        <v>822</v>
      </c>
      <c r="E1830" s="114">
        <v>6</v>
      </c>
      <c r="F1830" s="90" t="s">
        <v>7404</v>
      </c>
      <c r="G1830" s="91" t="s">
        <v>3764</v>
      </c>
      <c r="H1830" s="98" t="s">
        <v>16</v>
      </c>
      <c r="I1830" s="99" t="s">
        <v>373</v>
      </c>
      <c r="J1830" s="83" t="s">
        <v>404</v>
      </c>
      <c r="K1830" s="89" t="s">
        <v>6655</v>
      </c>
      <c r="L1830" s="89" t="s">
        <v>506</v>
      </c>
      <c r="M1830" s="89" t="s">
        <v>4247</v>
      </c>
      <c r="N1830" s="89" t="s">
        <v>459</v>
      </c>
      <c r="O1830" s="92" t="s">
        <v>6675</v>
      </c>
      <c r="P1830" s="110"/>
      <c r="Q1830" s="85" t="s">
        <v>821</v>
      </c>
      <c r="R1830" s="92" t="s">
        <v>6676</v>
      </c>
      <c r="S1830" s="103" t="s">
        <v>6677</v>
      </c>
      <c r="T1830" s="88" t="s">
        <v>3740</v>
      </c>
      <c r="U1830" s="50" t="s">
        <v>7762</v>
      </c>
      <c r="V1830" s="118" t="str">
        <f>+Agencia[[#This Row],[idcoleccion]]&amp;"-"&amp;Agencia[[#This Row],[id]]</f>
        <v>990-1819</v>
      </c>
      <c r="W1830" s="121">
        <v>99200006</v>
      </c>
      <c r="X1830" s="118" t="str">
        <f>+VLOOKUP(Agencia[[#This Row],[tema]],Estructura!$A$4:$C$500,3,0)</f>
        <v>T-1085</v>
      </c>
      <c r="Y1830" s="118" t="str">
        <f>+VLOOKUP(Agencia[[#This Row],[contenido]],Estructura!$E$4:$G$500,3,0)</f>
        <v>C-998</v>
      </c>
      <c r="Z1830" s="118" t="str">
        <f>+VLOOKUP(Agencia[[#This Row],[Filtro Integrado]],Estructura!$I$4:$K$500,3,0)</f>
        <v>FI-993</v>
      </c>
      <c r="AA1830" s="118" t="str">
        <f>+VLOOKUP(Agencia[[#This Row],[Muestra]],Estructura!$M$4:$O$500,3,0)</f>
        <v>M-1155</v>
      </c>
    </row>
    <row r="1831" spans="1:27" ht="60" x14ac:dyDescent="0.3">
      <c r="A1831" s="21" t="s">
        <v>8098</v>
      </c>
      <c r="B1831" s="89">
        <v>990</v>
      </c>
      <c r="C1831" s="90" t="s">
        <v>401</v>
      </c>
      <c r="D1831" s="90" t="s">
        <v>822</v>
      </c>
      <c r="E1831" s="114">
        <v>7</v>
      </c>
      <c r="F1831" s="90" t="s">
        <v>7404</v>
      </c>
      <c r="G1831" s="91" t="s">
        <v>3764</v>
      </c>
      <c r="H1831" s="98" t="s">
        <v>16</v>
      </c>
      <c r="I1831" s="99" t="s">
        <v>374</v>
      </c>
      <c r="J1831" s="83" t="s">
        <v>404</v>
      </c>
      <c r="K1831" s="89" t="s">
        <v>6655</v>
      </c>
      <c r="L1831" s="89" t="s">
        <v>506</v>
      </c>
      <c r="M1831" s="89" t="s">
        <v>4247</v>
      </c>
      <c r="N1831" s="89" t="s">
        <v>459</v>
      </c>
      <c r="O1831" s="92" t="s">
        <v>6678</v>
      </c>
      <c r="P1831" s="110"/>
      <c r="Q1831" s="85" t="s">
        <v>821</v>
      </c>
      <c r="R1831" s="92" t="s">
        <v>6679</v>
      </c>
      <c r="S1831" s="103" t="s">
        <v>6680</v>
      </c>
      <c r="T1831" s="88" t="s">
        <v>3738</v>
      </c>
      <c r="U1831" s="50" t="s">
        <v>7763</v>
      </c>
      <c r="V1831" s="118" t="str">
        <f>+Agencia[[#This Row],[idcoleccion]]&amp;"-"&amp;Agencia[[#This Row],[id]]</f>
        <v>990-1820</v>
      </c>
      <c r="W1831" s="121">
        <v>99200007</v>
      </c>
      <c r="X1831" s="118" t="str">
        <f>+VLOOKUP(Agencia[[#This Row],[tema]],Estructura!$A$4:$C$500,3,0)</f>
        <v>T-1085</v>
      </c>
      <c r="Y1831" s="118" t="str">
        <f>+VLOOKUP(Agencia[[#This Row],[contenido]],Estructura!$E$4:$G$500,3,0)</f>
        <v>C-998</v>
      </c>
      <c r="Z1831" s="118" t="str">
        <f>+VLOOKUP(Agencia[[#This Row],[Filtro Integrado]],Estructura!$I$4:$K$500,3,0)</f>
        <v>FI-993</v>
      </c>
      <c r="AA1831" s="118" t="str">
        <f>+VLOOKUP(Agencia[[#This Row],[Muestra]],Estructura!$M$4:$O$500,3,0)</f>
        <v>M-1155</v>
      </c>
    </row>
    <row r="1832" spans="1:27" ht="60" x14ac:dyDescent="0.3">
      <c r="A1832" s="21" t="s">
        <v>8099</v>
      </c>
      <c r="B1832" s="89">
        <v>990</v>
      </c>
      <c r="C1832" s="90" t="s">
        <v>401</v>
      </c>
      <c r="D1832" s="90" t="s">
        <v>822</v>
      </c>
      <c r="E1832" s="114">
        <v>8</v>
      </c>
      <c r="F1832" s="90" t="s">
        <v>7404</v>
      </c>
      <c r="G1832" s="91" t="s">
        <v>3764</v>
      </c>
      <c r="H1832" s="98" t="s">
        <v>16</v>
      </c>
      <c r="I1832" s="99" t="s">
        <v>375</v>
      </c>
      <c r="J1832" s="83" t="s">
        <v>404</v>
      </c>
      <c r="K1832" s="89" t="s">
        <v>6655</v>
      </c>
      <c r="L1832" s="89" t="s">
        <v>506</v>
      </c>
      <c r="M1832" s="89" t="s">
        <v>4247</v>
      </c>
      <c r="N1832" s="89" t="s">
        <v>459</v>
      </c>
      <c r="O1832" s="92" t="s">
        <v>6681</v>
      </c>
      <c r="P1832" s="110"/>
      <c r="Q1832" s="85" t="s">
        <v>821</v>
      </c>
      <c r="R1832" s="92" t="s">
        <v>6682</v>
      </c>
      <c r="S1832" s="103" t="s">
        <v>6683</v>
      </c>
      <c r="T1832" s="88" t="s">
        <v>3743</v>
      </c>
      <c r="U1832" s="50" t="s">
        <v>7764</v>
      </c>
      <c r="V1832" s="118" t="str">
        <f>+Agencia[[#This Row],[idcoleccion]]&amp;"-"&amp;Agencia[[#This Row],[id]]</f>
        <v>990-1821</v>
      </c>
      <c r="W1832" s="121">
        <v>99200008</v>
      </c>
      <c r="X1832" s="118" t="str">
        <f>+VLOOKUP(Agencia[[#This Row],[tema]],Estructura!$A$4:$C$500,3,0)</f>
        <v>T-1085</v>
      </c>
      <c r="Y1832" s="118" t="str">
        <f>+VLOOKUP(Agencia[[#This Row],[contenido]],Estructura!$E$4:$G$500,3,0)</f>
        <v>C-998</v>
      </c>
      <c r="Z1832" s="118" t="str">
        <f>+VLOOKUP(Agencia[[#This Row],[Filtro Integrado]],Estructura!$I$4:$K$500,3,0)</f>
        <v>FI-993</v>
      </c>
      <c r="AA1832" s="118" t="str">
        <f>+VLOOKUP(Agencia[[#This Row],[Muestra]],Estructura!$M$4:$O$500,3,0)</f>
        <v>M-1155</v>
      </c>
    </row>
    <row r="1833" spans="1:27" ht="60" x14ac:dyDescent="0.3">
      <c r="A1833" s="21" t="s">
        <v>8100</v>
      </c>
      <c r="B1833" s="89">
        <v>990</v>
      </c>
      <c r="C1833" s="90" t="s">
        <v>401</v>
      </c>
      <c r="D1833" s="90" t="s">
        <v>822</v>
      </c>
      <c r="E1833" s="114">
        <v>9</v>
      </c>
      <c r="F1833" s="90" t="s">
        <v>7404</v>
      </c>
      <c r="G1833" s="91" t="s">
        <v>3764</v>
      </c>
      <c r="H1833" s="98" t="s">
        <v>16</v>
      </c>
      <c r="I1833" s="99" t="s">
        <v>376</v>
      </c>
      <c r="J1833" s="83" t="s">
        <v>404</v>
      </c>
      <c r="K1833" s="89" t="s">
        <v>6655</v>
      </c>
      <c r="L1833" s="89" t="s">
        <v>506</v>
      </c>
      <c r="M1833" s="89" t="s">
        <v>4247</v>
      </c>
      <c r="N1833" s="89" t="s">
        <v>459</v>
      </c>
      <c r="O1833" s="92" t="s">
        <v>6684</v>
      </c>
      <c r="P1833" s="110"/>
      <c r="Q1833" s="85" t="s">
        <v>821</v>
      </c>
      <c r="R1833" s="92" t="s">
        <v>6685</v>
      </c>
      <c r="S1833" s="103" t="s">
        <v>6686</v>
      </c>
      <c r="T1833" s="88" t="s">
        <v>3734</v>
      </c>
      <c r="U1833" s="50" t="s">
        <v>7765</v>
      </c>
      <c r="V1833" s="118" t="str">
        <f>+Agencia[[#This Row],[idcoleccion]]&amp;"-"&amp;Agencia[[#This Row],[id]]</f>
        <v>990-1822</v>
      </c>
      <c r="W1833" s="121">
        <v>99200009</v>
      </c>
      <c r="X1833" s="118" t="str">
        <f>+VLOOKUP(Agencia[[#This Row],[tema]],Estructura!$A$4:$C$500,3,0)</f>
        <v>T-1085</v>
      </c>
      <c r="Y1833" s="118" t="str">
        <f>+VLOOKUP(Agencia[[#This Row],[contenido]],Estructura!$E$4:$G$500,3,0)</f>
        <v>C-998</v>
      </c>
      <c r="Z1833" s="118" t="str">
        <f>+VLOOKUP(Agencia[[#This Row],[Filtro Integrado]],Estructura!$I$4:$K$500,3,0)</f>
        <v>FI-993</v>
      </c>
      <c r="AA1833" s="118" t="str">
        <f>+VLOOKUP(Agencia[[#This Row],[Muestra]],Estructura!$M$4:$O$500,3,0)</f>
        <v>M-1155</v>
      </c>
    </row>
    <row r="1834" spans="1:27" ht="60" x14ac:dyDescent="0.3">
      <c r="A1834" s="21" t="s">
        <v>8101</v>
      </c>
      <c r="B1834" s="89">
        <v>990</v>
      </c>
      <c r="C1834" s="90" t="s">
        <v>401</v>
      </c>
      <c r="D1834" s="90" t="s">
        <v>822</v>
      </c>
      <c r="E1834" s="114">
        <v>10</v>
      </c>
      <c r="F1834" s="90" t="s">
        <v>7404</v>
      </c>
      <c r="G1834" s="91" t="s">
        <v>3764</v>
      </c>
      <c r="H1834" s="98" t="s">
        <v>16</v>
      </c>
      <c r="I1834" s="99" t="s">
        <v>377</v>
      </c>
      <c r="J1834" s="83" t="s">
        <v>404</v>
      </c>
      <c r="K1834" s="89" t="s">
        <v>6655</v>
      </c>
      <c r="L1834" s="89" t="s">
        <v>506</v>
      </c>
      <c r="M1834" s="89" t="s">
        <v>4247</v>
      </c>
      <c r="N1834" s="89" t="s">
        <v>459</v>
      </c>
      <c r="O1834" s="92" t="s">
        <v>6687</v>
      </c>
      <c r="P1834" s="110"/>
      <c r="Q1834" s="85" t="s">
        <v>821</v>
      </c>
      <c r="R1834" s="92" t="s">
        <v>6688</v>
      </c>
      <c r="S1834" s="103" t="s">
        <v>6689</v>
      </c>
      <c r="T1834" s="88" t="s">
        <v>3735</v>
      </c>
      <c r="U1834" s="50" t="s">
        <v>7766</v>
      </c>
      <c r="V1834" s="118" t="str">
        <f>+Agencia[[#This Row],[idcoleccion]]&amp;"-"&amp;Agencia[[#This Row],[id]]</f>
        <v>990-1823</v>
      </c>
      <c r="W1834" s="121">
        <v>99200010</v>
      </c>
      <c r="X1834" s="118" t="str">
        <f>+VLOOKUP(Agencia[[#This Row],[tema]],Estructura!$A$4:$C$500,3,0)</f>
        <v>T-1085</v>
      </c>
      <c r="Y1834" s="118" t="str">
        <f>+VLOOKUP(Agencia[[#This Row],[contenido]],Estructura!$E$4:$G$500,3,0)</f>
        <v>C-998</v>
      </c>
      <c r="Z1834" s="118" t="str">
        <f>+VLOOKUP(Agencia[[#This Row],[Filtro Integrado]],Estructura!$I$4:$K$500,3,0)</f>
        <v>FI-993</v>
      </c>
      <c r="AA1834" s="118" t="str">
        <f>+VLOOKUP(Agencia[[#This Row],[Muestra]],Estructura!$M$4:$O$500,3,0)</f>
        <v>M-1155</v>
      </c>
    </row>
    <row r="1835" spans="1:27" ht="60" x14ac:dyDescent="0.3">
      <c r="A1835" s="21" t="s">
        <v>8102</v>
      </c>
      <c r="B1835" s="89">
        <v>990</v>
      </c>
      <c r="C1835" s="90" t="s">
        <v>401</v>
      </c>
      <c r="D1835" s="90" t="s">
        <v>822</v>
      </c>
      <c r="E1835" s="114">
        <v>11</v>
      </c>
      <c r="F1835" s="90" t="s">
        <v>7404</v>
      </c>
      <c r="G1835" s="91" t="s">
        <v>3764</v>
      </c>
      <c r="H1835" s="98" t="s">
        <v>16</v>
      </c>
      <c r="I1835" s="99" t="s">
        <v>378</v>
      </c>
      <c r="J1835" s="83" t="s">
        <v>404</v>
      </c>
      <c r="K1835" s="89" t="s">
        <v>6655</v>
      </c>
      <c r="L1835" s="89" t="s">
        <v>506</v>
      </c>
      <c r="M1835" s="89" t="s">
        <v>4247</v>
      </c>
      <c r="N1835" s="89" t="s">
        <v>459</v>
      </c>
      <c r="O1835" s="92" t="s">
        <v>6690</v>
      </c>
      <c r="P1835" s="110"/>
      <c r="Q1835" s="85" t="s">
        <v>821</v>
      </c>
      <c r="R1835" s="92" t="s">
        <v>6691</v>
      </c>
      <c r="S1835" s="103" t="s">
        <v>6692</v>
      </c>
      <c r="T1835" s="88" t="s">
        <v>3732</v>
      </c>
      <c r="U1835" s="50" t="s">
        <v>7767</v>
      </c>
      <c r="V1835" s="118" t="str">
        <f>+Agencia[[#This Row],[idcoleccion]]&amp;"-"&amp;Agencia[[#This Row],[id]]</f>
        <v>990-1824</v>
      </c>
      <c r="W1835" s="121">
        <v>99200011</v>
      </c>
      <c r="X1835" s="118" t="str">
        <f>+VLOOKUP(Agencia[[#This Row],[tema]],Estructura!$A$4:$C$500,3,0)</f>
        <v>T-1085</v>
      </c>
      <c r="Y1835" s="118" t="str">
        <f>+VLOOKUP(Agencia[[#This Row],[contenido]],Estructura!$E$4:$G$500,3,0)</f>
        <v>C-998</v>
      </c>
      <c r="Z1835" s="118" t="str">
        <f>+VLOOKUP(Agencia[[#This Row],[Filtro Integrado]],Estructura!$I$4:$K$500,3,0)</f>
        <v>FI-993</v>
      </c>
      <c r="AA1835" s="118" t="str">
        <f>+VLOOKUP(Agencia[[#This Row],[Muestra]],Estructura!$M$4:$O$500,3,0)</f>
        <v>M-1155</v>
      </c>
    </row>
    <row r="1836" spans="1:27" ht="60" x14ac:dyDescent="0.3">
      <c r="A1836" s="21" t="s">
        <v>8103</v>
      </c>
      <c r="B1836" s="89">
        <v>990</v>
      </c>
      <c r="C1836" s="90" t="s">
        <v>401</v>
      </c>
      <c r="D1836" s="90" t="s">
        <v>822</v>
      </c>
      <c r="E1836" s="114">
        <v>12</v>
      </c>
      <c r="F1836" s="90" t="s">
        <v>7404</v>
      </c>
      <c r="G1836" s="91" t="s">
        <v>3764</v>
      </c>
      <c r="H1836" s="98" t="s">
        <v>16</v>
      </c>
      <c r="I1836" s="99" t="s">
        <v>379</v>
      </c>
      <c r="J1836" s="83" t="s">
        <v>404</v>
      </c>
      <c r="K1836" s="89" t="s">
        <v>6655</v>
      </c>
      <c r="L1836" s="89" t="s">
        <v>506</v>
      </c>
      <c r="M1836" s="89" t="s">
        <v>4247</v>
      </c>
      <c r="N1836" s="89" t="s">
        <v>459</v>
      </c>
      <c r="O1836" s="92" t="s">
        <v>6693</v>
      </c>
      <c r="P1836" s="110"/>
      <c r="Q1836" s="85" t="s">
        <v>821</v>
      </c>
      <c r="R1836" s="92" t="s">
        <v>6694</v>
      </c>
      <c r="S1836" s="103" t="s">
        <v>6695</v>
      </c>
      <c r="T1836" s="88" t="s">
        <v>3737</v>
      </c>
      <c r="U1836" s="50" t="s">
        <v>7768</v>
      </c>
      <c r="V1836" s="118" t="str">
        <f>+Agencia[[#This Row],[idcoleccion]]&amp;"-"&amp;Agencia[[#This Row],[id]]</f>
        <v>990-1825</v>
      </c>
      <c r="W1836" s="121">
        <v>99200012</v>
      </c>
      <c r="X1836" s="118" t="str">
        <f>+VLOOKUP(Agencia[[#This Row],[tema]],Estructura!$A$4:$C$500,3,0)</f>
        <v>T-1085</v>
      </c>
      <c r="Y1836" s="118" t="str">
        <f>+VLOOKUP(Agencia[[#This Row],[contenido]],Estructura!$E$4:$G$500,3,0)</f>
        <v>C-998</v>
      </c>
      <c r="Z1836" s="118" t="str">
        <f>+VLOOKUP(Agencia[[#This Row],[Filtro Integrado]],Estructura!$I$4:$K$500,3,0)</f>
        <v>FI-993</v>
      </c>
      <c r="AA1836" s="118" t="str">
        <f>+VLOOKUP(Agencia[[#This Row],[Muestra]],Estructura!$M$4:$O$500,3,0)</f>
        <v>M-1155</v>
      </c>
    </row>
    <row r="1837" spans="1:27" ht="60" x14ac:dyDescent="0.3">
      <c r="A1837" s="21" t="s">
        <v>8104</v>
      </c>
      <c r="B1837" s="89">
        <v>990</v>
      </c>
      <c r="C1837" s="90" t="s">
        <v>401</v>
      </c>
      <c r="D1837" s="90" t="s">
        <v>822</v>
      </c>
      <c r="E1837" s="114">
        <v>13</v>
      </c>
      <c r="F1837" s="90" t="s">
        <v>7404</v>
      </c>
      <c r="G1837" s="91" t="s">
        <v>3764</v>
      </c>
      <c r="H1837" s="98" t="s">
        <v>16</v>
      </c>
      <c r="I1837" s="99" t="s">
        <v>380</v>
      </c>
      <c r="J1837" s="83" t="s">
        <v>404</v>
      </c>
      <c r="K1837" s="89" t="s">
        <v>6655</v>
      </c>
      <c r="L1837" s="89" t="s">
        <v>506</v>
      </c>
      <c r="M1837" s="89" t="s">
        <v>4247</v>
      </c>
      <c r="N1837" s="89" t="s">
        <v>459</v>
      </c>
      <c r="O1837" s="92" t="s">
        <v>6696</v>
      </c>
      <c r="P1837" s="110"/>
      <c r="Q1837" s="85" t="s">
        <v>821</v>
      </c>
      <c r="R1837" s="92" t="s">
        <v>6697</v>
      </c>
      <c r="S1837" s="103" t="s">
        <v>6698</v>
      </c>
      <c r="T1837" s="88" t="s">
        <v>3744</v>
      </c>
      <c r="U1837" s="50" t="s">
        <v>7769</v>
      </c>
      <c r="V1837" s="118" t="str">
        <f>+Agencia[[#This Row],[idcoleccion]]&amp;"-"&amp;Agencia[[#This Row],[id]]</f>
        <v>990-1826</v>
      </c>
      <c r="W1837" s="121">
        <v>99200013</v>
      </c>
      <c r="X1837" s="118" t="str">
        <f>+VLOOKUP(Agencia[[#This Row],[tema]],Estructura!$A$4:$C$500,3,0)</f>
        <v>T-1085</v>
      </c>
      <c r="Y1837" s="118" t="str">
        <f>+VLOOKUP(Agencia[[#This Row],[contenido]],Estructura!$E$4:$G$500,3,0)</f>
        <v>C-998</v>
      </c>
      <c r="Z1837" s="118" t="str">
        <f>+VLOOKUP(Agencia[[#This Row],[Filtro Integrado]],Estructura!$I$4:$K$500,3,0)</f>
        <v>FI-993</v>
      </c>
      <c r="AA1837" s="118" t="str">
        <f>+VLOOKUP(Agencia[[#This Row],[Muestra]],Estructura!$M$4:$O$500,3,0)</f>
        <v>M-1155</v>
      </c>
    </row>
    <row r="1838" spans="1:27" ht="60" x14ac:dyDescent="0.3">
      <c r="A1838" s="21" t="s">
        <v>8105</v>
      </c>
      <c r="B1838" s="89">
        <v>990</v>
      </c>
      <c r="C1838" s="90" t="s">
        <v>401</v>
      </c>
      <c r="D1838" s="90" t="s">
        <v>822</v>
      </c>
      <c r="E1838" s="114">
        <v>14</v>
      </c>
      <c r="F1838" s="90" t="s">
        <v>7404</v>
      </c>
      <c r="G1838" s="91" t="s">
        <v>3764</v>
      </c>
      <c r="H1838" s="98" t="s">
        <v>16</v>
      </c>
      <c r="I1838" s="99" t="s">
        <v>381</v>
      </c>
      <c r="J1838" s="83" t="s">
        <v>404</v>
      </c>
      <c r="K1838" s="89" t="s">
        <v>6655</v>
      </c>
      <c r="L1838" s="89" t="s">
        <v>506</v>
      </c>
      <c r="M1838" s="89" t="s">
        <v>4247</v>
      </c>
      <c r="N1838" s="89" t="s">
        <v>459</v>
      </c>
      <c r="O1838" s="92" t="s">
        <v>6699</v>
      </c>
      <c r="P1838" s="110"/>
      <c r="Q1838" s="85" t="s">
        <v>821</v>
      </c>
      <c r="R1838" s="92" t="s">
        <v>6700</v>
      </c>
      <c r="S1838" s="103" t="s">
        <v>6701</v>
      </c>
      <c r="T1838" s="88" t="s">
        <v>3736</v>
      </c>
      <c r="U1838" s="50" t="s">
        <v>7770</v>
      </c>
      <c r="V1838" s="118" t="str">
        <f>+Agencia[[#This Row],[idcoleccion]]&amp;"-"&amp;Agencia[[#This Row],[id]]</f>
        <v>990-1827</v>
      </c>
      <c r="W1838" s="121">
        <v>99200014</v>
      </c>
      <c r="X1838" s="118" t="str">
        <f>+VLOOKUP(Agencia[[#This Row],[tema]],Estructura!$A$4:$C$500,3,0)</f>
        <v>T-1085</v>
      </c>
      <c r="Y1838" s="118" t="str">
        <f>+VLOOKUP(Agencia[[#This Row],[contenido]],Estructura!$E$4:$G$500,3,0)</f>
        <v>C-998</v>
      </c>
      <c r="Z1838" s="118" t="str">
        <f>+VLOOKUP(Agencia[[#This Row],[Filtro Integrado]],Estructura!$I$4:$K$500,3,0)</f>
        <v>FI-993</v>
      </c>
      <c r="AA1838" s="118" t="str">
        <f>+VLOOKUP(Agencia[[#This Row],[Muestra]],Estructura!$M$4:$O$500,3,0)</f>
        <v>M-1155</v>
      </c>
    </row>
    <row r="1839" spans="1:27" ht="60" x14ac:dyDescent="0.3">
      <c r="A1839" s="21" t="s">
        <v>8106</v>
      </c>
      <c r="B1839" s="89">
        <v>990</v>
      </c>
      <c r="C1839" s="90" t="s">
        <v>401</v>
      </c>
      <c r="D1839" s="90" t="s">
        <v>822</v>
      </c>
      <c r="E1839" s="114">
        <v>15</v>
      </c>
      <c r="F1839" s="90" t="s">
        <v>7404</v>
      </c>
      <c r="G1839" s="91" t="s">
        <v>3764</v>
      </c>
      <c r="H1839" s="98" t="s">
        <v>16</v>
      </c>
      <c r="I1839" s="99" t="s">
        <v>382</v>
      </c>
      <c r="J1839" s="83" t="s">
        <v>404</v>
      </c>
      <c r="K1839" s="89" t="s">
        <v>6655</v>
      </c>
      <c r="L1839" s="89" t="s">
        <v>506</v>
      </c>
      <c r="M1839" s="89" t="s">
        <v>4247</v>
      </c>
      <c r="N1839" s="89" t="s">
        <v>459</v>
      </c>
      <c r="O1839" s="92" t="s">
        <v>6702</v>
      </c>
      <c r="P1839" s="110"/>
      <c r="Q1839" s="85" t="s">
        <v>821</v>
      </c>
      <c r="R1839" s="92" t="s">
        <v>6703</v>
      </c>
      <c r="S1839" s="103" t="s">
        <v>6704</v>
      </c>
      <c r="T1839" s="88" t="s">
        <v>3730</v>
      </c>
      <c r="U1839" s="50" t="s">
        <v>7771</v>
      </c>
      <c r="V1839" s="118" t="str">
        <f>+Agencia[[#This Row],[idcoleccion]]&amp;"-"&amp;Agencia[[#This Row],[id]]</f>
        <v>990-1828</v>
      </c>
      <c r="W1839" s="121">
        <v>99200015</v>
      </c>
      <c r="X1839" s="118" t="str">
        <f>+VLOOKUP(Agencia[[#This Row],[tema]],Estructura!$A$4:$C$500,3,0)</f>
        <v>T-1085</v>
      </c>
      <c r="Y1839" s="118" t="str">
        <f>+VLOOKUP(Agencia[[#This Row],[contenido]],Estructura!$E$4:$G$500,3,0)</f>
        <v>C-998</v>
      </c>
      <c r="Z1839" s="118" t="str">
        <f>+VLOOKUP(Agencia[[#This Row],[Filtro Integrado]],Estructura!$I$4:$K$500,3,0)</f>
        <v>FI-993</v>
      </c>
      <c r="AA1839" s="118" t="str">
        <f>+VLOOKUP(Agencia[[#This Row],[Muestra]],Estructura!$M$4:$O$500,3,0)</f>
        <v>M-1155</v>
      </c>
    </row>
    <row r="1840" spans="1:27" ht="60" x14ac:dyDescent="0.3">
      <c r="A1840" s="21" t="s">
        <v>8107</v>
      </c>
      <c r="B1840" s="89">
        <v>990</v>
      </c>
      <c r="C1840" s="90" t="s">
        <v>401</v>
      </c>
      <c r="D1840" s="90" t="s">
        <v>822</v>
      </c>
      <c r="E1840" s="114">
        <v>16</v>
      </c>
      <c r="F1840" s="90" t="s">
        <v>7404</v>
      </c>
      <c r="G1840" s="91" t="s">
        <v>3764</v>
      </c>
      <c r="H1840" s="98" t="s">
        <v>16</v>
      </c>
      <c r="I1840" s="99" t="s">
        <v>383</v>
      </c>
      <c r="J1840" s="83" t="s">
        <v>404</v>
      </c>
      <c r="K1840" s="89" t="s">
        <v>6655</v>
      </c>
      <c r="L1840" s="89" t="s">
        <v>506</v>
      </c>
      <c r="M1840" s="89" t="s">
        <v>4247</v>
      </c>
      <c r="N1840" s="89" t="s">
        <v>459</v>
      </c>
      <c r="O1840" s="92" t="s">
        <v>6705</v>
      </c>
      <c r="P1840" s="109"/>
      <c r="Q1840" s="93" t="s">
        <v>821</v>
      </c>
      <c r="R1840" s="92" t="s">
        <v>6706</v>
      </c>
      <c r="S1840" s="103" t="s">
        <v>6707</v>
      </c>
      <c r="T1840" s="94" t="s">
        <v>3739</v>
      </c>
      <c r="U1840" s="50" t="s">
        <v>7772</v>
      </c>
      <c r="V1840" s="118" t="str">
        <f>+Agencia[[#This Row],[idcoleccion]]&amp;"-"&amp;Agencia[[#This Row],[id]]</f>
        <v>990-1829</v>
      </c>
      <c r="W1840" s="121">
        <v>99200016</v>
      </c>
      <c r="X1840" s="118" t="str">
        <f>+VLOOKUP(Agencia[[#This Row],[tema]],Estructura!$A$4:$C$500,3,0)</f>
        <v>T-1085</v>
      </c>
      <c r="Y1840" s="118" t="str">
        <f>+VLOOKUP(Agencia[[#This Row],[contenido]],Estructura!$E$4:$G$500,3,0)</f>
        <v>C-998</v>
      </c>
      <c r="Z1840" s="118" t="str">
        <f>+VLOOKUP(Agencia[[#This Row],[Filtro Integrado]],Estructura!$I$4:$K$500,3,0)</f>
        <v>FI-993</v>
      </c>
      <c r="AA1840" s="118" t="str">
        <f>+VLOOKUP(Agencia[[#This Row],[Muestra]],Estructura!$M$4:$O$500,3,0)</f>
        <v>M-1155</v>
      </c>
    </row>
    <row r="1841" spans="1:27" ht="71.400000000000006" x14ac:dyDescent="0.3">
      <c r="A1841" s="21" t="s">
        <v>8108</v>
      </c>
      <c r="B1841" s="89">
        <v>990</v>
      </c>
      <c r="C1841" s="90" t="s">
        <v>401</v>
      </c>
      <c r="D1841" s="90" t="s">
        <v>822</v>
      </c>
      <c r="E1841" s="115">
        <v>0</v>
      </c>
      <c r="F1841" s="90" t="s">
        <v>7405</v>
      </c>
      <c r="G1841" s="91" t="s">
        <v>3764</v>
      </c>
      <c r="H1841" s="96" t="s">
        <v>20</v>
      </c>
      <c r="I1841" s="97" t="s">
        <v>15</v>
      </c>
      <c r="J1841" s="89" t="s">
        <v>16</v>
      </c>
      <c r="K1841" s="89" t="s">
        <v>6708</v>
      </c>
      <c r="L1841" s="89" t="s">
        <v>506</v>
      </c>
      <c r="M1841" s="89" t="s">
        <v>4247</v>
      </c>
      <c r="N1841" s="89" t="s">
        <v>459</v>
      </c>
      <c r="O1841" s="92" t="s">
        <v>6709</v>
      </c>
      <c r="P1841" s="107" t="s">
        <v>6710</v>
      </c>
      <c r="Q1841" s="93" t="s">
        <v>821</v>
      </c>
      <c r="R1841" s="92" t="s">
        <v>6711</v>
      </c>
      <c r="S1841" s="104" t="s">
        <v>6712</v>
      </c>
      <c r="T1841" s="94" t="s">
        <v>1033</v>
      </c>
      <c r="U1841" s="50" t="s">
        <v>7773</v>
      </c>
      <c r="V1841" s="118" t="str">
        <f>+Agencia[[#This Row],[idcoleccion]]&amp;"-"&amp;Agencia[[#This Row],[id]]</f>
        <v>990-1830</v>
      </c>
      <c r="W1841" s="121">
        <v>99100000</v>
      </c>
      <c r="X1841" s="118" t="str">
        <f>+VLOOKUP(Agencia[[#This Row],[tema]],Estructura!$A$4:$C$500,3,0)</f>
        <v>T-1086</v>
      </c>
      <c r="Y1841" s="118" t="str">
        <f>+VLOOKUP(Agencia[[#This Row],[contenido]],Estructura!$E$4:$G$500,3,0)</f>
        <v>C-998</v>
      </c>
      <c r="Z1841" s="118" t="str">
        <f>+VLOOKUP(Agencia[[#This Row],[Filtro Integrado]],Estructura!$I$4:$K$500,3,0)</f>
        <v>FI-992</v>
      </c>
      <c r="AA1841" s="118" t="str">
        <f>+VLOOKUP(Agencia[[#This Row],[Muestra]],Estructura!$M$4:$O$500,3,0)</f>
        <v>M-1156</v>
      </c>
    </row>
    <row r="1842" spans="1:27" ht="48" x14ac:dyDescent="0.3">
      <c r="A1842" s="21" t="s">
        <v>8109</v>
      </c>
      <c r="B1842" s="89">
        <v>990</v>
      </c>
      <c r="C1842" s="90" t="s">
        <v>401</v>
      </c>
      <c r="D1842" s="90" t="s">
        <v>822</v>
      </c>
      <c r="E1842" s="114">
        <v>1</v>
      </c>
      <c r="F1842" s="90" t="s">
        <v>7405</v>
      </c>
      <c r="G1842" s="91" t="s">
        <v>3764</v>
      </c>
      <c r="H1842" s="98" t="s">
        <v>16</v>
      </c>
      <c r="I1842" s="99" t="s">
        <v>368</v>
      </c>
      <c r="J1842" s="83" t="s">
        <v>404</v>
      </c>
      <c r="K1842" s="89" t="s">
        <v>6708</v>
      </c>
      <c r="L1842" s="89" t="s">
        <v>506</v>
      </c>
      <c r="M1842" s="89" t="s">
        <v>4247</v>
      </c>
      <c r="N1842" s="89" t="s">
        <v>459</v>
      </c>
      <c r="O1842" s="92" t="s">
        <v>6713</v>
      </c>
      <c r="P1842" s="110"/>
      <c r="Q1842" s="85" t="s">
        <v>821</v>
      </c>
      <c r="R1842" s="87" t="s">
        <v>6661</v>
      </c>
      <c r="S1842" s="103" t="s">
        <v>6714</v>
      </c>
      <c r="T1842" s="88" t="s">
        <v>3741</v>
      </c>
      <c r="U1842" s="50" t="s">
        <v>7774</v>
      </c>
      <c r="V1842" s="118" t="str">
        <f>+Agencia[[#This Row],[idcoleccion]]&amp;"-"&amp;Agencia[[#This Row],[id]]</f>
        <v>990-1831</v>
      </c>
      <c r="W1842" s="121">
        <v>99200001</v>
      </c>
      <c r="X1842" s="118" t="str">
        <f>+VLOOKUP(Agencia[[#This Row],[tema]],Estructura!$A$4:$C$500,3,0)</f>
        <v>T-1086</v>
      </c>
      <c r="Y1842" s="118" t="str">
        <f>+VLOOKUP(Agencia[[#This Row],[contenido]],Estructura!$E$4:$G$500,3,0)</f>
        <v>C-998</v>
      </c>
      <c r="Z1842" s="118" t="str">
        <f>+VLOOKUP(Agencia[[#This Row],[Filtro Integrado]],Estructura!$I$4:$K$500,3,0)</f>
        <v>FI-993</v>
      </c>
      <c r="AA1842" s="118" t="str">
        <f>+VLOOKUP(Agencia[[#This Row],[Muestra]],Estructura!$M$4:$O$500,3,0)</f>
        <v>M-1156</v>
      </c>
    </row>
    <row r="1843" spans="1:27" ht="48" x14ac:dyDescent="0.3">
      <c r="A1843" s="21" t="s">
        <v>8110</v>
      </c>
      <c r="B1843" s="89">
        <v>990</v>
      </c>
      <c r="C1843" s="90" t="s">
        <v>401</v>
      </c>
      <c r="D1843" s="90" t="s">
        <v>822</v>
      </c>
      <c r="E1843" s="114">
        <v>2</v>
      </c>
      <c r="F1843" s="90" t="s">
        <v>7405</v>
      </c>
      <c r="G1843" s="91" t="s">
        <v>3764</v>
      </c>
      <c r="H1843" s="98" t="s">
        <v>16</v>
      </c>
      <c r="I1843" s="99" t="s">
        <v>369</v>
      </c>
      <c r="J1843" s="83" t="s">
        <v>404</v>
      </c>
      <c r="K1843" s="89" t="s">
        <v>6708</v>
      </c>
      <c r="L1843" s="89" t="s">
        <v>506</v>
      </c>
      <c r="M1843" s="89" t="s">
        <v>4247</v>
      </c>
      <c r="N1843" s="89" t="s">
        <v>459</v>
      </c>
      <c r="O1843" s="92" t="s">
        <v>6715</v>
      </c>
      <c r="P1843" s="110"/>
      <c r="Q1843" s="85" t="s">
        <v>821</v>
      </c>
      <c r="R1843" s="87" t="s">
        <v>6664</v>
      </c>
      <c r="S1843" s="103" t="s">
        <v>6716</v>
      </c>
      <c r="T1843" s="88" t="s">
        <v>3729</v>
      </c>
      <c r="U1843" s="50" t="s">
        <v>7775</v>
      </c>
      <c r="V1843" s="118" t="str">
        <f>+Agencia[[#This Row],[idcoleccion]]&amp;"-"&amp;Agencia[[#This Row],[id]]</f>
        <v>990-1832</v>
      </c>
      <c r="W1843" s="121">
        <v>99200002</v>
      </c>
      <c r="X1843" s="118" t="str">
        <f>+VLOOKUP(Agencia[[#This Row],[tema]],Estructura!$A$4:$C$500,3,0)</f>
        <v>T-1086</v>
      </c>
      <c r="Y1843" s="118" t="str">
        <f>+VLOOKUP(Agencia[[#This Row],[contenido]],Estructura!$E$4:$G$500,3,0)</f>
        <v>C-998</v>
      </c>
      <c r="Z1843" s="118" t="str">
        <f>+VLOOKUP(Agencia[[#This Row],[Filtro Integrado]],Estructura!$I$4:$K$500,3,0)</f>
        <v>FI-993</v>
      </c>
      <c r="AA1843" s="118" t="str">
        <f>+VLOOKUP(Agencia[[#This Row],[Muestra]],Estructura!$M$4:$O$500,3,0)</f>
        <v>M-1156</v>
      </c>
    </row>
    <row r="1844" spans="1:27" ht="48" x14ac:dyDescent="0.3">
      <c r="A1844" s="21" t="s">
        <v>8111</v>
      </c>
      <c r="B1844" s="89">
        <v>990</v>
      </c>
      <c r="C1844" s="90" t="s">
        <v>401</v>
      </c>
      <c r="D1844" s="90" t="s">
        <v>822</v>
      </c>
      <c r="E1844" s="114">
        <v>3</v>
      </c>
      <c r="F1844" s="90" t="s">
        <v>7405</v>
      </c>
      <c r="G1844" s="91" t="s">
        <v>3764</v>
      </c>
      <c r="H1844" s="98" t="s">
        <v>16</v>
      </c>
      <c r="I1844" s="99" t="s">
        <v>370</v>
      </c>
      <c r="J1844" s="83" t="s">
        <v>404</v>
      </c>
      <c r="K1844" s="89" t="s">
        <v>6708</v>
      </c>
      <c r="L1844" s="89" t="s">
        <v>506</v>
      </c>
      <c r="M1844" s="89" t="s">
        <v>4247</v>
      </c>
      <c r="N1844" s="89" t="s">
        <v>459</v>
      </c>
      <c r="O1844" s="92" t="s">
        <v>6717</v>
      </c>
      <c r="P1844" s="110"/>
      <c r="Q1844" s="85" t="s">
        <v>821</v>
      </c>
      <c r="R1844" s="87" t="s">
        <v>6667</v>
      </c>
      <c r="S1844" s="103" t="s">
        <v>6718</v>
      </c>
      <c r="T1844" s="88" t="s">
        <v>3731</v>
      </c>
      <c r="U1844" s="50" t="s">
        <v>7776</v>
      </c>
      <c r="V1844" s="118" t="str">
        <f>+Agencia[[#This Row],[idcoleccion]]&amp;"-"&amp;Agencia[[#This Row],[id]]</f>
        <v>990-1833</v>
      </c>
      <c r="W1844" s="121">
        <v>99200003</v>
      </c>
      <c r="X1844" s="118" t="str">
        <f>+VLOOKUP(Agencia[[#This Row],[tema]],Estructura!$A$4:$C$500,3,0)</f>
        <v>T-1086</v>
      </c>
      <c r="Y1844" s="118" t="str">
        <f>+VLOOKUP(Agencia[[#This Row],[contenido]],Estructura!$E$4:$G$500,3,0)</f>
        <v>C-998</v>
      </c>
      <c r="Z1844" s="118" t="str">
        <f>+VLOOKUP(Agencia[[#This Row],[Filtro Integrado]],Estructura!$I$4:$K$500,3,0)</f>
        <v>FI-993</v>
      </c>
      <c r="AA1844" s="118" t="str">
        <f>+VLOOKUP(Agencia[[#This Row],[Muestra]],Estructura!$M$4:$O$500,3,0)</f>
        <v>M-1156</v>
      </c>
    </row>
    <row r="1845" spans="1:27" ht="48" x14ac:dyDescent="0.3">
      <c r="A1845" s="21" t="s">
        <v>8112</v>
      </c>
      <c r="B1845" s="89">
        <v>990</v>
      </c>
      <c r="C1845" s="90" t="s">
        <v>401</v>
      </c>
      <c r="D1845" s="90" t="s">
        <v>822</v>
      </c>
      <c r="E1845" s="114">
        <v>4</v>
      </c>
      <c r="F1845" s="90" t="s">
        <v>7405</v>
      </c>
      <c r="G1845" s="91" t="s">
        <v>3764</v>
      </c>
      <c r="H1845" s="98" t="s">
        <v>16</v>
      </c>
      <c r="I1845" s="99" t="s">
        <v>371</v>
      </c>
      <c r="J1845" s="83" t="s">
        <v>404</v>
      </c>
      <c r="K1845" s="89" t="s">
        <v>6708</v>
      </c>
      <c r="L1845" s="89" t="s">
        <v>506</v>
      </c>
      <c r="M1845" s="89" t="s">
        <v>4247</v>
      </c>
      <c r="N1845" s="89" t="s">
        <v>459</v>
      </c>
      <c r="O1845" s="92" t="s">
        <v>6719</v>
      </c>
      <c r="P1845" s="110"/>
      <c r="Q1845" s="85" t="s">
        <v>821</v>
      </c>
      <c r="R1845" s="87" t="s">
        <v>6670</v>
      </c>
      <c r="S1845" s="103" t="s">
        <v>6720</v>
      </c>
      <c r="T1845" s="88" t="s">
        <v>3733</v>
      </c>
      <c r="U1845" s="50" t="s">
        <v>7777</v>
      </c>
      <c r="V1845" s="118" t="str">
        <f>+Agencia[[#This Row],[idcoleccion]]&amp;"-"&amp;Agencia[[#This Row],[id]]</f>
        <v>990-1834</v>
      </c>
      <c r="W1845" s="121">
        <v>99200004</v>
      </c>
      <c r="X1845" s="118" t="str">
        <f>+VLOOKUP(Agencia[[#This Row],[tema]],Estructura!$A$4:$C$500,3,0)</f>
        <v>T-1086</v>
      </c>
      <c r="Y1845" s="118" t="str">
        <f>+VLOOKUP(Agencia[[#This Row],[contenido]],Estructura!$E$4:$G$500,3,0)</f>
        <v>C-998</v>
      </c>
      <c r="Z1845" s="118" t="str">
        <f>+VLOOKUP(Agencia[[#This Row],[Filtro Integrado]],Estructura!$I$4:$K$500,3,0)</f>
        <v>FI-993</v>
      </c>
      <c r="AA1845" s="118" t="str">
        <f>+VLOOKUP(Agencia[[#This Row],[Muestra]],Estructura!$M$4:$O$500,3,0)</f>
        <v>M-1156</v>
      </c>
    </row>
    <row r="1846" spans="1:27" ht="48" x14ac:dyDescent="0.3">
      <c r="A1846" s="21" t="s">
        <v>8113</v>
      </c>
      <c r="B1846" s="89">
        <v>990</v>
      </c>
      <c r="C1846" s="90" t="s">
        <v>401</v>
      </c>
      <c r="D1846" s="90" t="s">
        <v>822</v>
      </c>
      <c r="E1846" s="114">
        <v>5</v>
      </c>
      <c r="F1846" s="90" t="s">
        <v>7405</v>
      </c>
      <c r="G1846" s="91" t="s">
        <v>3764</v>
      </c>
      <c r="H1846" s="98" t="s">
        <v>16</v>
      </c>
      <c r="I1846" s="99" t="s">
        <v>372</v>
      </c>
      <c r="J1846" s="83" t="s">
        <v>404</v>
      </c>
      <c r="K1846" s="89" t="s">
        <v>6708</v>
      </c>
      <c r="L1846" s="89" t="s">
        <v>506</v>
      </c>
      <c r="M1846" s="89" t="s">
        <v>4247</v>
      </c>
      <c r="N1846" s="89" t="s">
        <v>459</v>
      </c>
      <c r="O1846" s="92" t="s">
        <v>6721</v>
      </c>
      <c r="P1846" s="110"/>
      <c r="Q1846" s="85" t="s">
        <v>821</v>
      </c>
      <c r="R1846" s="87" t="s">
        <v>6673</v>
      </c>
      <c r="S1846" s="103" t="s">
        <v>6722</v>
      </c>
      <c r="T1846" s="88" t="s">
        <v>3742</v>
      </c>
      <c r="U1846" s="50" t="s">
        <v>7778</v>
      </c>
      <c r="V1846" s="118" t="str">
        <f>+Agencia[[#This Row],[idcoleccion]]&amp;"-"&amp;Agencia[[#This Row],[id]]</f>
        <v>990-1835</v>
      </c>
      <c r="W1846" s="121">
        <v>99200005</v>
      </c>
      <c r="X1846" s="118" t="str">
        <f>+VLOOKUP(Agencia[[#This Row],[tema]],Estructura!$A$4:$C$500,3,0)</f>
        <v>T-1086</v>
      </c>
      <c r="Y1846" s="118" t="str">
        <f>+VLOOKUP(Agencia[[#This Row],[contenido]],Estructura!$E$4:$G$500,3,0)</f>
        <v>C-998</v>
      </c>
      <c r="Z1846" s="118" t="str">
        <f>+VLOOKUP(Agencia[[#This Row],[Filtro Integrado]],Estructura!$I$4:$K$500,3,0)</f>
        <v>FI-993</v>
      </c>
      <c r="AA1846" s="118" t="str">
        <f>+VLOOKUP(Agencia[[#This Row],[Muestra]],Estructura!$M$4:$O$500,3,0)</f>
        <v>M-1156</v>
      </c>
    </row>
    <row r="1847" spans="1:27" ht="48" x14ac:dyDescent="0.3">
      <c r="A1847" s="21" t="s">
        <v>8114</v>
      </c>
      <c r="B1847" s="89">
        <v>990</v>
      </c>
      <c r="C1847" s="90" t="s">
        <v>401</v>
      </c>
      <c r="D1847" s="90" t="s">
        <v>822</v>
      </c>
      <c r="E1847" s="114">
        <v>6</v>
      </c>
      <c r="F1847" s="90" t="s">
        <v>7405</v>
      </c>
      <c r="G1847" s="91" t="s">
        <v>3764</v>
      </c>
      <c r="H1847" s="98" t="s">
        <v>16</v>
      </c>
      <c r="I1847" s="99" t="s">
        <v>373</v>
      </c>
      <c r="J1847" s="83" t="s">
        <v>404</v>
      </c>
      <c r="K1847" s="89" t="s">
        <v>6708</v>
      </c>
      <c r="L1847" s="89" t="s">
        <v>506</v>
      </c>
      <c r="M1847" s="89" t="s">
        <v>4247</v>
      </c>
      <c r="N1847" s="89" t="s">
        <v>459</v>
      </c>
      <c r="O1847" s="92" t="s">
        <v>6723</v>
      </c>
      <c r="P1847" s="110"/>
      <c r="Q1847" s="85" t="s">
        <v>821</v>
      </c>
      <c r="R1847" s="87" t="s">
        <v>6724</v>
      </c>
      <c r="S1847" s="103" t="s">
        <v>6725</v>
      </c>
      <c r="T1847" s="88" t="s">
        <v>3740</v>
      </c>
      <c r="U1847" s="50" t="s">
        <v>7779</v>
      </c>
      <c r="V1847" s="118" t="str">
        <f>+Agencia[[#This Row],[idcoleccion]]&amp;"-"&amp;Agencia[[#This Row],[id]]</f>
        <v>990-1836</v>
      </c>
      <c r="W1847" s="121">
        <v>99200006</v>
      </c>
      <c r="X1847" s="118" t="str">
        <f>+VLOOKUP(Agencia[[#This Row],[tema]],Estructura!$A$4:$C$500,3,0)</f>
        <v>T-1086</v>
      </c>
      <c r="Y1847" s="118" t="str">
        <f>+VLOOKUP(Agencia[[#This Row],[contenido]],Estructura!$E$4:$G$500,3,0)</f>
        <v>C-998</v>
      </c>
      <c r="Z1847" s="118" t="str">
        <f>+VLOOKUP(Agencia[[#This Row],[Filtro Integrado]],Estructura!$I$4:$K$500,3,0)</f>
        <v>FI-993</v>
      </c>
      <c r="AA1847" s="118" t="str">
        <f>+VLOOKUP(Agencia[[#This Row],[Muestra]],Estructura!$M$4:$O$500,3,0)</f>
        <v>M-1156</v>
      </c>
    </row>
    <row r="1848" spans="1:27" ht="48" x14ac:dyDescent="0.3">
      <c r="A1848" s="21" t="s">
        <v>8115</v>
      </c>
      <c r="B1848" s="89">
        <v>990</v>
      </c>
      <c r="C1848" s="90" t="s">
        <v>401</v>
      </c>
      <c r="D1848" s="90" t="s">
        <v>822</v>
      </c>
      <c r="E1848" s="114">
        <v>7</v>
      </c>
      <c r="F1848" s="90" t="s">
        <v>7405</v>
      </c>
      <c r="G1848" s="91" t="s">
        <v>3764</v>
      </c>
      <c r="H1848" s="98" t="s">
        <v>16</v>
      </c>
      <c r="I1848" s="99" t="s">
        <v>374</v>
      </c>
      <c r="J1848" s="83" t="s">
        <v>404</v>
      </c>
      <c r="K1848" s="89" t="s">
        <v>6708</v>
      </c>
      <c r="L1848" s="89" t="s">
        <v>506</v>
      </c>
      <c r="M1848" s="89" t="s">
        <v>4247</v>
      </c>
      <c r="N1848" s="89" t="s">
        <v>459</v>
      </c>
      <c r="O1848" s="92" t="s">
        <v>6726</v>
      </c>
      <c r="P1848" s="110"/>
      <c r="Q1848" s="85" t="s">
        <v>821</v>
      </c>
      <c r="R1848" s="87" t="s">
        <v>6679</v>
      </c>
      <c r="S1848" s="103" t="s">
        <v>6727</v>
      </c>
      <c r="T1848" s="88" t="s">
        <v>3738</v>
      </c>
      <c r="U1848" s="50" t="s">
        <v>7780</v>
      </c>
      <c r="V1848" s="118" t="str">
        <f>+Agencia[[#This Row],[idcoleccion]]&amp;"-"&amp;Agencia[[#This Row],[id]]</f>
        <v>990-1837</v>
      </c>
      <c r="W1848" s="121">
        <v>99200007</v>
      </c>
      <c r="X1848" s="118" t="str">
        <f>+VLOOKUP(Agencia[[#This Row],[tema]],Estructura!$A$4:$C$500,3,0)</f>
        <v>T-1086</v>
      </c>
      <c r="Y1848" s="118" t="str">
        <f>+VLOOKUP(Agencia[[#This Row],[contenido]],Estructura!$E$4:$G$500,3,0)</f>
        <v>C-998</v>
      </c>
      <c r="Z1848" s="118" t="str">
        <f>+VLOOKUP(Agencia[[#This Row],[Filtro Integrado]],Estructura!$I$4:$K$500,3,0)</f>
        <v>FI-993</v>
      </c>
      <c r="AA1848" s="118" t="str">
        <f>+VLOOKUP(Agencia[[#This Row],[Muestra]],Estructura!$M$4:$O$500,3,0)</f>
        <v>M-1156</v>
      </c>
    </row>
    <row r="1849" spans="1:27" ht="48" x14ac:dyDescent="0.3">
      <c r="A1849" s="21" t="s">
        <v>8116</v>
      </c>
      <c r="B1849" s="89">
        <v>990</v>
      </c>
      <c r="C1849" s="90" t="s">
        <v>401</v>
      </c>
      <c r="D1849" s="90" t="s">
        <v>822</v>
      </c>
      <c r="E1849" s="114">
        <v>8</v>
      </c>
      <c r="F1849" s="90" t="s">
        <v>7405</v>
      </c>
      <c r="G1849" s="91" t="s">
        <v>3764</v>
      </c>
      <c r="H1849" s="98" t="s">
        <v>16</v>
      </c>
      <c r="I1849" s="99" t="s">
        <v>375</v>
      </c>
      <c r="J1849" s="83" t="s">
        <v>404</v>
      </c>
      <c r="K1849" s="89" t="s">
        <v>6708</v>
      </c>
      <c r="L1849" s="89" t="s">
        <v>506</v>
      </c>
      <c r="M1849" s="89" t="s">
        <v>4247</v>
      </c>
      <c r="N1849" s="89" t="s">
        <v>459</v>
      </c>
      <c r="O1849" s="92" t="s">
        <v>6728</v>
      </c>
      <c r="P1849" s="110"/>
      <c r="Q1849" s="85" t="s">
        <v>821</v>
      </c>
      <c r="R1849" s="87" t="s">
        <v>6729</v>
      </c>
      <c r="S1849" s="103" t="s">
        <v>6730</v>
      </c>
      <c r="T1849" s="88" t="s">
        <v>3743</v>
      </c>
      <c r="U1849" s="50" t="s">
        <v>7781</v>
      </c>
      <c r="V1849" s="118" t="str">
        <f>+Agencia[[#This Row],[idcoleccion]]&amp;"-"&amp;Agencia[[#This Row],[id]]</f>
        <v>990-1838</v>
      </c>
      <c r="W1849" s="121">
        <v>99200008</v>
      </c>
      <c r="X1849" s="118" t="str">
        <f>+VLOOKUP(Agencia[[#This Row],[tema]],Estructura!$A$4:$C$500,3,0)</f>
        <v>T-1086</v>
      </c>
      <c r="Y1849" s="118" t="str">
        <f>+VLOOKUP(Agencia[[#This Row],[contenido]],Estructura!$E$4:$G$500,3,0)</f>
        <v>C-998</v>
      </c>
      <c r="Z1849" s="118" t="str">
        <f>+VLOOKUP(Agencia[[#This Row],[Filtro Integrado]],Estructura!$I$4:$K$500,3,0)</f>
        <v>FI-993</v>
      </c>
      <c r="AA1849" s="118" t="str">
        <f>+VLOOKUP(Agencia[[#This Row],[Muestra]],Estructura!$M$4:$O$500,3,0)</f>
        <v>M-1156</v>
      </c>
    </row>
    <row r="1850" spans="1:27" ht="48" x14ac:dyDescent="0.3">
      <c r="A1850" s="21" t="s">
        <v>8117</v>
      </c>
      <c r="B1850" s="89">
        <v>990</v>
      </c>
      <c r="C1850" s="90" t="s">
        <v>401</v>
      </c>
      <c r="D1850" s="90" t="s">
        <v>822</v>
      </c>
      <c r="E1850" s="114">
        <v>9</v>
      </c>
      <c r="F1850" s="90" t="s">
        <v>7405</v>
      </c>
      <c r="G1850" s="91" t="s">
        <v>3764</v>
      </c>
      <c r="H1850" s="98" t="s">
        <v>16</v>
      </c>
      <c r="I1850" s="99" t="s">
        <v>376</v>
      </c>
      <c r="J1850" s="83" t="s">
        <v>404</v>
      </c>
      <c r="K1850" s="89" t="s">
        <v>6708</v>
      </c>
      <c r="L1850" s="89" t="s">
        <v>506</v>
      </c>
      <c r="M1850" s="89" t="s">
        <v>4247</v>
      </c>
      <c r="N1850" s="89" t="s">
        <v>459</v>
      </c>
      <c r="O1850" s="92" t="s">
        <v>6731</v>
      </c>
      <c r="P1850" s="110"/>
      <c r="Q1850" s="85" t="s">
        <v>821</v>
      </c>
      <c r="R1850" s="87" t="s">
        <v>6732</v>
      </c>
      <c r="S1850" s="103" t="s">
        <v>6733</v>
      </c>
      <c r="T1850" s="88" t="s">
        <v>3734</v>
      </c>
      <c r="U1850" s="50" t="s">
        <v>7782</v>
      </c>
      <c r="V1850" s="118" t="str">
        <f>+Agencia[[#This Row],[idcoleccion]]&amp;"-"&amp;Agencia[[#This Row],[id]]</f>
        <v>990-1839</v>
      </c>
      <c r="W1850" s="121">
        <v>99200009</v>
      </c>
      <c r="X1850" s="118" t="str">
        <f>+VLOOKUP(Agencia[[#This Row],[tema]],Estructura!$A$4:$C$500,3,0)</f>
        <v>T-1086</v>
      </c>
      <c r="Y1850" s="118" t="str">
        <f>+VLOOKUP(Agencia[[#This Row],[contenido]],Estructura!$E$4:$G$500,3,0)</f>
        <v>C-998</v>
      </c>
      <c r="Z1850" s="118" t="str">
        <f>+VLOOKUP(Agencia[[#This Row],[Filtro Integrado]],Estructura!$I$4:$K$500,3,0)</f>
        <v>FI-993</v>
      </c>
      <c r="AA1850" s="118" t="str">
        <f>+VLOOKUP(Agencia[[#This Row],[Muestra]],Estructura!$M$4:$O$500,3,0)</f>
        <v>M-1156</v>
      </c>
    </row>
    <row r="1851" spans="1:27" ht="48" x14ac:dyDescent="0.3">
      <c r="A1851" s="21" t="s">
        <v>8118</v>
      </c>
      <c r="B1851" s="89">
        <v>990</v>
      </c>
      <c r="C1851" s="90" t="s">
        <v>401</v>
      </c>
      <c r="D1851" s="90" t="s">
        <v>822</v>
      </c>
      <c r="E1851" s="114">
        <v>10</v>
      </c>
      <c r="F1851" s="90" t="s">
        <v>7405</v>
      </c>
      <c r="G1851" s="91" t="s">
        <v>3764</v>
      </c>
      <c r="H1851" s="98" t="s">
        <v>16</v>
      </c>
      <c r="I1851" s="99" t="s">
        <v>377</v>
      </c>
      <c r="J1851" s="83" t="s">
        <v>404</v>
      </c>
      <c r="K1851" s="89" t="s">
        <v>6708</v>
      </c>
      <c r="L1851" s="89" t="s">
        <v>506</v>
      </c>
      <c r="M1851" s="89" t="s">
        <v>4247</v>
      </c>
      <c r="N1851" s="89" t="s">
        <v>459</v>
      </c>
      <c r="O1851" s="92" t="s">
        <v>6734</v>
      </c>
      <c r="P1851" s="110"/>
      <c r="Q1851" s="85" t="s">
        <v>821</v>
      </c>
      <c r="R1851" s="87" t="s">
        <v>6735</v>
      </c>
      <c r="S1851" s="103" t="s">
        <v>6736</v>
      </c>
      <c r="T1851" s="88" t="s">
        <v>3735</v>
      </c>
      <c r="U1851" s="50" t="s">
        <v>7783</v>
      </c>
      <c r="V1851" s="118" t="str">
        <f>+Agencia[[#This Row],[idcoleccion]]&amp;"-"&amp;Agencia[[#This Row],[id]]</f>
        <v>990-1840</v>
      </c>
      <c r="W1851" s="121">
        <v>99200010</v>
      </c>
      <c r="X1851" s="118" t="str">
        <f>+VLOOKUP(Agencia[[#This Row],[tema]],Estructura!$A$4:$C$500,3,0)</f>
        <v>T-1086</v>
      </c>
      <c r="Y1851" s="118" t="str">
        <f>+VLOOKUP(Agencia[[#This Row],[contenido]],Estructura!$E$4:$G$500,3,0)</f>
        <v>C-998</v>
      </c>
      <c r="Z1851" s="118" t="str">
        <f>+VLOOKUP(Agencia[[#This Row],[Filtro Integrado]],Estructura!$I$4:$K$500,3,0)</f>
        <v>FI-993</v>
      </c>
      <c r="AA1851" s="118" t="str">
        <f>+VLOOKUP(Agencia[[#This Row],[Muestra]],Estructura!$M$4:$O$500,3,0)</f>
        <v>M-1156</v>
      </c>
    </row>
    <row r="1852" spans="1:27" ht="48" x14ac:dyDescent="0.3">
      <c r="A1852" s="21" t="s">
        <v>8119</v>
      </c>
      <c r="B1852" s="89">
        <v>990</v>
      </c>
      <c r="C1852" s="90" t="s">
        <v>401</v>
      </c>
      <c r="D1852" s="90" t="s">
        <v>822</v>
      </c>
      <c r="E1852" s="114">
        <v>11</v>
      </c>
      <c r="F1852" s="90" t="s">
        <v>7405</v>
      </c>
      <c r="G1852" s="91" t="s">
        <v>3764</v>
      </c>
      <c r="H1852" s="98" t="s">
        <v>16</v>
      </c>
      <c r="I1852" s="99" t="s">
        <v>378</v>
      </c>
      <c r="J1852" s="83" t="s">
        <v>404</v>
      </c>
      <c r="K1852" s="89" t="s">
        <v>6708</v>
      </c>
      <c r="L1852" s="89" t="s">
        <v>506</v>
      </c>
      <c r="M1852" s="89" t="s">
        <v>4247</v>
      </c>
      <c r="N1852" s="89" t="s">
        <v>459</v>
      </c>
      <c r="O1852" s="92" t="s">
        <v>6737</v>
      </c>
      <c r="P1852" s="110"/>
      <c r="Q1852" s="85" t="s">
        <v>821</v>
      </c>
      <c r="R1852" s="87" t="s">
        <v>6691</v>
      </c>
      <c r="S1852" s="103" t="s">
        <v>6738</v>
      </c>
      <c r="T1852" s="88" t="s">
        <v>3732</v>
      </c>
      <c r="U1852" s="50" t="s">
        <v>7784</v>
      </c>
      <c r="V1852" s="118" t="str">
        <f>+Agencia[[#This Row],[idcoleccion]]&amp;"-"&amp;Agencia[[#This Row],[id]]</f>
        <v>990-1841</v>
      </c>
      <c r="W1852" s="121">
        <v>99200011</v>
      </c>
      <c r="X1852" s="118" t="str">
        <f>+VLOOKUP(Agencia[[#This Row],[tema]],Estructura!$A$4:$C$500,3,0)</f>
        <v>T-1086</v>
      </c>
      <c r="Y1852" s="118" t="str">
        <f>+VLOOKUP(Agencia[[#This Row],[contenido]],Estructura!$E$4:$G$500,3,0)</f>
        <v>C-998</v>
      </c>
      <c r="Z1852" s="118" t="str">
        <f>+VLOOKUP(Agencia[[#This Row],[Filtro Integrado]],Estructura!$I$4:$K$500,3,0)</f>
        <v>FI-993</v>
      </c>
      <c r="AA1852" s="118" t="str">
        <f>+VLOOKUP(Agencia[[#This Row],[Muestra]],Estructura!$M$4:$O$500,3,0)</f>
        <v>M-1156</v>
      </c>
    </row>
    <row r="1853" spans="1:27" ht="48" x14ac:dyDescent="0.3">
      <c r="A1853" s="21" t="s">
        <v>8120</v>
      </c>
      <c r="B1853" s="89">
        <v>990</v>
      </c>
      <c r="C1853" s="90" t="s">
        <v>401</v>
      </c>
      <c r="D1853" s="90" t="s">
        <v>822</v>
      </c>
      <c r="E1853" s="114">
        <v>12</v>
      </c>
      <c r="F1853" s="90" t="s">
        <v>7405</v>
      </c>
      <c r="G1853" s="91" t="s">
        <v>3764</v>
      </c>
      <c r="H1853" s="98" t="s">
        <v>16</v>
      </c>
      <c r="I1853" s="99" t="s">
        <v>379</v>
      </c>
      <c r="J1853" s="83" t="s">
        <v>404</v>
      </c>
      <c r="K1853" s="89" t="s">
        <v>6708</v>
      </c>
      <c r="L1853" s="89" t="s">
        <v>506</v>
      </c>
      <c r="M1853" s="89" t="s">
        <v>4247</v>
      </c>
      <c r="N1853" s="89" t="s">
        <v>459</v>
      </c>
      <c r="O1853" s="92" t="s">
        <v>6739</v>
      </c>
      <c r="P1853" s="110"/>
      <c r="Q1853" s="85" t="s">
        <v>821</v>
      </c>
      <c r="R1853" s="87" t="s">
        <v>6694</v>
      </c>
      <c r="S1853" s="103" t="s">
        <v>6740</v>
      </c>
      <c r="T1853" s="88" t="s">
        <v>3737</v>
      </c>
      <c r="U1853" s="50" t="s">
        <v>7785</v>
      </c>
      <c r="V1853" s="118" t="str">
        <f>+Agencia[[#This Row],[idcoleccion]]&amp;"-"&amp;Agencia[[#This Row],[id]]</f>
        <v>990-1842</v>
      </c>
      <c r="W1853" s="121">
        <v>99200012</v>
      </c>
      <c r="X1853" s="118" t="str">
        <f>+VLOOKUP(Agencia[[#This Row],[tema]],Estructura!$A$4:$C$500,3,0)</f>
        <v>T-1086</v>
      </c>
      <c r="Y1853" s="118" t="str">
        <f>+VLOOKUP(Agencia[[#This Row],[contenido]],Estructura!$E$4:$G$500,3,0)</f>
        <v>C-998</v>
      </c>
      <c r="Z1853" s="118" t="str">
        <f>+VLOOKUP(Agencia[[#This Row],[Filtro Integrado]],Estructura!$I$4:$K$500,3,0)</f>
        <v>FI-993</v>
      </c>
      <c r="AA1853" s="118" t="str">
        <f>+VLOOKUP(Agencia[[#This Row],[Muestra]],Estructura!$M$4:$O$500,3,0)</f>
        <v>M-1156</v>
      </c>
    </row>
    <row r="1854" spans="1:27" ht="48" x14ac:dyDescent="0.3">
      <c r="A1854" s="21" t="s">
        <v>8121</v>
      </c>
      <c r="B1854" s="89">
        <v>990</v>
      </c>
      <c r="C1854" s="90" t="s">
        <v>401</v>
      </c>
      <c r="D1854" s="90" t="s">
        <v>822</v>
      </c>
      <c r="E1854" s="114">
        <v>13</v>
      </c>
      <c r="F1854" s="90" t="s">
        <v>7405</v>
      </c>
      <c r="G1854" s="91" t="s">
        <v>3764</v>
      </c>
      <c r="H1854" s="98" t="s">
        <v>16</v>
      </c>
      <c r="I1854" s="99" t="s">
        <v>380</v>
      </c>
      <c r="J1854" s="83" t="s">
        <v>404</v>
      </c>
      <c r="K1854" s="89" t="s">
        <v>6708</v>
      </c>
      <c r="L1854" s="89" t="s">
        <v>506</v>
      </c>
      <c r="M1854" s="89" t="s">
        <v>4247</v>
      </c>
      <c r="N1854" s="89" t="s">
        <v>459</v>
      </c>
      <c r="O1854" s="92" t="s">
        <v>6741</v>
      </c>
      <c r="P1854" s="110"/>
      <c r="Q1854" s="85" t="s">
        <v>821</v>
      </c>
      <c r="R1854" s="87" t="s">
        <v>6742</v>
      </c>
      <c r="S1854" s="103" t="s">
        <v>6743</v>
      </c>
      <c r="T1854" s="88" t="s">
        <v>3744</v>
      </c>
      <c r="U1854" s="50" t="s">
        <v>7786</v>
      </c>
      <c r="V1854" s="118" t="str">
        <f>+Agencia[[#This Row],[idcoleccion]]&amp;"-"&amp;Agencia[[#This Row],[id]]</f>
        <v>990-1843</v>
      </c>
      <c r="W1854" s="121">
        <v>99200013</v>
      </c>
      <c r="X1854" s="118" t="str">
        <f>+VLOOKUP(Agencia[[#This Row],[tema]],Estructura!$A$4:$C$500,3,0)</f>
        <v>T-1086</v>
      </c>
      <c r="Y1854" s="118" t="str">
        <f>+VLOOKUP(Agencia[[#This Row],[contenido]],Estructura!$E$4:$G$500,3,0)</f>
        <v>C-998</v>
      </c>
      <c r="Z1854" s="118" t="str">
        <f>+VLOOKUP(Agencia[[#This Row],[Filtro Integrado]],Estructura!$I$4:$K$500,3,0)</f>
        <v>FI-993</v>
      </c>
      <c r="AA1854" s="118" t="str">
        <f>+VLOOKUP(Agencia[[#This Row],[Muestra]],Estructura!$M$4:$O$500,3,0)</f>
        <v>M-1156</v>
      </c>
    </row>
    <row r="1855" spans="1:27" ht="48" x14ac:dyDescent="0.3">
      <c r="A1855" s="21" t="s">
        <v>8122</v>
      </c>
      <c r="B1855" s="89">
        <v>990</v>
      </c>
      <c r="C1855" s="90" t="s">
        <v>401</v>
      </c>
      <c r="D1855" s="90" t="s">
        <v>822</v>
      </c>
      <c r="E1855" s="114">
        <v>14</v>
      </c>
      <c r="F1855" s="90" t="s">
        <v>7405</v>
      </c>
      <c r="G1855" s="91" t="s">
        <v>3764</v>
      </c>
      <c r="H1855" s="98" t="s">
        <v>16</v>
      </c>
      <c r="I1855" s="99" t="s">
        <v>381</v>
      </c>
      <c r="J1855" s="83" t="s">
        <v>404</v>
      </c>
      <c r="K1855" s="89" t="s">
        <v>6708</v>
      </c>
      <c r="L1855" s="89" t="s">
        <v>506</v>
      </c>
      <c r="M1855" s="89" t="s">
        <v>4247</v>
      </c>
      <c r="N1855" s="89" t="s">
        <v>459</v>
      </c>
      <c r="O1855" s="92" t="s">
        <v>6744</v>
      </c>
      <c r="P1855" s="110"/>
      <c r="Q1855" s="85" t="s">
        <v>821</v>
      </c>
      <c r="R1855" s="87" t="s">
        <v>6745</v>
      </c>
      <c r="S1855" s="103" t="s">
        <v>6746</v>
      </c>
      <c r="T1855" s="88" t="s">
        <v>3736</v>
      </c>
      <c r="U1855" s="50" t="s">
        <v>7787</v>
      </c>
      <c r="V1855" s="118" t="str">
        <f>+Agencia[[#This Row],[idcoleccion]]&amp;"-"&amp;Agencia[[#This Row],[id]]</f>
        <v>990-1844</v>
      </c>
      <c r="W1855" s="121">
        <v>99200014</v>
      </c>
      <c r="X1855" s="118" t="str">
        <f>+VLOOKUP(Agencia[[#This Row],[tema]],Estructura!$A$4:$C$500,3,0)</f>
        <v>T-1086</v>
      </c>
      <c r="Y1855" s="118" t="str">
        <f>+VLOOKUP(Agencia[[#This Row],[contenido]],Estructura!$E$4:$G$500,3,0)</f>
        <v>C-998</v>
      </c>
      <c r="Z1855" s="118" t="str">
        <f>+VLOOKUP(Agencia[[#This Row],[Filtro Integrado]],Estructura!$I$4:$K$500,3,0)</f>
        <v>FI-993</v>
      </c>
      <c r="AA1855" s="118" t="str">
        <f>+VLOOKUP(Agencia[[#This Row],[Muestra]],Estructura!$M$4:$O$500,3,0)</f>
        <v>M-1156</v>
      </c>
    </row>
    <row r="1856" spans="1:27" ht="48" x14ac:dyDescent="0.3">
      <c r="A1856" s="21" t="s">
        <v>8123</v>
      </c>
      <c r="B1856" s="89">
        <v>990</v>
      </c>
      <c r="C1856" s="90" t="s">
        <v>401</v>
      </c>
      <c r="D1856" s="90" t="s">
        <v>822</v>
      </c>
      <c r="E1856" s="114">
        <v>15</v>
      </c>
      <c r="F1856" s="90" t="s">
        <v>7405</v>
      </c>
      <c r="G1856" s="91" t="s">
        <v>3764</v>
      </c>
      <c r="H1856" s="98" t="s">
        <v>16</v>
      </c>
      <c r="I1856" s="99" t="s">
        <v>382</v>
      </c>
      <c r="J1856" s="83" t="s">
        <v>404</v>
      </c>
      <c r="K1856" s="89" t="s">
        <v>6708</v>
      </c>
      <c r="L1856" s="89" t="s">
        <v>506</v>
      </c>
      <c r="M1856" s="89" t="s">
        <v>4247</v>
      </c>
      <c r="N1856" s="89" t="s">
        <v>459</v>
      </c>
      <c r="O1856" s="92" t="s">
        <v>6747</v>
      </c>
      <c r="P1856" s="110"/>
      <c r="Q1856" s="85" t="s">
        <v>821</v>
      </c>
      <c r="R1856" s="87" t="s">
        <v>6748</v>
      </c>
      <c r="S1856" s="103" t="s">
        <v>6749</v>
      </c>
      <c r="T1856" s="88" t="s">
        <v>3730</v>
      </c>
      <c r="U1856" s="50" t="s">
        <v>7788</v>
      </c>
      <c r="V1856" s="118" t="str">
        <f>+Agencia[[#This Row],[idcoleccion]]&amp;"-"&amp;Agencia[[#This Row],[id]]</f>
        <v>990-1845</v>
      </c>
      <c r="W1856" s="121">
        <v>99200015</v>
      </c>
      <c r="X1856" s="118" t="str">
        <f>+VLOOKUP(Agencia[[#This Row],[tema]],Estructura!$A$4:$C$500,3,0)</f>
        <v>T-1086</v>
      </c>
      <c r="Y1856" s="118" t="str">
        <f>+VLOOKUP(Agencia[[#This Row],[contenido]],Estructura!$E$4:$G$500,3,0)</f>
        <v>C-998</v>
      </c>
      <c r="Z1856" s="118" t="str">
        <f>+VLOOKUP(Agencia[[#This Row],[Filtro Integrado]],Estructura!$I$4:$K$500,3,0)</f>
        <v>FI-993</v>
      </c>
      <c r="AA1856" s="118" t="str">
        <f>+VLOOKUP(Agencia[[#This Row],[Muestra]],Estructura!$M$4:$O$500,3,0)</f>
        <v>M-1156</v>
      </c>
    </row>
    <row r="1857" spans="1:27" ht="48" x14ac:dyDescent="0.3">
      <c r="A1857" s="21" t="s">
        <v>8124</v>
      </c>
      <c r="B1857" s="89">
        <v>990</v>
      </c>
      <c r="C1857" s="90" t="s">
        <v>401</v>
      </c>
      <c r="D1857" s="90" t="s">
        <v>822</v>
      </c>
      <c r="E1857" s="114">
        <v>16</v>
      </c>
      <c r="F1857" s="90" t="s">
        <v>7405</v>
      </c>
      <c r="G1857" s="91" t="s">
        <v>3764</v>
      </c>
      <c r="H1857" s="98" t="s">
        <v>16</v>
      </c>
      <c r="I1857" s="99" t="s">
        <v>383</v>
      </c>
      <c r="J1857" s="83" t="s">
        <v>404</v>
      </c>
      <c r="K1857" s="89" t="s">
        <v>6708</v>
      </c>
      <c r="L1857" s="89" t="s">
        <v>506</v>
      </c>
      <c r="M1857" s="89" t="s">
        <v>4247</v>
      </c>
      <c r="N1857" s="89" t="s">
        <v>459</v>
      </c>
      <c r="O1857" s="92" t="s">
        <v>6750</v>
      </c>
      <c r="P1857" s="109"/>
      <c r="Q1857" s="93" t="s">
        <v>821</v>
      </c>
      <c r="R1857" s="92" t="s">
        <v>6706</v>
      </c>
      <c r="S1857" s="103" t="s">
        <v>6751</v>
      </c>
      <c r="T1857" s="94" t="s">
        <v>3739</v>
      </c>
      <c r="U1857" s="50" t="s">
        <v>7789</v>
      </c>
      <c r="V1857" s="118" t="str">
        <f>+Agencia[[#This Row],[idcoleccion]]&amp;"-"&amp;Agencia[[#This Row],[id]]</f>
        <v>990-1846</v>
      </c>
      <c r="W1857" s="121">
        <v>99200016</v>
      </c>
      <c r="X1857" s="118" t="str">
        <f>+VLOOKUP(Agencia[[#This Row],[tema]],Estructura!$A$4:$C$500,3,0)</f>
        <v>T-1086</v>
      </c>
      <c r="Y1857" s="118" t="str">
        <f>+VLOOKUP(Agencia[[#This Row],[contenido]],Estructura!$E$4:$G$500,3,0)</f>
        <v>C-998</v>
      </c>
      <c r="Z1857" s="118" t="str">
        <f>+VLOOKUP(Agencia[[#This Row],[Filtro Integrado]],Estructura!$I$4:$K$500,3,0)</f>
        <v>FI-993</v>
      </c>
      <c r="AA1857" s="118" t="str">
        <f>+VLOOKUP(Agencia[[#This Row],[Muestra]],Estructura!$M$4:$O$500,3,0)</f>
        <v>M-1156</v>
      </c>
    </row>
    <row r="1858" spans="1:27" ht="72" x14ac:dyDescent="0.3">
      <c r="A1858" s="21" t="s">
        <v>8125</v>
      </c>
      <c r="B1858" s="89">
        <v>990</v>
      </c>
      <c r="C1858" s="90" t="s">
        <v>401</v>
      </c>
      <c r="D1858" s="90" t="s">
        <v>822</v>
      </c>
      <c r="E1858" s="115">
        <v>0</v>
      </c>
      <c r="F1858" s="90" t="s">
        <v>7406</v>
      </c>
      <c r="G1858" s="91" t="s">
        <v>3764</v>
      </c>
      <c r="H1858" s="96" t="s">
        <v>20</v>
      </c>
      <c r="I1858" s="97" t="s">
        <v>15</v>
      </c>
      <c r="J1858" s="89" t="s">
        <v>16</v>
      </c>
      <c r="K1858" s="89" t="s">
        <v>6752</v>
      </c>
      <c r="L1858" s="89" t="s">
        <v>1721</v>
      </c>
      <c r="M1858" s="89" t="s">
        <v>4247</v>
      </c>
      <c r="N1858" s="89" t="s">
        <v>459</v>
      </c>
      <c r="O1858" s="92" t="s">
        <v>6753</v>
      </c>
      <c r="P1858" s="107" t="s">
        <v>6754</v>
      </c>
      <c r="Q1858" s="93" t="s">
        <v>821</v>
      </c>
      <c r="R1858" s="92" t="s">
        <v>6755</v>
      </c>
      <c r="S1858" s="104" t="s">
        <v>6756</v>
      </c>
      <c r="T1858" s="94" t="s">
        <v>855</v>
      </c>
      <c r="U1858" s="50" t="s">
        <v>7790</v>
      </c>
      <c r="V1858" s="118" t="str">
        <f>+Agencia[[#This Row],[idcoleccion]]&amp;"-"&amp;Agencia[[#This Row],[id]]</f>
        <v>990-1847</v>
      </c>
      <c r="W1858" s="121">
        <v>99100000</v>
      </c>
      <c r="X1858" s="118" t="str">
        <f>+VLOOKUP(Agencia[[#This Row],[tema]],Estructura!$A$4:$C$500,3,0)</f>
        <v>T-1087</v>
      </c>
      <c r="Y1858" s="118" t="str">
        <f>+VLOOKUP(Agencia[[#This Row],[contenido]],Estructura!$E$4:$G$500,3,0)</f>
        <v>C-998</v>
      </c>
      <c r="Z1858" s="118" t="str">
        <f>+VLOOKUP(Agencia[[#This Row],[Filtro Integrado]],Estructura!$I$4:$K$500,3,0)</f>
        <v>FI-992</v>
      </c>
      <c r="AA1858" s="118" t="str">
        <f>+VLOOKUP(Agencia[[#This Row],[Muestra]],Estructura!$M$4:$O$500,3,0)</f>
        <v>M-1157</v>
      </c>
    </row>
    <row r="1859" spans="1:27" ht="72" x14ac:dyDescent="0.3">
      <c r="A1859" s="21" t="s">
        <v>8126</v>
      </c>
      <c r="B1859" s="89">
        <v>990</v>
      </c>
      <c r="C1859" s="90" t="s">
        <v>401</v>
      </c>
      <c r="D1859" s="90" t="s">
        <v>822</v>
      </c>
      <c r="E1859" s="114">
        <v>1</v>
      </c>
      <c r="F1859" s="90" t="s">
        <v>7406</v>
      </c>
      <c r="G1859" s="91" t="s">
        <v>3764</v>
      </c>
      <c r="H1859" s="98" t="s">
        <v>16</v>
      </c>
      <c r="I1859" s="99" t="s">
        <v>368</v>
      </c>
      <c r="J1859" s="83" t="s">
        <v>404</v>
      </c>
      <c r="K1859" s="89" t="s">
        <v>6752</v>
      </c>
      <c r="L1859" s="89" t="s">
        <v>1721</v>
      </c>
      <c r="M1859" s="89" t="s">
        <v>4247</v>
      </c>
      <c r="N1859" s="89" t="s">
        <v>459</v>
      </c>
      <c r="O1859" s="92" t="s">
        <v>6757</v>
      </c>
      <c r="P1859" s="110"/>
      <c r="Q1859" s="85" t="s">
        <v>821</v>
      </c>
      <c r="R1859" s="87" t="s">
        <v>6661</v>
      </c>
      <c r="S1859" s="103" t="s">
        <v>6758</v>
      </c>
      <c r="T1859" s="88" t="s">
        <v>3757</v>
      </c>
      <c r="U1859" s="50" t="s">
        <v>7791</v>
      </c>
      <c r="V1859" s="118" t="str">
        <f>+Agencia[[#This Row],[idcoleccion]]&amp;"-"&amp;Agencia[[#This Row],[id]]</f>
        <v>990-1848</v>
      </c>
      <c r="W1859" s="121">
        <v>99200001</v>
      </c>
      <c r="X1859" s="118" t="str">
        <f>+VLOOKUP(Agencia[[#This Row],[tema]],Estructura!$A$4:$C$500,3,0)</f>
        <v>T-1087</v>
      </c>
      <c r="Y1859" s="118" t="str">
        <f>+VLOOKUP(Agencia[[#This Row],[contenido]],Estructura!$E$4:$G$500,3,0)</f>
        <v>C-998</v>
      </c>
      <c r="Z1859" s="118" t="str">
        <f>+VLOOKUP(Agencia[[#This Row],[Filtro Integrado]],Estructura!$I$4:$K$500,3,0)</f>
        <v>FI-993</v>
      </c>
      <c r="AA1859" s="118" t="str">
        <f>+VLOOKUP(Agencia[[#This Row],[Muestra]],Estructura!$M$4:$O$500,3,0)</f>
        <v>M-1157</v>
      </c>
    </row>
    <row r="1860" spans="1:27" ht="72" x14ac:dyDescent="0.3">
      <c r="A1860" s="21" t="s">
        <v>8127</v>
      </c>
      <c r="B1860" s="89">
        <v>990</v>
      </c>
      <c r="C1860" s="90" t="s">
        <v>401</v>
      </c>
      <c r="D1860" s="90" t="s">
        <v>822</v>
      </c>
      <c r="E1860" s="114">
        <v>2</v>
      </c>
      <c r="F1860" s="90" t="s">
        <v>7406</v>
      </c>
      <c r="G1860" s="91" t="s">
        <v>3764</v>
      </c>
      <c r="H1860" s="98" t="s">
        <v>16</v>
      </c>
      <c r="I1860" s="99" t="s">
        <v>369</v>
      </c>
      <c r="J1860" s="83" t="s">
        <v>404</v>
      </c>
      <c r="K1860" s="89" t="s">
        <v>6752</v>
      </c>
      <c r="L1860" s="89" t="s">
        <v>1721</v>
      </c>
      <c r="M1860" s="89" t="s">
        <v>4247</v>
      </c>
      <c r="N1860" s="89" t="s">
        <v>459</v>
      </c>
      <c r="O1860" s="92" t="s">
        <v>6759</v>
      </c>
      <c r="P1860" s="110"/>
      <c r="Q1860" s="85" t="s">
        <v>821</v>
      </c>
      <c r="R1860" s="87" t="s">
        <v>6664</v>
      </c>
      <c r="S1860" s="103" t="s">
        <v>6760</v>
      </c>
      <c r="T1860" s="88" t="s">
        <v>3745</v>
      </c>
      <c r="U1860" s="50" t="s">
        <v>7792</v>
      </c>
      <c r="V1860" s="118" t="str">
        <f>+Agencia[[#This Row],[idcoleccion]]&amp;"-"&amp;Agencia[[#This Row],[id]]</f>
        <v>990-1849</v>
      </c>
      <c r="W1860" s="121">
        <v>99200002</v>
      </c>
      <c r="X1860" s="118" t="str">
        <f>+VLOOKUP(Agencia[[#This Row],[tema]],Estructura!$A$4:$C$500,3,0)</f>
        <v>T-1087</v>
      </c>
      <c r="Y1860" s="118" t="str">
        <f>+VLOOKUP(Agencia[[#This Row],[contenido]],Estructura!$E$4:$G$500,3,0)</f>
        <v>C-998</v>
      </c>
      <c r="Z1860" s="118" t="str">
        <f>+VLOOKUP(Agencia[[#This Row],[Filtro Integrado]],Estructura!$I$4:$K$500,3,0)</f>
        <v>FI-993</v>
      </c>
      <c r="AA1860" s="118" t="str">
        <f>+VLOOKUP(Agencia[[#This Row],[Muestra]],Estructura!$M$4:$O$500,3,0)</f>
        <v>M-1157</v>
      </c>
    </row>
    <row r="1861" spans="1:27" ht="72" x14ac:dyDescent="0.3">
      <c r="A1861" s="21" t="s">
        <v>8128</v>
      </c>
      <c r="B1861" s="89">
        <v>990</v>
      </c>
      <c r="C1861" s="90" t="s">
        <v>401</v>
      </c>
      <c r="D1861" s="90" t="s">
        <v>822</v>
      </c>
      <c r="E1861" s="114">
        <v>3</v>
      </c>
      <c r="F1861" s="90" t="s">
        <v>7406</v>
      </c>
      <c r="G1861" s="91" t="s">
        <v>3764</v>
      </c>
      <c r="H1861" s="98" t="s">
        <v>16</v>
      </c>
      <c r="I1861" s="99" t="s">
        <v>370</v>
      </c>
      <c r="J1861" s="83" t="s">
        <v>404</v>
      </c>
      <c r="K1861" s="89" t="s">
        <v>6752</v>
      </c>
      <c r="L1861" s="89" t="s">
        <v>1721</v>
      </c>
      <c r="M1861" s="89" t="s">
        <v>4247</v>
      </c>
      <c r="N1861" s="89" t="s">
        <v>459</v>
      </c>
      <c r="O1861" s="92" t="s">
        <v>6761</v>
      </c>
      <c r="P1861" s="110"/>
      <c r="Q1861" s="85" t="s">
        <v>821</v>
      </c>
      <c r="R1861" s="87" t="s">
        <v>6667</v>
      </c>
      <c r="S1861" s="103" t="s">
        <v>6762</v>
      </c>
      <c r="T1861" s="88" t="s">
        <v>3747</v>
      </c>
      <c r="U1861" s="50" t="s">
        <v>7793</v>
      </c>
      <c r="V1861" s="118" t="str">
        <f>+Agencia[[#This Row],[idcoleccion]]&amp;"-"&amp;Agencia[[#This Row],[id]]</f>
        <v>990-1850</v>
      </c>
      <c r="W1861" s="121">
        <v>99200003</v>
      </c>
      <c r="X1861" s="118" t="str">
        <f>+VLOOKUP(Agencia[[#This Row],[tema]],Estructura!$A$4:$C$500,3,0)</f>
        <v>T-1087</v>
      </c>
      <c r="Y1861" s="118" t="str">
        <f>+VLOOKUP(Agencia[[#This Row],[contenido]],Estructura!$E$4:$G$500,3,0)</f>
        <v>C-998</v>
      </c>
      <c r="Z1861" s="118" t="str">
        <f>+VLOOKUP(Agencia[[#This Row],[Filtro Integrado]],Estructura!$I$4:$K$500,3,0)</f>
        <v>FI-993</v>
      </c>
      <c r="AA1861" s="118" t="str">
        <f>+VLOOKUP(Agencia[[#This Row],[Muestra]],Estructura!$M$4:$O$500,3,0)</f>
        <v>M-1157</v>
      </c>
    </row>
    <row r="1862" spans="1:27" ht="72" x14ac:dyDescent="0.3">
      <c r="A1862" s="21" t="s">
        <v>8129</v>
      </c>
      <c r="B1862" s="89">
        <v>990</v>
      </c>
      <c r="C1862" s="90" t="s">
        <v>401</v>
      </c>
      <c r="D1862" s="90" t="s">
        <v>822</v>
      </c>
      <c r="E1862" s="114">
        <v>4</v>
      </c>
      <c r="F1862" s="90" t="s">
        <v>7406</v>
      </c>
      <c r="G1862" s="91" t="s">
        <v>3764</v>
      </c>
      <c r="H1862" s="98" t="s">
        <v>16</v>
      </c>
      <c r="I1862" s="99" t="s">
        <v>371</v>
      </c>
      <c r="J1862" s="83" t="s">
        <v>404</v>
      </c>
      <c r="K1862" s="89" t="s">
        <v>6752</v>
      </c>
      <c r="L1862" s="89" t="s">
        <v>1721</v>
      </c>
      <c r="M1862" s="89" t="s">
        <v>4247</v>
      </c>
      <c r="N1862" s="89" t="s">
        <v>459</v>
      </c>
      <c r="O1862" s="92" t="s">
        <v>6763</v>
      </c>
      <c r="P1862" s="110"/>
      <c r="Q1862" s="85" t="s">
        <v>821</v>
      </c>
      <c r="R1862" s="87" t="s">
        <v>6670</v>
      </c>
      <c r="S1862" s="103" t="s">
        <v>6764</v>
      </c>
      <c r="T1862" s="88" t="s">
        <v>3749</v>
      </c>
      <c r="U1862" s="50" t="s">
        <v>7794</v>
      </c>
      <c r="V1862" s="118" t="str">
        <f>+Agencia[[#This Row],[idcoleccion]]&amp;"-"&amp;Agencia[[#This Row],[id]]</f>
        <v>990-1851</v>
      </c>
      <c r="W1862" s="121">
        <v>99200004</v>
      </c>
      <c r="X1862" s="118" t="str">
        <f>+VLOOKUP(Agencia[[#This Row],[tema]],Estructura!$A$4:$C$500,3,0)</f>
        <v>T-1087</v>
      </c>
      <c r="Y1862" s="118" t="str">
        <f>+VLOOKUP(Agencia[[#This Row],[contenido]],Estructura!$E$4:$G$500,3,0)</f>
        <v>C-998</v>
      </c>
      <c r="Z1862" s="118" t="str">
        <f>+VLOOKUP(Agencia[[#This Row],[Filtro Integrado]],Estructura!$I$4:$K$500,3,0)</f>
        <v>FI-993</v>
      </c>
      <c r="AA1862" s="118" t="str">
        <f>+VLOOKUP(Agencia[[#This Row],[Muestra]],Estructura!$M$4:$O$500,3,0)</f>
        <v>M-1157</v>
      </c>
    </row>
    <row r="1863" spans="1:27" ht="72" x14ac:dyDescent="0.3">
      <c r="A1863" s="21" t="s">
        <v>8130</v>
      </c>
      <c r="B1863" s="89">
        <v>990</v>
      </c>
      <c r="C1863" s="90" t="s">
        <v>401</v>
      </c>
      <c r="D1863" s="90" t="s">
        <v>822</v>
      </c>
      <c r="E1863" s="114">
        <v>5</v>
      </c>
      <c r="F1863" s="90" t="s">
        <v>7406</v>
      </c>
      <c r="G1863" s="91" t="s">
        <v>3764</v>
      </c>
      <c r="H1863" s="98" t="s">
        <v>16</v>
      </c>
      <c r="I1863" s="99" t="s">
        <v>372</v>
      </c>
      <c r="J1863" s="83" t="s">
        <v>404</v>
      </c>
      <c r="K1863" s="89" t="s">
        <v>6752</v>
      </c>
      <c r="L1863" s="89" t="s">
        <v>1721</v>
      </c>
      <c r="M1863" s="89" t="s">
        <v>4247</v>
      </c>
      <c r="N1863" s="89" t="s">
        <v>459</v>
      </c>
      <c r="O1863" s="92" t="s">
        <v>6765</v>
      </c>
      <c r="P1863" s="110"/>
      <c r="Q1863" s="85" t="s">
        <v>821</v>
      </c>
      <c r="R1863" s="87" t="s">
        <v>6673</v>
      </c>
      <c r="S1863" s="103" t="s">
        <v>6766</v>
      </c>
      <c r="T1863" s="88" t="s">
        <v>3758</v>
      </c>
      <c r="U1863" s="50" t="s">
        <v>7795</v>
      </c>
      <c r="V1863" s="118" t="str">
        <f>+Agencia[[#This Row],[idcoleccion]]&amp;"-"&amp;Agencia[[#This Row],[id]]</f>
        <v>990-1852</v>
      </c>
      <c r="W1863" s="121">
        <v>99200005</v>
      </c>
      <c r="X1863" s="118" t="str">
        <f>+VLOOKUP(Agencia[[#This Row],[tema]],Estructura!$A$4:$C$500,3,0)</f>
        <v>T-1087</v>
      </c>
      <c r="Y1863" s="118" t="str">
        <f>+VLOOKUP(Agencia[[#This Row],[contenido]],Estructura!$E$4:$G$500,3,0)</f>
        <v>C-998</v>
      </c>
      <c r="Z1863" s="118" t="str">
        <f>+VLOOKUP(Agencia[[#This Row],[Filtro Integrado]],Estructura!$I$4:$K$500,3,0)</f>
        <v>FI-993</v>
      </c>
      <c r="AA1863" s="118" t="str">
        <f>+VLOOKUP(Agencia[[#This Row],[Muestra]],Estructura!$M$4:$O$500,3,0)</f>
        <v>M-1157</v>
      </c>
    </row>
    <row r="1864" spans="1:27" ht="72" x14ac:dyDescent="0.3">
      <c r="A1864" s="21" t="s">
        <v>8131</v>
      </c>
      <c r="B1864" s="89">
        <v>990</v>
      </c>
      <c r="C1864" s="90" t="s">
        <v>401</v>
      </c>
      <c r="D1864" s="90" t="s">
        <v>822</v>
      </c>
      <c r="E1864" s="114">
        <v>6</v>
      </c>
      <c r="F1864" s="90" t="s">
        <v>7406</v>
      </c>
      <c r="G1864" s="91" t="s">
        <v>3764</v>
      </c>
      <c r="H1864" s="98" t="s">
        <v>16</v>
      </c>
      <c r="I1864" s="99" t="s">
        <v>373</v>
      </c>
      <c r="J1864" s="83" t="s">
        <v>404</v>
      </c>
      <c r="K1864" s="89" t="s">
        <v>6752</v>
      </c>
      <c r="L1864" s="89" t="s">
        <v>1721</v>
      </c>
      <c r="M1864" s="89" t="s">
        <v>4247</v>
      </c>
      <c r="N1864" s="89" t="s">
        <v>459</v>
      </c>
      <c r="O1864" s="92" t="s">
        <v>6767</v>
      </c>
      <c r="P1864" s="110"/>
      <c r="Q1864" s="85" t="s">
        <v>821</v>
      </c>
      <c r="R1864" s="87" t="s">
        <v>6724</v>
      </c>
      <c r="S1864" s="103" t="s">
        <v>6768</v>
      </c>
      <c r="T1864" s="88" t="s">
        <v>3756</v>
      </c>
      <c r="U1864" s="50" t="s">
        <v>7796</v>
      </c>
      <c r="V1864" s="118" t="str">
        <f>+Agencia[[#This Row],[idcoleccion]]&amp;"-"&amp;Agencia[[#This Row],[id]]</f>
        <v>990-1853</v>
      </c>
      <c r="W1864" s="121">
        <v>99200006</v>
      </c>
      <c r="X1864" s="118" t="str">
        <f>+VLOOKUP(Agencia[[#This Row],[tema]],Estructura!$A$4:$C$500,3,0)</f>
        <v>T-1087</v>
      </c>
      <c r="Y1864" s="118" t="str">
        <f>+VLOOKUP(Agencia[[#This Row],[contenido]],Estructura!$E$4:$G$500,3,0)</f>
        <v>C-998</v>
      </c>
      <c r="Z1864" s="118" t="str">
        <f>+VLOOKUP(Agencia[[#This Row],[Filtro Integrado]],Estructura!$I$4:$K$500,3,0)</f>
        <v>FI-993</v>
      </c>
      <c r="AA1864" s="118" t="str">
        <f>+VLOOKUP(Agencia[[#This Row],[Muestra]],Estructura!$M$4:$O$500,3,0)</f>
        <v>M-1157</v>
      </c>
    </row>
    <row r="1865" spans="1:27" ht="72" x14ac:dyDescent="0.3">
      <c r="A1865" s="21" t="s">
        <v>8132</v>
      </c>
      <c r="B1865" s="89">
        <v>990</v>
      </c>
      <c r="C1865" s="90" t="s">
        <v>401</v>
      </c>
      <c r="D1865" s="90" t="s">
        <v>822</v>
      </c>
      <c r="E1865" s="114">
        <v>7</v>
      </c>
      <c r="F1865" s="90" t="s">
        <v>7406</v>
      </c>
      <c r="G1865" s="91" t="s">
        <v>3764</v>
      </c>
      <c r="H1865" s="98" t="s">
        <v>16</v>
      </c>
      <c r="I1865" s="99" t="s">
        <v>374</v>
      </c>
      <c r="J1865" s="83" t="s">
        <v>404</v>
      </c>
      <c r="K1865" s="89" t="s">
        <v>6752</v>
      </c>
      <c r="L1865" s="89" t="s">
        <v>1721</v>
      </c>
      <c r="M1865" s="89" t="s">
        <v>4247</v>
      </c>
      <c r="N1865" s="89" t="s">
        <v>459</v>
      </c>
      <c r="O1865" s="92" t="s">
        <v>6769</v>
      </c>
      <c r="P1865" s="110"/>
      <c r="Q1865" s="85" t="s">
        <v>821</v>
      </c>
      <c r="R1865" s="87" t="s">
        <v>6679</v>
      </c>
      <c r="S1865" s="103" t="s">
        <v>6770</v>
      </c>
      <c r="T1865" s="88" t="s">
        <v>3754</v>
      </c>
      <c r="U1865" s="50" t="s">
        <v>7797</v>
      </c>
      <c r="V1865" s="118" t="str">
        <f>+Agencia[[#This Row],[idcoleccion]]&amp;"-"&amp;Agencia[[#This Row],[id]]</f>
        <v>990-1854</v>
      </c>
      <c r="W1865" s="121">
        <v>99200007</v>
      </c>
      <c r="X1865" s="118" t="str">
        <f>+VLOOKUP(Agencia[[#This Row],[tema]],Estructura!$A$4:$C$500,3,0)</f>
        <v>T-1087</v>
      </c>
      <c r="Y1865" s="118" t="str">
        <f>+VLOOKUP(Agencia[[#This Row],[contenido]],Estructura!$E$4:$G$500,3,0)</f>
        <v>C-998</v>
      </c>
      <c r="Z1865" s="118" t="str">
        <f>+VLOOKUP(Agencia[[#This Row],[Filtro Integrado]],Estructura!$I$4:$K$500,3,0)</f>
        <v>FI-993</v>
      </c>
      <c r="AA1865" s="118" t="str">
        <f>+VLOOKUP(Agencia[[#This Row],[Muestra]],Estructura!$M$4:$O$500,3,0)</f>
        <v>M-1157</v>
      </c>
    </row>
    <row r="1866" spans="1:27" ht="72" x14ac:dyDescent="0.3">
      <c r="A1866" s="21" t="s">
        <v>8133</v>
      </c>
      <c r="B1866" s="89">
        <v>990</v>
      </c>
      <c r="C1866" s="90" t="s">
        <v>401</v>
      </c>
      <c r="D1866" s="90" t="s">
        <v>822</v>
      </c>
      <c r="E1866" s="114">
        <v>8</v>
      </c>
      <c r="F1866" s="90" t="s">
        <v>7406</v>
      </c>
      <c r="G1866" s="91" t="s">
        <v>3764</v>
      </c>
      <c r="H1866" s="98" t="s">
        <v>16</v>
      </c>
      <c r="I1866" s="99" t="s">
        <v>375</v>
      </c>
      <c r="J1866" s="83" t="s">
        <v>404</v>
      </c>
      <c r="K1866" s="89" t="s">
        <v>6752</v>
      </c>
      <c r="L1866" s="89" t="s">
        <v>1721</v>
      </c>
      <c r="M1866" s="89" t="s">
        <v>4247</v>
      </c>
      <c r="N1866" s="89" t="s">
        <v>459</v>
      </c>
      <c r="O1866" s="92" t="s">
        <v>6771</v>
      </c>
      <c r="P1866" s="110"/>
      <c r="Q1866" s="85" t="s">
        <v>821</v>
      </c>
      <c r="R1866" s="87" t="s">
        <v>6729</v>
      </c>
      <c r="S1866" s="103" t="s">
        <v>6772</v>
      </c>
      <c r="T1866" s="88" t="s">
        <v>3759</v>
      </c>
      <c r="U1866" s="50" t="s">
        <v>7798</v>
      </c>
      <c r="V1866" s="118" t="str">
        <f>+Agencia[[#This Row],[idcoleccion]]&amp;"-"&amp;Agencia[[#This Row],[id]]</f>
        <v>990-1855</v>
      </c>
      <c r="W1866" s="121">
        <v>99200008</v>
      </c>
      <c r="X1866" s="118" t="str">
        <f>+VLOOKUP(Agencia[[#This Row],[tema]],Estructura!$A$4:$C$500,3,0)</f>
        <v>T-1087</v>
      </c>
      <c r="Y1866" s="118" t="str">
        <f>+VLOOKUP(Agencia[[#This Row],[contenido]],Estructura!$E$4:$G$500,3,0)</f>
        <v>C-998</v>
      </c>
      <c r="Z1866" s="118" t="str">
        <f>+VLOOKUP(Agencia[[#This Row],[Filtro Integrado]],Estructura!$I$4:$K$500,3,0)</f>
        <v>FI-993</v>
      </c>
      <c r="AA1866" s="118" t="str">
        <f>+VLOOKUP(Agencia[[#This Row],[Muestra]],Estructura!$M$4:$O$500,3,0)</f>
        <v>M-1157</v>
      </c>
    </row>
    <row r="1867" spans="1:27" ht="72" x14ac:dyDescent="0.3">
      <c r="A1867" s="21" t="s">
        <v>8134</v>
      </c>
      <c r="B1867" s="89">
        <v>990</v>
      </c>
      <c r="C1867" s="90" t="s">
        <v>401</v>
      </c>
      <c r="D1867" s="90" t="s">
        <v>822</v>
      </c>
      <c r="E1867" s="114">
        <v>9</v>
      </c>
      <c r="F1867" s="90" t="s">
        <v>7406</v>
      </c>
      <c r="G1867" s="91" t="s">
        <v>3764</v>
      </c>
      <c r="H1867" s="98" t="s">
        <v>16</v>
      </c>
      <c r="I1867" s="99" t="s">
        <v>376</v>
      </c>
      <c r="J1867" s="83" t="s">
        <v>404</v>
      </c>
      <c r="K1867" s="89" t="s">
        <v>6752</v>
      </c>
      <c r="L1867" s="89" t="s">
        <v>1721</v>
      </c>
      <c r="M1867" s="89" t="s">
        <v>4247</v>
      </c>
      <c r="N1867" s="89" t="s">
        <v>459</v>
      </c>
      <c r="O1867" s="92" t="s">
        <v>6773</v>
      </c>
      <c r="P1867" s="110"/>
      <c r="Q1867" s="85" t="s">
        <v>821</v>
      </c>
      <c r="R1867" s="87" t="s">
        <v>6732</v>
      </c>
      <c r="S1867" s="103" t="s">
        <v>6774</v>
      </c>
      <c r="T1867" s="88" t="s">
        <v>3750</v>
      </c>
      <c r="U1867" s="50" t="s">
        <v>7799</v>
      </c>
      <c r="V1867" s="118" t="str">
        <f>+Agencia[[#This Row],[idcoleccion]]&amp;"-"&amp;Agencia[[#This Row],[id]]</f>
        <v>990-1856</v>
      </c>
      <c r="W1867" s="121">
        <v>99200009</v>
      </c>
      <c r="X1867" s="118" t="str">
        <f>+VLOOKUP(Agencia[[#This Row],[tema]],Estructura!$A$4:$C$500,3,0)</f>
        <v>T-1087</v>
      </c>
      <c r="Y1867" s="118" t="str">
        <f>+VLOOKUP(Agencia[[#This Row],[contenido]],Estructura!$E$4:$G$500,3,0)</f>
        <v>C-998</v>
      </c>
      <c r="Z1867" s="118" t="str">
        <f>+VLOOKUP(Agencia[[#This Row],[Filtro Integrado]],Estructura!$I$4:$K$500,3,0)</f>
        <v>FI-993</v>
      </c>
      <c r="AA1867" s="118" t="str">
        <f>+VLOOKUP(Agencia[[#This Row],[Muestra]],Estructura!$M$4:$O$500,3,0)</f>
        <v>M-1157</v>
      </c>
    </row>
    <row r="1868" spans="1:27" ht="72" x14ac:dyDescent="0.3">
      <c r="A1868" s="21" t="s">
        <v>8135</v>
      </c>
      <c r="B1868" s="89">
        <v>990</v>
      </c>
      <c r="C1868" s="90" t="s">
        <v>401</v>
      </c>
      <c r="D1868" s="90" t="s">
        <v>822</v>
      </c>
      <c r="E1868" s="114">
        <v>10</v>
      </c>
      <c r="F1868" s="90" t="s">
        <v>7406</v>
      </c>
      <c r="G1868" s="91" t="s">
        <v>3764</v>
      </c>
      <c r="H1868" s="98" t="s">
        <v>16</v>
      </c>
      <c r="I1868" s="99" t="s">
        <v>377</v>
      </c>
      <c r="J1868" s="83" t="s">
        <v>404</v>
      </c>
      <c r="K1868" s="89" t="s">
        <v>6752</v>
      </c>
      <c r="L1868" s="89" t="s">
        <v>1721</v>
      </c>
      <c r="M1868" s="89" t="s">
        <v>4247</v>
      </c>
      <c r="N1868" s="89" t="s">
        <v>459</v>
      </c>
      <c r="O1868" s="92" t="s">
        <v>6775</v>
      </c>
      <c r="P1868" s="110"/>
      <c r="Q1868" s="85" t="s">
        <v>821</v>
      </c>
      <c r="R1868" s="87" t="s">
        <v>6735</v>
      </c>
      <c r="S1868" s="103" t="s">
        <v>6776</v>
      </c>
      <c r="T1868" s="88" t="s">
        <v>3751</v>
      </c>
      <c r="U1868" s="50" t="s">
        <v>7800</v>
      </c>
      <c r="V1868" s="118" t="str">
        <f>+Agencia[[#This Row],[idcoleccion]]&amp;"-"&amp;Agencia[[#This Row],[id]]</f>
        <v>990-1857</v>
      </c>
      <c r="W1868" s="121">
        <v>99200010</v>
      </c>
      <c r="X1868" s="118" t="str">
        <f>+VLOOKUP(Agencia[[#This Row],[tema]],Estructura!$A$4:$C$500,3,0)</f>
        <v>T-1087</v>
      </c>
      <c r="Y1868" s="118" t="str">
        <f>+VLOOKUP(Agencia[[#This Row],[contenido]],Estructura!$E$4:$G$500,3,0)</f>
        <v>C-998</v>
      </c>
      <c r="Z1868" s="118" t="str">
        <f>+VLOOKUP(Agencia[[#This Row],[Filtro Integrado]],Estructura!$I$4:$K$500,3,0)</f>
        <v>FI-993</v>
      </c>
      <c r="AA1868" s="118" t="str">
        <f>+VLOOKUP(Agencia[[#This Row],[Muestra]],Estructura!$M$4:$O$500,3,0)</f>
        <v>M-1157</v>
      </c>
    </row>
    <row r="1869" spans="1:27" ht="72" x14ac:dyDescent="0.3">
      <c r="A1869" s="21" t="s">
        <v>8136</v>
      </c>
      <c r="B1869" s="89">
        <v>990</v>
      </c>
      <c r="C1869" s="90" t="s">
        <v>401</v>
      </c>
      <c r="D1869" s="90" t="s">
        <v>822</v>
      </c>
      <c r="E1869" s="114">
        <v>11</v>
      </c>
      <c r="F1869" s="90" t="s">
        <v>7406</v>
      </c>
      <c r="G1869" s="91" t="s">
        <v>3764</v>
      </c>
      <c r="H1869" s="98" t="s">
        <v>16</v>
      </c>
      <c r="I1869" s="99" t="s">
        <v>378</v>
      </c>
      <c r="J1869" s="83" t="s">
        <v>404</v>
      </c>
      <c r="K1869" s="89" t="s">
        <v>6752</v>
      </c>
      <c r="L1869" s="89" t="s">
        <v>1721</v>
      </c>
      <c r="M1869" s="89" t="s">
        <v>4247</v>
      </c>
      <c r="N1869" s="89" t="s">
        <v>459</v>
      </c>
      <c r="O1869" s="92" t="s">
        <v>6777</v>
      </c>
      <c r="P1869" s="110"/>
      <c r="Q1869" s="85" t="s">
        <v>821</v>
      </c>
      <c r="R1869" s="87" t="s">
        <v>6691</v>
      </c>
      <c r="S1869" s="103" t="s">
        <v>6778</v>
      </c>
      <c r="T1869" s="88" t="s">
        <v>3748</v>
      </c>
      <c r="U1869" s="50" t="s">
        <v>7801</v>
      </c>
      <c r="V1869" s="118" t="str">
        <f>+Agencia[[#This Row],[idcoleccion]]&amp;"-"&amp;Agencia[[#This Row],[id]]</f>
        <v>990-1858</v>
      </c>
      <c r="W1869" s="121">
        <v>99200011</v>
      </c>
      <c r="X1869" s="118" t="str">
        <f>+VLOOKUP(Agencia[[#This Row],[tema]],Estructura!$A$4:$C$500,3,0)</f>
        <v>T-1087</v>
      </c>
      <c r="Y1869" s="118" t="str">
        <f>+VLOOKUP(Agencia[[#This Row],[contenido]],Estructura!$E$4:$G$500,3,0)</f>
        <v>C-998</v>
      </c>
      <c r="Z1869" s="118" t="str">
        <f>+VLOOKUP(Agencia[[#This Row],[Filtro Integrado]],Estructura!$I$4:$K$500,3,0)</f>
        <v>FI-993</v>
      </c>
      <c r="AA1869" s="118" t="str">
        <f>+VLOOKUP(Agencia[[#This Row],[Muestra]],Estructura!$M$4:$O$500,3,0)</f>
        <v>M-1157</v>
      </c>
    </row>
    <row r="1870" spans="1:27" ht="72" x14ac:dyDescent="0.3">
      <c r="A1870" s="21" t="s">
        <v>8137</v>
      </c>
      <c r="B1870" s="89">
        <v>990</v>
      </c>
      <c r="C1870" s="90" t="s">
        <v>401</v>
      </c>
      <c r="D1870" s="90" t="s">
        <v>822</v>
      </c>
      <c r="E1870" s="114">
        <v>12</v>
      </c>
      <c r="F1870" s="90" t="s">
        <v>7406</v>
      </c>
      <c r="G1870" s="91" t="s">
        <v>3764</v>
      </c>
      <c r="H1870" s="98" t="s">
        <v>16</v>
      </c>
      <c r="I1870" s="99" t="s">
        <v>379</v>
      </c>
      <c r="J1870" s="83" t="s">
        <v>404</v>
      </c>
      <c r="K1870" s="89" t="s">
        <v>6752</v>
      </c>
      <c r="L1870" s="89" t="s">
        <v>1721</v>
      </c>
      <c r="M1870" s="89" t="s">
        <v>4247</v>
      </c>
      <c r="N1870" s="89" t="s">
        <v>459</v>
      </c>
      <c r="O1870" s="92" t="s">
        <v>6779</v>
      </c>
      <c r="P1870" s="110"/>
      <c r="Q1870" s="85" t="s">
        <v>821</v>
      </c>
      <c r="R1870" s="87" t="s">
        <v>6694</v>
      </c>
      <c r="S1870" s="103" t="s">
        <v>6780</v>
      </c>
      <c r="T1870" s="88" t="s">
        <v>3753</v>
      </c>
      <c r="U1870" s="50" t="s">
        <v>7802</v>
      </c>
      <c r="V1870" s="118" t="str">
        <f>+Agencia[[#This Row],[idcoleccion]]&amp;"-"&amp;Agencia[[#This Row],[id]]</f>
        <v>990-1859</v>
      </c>
      <c r="W1870" s="121">
        <v>99200012</v>
      </c>
      <c r="X1870" s="118" t="str">
        <f>+VLOOKUP(Agencia[[#This Row],[tema]],Estructura!$A$4:$C$500,3,0)</f>
        <v>T-1087</v>
      </c>
      <c r="Y1870" s="118" t="str">
        <f>+VLOOKUP(Agencia[[#This Row],[contenido]],Estructura!$E$4:$G$500,3,0)</f>
        <v>C-998</v>
      </c>
      <c r="Z1870" s="118" t="str">
        <f>+VLOOKUP(Agencia[[#This Row],[Filtro Integrado]],Estructura!$I$4:$K$500,3,0)</f>
        <v>FI-993</v>
      </c>
      <c r="AA1870" s="118" t="str">
        <f>+VLOOKUP(Agencia[[#This Row],[Muestra]],Estructura!$M$4:$O$500,3,0)</f>
        <v>M-1157</v>
      </c>
    </row>
    <row r="1871" spans="1:27" ht="72" x14ac:dyDescent="0.3">
      <c r="A1871" s="21" t="s">
        <v>8138</v>
      </c>
      <c r="B1871" s="89">
        <v>990</v>
      </c>
      <c r="C1871" s="90" t="s">
        <v>401</v>
      </c>
      <c r="D1871" s="90" t="s">
        <v>822</v>
      </c>
      <c r="E1871" s="114">
        <v>13</v>
      </c>
      <c r="F1871" s="90" t="s">
        <v>7406</v>
      </c>
      <c r="G1871" s="91" t="s">
        <v>3764</v>
      </c>
      <c r="H1871" s="98" t="s">
        <v>16</v>
      </c>
      <c r="I1871" s="99" t="s">
        <v>380</v>
      </c>
      <c r="J1871" s="83" t="s">
        <v>404</v>
      </c>
      <c r="K1871" s="89" t="s">
        <v>6752</v>
      </c>
      <c r="L1871" s="89" t="s">
        <v>1721</v>
      </c>
      <c r="M1871" s="89" t="s">
        <v>4247</v>
      </c>
      <c r="N1871" s="89" t="s">
        <v>459</v>
      </c>
      <c r="O1871" s="92" t="s">
        <v>6781</v>
      </c>
      <c r="P1871" s="110"/>
      <c r="Q1871" s="85" t="s">
        <v>821</v>
      </c>
      <c r="R1871" s="87" t="s">
        <v>6742</v>
      </c>
      <c r="S1871" s="103" t="s">
        <v>6782</v>
      </c>
      <c r="T1871" s="88" t="s">
        <v>3760</v>
      </c>
      <c r="U1871" s="50" t="s">
        <v>7803</v>
      </c>
      <c r="V1871" s="118" t="str">
        <f>+Agencia[[#This Row],[idcoleccion]]&amp;"-"&amp;Agencia[[#This Row],[id]]</f>
        <v>990-1860</v>
      </c>
      <c r="W1871" s="121">
        <v>99200013</v>
      </c>
      <c r="X1871" s="118" t="str">
        <f>+VLOOKUP(Agencia[[#This Row],[tema]],Estructura!$A$4:$C$500,3,0)</f>
        <v>T-1087</v>
      </c>
      <c r="Y1871" s="118" t="str">
        <f>+VLOOKUP(Agencia[[#This Row],[contenido]],Estructura!$E$4:$G$500,3,0)</f>
        <v>C-998</v>
      </c>
      <c r="Z1871" s="118" t="str">
        <f>+VLOOKUP(Agencia[[#This Row],[Filtro Integrado]],Estructura!$I$4:$K$500,3,0)</f>
        <v>FI-993</v>
      </c>
      <c r="AA1871" s="118" t="str">
        <f>+VLOOKUP(Agencia[[#This Row],[Muestra]],Estructura!$M$4:$O$500,3,0)</f>
        <v>M-1157</v>
      </c>
    </row>
    <row r="1872" spans="1:27" ht="72" x14ac:dyDescent="0.3">
      <c r="A1872" s="21" t="s">
        <v>8139</v>
      </c>
      <c r="B1872" s="89">
        <v>990</v>
      </c>
      <c r="C1872" s="90" t="s">
        <v>401</v>
      </c>
      <c r="D1872" s="90" t="s">
        <v>822</v>
      </c>
      <c r="E1872" s="114">
        <v>14</v>
      </c>
      <c r="F1872" s="90" t="s">
        <v>7406</v>
      </c>
      <c r="G1872" s="91" t="s">
        <v>3764</v>
      </c>
      <c r="H1872" s="98" t="s">
        <v>16</v>
      </c>
      <c r="I1872" s="99" t="s">
        <v>381</v>
      </c>
      <c r="J1872" s="83" t="s">
        <v>404</v>
      </c>
      <c r="K1872" s="89" t="s">
        <v>6752</v>
      </c>
      <c r="L1872" s="89" t="s">
        <v>1721</v>
      </c>
      <c r="M1872" s="89" t="s">
        <v>4247</v>
      </c>
      <c r="N1872" s="89" t="s">
        <v>459</v>
      </c>
      <c r="O1872" s="92" t="s">
        <v>6783</v>
      </c>
      <c r="P1872" s="110"/>
      <c r="Q1872" s="85" t="s">
        <v>821</v>
      </c>
      <c r="R1872" s="87" t="s">
        <v>6745</v>
      </c>
      <c r="S1872" s="103" t="s">
        <v>6784</v>
      </c>
      <c r="T1872" s="88" t="s">
        <v>3752</v>
      </c>
      <c r="U1872" s="50" t="s">
        <v>7804</v>
      </c>
      <c r="V1872" s="118" t="str">
        <f>+Agencia[[#This Row],[idcoleccion]]&amp;"-"&amp;Agencia[[#This Row],[id]]</f>
        <v>990-1861</v>
      </c>
      <c r="W1872" s="121">
        <v>99200014</v>
      </c>
      <c r="X1872" s="118" t="str">
        <f>+VLOOKUP(Agencia[[#This Row],[tema]],Estructura!$A$4:$C$500,3,0)</f>
        <v>T-1087</v>
      </c>
      <c r="Y1872" s="118" t="str">
        <f>+VLOOKUP(Agencia[[#This Row],[contenido]],Estructura!$E$4:$G$500,3,0)</f>
        <v>C-998</v>
      </c>
      <c r="Z1872" s="118" t="str">
        <f>+VLOOKUP(Agencia[[#This Row],[Filtro Integrado]],Estructura!$I$4:$K$500,3,0)</f>
        <v>FI-993</v>
      </c>
      <c r="AA1872" s="118" t="str">
        <f>+VLOOKUP(Agencia[[#This Row],[Muestra]],Estructura!$M$4:$O$500,3,0)</f>
        <v>M-1157</v>
      </c>
    </row>
    <row r="1873" spans="1:27" ht="72" x14ac:dyDescent="0.3">
      <c r="A1873" s="21" t="s">
        <v>8140</v>
      </c>
      <c r="B1873" s="89">
        <v>990</v>
      </c>
      <c r="C1873" s="90" t="s">
        <v>401</v>
      </c>
      <c r="D1873" s="90" t="s">
        <v>822</v>
      </c>
      <c r="E1873" s="114">
        <v>15</v>
      </c>
      <c r="F1873" s="90" t="s">
        <v>7406</v>
      </c>
      <c r="G1873" s="91" t="s">
        <v>3764</v>
      </c>
      <c r="H1873" s="98" t="s">
        <v>16</v>
      </c>
      <c r="I1873" s="99" t="s">
        <v>382</v>
      </c>
      <c r="J1873" s="83" t="s">
        <v>404</v>
      </c>
      <c r="K1873" s="89" t="s">
        <v>6752</v>
      </c>
      <c r="L1873" s="89" t="s">
        <v>1721</v>
      </c>
      <c r="M1873" s="89" t="s">
        <v>4247</v>
      </c>
      <c r="N1873" s="89" t="s">
        <v>459</v>
      </c>
      <c r="O1873" s="92" t="s">
        <v>6785</v>
      </c>
      <c r="P1873" s="110"/>
      <c r="Q1873" s="85" t="s">
        <v>821</v>
      </c>
      <c r="R1873" s="87" t="s">
        <v>6748</v>
      </c>
      <c r="S1873" s="103" t="s">
        <v>6786</v>
      </c>
      <c r="T1873" s="88" t="s">
        <v>3746</v>
      </c>
      <c r="U1873" s="50" t="s">
        <v>7805</v>
      </c>
      <c r="V1873" s="118" t="str">
        <f>+Agencia[[#This Row],[idcoleccion]]&amp;"-"&amp;Agencia[[#This Row],[id]]</f>
        <v>990-1862</v>
      </c>
      <c r="W1873" s="121">
        <v>99200015</v>
      </c>
      <c r="X1873" s="118" t="str">
        <f>+VLOOKUP(Agencia[[#This Row],[tema]],Estructura!$A$4:$C$500,3,0)</f>
        <v>T-1087</v>
      </c>
      <c r="Y1873" s="118" t="str">
        <f>+VLOOKUP(Agencia[[#This Row],[contenido]],Estructura!$E$4:$G$500,3,0)</f>
        <v>C-998</v>
      </c>
      <c r="Z1873" s="118" t="str">
        <f>+VLOOKUP(Agencia[[#This Row],[Filtro Integrado]],Estructura!$I$4:$K$500,3,0)</f>
        <v>FI-993</v>
      </c>
      <c r="AA1873" s="118" t="str">
        <f>+VLOOKUP(Agencia[[#This Row],[Muestra]],Estructura!$M$4:$O$500,3,0)</f>
        <v>M-1157</v>
      </c>
    </row>
    <row r="1874" spans="1:27" ht="72" x14ac:dyDescent="0.3">
      <c r="A1874" s="21" t="s">
        <v>8141</v>
      </c>
      <c r="B1874" s="89">
        <v>990</v>
      </c>
      <c r="C1874" s="90" t="s">
        <v>401</v>
      </c>
      <c r="D1874" s="90" t="s">
        <v>822</v>
      </c>
      <c r="E1874" s="114">
        <v>16</v>
      </c>
      <c r="F1874" s="90" t="s">
        <v>7406</v>
      </c>
      <c r="G1874" s="91" t="s">
        <v>3764</v>
      </c>
      <c r="H1874" s="98" t="s">
        <v>16</v>
      </c>
      <c r="I1874" s="99" t="s">
        <v>383</v>
      </c>
      <c r="J1874" s="83" t="s">
        <v>404</v>
      </c>
      <c r="K1874" s="89" t="s">
        <v>6752</v>
      </c>
      <c r="L1874" s="89" t="s">
        <v>1721</v>
      </c>
      <c r="M1874" s="89" t="s">
        <v>4247</v>
      </c>
      <c r="N1874" s="89" t="s">
        <v>459</v>
      </c>
      <c r="O1874" s="92" t="s">
        <v>6787</v>
      </c>
      <c r="P1874" s="109"/>
      <c r="Q1874" s="93" t="s">
        <v>821</v>
      </c>
      <c r="R1874" s="92" t="s">
        <v>6706</v>
      </c>
      <c r="S1874" s="103" t="s">
        <v>6788</v>
      </c>
      <c r="T1874" s="94" t="s">
        <v>3755</v>
      </c>
      <c r="U1874" s="50" t="s">
        <v>7806</v>
      </c>
      <c r="V1874" s="118" t="str">
        <f>+Agencia[[#This Row],[idcoleccion]]&amp;"-"&amp;Agencia[[#This Row],[id]]</f>
        <v>990-1863</v>
      </c>
      <c r="W1874" s="121">
        <v>99200016</v>
      </c>
      <c r="X1874" s="118" t="str">
        <f>+VLOOKUP(Agencia[[#This Row],[tema]],Estructura!$A$4:$C$500,3,0)</f>
        <v>T-1087</v>
      </c>
      <c r="Y1874" s="118" t="str">
        <f>+VLOOKUP(Agencia[[#This Row],[contenido]],Estructura!$E$4:$G$500,3,0)</f>
        <v>C-998</v>
      </c>
      <c r="Z1874" s="118" t="str">
        <f>+VLOOKUP(Agencia[[#This Row],[Filtro Integrado]],Estructura!$I$4:$K$500,3,0)</f>
        <v>FI-993</v>
      </c>
      <c r="AA1874" s="118" t="str">
        <f>+VLOOKUP(Agencia[[#This Row],[Muestra]],Estructura!$M$4:$O$500,3,0)</f>
        <v>M-1157</v>
      </c>
    </row>
    <row r="1875" spans="1:27" ht="48" x14ac:dyDescent="0.3">
      <c r="A1875" s="21" t="s">
        <v>8142</v>
      </c>
      <c r="B1875" s="89">
        <v>990</v>
      </c>
      <c r="C1875" s="90" t="s">
        <v>401</v>
      </c>
      <c r="D1875" s="90" t="s">
        <v>405</v>
      </c>
      <c r="E1875" s="115">
        <v>0</v>
      </c>
      <c r="F1875" s="90" t="s">
        <v>6789</v>
      </c>
      <c r="G1875" s="91" t="s">
        <v>6790</v>
      </c>
      <c r="H1875" s="96" t="s">
        <v>20</v>
      </c>
      <c r="I1875" s="97" t="s">
        <v>15</v>
      </c>
      <c r="J1875" s="89" t="s">
        <v>16</v>
      </c>
      <c r="K1875" s="89" t="s">
        <v>6791</v>
      </c>
      <c r="L1875" s="105" t="s">
        <v>460</v>
      </c>
      <c r="M1875" s="89" t="s">
        <v>4247</v>
      </c>
      <c r="N1875" s="83" t="s">
        <v>403</v>
      </c>
      <c r="O1875" s="92" t="s">
        <v>6792</v>
      </c>
      <c r="P1875" s="107" t="s">
        <v>6793</v>
      </c>
      <c r="Q1875" s="93" t="s">
        <v>821</v>
      </c>
      <c r="R1875" s="92" t="s">
        <v>6794</v>
      </c>
      <c r="S1875" s="104" t="s">
        <v>6795</v>
      </c>
      <c r="T1875" s="94" t="s">
        <v>1033</v>
      </c>
      <c r="U1875" s="50" t="s">
        <v>7807</v>
      </c>
      <c r="V1875" s="118" t="str">
        <f>+Agencia[[#This Row],[idcoleccion]]&amp;"-"&amp;Agencia[[#This Row],[id]]</f>
        <v>990-1864</v>
      </c>
      <c r="W1875" s="121">
        <v>99100000</v>
      </c>
      <c r="X1875" s="118" t="str">
        <f>+VLOOKUP(Agencia[[#This Row],[tema]],Estructura!$A$4:$C$500,3,0)</f>
        <v>T-1088</v>
      </c>
      <c r="Y1875" s="118" t="str">
        <f>+VLOOKUP(Agencia[[#This Row],[contenido]],Estructura!$E$4:$G$500,3,0)</f>
        <v>C-1029</v>
      </c>
      <c r="Z1875" s="118" t="str">
        <f>+VLOOKUP(Agencia[[#This Row],[Filtro Integrado]],Estructura!$I$4:$K$500,3,0)</f>
        <v>FI-992</v>
      </c>
      <c r="AA1875" s="118" t="str">
        <f>+VLOOKUP(Agencia[[#This Row],[Muestra]],Estructura!$M$4:$O$500,3,0)</f>
        <v>M-1158</v>
      </c>
    </row>
    <row r="1876" spans="1:27" ht="48" x14ac:dyDescent="0.3">
      <c r="A1876" s="21" t="s">
        <v>8143</v>
      </c>
      <c r="B1876" s="89">
        <v>990</v>
      </c>
      <c r="C1876" s="90" t="s">
        <v>401</v>
      </c>
      <c r="D1876" s="90" t="s">
        <v>405</v>
      </c>
      <c r="E1876" s="114">
        <v>1</v>
      </c>
      <c r="F1876" s="90" t="s">
        <v>6789</v>
      </c>
      <c r="G1876" s="91" t="s">
        <v>6790</v>
      </c>
      <c r="H1876" s="98" t="s">
        <v>16</v>
      </c>
      <c r="I1876" s="99" t="s">
        <v>368</v>
      </c>
      <c r="J1876" s="83" t="s">
        <v>404</v>
      </c>
      <c r="K1876" s="89" t="s">
        <v>6791</v>
      </c>
      <c r="L1876" s="105" t="s">
        <v>460</v>
      </c>
      <c r="M1876" s="89" t="s">
        <v>4247</v>
      </c>
      <c r="N1876" s="83" t="s">
        <v>403</v>
      </c>
      <c r="O1876" s="92" t="s">
        <v>6796</v>
      </c>
      <c r="P1876" s="110"/>
      <c r="Q1876" s="85" t="s">
        <v>821</v>
      </c>
      <c r="R1876" s="92" t="s">
        <v>6797</v>
      </c>
      <c r="S1876" s="103" t="s">
        <v>6798</v>
      </c>
      <c r="T1876" s="88" t="s">
        <v>3741</v>
      </c>
      <c r="U1876" s="50" t="s">
        <v>7808</v>
      </c>
      <c r="V1876" s="118" t="str">
        <f>+Agencia[[#This Row],[idcoleccion]]&amp;"-"&amp;Agencia[[#This Row],[id]]</f>
        <v>990-1865</v>
      </c>
      <c r="W1876" s="121">
        <v>99200001</v>
      </c>
      <c r="X1876" s="118" t="str">
        <f>+VLOOKUP(Agencia[[#This Row],[tema]],Estructura!$A$4:$C$500,3,0)</f>
        <v>T-1088</v>
      </c>
      <c r="Y1876" s="118" t="str">
        <f>+VLOOKUP(Agencia[[#This Row],[contenido]],Estructura!$E$4:$G$500,3,0)</f>
        <v>C-1029</v>
      </c>
      <c r="Z1876" s="118" t="str">
        <f>+VLOOKUP(Agencia[[#This Row],[Filtro Integrado]],Estructura!$I$4:$K$500,3,0)</f>
        <v>FI-993</v>
      </c>
      <c r="AA1876" s="118" t="str">
        <f>+VLOOKUP(Agencia[[#This Row],[Muestra]],Estructura!$M$4:$O$500,3,0)</f>
        <v>M-1158</v>
      </c>
    </row>
    <row r="1877" spans="1:27" ht="48" x14ac:dyDescent="0.3">
      <c r="A1877" s="21" t="s">
        <v>8144</v>
      </c>
      <c r="B1877" s="89">
        <v>990</v>
      </c>
      <c r="C1877" s="90" t="s">
        <v>401</v>
      </c>
      <c r="D1877" s="90" t="s">
        <v>405</v>
      </c>
      <c r="E1877" s="114">
        <v>2</v>
      </c>
      <c r="F1877" s="90" t="s">
        <v>6789</v>
      </c>
      <c r="G1877" s="91" t="s">
        <v>6790</v>
      </c>
      <c r="H1877" s="98" t="s">
        <v>16</v>
      </c>
      <c r="I1877" s="99" t="s">
        <v>369</v>
      </c>
      <c r="J1877" s="83" t="s">
        <v>404</v>
      </c>
      <c r="K1877" s="89" t="s">
        <v>6791</v>
      </c>
      <c r="L1877" s="105" t="s">
        <v>460</v>
      </c>
      <c r="M1877" s="89" t="s">
        <v>4247</v>
      </c>
      <c r="N1877" s="83" t="s">
        <v>403</v>
      </c>
      <c r="O1877" s="92" t="s">
        <v>6799</v>
      </c>
      <c r="P1877" s="110"/>
      <c r="Q1877" s="85" t="s">
        <v>821</v>
      </c>
      <c r="R1877" s="92" t="s">
        <v>6800</v>
      </c>
      <c r="S1877" s="103" t="s">
        <v>6801</v>
      </c>
      <c r="T1877" s="88" t="s">
        <v>3729</v>
      </c>
      <c r="U1877" s="50" t="s">
        <v>7809</v>
      </c>
      <c r="V1877" s="118" t="str">
        <f>+Agencia[[#This Row],[idcoleccion]]&amp;"-"&amp;Agencia[[#This Row],[id]]</f>
        <v>990-1866</v>
      </c>
      <c r="W1877" s="121">
        <v>99200002</v>
      </c>
      <c r="X1877" s="118" t="str">
        <f>+VLOOKUP(Agencia[[#This Row],[tema]],Estructura!$A$4:$C$500,3,0)</f>
        <v>T-1088</v>
      </c>
      <c r="Y1877" s="118" t="str">
        <f>+VLOOKUP(Agencia[[#This Row],[contenido]],Estructura!$E$4:$G$500,3,0)</f>
        <v>C-1029</v>
      </c>
      <c r="Z1877" s="118" t="str">
        <f>+VLOOKUP(Agencia[[#This Row],[Filtro Integrado]],Estructura!$I$4:$K$500,3,0)</f>
        <v>FI-993</v>
      </c>
      <c r="AA1877" s="118" t="str">
        <f>+VLOOKUP(Agencia[[#This Row],[Muestra]],Estructura!$M$4:$O$500,3,0)</f>
        <v>M-1158</v>
      </c>
    </row>
    <row r="1878" spans="1:27" ht="48" x14ac:dyDescent="0.3">
      <c r="A1878" s="21" t="s">
        <v>8145</v>
      </c>
      <c r="B1878" s="89">
        <v>990</v>
      </c>
      <c r="C1878" s="90" t="s">
        <v>401</v>
      </c>
      <c r="D1878" s="90" t="s">
        <v>405</v>
      </c>
      <c r="E1878" s="114">
        <v>3</v>
      </c>
      <c r="F1878" s="90" t="s">
        <v>6789</v>
      </c>
      <c r="G1878" s="91" t="s">
        <v>6790</v>
      </c>
      <c r="H1878" s="98" t="s">
        <v>16</v>
      </c>
      <c r="I1878" s="99" t="s">
        <v>370</v>
      </c>
      <c r="J1878" s="83" t="s">
        <v>404</v>
      </c>
      <c r="K1878" s="89" t="s">
        <v>6791</v>
      </c>
      <c r="L1878" s="105" t="s">
        <v>460</v>
      </c>
      <c r="M1878" s="89" t="s">
        <v>4247</v>
      </c>
      <c r="N1878" s="83" t="s">
        <v>403</v>
      </c>
      <c r="O1878" s="92" t="s">
        <v>6802</v>
      </c>
      <c r="P1878" s="110"/>
      <c r="Q1878" s="85" t="s">
        <v>821</v>
      </c>
      <c r="R1878" s="92" t="s">
        <v>6803</v>
      </c>
      <c r="S1878" s="103" t="s">
        <v>6804</v>
      </c>
      <c r="T1878" s="88" t="s">
        <v>3731</v>
      </c>
      <c r="U1878" s="50" t="s">
        <v>7810</v>
      </c>
      <c r="V1878" s="118" t="str">
        <f>+Agencia[[#This Row],[idcoleccion]]&amp;"-"&amp;Agencia[[#This Row],[id]]</f>
        <v>990-1867</v>
      </c>
      <c r="W1878" s="121">
        <v>99200003</v>
      </c>
      <c r="X1878" s="118" t="str">
        <f>+VLOOKUP(Agencia[[#This Row],[tema]],Estructura!$A$4:$C$500,3,0)</f>
        <v>T-1088</v>
      </c>
      <c r="Y1878" s="118" t="str">
        <f>+VLOOKUP(Agencia[[#This Row],[contenido]],Estructura!$E$4:$G$500,3,0)</f>
        <v>C-1029</v>
      </c>
      <c r="Z1878" s="118" t="str">
        <f>+VLOOKUP(Agencia[[#This Row],[Filtro Integrado]],Estructura!$I$4:$K$500,3,0)</f>
        <v>FI-993</v>
      </c>
      <c r="AA1878" s="118" t="str">
        <f>+VLOOKUP(Agencia[[#This Row],[Muestra]],Estructura!$M$4:$O$500,3,0)</f>
        <v>M-1158</v>
      </c>
    </row>
    <row r="1879" spans="1:27" ht="48" x14ac:dyDescent="0.3">
      <c r="A1879" s="21" t="s">
        <v>8146</v>
      </c>
      <c r="B1879" s="89">
        <v>990</v>
      </c>
      <c r="C1879" s="90" t="s">
        <v>401</v>
      </c>
      <c r="D1879" s="90" t="s">
        <v>405</v>
      </c>
      <c r="E1879" s="114">
        <v>4</v>
      </c>
      <c r="F1879" s="90" t="s">
        <v>6789</v>
      </c>
      <c r="G1879" s="91" t="s">
        <v>6790</v>
      </c>
      <c r="H1879" s="98" t="s">
        <v>16</v>
      </c>
      <c r="I1879" s="99" t="s">
        <v>371</v>
      </c>
      <c r="J1879" s="83" t="s">
        <v>404</v>
      </c>
      <c r="K1879" s="89" t="s">
        <v>6791</v>
      </c>
      <c r="L1879" s="105" t="s">
        <v>460</v>
      </c>
      <c r="M1879" s="89" t="s">
        <v>4247</v>
      </c>
      <c r="N1879" s="83" t="s">
        <v>403</v>
      </c>
      <c r="O1879" s="92" t="s">
        <v>6805</v>
      </c>
      <c r="P1879" s="110"/>
      <c r="Q1879" s="85" t="s">
        <v>821</v>
      </c>
      <c r="R1879" s="92" t="s">
        <v>6806</v>
      </c>
      <c r="S1879" s="103" t="s">
        <v>6807</v>
      </c>
      <c r="T1879" s="88" t="s">
        <v>3733</v>
      </c>
      <c r="U1879" s="50" t="s">
        <v>7811</v>
      </c>
      <c r="V1879" s="118" t="str">
        <f>+Agencia[[#This Row],[idcoleccion]]&amp;"-"&amp;Agencia[[#This Row],[id]]</f>
        <v>990-1868</v>
      </c>
      <c r="W1879" s="121">
        <v>99200004</v>
      </c>
      <c r="X1879" s="118" t="str">
        <f>+VLOOKUP(Agencia[[#This Row],[tema]],Estructura!$A$4:$C$500,3,0)</f>
        <v>T-1088</v>
      </c>
      <c r="Y1879" s="118" t="str">
        <f>+VLOOKUP(Agencia[[#This Row],[contenido]],Estructura!$E$4:$G$500,3,0)</f>
        <v>C-1029</v>
      </c>
      <c r="Z1879" s="118" t="str">
        <f>+VLOOKUP(Agencia[[#This Row],[Filtro Integrado]],Estructura!$I$4:$K$500,3,0)</f>
        <v>FI-993</v>
      </c>
      <c r="AA1879" s="118" t="str">
        <f>+VLOOKUP(Agencia[[#This Row],[Muestra]],Estructura!$M$4:$O$500,3,0)</f>
        <v>M-1158</v>
      </c>
    </row>
    <row r="1880" spans="1:27" ht="48" x14ac:dyDescent="0.3">
      <c r="A1880" s="21" t="s">
        <v>8147</v>
      </c>
      <c r="B1880" s="89">
        <v>990</v>
      </c>
      <c r="C1880" s="90" t="s">
        <v>401</v>
      </c>
      <c r="D1880" s="90" t="s">
        <v>405</v>
      </c>
      <c r="E1880" s="114">
        <v>5</v>
      </c>
      <c r="F1880" s="90" t="s">
        <v>6789</v>
      </c>
      <c r="G1880" s="91" t="s">
        <v>6790</v>
      </c>
      <c r="H1880" s="98" t="s">
        <v>16</v>
      </c>
      <c r="I1880" s="99" t="s">
        <v>372</v>
      </c>
      <c r="J1880" s="83" t="s">
        <v>404</v>
      </c>
      <c r="K1880" s="89" t="s">
        <v>6791</v>
      </c>
      <c r="L1880" s="105" t="s">
        <v>460</v>
      </c>
      <c r="M1880" s="89" t="s">
        <v>4247</v>
      </c>
      <c r="N1880" s="83" t="s">
        <v>403</v>
      </c>
      <c r="O1880" s="92" t="s">
        <v>6808</v>
      </c>
      <c r="P1880" s="110"/>
      <c r="Q1880" s="85" t="s">
        <v>821</v>
      </c>
      <c r="R1880" s="92" t="s">
        <v>6809</v>
      </c>
      <c r="S1880" s="103" t="s">
        <v>6810</v>
      </c>
      <c r="T1880" s="88" t="s">
        <v>3742</v>
      </c>
      <c r="U1880" s="50" t="s">
        <v>7812</v>
      </c>
      <c r="V1880" s="118" t="str">
        <f>+Agencia[[#This Row],[idcoleccion]]&amp;"-"&amp;Agencia[[#This Row],[id]]</f>
        <v>990-1869</v>
      </c>
      <c r="W1880" s="121">
        <v>99200005</v>
      </c>
      <c r="X1880" s="118" t="str">
        <f>+VLOOKUP(Agencia[[#This Row],[tema]],Estructura!$A$4:$C$500,3,0)</f>
        <v>T-1088</v>
      </c>
      <c r="Y1880" s="118" t="str">
        <f>+VLOOKUP(Agencia[[#This Row],[contenido]],Estructura!$E$4:$G$500,3,0)</f>
        <v>C-1029</v>
      </c>
      <c r="Z1880" s="118" t="str">
        <f>+VLOOKUP(Agencia[[#This Row],[Filtro Integrado]],Estructura!$I$4:$K$500,3,0)</f>
        <v>FI-993</v>
      </c>
      <c r="AA1880" s="118" t="str">
        <f>+VLOOKUP(Agencia[[#This Row],[Muestra]],Estructura!$M$4:$O$500,3,0)</f>
        <v>M-1158</v>
      </c>
    </row>
    <row r="1881" spans="1:27" ht="48" x14ac:dyDescent="0.3">
      <c r="A1881" s="21" t="s">
        <v>8148</v>
      </c>
      <c r="B1881" s="89">
        <v>990</v>
      </c>
      <c r="C1881" s="90" t="s">
        <v>401</v>
      </c>
      <c r="D1881" s="90" t="s">
        <v>405</v>
      </c>
      <c r="E1881" s="114">
        <v>6</v>
      </c>
      <c r="F1881" s="90" t="s">
        <v>6789</v>
      </c>
      <c r="G1881" s="91" t="s">
        <v>6790</v>
      </c>
      <c r="H1881" s="98" t="s">
        <v>16</v>
      </c>
      <c r="I1881" s="99" t="s">
        <v>373</v>
      </c>
      <c r="J1881" s="83" t="s">
        <v>404</v>
      </c>
      <c r="K1881" s="89" t="s">
        <v>6791</v>
      </c>
      <c r="L1881" s="105" t="s">
        <v>460</v>
      </c>
      <c r="M1881" s="89" t="s">
        <v>4247</v>
      </c>
      <c r="N1881" s="83" t="s">
        <v>403</v>
      </c>
      <c r="O1881" s="92" t="s">
        <v>6811</v>
      </c>
      <c r="P1881" s="110"/>
      <c r="Q1881" s="85" t="s">
        <v>821</v>
      </c>
      <c r="R1881" s="92" t="s">
        <v>6812</v>
      </c>
      <c r="S1881" s="103" t="s">
        <v>6813</v>
      </c>
      <c r="T1881" s="88" t="s">
        <v>3740</v>
      </c>
      <c r="U1881" s="50" t="s">
        <v>7813</v>
      </c>
      <c r="V1881" s="118" t="str">
        <f>+Agencia[[#This Row],[idcoleccion]]&amp;"-"&amp;Agencia[[#This Row],[id]]</f>
        <v>990-1870</v>
      </c>
      <c r="W1881" s="121">
        <v>99200006</v>
      </c>
      <c r="X1881" s="118" t="str">
        <f>+VLOOKUP(Agencia[[#This Row],[tema]],Estructura!$A$4:$C$500,3,0)</f>
        <v>T-1088</v>
      </c>
      <c r="Y1881" s="118" t="str">
        <f>+VLOOKUP(Agencia[[#This Row],[contenido]],Estructura!$E$4:$G$500,3,0)</f>
        <v>C-1029</v>
      </c>
      <c r="Z1881" s="118" t="str">
        <f>+VLOOKUP(Agencia[[#This Row],[Filtro Integrado]],Estructura!$I$4:$K$500,3,0)</f>
        <v>FI-993</v>
      </c>
      <c r="AA1881" s="118" t="str">
        <f>+VLOOKUP(Agencia[[#This Row],[Muestra]],Estructura!$M$4:$O$500,3,0)</f>
        <v>M-1158</v>
      </c>
    </row>
    <row r="1882" spans="1:27" ht="48" x14ac:dyDescent="0.3">
      <c r="A1882" s="21" t="s">
        <v>8149</v>
      </c>
      <c r="B1882" s="89">
        <v>990</v>
      </c>
      <c r="C1882" s="90" t="s">
        <v>401</v>
      </c>
      <c r="D1882" s="90" t="s">
        <v>405</v>
      </c>
      <c r="E1882" s="114">
        <v>7</v>
      </c>
      <c r="F1882" s="90" t="s">
        <v>6789</v>
      </c>
      <c r="G1882" s="91" t="s">
        <v>6790</v>
      </c>
      <c r="H1882" s="98" t="s">
        <v>16</v>
      </c>
      <c r="I1882" s="99" t="s">
        <v>374</v>
      </c>
      <c r="J1882" s="83" t="s">
        <v>404</v>
      </c>
      <c r="K1882" s="89" t="s">
        <v>6791</v>
      </c>
      <c r="L1882" s="105" t="s">
        <v>460</v>
      </c>
      <c r="M1882" s="89" t="s">
        <v>4247</v>
      </c>
      <c r="N1882" s="83" t="s">
        <v>403</v>
      </c>
      <c r="O1882" s="92" t="s">
        <v>6814</v>
      </c>
      <c r="P1882" s="110"/>
      <c r="Q1882" s="85" t="s">
        <v>821</v>
      </c>
      <c r="R1882" s="92" t="s">
        <v>6815</v>
      </c>
      <c r="S1882" s="103" t="s">
        <v>6816</v>
      </c>
      <c r="T1882" s="88" t="s">
        <v>3738</v>
      </c>
      <c r="U1882" s="50" t="s">
        <v>7814</v>
      </c>
      <c r="V1882" s="118" t="str">
        <f>+Agencia[[#This Row],[idcoleccion]]&amp;"-"&amp;Agencia[[#This Row],[id]]</f>
        <v>990-1871</v>
      </c>
      <c r="W1882" s="121">
        <v>99200007</v>
      </c>
      <c r="X1882" s="118" t="str">
        <f>+VLOOKUP(Agencia[[#This Row],[tema]],Estructura!$A$4:$C$500,3,0)</f>
        <v>T-1088</v>
      </c>
      <c r="Y1882" s="118" t="str">
        <f>+VLOOKUP(Agencia[[#This Row],[contenido]],Estructura!$E$4:$G$500,3,0)</f>
        <v>C-1029</v>
      </c>
      <c r="Z1882" s="118" t="str">
        <f>+VLOOKUP(Agencia[[#This Row],[Filtro Integrado]],Estructura!$I$4:$K$500,3,0)</f>
        <v>FI-993</v>
      </c>
      <c r="AA1882" s="118" t="str">
        <f>+VLOOKUP(Agencia[[#This Row],[Muestra]],Estructura!$M$4:$O$500,3,0)</f>
        <v>M-1158</v>
      </c>
    </row>
    <row r="1883" spans="1:27" ht="48" x14ac:dyDescent="0.3">
      <c r="A1883" s="21" t="s">
        <v>8150</v>
      </c>
      <c r="B1883" s="89">
        <v>990</v>
      </c>
      <c r="C1883" s="90" t="s">
        <v>401</v>
      </c>
      <c r="D1883" s="90" t="s">
        <v>405</v>
      </c>
      <c r="E1883" s="114">
        <v>8</v>
      </c>
      <c r="F1883" s="90" t="s">
        <v>6789</v>
      </c>
      <c r="G1883" s="91" t="s">
        <v>6790</v>
      </c>
      <c r="H1883" s="98" t="s">
        <v>16</v>
      </c>
      <c r="I1883" s="99" t="s">
        <v>375</v>
      </c>
      <c r="J1883" s="83" t="s">
        <v>404</v>
      </c>
      <c r="K1883" s="89" t="s">
        <v>6791</v>
      </c>
      <c r="L1883" s="105" t="s">
        <v>460</v>
      </c>
      <c r="M1883" s="89" t="s">
        <v>4247</v>
      </c>
      <c r="N1883" s="83" t="s">
        <v>403</v>
      </c>
      <c r="O1883" s="92" t="s">
        <v>6817</v>
      </c>
      <c r="P1883" s="110"/>
      <c r="Q1883" s="85" t="s">
        <v>821</v>
      </c>
      <c r="R1883" s="92" t="s">
        <v>6818</v>
      </c>
      <c r="S1883" s="103" t="s">
        <v>6819</v>
      </c>
      <c r="T1883" s="88" t="s">
        <v>3743</v>
      </c>
      <c r="U1883" s="50" t="s">
        <v>7815</v>
      </c>
      <c r="V1883" s="118" t="str">
        <f>+Agencia[[#This Row],[idcoleccion]]&amp;"-"&amp;Agencia[[#This Row],[id]]</f>
        <v>990-1872</v>
      </c>
      <c r="W1883" s="121">
        <v>99200008</v>
      </c>
      <c r="X1883" s="118" t="str">
        <f>+VLOOKUP(Agencia[[#This Row],[tema]],Estructura!$A$4:$C$500,3,0)</f>
        <v>T-1088</v>
      </c>
      <c r="Y1883" s="118" t="str">
        <f>+VLOOKUP(Agencia[[#This Row],[contenido]],Estructura!$E$4:$G$500,3,0)</f>
        <v>C-1029</v>
      </c>
      <c r="Z1883" s="118" t="str">
        <f>+VLOOKUP(Agencia[[#This Row],[Filtro Integrado]],Estructura!$I$4:$K$500,3,0)</f>
        <v>FI-993</v>
      </c>
      <c r="AA1883" s="118" t="str">
        <f>+VLOOKUP(Agencia[[#This Row],[Muestra]],Estructura!$M$4:$O$500,3,0)</f>
        <v>M-1158</v>
      </c>
    </row>
    <row r="1884" spans="1:27" ht="48" x14ac:dyDescent="0.3">
      <c r="A1884" s="21" t="s">
        <v>8151</v>
      </c>
      <c r="B1884" s="89">
        <v>990</v>
      </c>
      <c r="C1884" s="90" t="s">
        <v>401</v>
      </c>
      <c r="D1884" s="90" t="s">
        <v>405</v>
      </c>
      <c r="E1884" s="114">
        <v>9</v>
      </c>
      <c r="F1884" s="90" t="s">
        <v>6789</v>
      </c>
      <c r="G1884" s="91" t="s">
        <v>6790</v>
      </c>
      <c r="H1884" s="98" t="s">
        <v>16</v>
      </c>
      <c r="I1884" s="99" t="s">
        <v>376</v>
      </c>
      <c r="J1884" s="83" t="s">
        <v>404</v>
      </c>
      <c r="K1884" s="89" t="s">
        <v>6791</v>
      </c>
      <c r="L1884" s="105" t="s">
        <v>460</v>
      </c>
      <c r="M1884" s="89" t="s">
        <v>4247</v>
      </c>
      <c r="N1884" s="83" t="s">
        <v>403</v>
      </c>
      <c r="O1884" s="92" t="s">
        <v>6820</v>
      </c>
      <c r="P1884" s="110"/>
      <c r="Q1884" s="85" t="s">
        <v>821</v>
      </c>
      <c r="R1884" s="92" t="s">
        <v>6821</v>
      </c>
      <c r="S1884" s="103" t="s">
        <v>6822</v>
      </c>
      <c r="T1884" s="88" t="s">
        <v>3734</v>
      </c>
      <c r="U1884" s="50" t="s">
        <v>7816</v>
      </c>
      <c r="V1884" s="118" t="str">
        <f>+Agencia[[#This Row],[idcoleccion]]&amp;"-"&amp;Agencia[[#This Row],[id]]</f>
        <v>990-1873</v>
      </c>
      <c r="W1884" s="121">
        <v>99200009</v>
      </c>
      <c r="X1884" s="118" t="str">
        <f>+VLOOKUP(Agencia[[#This Row],[tema]],Estructura!$A$4:$C$500,3,0)</f>
        <v>T-1088</v>
      </c>
      <c r="Y1884" s="118" t="str">
        <f>+VLOOKUP(Agencia[[#This Row],[contenido]],Estructura!$E$4:$G$500,3,0)</f>
        <v>C-1029</v>
      </c>
      <c r="Z1884" s="118" t="str">
        <f>+VLOOKUP(Agencia[[#This Row],[Filtro Integrado]],Estructura!$I$4:$K$500,3,0)</f>
        <v>FI-993</v>
      </c>
      <c r="AA1884" s="118" t="str">
        <f>+VLOOKUP(Agencia[[#This Row],[Muestra]],Estructura!$M$4:$O$500,3,0)</f>
        <v>M-1158</v>
      </c>
    </row>
    <row r="1885" spans="1:27" ht="48" x14ac:dyDescent="0.3">
      <c r="A1885" s="21" t="s">
        <v>8152</v>
      </c>
      <c r="B1885" s="89">
        <v>990</v>
      </c>
      <c r="C1885" s="90" t="s">
        <v>401</v>
      </c>
      <c r="D1885" s="90" t="s">
        <v>405</v>
      </c>
      <c r="E1885" s="114">
        <v>10</v>
      </c>
      <c r="F1885" s="90" t="s">
        <v>6789</v>
      </c>
      <c r="G1885" s="91" t="s">
        <v>6790</v>
      </c>
      <c r="H1885" s="98" t="s">
        <v>16</v>
      </c>
      <c r="I1885" s="99" t="s">
        <v>377</v>
      </c>
      <c r="J1885" s="83" t="s">
        <v>404</v>
      </c>
      <c r="K1885" s="89" t="s">
        <v>6791</v>
      </c>
      <c r="L1885" s="105" t="s">
        <v>460</v>
      </c>
      <c r="M1885" s="89" t="s">
        <v>4247</v>
      </c>
      <c r="N1885" s="83" t="s">
        <v>403</v>
      </c>
      <c r="O1885" s="92" t="s">
        <v>6823</v>
      </c>
      <c r="P1885" s="110"/>
      <c r="Q1885" s="85" t="s">
        <v>821</v>
      </c>
      <c r="R1885" s="92" t="s">
        <v>6824</v>
      </c>
      <c r="S1885" s="103" t="s">
        <v>6825</v>
      </c>
      <c r="T1885" s="88" t="s">
        <v>3735</v>
      </c>
      <c r="U1885" s="50" t="s">
        <v>7817</v>
      </c>
      <c r="V1885" s="118" t="str">
        <f>+Agencia[[#This Row],[idcoleccion]]&amp;"-"&amp;Agencia[[#This Row],[id]]</f>
        <v>990-1874</v>
      </c>
      <c r="W1885" s="121">
        <v>99200010</v>
      </c>
      <c r="X1885" s="118" t="str">
        <f>+VLOOKUP(Agencia[[#This Row],[tema]],Estructura!$A$4:$C$500,3,0)</f>
        <v>T-1088</v>
      </c>
      <c r="Y1885" s="118" t="str">
        <f>+VLOOKUP(Agencia[[#This Row],[contenido]],Estructura!$E$4:$G$500,3,0)</f>
        <v>C-1029</v>
      </c>
      <c r="Z1885" s="118" t="str">
        <f>+VLOOKUP(Agencia[[#This Row],[Filtro Integrado]],Estructura!$I$4:$K$500,3,0)</f>
        <v>FI-993</v>
      </c>
      <c r="AA1885" s="118" t="str">
        <f>+VLOOKUP(Agencia[[#This Row],[Muestra]],Estructura!$M$4:$O$500,3,0)</f>
        <v>M-1158</v>
      </c>
    </row>
    <row r="1886" spans="1:27" ht="48" x14ac:dyDescent="0.3">
      <c r="A1886" s="21" t="s">
        <v>8153</v>
      </c>
      <c r="B1886" s="89">
        <v>990</v>
      </c>
      <c r="C1886" s="90" t="s">
        <v>401</v>
      </c>
      <c r="D1886" s="90" t="s">
        <v>405</v>
      </c>
      <c r="E1886" s="114">
        <v>11</v>
      </c>
      <c r="F1886" s="90" t="s">
        <v>6789</v>
      </c>
      <c r="G1886" s="91" t="s">
        <v>6790</v>
      </c>
      <c r="H1886" s="98" t="s">
        <v>16</v>
      </c>
      <c r="I1886" s="99" t="s">
        <v>378</v>
      </c>
      <c r="J1886" s="83" t="s">
        <v>404</v>
      </c>
      <c r="K1886" s="89" t="s">
        <v>6791</v>
      </c>
      <c r="L1886" s="105" t="s">
        <v>460</v>
      </c>
      <c r="M1886" s="89" t="s">
        <v>4247</v>
      </c>
      <c r="N1886" s="83" t="s">
        <v>403</v>
      </c>
      <c r="O1886" s="92" t="s">
        <v>6826</v>
      </c>
      <c r="P1886" s="110"/>
      <c r="Q1886" s="85" t="s">
        <v>821</v>
      </c>
      <c r="R1886" s="92" t="s">
        <v>6827</v>
      </c>
      <c r="S1886" s="103" t="s">
        <v>6828</v>
      </c>
      <c r="T1886" s="88" t="s">
        <v>3732</v>
      </c>
      <c r="U1886" s="50" t="s">
        <v>7818</v>
      </c>
      <c r="V1886" s="118" t="str">
        <f>+Agencia[[#This Row],[idcoleccion]]&amp;"-"&amp;Agencia[[#This Row],[id]]</f>
        <v>990-1875</v>
      </c>
      <c r="W1886" s="121">
        <v>99200011</v>
      </c>
      <c r="X1886" s="118" t="str">
        <f>+VLOOKUP(Agencia[[#This Row],[tema]],Estructura!$A$4:$C$500,3,0)</f>
        <v>T-1088</v>
      </c>
      <c r="Y1886" s="118" t="str">
        <f>+VLOOKUP(Agencia[[#This Row],[contenido]],Estructura!$E$4:$G$500,3,0)</f>
        <v>C-1029</v>
      </c>
      <c r="Z1886" s="118" t="str">
        <f>+VLOOKUP(Agencia[[#This Row],[Filtro Integrado]],Estructura!$I$4:$K$500,3,0)</f>
        <v>FI-993</v>
      </c>
      <c r="AA1886" s="118" t="str">
        <f>+VLOOKUP(Agencia[[#This Row],[Muestra]],Estructura!$M$4:$O$500,3,0)</f>
        <v>M-1158</v>
      </c>
    </row>
    <row r="1887" spans="1:27" ht="48" x14ac:dyDescent="0.3">
      <c r="A1887" s="21" t="s">
        <v>8154</v>
      </c>
      <c r="B1887" s="89">
        <v>990</v>
      </c>
      <c r="C1887" s="90" t="s">
        <v>401</v>
      </c>
      <c r="D1887" s="90" t="s">
        <v>405</v>
      </c>
      <c r="E1887" s="114">
        <v>12</v>
      </c>
      <c r="F1887" s="90" t="s">
        <v>6789</v>
      </c>
      <c r="G1887" s="91" t="s">
        <v>6790</v>
      </c>
      <c r="H1887" s="98" t="s">
        <v>16</v>
      </c>
      <c r="I1887" s="99" t="s">
        <v>379</v>
      </c>
      <c r="J1887" s="83" t="s">
        <v>404</v>
      </c>
      <c r="K1887" s="89" t="s">
        <v>6791</v>
      </c>
      <c r="L1887" s="105" t="s">
        <v>460</v>
      </c>
      <c r="M1887" s="89" t="s">
        <v>4247</v>
      </c>
      <c r="N1887" s="83" t="s">
        <v>403</v>
      </c>
      <c r="O1887" s="92" t="s">
        <v>6829</v>
      </c>
      <c r="P1887" s="110"/>
      <c r="Q1887" s="85" t="s">
        <v>821</v>
      </c>
      <c r="R1887" s="92" t="s">
        <v>6830</v>
      </c>
      <c r="S1887" s="103" t="s">
        <v>6831</v>
      </c>
      <c r="T1887" s="88" t="s">
        <v>3737</v>
      </c>
      <c r="U1887" s="50" t="s">
        <v>7819</v>
      </c>
      <c r="V1887" s="118" t="str">
        <f>+Agencia[[#This Row],[idcoleccion]]&amp;"-"&amp;Agencia[[#This Row],[id]]</f>
        <v>990-1876</v>
      </c>
      <c r="W1887" s="121">
        <v>99200012</v>
      </c>
      <c r="X1887" s="118" t="str">
        <f>+VLOOKUP(Agencia[[#This Row],[tema]],Estructura!$A$4:$C$500,3,0)</f>
        <v>T-1088</v>
      </c>
      <c r="Y1887" s="118" t="str">
        <f>+VLOOKUP(Agencia[[#This Row],[contenido]],Estructura!$E$4:$G$500,3,0)</f>
        <v>C-1029</v>
      </c>
      <c r="Z1887" s="118" t="str">
        <f>+VLOOKUP(Agencia[[#This Row],[Filtro Integrado]],Estructura!$I$4:$K$500,3,0)</f>
        <v>FI-993</v>
      </c>
      <c r="AA1887" s="118" t="str">
        <f>+VLOOKUP(Agencia[[#This Row],[Muestra]],Estructura!$M$4:$O$500,3,0)</f>
        <v>M-1158</v>
      </c>
    </row>
    <row r="1888" spans="1:27" ht="48" x14ac:dyDescent="0.3">
      <c r="A1888" s="21" t="s">
        <v>8155</v>
      </c>
      <c r="B1888" s="89">
        <v>990</v>
      </c>
      <c r="C1888" s="90" t="s">
        <v>401</v>
      </c>
      <c r="D1888" s="90" t="s">
        <v>405</v>
      </c>
      <c r="E1888" s="114">
        <v>13</v>
      </c>
      <c r="F1888" s="90" t="s">
        <v>6789</v>
      </c>
      <c r="G1888" s="91" t="s">
        <v>6790</v>
      </c>
      <c r="H1888" s="98" t="s">
        <v>16</v>
      </c>
      <c r="I1888" s="99" t="s">
        <v>380</v>
      </c>
      <c r="J1888" s="83" t="s">
        <v>404</v>
      </c>
      <c r="K1888" s="89" t="s">
        <v>6791</v>
      </c>
      <c r="L1888" s="105" t="s">
        <v>460</v>
      </c>
      <c r="M1888" s="89" t="s">
        <v>4247</v>
      </c>
      <c r="N1888" s="83" t="s">
        <v>403</v>
      </c>
      <c r="O1888" s="92" t="s">
        <v>6832</v>
      </c>
      <c r="P1888" s="110"/>
      <c r="Q1888" s="85" t="s">
        <v>821</v>
      </c>
      <c r="R1888" s="92" t="s">
        <v>6833</v>
      </c>
      <c r="S1888" s="103" t="s">
        <v>6834</v>
      </c>
      <c r="T1888" s="88" t="s">
        <v>3744</v>
      </c>
      <c r="U1888" s="50" t="s">
        <v>7820</v>
      </c>
      <c r="V1888" s="118" t="str">
        <f>+Agencia[[#This Row],[idcoleccion]]&amp;"-"&amp;Agencia[[#This Row],[id]]</f>
        <v>990-1877</v>
      </c>
      <c r="W1888" s="121">
        <v>99200013</v>
      </c>
      <c r="X1888" s="118" t="str">
        <f>+VLOOKUP(Agencia[[#This Row],[tema]],Estructura!$A$4:$C$500,3,0)</f>
        <v>T-1088</v>
      </c>
      <c r="Y1888" s="118" t="str">
        <f>+VLOOKUP(Agencia[[#This Row],[contenido]],Estructura!$E$4:$G$500,3,0)</f>
        <v>C-1029</v>
      </c>
      <c r="Z1888" s="118" t="str">
        <f>+VLOOKUP(Agencia[[#This Row],[Filtro Integrado]],Estructura!$I$4:$K$500,3,0)</f>
        <v>FI-993</v>
      </c>
      <c r="AA1888" s="118" t="str">
        <f>+VLOOKUP(Agencia[[#This Row],[Muestra]],Estructura!$M$4:$O$500,3,0)</f>
        <v>M-1158</v>
      </c>
    </row>
    <row r="1889" spans="1:27" ht="48" x14ac:dyDescent="0.3">
      <c r="A1889" s="21" t="s">
        <v>8156</v>
      </c>
      <c r="B1889" s="89">
        <v>990</v>
      </c>
      <c r="C1889" s="90" t="s">
        <v>401</v>
      </c>
      <c r="D1889" s="90" t="s">
        <v>405</v>
      </c>
      <c r="E1889" s="114">
        <v>14</v>
      </c>
      <c r="F1889" s="90" t="s">
        <v>6789</v>
      </c>
      <c r="G1889" s="91" t="s">
        <v>6790</v>
      </c>
      <c r="H1889" s="98" t="s">
        <v>16</v>
      </c>
      <c r="I1889" s="99" t="s">
        <v>381</v>
      </c>
      <c r="J1889" s="83" t="s">
        <v>404</v>
      </c>
      <c r="K1889" s="89" t="s">
        <v>6791</v>
      </c>
      <c r="L1889" s="105" t="s">
        <v>460</v>
      </c>
      <c r="M1889" s="89" t="s">
        <v>4247</v>
      </c>
      <c r="N1889" s="83" t="s">
        <v>403</v>
      </c>
      <c r="O1889" s="92" t="s">
        <v>6835</v>
      </c>
      <c r="P1889" s="110"/>
      <c r="Q1889" s="85" t="s">
        <v>821</v>
      </c>
      <c r="R1889" s="92" t="s">
        <v>6836</v>
      </c>
      <c r="S1889" s="103" t="s">
        <v>6837</v>
      </c>
      <c r="T1889" s="88" t="s">
        <v>3736</v>
      </c>
      <c r="U1889" s="50" t="s">
        <v>7821</v>
      </c>
      <c r="V1889" s="118" t="str">
        <f>+Agencia[[#This Row],[idcoleccion]]&amp;"-"&amp;Agencia[[#This Row],[id]]</f>
        <v>990-1878</v>
      </c>
      <c r="W1889" s="121">
        <v>99200014</v>
      </c>
      <c r="X1889" s="118" t="str">
        <f>+VLOOKUP(Agencia[[#This Row],[tema]],Estructura!$A$4:$C$500,3,0)</f>
        <v>T-1088</v>
      </c>
      <c r="Y1889" s="118" t="str">
        <f>+VLOOKUP(Agencia[[#This Row],[contenido]],Estructura!$E$4:$G$500,3,0)</f>
        <v>C-1029</v>
      </c>
      <c r="Z1889" s="118" t="str">
        <f>+VLOOKUP(Agencia[[#This Row],[Filtro Integrado]],Estructura!$I$4:$K$500,3,0)</f>
        <v>FI-993</v>
      </c>
      <c r="AA1889" s="118" t="str">
        <f>+VLOOKUP(Agencia[[#This Row],[Muestra]],Estructura!$M$4:$O$500,3,0)</f>
        <v>M-1158</v>
      </c>
    </row>
    <row r="1890" spans="1:27" ht="48" x14ac:dyDescent="0.3">
      <c r="A1890" s="21" t="s">
        <v>8157</v>
      </c>
      <c r="B1890" s="89">
        <v>990</v>
      </c>
      <c r="C1890" s="90" t="s">
        <v>401</v>
      </c>
      <c r="D1890" s="90" t="s">
        <v>405</v>
      </c>
      <c r="E1890" s="114">
        <v>15</v>
      </c>
      <c r="F1890" s="90" t="s">
        <v>6789</v>
      </c>
      <c r="G1890" s="91" t="s">
        <v>6790</v>
      </c>
      <c r="H1890" s="98" t="s">
        <v>16</v>
      </c>
      <c r="I1890" s="99" t="s">
        <v>382</v>
      </c>
      <c r="J1890" s="83" t="s">
        <v>404</v>
      </c>
      <c r="K1890" s="89" t="s">
        <v>6791</v>
      </c>
      <c r="L1890" s="105" t="s">
        <v>460</v>
      </c>
      <c r="M1890" s="89" t="s">
        <v>4247</v>
      </c>
      <c r="N1890" s="83" t="s">
        <v>403</v>
      </c>
      <c r="O1890" s="92" t="s">
        <v>6838</v>
      </c>
      <c r="P1890" s="110"/>
      <c r="Q1890" s="85" t="s">
        <v>821</v>
      </c>
      <c r="R1890" s="92" t="s">
        <v>6839</v>
      </c>
      <c r="S1890" s="103" t="s">
        <v>6840</v>
      </c>
      <c r="T1890" s="88" t="s">
        <v>3730</v>
      </c>
      <c r="U1890" s="50" t="s">
        <v>7822</v>
      </c>
      <c r="V1890" s="118" t="str">
        <f>+Agencia[[#This Row],[idcoleccion]]&amp;"-"&amp;Agencia[[#This Row],[id]]</f>
        <v>990-1879</v>
      </c>
      <c r="W1890" s="121">
        <v>99200015</v>
      </c>
      <c r="X1890" s="118" t="str">
        <f>+VLOOKUP(Agencia[[#This Row],[tema]],Estructura!$A$4:$C$500,3,0)</f>
        <v>T-1088</v>
      </c>
      <c r="Y1890" s="118" t="str">
        <f>+VLOOKUP(Agencia[[#This Row],[contenido]],Estructura!$E$4:$G$500,3,0)</f>
        <v>C-1029</v>
      </c>
      <c r="Z1890" s="118" t="str">
        <f>+VLOOKUP(Agencia[[#This Row],[Filtro Integrado]],Estructura!$I$4:$K$500,3,0)</f>
        <v>FI-993</v>
      </c>
      <c r="AA1890" s="118" t="str">
        <f>+VLOOKUP(Agencia[[#This Row],[Muestra]],Estructura!$M$4:$O$500,3,0)</f>
        <v>M-1158</v>
      </c>
    </row>
    <row r="1891" spans="1:27" ht="48" x14ac:dyDescent="0.3">
      <c r="A1891" s="21" t="s">
        <v>8158</v>
      </c>
      <c r="B1891" s="89">
        <v>990</v>
      </c>
      <c r="C1891" s="90" t="s">
        <v>401</v>
      </c>
      <c r="D1891" s="90" t="s">
        <v>405</v>
      </c>
      <c r="E1891" s="114">
        <v>16</v>
      </c>
      <c r="F1891" s="90" t="s">
        <v>6789</v>
      </c>
      <c r="G1891" s="91" t="s">
        <v>6790</v>
      </c>
      <c r="H1891" s="98" t="s">
        <v>16</v>
      </c>
      <c r="I1891" s="99" t="s">
        <v>383</v>
      </c>
      <c r="J1891" s="83" t="s">
        <v>404</v>
      </c>
      <c r="K1891" s="89" t="s">
        <v>6791</v>
      </c>
      <c r="L1891" s="105" t="s">
        <v>460</v>
      </c>
      <c r="M1891" s="89" t="s">
        <v>4247</v>
      </c>
      <c r="N1891" s="83" t="s">
        <v>403</v>
      </c>
      <c r="O1891" s="92" t="s">
        <v>6841</v>
      </c>
      <c r="P1891" s="109"/>
      <c r="Q1891" s="93" t="s">
        <v>821</v>
      </c>
      <c r="R1891" s="92" t="s">
        <v>6842</v>
      </c>
      <c r="S1891" s="103" t="s">
        <v>6843</v>
      </c>
      <c r="T1891" s="94" t="s">
        <v>3739</v>
      </c>
      <c r="U1891" s="50" t="s">
        <v>7823</v>
      </c>
      <c r="V1891" s="118" t="str">
        <f>+Agencia[[#This Row],[idcoleccion]]&amp;"-"&amp;Agencia[[#This Row],[id]]</f>
        <v>990-1880</v>
      </c>
      <c r="W1891" s="121">
        <v>99200016</v>
      </c>
      <c r="X1891" s="118" t="str">
        <f>+VLOOKUP(Agencia[[#This Row],[tema]],Estructura!$A$4:$C$500,3,0)</f>
        <v>T-1088</v>
      </c>
      <c r="Y1891" s="118" t="str">
        <f>+VLOOKUP(Agencia[[#This Row],[contenido]],Estructura!$E$4:$G$500,3,0)</f>
        <v>C-1029</v>
      </c>
      <c r="Z1891" s="118" t="str">
        <f>+VLOOKUP(Agencia[[#This Row],[Filtro Integrado]],Estructura!$I$4:$K$500,3,0)</f>
        <v>FI-993</v>
      </c>
      <c r="AA1891" s="118" t="str">
        <f>+VLOOKUP(Agencia[[#This Row],[Muestra]],Estructura!$M$4:$O$500,3,0)</f>
        <v>M-1158</v>
      </c>
    </row>
    <row r="1892" spans="1:27" ht="51" x14ac:dyDescent="0.3">
      <c r="A1892" s="21" t="s">
        <v>8159</v>
      </c>
      <c r="B1892" s="89">
        <v>990</v>
      </c>
      <c r="C1892" s="90" t="s">
        <v>401</v>
      </c>
      <c r="D1892" s="90" t="s">
        <v>405</v>
      </c>
      <c r="E1892" s="115">
        <v>0</v>
      </c>
      <c r="F1892" s="90" t="s">
        <v>6789</v>
      </c>
      <c r="G1892" s="91" t="s">
        <v>6790</v>
      </c>
      <c r="H1892" s="96" t="s">
        <v>20</v>
      </c>
      <c r="I1892" s="97" t="s">
        <v>15</v>
      </c>
      <c r="J1892" s="89" t="s">
        <v>16</v>
      </c>
      <c r="K1892" s="89" t="s">
        <v>6844</v>
      </c>
      <c r="L1892" s="89" t="s">
        <v>6845</v>
      </c>
      <c r="M1892" s="89" t="s">
        <v>4247</v>
      </c>
      <c r="N1892" s="83" t="s">
        <v>403</v>
      </c>
      <c r="O1892" s="92" t="s">
        <v>6846</v>
      </c>
      <c r="P1892" s="107" t="s">
        <v>6847</v>
      </c>
      <c r="Q1892" s="93" t="s">
        <v>821</v>
      </c>
      <c r="R1892" s="92" t="s">
        <v>6848</v>
      </c>
      <c r="S1892" s="104" t="s">
        <v>6849</v>
      </c>
      <c r="T1892" s="94" t="s">
        <v>855</v>
      </c>
      <c r="U1892" s="50" t="s">
        <v>7824</v>
      </c>
      <c r="V1892" s="118" t="str">
        <f>+Agencia[[#This Row],[idcoleccion]]&amp;"-"&amp;Agencia[[#This Row],[id]]</f>
        <v>990-1881</v>
      </c>
      <c r="W1892" s="121">
        <v>99100000</v>
      </c>
      <c r="X1892" s="118" t="str">
        <f>+VLOOKUP(Agencia[[#This Row],[tema]],Estructura!$A$4:$C$500,3,0)</f>
        <v>T-1088</v>
      </c>
      <c r="Y1892" s="118" t="str">
        <f>+VLOOKUP(Agencia[[#This Row],[contenido]],Estructura!$E$4:$G$500,3,0)</f>
        <v>C-1029</v>
      </c>
      <c r="Z1892" s="118" t="str">
        <f>+VLOOKUP(Agencia[[#This Row],[Filtro Integrado]],Estructura!$I$4:$K$500,3,0)</f>
        <v>FI-992</v>
      </c>
      <c r="AA1892" s="118" t="str">
        <f>+VLOOKUP(Agencia[[#This Row],[Muestra]],Estructura!$M$4:$O$500,3,0)</f>
        <v>M-1159</v>
      </c>
    </row>
    <row r="1893" spans="1:27" ht="30.6" x14ac:dyDescent="0.3">
      <c r="A1893" s="21" t="s">
        <v>8160</v>
      </c>
      <c r="B1893" s="89">
        <v>990</v>
      </c>
      <c r="C1893" s="90" t="s">
        <v>401</v>
      </c>
      <c r="D1893" s="90" t="s">
        <v>405</v>
      </c>
      <c r="E1893" s="114">
        <v>1</v>
      </c>
      <c r="F1893" s="90" t="s">
        <v>6789</v>
      </c>
      <c r="G1893" s="91" t="s">
        <v>6790</v>
      </c>
      <c r="H1893" s="98" t="s">
        <v>16</v>
      </c>
      <c r="I1893" s="99" t="s">
        <v>368</v>
      </c>
      <c r="J1893" s="83" t="s">
        <v>404</v>
      </c>
      <c r="K1893" s="89" t="s">
        <v>6844</v>
      </c>
      <c r="L1893" s="89" t="s">
        <v>6845</v>
      </c>
      <c r="M1893" s="89" t="s">
        <v>4247</v>
      </c>
      <c r="N1893" s="83" t="s">
        <v>403</v>
      </c>
      <c r="O1893" s="92" t="s">
        <v>6850</v>
      </c>
      <c r="P1893" s="110"/>
      <c r="Q1893" s="85" t="s">
        <v>821</v>
      </c>
      <c r="R1893" s="92" t="s">
        <v>6851</v>
      </c>
      <c r="S1893" s="103" t="s">
        <v>6852</v>
      </c>
      <c r="T1893" s="88" t="s">
        <v>3757</v>
      </c>
      <c r="U1893" s="50" t="s">
        <v>7825</v>
      </c>
      <c r="V1893" s="118" t="str">
        <f>+Agencia[[#This Row],[idcoleccion]]&amp;"-"&amp;Agencia[[#This Row],[id]]</f>
        <v>990-1882</v>
      </c>
      <c r="W1893" s="121">
        <v>99200001</v>
      </c>
      <c r="X1893" s="118" t="str">
        <f>+VLOOKUP(Agencia[[#This Row],[tema]],Estructura!$A$4:$C$500,3,0)</f>
        <v>T-1088</v>
      </c>
      <c r="Y1893" s="118" t="str">
        <f>+VLOOKUP(Agencia[[#This Row],[contenido]],Estructura!$E$4:$G$500,3,0)</f>
        <v>C-1029</v>
      </c>
      <c r="Z1893" s="118" t="str">
        <f>+VLOOKUP(Agencia[[#This Row],[Filtro Integrado]],Estructura!$I$4:$K$500,3,0)</f>
        <v>FI-993</v>
      </c>
      <c r="AA1893" s="118" t="str">
        <f>+VLOOKUP(Agencia[[#This Row],[Muestra]],Estructura!$M$4:$O$500,3,0)</f>
        <v>M-1159</v>
      </c>
    </row>
    <row r="1894" spans="1:27" ht="30.6" x14ac:dyDescent="0.3">
      <c r="A1894" s="21" t="s">
        <v>8161</v>
      </c>
      <c r="B1894" s="89">
        <v>990</v>
      </c>
      <c r="C1894" s="90" t="s">
        <v>401</v>
      </c>
      <c r="D1894" s="90" t="s">
        <v>405</v>
      </c>
      <c r="E1894" s="114">
        <v>2</v>
      </c>
      <c r="F1894" s="90" t="s">
        <v>6789</v>
      </c>
      <c r="G1894" s="91" t="s">
        <v>6790</v>
      </c>
      <c r="H1894" s="98" t="s">
        <v>16</v>
      </c>
      <c r="I1894" s="99" t="s">
        <v>369</v>
      </c>
      <c r="J1894" s="83" t="s">
        <v>404</v>
      </c>
      <c r="K1894" s="89" t="s">
        <v>6844</v>
      </c>
      <c r="L1894" s="89" t="s">
        <v>6845</v>
      </c>
      <c r="M1894" s="89" t="s">
        <v>4247</v>
      </c>
      <c r="N1894" s="83" t="s">
        <v>403</v>
      </c>
      <c r="O1894" s="92" t="s">
        <v>6853</v>
      </c>
      <c r="P1894" s="110"/>
      <c r="Q1894" s="85" t="s">
        <v>821</v>
      </c>
      <c r="R1894" s="92" t="s">
        <v>6854</v>
      </c>
      <c r="S1894" s="103" t="s">
        <v>6855</v>
      </c>
      <c r="T1894" s="88" t="s">
        <v>3745</v>
      </c>
      <c r="U1894" s="50" t="s">
        <v>7826</v>
      </c>
      <c r="V1894" s="118" t="str">
        <f>+Agencia[[#This Row],[idcoleccion]]&amp;"-"&amp;Agencia[[#This Row],[id]]</f>
        <v>990-1883</v>
      </c>
      <c r="W1894" s="121">
        <v>99200002</v>
      </c>
      <c r="X1894" s="118" t="str">
        <f>+VLOOKUP(Agencia[[#This Row],[tema]],Estructura!$A$4:$C$500,3,0)</f>
        <v>T-1088</v>
      </c>
      <c r="Y1894" s="118" t="str">
        <f>+VLOOKUP(Agencia[[#This Row],[contenido]],Estructura!$E$4:$G$500,3,0)</f>
        <v>C-1029</v>
      </c>
      <c r="Z1894" s="118" t="str">
        <f>+VLOOKUP(Agencia[[#This Row],[Filtro Integrado]],Estructura!$I$4:$K$500,3,0)</f>
        <v>FI-993</v>
      </c>
      <c r="AA1894" s="118" t="str">
        <f>+VLOOKUP(Agencia[[#This Row],[Muestra]],Estructura!$M$4:$O$500,3,0)</f>
        <v>M-1159</v>
      </c>
    </row>
    <row r="1895" spans="1:27" ht="30.6" x14ac:dyDescent="0.3">
      <c r="A1895" s="21" t="s">
        <v>8162</v>
      </c>
      <c r="B1895" s="89">
        <v>990</v>
      </c>
      <c r="C1895" s="90" t="s">
        <v>401</v>
      </c>
      <c r="D1895" s="90" t="s">
        <v>405</v>
      </c>
      <c r="E1895" s="114">
        <v>3</v>
      </c>
      <c r="F1895" s="90" t="s">
        <v>6789</v>
      </c>
      <c r="G1895" s="91" t="s">
        <v>6790</v>
      </c>
      <c r="H1895" s="98" t="s">
        <v>16</v>
      </c>
      <c r="I1895" s="99" t="s">
        <v>370</v>
      </c>
      <c r="J1895" s="83" t="s">
        <v>404</v>
      </c>
      <c r="K1895" s="89" t="s">
        <v>6844</v>
      </c>
      <c r="L1895" s="89" t="s">
        <v>6845</v>
      </c>
      <c r="M1895" s="89" t="s">
        <v>4247</v>
      </c>
      <c r="N1895" s="83" t="s">
        <v>403</v>
      </c>
      <c r="O1895" s="92" t="s">
        <v>6856</v>
      </c>
      <c r="P1895" s="110"/>
      <c r="Q1895" s="85" t="s">
        <v>821</v>
      </c>
      <c r="R1895" s="92" t="s">
        <v>6857</v>
      </c>
      <c r="S1895" s="103" t="s">
        <v>6858</v>
      </c>
      <c r="T1895" s="88" t="s">
        <v>3747</v>
      </c>
      <c r="U1895" s="50" t="s">
        <v>7827</v>
      </c>
      <c r="V1895" s="118" t="str">
        <f>+Agencia[[#This Row],[idcoleccion]]&amp;"-"&amp;Agencia[[#This Row],[id]]</f>
        <v>990-1884</v>
      </c>
      <c r="W1895" s="121">
        <v>99200003</v>
      </c>
      <c r="X1895" s="118" t="str">
        <f>+VLOOKUP(Agencia[[#This Row],[tema]],Estructura!$A$4:$C$500,3,0)</f>
        <v>T-1088</v>
      </c>
      <c r="Y1895" s="118" t="str">
        <f>+VLOOKUP(Agencia[[#This Row],[contenido]],Estructura!$E$4:$G$500,3,0)</f>
        <v>C-1029</v>
      </c>
      <c r="Z1895" s="118" t="str">
        <f>+VLOOKUP(Agencia[[#This Row],[Filtro Integrado]],Estructura!$I$4:$K$500,3,0)</f>
        <v>FI-993</v>
      </c>
      <c r="AA1895" s="118" t="str">
        <f>+VLOOKUP(Agencia[[#This Row],[Muestra]],Estructura!$M$4:$O$500,3,0)</f>
        <v>M-1159</v>
      </c>
    </row>
    <row r="1896" spans="1:27" ht="30.6" x14ac:dyDescent="0.3">
      <c r="A1896" s="21" t="s">
        <v>8163</v>
      </c>
      <c r="B1896" s="89">
        <v>990</v>
      </c>
      <c r="C1896" s="90" t="s">
        <v>401</v>
      </c>
      <c r="D1896" s="90" t="s">
        <v>405</v>
      </c>
      <c r="E1896" s="114">
        <v>4</v>
      </c>
      <c r="F1896" s="90" t="s">
        <v>6789</v>
      </c>
      <c r="G1896" s="91" t="s">
        <v>6790</v>
      </c>
      <c r="H1896" s="98" t="s">
        <v>16</v>
      </c>
      <c r="I1896" s="99" t="s">
        <v>371</v>
      </c>
      <c r="J1896" s="83" t="s">
        <v>404</v>
      </c>
      <c r="K1896" s="89" t="s">
        <v>6844</v>
      </c>
      <c r="L1896" s="89" t="s">
        <v>6845</v>
      </c>
      <c r="M1896" s="89" t="s">
        <v>4247</v>
      </c>
      <c r="N1896" s="83" t="s">
        <v>403</v>
      </c>
      <c r="O1896" s="92" t="s">
        <v>6859</v>
      </c>
      <c r="P1896" s="110"/>
      <c r="Q1896" s="85" t="s">
        <v>821</v>
      </c>
      <c r="R1896" s="92" t="s">
        <v>6860</v>
      </c>
      <c r="S1896" s="103" t="s">
        <v>6861</v>
      </c>
      <c r="T1896" s="88" t="s">
        <v>3749</v>
      </c>
      <c r="U1896" s="50" t="s">
        <v>7828</v>
      </c>
      <c r="V1896" s="118" t="str">
        <f>+Agencia[[#This Row],[idcoleccion]]&amp;"-"&amp;Agencia[[#This Row],[id]]</f>
        <v>990-1885</v>
      </c>
      <c r="W1896" s="121">
        <v>99200004</v>
      </c>
      <c r="X1896" s="118" t="str">
        <f>+VLOOKUP(Agencia[[#This Row],[tema]],Estructura!$A$4:$C$500,3,0)</f>
        <v>T-1088</v>
      </c>
      <c r="Y1896" s="118" t="str">
        <f>+VLOOKUP(Agencia[[#This Row],[contenido]],Estructura!$E$4:$G$500,3,0)</f>
        <v>C-1029</v>
      </c>
      <c r="Z1896" s="118" t="str">
        <f>+VLOOKUP(Agencia[[#This Row],[Filtro Integrado]],Estructura!$I$4:$K$500,3,0)</f>
        <v>FI-993</v>
      </c>
      <c r="AA1896" s="118" t="str">
        <f>+VLOOKUP(Agencia[[#This Row],[Muestra]],Estructura!$M$4:$O$500,3,0)</f>
        <v>M-1159</v>
      </c>
    </row>
    <row r="1897" spans="1:27" ht="30.6" x14ac:dyDescent="0.3">
      <c r="A1897" s="21" t="s">
        <v>8164</v>
      </c>
      <c r="B1897" s="89">
        <v>990</v>
      </c>
      <c r="C1897" s="90" t="s">
        <v>401</v>
      </c>
      <c r="D1897" s="90" t="s">
        <v>405</v>
      </c>
      <c r="E1897" s="114">
        <v>5</v>
      </c>
      <c r="F1897" s="90" t="s">
        <v>6789</v>
      </c>
      <c r="G1897" s="91" t="s">
        <v>6790</v>
      </c>
      <c r="H1897" s="98" t="s">
        <v>16</v>
      </c>
      <c r="I1897" s="99" t="s">
        <v>372</v>
      </c>
      <c r="J1897" s="83" t="s">
        <v>404</v>
      </c>
      <c r="K1897" s="89" t="s">
        <v>6844</v>
      </c>
      <c r="L1897" s="89" t="s">
        <v>6845</v>
      </c>
      <c r="M1897" s="89" t="s">
        <v>4247</v>
      </c>
      <c r="N1897" s="83" t="s">
        <v>403</v>
      </c>
      <c r="O1897" s="92" t="s">
        <v>6862</v>
      </c>
      <c r="P1897" s="110"/>
      <c r="Q1897" s="85" t="s">
        <v>821</v>
      </c>
      <c r="R1897" s="92" t="s">
        <v>6863</v>
      </c>
      <c r="S1897" s="103" t="s">
        <v>6864</v>
      </c>
      <c r="T1897" s="88" t="s">
        <v>3758</v>
      </c>
      <c r="U1897" s="50" t="s">
        <v>7829</v>
      </c>
      <c r="V1897" s="118" t="str">
        <f>+Agencia[[#This Row],[idcoleccion]]&amp;"-"&amp;Agencia[[#This Row],[id]]</f>
        <v>990-1886</v>
      </c>
      <c r="W1897" s="121">
        <v>99200005</v>
      </c>
      <c r="X1897" s="118" t="str">
        <f>+VLOOKUP(Agencia[[#This Row],[tema]],Estructura!$A$4:$C$500,3,0)</f>
        <v>T-1088</v>
      </c>
      <c r="Y1897" s="118" t="str">
        <f>+VLOOKUP(Agencia[[#This Row],[contenido]],Estructura!$E$4:$G$500,3,0)</f>
        <v>C-1029</v>
      </c>
      <c r="Z1897" s="118" t="str">
        <f>+VLOOKUP(Agencia[[#This Row],[Filtro Integrado]],Estructura!$I$4:$K$500,3,0)</f>
        <v>FI-993</v>
      </c>
      <c r="AA1897" s="118" t="str">
        <f>+VLOOKUP(Agencia[[#This Row],[Muestra]],Estructura!$M$4:$O$500,3,0)</f>
        <v>M-1159</v>
      </c>
    </row>
    <row r="1898" spans="1:27" ht="30.6" x14ac:dyDescent="0.3">
      <c r="A1898" s="21" t="s">
        <v>8165</v>
      </c>
      <c r="B1898" s="89">
        <v>990</v>
      </c>
      <c r="C1898" s="90" t="s">
        <v>401</v>
      </c>
      <c r="D1898" s="90" t="s">
        <v>405</v>
      </c>
      <c r="E1898" s="114">
        <v>6</v>
      </c>
      <c r="F1898" s="90" t="s">
        <v>6789</v>
      </c>
      <c r="G1898" s="91" t="s">
        <v>6790</v>
      </c>
      <c r="H1898" s="98" t="s">
        <v>16</v>
      </c>
      <c r="I1898" s="99" t="s">
        <v>373</v>
      </c>
      <c r="J1898" s="83" t="s">
        <v>404</v>
      </c>
      <c r="K1898" s="89" t="s">
        <v>6844</v>
      </c>
      <c r="L1898" s="89" t="s">
        <v>6845</v>
      </c>
      <c r="M1898" s="89" t="s">
        <v>4247</v>
      </c>
      <c r="N1898" s="83" t="s">
        <v>403</v>
      </c>
      <c r="O1898" s="92" t="s">
        <v>6865</v>
      </c>
      <c r="P1898" s="110"/>
      <c r="Q1898" s="85" t="s">
        <v>821</v>
      </c>
      <c r="R1898" s="92" t="s">
        <v>6866</v>
      </c>
      <c r="S1898" s="103" t="s">
        <v>6867</v>
      </c>
      <c r="T1898" s="88" t="s">
        <v>3756</v>
      </c>
      <c r="U1898" s="50" t="s">
        <v>7830</v>
      </c>
      <c r="V1898" s="118" t="str">
        <f>+Agencia[[#This Row],[idcoleccion]]&amp;"-"&amp;Agencia[[#This Row],[id]]</f>
        <v>990-1887</v>
      </c>
      <c r="W1898" s="121">
        <v>99200006</v>
      </c>
      <c r="X1898" s="118" t="str">
        <f>+VLOOKUP(Agencia[[#This Row],[tema]],Estructura!$A$4:$C$500,3,0)</f>
        <v>T-1088</v>
      </c>
      <c r="Y1898" s="118" t="str">
        <f>+VLOOKUP(Agencia[[#This Row],[contenido]],Estructura!$E$4:$G$500,3,0)</f>
        <v>C-1029</v>
      </c>
      <c r="Z1898" s="118" t="str">
        <f>+VLOOKUP(Agencia[[#This Row],[Filtro Integrado]],Estructura!$I$4:$K$500,3,0)</f>
        <v>FI-993</v>
      </c>
      <c r="AA1898" s="118" t="str">
        <f>+VLOOKUP(Agencia[[#This Row],[Muestra]],Estructura!$M$4:$O$500,3,0)</f>
        <v>M-1159</v>
      </c>
    </row>
    <row r="1899" spans="1:27" ht="30.6" x14ac:dyDescent="0.3">
      <c r="A1899" s="21" t="s">
        <v>8166</v>
      </c>
      <c r="B1899" s="89">
        <v>990</v>
      </c>
      <c r="C1899" s="90" t="s">
        <v>401</v>
      </c>
      <c r="D1899" s="90" t="s">
        <v>405</v>
      </c>
      <c r="E1899" s="114">
        <v>7</v>
      </c>
      <c r="F1899" s="90" t="s">
        <v>6789</v>
      </c>
      <c r="G1899" s="91" t="s">
        <v>6790</v>
      </c>
      <c r="H1899" s="98" t="s">
        <v>16</v>
      </c>
      <c r="I1899" s="99" t="s">
        <v>374</v>
      </c>
      <c r="J1899" s="83" t="s">
        <v>404</v>
      </c>
      <c r="K1899" s="89" t="s">
        <v>6844</v>
      </c>
      <c r="L1899" s="89" t="s">
        <v>6845</v>
      </c>
      <c r="M1899" s="89" t="s">
        <v>4247</v>
      </c>
      <c r="N1899" s="83" t="s">
        <v>403</v>
      </c>
      <c r="O1899" s="92" t="s">
        <v>6868</v>
      </c>
      <c r="P1899" s="110"/>
      <c r="Q1899" s="85" t="s">
        <v>821</v>
      </c>
      <c r="R1899" s="92" t="s">
        <v>6869</v>
      </c>
      <c r="S1899" s="103" t="s">
        <v>6870</v>
      </c>
      <c r="T1899" s="88" t="s">
        <v>3754</v>
      </c>
      <c r="U1899" s="50" t="s">
        <v>7831</v>
      </c>
      <c r="V1899" s="118" t="str">
        <f>+Agencia[[#This Row],[idcoleccion]]&amp;"-"&amp;Agencia[[#This Row],[id]]</f>
        <v>990-1888</v>
      </c>
      <c r="W1899" s="121">
        <v>99200007</v>
      </c>
      <c r="X1899" s="118" t="str">
        <f>+VLOOKUP(Agencia[[#This Row],[tema]],Estructura!$A$4:$C$500,3,0)</f>
        <v>T-1088</v>
      </c>
      <c r="Y1899" s="118" t="str">
        <f>+VLOOKUP(Agencia[[#This Row],[contenido]],Estructura!$E$4:$G$500,3,0)</f>
        <v>C-1029</v>
      </c>
      <c r="Z1899" s="118" t="str">
        <f>+VLOOKUP(Agencia[[#This Row],[Filtro Integrado]],Estructura!$I$4:$K$500,3,0)</f>
        <v>FI-993</v>
      </c>
      <c r="AA1899" s="118" t="str">
        <f>+VLOOKUP(Agencia[[#This Row],[Muestra]],Estructura!$M$4:$O$500,3,0)</f>
        <v>M-1159</v>
      </c>
    </row>
    <row r="1900" spans="1:27" ht="30.6" x14ac:dyDescent="0.3">
      <c r="A1900" s="21" t="s">
        <v>8167</v>
      </c>
      <c r="B1900" s="89">
        <v>990</v>
      </c>
      <c r="C1900" s="90" t="s">
        <v>401</v>
      </c>
      <c r="D1900" s="90" t="s">
        <v>405</v>
      </c>
      <c r="E1900" s="114">
        <v>8</v>
      </c>
      <c r="F1900" s="90" t="s">
        <v>6789</v>
      </c>
      <c r="G1900" s="91" t="s">
        <v>6790</v>
      </c>
      <c r="H1900" s="98" t="s">
        <v>16</v>
      </c>
      <c r="I1900" s="99" t="s">
        <v>375</v>
      </c>
      <c r="J1900" s="83" t="s">
        <v>404</v>
      </c>
      <c r="K1900" s="89" t="s">
        <v>6844</v>
      </c>
      <c r="L1900" s="89" t="s">
        <v>6845</v>
      </c>
      <c r="M1900" s="89" t="s">
        <v>4247</v>
      </c>
      <c r="N1900" s="83" t="s">
        <v>403</v>
      </c>
      <c r="O1900" s="92" t="s">
        <v>6871</v>
      </c>
      <c r="P1900" s="110"/>
      <c r="Q1900" s="85" t="s">
        <v>821</v>
      </c>
      <c r="R1900" s="92" t="s">
        <v>6872</v>
      </c>
      <c r="S1900" s="103" t="s">
        <v>6873</v>
      </c>
      <c r="T1900" s="88" t="s">
        <v>3759</v>
      </c>
      <c r="U1900" s="50" t="s">
        <v>7832</v>
      </c>
      <c r="V1900" s="118" t="str">
        <f>+Agencia[[#This Row],[idcoleccion]]&amp;"-"&amp;Agencia[[#This Row],[id]]</f>
        <v>990-1889</v>
      </c>
      <c r="W1900" s="121">
        <v>99200008</v>
      </c>
      <c r="X1900" s="118" t="str">
        <f>+VLOOKUP(Agencia[[#This Row],[tema]],Estructura!$A$4:$C$500,3,0)</f>
        <v>T-1088</v>
      </c>
      <c r="Y1900" s="118" t="str">
        <f>+VLOOKUP(Agencia[[#This Row],[contenido]],Estructura!$E$4:$G$500,3,0)</f>
        <v>C-1029</v>
      </c>
      <c r="Z1900" s="118" t="str">
        <f>+VLOOKUP(Agencia[[#This Row],[Filtro Integrado]],Estructura!$I$4:$K$500,3,0)</f>
        <v>FI-993</v>
      </c>
      <c r="AA1900" s="118" t="str">
        <f>+VLOOKUP(Agencia[[#This Row],[Muestra]],Estructura!$M$4:$O$500,3,0)</f>
        <v>M-1159</v>
      </c>
    </row>
    <row r="1901" spans="1:27" ht="30.6" x14ac:dyDescent="0.3">
      <c r="A1901" s="21" t="s">
        <v>8168</v>
      </c>
      <c r="B1901" s="89">
        <v>990</v>
      </c>
      <c r="C1901" s="90" t="s">
        <v>401</v>
      </c>
      <c r="D1901" s="90" t="s">
        <v>405</v>
      </c>
      <c r="E1901" s="114">
        <v>9</v>
      </c>
      <c r="F1901" s="90" t="s">
        <v>6789</v>
      </c>
      <c r="G1901" s="91" t="s">
        <v>6790</v>
      </c>
      <c r="H1901" s="98" t="s">
        <v>16</v>
      </c>
      <c r="I1901" s="99" t="s">
        <v>376</v>
      </c>
      <c r="J1901" s="83" t="s">
        <v>404</v>
      </c>
      <c r="K1901" s="89" t="s">
        <v>6844</v>
      </c>
      <c r="L1901" s="89" t="s">
        <v>6845</v>
      </c>
      <c r="M1901" s="89" t="s">
        <v>4247</v>
      </c>
      <c r="N1901" s="83" t="s">
        <v>403</v>
      </c>
      <c r="O1901" s="92" t="s">
        <v>6874</v>
      </c>
      <c r="P1901" s="110"/>
      <c r="Q1901" s="85" t="s">
        <v>821</v>
      </c>
      <c r="R1901" s="92" t="s">
        <v>6875</v>
      </c>
      <c r="S1901" s="103" t="s">
        <v>6876</v>
      </c>
      <c r="T1901" s="88" t="s">
        <v>3750</v>
      </c>
      <c r="U1901" s="50" t="s">
        <v>7833</v>
      </c>
      <c r="V1901" s="118" t="str">
        <f>+Agencia[[#This Row],[idcoleccion]]&amp;"-"&amp;Agencia[[#This Row],[id]]</f>
        <v>990-1890</v>
      </c>
      <c r="W1901" s="121">
        <v>99200009</v>
      </c>
      <c r="X1901" s="118" t="str">
        <f>+VLOOKUP(Agencia[[#This Row],[tema]],Estructura!$A$4:$C$500,3,0)</f>
        <v>T-1088</v>
      </c>
      <c r="Y1901" s="118" t="str">
        <f>+VLOOKUP(Agencia[[#This Row],[contenido]],Estructura!$E$4:$G$500,3,0)</f>
        <v>C-1029</v>
      </c>
      <c r="Z1901" s="118" t="str">
        <f>+VLOOKUP(Agencia[[#This Row],[Filtro Integrado]],Estructura!$I$4:$K$500,3,0)</f>
        <v>FI-993</v>
      </c>
      <c r="AA1901" s="118" t="str">
        <f>+VLOOKUP(Agencia[[#This Row],[Muestra]],Estructura!$M$4:$O$500,3,0)</f>
        <v>M-1159</v>
      </c>
    </row>
    <row r="1902" spans="1:27" ht="30.6" x14ac:dyDescent="0.3">
      <c r="A1902" s="21" t="s">
        <v>8169</v>
      </c>
      <c r="B1902" s="89">
        <v>990</v>
      </c>
      <c r="C1902" s="90" t="s">
        <v>401</v>
      </c>
      <c r="D1902" s="90" t="s">
        <v>405</v>
      </c>
      <c r="E1902" s="114">
        <v>10</v>
      </c>
      <c r="F1902" s="90" t="s">
        <v>6789</v>
      </c>
      <c r="G1902" s="91" t="s">
        <v>6790</v>
      </c>
      <c r="H1902" s="98" t="s">
        <v>16</v>
      </c>
      <c r="I1902" s="99" t="s">
        <v>377</v>
      </c>
      <c r="J1902" s="83" t="s">
        <v>404</v>
      </c>
      <c r="K1902" s="89" t="s">
        <v>6844</v>
      </c>
      <c r="L1902" s="89" t="s">
        <v>6845</v>
      </c>
      <c r="M1902" s="89" t="s">
        <v>4247</v>
      </c>
      <c r="N1902" s="83" t="s">
        <v>403</v>
      </c>
      <c r="O1902" s="92" t="s">
        <v>6877</v>
      </c>
      <c r="P1902" s="110"/>
      <c r="Q1902" s="85" t="s">
        <v>821</v>
      </c>
      <c r="R1902" s="92" t="s">
        <v>6878</v>
      </c>
      <c r="S1902" s="103" t="s">
        <v>6879</v>
      </c>
      <c r="T1902" s="88" t="s">
        <v>3751</v>
      </c>
      <c r="U1902" s="50" t="s">
        <v>7834</v>
      </c>
      <c r="V1902" s="118" t="str">
        <f>+Agencia[[#This Row],[idcoleccion]]&amp;"-"&amp;Agencia[[#This Row],[id]]</f>
        <v>990-1891</v>
      </c>
      <c r="W1902" s="121">
        <v>99200010</v>
      </c>
      <c r="X1902" s="118" t="str">
        <f>+VLOOKUP(Agencia[[#This Row],[tema]],Estructura!$A$4:$C$500,3,0)</f>
        <v>T-1088</v>
      </c>
      <c r="Y1902" s="118" t="str">
        <f>+VLOOKUP(Agencia[[#This Row],[contenido]],Estructura!$E$4:$G$500,3,0)</f>
        <v>C-1029</v>
      </c>
      <c r="Z1902" s="118" t="str">
        <f>+VLOOKUP(Agencia[[#This Row],[Filtro Integrado]],Estructura!$I$4:$K$500,3,0)</f>
        <v>FI-993</v>
      </c>
      <c r="AA1902" s="118" t="str">
        <f>+VLOOKUP(Agencia[[#This Row],[Muestra]],Estructura!$M$4:$O$500,3,0)</f>
        <v>M-1159</v>
      </c>
    </row>
    <row r="1903" spans="1:27" ht="30.6" x14ac:dyDescent="0.3">
      <c r="A1903" s="21" t="s">
        <v>8170</v>
      </c>
      <c r="B1903" s="89">
        <v>990</v>
      </c>
      <c r="C1903" s="90" t="s">
        <v>401</v>
      </c>
      <c r="D1903" s="90" t="s">
        <v>405</v>
      </c>
      <c r="E1903" s="114">
        <v>11</v>
      </c>
      <c r="F1903" s="90" t="s">
        <v>6789</v>
      </c>
      <c r="G1903" s="91" t="s">
        <v>6790</v>
      </c>
      <c r="H1903" s="98" t="s">
        <v>16</v>
      </c>
      <c r="I1903" s="99" t="s">
        <v>378</v>
      </c>
      <c r="J1903" s="83" t="s">
        <v>404</v>
      </c>
      <c r="K1903" s="89" t="s">
        <v>6844</v>
      </c>
      <c r="L1903" s="89" t="s">
        <v>6845</v>
      </c>
      <c r="M1903" s="89" t="s">
        <v>4247</v>
      </c>
      <c r="N1903" s="83" t="s">
        <v>403</v>
      </c>
      <c r="O1903" s="92" t="s">
        <v>6880</v>
      </c>
      <c r="P1903" s="110"/>
      <c r="Q1903" s="85" t="s">
        <v>821</v>
      </c>
      <c r="R1903" s="92" t="s">
        <v>6881</v>
      </c>
      <c r="S1903" s="103" t="s">
        <v>6882</v>
      </c>
      <c r="T1903" s="88" t="s">
        <v>3748</v>
      </c>
      <c r="U1903" s="50" t="s">
        <v>7835</v>
      </c>
      <c r="V1903" s="118" t="str">
        <f>+Agencia[[#This Row],[idcoleccion]]&amp;"-"&amp;Agencia[[#This Row],[id]]</f>
        <v>990-1892</v>
      </c>
      <c r="W1903" s="121">
        <v>99200011</v>
      </c>
      <c r="X1903" s="118" t="str">
        <f>+VLOOKUP(Agencia[[#This Row],[tema]],Estructura!$A$4:$C$500,3,0)</f>
        <v>T-1088</v>
      </c>
      <c r="Y1903" s="118" t="str">
        <f>+VLOOKUP(Agencia[[#This Row],[contenido]],Estructura!$E$4:$G$500,3,0)</f>
        <v>C-1029</v>
      </c>
      <c r="Z1903" s="118" t="str">
        <f>+VLOOKUP(Agencia[[#This Row],[Filtro Integrado]],Estructura!$I$4:$K$500,3,0)</f>
        <v>FI-993</v>
      </c>
      <c r="AA1903" s="118" t="str">
        <f>+VLOOKUP(Agencia[[#This Row],[Muestra]],Estructura!$M$4:$O$500,3,0)</f>
        <v>M-1159</v>
      </c>
    </row>
    <row r="1904" spans="1:27" ht="30.6" x14ac:dyDescent="0.3">
      <c r="A1904" s="21" t="s">
        <v>8171</v>
      </c>
      <c r="B1904" s="89">
        <v>990</v>
      </c>
      <c r="C1904" s="90" t="s">
        <v>401</v>
      </c>
      <c r="D1904" s="90" t="s">
        <v>405</v>
      </c>
      <c r="E1904" s="114">
        <v>12</v>
      </c>
      <c r="F1904" s="90" t="s">
        <v>6789</v>
      </c>
      <c r="G1904" s="91" t="s">
        <v>6790</v>
      </c>
      <c r="H1904" s="98" t="s">
        <v>16</v>
      </c>
      <c r="I1904" s="99" t="s">
        <v>379</v>
      </c>
      <c r="J1904" s="83" t="s">
        <v>404</v>
      </c>
      <c r="K1904" s="89" t="s">
        <v>6844</v>
      </c>
      <c r="L1904" s="89" t="s">
        <v>6845</v>
      </c>
      <c r="M1904" s="89" t="s">
        <v>4247</v>
      </c>
      <c r="N1904" s="83" t="s">
        <v>403</v>
      </c>
      <c r="O1904" s="92" t="s">
        <v>6883</v>
      </c>
      <c r="P1904" s="110"/>
      <c r="Q1904" s="85" t="s">
        <v>821</v>
      </c>
      <c r="R1904" s="92" t="s">
        <v>6884</v>
      </c>
      <c r="S1904" s="103" t="s">
        <v>6885</v>
      </c>
      <c r="T1904" s="88" t="s">
        <v>3753</v>
      </c>
      <c r="U1904" s="50" t="s">
        <v>7836</v>
      </c>
      <c r="V1904" s="118" t="str">
        <f>+Agencia[[#This Row],[idcoleccion]]&amp;"-"&amp;Agencia[[#This Row],[id]]</f>
        <v>990-1893</v>
      </c>
      <c r="W1904" s="121">
        <v>99200012</v>
      </c>
      <c r="X1904" s="118" t="str">
        <f>+VLOOKUP(Agencia[[#This Row],[tema]],Estructura!$A$4:$C$500,3,0)</f>
        <v>T-1088</v>
      </c>
      <c r="Y1904" s="118" t="str">
        <f>+VLOOKUP(Agencia[[#This Row],[contenido]],Estructura!$E$4:$G$500,3,0)</f>
        <v>C-1029</v>
      </c>
      <c r="Z1904" s="118" t="str">
        <f>+VLOOKUP(Agencia[[#This Row],[Filtro Integrado]],Estructura!$I$4:$K$500,3,0)</f>
        <v>FI-993</v>
      </c>
      <c r="AA1904" s="118" t="str">
        <f>+VLOOKUP(Agencia[[#This Row],[Muestra]],Estructura!$M$4:$O$500,3,0)</f>
        <v>M-1159</v>
      </c>
    </row>
    <row r="1905" spans="1:27" ht="30.6" x14ac:dyDescent="0.3">
      <c r="A1905" s="21" t="s">
        <v>8172</v>
      </c>
      <c r="B1905" s="89">
        <v>990</v>
      </c>
      <c r="C1905" s="90" t="s">
        <v>401</v>
      </c>
      <c r="D1905" s="90" t="s">
        <v>405</v>
      </c>
      <c r="E1905" s="114">
        <v>13</v>
      </c>
      <c r="F1905" s="90" t="s">
        <v>6789</v>
      </c>
      <c r="G1905" s="91" t="s">
        <v>6790</v>
      </c>
      <c r="H1905" s="98" t="s">
        <v>16</v>
      </c>
      <c r="I1905" s="99" t="s">
        <v>380</v>
      </c>
      <c r="J1905" s="83" t="s">
        <v>404</v>
      </c>
      <c r="K1905" s="89" t="s">
        <v>6844</v>
      </c>
      <c r="L1905" s="89" t="s">
        <v>6845</v>
      </c>
      <c r="M1905" s="89" t="s">
        <v>4247</v>
      </c>
      <c r="N1905" s="83" t="s">
        <v>403</v>
      </c>
      <c r="O1905" s="92" t="s">
        <v>6886</v>
      </c>
      <c r="P1905" s="110"/>
      <c r="Q1905" s="85" t="s">
        <v>821</v>
      </c>
      <c r="R1905" s="92" t="s">
        <v>6887</v>
      </c>
      <c r="S1905" s="103" t="s">
        <v>6888</v>
      </c>
      <c r="T1905" s="88" t="s">
        <v>3760</v>
      </c>
      <c r="U1905" s="50" t="s">
        <v>7837</v>
      </c>
      <c r="V1905" s="118" t="str">
        <f>+Agencia[[#This Row],[idcoleccion]]&amp;"-"&amp;Agencia[[#This Row],[id]]</f>
        <v>990-1894</v>
      </c>
      <c r="W1905" s="121">
        <v>99200013</v>
      </c>
      <c r="X1905" s="118" t="str">
        <f>+VLOOKUP(Agencia[[#This Row],[tema]],Estructura!$A$4:$C$500,3,0)</f>
        <v>T-1088</v>
      </c>
      <c r="Y1905" s="118" t="str">
        <f>+VLOOKUP(Agencia[[#This Row],[contenido]],Estructura!$E$4:$G$500,3,0)</f>
        <v>C-1029</v>
      </c>
      <c r="Z1905" s="118" t="str">
        <f>+VLOOKUP(Agencia[[#This Row],[Filtro Integrado]],Estructura!$I$4:$K$500,3,0)</f>
        <v>FI-993</v>
      </c>
      <c r="AA1905" s="118" t="str">
        <f>+VLOOKUP(Agencia[[#This Row],[Muestra]],Estructura!$M$4:$O$500,3,0)</f>
        <v>M-1159</v>
      </c>
    </row>
    <row r="1906" spans="1:27" ht="30.6" x14ac:dyDescent="0.3">
      <c r="A1906" s="21" t="s">
        <v>8173</v>
      </c>
      <c r="B1906" s="89">
        <v>990</v>
      </c>
      <c r="C1906" s="90" t="s">
        <v>401</v>
      </c>
      <c r="D1906" s="90" t="s">
        <v>405</v>
      </c>
      <c r="E1906" s="114">
        <v>14</v>
      </c>
      <c r="F1906" s="90" t="s">
        <v>6789</v>
      </c>
      <c r="G1906" s="91" t="s">
        <v>6790</v>
      </c>
      <c r="H1906" s="98" t="s">
        <v>16</v>
      </c>
      <c r="I1906" s="99" t="s">
        <v>381</v>
      </c>
      <c r="J1906" s="83" t="s">
        <v>404</v>
      </c>
      <c r="K1906" s="89" t="s">
        <v>6844</v>
      </c>
      <c r="L1906" s="89" t="s">
        <v>6845</v>
      </c>
      <c r="M1906" s="89" t="s">
        <v>4247</v>
      </c>
      <c r="N1906" s="83" t="s">
        <v>403</v>
      </c>
      <c r="O1906" s="92" t="s">
        <v>6889</v>
      </c>
      <c r="P1906" s="110"/>
      <c r="Q1906" s="85" t="s">
        <v>821</v>
      </c>
      <c r="R1906" s="92" t="s">
        <v>6890</v>
      </c>
      <c r="S1906" s="103" t="s">
        <v>6891</v>
      </c>
      <c r="T1906" s="88" t="s">
        <v>3752</v>
      </c>
      <c r="U1906" s="50" t="s">
        <v>7838</v>
      </c>
      <c r="V1906" s="118" t="str">
        <f>+Agencia[[#This Row],[idcoleccion]]&amp;"-"&amp;Agencia[[#This Row],[id]]</f>
        <v>990-1895</v>
      </c>
      <c r="W1906" s="121">
        <v>99200014</v>
      </c>
      <c r="X1906" s="118" t="str">
        <f>+VLOOKUP(Agencia[[#This Row],[tema]],Estructura!$A$4:$C$500,3,0)</f>
        <v>T-1088</v>
      </c>
      <c r="Y1906" s="118" t="str">
        <f>+VLOOKUP(Agencia[[#This Row],[contenido]],Estructura!$E$4:$G$500,3,0)</f>
        <v>C-1029</v>
      </c>
      <c r="Z1906" s="118" t="str">
        <f>+VLOOKUP(Agencia[[#This Row],[Filtro Integrado]],Estructura!$I$4:$K$500,3,0)</f>
        <v>FI-993</v>
      </c>
      <c r="AA1906" s="118" t="str">
        <f>+VLOOKUP(Agencia[[#This Row],[Muestra]],Estructura!$M$4:$O$500,3,0)</f>
        <v>M-1159</v>
      </c>
    </row>
    <row r="1907" spans="1:27" ht="30.6" x14ac:dyDescent="0.3">
      <c r="A1907" s="21" t="s">
        <v>8174</v>
      </c>
      <c r="B1907" s="89">
        <v>990</v>
      </c>
      <c r="C1907" s="90" t="s">
        <v>401</v>
      </c>
      <c r="D1907" s="90" t="s">
        <v>405</v>
      </c>
      <c r="E1907" s="114">
        <v>15</v>
      </c>
      <c r="F1907" s="90" t="s">
        <v>6789</v>
      </c>
      <c r="G1907" s="91" t="s">
        <v>6790</v>
      </c>
      <c r="H1907" s="98" t="s">
        <v>16</v>
      </c>
      <c r="I1907" s="99" t="s">
        <v>382</v>
      </c>
      <c r="J1907" s="83" t="s">
        <v>404</v>
      </c>
      <c r="K1907" s="89" t="s">
        <v>6844</v>
      </c>
      <c r="L1907" s="89" t="s">
        <v>6845</v>
      </c>
      <c r="M1907" s="89" t="s">
        <v>4247</v>
      </c>
      <c r="N1907" s="83" t="s">
        <v>403</v>
      </c>
      <c r="O1907" s="92" t="s">
        <v>6892</v>
      </c>
      <c r="P1907" s="110"/>
      <c r="Q1907" s="85" t="s">
        <v>821</v>
      </c>
      <c r="R1907" s="92" t="s">
        <v>6893</v>
      </c>
      <c r="S1907" s="103" t="s">
        <v>6894</v>
      </c>
      <c r="T1907" s="88" t="s">
        <v>3746</v>
      </c>
      <c r="U1907" s="50" t="s">
        <v>7839</v>
      </c>
      <c r="V1907" s="118" t="str">
        <f>+Agencia[[#This Row],[idcoleccion]]&amp;"-"&amp;Agencia[[#This Row],[id]]</f>
        <v>990-1896</v>
      </c>
      <c r="W1907" s="121">
        <v>99200015</v>
      </c>
      <c r="X1907" s="118" t="str">
        <f>+VLOOKUP(Agencia[[#This Row],[tema]],Estructura!$A$4:$C$500,3,0)</f>
        <v>T-1088</v>
      </c>
      <c r="Y1907" s="118" t="str">
        <f>+VLOOKUP(Agencia[[#This Row],[contenido]],Estructura!$E$4:$G$500,3,0)</f>
        <v>C-1029</v>
      </c>
      <c r="Z1907" s="118" t="str">
        <f>+VLOOKUP(Agencia[[#This Row],[Filtro Integrado]],Estructura!$I$4:$K$500,3,0)</f>
        <v>FI-993</v>
      </c>
      <c r="AA1907" s="118" t="str">
        <f>+VLOOKUP(Agencia[[#This Row],[Muestra]],Estructura!$M$4:$O$500,3,0)</f>
        <v>M-1159</v>
      </c>
    </row>
    <row r="1908" spans="1:27" ht="30.6" x14ac:dyDescent="0.3">
      <c r="A1908" s="21" t="s">
        <v>8175</v>
      </c>
      <c r="B1908" s="89">
        <v>990</v>
      </c>
      <c r="C1908" s="90" t="s">
        <v>401</v>
      </c>
      <c r="D1908" s="90" t="s">
        <v>405</v>
      </c>
      <c r="E1908" s="114">
        <v>16</v>
      </c>
      <c r="F1908" s="90" t="s">
        <v>6789</v>
      </c>
      <c r="G1908" s="91" t="s">
        <v>6790</v>
      </c>
      <c r="H1908" s="98" t="s">
        <v>16</v>
      </c>
      <c r="I1908" s="99" t="s">
        <v>383</v>
      </c>
      <c r="J1908" s="83" t="s">
        <v>404</v>
      </c>
      <c r="K1908" s="89" t="s">
        <v>6844</v>
      </c>
      <c r="L1908" s="89" t="s">
        <v>6845</v>
      </c>
      <c r="M1908" s="89" t="s">
        <v>4247</v>
      </c>
      <c r="N1908" s="83" t="s">
        <v>403</v>
      </c>
      <c r="O1908" s="92" t="s">
        <v>6895</v>
      </c>
      <c r="P1908" s="110"/>
      <c r="Q1908" s="85" t="s">
        <v>821</v>
      </c>
      <c r="R1908" s="92" t="s">
        <v>6896</v>
      </c>
      <c r="S1908" s="103" t="s">
        <v>6897</v>
      </c>
      <c r="T1908" s="88" t="s">
        <v>3755</v>
      </c>
      <c r="U1908" s="50" t="s">
        <v>7840</v>
      </c>
      <c r="V1908" s="118" t="str">
        <f>+Agencia[[#This Row],[idcoleccion]]&amp;"-"&amp;Agencia[[#This Row],[id]]</f>
        <v>990-1897</v>
      </c>
      <c r="W1908" s="121">
        <v>99200016</v>
      </c>
      <c r="X1908" s="118" t="str">
        <f>+VLOOKUP(Agencia[[#This Row],[tema]],Estructura!$A$4:$C$500,3,0)</f>
        <v>T-1088</v>
      </c>
      <c r="Y1908" s="118" t="str">
        <f>+VLOOKUP(Agencia[[#This Row],[contenido]],Estructura!$E$4:$G$500,3,0)</f>
        <v>C-1029</v>
      </c>
      <c r="Z1908" s="118" t="str">
        <f>+VLOOKUP(Agencia[[#This Row],[Filtro Integrado]],Estructura!$I$4:$K$500,3,0)</f>
        <v>FI-993</v>
      </c>
      <c r="AA1908" s="118" t="str">
        <f>+VLOOKUP(Agencia[[#This Row],[Muestra]],Estructura!$M$4:$O$500,3,0)</f>
        <v>M-1159</v>
      </c>
    </row>
    <row r="1909" spans="1:27" ht="40.799999999999997" x14ac:dyDescent="0.3">
      <c r="A1909" s="21" t="s">
        <v>8176</v>
      </c>
      <c r="B1909" s="89">
        <v>990</v>
      </c>
      <c r="C1909" s="90" t="s">
        <v>401</v>
      </c>
      <c r="D1909" s="90" t="s">
        <v>405</v>
      </c>
      <c r="E1909" s="115">
        <v>0</v>
      </c>
      <c r="F1909" s="90" t="s">
        <v>6898</v>
      </c>
      <c r="G1909" s="91" t="s">
        <v>6790</v>
      </c>
      <c r="H1909" s="96" t="s">
        <v>20</v>
      </c>
      <c r="I1909" s="97" t="s">
        <v>15</v>
      </c>
      <c r="J1909" s="89" t="s">
        <v>16</v>
      </c>
      <c r="K1909" s="89" t="s">
        <v>6898</v>
      </c>
      <c r="L1909" s="105" t="s">
        <v>460</v>
      </c>
      <c r="M1909" s="89" t="s">
        <v>4247</v>
      </c>
      <c r="N1909" s="83" t="s">
        <v>403</v>
      </c>
      <c r="O1909" s="108" t="s">
        <v>6899</v>
      </c>
      <c r="P1909" s="107" t="s">
        <v>6900</v>
      </c>
      <c r="Q1909" s="93" t="s">
        <v>821</v>
      </c>
      <c r="R1909" s="92" t="s">
        <v>6901</v>
      </c>
      <c r="S1909" s="104" t="s">
        <v>6902</v>
      </c>
      <c r="T1909" s="94" t="s">
        <v>1033</v>
      </c>
      <c r="U1909" s="50" t="s">
        <v>7841</v>
      </c>
      <c r="V1909" s="118" t="str">
        <f>+Agencia[[#This Row],[idcoleccion]]&amp;"-"&amp;Agencia[[#This Row],[id]]</f>
        <v>990-1898</v>
      </c>
      <c r="W1909" s="121">
        <v>99100000</v>
      </c>
      <c r="X1909" s="118" t="str">
        <f>+VLOOKUP(Agencia[[#This Row],[tema]],Estructura!$A$4:$C$500,3,0)</f>
        <v>T-1089</v>
      </c>
      <c r="Y1909" s="118" t="str">
        <f>+VLOOKUP(Agencia[[#This Row],[contenido]],Estructura!$E$4:$G$500,3,0)</f>
        <v>C-1029</v>
      </c>
      <c r="Z1909" s="118" t="str">
        <f>+VLOOKUP(Agencia[[#This Row],[Filtro Integrado]],Estructura!$I$4:$K$500,3,0)</f>
        <v>FI-992</v>
      </c>
      <c r="AA1909" s="118" t="str">
        <f>+VLOOKUP(Agencia[[#This Row],[Muestra]],Estructura!$M$4:$O$500,3,0)</f>
        <v>M-1160</v>
      </c>
    </row>
    <row r="1910" spans="1:27" ht="30.6" x14ac:dyDescent="0.3">
      <c r="A1910" s="21" t="s">
        <v>8177</v>
      </c>
      <c r="B1910" s="89">
        <v>990</v>
      </c>
      <c r="C1910" s="90" t="s">
        <v>401</v>
      </c>
      <c r="D1910" s="90" t="s">
        <v>405</v>
      </c>
      <c r="E1910" s="114">
        <v>1</v>
      </c>
      <c r="F1910" s="90" t="s">
        <v>6898</v>
      </c>
      <c r="G1910" s="91" t="s">
        <v>6790</v>
      </c>
      <c r="H1910" s="98" t="s">
        <v>16</v>
      </c>
      <c r="I1910" s="99" t="s">
        <v>368</v>
      </c>
      <c r="J1910" s="83" t="s">
        <v>404</v>
      </c>
      <c r="K1910" s="89" t="s">
        <v>6898</v>
      </c>
      <c r="L1910" s="105" t="s">
        <v>460</v>
      </c>
      <c r="M1910" s="89" t="s">
        <v>4247</v>
      </c>
      <c r="N1910" s="83" t="s">
        <v>403</v>
      </c>
      <c r="O1910" s="108" t="s">
        <v>6903</v>
      </c>
      <c r="P1910" s="110"/>
      <c r="Q1910" s="85" t="s">
        <v>821</v>
      </c>
      <c r="R1910" s="92" t="s">
        <v>6904</v>
      </c>
      <c r="S1910" s="103" t="s">
        <v>6905</v>
      </c>
      <c r="T1910" s="88" t="s">
        <v>3741</v>
      </c>
      <c r="U1910" s="50" t="s">
        <v>7842</v>
      </c>
      <c r="V1910" s="118" t="str">
        <f>+Agencia[[#This Row],[idcoleccion]]&amp;"-"&amp;Agencia[[#This Row],[id]]</f>
        <v>990-1899</v>
      </c>
      <c r="W1910" s="121">
        <v>99200001</v>
      </c>
      <c r="X1910" s="118" t="str">
        <f>+VLOOKUP(Agencia[[#This Row],[tema]],Estructura!$A$4:$C$500,3,0)</f>
        <v>T-1089</v>
      </c>
      <c r="Y1910" s="118" t="str">
        <f>+VLOOKUP(Agencia[[#This Row],[contenido]],Estructura!$E$4:$G$500,3,0)</f>
        <v>C-1029</v>
      </c>
      <c r="Z1910" s="118" t="str">
        <f>+VLOOKUP(Agencia[[#This Row],[Filtro Integrado]],Estructura!$I$4:$K$500,3,0)</f>
        <v>FI-993</v>
      </c>
      <c r="AA1910" s="118" t="str">
        <f>+VLOOKUP(Agencia[[#This Row],[Muestra]],Estructura!$M$4:$O$500,3,0)</f>
        <v>M-1160</v>
      </c>
    </row>
    <row r="1911" spans="1:27" ht="30.6" x14ac:dyDescent="0.3">
      <c r="A1911" s="21" t="s">
        <v>8178</v>
      </c>
      <c r="B1911" s="89">
        <v>990</v>
      </c>
      <c r="C1911" s="90" t="s">
        <v>401</v>
      </c>
      <c r="D1911" s="90" t="s">
        <v>405</v>
      </c>
      <c r="E1911" s="114">
        <v>2</v>
      </c>
      <c r="F1911" s="90" t="s">
        <v>6898</v>
      </c>
      <c r="G1911" s="91" t="s">
        <v>6790</v>
      </c>
      <c r="H1911" s="98" t="s">
        <v>16</v>
      </c>
      <c r="I1911" s="99" t="s">
        <v>369</v>
      </c>
      <c r="J1911" s="83" t="s">
        <v>404</v>
      </c>
      <c r="K1911" s="89" t="s">
        <v>6898</v>
      </c>
      <c r="L1911" s="105" t="s">
        <v>460</v>
      </c>
      <c r="M1911" s="89" t="s">
        <v>4247</v>
      </c>
      <c r="N1911" s="83" t="s">
        <v>403</v>
      </c>
      <c r="O1911" s="108" t="s">
        <v>6906</v>
      </c>
      <c r="P1911" s="110"/>
      <c r="Q1911" s="85" t="s">
        <v>821</v>
      </c>
      <c r="R1911" s="92" t="s">
        <v>6907</v>
      </c>
      <c r="S1911" s="103" t="s">
        <v>6908</v>
      </c>
      <c r="T1911" s="88" t="s">
        <v>3729</v>
      </c>
      <c r="U1911" s="50" t="s">
        <v>7843</v>
      </c>
      <c r="V1911" s="118" t="str">
        <f>+Agencia[[#This Row],[idcoleccion]]&amp;"-"&amp;Agencia[[#This Row],[id]]</f>
        <v>990-1900</v>
      </c>
      <c r="W1911" s="121">
        <v>99200002</v>
      </c>
      <c r="X1911" s="118" t="str">
        <f>+VLOOKUP(Agencia[[#This Row],[tema]],Estructura!$A$4:$C$500,3,0)</f>
        <v>T-1089</v>
      </c>
      <c r="Y1911" s="118" t="str">
        <f>+VLOOKUP(Agencia[[#This Row],[contenido]],Estructura!$E$4:$G$500,3,0)</f>
        <v>C-1029</v>
      </c>
      <c r="Z1911" s="118" t="str">
        <f>+VLOOKUP(Agencia[[#This Row],[Filtro Integrado]],Estructura!$I$4:$K$500,3,0)</f>
        <v>FI-993</v>
      </c>
      <c r="AA1911" s="118" t="str">
        <f>+VLOOKUP(Agencia[[#This Row],[Muestra]],Estructura!$M$4:$O$500,3,0)</f>
        <v>M-1160</v>
      </c>
    </row>
    <row r="1912" spans="1:27" ht="30.6" x14ac:dyDescent="0.3">
      <c r="A1912" s="21" t="s">
        <v>8179</v>
      </c>
      <c r="B1912" s="89">
        <v>990</v>
      </c>
      <c r="C1912" s="90" t="s">
        <v>401</v>
      </c>
      <c r="D1912" s="90" t="s">
        <v>405</v>
      </c>
      <c r="E1912" s="114">
        <v>3</v>
      </c>
      <c r="F1912" s="90" t="s">
        <v>6898</v>
      </c>
      <c r="G1912" s="91" t="s">
        <v>6790</v>
      </c>
      <c r="H1912" s="98" t="s">
        <v>16</v>
      </c>
      <c r="I1912" s="99" t="s">
        <v>370</v>
      </c>
      <c r="J1912" s="83" t="s">
        <v>404</v>
      </c>
      <c r="K1912" s="89" t="s">
        <v>6898</v>
      </c>
      <c r="L1912" s="105" t="s">
        <v>460</v>
      </c>
      <c r="M1912" s="89" t="s">
        <v>4247</v>
      </c>
      <c r="N1912" s="83" t="s">
        <v>403</v>
      </c>
      <c r="O1912" s="108" t="s">
        <v>6909</v>
      </c>
      <c r="P1912" s="110"/>
      <c r="Q1912" s="85" t="s">
        <v>821</v>
      </c>
      <c r="R1912" s="92" t="s">
        <v>6910</v>
      </c>
      <c r="S1912" s="103" t="s">
        <v>6911</v>
      </c>
      <c r="T1912" s="88" t="s">
        <v>3731</v>
      </c>
      <c r="U1912" s="50" t="s">
        <v>7844</v>
      </c>
      <c r="V1912" s="118" t="str">
        <f>+Agencia[[#This Row],[idcoleccion]]&amp;"-"&amp;Agencia[[#This Row],[id]]</f>
        <v>990-1901</v>
      </c>
      <c r="W1912" s="121">
        <v>99200003</v>
      </c>
      <c r="X1912" s="118" t="str">
        <f>+VLOOKUP(Agencia[[#This Row],[tema]],Estructura!$A$4:$C$500,3,0)</f>
        <v>T-1089</v>
      </c>
      <c r="Y1912" s="118" t="str">
        <f>+VLOOKUP(Agencia[[#This Row],[contenido]],Estructura!$E$4:$G$500,3,0)</f>
        <v>C-1029</v>
      </c>
      <c r="Z1912" s="118" t="str">
        <f>+VLOOKUP(Agencia[[#This Row],[Filtro Integrado]],Estructura!$I$4:$K$500,3,0)</f>
        <v>FI-993</v>
      </c>
      <c r="AA1912" s="118" t="str">
        <f>+VLOOKUP(Agencia[[#This Row],[Muestra]],Estructura!$M$4:$O$500,3,0)</f>
        <v>M-1160</v>
      </c>
    </row>
    <row r="1913" spans="1:27" ht="30.6" x14ac:dyDescent="0.3">
      <c r="A1913" s="21" t="s">
        <v>8180</v>
      </c>
      <c r="B1913" s="89">
        <v>990</v>
      </c>
      <c r="C1913" s="90" t="s">
        <v>401</v>
      </c>
      <c r="D1913" s="90" t="s">
        <v>405</v>
      </c>
      <c r="E1913" s="114">
        <v>4</v>
      </c>
      <c r="F1913" s="90" t="s">
        <v>6898</v>
      </c>
      <c r="G1913" s="91" t="s">
        <v>6790</v>
      </c>
      <c r="H1913" s="98" t="s">
        <v>16</v>
      </c>
      <c r="I1913" s="99" t="s">
        <v>371</v>
      </c>
      <c r="J1913" s="83" t="s">
        <v>404</v>
      </c>
      <c r="K1913" s="89" t="s">
        <v>6898</v>
      </c>
      <c r="L1913" s="105" t="s">
        <v>460</v>
      </c>
      <c r="M1913" s="89" t="s">
        <v>4247</v>
      </c>
      <c r="N1913" s="83" t="s">
        <v>403</v>
      </c>
      <c r="O1913" s="108" t="s">
        <v>6912</v>
      </c>
      <c r="P1913" s="110"/>
      <c r="Q1913" s="85" t="s">
        <v>821</v>
      </c>
      <c r="R1913" s="92" t="s">
        <v>6913</v>
      </c>
      <c r="S1913" s="103" t="s">
        <v>6914</v>
      </c>
      <c r="T1913" s="88" t="s">
        <v>3733</v>
      </c>
      <c r="U1913" s="50" t="s">
        <v>7845</v>
      </c>
      <c r="V1913" s="118" t="str">
        <f>+Agencia[[#This Row],[idcoleccion]]&amp;"-"&amp;Agencia[[#This Row],[id]]</f>
        <v>990-1902</v>
      </c>
      <c r="W1913" s="121">
        <v>99200004</v>
      </c>
      <c r="X1913" s="118" t="str">
        <f>+VLOOKUP(Agencia[[#This Row],[tema]],Estructura!$A$4:$C$500,3,0)</f>
        <v>T-1089</v>
      </c>
      <c r="Y1913" s="118" t="str">
        <f>+VLOOKUP(Agencia[[#This Row],[contenido]],Estructura!$E$4:$G$500,3,0)</f>
        <v>C-1029</v>
      </c>
      <c r="Z1913" s="118" t="str">
        <f>+VLOOKUP(Agencia[[#This Row],[Filtro Integrado]],Estructura!$I$4:$K$500,3,0)</f>
        <v>FI-993</v>
      </c>
      <c r="AA1913" s="118" t="str">
        <f>+VLOOKUP(Agencia[[#This Row],[Muestra]],Estructura!$M$4:$O$500,3,0)</f>
        <v>M-1160</v>
      </c>
    </row>
    <row r="1914" spans="1:27" ht="30.6" x14ac:dyDescent="0.3">
      <c r="A1914" s="21" t="s">
        <v>8181</v>
      </c>
      <c r="B1914" s="89">
        <v>990</v>
      </c>
      <c r="C1914" s="90" t="s">
        <v>401</v>
      </c>
      <c r="D1914" s="90" t="s">
        <v>405</v>
      </c>
      <c r="E1914" s="114">
        <v>5</v>
      </c>
      <c r="F1914" s="90" t="s">
        <v>6898</v>
      </c>
      <c r="G1914" s="91" t="s">
        <v>6790</v>
      </c>
      <c r="H1914" s="98" t="s">
        <v>16</v>
      </c>
      <c r="I1914" s="99" t="s">
        <v>372</v>
      </c>
      <c r="J1914" s="83" t="s">
        <v>404</v>
      </c>
      <c r="K1914" s="89" t="s">
        <v>6898</v>
      </c>
      <c r="L1914" s="105" t="s">
        <v>460</v>
      </c>
      <c r="M1914" s="89" t="s">
        <v>4247</v>
      </c>
      <c r="N1914" s="83" t="s">
        <v>403</v>
      </c>
      <c r="O1914" s="108" t="s">
        <v>6915</v>
      </c>
      <c r="P1914" s="110"/>
      <c r="Q1914" s="85" t="s">
        <v>821</v>
      </c>
      <c r="R1914" s="92" t="s">
        <v>6916</v>
      </c>
      <c r="S1914" s="103" t="s">
        <v>6917</v>
      </c>
      <c r="T1914" s="88" t="s">
        <v>3742</v>
      </c>
      <c r="U1914" s="50" t="s">
        <v>7846</v>
      </c>
      <c r="V1914" s="118" t="str">
        <f>+Agencia[[#This Row],[idcoleccion]]&amp;"-"&amp;Agencia[[#This Row],[id]]</f>
        <v>990-1903</v>
      </c>
      <c r="W1914" s="121">
        <v>99200005</v>
      </c>
      <c r="X1914" s="118" t="str">
        <f>+VLOOKUP(Agencia[[#This Row],[tema]],Estructura!$A$4:$C$500,3,0)</f>
        <v>T-1089</v>
      </c>
      <c r="Y1914" s="118" t="str">
        <f>+VLOOKUP(Agencia[[#This Row],[contenido]],Estructura!$E$4:$G$500,3,0)</f>
        <v>C-1029</v>
      </c>
      <c r="Z1914" s="118" t="str">
        <f>+VLOOKUP(Agencia[[#This Row],[Filtro Integrado]],Estructura!$I$4:$K$500,3,0)</f>
        <v>FI-993</v>
      </c>
      <c r="AA1914" s="118" t="str">
        <f>+VLOOKUP(Agencia[[#This Row],[Muestra]],Estructura!$M$4:$O$500,3,0)</f>
        <v>M-1160</v>
      </c>
    </row>
    <row r="1915" spans="1:27" ht="30.6" x14ac:dyDescent="0.3">
      <c r="A1915" s="21" t="s">
        <v>8182</v>
      </c>
      <c r="B1915" s="89">
        <v>990</v>
      </c>
      <c r="C1915" s="90" t="s">
        <v>401</v>
      </c>
      <c r="D1915" s="90" t="s">
        <v>405</v>
      </c>
      <c r="E1915" s="114">
        <v>6</v>
      </c>
      <c r="F1915" s="90" t="s">
        <v>6898</v>
      </c>
      <c r="G1915" s="91" t="s">
        <v>6790</v>
      </c>
      <c r="H1915" s="98" t="s">
        <v>16</v>
      </c>
      <c r="I1915" s="99" t="s">
        <v>373</v>
      </c>
      <c r="J1915" s="83" t="s">
        <v>404</v>
      </c>
      <c r="K1915" s="89" t="s">
        <v>6898</v>
      </c>
      <c r="L1915" s="105" t="s">
        <v>460</v>
      </c>
      <c r="M1915" s="89" t="s">
        <v>4247</v>
      </c>
      <c r="N1915" s="83" t="s">
        <v>403</v>
      </c>
      <c r="O1915" s="108" t="s">
        <v>6918</v>
      </c>
      <c r="P1915" s="110"/>
      <c r="Q1915" s="85" t="s">
        <v>821</v>
      </c>
      <c r="R1915" s="92" t="s">
        <v>6919</v>
      </c>
      <c r="S1915" s="103" t="s">
        <v>6920</v>
      </c>
      <c r="T1915" s="88" t="s">
        <v>3740</v>
      </c>
      <c r="U1915" s="50" t="s">
        <v>7847</v>
      </c>
      <c r="V1915" s="118" t="str">
        <f>+Agencia[[#This Row],[idcoleccion]]&amp;"-"&amp;Agencia[[#This Row],[id]]</f>
        <v>990-1904</v>
      </c>
      <c r="W1915" s="121">
        <v>99200006</v>
      </c>
      <c r="X1915" s="118" t="str">
        <f>+VLOOKUP(Agencia[[#This Row],[tema]],Estructura!$A$4:$C$500,3,0)</f>
        <v>T-1089</v>
      </c>
      <c r="Y1915" s="118" t="str">
        <f>+VLOOKUP(Agencia[[#This Row],[contenido]],Estructura!$E$4:$G$500,3,0)</f>
        <v>C-1029</v>
      </c>
      <c r="Z1915" s="118" t="str">
        <f>+VLOOKUP(Agencia[[#This Row],[Filtro Integrado]],Estructura!$I$4:$K$500,3,0)</f>
        <v>FI-993</v>
      </c>
      <c r="AA1915" s="118" t="str">
        <f>+VLOOKUP(Agencia[[#This Row],[Muestra]],Estructura!$M$4:$O$500,3,0)</f>
        <v>M-1160</v>
      </c>
    </row>
    <row r="1916" spans="1:27" ht="30.6" x14ac:dyDescent="0.3">
      <c r="A1916" s="21" t="s">
        <v>8183</v>
      </c>
      <c r="B1916" s="89">
        <v>990</v>
      </c>
      <c r="C1916" s="90" t="s">
        <v>401</v>
      </c>
      <c r="D1916" s="90" t="s">
        <v>405</v>
      </c>
      <c r="E1916" s="114">
        <v>7</v>
      </c>
      <c r="F1916" s="90" t="s">
        <v>6898</v>
      </c>
      <c r="G1916" s="91" t="s">
        <v>6790</v>
      </c>
      <c r="H1916" s="98" t="s">
        <v>16</v>
      </c>
      <c r="I1916" s="99" t="s">
        <v>374</v>
      </c>
      <c r="J1916" s="83" t="s">
        <v>404</v>
      </c>
      <c r="K1916" s="89" t="s">
        <v>6898</v>
      </c>
      <c r="L1916" s="105" t="s">
        <v>460</v>
      </c>
      <c r="M1916" s="89" t="s">
        <v>4247</v>
      </c>
      <c r="N1916" s="83" t="s">
        <v>403</v>
      </c>
      <c r="O1916" s="108" t="s">
        <v>6921</v>
      </c>
      <c r="P1916" s="110"/>
      <c r="Q1916" s="85" t="s">
        <v>821</v>
      </c>
      <c r="R1916" s="92" t="s">
        <v>6922</v>
      </c>
      <c r="S1916" s="103" t="s">
        <v>6923</v>
      </c>
      <c r="T1916" s="88" t="s">
        <v>3738</v>
      </c>
      <c r="U1916" s="50" t="s">
        <v>7848</v>
      </c>
      <c r="V1916" s="118" t="str">
        <f>+Agencia[[#This Row],[idcoleccion]]&amp;"-"&amp;Agencia[[#This Row],[id]]</f>
        <v>990-1905</v>
      </c>
      <c r="W1916" s="121">
        <v>99200007</v>
      </c>
      <c r="X1916" s="118" t="str">
        <f>+VLOOKUP(Agencia[[#This Row],[tema]],Estructura!$A$4:$C$500,3,0)</f>
        <v>T-1089</v>
      </c>
      <c r="Y1916" s="118" t="str">
        <f>+VLOOKUP(Agencia[[#This Row],[contenido]],Estructura!$E$4:$G$500,3,0)</f>
        <v>C-1029</v>
      </c>
      <c r="Z1916" s="118" t="str">
        <f>+VLOOKUP(Agencia[[#This Row],[Filtro Integrado]],Estructura!$I$4:$K$500,3,0)</f>
        <v>FI-993</v>
      </c>
      <c r="AA1916" s="118" t="str">
        <f>+VLOOKUP(Agencia[[#This Row],[Muestra]],Estructura!$M$4:$O$500,3,0)</f>
        <v>M-1160</v>
      </c>
    </row>
    <row r="1917" spans="1:27" ht="30.6" x14ac:dyDescent="0.3">
      <c r="A1917" s="21" t="s">
        <v>8184</v>
      </c>
      <c r="B1917" s="89">
        <v>990</v>
      </c>
      <c r="C1917" s="90" t="s">
        <v>401</v>
      </c>
      <c r="D1917" s="90" t="s">
        <v>405</v>
      </c>
      <c r="E1917" s="114">
        <v>8</v>
      </c>
      <c r="F1917" s="90" t="s">
        <v>6898</v>
      </c>
      <c r="G1917" s="91" t="s">
        <v>6790</v>
      </c>
      <c r="H1917" s="98" t="s">
        <v>16</v>
      </c>
      <c r="I1917" s="99" t="s">
        <v>375</v>
      </c>
      <c r="J1917" s="83" t="s">
        <v>404</v>
      </c>
      <c r="K1917" s="89" t="s">
        <v>6898</v>
      </c>
      <c r="L1917" s="105" t="s">
        <v>460</v>
      </c>
      <c r="M1917" s="89" t="s">
        <v>4247</v>
      </c>
      <c r="N1917" s="83" t="s">
        <v>403</v>
      </c>
      <c r="O1917" s="108" t="s">
        <v>6924</v>
      </c>
      <c r="P1917" s="110"/>
      <c r="Q1917" s="85" t="s">
        <v>821</v>
      </c>
      <c r="R1917" s="92" t="s">
        <v>6925</v>
      </c>
      <c r="S1917" s="103" t="s">
        <v>6926</v>
      </c>
      <c r="T1917" s="88" t="s">
        <v>3743</v>
      </c>
      <c r="U1917" s="50" t="s">
        <v>7849</v>
      </c>
      <c r="V1917" s="118" t="str">
        <f>+Agencia[[#This Row],[idcoleccion]]&amp;"-"&amp;Agencia[[#This Row],[id]]</f>
        <v>990-1906</v>
      </c>
      <c r="W1917" s="121">
        <v>99200008</v>
      </c>
      <c r="X1917" s="118" t="str">
        <f>+VLOOKUP(Agencia[[#This Row],[tema]],Estructura!$A$4:$C$500,3,0)</f>
        <v>T-1089</v>
      </c>
      <c r="Y1917" s="118" t="str">
        <f>+VLOOKUP(Agencia[[#This Row],[contenido]],Estructura!$E$4:$G$500,3,0)</f>
        <v>C-1029</v>
      </c>
      <c r="Z1917" s="118" t="str">
        <f>+VLOOKUP(Agencia[[#This Row],[Filtro Integrado]],Estructura!$I$4:$K$500,3,0)</f>
        <v>FI-993</v>
      </c>
      <c r="AA1917" s="118" t="str">
        <f>+VLOOKUP(Agencia[[#This Row],[Muestra]],Estructura!$M$4:$O$500,3,0)</f>
        <v>M-1160</v>
      </c>
    </row>
    <row r="1918" spans="1:27" ht="30.6" x14ac:dyDescent="0.3">
      <c r="A1918" s="21" t="s">
        <v>8185</v>
      </c>
      <c r="B1918" s="89">
        <v>990</v>
      </c>
      <c r="C1918" s="90" t="s">
        <v>401</v>
      </c>
      <c r="D1918" s="90" t="s">
        <v>405</v>
      </c>
      <c r="E1918" s="114">
        <v>9</v>
      </c>
      <c r="F1918" s="90" t="s">
        <v>6898</v>
      </c>
      <c r="G1918" s="91" t="s">
        <v>6790</v>
      </c>
      <c r="H1918" s="98" t="s">
        <v>16</v>
      </c>
      <c r="I1918" s="99" t="s">
        <v>376</v>
      </c>
      <c r="J1918" s="83" t="s">
        <v>404</v>
      </c>
      <c r="K1918" s="89" t="s">
        <v>6898</v>
      </c>
      <c r="L1918" s="105" t="s">
        <v>460</v>
      </c>
      <c r="M1918" s="89" t="s">
        <v>4247</v>
      </c>
      <c r="N1918" s="83" t="s">
        <v>403</v>
      </c>
      <c r="O1918" s="108" t="s">
        <v>6927</v>
      </c>
      <c r="P1918" s="110"/>
      <c r="Q1918" s="85" t="s">
        <v>821</v>
      </c>
      <c r="R1918" s="92" t="s">
        <v>6928</v>
      </c>
      <c r="S1918" s="103" t="s">
        <v>6929</v>
      </c>
      <c r="T1918" s="88" t="s">
        <v>3734</v>
      </c>
      <c r="U1918" s="50" t="s">
        <v>7850</v>
      </c>
      <c r="V1918" s="118" t="str">
        <f>+Agencia[[#This Row],[idcoleccion]]&amp;"-"&amp;Agencia[[#This Row],[id]]</f>
        <v>990-1907</v>
      </c>
      <c r="W1918" s="121">
        <v>99200009</v>
      </c>
      <c r="X1918" s="118" t="str">
        <f>+VLOOKUP(Agencia[[#This Row],[tema]],Estructura!$A$4:$C$500,3,0)</f>
        <v>T-1089</v>
      </c>
      <c r="Y1918" s="118" t="str">
        <f>+VLOOKUP(Agencia[[#This Row],[contenido]],Estructura!$E$4:$G$500,3,0)</f>
        <v>C-1029</v>
      </c>
      <c r="Z1918" s="118" t="str">
        <f>+VLOOKUP(Agencia[[#This Row],[Filtro Integrado]],Estructura!$I$4:$K$500,3,0)</f>
        <v>FI-993</v>
      </c>
      <c r="AA1918" s="118" t="str">
        <f>+VLOOKUP(Agencia[[#This Row],[Muestra]],Estructura!$M$4:$O$500,3,0)</f>
        <v>M-1160</v>
      </c>
    </row>
    <row r="1919" spans="1:27" ht="30.6" x14ac:dyDescent="0.3">
      <c r="A1919" s="21" t="s">
        <v>8186</v>
      </c>
      <c r="B1919" s="89">
        <v>990</v>
      </c>
      <c r="C1919" s="90" t="s">
        <v>401</v>
      </c>
      <c r="D1919" s="90" t="s">
        <v>405</v>
      </c>
      <c r="E1919" s="114">
        <v>10</v>
      </c>
      <c r="F1919" s="90" t="s">
        <v>6898</v>
      </c>
      <c r="G1919" s="91" t="s">
        <v>6790</v>
      </c>
      <c r="H1919" s="98" t="s">
        <v>16</v>
      </c>
      <c r="I1919" s="99" t="s">
        <v>377</v>
      </c>
      <c r="J1919" s="83" t="s">
        <v>404</v>
      </c>
      <c r="K1919" s="89" t="s">
        <v>6898</v>
      </c>
      <c r="L1919" s="105" t="s">
        <v>460</v>
      </c>
      <c r="M1919" s="89" t="s">
        <v>4247</v>
      </c>
      <c r="N1919" s="83" t="s">
        <v>403</v>
      </c>
      <c r="O1919" s="108" t="s">
        <v>6930</v>
      </c>
      <c r="P1919" s="110"/>
      <c r="Q1919" s="85" t="s">
        <v>821</v>
      </c>
      <c r="R1919" s="92" t="s">
        <v>6931</v>
      </c>
      <c r="S1919" s="103" t="s">
        <v>6932</v>
      </c>
      <c r="T1919" s="88" t="s">
        <v>3735</v>
      </c>
      <c r="U1919" s="50" t="s">
        <v>7851</v>
      </c>
      <c r="V1919" s="118" t="str">
        <f>+Agencia[[#This Row],[idcoleccion]]&amp;"-"&amp;Agencia[[#This Row],[id]]</f>
        <v>990-1908</v>
      </c>
      <c r="W1919" s="121">
        <v>99200010</v>
      </c>
      <c r="X1919" s="118" t="str">
        <f>+VLOOKUP(Agencia[[#This Row],[tema]],Estructura!$A$4:$C$500,3,0)</f>
        <v>T-1089</v>
      </c>
      <c r="Y1919" s="118" t="str">
        <f>+VLOOKUP(Agencia[[#This Row],[contenido]],Estructura!$E$4:$G$500,3,0)</f>
        <v>C-1029</v>
      </c>
      <c r="Z1919" s="118" t="str">
        <f>+VLOOKUP(Agencia[[#This Row],[Filtro Integrado]],Estructura!$I$4:$K$500,3,0)</f>
        <v>FI-993</v>
      </c>
      <c r="AA1919" s="118" t="str">
        <f>+VLOOKUP(Agencia[[#This Row],[Muestra]],Estructura!$M$4:$O$500,3,0)</f>
        <v>M-1160</v>
      </c>
    </row>
    <row r="1920" spans="1:27" ht="30.6" x14ac:dyDescent="0.3">
      <c r="A1920" s="21" t="s">
        <v>8187</v>
      </c>
      <c r="B1920" s="89">
        <v>990</v>
      </c>
      <c r="C1920" s="90" t="s">
        <v>401</v>
      </c>
      <c r="D1920" s="90" t="s">
        <v>405</v>
      </c>
      <c r="E1920" s="114">
        <v>11</v>
      </c>
      <c r="F1920" s="90" t="s">
        <v>6898</v>
      </c>
      <c r="G1920" s="91" t="s">
        <v>6790</v>
      </c>
      <c r="H1920" s="98" t="s">
        <v>16</v>
      </c>
      <c r="I1920" s="99" t="s">
        <v>378</v>
      </c>
      <c r="J1920" s="83" t="s">
        <v>404</v>
      </c>
      <c r="K1920" s="89" t="s">
        <v>6898</v>
      </c>
      <c r="L1920" s="105" t="s">
        <v>460</v>
      </c>
      <c r="M1920" s="89" t="s">
        <v>4247</v>
      </c>
      <c r="N1920" s="83" t="s">
        <v>403</v>
      </c>
      <c r="O1920" s="108" t="s">
        <v>6933</v>
      </c>
      <c r="P1920" s="110"/>
      <c r="Q1920" s="85" t="s">
        <v>821</v>
      </c>
      <c r="R1920" s="92" t="s">
        <v>6934</v>
      </c>
      <c r="S1920" s="103" t="s">
        <v>6935</v>
      </c>
      <c r="T1920" s="88" t="s">
        <v>3732</v>
      </c>
      <c r="U1920" s="50" t="s">
        <v>7852</v>
      </c>
      <c r="V1920" s="118" t="str">
        <f>+Agencia[[#This Row],[idcoleccion]]&amp;"-"&amp;Agencia[[#This Row],[id]]</f>
        <v>990-1909</v>
      </c>
      <c r="W1920" s="121">
        <v>99200011</v>
      </c>
      <c r="X1920" s="118" t="str">
        <f>+VLOOKUP(Agencia[[#This Row],[tema]],Estructura!$A$4:$C$500,3,0)</f>
        <v>T-1089</v>
      </c>
      <c r="Y1920" s="118" t="str">
        <f>+VLOOKUP(Agencia[[#This Row],[contenido]],Estructura!$E$4:$G$500,3,0)</f>
        <v>C-1029</v>
      </c>
      <c r="Z1920" s="118" t="str">
        <f>+VLOOKUP(Agencia[[#This Row],[Filtro Integrado]],Estructura!$I$4:$K$500,3,0)</f>
        <v>FI-993</v>
      </c>
      <c r="AA1920" s="118" t="str">
        <f>+VLOOKUP(Agencia[[#This Row],[Muestra]],Estructura!$M$4:$O$500,3,0)</f>
        <v>M-1160</v>
      </c>
    </row>
    <row r="1921" spans="1:27" ht="30.6" x14ac:dyDescent="0.3">
      <c r="A1921" s="21" t="s">
        <v>8188</v>
      </c>
      <c r="B1921" s="89">
        <v>990</v>
      </c>
      <c r="C1921" s="90" t="s">
        <v>401</v>
      </c>
      <c r="D1921" s="90" t="s">
        <v>405</v>
      </c>
      <c r="E1921" s="114">
        <v>12</v>
      </c>
      <c r="F1921" s="90" t="s">
        <v>6898</v>
      </c>
      <c r="G1921" s="91" t="s">
        <v>6790</v>
      </c>
      <c r="H1921" s="98" t="s">
        <v>16</v>
      </c>
      <c r="I1921" s="99" t="s">
        <v>379</v>
      </c>
      <c r="J1921" s="83" t="s">
        <v>404</v>
      </c>
      <c r="K1921" s="89" t="s">
        <v>6898</v>
      </c>
      <c r="L1921" s="105" t="s">
        <v>460</v>
      </c>
      <c r="M1921" s="89" t="s">
        <v>4247</v>
      </c>
      <c r="N1921" s="83" t="s">
        <v>403</v>
      </c>
      <c r="O1921" s="108" t="s">
        <v>6936</v>
      </c>
      <c r="P1921" s="110"/>
      <c r="Q1921" s="85" t="s">
        <v>821</v>
      </c>
      <c r="R1921" s="92" t="s">
        <v>6937</v>
      </c>
      <c r="S1921" s="103" t="s">
        <v>6938</v>
      </c>
      <c r="T1921" s="88" t="s">
        <v>3737</v>
      </c>
      <c r="U1921" s="50" t="s">
        <v>7853</v>
      </c>
      <c r="V1921" s="118" t="str">
        <f>+Agencia[[#This Row],[idcoleccion]]&amp;"-"&amp;Agencia[[#This Row],[id]]</f>
        <v>990-1910</v>
      </c>
      <c r="W1921" s="121">
        <v>99200012</v>
      </c>
      <c r="X1921" s="118" t="str">
        <f>+VLOOKUP(Agencia[[#This Row],[tema]],Estructura!$A$4:$C$500,3,0)</f>
        <v>T-1089</v>
      </c>
      <c r="Y1921" s="118" t="str">
        <f>+VLOOKUP(Agencia[[#This Row],[contenido]],Estructura!$E$4:$G$500,3,0)</f>
        <v>C-1029</v>
      </c>
      <c r="Z1921" s="118" t="str">
        <f>+VLOOKUP(Agencia[[#This Row],[Filtro Integrado]],Estructura!$I$4:$K$500,3,0)</f>
        <v>FI-993</v>
      </c>
      <c r="AA1921" s="118" t="str">
        <f>+VLOOKUP(Agencia[[#This Row],[Muestra]],Estructura!$M$4:$O$500,3,0)</f>
        <v>M-1160</v>
      </c>
    </row>
    <row r="1922" spans="1:27" ht="30.6" x14ac:dyDescent="0.3">
      <c r="A1922" s="21" t="s">
        <v>8189</v>
      </c>
      <c r="B1922" s="89">
        <v>990</v>
      </c>
      <c r="C1922" s="90" t="s">
        <v>401</v>
      </c>
      <c r="D1922" s="90" t="s">
        <v>405</v>
      </c>
      <c r="E1922" s="114">
        <v>13</v>
      </c>
      <c r="F1922" s="90" t="s">
        <v>6898</v>
      </c>
      <c r="G1922" s="91" t="s">
        <v>6790</v>
      </c>
      <c r="H1922" s="98" t="s">
        <v>16</v>
      </c>
      <c r="I1922" s="99" t="s">
        <v>380</v>
      </c>
      <c r="J1922" s="83" t="s">
        <v>404</v>
      </c>
      <c r="K1922" s="89" t="s">
        <v>6898</v>
      </c>
      <c r="L1922" s="105" t="s">
        <v>460</v>
      </c>
      <c r="M1922" s="89" t="s">
        <v>4247</v>
      </c>
      <c r="N1922" s="83" t="s">
        <v>403</v>
      </c>
      <c r="O1922" s="108" t="s">
        <v>6939</v>
      </c>
      <c r="P1922" s="110"/>
      <c r="Q1922" s="85" t="s">
        <v>821</v>
      </c>
      <c r="R1922" s="92" t="s">
        <v>6940</v>
      </c>
      <c r="S1922" s="103" t="s">
        <v>6941</v>
      </c>
      <c r="T1922" s="88" t="s">
        <v>3744</v>
      </c>
      <c r="U1922" s="50" t="s">
        <v>7854</v>
      </c>
      <c r="V1922" s="118" t="str">
        <f>+Agencia[[#This Row],[idcoleccion]]&amp;"-"&amp;Agencia[[#This Row],[id]]</f>
        <v>990-1911</v>
      </c>
      <c r="W1922" s="121">
        <v>99200013</v>
      </c>
      <c r="X1922" s="118" t="str">
        <f>+VLOOKUP(Agencia[[#This Row],[tema]],Estructura!$A$4:$C$500,3,0)</f>
        <v>T-1089</v>
      </c>
      <c r="Y1922" s="118" t="str">
        <f>+VLOOKUP(Agencia[[#This Row],[contenido]],Estructura!$E$4:$G$500,3,0)</f>
        <v>C-1029</v>
      </c>
      <c r="Z1922" s="118" t="str">
        <f>+VLOOKUP(Agencia[[#This Row],[Filtro Integrado]],Estructura!$I$4:$K$500,3,0)</f>
        <v>FI-993</v>
      </c>
      <c r="AA1922" s="118" t="str">
        <f>+VLOOKUP(Agencia[[#This Row],[Muestra]],Estructura!$M$4:$O$500,3,0)</f>
        <v>M-1160</v>
      </c>
    </row>
    <row r="1923" spans="1:27" ht="30.6" x14ac:dyDescent="0.3">
      <c r="A1923" s="21" t="s">
        <v>8190</v>
      </c>
      <c r="B1923" s="89">
        <v>990</v>
      </c>
      <c r="C1923" s="90" t="s">
        <v>401</v>
      </c>
      <c r="D1923" s="90" t="s">
        <v>405</v>
      </c>
      <c r="E1923" s="114">
        <v>14</v>
      </c>
      <c r="F1923" s="90" t="s">
        <v>6898</v>
      </c>
      <c r="G1923" s="91" t="s">
        <v>6790</v>
      </c>
      <c r="H1923" s="98" t="s">
        <v>16</v>
      </c>
      <c r="I1923" s="99" t="s">
        <v>381</v>
      </c>
      <c r="J1923" s="83" t="s">
        <v>404</v>
      </c>
      <c r="K1923" s="89" t="s">
        <v>6898</v>
      </c>
      <c r="L1923" s="105" t="s">
        <v>460</v>
      </c>
      <c r="M1923" s="89" t="s">
        <v>4247</v>
      </c>
      <c r="N1923" s="83" t="s">
        <v>403</v>
      </c>
      <c r="O1923" s="108" t="s">
        <v>6942</v>
      </c>
      <c r="P1923" s="110"/>
      <c r="Q1923" s="85" t="s">
        <v>821</v>
      </c>
      <c r="R1923" s="92" t="s">
        <v>6943</v>
      </c>
      <c r="S1923" s="103" t="s">
        <v>6944</v>
      </c>
      <c r="T1923" s="88" t="s">
        <v>3736</v>
      </c>
      <c r="U1923" s="50" t="s">
        <v>7855</v>
      </c>
      <c r="V1923" s="118" t="str">
        <f>+Agencia[[#This Row],[idcoleccion]]&amp;"-"&amp;Agencia[[#This Row],[id]]</f>
        <v>990-1912</v>
      </c>
      <c r="W1923" s="121">
        <v>99200014</v>
      </c>
      <c r="X1923" s="118" t="str">
        <f>+VLOOKUP(Agencia[[#This Row],[tema]],Estructura!$A$4:$C$500,3,0)</f>
        <v>T-1089</v>
      </c>
      <c r="Y1923" s="118" t="str">
        <f>+VLOOKUP(Agencia[[#This Row],[contenido]],Estructura!$E$4:$G$500,3,0)</f>
        <v>C-1029</v>
      </c>
      <c r="Z1923" s="118" t="str">
        <f>+VLOOKUP(Agencia[[#This Row],[Filtro Integrado]],Estructura!$I$4:$K$500,3,0)</f>
        <v>FI-993</v>
      </c>
      <c r="AA1923" s="118" t="str">
        <f>+VLOOKUP(Agencia[[#This Row],[Muestra]],Estructura!$M$4:$O$500,3,0)</f>
        <v>M-1160</v>
      </c>
    </row>
    <row r="1924" spans="1:27" ht="30.6" x14ac:dyDescent="0.3">
      <c r="A1924" s="21" t="s">
        <v>8191</v>
      </c>
      <c r="B1924" s="89">
        <v>990</v>
      </c>
      <c r="C1924" s="90" t="s">
        <v>401</v>
      </c>
      <c r="D1924" s="90" t="s">
        <v>405</v>
      </c>
      <c r="E1924" s="114">
        <v>15</v>
      </c>
      <c r="F1924" s="90" t="s">
        <v>6898</v>
      </c>
      <c r="G1924" s="91" t="s">
        <v>6790</v>
      </c>
      <c r="H1924" s="98" t="s">
        <v>16</v>
      </c>
      <c r="I1924" s="99" t="s">
        <v>382</v>
      </c>
      <c r="J1924" s="83" t="s">
        <v>404</v>
      </c>
      <c r="K1924" s="89" t="s">
        <v>6898</v>
      </c>
      <c r="L1924" s="105" t="s">
        <v>460</v>
      </c>
      <c r="M1924" s="89" t="s">
        <v>4247</v>
      </c>
      <c r="N1924" s="83" t="s">
        <v>403</v>
      </c>
      <c r="O1924" s="108" t="s">
        <v>6945</v>
      </c>
      <c r="P1924" s="110"/>
      <c r="Q1924" s="85" t="s">
        <v>821</v>
      </c>
      <c r="R1924" s="92" t="s">
        <v>6946</v>
      </c>
      <c r="S1924" s="103" t="s">
        <v>6947</v>
      </c>
      <c r="T1924" s="88" t="s">
        <v>3730</v>
      </c>
      <c r="U1924" s="50" t="s">
        <v>7856</v>
      </c>
      <c r="V1924" s="118" t="str">
        <f>+Agencia[[#This Row],[idcoleccion]]&amp;"-"&amp;Agencia[[#This Row],[id]]</f>
        <v>990-1913</v>
      </c>
      <c r="W1924" s="121">
        <v>99200015</v>
      </c>
      <c r="X1924" s="118" t="str">
        <f>+VLOOKUP(Agencia[[#This Row],[tema]],Estructura!$A$4:$C$500,3,0)</f>
        <v>T-1089</v>
      </c>
      <c r="Y1924" s="118" t="str">
        <f>+VLOOKUP(Agencia[[#This Row],[contenido]],Estructura!$E$4:$G$500,3,0)</f>
        <v>C-1029</v>
      </c>
      <c r="Z1924" s="118" t="str">
        <f>+VLOOKUP(Agencia[[#This Row],[Filtro Integrado]],Estructura!$I$4:$K$500,3,0)</f>
        <v>FI-993</v>
      </c>
      <c r="AA1924" s="118" t="str">
        <f>+VLOOKUP(Agencia[[#This Row],[Muestra]],Estructura!$M$4:$O$500,3,0)</f>
        <v>M-1160</v>
      </c>
    </row>
    <row r="1925" spans="1:27" ht="30.6" x14ac:dyDescent="0.3">
      <c r="A1925" s="21" t="s">
        <v>8192</v>
      </c>
      <c r="B1925" s="89">
        <v>990</v>
      </c>
      <c r="C1925" s="90" t="s">
        <v>401</v>
      </c>
      <c r="D1925" s="90" t="s">
        <v>405</v>
      </c>
      <c r="E1925" s="114">
        <v>16</v>
      </c>
      <c r="F1925" s="90" t="s">
        <v>6898</v>
      </c>
      <c r="G1925" s="91" t="s">
        <v>6790</v>
      </c>
      <c r="H1925" s="98" t="s">
        <v>16</v>
      </c>
      <c r="I1925" s="99" t="s">
        <v>383</v>
      </c>
      <c r="J1925" s="83" t="s">
        <v>404</v>
      </c>
      <c r="K1925" s="89" t="s">
        <v>6898</v>
      </c>
      <c r="L1925" s="105" t="s">
        <v>460</v>
      </c>
      <c r="M1925" s="89" t="s">
        <v>4247</v>
      </c>
      <c r="N1925" s="83" t="s">
        <v>403</v>
      </c>
      <c r="O1925" s="108" t="s">
        <v>6948</v>
      </c>
      <c r="P1925" s="109"/>
      <c r="Q1925" s="93" t="s">
        <v>821</v>
      </c>
      <c r="R1925" s="92" t="s">
        <v>6949</v>
      </c>
      <c r="S1925" s="103" t="s">
        <v>6950</v>
      </c>
      <c r="T1925" s="94" t="s">
        <v>3739</v>
      </c>
      <c r="U1925" s="50" t="s">
        <v>7857</v>
      </c>
      <c r="V1925" s="118" t="str">
        <f>+Agencia[[#This Row],[idcoleccion]]&amp;"-"&amp;Agencia[[#This Row],[id]]</f>
        <v>990-1914</v>
      </c>
      <c r="W1925" s="121">
        <v>99200016</v>
      </c>
      <c r="X1925" s="118" t="str">
        <f>+VLOOKUP(Agencia[[#This Row],[tema]],Estructura!$A$4:$C$500,3,0)</f>
        <v>T-1089</v>
      </c>
      <c r="Y1925" s="118" t="str">
        <f>+VLOOKUP(Agencia[[#This Row],[contenido]],Estructura!$E$4:$G$500,3,0)</f>
        <v>C-1029</v>
      </c>
      <c r="Z1925" s="118" t="str">
        <f>+VLOOKUP(Agencia[[#This Row],[Filtro Integrado]],Estructura!$I$4:$K$500,3,0)</f>
        <v>FI-993</v>
      </c>
      <c r="AA1925" s="118" t="str">
        <f>+VLOOKUP(Agencia[[#This Row],[Muestra]],Estructura!$M$4:$O$500,3,0)</f>
        <v>M-1160</v>
      </c>
    </row>
    <row r="1926" spans="1:27" ht="81.599999999999994" x14ac:dyDescent="0.3">
      <c r="A1926" s="21" t="s">
        <v>8193</v>
      </c>
      <c r="B1926" s="89">
        <v>990</v>
      </c>
      <c r="C1926" s="90" t="s">
        <v>401</v>
      </c>
      <c r="D1926" s="90" t="s">
        <v>822</v>
      </c>
      <c r="E1926" s="115">
        <v>0</v>
      </c>
      <c r="F1926" s="90" t="s">
        <v>6951</v>
      </c>
      <c r="G1926" s="91" t="s">
        <v>6952</v>
      </c>
      <c r="H1926" s="96" t="s">
        <v>20</v>
      </c>
      <c r="I1926" s="97" t="s">
        <v>15</v>
      </c>
      <c r="J1926" s="89" t="s">
        <v>404</v>
      </c>
      <c r="K1926" s="89" t="s">
        <v>6953</v>
      </c>
      <c r="L1926" s="89" t="s">
        <v>6954</v>
      </c>
      <c r="M1926" s="105" t="s">
        <v>6955</v>
      </c>
      <c r="N1926" s="89" t="s">
        <v>6956</v>
      </c>
      <c r="O1926" s="92" t="s">
        <v>6957</v>
      </c>
      <c r="P1926" s="107" t="s">
        <v>6958</v>
      </c>
      <c r="Q1926" s="93" t="s">
        <v>821</v>
      </c>
      <c r="R1926" s="92" t="s">
        <v>6959</v>
      </c>
      <c r="S1926" s="104" t="s">
        <v>6960</v>
      </c>
      <c r="T1926" s="94">
        <v>0</v>
      </c>
      <c r="U1926" s="50" t="s">
        <v>7858</v>
      </c>
      <c r="V1926" s="118" t="str">
        <f>+Agencia[[#This Row],[idcoleccion]]&amp;"-"&amp;Agencia[[#This Row],[id]]</f>
        <v>990-1915</v>
      </c>
      <c r="W1926" s="121">
        <v>99100000</v>
      </c>
      <c r="X1926" s="118" t="str">
        <f>+VLOOKUP(Agencia[[#This Row],[tema]],Estructura!$A$4:$C$500,3,0)</f>
        <v>T-1090</v>
      </c>
      <c r="Y1926" s="118" t="str">
        <f>+VLOOKUP(Agencia[[#This Row],[contenido]],Estructura!$E$4:$G$500,3,0)</f>
        <v>C-1030</v>
      </c>
      <c r="Z1926" s="118" t="str">
        <f>+VLOOKUP(Agencia[[#This Row],[Filtro Integrado]],Estructura!$I$4:$K$500,3,0)</f>
        <v>FI-993</v>
      </c>
      <c r="AA1926" s="118" t="str">
        <f>+VLOOKUP(Agencia[[#This Row],[Muestra]],Estructura!$M$4:$O$500,3,0)</f>
        <v>M-1161</v>
      </c>
    </row>
    <row r="1927" spans="1:27" ht="61.2" x14ac:dyDescent="0.3">
      <c r="A1927" s="21" t="s">
        <v>8194</v>
      </c>
      <c r="B1927" s="89">
        <v>990</v>
      </c>
      <c r="C1927" s="90" t="s">
        <v>401</v>
      </c>
      <c r="D1927" s="90" t="s">
        <v>822</v>
      </c>
      <c r="E1927" s="115">
        <v>0</v>
      </c>
      <c r="F1927" s="90" t="s">
        <v>6951</v>
      </c>
      <c r="G1927" s="91" t="s">
        <v>6952</v>
      </c>
      <c r="H1927" s="96" t="s">
        <v>20</v>
      </c>
      <c r="I1927" s="97" t="s">
        <v>15</v>
      </c>
      <c r="J1927" s="89" t="s">
        <v>404</v>
      </c>
      <c r="K1927" s="89" t="s">
        <v>6961</v>
      </c>
      <c r="L1927" s="89" t="s">
        <v>886</v>
      </c>
      <c r="M1927" s="105" t="s">
        <v>6962</v>
      </c>
      <c r="N1927" s="89" t="s">
        <v>6956</v>
      </c>
      <c r="O1927" s="92" t="s">
        <v>6963</v>
      </c>
      <c r="P1927" s="107" t="s">
        <v>6964</v>
      </c>
      <c r="Q1927" s="93" t="s">
        <v>821</v>
      </c>
      <c r="R1927" s="92" t="s">
        <v>6965</v>
      </c>
      <c r="S1927" s="104" t="s">
        <v>6966</v>
      </c>
      <c r="T1927" s="94">
        <v>0</v>
      </c>
      <c r="U1927" s="50" t="s">
        <v>7859</v>
      </c>
      <c r="V1927" s="118" t="str">
        <f>+Agencia[[#This Row],[idcoleccion]]&amp;"-"&amp;Agencia[[#This Row],[id]]</f>
        <v>990-1916</v>
      </c>
      <c r="W1927" s="121">
        <v>99100000</v>
      </c>
      <c r="X1927" s="118" t="str">
        <f>+VLOOKUP(Agencia[[#This Row],[tema]],Estructura!$A$4:$C$500,3,0)</f>
        <v>T-1090</v>
      </c>
      <c r="Y1927" s="118" t="str">
        <f>+VLOOKUP(Agencia[[#This Row],[contenido]],Estructura!$E$4:$G$500,3,0)</f>
        <v>C-1030</v>
      </c>
      <c r="Z1927" s="118" t="str">
        <f>+VLOOKUP(Agencia[[#This Row],[Filtro Integrado]],Estructura!$I$4:$K$500,3,0)</f>
        <v>FI-993</v>
      </c>
      <c r="AA1927" s="118" t="str">
        <f>+VLOOKUP(Agencia[[#This Row],[Muestra]],Estructura!$M$4:$O$500,3,0)</f>
        <v>M-1162</v>
      </c>
    </row>
    <row r="1928" spans="1:27" ht="51" x14ac:dyDescent="0.3">
      <c r="A1928" s="21" t="s">
        <v>8195</v>
      </c>
      <c r="B1928" s="89">
        <v>990</v>
      </c>
      <c r="C1928" s="90" t="s">
        <v>401</v>
      </c>
      <c r="D1928" s="90" t="s">
        <v>822</v>
      </c>
      <c r="E1928" s="115">
        <v>0</v>
      </c>
      <c r="F1928" s="90" t="s">
        <v>6951</v>
      </c>
      <c r="G1928" s="91" t="s">
        <v>6952</v>
      </c>
      <c r="H1928" s="96" t="s">
        <v>20</v>
      </c>
      <c r="I1928" s="97" t="s">
        <v>15</v>
      </c>
      <c r="J1928" s="89" t="s">
        <v>404</v>
      </c>
      <c r="K1928" s="89" t="s">
        <v>6961</v>
      </c>
      <c r="L1928" s="89" t="s">
        <v>886</v>
      </c>
      <c r="M1928" s="105" t="s">
        <v>6962</v>
      </c>
      <c r="N1928" s="89" t="s">
        <v>6956</v>
      </c>
      <c r="O1928" s="92" t="s">
        <v>6967</v>
      </c>
      <c r="P1928" s="107" t="s">
        <v>6968</v>
      </c>
      <c r="Q1928" s="93" t="s">
        <v>821</v>
      </c>
      <c r="R1928" s="92" t="s">
        <v>6969</v>
      </c>
      <c r="S1928" s="104" t="s">
        <v>6970</v>
      </c>
      <c r="T1928" s="94">
        <v>0</v>
      </c>
      <c r="U1928" s="50" t="s">
        <v>7860</v>
      </c>
      <c r="V1928" s="118" t="str">
        <f>+Agencia[[#This Row],[idcoleccion]]&amp;"-"&amp;Agencia[[#This Row],[id]]</f>
        <v>990-1917</v>
      </c>
      <c r="W1928" s="121">
        <v>99100000</v>
      </c>
      <c r="X1928" s="118" t="str">
        <f>+VLOOKUP(Agencia[[#This Row],[tema]],Estructura!$A$4:$C$500,3,0)</f>
        <v>T-1090</v>
      </c>
      <c r="Y1928" s="118" t="str">
        <f>+VLOOKUP(Agencia[[#This Row],[contenido]],Estructura!$E$4:$G$500,3,0)</f>
        <v>C-1030</v>
      </c>
      <c r="Z1928" s="118" t="str">
        <f>+VLOOKUP(Agencia[[#This Row],[Filtro Integrado]],Estructura!$I$4:$K$500,3,0)</f>
        <v>FI-993</v>
      </c>
      <c r="AA1928" s="118" t="str">
        <f>+VLOOKUP(Agencia[[#This Row],[Muestra]],Estructura!$M$4:$O$500,3,0)</f>
        <v>M-1162</v>
      </c>
    </row>
    <row r="1929" spans="1:27" ht="81.599999999999994" x14ac:dyDescent="0.3">
      <c r="A1929" s="21" t="s">
        <v>8196</v>
      </c>
      <c r="B1929" s="89">
        <v>990</v>
      </c>
      <c r="C1929" s="90" t="s">
        <v>401</v>
      </c>
      <c r="D1929" s="90" t="s">
        <v>4178</v>
      </c>
      <c r="E1929" s="115">
        <v>0</v>
      </c>
      <c r="F1929" s="90" t="s">
        <v>6971</v>
      </c>
      <c r="G1929" s="91" t="s">
        <v>3795</v>
      </c>
      <c r="H1929" s="96" t="s">
        <v>20</v>
      </c>
      <c r="I1929" s="97" t="s">
        <v>15</v>
      </c>
      <c r="J1929" s="89" t="s">
        <v>16</v>
      </c>
      <c r="K1929" s="89" t="s">
        <v>6972</v>
      </c>
      <c r="L1929" s="89" t="s">
        <v>3797</v>
      </c>
      <c r="M1929" s="89" t="s">
        <v>6973</v>
      </c>
      <c r="N1929" s="89" t="s">
        <v>431</v>
      </c>
      <c r="O1929" s="92" t="s">
        <v>6974</v>
      </c>
      <c r="P1929" s="107" t="s">
        <v>6975</v>
      </c>
      <c r="Q1929" s="93" t="s">
        <v>821</v>
      </c>
      <c r="R1929" s="92" t="s">
        <v>6976</v>
      </c>
      <c r="S1929" s="104" t="s">
        <v>6977</v>
      </c>
      <c r="T1929" s="94" t="s">
        <v>1033</v>
      </c>
      <c r="U1929" s="50" t="s">
        <v>7861</v>
      </c>
      <c r="V1929" s="118" t="str">
        <f>+Agencia[[#This Row],[idcoleccion]]&amp;"-"&amp;Agencia[[#This Row],[id]]</f>
        <v>990-1918</v>
      </c>
      <c r="W1929" s="121">
        <v>99100000</v>
      </c>
      <c r="X1929" s="118" t="str">
        <f>+VLOOKUP(Agencia[[#This Row],[tema]],Estructura!$A$4:$C$500,3,0)</f>
        <v>T-1091</v>
      </c>
      <c r="Y1929" s="118" t="str">
        <f>+VLOOKUP(Agencia[[#This Row],[contenido]],Estructura!$E$4:$G$500,3,0)</f>
        <v>C-1015</v>
      </c>
      <c r="Z1929" s="118" t="str">
        <f>+VLOOKUP(Agencia[[#This Row],[Filtro Integrado]],Estructura!$I$4:$K$500,3,0)</f>
        <v>FI-992</v>
      </c>
      <c r="AA1929" s="118" t="str">
        <f>+VLOOKUP(Agencia[[#This Row],[Muestra]],Estructura!$M$4:$O$500,3,0)</f>
        <v>M-1163</v>
      </c>
    </row>
    <row r="1930" spans="1:27" ht="36" x14ac:dyDescent="0.3">
      <c r="A1930" s="21" t="s">
        <v>8197</v>
      </c>
      <c r="B1930" s="83">
        <v>990</v>
      </c>
      <c r="C1930" s="84" t="s">
        <v>401</v>
      </c>
      <c r="D1930" s="84" t="s">
        <v>4178</v>
      </c>
      <c r="E1930" s="114">
        <v>1</v>
      </c>
      <c r="F1930" s="90" t="s">
        <v>6971</v>
      </c>
      <c r="G1930" s="91" t="s">
        <v>3795</v>
      </c>
      <c r="H1930" s="98" t="s">
        <v>16</v>
      </c>
      <c r="I1930" s="99" t="s">
        <v>368</v>
      </c>
      <c r="J1930" s="83" t="s">
        <v>404</v>
      </c>
      <c r="K1930" s="89" t="s">
        <v>6972</v>
      </c>
      <c r="L1930" s="89" t="s">
        <v>3797</v>
      </c>
      <c r="M1930" s="89" t="s">
        <v>6973</v>
      </c>
      <c r="N1930" s="89" t="s">
        <v>431</v>
      </c>
      <c r="O1930" s="92" t="s">
        <v>6978</v>
      </c>
      <c r="P1930" s="110"/>
      <c r="Q1930" s="85" t="s">
        <v>821</v>
      </c>
      <c r="R1930" s="92" t="s">
        <v>6979</v>
      </c>
      <c r="S1930" s="106" t="s">
        <v>6980</v>
      </c>
      <c r="T1930" s="88" t="s">
        <v>3741</v>
      </c>
      <c r="U1930" s="50" t="s">
        <v>7862</v>
      </c>
      <c r="V1930" s="118" t="str">
        <f>+Agencia[[#This Row],[idcoleccion]]&amp;"-"&amp;Agencia[[#This Row],[id]]</f>
        <v>990-1919</v>
      </c>
      <c r="W1930" s="121">
        <v>99200001</v>
      </c>
      <c r="X1930" s="118" t="str">
        <f>+VLOOKUP(Agencia[[#This Row],[tema]],Estructura!$A$4:$C$500,3,0)</f>
        <v>T-1091</v>
      </c>
      <c r="Y1930" s="118" t="str">
        <f>+VLOOKUP(Agencia[[#This Row],[contenido]],Estructura!$E$4:$G$500,3,0)</f>
        <v>C-1015</v>
      </c>
      <c r="Z1930" s="118" t="str">
        <f>+VLOOKUP(Agencia[[#This Row],[Filtro Integrado]],Estructura!$I$4:$K$500,3,0)</f>
        <v>FI-993</v>
      </c>
      <c r="AA1930" s="118" t="str">
        <f>+VLOOKUP(Agencia[[#This Row],[Muestra]],Estructura!$M$4:$O$500,3,0)</f>
        <v>M-1163</v>
      </c>
    </row>
    <row r="1931" spans="1:27" ht="36" x14ac:dyDescent="0.3">
      <c r="A1931" s="21" t="s">
        <v>8198</v>
      </c>
      <c r="B1931" s="83">
        <v>990</v>
      </c>
      <c r="C1931" s="84" t="s">
        <v>401</v>
      </c>
      <c r="D1931" s="84" t="s">
        <v>4178</v>
      </c>
      <c r="E1931" s="114">
        <v>2</v>
      </c>
      <c r="F1931" s="90" t="s">
        <v>6971</v>
      </c>
      <c r="G1931" s="91" t="s">
        <v>3795</v>
      </c>
      <c r="H1931" s="98" t="s">
        <v>16</v>
      </c>
      <c r="I1931" s="99" t="s">
        <v>369</v>
      </c>
      <c r="J1931" s="83" t="s">
        <v>404</v>
      </c>
      <c r="K1931" s="89" t="s">
        <v>6972</v>
      </c>
      <c r="L1931" s="89" t="s">
        <v>3797</v>
      </c>
      <c r="M1931" s="89" t="s">
        <v>6973</v>
      </c>
      <c r="N1931" s="89" t="s">
        <v>431</v>
      </c>
      <c r="O1931" s="92" t="s">
        <v>6981</v>
      </c>
      <c r="P1931" s="110"/>
      <c r="Q1931" s="85" t="s">
        <v>821</v>
      </c>
      <c r="R1931" s="92" t="s">
        <v>6982</v>
      </c>
      <c r="S1931" s="106" t="s">
        <v>6983</v>
      </c>
      <c r="T1931" s="88" t="s">
        <v>3729</v>
      </c>
      <c r="U1931" s="50" t="s">
        <v>7863</v>
      </c>
      <c r="V1931" s="118" t="str">
        <f>+Agencia[[#This Row],[idcoleccion]]&amp;"-"&amp;Agencia[[#This Row],[id]]</f>
        <v>990-1920</v>
      </c>
      <c r="W1931" s="121">
        <v>99200002</v>
      </c>
      <c r="X1931" s="118" t="str">
        <f>+VLOOKUP(Agencia[[#This Row],[tema]],Estructura!$A$4:$C$500,3,0)</f>
        <v>T-1091</v>
      </c>
      <c r="Y1931" s="118" t="str">
        <f>+VLOOKUP(Agencia[[#This Row],[contenido]],Estructura!$E$4:$G$500,3,0)</f>
        <v>C-1015</v>
      </c>
      <c r="Z1931" s="118" t="str">
        <f>+VLOOKUP(Agencia[[#This Row],[Filtro Integrado]],Estructura!$I$4:$K$500,3,0)</f>
        <v>FI-993</v>
      </c>
      <c r="AA1931" s="118" t="str">
        <f>+VLOOKUP(Agencia[[#This Row],[Muestra]],Estructura!$M$4:$O$500,3,0)</f>
        <v>M-1163</v>
      </c>
    </row>
    <row r="1932" spans="1:27" ht="36" x14ac:dyDescent="0.3">
      <c r="A1932" s="21" t="s">
        <v>8199</v>
      </c>
      <c r="B1932" s="83">
        <v>990</v>
      </c>
      <c r="C1932" s="84" t="s">
        <v>401</v>
      </c>
      <c r="D1932" s="84" t="s">
        <v>4178</v>
      </c>
      <c r="E1932" s="114">
        <v>3</v>
      </c>
      <c r="F1932" s="90" t="s">
        <v>6971</v>
      </c>
      <c r="G1932" s="91" t="s">
        <v>3795</v>
      </c>
      <c r="H1932" s="98" t="s">
        <v>16</v>
      </c>
      <c r="I1932" s="99" t="s">
        <v>370</v>
      </c>
      <c r="J1932" s="83" t="s">
        <v>404</v>
      </c>
      <c r="K1932" s="89" t="s">
        <v>6972</v>
      </c>
      <c r="L1932" s="89" t="s">
        <v>3797</v>
      </c>
      <c r="M1932" s="89" t="s">
        <v>6973</v>
      </c>
      <c r="N1932" s="89" t="s">
        <v>431</v>
      </c>
      <c r="O1932" s="92" t="s">
        <v>6984</v>
      </c>
      <c r="P1932" s="110"/>
      <c r="Q1932" s="85" t="s">
        <v>821</v>
      </c>
      <c r="R1932" s="92" t="s">
        <v>6985</v>
      </c>
      <c r="S1932" s="106" t="s">
        <v>6986</v>
      </c>
      <c r="T1932" s="88" t="s">
        <v>3731</v>
      </c>
      <c r="U1932" s="50" t="s">
        <v>7864</v>
      </c>
      <c r="V1932" s="118" t="str">
        <f>+Agencia[[#This Row],[idcoleccion]]&amp;"-"&amp;Agencia[[#This Row],[id]]</f>
        <v>990-1921</v>
      </c>
      <c r="W1932" s="121">
        <v>99200003</v>
      </c>
      <c r="X1932" s="118" t="str">
        <f>+VLOOKUP(Agencia[[#This Row],[tema]],Estructura!$A$4:$C$500,3,0)</f>
        <v>T-1091</v>
      </c>
      <c r="Y1932" s="118" t="str">
        <f>+VLOOKUP(Agencia[[#This Row],[contenido]],Estructura!$E$4:$G$500,3,0)</f>
        <v>C-1015</v>
      </c>
      <c r="Z1932" s="118" t="str">
        <f>+VLOOKUP(Agencia[[#This Row],[Filtro Integrado]],Estructura!$I$4:$K$500,3,0)</f>
        <v>FI-993</v>
      </c>
      <c r="AA1932" s="118" t="str">
        <f>+VLOOKUP(Agencia[[#This Row],[Muestra]],Estructura!$M$4:$O$500,3,0)</f>
        <v>M-1163</v>
      </c>
    </row>
    <row r="1933" spans="1:27" ht="36" x14ac:dyDescent="0.3">
      <c r="A1933" s="21" t="s">
        <v>8200</v>
      </c>
      <c r="B1933" s="83">
        <v>990</v>
      </c>
      <c r="C1933" s="84" t="s">
        <v>401</v>
      </c>
      <c r="D1933" s="84" t="s">
        <v>4178</v>
      </c>
      <c r="E1933" s="114">
        <v>4</v>
      </c>
      <c r="F1933" s="90" t="s">
        <v>6971</v>
      </c>
      <c r="G1933" s="91" t="s">
        <v>3795</v>
      </c>
      <c r="H1933" s="98" t="s">
        <v>16</v>
      </c>
      <c r="I1933" s="99" t="s">
        <v>371</v>
      </c>
      <c r="J1933" s="83" t="s">
        <v>404</v>
      </c>
      <c r="K1933" s="89" t="s">
        <v>6972</v>
      </c>
      <c r="L1933" s="89" t="s">
        <v>3797</v>
      </c>
      <c r="M1933" s="89" t="s">
        <v>6973</v>
      </c>
      <c r="N1933" s="89" t="s">
        <v>431</v>
      </c>
      <c r="O1933" s="92" t="s">
        <v>6987</v>
      </c>
      <c r="P1933" s="110"/>
      <c r="Q1933" s="85" t="s">
        <v>821</v>
      </c>
      <c r="R1933" s="92" t="s">
        <v>6988</v>
      </c>
      <c r="S1933" s="106" t="s">
        <v>6989</v>
      </c>
      <c r="T1933" s="88" t="s">
        <v>3733</v>
      </c>
      <c r="U1933" s="50" t="s">
        <v>7865</v>
      </c>
      <c r="V1933" s="118" t="str">
        <f>+Agencia[[#This Row],[idcoleccion]]&amp;"-"&amp;Agencia[[#This Row],[id]]</f>
        <v>990-1922</v>
      </c>
      <c r="W1933" s="121">
        <v>99200004</v>
      </c>
      <c r="X1933" s="118" t="str">
        <f>+VLOOKUP(Agencia[[#This Row],[tema]],Estructura!$A$4:$C$500,3,0)</f>
        <v>T-1091</v>
      </c>
      <c r="Y1933" s="118" t="str">
        <f>+VLOOKUP(Agencia[[#This Row],[contenido]],Estructura!$E$4:$G$500,3,0)</f>
        <v>C-1015</v>
      </c>
      <c r="Z1933" s="118" t="str">
        <f>+VLOOKUP(Agencia[[#This Row],[Filtro Integrado]],Estructura!$I$4:$K$500,3,0)</f>
        <v>FI-993</v>
      </c>
      <c r="AA1933" s="118" t="str">
        <f>+VLOOKUP(Agencia[[#This Row],[Muestra]],Estructura!$M$4:$O$500,3,0)</f>
        <v>M-1163</v>
      </c>
    </row>
    <row r="1934" spans="1:27" ht="36" x14ac:dyDescent="0.3">
      <c r="A1934" s="21" t="s">
        <v>8201</v>
      </c>
      <c r="B1934" s="83">
        <v>990</v>
      </c>
      <c r="C1934" s="84" t="s">
        <v>401</v>
      </c>
      <c r="D1934" s="84" t="s">
        <v>4178</v>
      </c>
      <c r="E1934" s="114">
        <v>5</v>
      </c>
      <c r="F1934" s="90" t="s">
        <v>6971</v>
      </c>
      <c r="G1934" s="91" t="s">
        <v>3795</v>
      </c>
      <c r="H1934" s="98" t="s">
        <v>16</v>
      </c>
      <c r="I1934" s="99" t="s">
        <v>372</v>
      </c>
      <c r="J1934" s="83" t="s">
        <v>404</v>
      </c>
      <c r="K1934" s="89" t="s">
        <v>6972</v>
      </c>
      <c r="L1934" s="89" t="s">
        <v>3797</v>
      </c>
      <c r="M1934" s="89" t="s">
        <v>6973</v>
      </c>
      <c r="N1934" s="89" t="s">
        <v>431</v>
      </c>
      <c r="O1934" s="92" t="s">
        <v>6990</v>
      </c>
      <c r="P1934" s="110"/>
      <c r="Q1934" s="85" t="s">
        <v>821</v>
      </c>
      <c r="R1934" s="92" t="s">
        <v>6991</v>
      </c>
      <c r="S1934" s="106" t="s">
        <v>6992</v>
      </c>
      <c r="T1934" s="88" t="s">
        <v>3742</v>
      </c>
      <c r="U1934" s="50" t="s">
        <v>7866</v>
      </c>
      <c r="V1934" s="118" t="str">
        <f>+Agencia[[#This Row],[idcoleccion]]&amp;"-"&amp;Agencia[[#This Row],[id]]</f>
        <v>990-1923</v>
      </c>
      <c r="W1934" s="121">
        <v>99200005</v>
      </c>
      <c r="X1934" s="118" t="str">
        <f>+VLOOKUP(Agencia[[#This Row],[tema]],Estructura!$A$4:$C$500,3,0)</f>
        <v>T-1091</v>
      </c>
      <c r="Y1934" s="118" t="str">
        <f>+VLOOKUP(Agencia[[#This Row],[contenido]],Estructura!$E$4:$G$500,3,0)</f>
        <v>C-1015</v>
      </c>
      <c r="Z1934" s="118" t="str">
        <f>+VLOOKUP(Agencia[[#This Row],[Filtro Integrado]],Estructura!$I$4:$K$500,3,0)</f>
        <v>FI-993</v>
      </c>
      <c r="AA1934" s="118" t="str">
        <f>+VLOOKUP(Agencia[[#This Row],[Muestra]],Estructura!$M$4:$O$500,3,0)</f>
        <v>M-1163</v>
      </c>
    </row>
    <row r="1935" spans="1:27" ht="36" x14ac:dyDescent="0.3">
      <c r="A1935" s="21" t="s">
        <v>8202</v>
      </c>
      <c r="B1935" s="83">
        <v>990</v>
      </c>
      <c r="C1935" s="84" t="s">
        <v>401</v>
      </c>
      <c r="D1935" s="84" t="s">
        <v>4178</v>
      </c>
      <c r="E1935" s="114">
        <v>6</v>
      </c>
      <c r="F1935" s="90" t="s">
        <v>6971</v>
      </c>
      <c r="G1935" s="91" t="s">
        <v>3795</v>
      </c>
      <c r="H1935" s="98" t="s">
        <v>16</v>
      </c>
      <c r="I1935" s="99" t="s">
        <v>373</v>
      </c>
      <c r="J1935" s="83" t="s">
        <v>404</v>
      </c>
      <c r="K1935" s="89" t="s">
        <v>6972</v>
      </c>
      <c r="L1935" s="89" t="s">
        <v>3797</v>
      </c>
      <c r="M1935" s="89" t="s">
        <v>6973</v>
      </c>
      <c r="N1935" s="89" t="s">
        <v>431</v>
      </c>
      <c r="O1935" s="92" t="s">
        <v>6993</v>
      </c>
      <c r="P1935" s="110"/>
      <c r="Q1935" s="85" t="s">
        <v>821</v>
      </c>
      <c r="R1935" s="92" t="s">
        <v>6994</v>
      </c>
      <c r="S1935" s="106" t="s">
        <v>6995</v>
      </c>
      <c r="T1935" s="88" t="s">
        <v>3740</v>
      </c>
      <c r="U1935" s="50" t="s">
        <v>7867</v>
      </c>
      <c r="V1935" s="118" t="str">
        <f>+Agencia[[#This Row],[idcoleccion]]&amp;"-"&amp;Agencia[[#This Row],[id]]</f>
        <v>990-1924</v>
      </c>
      <c r="W1935" s="121">
        <v>99200006</v>
      </c>
      <c r="X1935" s="118" t="str">
        <f>+VLOOKUP(Agencia[[#This Row],[tema]],Estructura!$A$4:$C$500,3,0)</f>
        <v>T-1091</v>
      </c>
      <c r="Y1935" s="118" t="str">
        <f>+VLOOKUP(Agencia[[#This Row],[contenido]],Estructura!$E$4:$G$500,3,0)</f>
        <v>C-1015</v>
      </c>
      <c r="Z1935" s="118" t="str">
        <f>+VLOOKUP(Agencia[[#This Row],[Filtro Integrado]],Estructura!$I$4:$K$500,3,0)</f>
        <v>FI-993</v>
      </c>
      <c r="AA1935" s="118" t="str">
        <f>+VLOOKUP(Agencia[[#This Row],[Muestra]],Estructura!$M$4:$O$500,3,0)</f>
        <v>M-1163</v>
      </c>
    </row>
    <row r="1936" spans="1:27" ht="36" x14ac:dyDescent="0.3">
      <c r="A1936" s="21" t="s">
        <v>8203</v>
      </c>
      <c r="B1936" s="83">
        <v>990</v>
      </c>
      <c r="C1936" s="84" t="s">
        <v>401</v>
      </c>
      <c r="D1936" s="84" t="s">
        <v>4178</v>
      </c>
      <c r="E1936" s="114">
        <v>7</v>
      </c>
      <c r="F1936" s="90" t="s">
        <v>6971</v>
      </c>
      <c r="G1936" s="91" t="s">
        <v>3795</v>
      </c>
      <c r="H1936" s="98" t="s">
        <v>16</v>
      </c>
      <c r="I1936" s="99" t="s">
        <v>374</v>
      </c>
      <c r="J1936" s="83" t="s">
        <v>404</v>
      </c>
      <c r="K1936" s="89" t="s">
        <v>6972</v>
      </c>
      <c r="L1936" s="89" t="s">
        <v>3797</v>
      </c>
      <c r="M1936" s="89" t="s">
        <v>6973</v>
      </c>
      <c r="N1936" s="89" t="s">
        <v>431</v>
      </c>
      <c r="O1936" s="92" t="s">
        <v>6996</v>
      </c>
      <c r="P1936" s="110"/>
      <c r="Q1936" s="85" t="s">
        <v>821</v>
      </c>
      <c r="R1936" s="92" t="s">
        <v>6997</v>
      </c>
      <c r="S1936" s="106" t="s">
        <v>6998</v>
      </c>
      <c r="T1936" s="88" t="s">
        <v>3738</v>
      </c>
      <c r="U1936" s="50" t="s">
        <v>7868</v>
      </c>
      <c r="V1936" s="118" t="str">
        <f>+Agencia[[#This Row],[idcoleccion]]&amp;"-"&amp;Agencia[[#This Row],[id]]</f>
        <v>990-1925</v>
      </c>
      <c r="W1936" s="121">
        <v>99200007</v>
      </c>
      <c r="X1936" s="118" t="str">
        <f>+VLOOKUP(Agencia[[#This Row],[tema]],Estructura!$A$4:$C$500,3,0)</f>
        <v>T-1091</v>
      </c>
      <c r="Y1936" s="118" t="str">
        <f>+VLOOKUP(Agencia[[#This Row],[contenido]],Estructura!$E$4:$G$500,3,0)</f>
        <v>C-1015</v>
      </c>
      <c r="Z1936" s="118" t="str">
        <f>+VLOOKUP(Agencia[[#This Row],[Filtro Integrado]],Estructura!$I$4:$K$500,3,0)</f>
        <v>FI-993</v>
      </c>
      <c r="AA1936" s="118" t="str">
        <f>+VLOOKUP(Agencia[[#This Row],[Muestra]],Estructura!$M$4:$O$500,3,0)</f>
        <v>M-1163</v>
      </c>
    </row>
    <row r="1937" spans="1:27" ht="36" x14ac:dyDescent="0.3">
      <c r="A1937" s="21" t="s">
        <v>8204</v>
      </c>
      <c r="B1937" s="83">
        <v>990</v>
      </c>
      <c r="C1937" s="84" t="s">
        <v>401</v>
      </c>
      <c r="D1937" s="84" t="s">
        <v>4178</v>
      </c>
      <c r="E1937" s="114">
        <v>8</v>
      </c>
      <c r="F1937" s="90" t="s">
        <v>6971</v>
      </c>
      <c r="G1937" s="91" t="s">
        <v>3795</v>
      </c>
      <c r="H1937" s="98" t="s">
        <v>16</v>
      </c>
      <c r="I1937" s="99" t="s">
        <v>375</v>
      </c>
      <c r="J1937" s="83" t="s">
        <v>404</v>
      </c>
      <c r="K1937" s="89" t="s">
        <v>6972</v>
      </c>
      <c r="L1937" s="89" t="s">
        <v>3797</v>
      </c>
      <c r="M1937" s="89" t="s">
        <v>6973</v>
      </c>
      <c r="N1937" s="89" t="s">
        <v>431</v>
      </c>
      <c r="O1937" s="92" t="s">
        <v>6999</v>
      </c>
      <c r="P1937" s="110"/>
      <c r="Q1937" s="85" t="s">
        <v>821</v>
      </c>
      <c r="R1937" s="92" t="s">
        <v>7000</v>
      </c>
      <c r="S1937" s="106" t="s">
        <v>7001</v>
      </c>
      <c r="T1937" s="88" t="s">
        <v>3743</v>
      </c>
      <c r="U1937" s="50" t="s">
        <v>7869</v>
      </c>
      <c r="V1937" s="118" t="str">
        <f>+Agencia[[#This Row],[idcoleccion]]&amp;"-"&amp;Agencia[[#This Row],[id]]</f>
        <v>990-1926</v>
      </c>
      <c r="W1937" s="121">
        <v>99200008</v>
      </c>
      <c r="X1937" s="118" t="str">
        <f>+VLOOKUP(Agencia[[#This Row],[tema]],Estructura!$A$4:$C$500,3,0)</f>
        <v>T-1091</v>
      </c>
      <c r="Y1937" s="118" t="str">
        <f>+VLOOKUP(Agencia[[#This Row],[contenido]],Estructura!$E$4:$G$500,3,0)</f>
        <v>C-1015</v>
      </c>
      <c r="Z1937" s="118" t="str">
        <f>+VLOOKUP(Agencia[[#This Row],[Filtro Integrado]],Estructura!$I$4:$K$500,3,0)</f>
        <v>FI-993</v>
      </c>
      <c r="AA1937" s="118" t="str">
        <f>+VLOOKUP(Agencia[[#This Row],[Muestra]],Estructura!$M$4:$O$500,3,0)</f>
        <v>M-1163</v>
      </c>
    </row>
    <row r="1938" spans="1:27" ht="36" x14ac:dyDescent="0.3">
      <c r="A1938" s="21" t="s">
        <v>8205</v>
      </c>
      <c r="B1938" s="83">
        <v>990</v>
      </c>
      <c r="C1938" s="84" t="s">
        <v>401</v>
      </c>
      <c r="D1938" s="84" t="s">
        <v>4178</v>
      </c>
      <c r="E1938" s="114">
        <v>9</v>
      </c>
      <c r="F1938" s="90" t="s">
        <v>6971</v>
      </c>
      <c r="G1938" s="91" t="s">
        <v>3795</v>
      </c>
      <c r="H1938" s="98" t="s">
        <v>16</v>
      </c>
      <c r="I1938" s="99" t="s">
        <v>376</v>
      </c>
      <c r="J1938" s="83" t="s">
        <v>404</v>
      </c>
      <c r="K1938" s="89" t="s">
        <v>6972</v>
      </c>
      <c r="L1938" s="89" t="s">
        <v>3797</v>
      </c>
      <c r="M1938" s="89" t="s">
        <v>6973</v>
      </c>
      <c r="N1938" s="89" t="s">
        <v>431</v>
      </c>
      <c r="O1938" s="92" t="s">
        <v>7002</v>
      </c>
      <c r="P1938" s="110"/>
      <c r="Q1938" s="85" t="s">
        <v>821</v>
      </c>
      <c r="R1938" s="92" t="s">
        <v>7003</v>
      </c>
      <c r="S1938" s="106" t="s">
        <v>7004</v>
      </c>
      <c r="T1938" s="88" t="s">
        <v>3734</v>
      </c>
      <c r="U1938" s="50" t="s">
        <v>7870</v>
      </c>
      <c r="V1938" s="118" t="str">
        <f>+Agencia[[#This Row],[idcoleccion]]&amp;"-"&amp;Agencia[[#This Row],[id]]</f>
        <v>990-1927</v>
      </c>
      <c r="W1938" s="121">
        <v>99200009</v>
      </c>
      <c r="X1938" s="118" t="str">
        <f>+VLOOKUP(Agencia[[#This Row],[tema]],Estructura!$A$4:$C$500,3,0)</f>
        <v>T-1091</v>
      </c>
      <c r="Y1938" s="118" t="str">
        <f>+VLOOKUP(Agencia[[#This Row],[contenido]],Estructura!$E$4:$G$500,3,0)</f>
        <v>C-1015</v>
      </c>
      <c r="Z1938" s="118" t="str">
        <f>+VLOOKUP(Agencia[[#This Row],[Filtro Integrado]],Estructura!$I$4:$K$500,3,0)</f>
        <v>FI-993</v>
      </c>
      <c r="AA1938" s="118" t="str">
        <f>+VLOOKUP(Agencia[[#This Row],[Muestra]],Estructura!$M$4:$O$500,3,0)</f>
        <v>M-1163</v>
      </c>
    </row>
    <row r="1939" spans="1:27" ht="36" x14ac:dyDescent="0.3">
      <c r="A1939" s="21" t="s">
        <v>8206</v>
      </c>
      <c r="B1939" s="83">
        <v>990</v>
      </c>
      <c r="C1939" s="84" t="s">
        <v>401</v>
      </c>
      <c r="D1939" s="84" t="s">
        <v>4178</v>
      </c>
      <c r="E1939" s="114">
        <v>10</v>
      </c>
      <c r="F1939" s="90" t="s">
        <v>6971</v>
      </c>
      <c r="G1939" s="91" t="s">
        <v>3795</v>
      </c>
      <c r="H1939" s="98" t="s">
        <v>16</v>
      </c>
      <c r="I1939" s="99" t="s">
        <v>377</v>
      </c>
      <c r="J1939" s="83" t="s">
        <v>404</v>
      </c>
      <c r="K1939" s="89" t="s">
        <v>6972</v>
      </c>
      <c r="L1939" s="89" t="s">
        <v>3797</v>
      </c>
      <c r="M1939" s="89" t="s">
        <v>6973</v>
      </c>
      <c r="N1939" s="89" t="s">
        <v>431</v>
      </c>
      <c r="O1939" s="92" t="s">
        <v>7005</v>
      </c>
      <c r="P1939" s="110"/>
      <c r="Q1939" s="85" t="s">
        <v>821</v>
      </c>
      <c r="R1939" s="92" t="s">
        <v>7006</v>
      </c>
      <c r="S1939" s="106" t="s">
        <v>7007</v>
      </c>
      <c r="T1939" s="88" t="s">
        <v>3735</v>
      </c>
      <c r="U1939" s="50" t="s">
        <v>7871</v>
      </c>
      <c r="V1939" s="118" t="str">
        <f>+Agencia[[#This Row],[idcoleccion]]&amp;"-"&amp;Agencia[[#This Row],[id]]</f>
        <v>990-1928</v>
      </c>
      <c r="W1939" s="121">
        <v>99200010</v>
      </c>
      <c r="X1939" s="118" t="str">
        <f>+VLOOKUP(Agencia[[#This Row],[tema]],Estructura!$A$4:$C$500,3,0)</f>
        <v>T-1091</v>
      </c>
      <c r="Y1939" s="118" t="str">
        <f>+VLOOKUP(Agencia[[#This Row],[contenido]],Estructura!$E$4:$G$500,3,0)</f>
        <v>C-1015</v>
      </c>
      <c r="Z1939" s="118" t="str">
        <f>+VLOOKUP(Agencia[[#This Row],[Filtro Integrado]],Estructura!$I$4:$K$500,3,0)</f>
        <v>FI-993</v>
      </c>
      <c r="AA1939" s="118" t="str">
        <f>+VLOOKUP(Agencia[[#This Row],[Muestra]],Estructura!$M$4:$O$500,3,0)</f>
        <v>M-1163</v>
      </c>
    </row>
    <row r="1940" spans="1:27" ht="36" x14ac:dyDescent="0.3">
      <c r="A1940" s="21" t="s">
        <v>8207</v>
      </c>
      <c r="B1940" s="83">
        <v>990</v>
      </c>
      <c r="C1940" s="84" t="s">
        <v>401</v>
      </c>
      <c r="D1940" s="84" t="s">
        <v>4178</v>
      </c>
      <c r="E1940" s="114">
        <v>11</v>
      </c>
      <c r="F1940" s="90" t="s">
        <v>6971</v>
      </c>
      <c r="G1940" s="91" t="s">
        <v>3795</v>
      </c>
      <c r="H1940" s="98" t="s">
        <v>16</v>
      </c>
      <c r="I1940" s="99" t="s">
        <v>378</v>
      </c>
      <c r="J1940" s="83" t="s">
        <v>404</v>
      </c>
      <c r="K1940" s="89" t="s">
        <v>6972</v>
      </c>
      <c r="L1940" s="89" t="s">
        <v>3797</v>
      </c>
      <c r="M1940" s="89" t="s">
        <v>6973</v>
      </c>
      <c r="N1940" s="89" t="s">
        <v>431</v>
      </c>
      <c r="O1940" s="92" t="s">
        <v>7008</v>
      </c>
      <c r="P1940" s="110"/>
      <c r="Q1940" s="85" t="s">
        <v>821</v>
      </c>
      <c r="R1940" s="92" t="s">
        <v>7009</v>
      </c>
      <c r="S1940" s="106" t="s">
        <v>7010</v>
      </c>
      <c r="T1940" s="88" t="s">
        <v>3732</v>
      </c>
      <c r="U1940" s="50" t="s">
        <v>7872</v>
      </c>
      <c r="V1940" s="118" t="str">
        <f>+Agencia[[#This Row],[idcoleccion]]&amp;"-"&amp;Agencia[[#This Row],[id]]</f>
        <v>990-1929</v>
      </c>
      <c r="W1940" s="121">
        <v>99200011</v>
      </c>
      <c r="X1940" s="118" t="str">
        <f>+VLOOKUP(Agencia[[#This Row],[tema]],Estructura!$A$4:$C$500,3,0)</f>
        <v>T-1091</v>
      </c>
      <c r="Y1940" s="118" t="str">
        <f>+VLOOKUP(Agencia[[#This Row],[contenido]],Estructura!$E$4:$G$500,3,0)</f>
        <v>C-1015</v>
      </c>
      <c r="Z1940" s="118" t="str">
        <f>+VLOOKUP(Agencia[[#This Row],[Filtro Integrado]],Estructura!$I$4:$K$500,3,0)</f>
        <v>FI-993</v>
      </c>
      <c r="AA1940" s="118" t="str">
        <f>+VLOOKUP(Agencia[[#This Row],[Muestra]],Estructura!$M$4:$O$500,3,0)</f>
        <v>M-1163</v>
      </c>
    </row>
    <row r="1941" spans="1:27" ht="36" x14ac:dyDescent="0.3">
      <c r="A1941" s="21" t="s">
        <v>8208</v>
      </c>
      <c r="B1941" s="83">
        <v>990</v>
      </c>
      <c r="C1941" s="84" t="s">
        <v>401</v>
      </c>
      <c r="D1941" s="84" t="s">
        <v>4178</v>
      </c>
      <c r="E1941" s="114">
        <v>12</v>
      </c>
      <c r="F1941" s="90" t="s">
        <v>6971</v>
      </c>
      <c r="G1941" s="91" t="s">
        <v>3795</v>
      </c>
      <c r="H1941" s="98" t="s">
        <v>16</v>
      </c>
      <c r="I1941" s="99" t="s">
        <v>379</v>
      </c>
      <c r="J1941" s="83" t="s">
        <v>404</v>
      </c>
      <c r="K1941" s="89" t="s">
        <v>6972</v>
      </c>
      <c r="L1941" s="89" t="s">
        <v>3797</v>
      </c>
      <c r="M1941" s="89" t="s">
        <v>6973</v>
      </c>
      <c r="N1941" s="89" t="s">
        <v>431</v>
      </c>
      <c r="O1941" s="92" t="s">
        <v>7011</v>
      </c>
      <c r="P1941" s="110"/>
      <c r="Q1941" s="85" t="s">
        <v>821</v>
      </c>
      <c r="R1941" s="92" t="s">
        <v>7012</v>
      </c>
      <c r="S1941" s="106" t="s">
        <v>7013</v>
      </c>
      <c r="T1941" s="88" t="s">
        <v>3737</v>
      </c>
      <c r="U1941" s="50" t="s">
        <v>7873</v>
      </c>
      <c r="V1941" s="118" t="str">
        <f>+Agencia[[#This Row],[idcoleccion]]&amp;"-"&amp;Agencia[[#This Row],[id]]</f>
        <v>990-1930</v>
      </c>
      <c r="W1941" s="121">
        <v>99200012</v>
      </c>
      <c r="X1941" s="118" t="str">
        <f>+VLOOKUP(Agencia[[#This Row],[tema]],Estructura!$A$4:$C$500,3,0)</f>
        <v>T-1091</v>
      </c>
      <c r="Y1941" s="118" t="str">
        <f>+VLOOKUP(Agencia[[#This Row],[contenido]],Estructura!$E$4:$G$500,3,0)</f>
        <v>C-1015</v>
      </c>
      <c r="Z1941" s="118" t="str">
        <f>+VLOOKUP(Agencia[[#This Row],[Filtro Integrado]],Estructura!$I$4:$K$500,3,0)</f>
        <v>FI-993</v>
      </c>
      <c r="AA1941" s="118" t="str">
        <f>+VLOOKUP(Agencia[[#This Row],[Muestra]],Estructura!$M$4:$O$500,3,0)</f>
        <v>M-1163</v>
      </c>
    </row>
    <row r="1942" spans="1:27" ht="36" x14ac:dyDescent="0.3">
      <c r="A1942" s="21" t="s">
        <v>8209</v>
      </c>
      <c r="B1942" s="83">
        <v>990</v>
      </c>
      <c r="C1942" s="84" t="s">
        <v>401</v>
      </c>
      <c r="D1942" s="84" t="s">
        <v>4178</v>
      </c>
      <c r="E1942" s="114">
        <v>13</v>
      </c>
      <c r="F1942" s="90" t="s">
        <v>6971</v>
      </c>
      <c r="G1942" s="91" t="s">
        <v>3795</v>
      </c>
      <c r="H1942" s="98" t="s">
        <v>16</v>
      </c>
      <c r="I1942" s="99" t="s">
        <v>380</v>
      </c>
      <c r="J1942" s="83" t="s">
        <v>404</v>
      </c>
      <c r="K1942" s="89" t="s">
        <v>6972</v>
      </c>
      <c r="L1942" s="89" t="s">
        <v>3797</v>
      </c>
      <c r="M1942" s="89" t="s">
        <v>6973</v>
      </c>
      <c r="N1942" s="89" t="s">
        <v>431</v>
      </c>
      <c r="O1942" s="92" t="s">
        <v>7014</v>
      </c>
      <c r="P1942" s="110"/>
      <c r="Q1942" s="85" t="s">
        <v>821</v>
      </c>
      <c r="R1942" s="92" t="s">
        <v>7015</v>
      </c>
      <c r="S1942" s="106" t="s">
        <v>7016</v>
      </c>
      <c r="T1942" s="88" t="s">
        <v>3744</v>
      </c>
      <c r="U1942" s="50" t="s">
        <v>7874</v>
      </c>
      <c r="V1942" s="118" t="str">
        <f>+Agencia[[#This Row],[idcoleccion]]&amp;"-"&amp;Agencia[[#This Row],[id]]</f>
        <v>990-1931</v>
      </c>
      <c r="W1942" s="121">
        <v>99200013</v>
      </c>
      <c r="X1942" s="118" t="str">
        <f>+VLOOKUP(Agencia[[#This Row],[tema]],Estructura!$A$4:$C$500,3,0)</f>
        <v>T-1091</v>
      </c>
      <c r="Y1942" s="118" t="str">
        <f>+VLOOKUP(Agencia[[#This Row],[contenido]],Estructura!$E$4:$G$500,3,0)</f>
        <v>C-1015</v>
      </c>
      <c r="Z1942" s="118" t="str">
        <f>+VLOOKUP(Agencia[[#This Row],[Filtro Integrado]],Estructura!$I$4:$K$500,3,0)</f>
        <v>FI-993</v>
      </c>
      <c r="AA1942" s="118" t="str">
        <f>+VLOOKUP(Agencia[[#This Row],[Muestra]],Estructura!$M$4:$O$500,3,0)</f>
        <v>M-1163</v>
      </c>
    </row>
    <row r="1943" spans="1:27" ht="36" x14ac:dyDescent="0.3">
      <c r="A1943" s="21" t="s">
        <v>8210</v>
      </c>
      <c r="B1943" s="83">
        <v>990</v>
      </c>
      <c r="C1943" s="84" t="s">
        <v>401</v>
      </c>
      <c r="D1943" s="84" t="s">
        <v>4178</v>
      </c>
      <c r="E1943" s="114">
        <v>14</v>
      </c>
      <c r="F1943" s="90" t="s">
        <v>6971</v>
      </c>
      <c r="G1943" s="91" t="s">
        <v>3795</v>
      </c>
      <c r="H1943" s="98" t="s">
        <v>16</v>
      </c>
      <c r="I1943" s="99" t="s">
        <v>381</v>
      </c>
      <c r="J1943" s="83" t="s">
        <v>404</v>
      </c>
      <c r="K1943" s="89" t="s">
        <v>6972</v>
      </c>
      <c r="L1943" s="89" t="s">
        <v>3797</v>
      </c>
      <c r="M1943" s="89" t="s">
        <v>6973</v>
      </c>
      <c r="N1943" s="89" t="s">
        <v>431</v>
      </c>
      <c r="O1943" s="92" t="s">
        <v>7017</v>
      </c>
      <c r="P1943" s="110"/>
      <c r="Q1943" s="85" t="s">
        <v>821</v>
      </c>
      <c r="R1943" s="92" t="s">
        <v>7018</v>
      </c>
      <c r="S1943" s="106" t="s">
        <v>7019</v>
      </c>
      <c r="T1943" s="88" t="s">
        <v>3736</v>
      </c>
      <c r="U1943" s="50" t="s">
        <v>7875</v>
      </c>
      <c r="V1943" s="118" t="str">
        <f>+Agencia[[#This Row],[idcoleccion]]&amp;"-"&amp;Agencia[[#This Row],[id]]</f>
        <v>990-1932</v>
      </c>
      <c r="W1943" s="121">
        <v>99200014</v>
      </c>
      <c r="X1943" s="118" t="str">
        <f>+VLOOKUP(Agencia[[#This Row],[tema]],Estructura!$A$4:$C$500,3,0)</f>
        <v>T-1091</v>
      </c>
      <c r="Y1943" s="118" t="str">
        <f>+VLOOKUP(Agencia[[#This Row],[contenido]],Estructura!$E$4:$G$500,3,0)</f>
        <v>C-1015</v>
      </c>
      <c r="Z1943" s="118" t="str">
        <f>+VLOOKUP(Agencia[[#This Row],[Filtro Integrado]],Estructura!$I$4:$K$500,3,0)</f>
        <v>FI-993</v>
      </c>
      <c r="AA1943" s="118" t="str">
        <f>+VLOOKUP(Agencia[[#This Row],[Muestra]],Estructura!$M$4:$O$500,3,0)</f>
        <v>M-1163</v>
      </c>
    </row>
    <row r="1944" spans="1:27" ht="36" x14ac:dyDescent="0.3">
      <c r="A1944" s="21" t="s">
        <v>8211</v>
      </c>
      <c r="B1944" s="83">
        <v>990</v>
      </c>
      <c r="C1944" s="84" t="s">
        <v>401</v>
      </c>
      <c r="D1944" s="84" t="s">
        <v>4178</v>
      </c>
      <c r="E1944" s="114">
        <v>15</v>
      </c>
      <c r="F1944" s="90" t="s">
        <v>6971</v>
      </c>
      <c r="G1944" s="91" t="s">
        <v>3795</v>
      </c>
      <c r="H1944" s="98" t="s">
        <v>16</v>
      </c>
      <c r="I1944" s="99" t="s">
        <v>382</v>
      </c>
      <c r="J1944" s="83" t="s">
        <v>404</v>
      </c>
      <c r="K1944" s="89" t="s">
        <v>6972</v>
      </c>
      <c r="L1944" s="89" t="s">
        <v>3797</v>
      </c>
      <c r="M1944" s="89" t="s">
        <v>6973</v>
      </c>
      <c r="N1944" s="89" t="s">
        <v>431</v>
      </c>
      <c r="O1944" s="92" t="s">
        <v>7020</v>
      </c>
      <c r="P1944" s="110"/>
      <c r="Q1944" s="85" t="s">
        <v>821</v>
      </c>
      <c r="R1944" s="92" t="s">
        <v>7021</v>
      </c>
      <c r="S1944" s="106" t="s">
        <v>7022</v>
      </c>
      <c r="T1944" s="88" t="s">
        <v>3730</v>
      </c>
      <c r="U1944" s="50" t="s">
        <v>7876</v>
      </c>
      <c r="V1944" s="118" t="str">
        <f>+Agencia[[#This Row],[idcoleccion]]&amp;"-"&amp;Agencia[[#This Row],[id]]</f>
        <v>990-1933</v>
      </c>
      <c r="W1944" s="121">
        <v>99200015</v>
      </c>
      <c r="X1944" s="118" t="str">
        <f>+VLOOKUP(Agencia[[#This Row],[tema]],Estructura!$A$4:$C$500,3,0)</f>
        <v>T-1091</v>
      </c>
      <c r="Y1944" s="118" t="str">
        <f>+VLOOKUP(Agencia[[#This Row],[contenido]],Estructura!$E$4:$G$500,3,0)</f>
        <v>C-1015</v>
      </c>
      <c r="Z1944" s="118" t="str">
        <f>+VLOOKUP(Agencia[[#This Row],[Filtro Integrado]],Estructura!$I$4:$K$500,3,0)</f>
        <v>FI-993</v>
      </c>
      <c r="AA1944" s="118" t="str">
        <f>+VLOOKUP(Agencia[[#This Row],[Muestra]],Estructura!$M$4:$O$500,3,0)</f>
        <v>M-1163</v>
      </c>
    </row>
    <row r="1945" spans="1:27" ht="36" x14ac:dyDescent="0.3">
      <c r="A1945" s="21" t="s">
        <v>8212</v>
      </c>
      <c r="B1945" s="89">
        <v>990</v>
      </c>
      <c r="C1945" s="90" t="s">
        <v>401</v>
      </c>
      <c r="D1945" s="90" t="s">
        <v>4178</v>
      </c>
      <c r="E1945" s="114">
        <v>16</v>
      </c>
      <c r="F1945" s="90" t="s">
        <v>6971</v>
      </c>
      <c r="G1945" s="91" t="s">
        <v>3795</v>
      </c>
      <c r="H1945" s="98" t="s">
        <v>16</v>
      </c>
      <c r="I1945" s="99" t="s">
        <v>383</v>
      </c>
      <c r="J1945" s="83" t="s">
        <v>404</v>
      </c>
      <c r="K1945" s="89" t="s">
        <v>6972</v>
      </c>
      <c r="L1945" s="89" t="s">
        <v>3797</v>
      </c>
      <c r="M1945" s="89" t="s">
        <v>6973</v>
      </c>
      <c r="N1945" s="89" t="s">
        <v>431</v>
      </c>
      <c r="O1945" s="92" t="s">
        <v>7023</v>
      </c>
      <c r="P1945" s="109"/>
      <c r="Q1945" s="93" t="s">
        <v>821</v>
      </c>
      <c r="R1945" s="92" t="s">
        <v>7024</v>
      </c>
      <c r="S1945" s="106" t="s">
        <v>7025</v>
      </c>
      <c r="T1945" s="94" t="s">
        <v>3739</v>
      </c>
      <c r="U1945" s="50" t="s">
        <v>7877</v>
      </c>
      <c r="V1945" s="118" t="str">
        <f>+Agencia[[#This Row],[idcoleccion]]&amp;"-"&amp;Agencia[[#This Row],[id]]</f>
        <v>990-1934</v>
      </c>
      <c r="W1945" s="121">
        <v>99200016</v>
      </c>
      <c r="X1945" s="118" t="str">
        <f>+VLOOKUP(Agencia[[#This Row],[tema]],Estructura!$A$4:$C$500,3,0)</f>
        <v>T-1091</v>
      </c>
      <c r="Y1945" s="118" t="str">
        <f>+VLOOKUP(Agencia[[#This Row],[contenido]],Estructura!$E$4:$G$500,3,0)</f>
        <v>C-1015</v>
      </c>
      <c r="Z1945" s="118" t="str">
        <f>+VLOOKUP(Agencia[[#This Row],[Filtro Integrado]],Estructura!$I$4:$K$500,3,0)</f>
        <v>FI-993</v>
      </c>
      <c r="AA1945" s="118" t="str">
        <f>+VLOOKUP(Agencia[[#This Row],[Muestra]],Estructura!$M$4:$O$500,3,0)</f>
        <v>M-1163</v>
      </c>
    </row>
    <row r="1946" spans="1:27" ht="36" x14ac:dyDescent="0.3">
      <c r="A1946" s="21" t="s">
        <v>8213</v>
      </c>
      <c r="B1946" s="89">
        <v>990</v>
      </c>
      <c r="C1946" s="90" t="s">
        <v>401</v>
      </c>
      <c r="D1946" s="90" t="s">
        <v>4178</v>
      </c>
      <c r="E1946" s="115">
        <v>0</v>
      </c>
      <c r="F1946" s="90" t="s">
        <v>7026</v>
      </c>
      <c r="G1946" s="91" t="s">
        <v>3795</v>
      </c>
      <c r="H1946" s="96" t="s">
        <v>20</v>
      </c>
      <c r="I1946" s="97" t="s">
        <v>15</v>
      </c>
      <c r="J1946" s="89" t="s">
        <v>16</v>
      </c>
      <c r="K1946" s="89" t="s">
        <v>7027</v>
      </c>
      <c r="L1946" s="89" t="s">
        <v>865</v>
      </c>
      <c r="M1946" s="89" t="s">
        <v>7027</v>
      </c>
      <c r="N1946" s="89" t="s">
        <v>431</v>
      </c>
      <c r="O1946" s="92" t="s">
        <v>7028</v>
      </c>
      <c r="P1946" s="107" t="s">
        <v>7029</v>
      </c>
      <c r="Q1946" s="93" t="s">
        <v>821</v>
      </c>
      <c r="R1946" s="92" t="s">
        <v>7030</v>
      </c>
      <c r="S1946" s="104" t="s">
        <v>7031</v>
      </c>
      <c r="T1946" s="94" t="s">
        <v>1033</v>
      </c>
      <c r="U1946" s="50" t="s">
        <v>7878</v>
      </c>
      <c r="V1946" s="118" t="str">
        <f>+Agencia[[#This Row],[idcoleccion]]&amp;"-"&amp;Agencia[[#This Row],[id]]</f>
        <v>990-1935</v>
      </c>
      <c r="W1946" s="121">
        <v>99100000</v>
      </c>
      <c r="X1946" s="118" t="str">
        <f>+VLOOKUP(Agencia[[#This Row],[tema]],Estructura!$A$4:$C$500,3,0)</f>
        <v>T-1092</v>
      </c>
      <c r="Y1946" s="118" t="str">
        <f>+VLOOKUP(Agencia[[#This Row],[contenido]],Estructura!$E$4:$G$500,3,0)</f>
        <v>C-1015</v>
      </c>
      <c r="Z1946" s="118" t="str">
        <f>+VLOOKUP(Agencia[[#This Row],[Filtro Integrado]],Estructura!$I$4:$K$500,3,0)</f>
        <v>FI-992</v>
      </c>
      <c r="AA1946" s="118" t="str">
        <f>+VLOOKUP(Agencia[[#This Row],[Muestra]],Estructura!$M$4:$O$500,3,0)</f>
        <v>M-1164</v>
      </c>
    </row>
    <row r="1947" spans="1:27" ht="57.6" x14ac:dyDescent="0.3">
      <c r="A1947" s="21" t="s">
        <v>8214</v>
      </c>
      <c r="B1947" s="83">
        <v>990</v>
      </c>
      <c r="C1947" s="84" t="s">
        <v>401</v>
      </c>
      <c r="D1947" s="84" t="s">
        <v>4178</v>
      </c>
      <c r="E1947" s="114">
        <v>1</v>
      </c>
      <c r="F1947" s="90" t="s">
        <v>7026</v>
      </c>
      <c r="G1947" s="91" t="s">
        <v>3795</v>
      </c>
      <c r="H1947" s="98" t="s">
        <v>16</v>
      </c>
      <c r="I1947" s="99" t="s">
        <v>368</v>
      </c>
      <c r="J1947" s="83" t="s">
        <v>404</v>
      </c>
      <c r="K1947" s="89" t="s">
        <v>7027</v>
      </c>
      <c r="L1947" s="89" t="s">
        <v>865</v>
      </c>
      <c r="M1947" s="89" t="s">
        <v>7027</v>
      </c>
      <c r="N1947" s="89" t="s">
        <v>431</v>
      </c>
      <c r="O1947" s="92" t="s">
        <v>7032</v>
      </c>
      <c r="P1947" s="110"/>
      <c r="Q1947" s="85" t="s">
        <v>821</v>
      </c>
      <c r="R1947" s="92" t="s">
        <v>7033</v>
      </c>
      <c r="S1947" s="102" t="s">
        <v>7034</v>
      </c>
      <c r="T1947" s="88" t="s">
        <v>3741</v>
      </c>
      <c r="U1947" s="50" t="s">
        <v>7879</v>
      </c>
      <c r="V1947" s="118" t="str">
        <f>+Agencia[[#This Row],[idcoleccion]]&amp;"-"&amp;Agencia[[#This Row],[id]]</f>
        <v>990-1936</v>
      </c>
      <c r="W1947" s="121">
        <v>99200001</v>
      </c>
      <c r="X1947" s="118" t="str">
        <f>+VLOOKUP(Agencia[[#This Row],[tema]],Estructura!$A$4:$C$500,3,0)</f>
        <v>T-1092</v>
      </c>
      <c r="Y1947" s="118" t="str">
        <f>+VLOOKUP(Agencia[[#This Row],[contenido]],Estructura!$E$4:$G$500,3,0)</f>
        <v>C-1015</v>
      </c>
      <c r="Z1947" s="118" t="str">
        <f>+VLOOKUP(Agencia[[#This Row],[Filtro Integrado]],Estructura!$I$4:$K$500,3,0)</f>
        <v>FI-993</v>
      </c>
      <c r="AA1947" s="118" t="str">
        <f>+VLOOKUP(Agencia[[#This Row],[Muestra]],Estructura!$M$4:$O$500,3,0)</f>
        <v>M-1164</v>
      </c>
    </row>
    <row r="1948" spans="1:27" ht="36" x14ac:dyDescent="0.3">
      <c r="A1948" s="21" t="s">
        <v>8215</v>
      </c>
      <c r="B1948" s="83">
        <v>990</v>
      </c>
      <c r="C1948" s="84" t="s">
        <v>401</v>
      </c>
      <c r="D1948" s="84" t="s">
        <v>4178</v>
      </c>
      <c r="E1948" s="114">
        <v>2</v>
      </c>
      <c r="F1948" s="90" t="s">
        <v>7026</v>
      </c>
      <c r="G1948" s="91" t="s">
        <v>3795</v>
      </c>
      <c r="H1948" s="98" t="s">
        <v>16</v>
      </c>
      <c r="I1948" s="99" t="s">
        <v>369</v>
      </c>
      <c r="J1948" s="83" t="s">
        <v>404</v>
      </c>
      <c r="K1948" s="89" t="s">
        <v>7027</v>
      </c>
      <c r="L1948" s="89" t="s">
        <v>865</v>
      </c>
      <c r="M1948" s="89" t="s">
        <v>7027</v>
      </c>
      <c r="N1948" s="89" t="s">
        <v>431</v>
      </c>
      <c r="O1948" s="92" t="s">
        <v>7035</v>
      </c>
      <c r="P1948" s="110"/>
      <c r="Q1948" s="85" t="s">
        <v>821</v>
      </c>
      <c r="R1948" s="92" t="s">
        <v>7036</v>
      </c>
      <c r="S1948" s="103" t="s">
        <v>7037</v>
      </c>
      <c r="T1948" s="88" t="s">
        <v>3729</v>
      </c>
      <c r="U1948" s="50" t="s">
        <v>7880</v>
      </c>
      <c r="V1948" s="118" t="str">
        <f>+Agencia[[#This Row],[idcoleccion]]&amp;"-"&amp;Agencia[[#This Row],[id]]</f>
        <v>990-1937</v>
      </c>
      <c r="W1948" s="121">
        <v>99200002</v>
      </c>
      <c r="X1948" s="118" t="str">
        <f>+VLOOKUP(Agencia[[#This Row],[tema]],Estructura!$A$4:$C$500,3,0)</f>
        <v>T-1092</v>
      </c>
      <c r="Y1948" s="118" t="str">
        <f>+VLOOKUP(Agencia[[#This Row],[contenido]],Estructura!$E$4:$G$500,3,0)</f>
        <v>C-1015</v>
      </c>
      <c r="Z1948" s="118" t="str">
        <f>+VLOOKUP(Agencia[[#This Row],[Filtro Integrado]],Estructura!$I$4:$K$500,3,0)</f>
        <v>FI-993</v>
      </c>
      <c r="AA1948" s="118" t="str">
        <f>+VLOOKUP(Agencia[[#This Row],[Muestra]],Estructura!$M$4:$O$500,3,0)</f>
        <v>M-1164</v>
      </c>
    </row>
    <row r="1949" spans="1:27" ht="36" x14ac:dyDescent="0.3">
      <c r="A1949" s="21" t="s">
        <v>8216</v>
      </c>
      <c r="B1949" s="83">
        <v>990</v>
      </c>
      <c r="C1949" s="84" t="s">
        <v>401</v>
      </c>
      <c r="D1949" s="84" t="s">
        <v>4178</v>
      </c>
      <c r="E1949" s="114">
        <v>3</v>
      </c>
      <c r="F1949" s="90" t="s">
        <v>7026</v>
      </c>
      <c r="G1949" s="91" t="s">
        <v>3795</v>
      </c>
      <c r="H1949" s="98" t="s">
        <v>16</v>
      </c>
      <c r="I1949" s="99" t="s">
        <v>370</v>
      </c>
      <c r="J1949" s="83" t="s">
        <v>404</v>
      </c>
      <c r="K1949" s="89" t="s">
        <v>7027</v>
      </c>
      <c r="L1949" s="89" t="s">
        <v>865</v>
      </c>
      <c r="M1949" s="89" t="s">
        <v>7027</v>
      </c>
      <c r="N1949" s="89" t="s">
        <v>431</v>
      </c>
      <c r="O1949" s="92" t="s">
        <v>7038</v>
      </c>
      <c r="P1949" s="110"/>
      <c r="Q1949" s="85" t="s">
        <v>821</v>
      </c>
      <c r="R1949" s="92" t="s">
        <v>7039</v>
      </c>
      <c r="S1949" s="103" t="s">
        <v>7040</v>
      </c>
      <c r="T1949" s="88" t="s">
        <v>3731</v>
      </c>
      <c r="U1949" s="50" t="s">
        <v>7881</v>
      </c>
      <c r="V1949" s="118" t="str">
        <f>+Agencia[[#This Row],[idcoleccion]]&amp;"-"&amp;Agencia[[#This Row],[id]]</f>
        <v>990-1938</v>
      </c>
      <c r="W1949" s="121">
        <v>99200003</v>
      </c>
      <c r="X1949" s="118" t="str">
        <f>+VLOOKUP(Agencia[[#This Row],[tema]],Estructura!$A$4:$C$500,3,0)</f>
        <v>T-1092</v>
      </c>
      <c r="Y1949" s="118" t="str">
        <f>+VLOOKUP(Agencia[[#This Row],[contenido]],Estructura!$E$4:$G$500,3,0)</f>
        <v>C-1015</v>
      </c>
      <c r="Z1949" s="118" t="str">
        <f>+VLOOKUP(Agencia[[#This Row],[Filtro Integrado]],Estructura!$I$4:$K$500,3,0)</f>
        <v>FI-993</v>
      </c>
      <c r="AA1949" s="118" t="str">
        <f>+VLOOKUP(Agencia[[#This Row],[Muestra]],Estructura!$M$4:$O$500,3,0)</f>
        <v>M-1164</v>
      </c>
    </row>
    <row r="1950" spans="1:27" ht="36" x14ac:dyDescent="0.3">
      <c r="A1950" s="21" t="s">
        <v>8217</v>
      </c>
      <c r="B1950" s="83">
        <v>990</v>
      </c>
      <c r="C1950" s="84" t="s">
        <v>401</v>
      </c>
      <c r="D1950" s="84" t="s">
        <v>4178</v>
      </c>
      <c r="E1950" s="114">
        <v>4</v>
      </c>
      <c r="F1950" s="90" t="s">
        <v>7026</v>
      </c>
      <c r="G1950" s="91" t="s">
        <v>3795</v>
      </c>
      <c r="H1950" s="98" t="s">
        <v>16</v>
      </c>
      <c r="I1950" s="99" t="s">
        <v>371</v>
      </c>
      <c r="J1950" s="83" t="s">
        <v>404</v>
      </c>
      <c r="K1950" s="89" t="s">
        <v>7027</v>
      </c>
      <c r="L1950" s="89" t="s">
        <v>865</v>
      </c>
      <c r="M1950" s="89" t="s">
        <v>7027</v>
      </c>
      <c r="N1950" s="89" t="s">
        <v>431</v>
      </c>
      <c r="O1950" s="92" t="s">
        <v>7041</v>
      </c>
      <c r="P1950" s="110"/>
      <c r="Q1950" s="85" t="s">
        <v>821</v>
      </c>
      <c r="R1950" s="92" t="s">
        <v>7042</v>
      </c>
      <c r="S1950" s="103" t="s">
        <v>7043</v>
      </c>
      <c r="T1950" s="88" t="s">
        <v>3733</v>
      </c>
      <c r="U1950" s="50" t="s">
        <v>7882</v>
      </c>
      <c r="V1950" s="118" t="str">
        <f>+Agencia[[#This Row],[idcoleccion]]&amp;"-"&amp;Agencia[[#This Row],[id]]</f>
        <v>990-1939</v>
      </c>
      <c r="W1950" s="121">
        <v>99200004</v>
      </c>
      <c r="X1950" s="118" t="str">
        <f>+VLOOKUP(Agencia[[#This Row],[tema]],Estructura!$A$4:$C$500,3,0)</f>
        <v>T-1092</v>
      </c>
      <c r="Y1950" s="118" t="str">
        <f>+VLOOKUP(Agencia[[#This Row],[contenido]],Estructura!$E$4:$G$500,3,0)</f>
        <v>C-1015</v>
      </c>
      <c r="Z1950" s="118" t="str">
        <f>+VLOOKUP(Agencia[[#This Row],[Filtro Integrado]],Estructura!$I$4:$K$500,3,0)</f>
        <v>FI-993</v>
      </c>
      <c r="AA1950" s="118" t="str">
        <f>+VLOOKUP(Agencia[[#This Row],[Muestra]],Estructura!$M$4:$O$500,3,0)</f>
        <v>M-1164</v>
      </c>
    </row>
    <row r="1951" spans="1:27" ht="36" x14ac:dyDescent="0.3">
      <c r="A1951" s="21" t="s">
        <v>8218</v>
      </c>
      <c r="B1951" s="83">
        <v>990</v>
      </c>
      <c r="C1951" s="84" t="s">
        <v>401</v>
      </c>
      <c r="D1951" s="84" t="s">
        <v>4178</v>
      </c>
      <c r="E1951" s="114">
        <v>5</v>
      </c>
      <c r="F1951" s="90" t="s">
        <v>7026</v>
      </c>
      <c r="G1951" s="91" t="s">
        <v>3795</v>
      </c>
      <c r="H1951" s="98" t="s">
        <v>16</v>
      </c>
      <c r="I1951" s="99" t="s">
        <v>372</v>
      </c>
      <c r="J1951" s="83" t="s">
        <v>404</v>
      </c>
      <c r="K1951" s="89" t="s">
        <v>7027</v>
      </c>
      <c r="L1951" s="89" t="s">
        <v>865</v>
      </c>
      <c r="M1951" s="89" t="s">
        <v>7027</v>
      </c>
      <c r="N1951" s="89" t="s">
        <v>431</v>
      </c>
      <c r="O1951" s="92" t="s">
        <v>7044</v>
      </c>
      <c r="P1951" s="110"/>
      <c r="Q1951" s="85" t="s">
        <v>821</v>
      </c>
      <c r="R1951" s="92" t="s">
        <v>7045</v>
      </c>
      <c r="S1951" s="103" t="s">
        <v>7046</v>
      </c>
      <c r="T1951" s="88" t="s">
        <v>3742</v>
      </c>
      <c r="U1951" s="50" t="s">
        <v>7883</v>
      </c>
      <c r="V1951" s="118" t="str">
        <f>+Agencia[[#This Row],[idcoleccion]]&amp;"-"&amp;Agencia[[#This Row],[id]]</f>
        <v>990-1940</v>
      </c>
      <c r="W1951" s="121">
        <v>99200005</v>
      </c>
      <c r="X1951" s="118" t="str">
        <f>+VLOOKUP(Agencia[[#This Row],[tema]],Estructura!$A$4:$C$500,3,0)</f>
        <v>T-1092</v>
      </c>
      <c r="Y1951" s="118" t="str">
        <f>+VLOOKUP(Agencia[[#This Row],[contenido]],Estructura!$E$4:$G$500,3,0)</f>
        <v>C-1015</v>
      </c>
      <c r="Z1951" s="118" t="str">
        <f>+VLOOKUP(Agencia[[#This Row],[Filtro Integrado]],Estructura!$I$4:$K$500,3,0)</f>
        <v>FI-993</v>
      </c>
      <c r="AA1951" s="118" t="str">
        <f>+VLOOKUP(Agencia[[#This Row],[Muestra]],Estructura!$M$4:$O$500,3,0)</f>
        <v>M-1164</v>
      </c>
    </row>
    <row r="1952" spans="1:27" ht="36" x14ac:dyDescent="0.3">
      <c r="A1952" s="21" t="s">
        <v>8219</v>
      </c>
      <c r="B1952" s="83">
        <v>990</v>
      </c>
      <c r="C1952" s="84" t="s">
        <v>401</v>
      </c>
      <c r="D1952" s="84" t="s">
        <v>4178</v>
      </c>
      <c r="E1952" s="114">
        <v>6</v>
      </c>
      <c r="F1952" s="90" t="s">
        <v>7026</v>
      </c>
      <c r="G1952" s="91" t="s">
        <v>3795</v>
      </c>
      <c r="H1952" s="98" t="s">
        <v>16</v>
      </c>
      <c r="I1952" s="99" t="s">
        <v>373</v>
      </c>
      <c r="J1952" s="83" t="s">
        <v>404</v>
      </c>
      <c r="K1952" s="89" t="s">
        <v>7027</v>
      </c>
      <c r="L1952" s="89" t="s">
        <v>865</v>
      </c>
      <c r="M1952" s="89" t="s">
        <v>7027</v>
      </c>
      <c r="N1952" s="89" t="s">
        <v>431</v>
      </c>
      <c r="O1952" s="92" t="s">
        <v>7047</v>
      </c>
      <c r="P1952" s="110"/>
      <c r="Q1952" s="85" t="s">
        <v>821</v>
      </c>
      <c r="R1952" s="92" t="s">
        <v>7048</v>
      </c>
      <c r="S1952" s="103" t="s">
        <v>7049</v>
      </c>
      <c r="T1952" s="88" t="s">
        <v>3740</v>
      </c>
      <c r="U1952" s="50" t="s">
        <v>7884</v>
      </c>
      <c r="V1952" s="118" t="str">
        <f>+Agencia[[#This Row],[idcoleccion]]&amp;"-"&amp;Agencia[[#This Row],[id]]</f>
        <v>990-1941</v>
      </c>
      <c r="W1952" s="121">
        <v>99200006</v>
      </c>
      <c r="X1952" s="118" t="str">
        <f>+VLOOKUP(Agencia[[#This Row],[tema]],Estructura!$A$4:$C$500,3,0)</f>
        <v>T-1092</v>
      </c>
      <c r="Y1952" s="118" t="str">
        <f>+VLOOKUP(Agencia[[#This Row],[contenido]],Estructura!$E$4:$G$500,3,0)</f>
        <v>C-1015</v>
      </c>
      <c r="Z1952" s="118" t="str">
        <f>+VLOOKUP(Agencia[[#This Row],[Filtro Integrado]],Estructura!$I$4:$K$500,3,0)</f>
        <v>FI-993</v>
      </c>
      <c r="AA1952" s="118" t="str">
        <f>+VLOOKUP(Agencia[[#This Row],[Muestra]],Estructura!$M$4:$O$500,3,0)</f>
        <v>M-1164</v>
      </c>
    </row>
    <row r="1953" spans="1:27" ht="36" x14ac:dyDescent="0.3">
      <c r="A1953" s="21" t="s">
        <v>8220</v>
      </c>
      <c r="B1953" s="83">
        <v>990</v>
      </c>
      <c r="C1953" s="84" t="s">
        <v>401</v>
      </c>
      <c r="D1953" s="84" t="s">
        <v>4178</v>
      </c>
      <c r="E1953" s="114">
        <v>7</v>
      </c>
      <c r="F1953" s="90" t="s">
        <v>7026</v>
      </c>
      <c r="G1953" s="91" t="s">
        <v>3795</v>
      </c>
      <c r="H1953" s="98" t="s">
        <v>16</v>
      </c>
      <c r="I1953" s="99" t="s">
        <v>374</v>
      </c>
      <c r="J1953" s="83" t="s">
        <v>404</v>
      </c>
      <c r="K1953" s="89" t="s">
        <v>7027</v>
      </c>
      <c r="L1953" s="89" t="s">
        <v>865</v>
      </c>
      <c r="M1953" s="89" t="s">
        <v>7027</v>
      </c>
      <c r="N1953" s="89" t="s">
        <v>431</v>
      </c>
      <c r="O1953" s="92" t="s">
        <v>7050</v>
      </c>
      <c r="P1953" s="110"/>
      <c r="Q1953" s="85" t="s">
        <v>821</v>
      </c>
      <c r="R1953" s="92" t="s">
        <v>7051</v>
      </c>
      <c r="S1953" s="103" t="s">
        <v>7052</v>
      </c>
      <c r="T1953" s="88" t="s">
        <v>3738</v>
      </c>
      <c r="U1953" s="50" t="s">
        <v>7885</v>
      </c>
      <c r="V1953" s="118" t="str">
        <f>+Agencia[[#This Row],[idcoleccion]]&amp;"-"&amp;Agencia[[#This Row],[id]]</f>
        <v>990-1942</v>
      </c>
      <c r="W1953" s="121">
        <v>99200007</v>
      </c>
      <c r="X1953" s="118" t="str">
        <f>+VLOOKUP(Agencia[[#This Row],[tema]],Estructura!$A$4:$C$500,3,0)</f>
        <v>T-1092</v>
      </c>
      <c r="Y1953" s="118" t="str">
        <f>+VLOOKUP(Agencia[[#This Row],[contenido]],Estructura!$E$4:$G$500,3,0)</f>
        <v>C-1015</v>
      </c>
      <c r="Z1953" s="118" t="str">
        <f>+VLOOKUP(Agencia[[#This Row],[Filtro Integrado]],Estructura!$I$4:$K$500,3,0)</f>
        <v>FI-993</v>
      </c>
      <c r="AA1953" s="118" t="str">
        <f>+VLOOKUP(Agencia[[#This Row],[Muestra]],Estructura!$M$4:$O$500,3,0)</f>
        <v>M-1164</v>
      </c>
    </row>
    <row r="1954" spans="1:27" ht="36" x14ac:dyDescent="0.3">
      <c r="A1954" s="21" t="s">
        <v>8221</v>
      </c>
      <c r="B1954" s="83">
        <v>990</v>
      </c>
      <c r="C1954" s="84" t="s">
        <v>401</v>
      </c>
      <c r="D1954" s="84" t="s">
        <v>4178</v>
      </c>
      <c r="E1954" s="114">
        <v>8</v>
      </c>
      <c r="F1954" s="90" t="s">
        <v>7026</v>
      </c>
      <c r="G1954" s="91" t="s">
        <v>3795</v>
      </c>
      <c r="H1954" s="98" t="s">
        <v>16</v>
      </c>
      <c r="I1954" s="99" t="s">
        <v>375</v>
      </c>
      <c r="J1954" s="83" t="s">
        <v>404</v>
      </c>
      <c r="K1954" s="89" t="s">
        <v>7027</v>
      </c>
      <c r="L1954" s="89" t="s">
        <v>865</v>
      </c>
      <c r="M1954" s="89" t="s">
        <v>7027</v>
      </c>
      <c r="N1954" s="89" t="s">
        <v>431</v>
      </c>
      <c r="O1954" s="92" t="s">
        <v>7053</v>
      </c>
      <c r="P1954" s="110"/>
      <c r="Q1954" s="85" t="s">
        <v>821</v>
      </c>
      <c r="R1954" s="92" t="s">
        <v>7054</v>
      </c>
      <c r="S1954" s="103" t="s">
        <v>7055</v>
      </c>
      <c r="T1954" s="88" t="s">
        <v>3743</v>
      </c>
      <c r="U1954" s="50" t="s">
        <v>7886</v>
      </c>
      <c r="V1954" s="118" t="str">
        <f>+Agencia[[#This Row],[idcoleccion]]&amp;"-"&amp;Agencia[[#This Row],[id]]</f>
        <v>990-1943</v>
      </c>
      <c r="W1954" s="121">
        <v>99200008</v>
      </c>
      <c r="X1954" s="118" t="str">
        <f>+VLOOKUP(Agencia[[#This Row],[tema]],Estructura!$A$4:$C$500,3,0)</f>
        <v>T-1092</v>
      </c>
      <c r="Y1954" s="118" t="str">
        <f>+VLOOKUP(Agencia[[#This Row],[contenido]],Estructura!$E$4:$G$500,3,0)</f>
        <v>C-1015</v>
      </c>
      <c r="Z1954" s="118" t="str">
        <f>+VLOOKUP(Agencia[[#This Row],[Filtro Integrado]],Estructura!$I$4:$K$500,3,0)</f>
        <v>FI-993</v>
      </c>
      <c r="AA1954" s="118" t="str">
        <f>+VLOOKUP(Agencia[[#This Row],[Muestra]],Estructura!$M$4:$O$500,3,0)</f>
        <v>M-1164</v>
      </c>
    </row>
    <row r="1955" spans="1:27" ht="36" x14ac:dyDescent="0.3">
      <c r="A1955" s="21" t="s">
        <v>8222</v>
      </c>
      <c r="B1955" s="83">
        <v>990</v>
      </c>
      <c r="C1955" s="84" t="s">
        <v>401</v>
      </c>
      <c r="D1955" s="84" t="s">
        <v>4178</v>
      </c>
      <c r="E1955" s="114">
        <v>9</v>
      </c>
      <c r="F1955" s="90" t="s">
        <v>7026</v>
      </c>
      <c r="G1955" s="91" t="s">
        <v>3795</v>
      </c>
      <c r="H1955" s="98" t="s">
        <v>16</v>
      </c>
      <c r="I1955" s="99" t="s">
        <v>376</v>
      </c>
      <c r="J1955" s="83" t="s">
        <v>404</v>
      </c>
      <c r="K1955" s="89" t="s">
        <v>7027</v>
      </c>
      <c r="L1955" s="89" t="s">
        <v>865</v>
      </c>
      <c r="M1955" s="89" t="s">
        <v>7027</v>
      </c>
      <c r="N1955" s="89" t="s">
        <v>431</v>
      </c>
      <c r="O1955" s="92" t="s">
        <v>7056</v>
      </c>
      <c r="P1955" s="110"/>
      <c r="Q1955" s="85" t="s">
        <v>821</v>
      </c>
      <c r="R1955" s="92" t="s">
        <v>7057</v>
      </c>
      <c r="S1955" s="103" t="s">
        <v>7058</v>
      </c>
      <c r="T1955" s="88" t="s">
        <v>3734</v>
      </c>
      <c r="U1955" s="50" t="s">
        <v>7887</v>
      </c>
      <c r="V1955" s="118" t="str">
        <f>+Agencia[[#This Row],[idcoleccion]]&amp;"-"&amp;Agencia[[#This Row],[id]]</f>
        <v>990-1944</v>
      </c>
      <c r="W1955" s="121">
        <v>99200009</v>
      </c>
      <c r="X1955" s="118" t="str">
        <f>+VLOOKUP(Agencia[[#This Row],[tema]],Estructura!$A$4:$C$500,3,0)</f>
        <v>T-1092</v>
      </c>
      <c r="Y1955" s="118" t="str">
        <f>+VLOOKUP(Agencia[[#This Row],[contenido]],Estructura!$E$4:$G$500,3,0)</f>
        <v>C-1015</v>
      </c>
      <c r="Z1955" s="118" t="str">
        <f>+VLOOKUP(Agencia[[#This Row],[Filtro Integrado]],Estructura!$I$4:$K$500,3,0)</f>
        <v>FI-993</v>
      </c>
      <c r="AA1955" s="118" t="str">
        <f>+VLOOKUP(Agencia[[#This Row],[Muestra]],Estructura!$M$4:$O$500,3,0)</f>
        <v>M-1164</v>
      </c>
    </row>
    <row r="1956" spans="1:27" ht="36" x14ac:dyDescent="0.3">
      <c r="A1956" s="21" t="s">
        <v>8223</v>
      </c>
      <c r="B1956" s="83">
        <v>990</v>
      </c>
      <c r="C1956" s="84" t="s">
        <v>401</v>
      </c>
      <c r="D1956" s="84" t="s">
        <v>4178</v>
      </c>
      <c r="E1956" s="114">
        <v>10</v>
      </c>
      <c r="F1956" s="90" t="s">
        <v>7026</v>
      </c>
      <c r="G1956" s="91" t="s">
        <v>3795</v>
      </c>
      <c r="H1956" s="98" t="s">
        <v>16</v>
      </c>
      <c r="I1956" s="99" t="s">
        <v>377</v>
      </c>
      <c r="J1956" s="83" t="s">
        <v>404</v>
      </c>
      <c r="K1956" s="89" t="s">
        <v>7027</v>
      </c>
      <c r="L1956" s="89" t="s">
        <v>865</v>
      </c>
      <c r="M1956" s="89" t="s">
        <v>7027</v>
      </c>
      <c r="N1956" s="89" t="s">
        <v>431</v>
      </c>
      <c r="O1956" s="92" t="s">
        <v>7059</v>
      </c>
      <c r="P1956" s="110"/>
      <c r="Q1956" s="85" t="s">
        <v>821</v>
      </c>
      <c r="R1956" s="92" t="s">
        <v>7060</v>
      </c>
      <c r="S1956" s="103" t="s">
        <v>7061</v>
      </c>
      <c r="T1956" s="88" t="s">
        <v>3735</v>
      </c>
      <c r="U1956" s="50" t="s">
        <v>7888</v>
      </c>
      <c r="V1956" s="118" t="str">
        <f>+Agencia[[#This Row],[idcoleccion]]&amp;"-"&amp;Agencia[[#This Row],[id]]</f>
        <v>990-1945</v>
      </c>
      <c r="W1956" s="121">
        <v>99200010</v>
      </c>
      <c r="X1956" s="118" t="str">
        <f>+VLOOKUP(Agencia[[#This Row],[tema]],Estructura!$A$4:$C$500,3,0)</f>
        <v>T-1092</v>
      </c>
      <c r="Y1956" s="118" t="str">
        <f>+VLOOKUP(Agencia[[#This Row],[contenido]],Estructura!$E$4:$G$500,3,0)</f>
        <v>C-1015</v>
      </c>
      <c r="Z1956" s="118" t="str">
        <f>+VLOOKUP(Agencia[[#This Row],[Filtro Integrado]],Estructura!$I$4:$K$500,3,0)</f>
        <v>FI-993</v>
      </c>
      <c r="AA1956" s="118" t="str">
        <f>+VLOOKUP(Agencia[[#This Row],[Muestra]],Estructura!$M$4:$O$500,3,0)</f>
        <v>M-1164</v>
      </c>
    </row>
    <row r="1957" spans="1:27" ht="36" x14ac:dyDescent="0.3">
      <c r="A1957" s="21" t="s">
        <v>8224</v>
      </c>
      <c r="B1957" s="83">
        <v>990</v>
      </c>
      <c r="C1957" s="84" t="s">
        <v>401</v>
      </c>
      <c r="D1957" s="84" t="s">
        <v>4178</v>
      </c>
      <c r="E1957" s="114">
        <v>11</v>
      </c>
      <c r="F1957" s="90" t="s">
        <v>7026</v>
      </c>
      <c r="G1957" s="91" t="s">
        <v>3795</v>
      </c>
      <c r="H1957" s="98" t="s">
        <v>16</v>
      </c>
      <c r="I1957" s="99" t="s">
        <v>378</v>
      </c>
      <c r="J1957" s="83" t="s">
        <v>404</v>
      </c>
      <c r="K1957" s="89" t="s">
        <v>7027</v>
      </c>
      <c r="L1957" s="89" t="s">
        <v>865</v>
      </c>
      <c r="M1957" s="89" t="s">
        <v>7027</v>
      </c>
      <c r="N1957" s="89" t="s">
        <v>431</v>
      </c>
      <c r="O1957" s="92" t="s">
        <v>7062</v>
      </c>
      <c r="P1957" s="110"/>
      <c r="Q1957" s="85" t="s">
        <v>821</v>
      </c>
      <c r="R1957" s="92" t="s">
        <v>7063</v>
      </c>
      <c r="S1957" s="103" t="s">
        <v>7064</v>
      </c>
      <c r="T1957" s="88" t="s">
        <v>3732</v>
      </c>
      <c r="U1957" s="50" t="s">
        <v>7889</v>
      </c>
      <c r="V1957" s="118" t="str">
        <f>+Agencia[[#This Row],[idcoleccion]]&amp;"-"&amp;Agencia[[#This Row],[id]]</f>
        <v>990-1946</v>
      </c>
      <c r="W1957" s="121">
        <v>99200011</v>
      </c>
      <c r="X1957" s="118" t="str">
        <f>+VLOOKUP(Agencia[[#This Row],[tema]],Estructura!$A$4:$C$500,3,0)</f>
        <v>T-1092</v>
      </c>
      <c r="Y1957" s="118" t="str">
        <f>+VLOOKUP(Agencia[[#This Row],[contenido]],Estructura!$E$4:$G$500,3,0)</f>
        <v>C-1015</v>
      </c>
      <c r="Z1957" s="118" t="str">
        <f>+VLOOKUP(Agencia[[#This Row],[Filtro Integrado]],Estructura!$I$4:$K$500,3,0)</f>
        <v>FI-993</v>
      </c>
      <c r="AA1957" s="118" t="str">
        <f>+VLOOKUP(Agencia[[#This Row],[Muestra]],Estructura!$M$4:$O$500,3,0)</f>
        <v>M-1164</v>
      </c>
    </row>
    <row r="1958" spans="1:27" ht="36" x14ac:dyDescent="0.3">
      <c r="A1958" s="21" t="s">
        <v>8225</v>
      </c>
      <c r="B1958" s="83">
        <v>990</v>
      </c>
      <c r="C1958" s="84" t="s">
        <v>401</v>
      </c>
      <c r="D1958" s="84" t="s">
        <v>4178</v>
      </c>
      <c r="E1958" s="114">
        <v>12</v>
      </c>
      <c r="F1958" s="90" t="s">
        <v>7026</v>
      </c>
      <c r="G1958" s="91" t="s">
        <v>3795</v>
      </c>
      <c r="H1958" s="98" t="s">
        <v>16</v>
      </c>
      <c r="I1958" s="99" t="s">
        <v>379</v>
      </c>
      <c r="J1958" s="83" t="s">
        <v>404</v>
      </c>
      <c r="K1958" s="89" t="s">
        <v>7027</v>
      </c>
      <c r="L1958" s="89" t="s">
        <v>865</v>
      </c>
      <c r="M1958" s="89" t="s">
        <v>7027</v>
      </c>
      <c r="N1958" s="89" t="s">
        <v>431</v>
      </c>
      <c r="O1958" s="92" t="s">
        <v>7065</v>
      </c>
      <c r="P1958" s="110"/>
      <c r="Q1958" s="85" t="s">
        <v>821</v>
      </c>
      <c r="R1958" s="92" t="s">
        <v>7066</v>
      </c>
      <c r="S1958" s="103" t="s">
        <v>7067</v>
      </c>
      <c r="T1958" s="88" t="s">
        <v>3737</v>
      </c>
      <c r="U1958" s="50" t="s">
        <v>7890</v>
      </c>
      <c r="V1958" s="118" t="str">
        <f>+Agencia[[#This Row],[idcoleccion]]&amp;"-"&amp;Agencia[[#This Row],[id]]</f>
        <v>990-1947</v>
      </c>
      <c r="W1958" s="121">
        <v>99200012</v>
      </c>
      <c r="X1958" s="118" t="str">
        <f>+VLOOKUP(Agencia[[#This Row],[tema]],Estructura!$A$4:$C$500,3,0)</f>
        <v>T-1092</v>
      </c>
      <c r="Y1958" s="118" t="str">
        <f>+VLOOKUP(Agencia[[#This Row],[contenido]],Estructura!$E$4:$G$500,3,0)</f>
        <v>C-1015</v>
      </c>
      <c r="Z1958" s="118" t="str">
        <f>+VLOOKUP(Agencia[[#This Row],[Filtro Integrado]],Estructura!$I$4:$K$500,3,0)</f>
        <v>FI-993</v>
      </c>
      <c r="AA1958" s="118" t="str">
        <f>+VLOOKUP(Agencia[[#This Row],[Muestra]],Estructura!$M$4:$O$500,3,0)</f>
        <v>M-1164</v>
      </c>
    </row>
    <row r="1959" spans="1:27" ht="36" x14ac:dyDescent="0.3">
      <c r="A1959" s="21" t="s">
        <v>8226</v>
      </c>
      <c r="B1959" s="83">
        <v>990</v>
      </c>
      <c r="C1959" s="84" t="s">
        <v>401</v>
      </c>
      <c r="D1959" s="84" t="s">
        <v>4178</v>
      </c>
      <c r="E1959" s="114">
        <v>13</v>
      </c>
      <c r="F1959" s="90" t="s">
        <v>7026</v>
      </c>
      <c r="G1959" s="91" t="s">
        <v>3795</v>
      </c>
      <c r="H1959" s="98" t="s">
        <v>16</v>
      </c>
      <c r="I1959" s="99" t="s">
        <v>380</v>
      </c>
      <c r="J1959" s="83" t="s">
        <v>404</v>
      </c>
      <c r="K1959" s="89" t="s">
        <v>7027</v>
      </c>
      <c r="L1959" s="89" t="s">
        <v>865</v>
      </c>
      <c r="M1959" s="89" t="s">
        <v>7027</v>
      </c>
      <c r="N1959" s="89" t="s">
        <v>431</v>
      </c>
      <c r="O1959" s="92" t="s">
        <v>7068</v>
      </c>
      <c r="P1959" s="110"/>
      <c r="Q1959" s="85" t="s">
        <v>821</v>
      </c>
      <c r="R1959" s="92" t="s">
        <v>7069</v>
      </c>
      <c r="S1959" s="103" t="s">
        <v>7070</v>
      </c>
      <c r="T1959" s="88" t="s">
        <v>3744</v>
      </c>
      <c r="U1959" s="50" t="s">
        <v>7891</v>
      </c>
      <c r="V1959" s="118" t="str">
        <f>+Agencia[[#This Row],[idcoleccion]]&amp;"-"&amp;Agencia[[#This Row],[id]]</f>
        <v>990-1948</v>
      </c>
      <c r="W1959" s="121">
        <v>99200013</v>
      </c>
      <c r="X1959" s="118" t="str">
        <f>+VLOOKUP(Agencia[[#This Row],[tema]],Estructura!$A$4:$C$500,3,0)</f>
        <v>T-1092</v>
      </c>
      <c r="Y1959" s="118" t="str">
        <f>+VLOOKUP(Agencia[[#This Row],[contenido]],Estructura!$E$4:$G$500,3,0)</f>
        <v>C-1015</v>
      </c>
      <c r="Z1959" s="118" t="str">
        <f>+VLOOKUP(Agencia[[#This Row],[Filtro Integrado]],Estructura!$I$4:$K$500,3,0)</f>
        <v>FI-993</v>
      </c>
      <c r="AA1959" s="118" t="str">
        <f>+VLOOKUP(Agencia[[#This Row],[Muestra]],Estructura!$M$4:$O$500,3,0)</f>
        <v>M-1164</v>
      </c>
    </row>
    <row r="1960" spans="1:27" ht="36" x14ac:dyDescent="0.3">
      <c r="A1960" s="21" t="s">
        <v>8227</v>
      </c>
      <c r="B1960" s="83">
        <v>990</v>
      </c>
      <c r="C1960" s="84" t="s">
        <v>401</v>
      </c>
      <c r="D1960" s="84" t="s">
        <v>4178</v>
      </c>
      <c r="E1960" s="114">
        <v>14</v>
      </c>
      <c r="F1960" s="90" t="s">
        <v>7026</v>
      </c>
      <c r="G1960" s="91" t="s">
        <v>3795</v>
      </c>
      <c r="H1960" s="98" t="s">
        <v>16</v>
      </c>
      <c r="I1960" s="99" t="s">
        <v>381</v>
      </c>
      <c r="J1960" s="83" t="s">
        <v>404</v>
      </c>
      <c r="K1960" s="89" t="s">
        <v>7027</v>
      </c>
      <c r="L1960" s="89" t="s">
        <v>865</v>
      </c>
      <c r="M1960" s="89" t="s">
        <v>7027</v>
      </c>
      <c r="N1960" s="89" t="s">
        <v>431</v>
      </c>
      <c r="O1960" s="92" t="s">
        <v>7071</v>
      </c>
      <c r="P1960" s="110"/>
      <c r="Q1960" s="85" t="s">
        <v>821</v>
      </c>
      <c r="R1960" s="92" t="s">
        <v>7072</v>
      </c>
      <c r="S1960" s="103" t="s">
        <v>7073</v>
      </c>
      <c r="T1960" s="88" t="s">
        <v>3736</v>
      </c>
      <c r="U1960" s="50" t="s">
        <v>7892</v>
      </c>
      <c r="V1960" s="118" t="str">
        <f>+Agencia[[#This Row],[idcoleccion]]&amp;"-"&amp;Agencia[[#This Row],[id]]</f>
        <v>990-1949</v>
      </c>
      <c r="W1960" s="121">
        <v>99200014</v>
      </c>
      <c r="X1960" s="118" t="str">
        <f>+VLOOKUP(Agencia[[#This Row],[tema]],Estructura!$A$4:$C$500,3,0)</f>
        <v>T-1092</v>
      </c>
      <c r="Y1960" s="118" t="str">
        <f>+VLOOKUP(Agencia[[#This Row],[contenido]],Estructura!$E$4:$G$500,3,0)</f>
        <v>C-1015</v>
      </c>
      <c r="Z1960" s="118" t="str">
        <f>+VLOOKUP(Agencia[[#This Row],[Filtro Integrado]],Estructura!$I$4:$K$500,3,0)</f>
        <v>FI-993</v>
      </c>
      <c r="AA1960" s="118" t="str">
        <f>+VLOOKUP(Agencia[[#This Row],[Muestra]],Estructura!$M$4:$O$500,3,0)</f>
        <v>M-1164</v>
      </c>
    </row>
    <row r="1961" spans="1:27" ht="36" x14ac:dyDescent="0.3">
      <c r="A1961" s="21" t="s">
        <v>8228</v>
      </c>
      <c r="B1961" s="83">
        <v>990</v>
      </c>
      <c r="C1961" s="84" t="s">
        <v>401</v>
      </c>
      <c r="D1961" s="84" t="s">
        <v>4178</v>
      </c>
      <c r="E1961" s="114">
        <v>15</v>
      </c>
      <c r="F1961" s="90" t="s">
        <v>7026</v>
      </c>
      <c r="G1961" s="91" t="s">
        <v>3795</v>
      </c>
      <c r="H1961" s="98" t="s">
        <v>16</v>
      </c>
      <c r="I1961" s="99" t="s">
        <v>382</v>
      </c>
      <c r="J1961" s="83" t="s">
        <v>404</v>
      </c>
      <c r="K1961" s="89" t="s">
        <v>7027</v>
      </c>
      <c r="L1961" s="89" t="s">
        <v>865</v>
      </c>
      <c r="M1961" s="89" t="s">
        <v>7027</v>
      </c>
      <c r="N1961" s="89" t="s">
        <v>431</v>
      </c>
      <c r="O1961" s="92" t="s">
        <v>7074</v>
      </c>
      <c r="P1961" s="110"/>
      <c r="Q1961" s="85" t="s">
        <v>821</v>
      </c>
      <c r="R1961" s="92" t="s">
        <v>7075</v>
      </c>
      <c r="S1961" s="103" t="s">
        <v>7076</v>
      </c>
      <c r="T1961" s="88" t="s">
        <v>3730</v>
      </c>
      <c r="U1961" s="50" t="s">
        <v>7893</v>
      </c>
      <c r="V1961" s="118" t="str">
        <f>+Agencia[[#This Row],[idcoleccion]]&amp;"-"&amp;Agencia[[#This Row],[id]]</f>
        <v>990-1950</v>
      </c>
      <c r="W1961" s="121">
        <v>99200015</v>
      </c>
      <c r="X1961" s="118" t="str">
        <f>+VLOOKUP(Agencia[[#This Row],[tema]],Estructura!$A$4:$C$500,3,0)</f>
        <v>T-1092</v>
      </c>
      <c r="Y1961" s="118" t="str">
        <f>+VLOOKUP(Agencia[[#This Row],[contenido]],Estructura!$E$4:$G$500,3,0)</f>
        <v>C-1015</v>
      </c>
      <c r="Z1961" s="118" t="str">
        <f>+VLOOKUP(Agencia[[#This Row],[Filtro Integrado]],Estructura!$I$4:$K$500,3,0)</f>
        <v>FI-993</v>
      </c>
      <c r="AA1961" s="118" t="str">
        <f>+VLOOKUP(Agencia[[#This Row],[Muestra]],Estructura!$M$4:$O$500,3,0)</f>
        <v>M-1164</v>
      </c>
    </row>
    <row r="1962" spans="1:27" ht="36" x14ac:dyDescent="0.3">
      <c r="A1962" s="21" t="s">
        <v>8229</v>
      </c>
      <c r="B1962" s="89">
        <v>990</v>
      </c>
      <c r="C1962" s="90" t="s">
        <v>401</v>
      </c>
      <c r="D1962" s="90" t="s">
        <v>4178</v>
      </c>
      <c r="E1962" s="114">
        <v>16</v>
      </c>
      <c r="F1962" s="90" t="s">
        <v>7026</v>
      </c>
      <c r="G1962" s="91" t="s">
        <v>3795</v>
      </c>
      <c r="H1962" s="98" t="s">
        <v>16</v>
      </c>
      <c r="I1962" s="99" t="s">
        <v>383</v>
      </c>
      <c r="J1962" s="83" t="s">
        <v>404</v>
      </c>
      <c r="K1962" s="89" t="s">
        <v>7027</v>
      </c>
      <c r="L1962" s="89" t="s">
        <v>865</v>
      </c>
      <c r="M1962" s="89" t="s">
        <v>7027</v>
      </c>
      <c r="N1962" s="89" t="s">
        <v>431</v>
      </c>
      <c r="O1962" s="92" t="s">
        <v>7077</v>
      </c>
      <c r="P1962" s="109"/>
      <c r="Q1962" s="93" t="s">
        <v>821</v>
      </c>
      <c r="R1962" s="92" t="s">
        <v>7078</v>
      </c>
      <c r="S1962" s="103" t="s">
        <v>7079</v>
      </c>
      <c r="T1962" s="94" t="s">
        <v>3739</v>
      </c>
      <c r="U1962" s="50" t="s">
        <v>7894</v>
      </c>
      <c r="V1962" s="118" t="str">
        <f>+Agencia[[#This Row],[idcoleccion]]&amp;"-"&amp;Agencia[[#This Row],[id]]</f>
        <v>990-1951</v>
      </c>
      <c r="W1962" s="121">
        <v>99200016</v>
      </c>
      <c r="X1962" s="118" t="str">
        <f>+VLOOKUP(Agencia[[#This Row],[tema]],Estructura!$A$4:$C$500,3,0)</f>
        <v>T-1092</v>
      </c>
      <c r="Y1962" s="118" t="str">
        <f>+VLOOKUP(Agencia[[#This Row],[contenido]],Estructura!$E$4:$G$500,3,0)</f>
        <v>C-1015</v>
      </c>
      <c r="Z1962" s="118" t="str">
        <f>+VLOOKUP(Agencia[[#This Row],[Filtro Integrado]],Estructura!$I$4:$K$500,3,0)</f>
        <v>FI-993</v>
      </c>
      <c r="AA1962" s="118" t="str">
        <f>+VLOOKUP(Agencia[[#This Row],[Muestra]],Estructura!$M$4:$O$500,3,0)</f>
        <v>M-1164</v>
      </c>
    </row>
    <row r="1963" spans="1:27" ht="61.2" x14ac:dyDescent="0.3">
      <c r="A1963" s="21" t="s">
        <v>8230</v>
      </c>
      <c r="B1963" s="89">
        <v>990</v>
      </c>
      <c r="C1963" s="90" t="s">
        <v>401</v>
      </c>
      <c r="D1963" s="90" t="s">
        <v>574</v>
      </c>
      <c r="E1963" s="115">
        <v>0</v>
      </c>
      <c r="F1963" s="90" t="s">
        <v>1604</v>
      </c>
      <c r="G1963" s="91" t="s">
        <v>3784</v>
      </c>
      <c r="H1963" s="96" t="s">
        <v>20</v>
      </c>
      <c r="I1963" s="97" t="s">
        <v>15</v>
      </c>
      <c r="J1963" s="89" t="s">
        <v>404</v>
      </c>
      <c r="K1963" s="89" t="s">
        <v>7080</v>
      </c>
      <c r="L1963" s="89" t="s">
        <v>1677</v>
      </c>
      <c r="M1963" s="89" t="s">
        <v>1456</v>
      </c>
      <c r="N1963" s="89" t="s">
        <v>910</v>
      </c>
      <c r="O1963" s="92" t="s">
        <v>7081</v>
      </c>
      <c r="P1963" s="107" t="s">
        <v>7082</v>
      </c>
      <c r="Q1963" s="93" t="s">
        <v>821</v>
      </c>
      <c r="R1963" s="92" t="s">
        <v>7083</v>
      </c>
      <c r="S1963" s="104" t="s">
        <v>7084</v>
      </c>
      <c r="T1963" s="94">
        <v>0</v>
      </c>
      <c r="U1963" s="50" t="s">
        <v>7895</v>
      </c>
      <c r="V1963" s="118" t="str">
        <f>+Agencia[[#This Row],[idcoleccion]]&amp;"-"&amp;Agencia[[#This Row],[id]]</f>
        <v>990-1952</v>
      </c>
      <c r="W1963" s="121">
        <v>99100000</v>
      </c>
      <c r="X1963" s="118" t="str">
        <f>+VLOOKUP(Agencia[[#This Row],[tema]],Estructura!$A$4:$C$500,3,0)</f>
        <v>T-1015</v>
      </c>
      <c r="Y1963" s="118" t="str">
        <f>+VLOOKUP(Agencia[[#This Row],[contenido]],Estructura!$E$4:$G$500,3,0)</f>
        <v>C-1010</v>
      </c>
      <c r="Z1963" s="118" t="str">
        <f>+VLOOKUP(Agencia[[#This Row],[Filtro Integrado]],Estructura!$I$4:$K$500,3,0)</f>
        <v>FI-993</v>
      </c>
      <c r="AA1963" s="118" t="str">
        <f>+VLOOKUP(Agencia[[#This Row],[Muestra]],Estructura!$M$4:$O$500,3,0)</f>
        <v>M-1165</v>
      </c>
    </row>
    <row r="1964" spans="1:27" ht="91.8" x14ac:dyDescent="0.3">
      <c r="A1964" s="21" t="s">
        <v>8231</v>
      </c>
      <c r="B1964" s="89">
        <v>990</v>
      </c>
      <c r="C1964" s="90" t="s">
        <v>401</v>
      </c>
      <c r="D1964" s="90" t="s">
        <v>574</v>
      </c>
      <c r="E1964" s="115">
        <v>0</v>
      </c>
      <c r="F1964" s="90" t="s">
        <v>1604</v>
      </c>
      <c r="G1964" s="91" t="s">
        <v>3784</v>
      </c>
      <c r="H1964" s="96" t="s">
        <v>20</v>
      </c>
      <c r="I1964" s="97" t="s">
        <v>15</v>
      </c>
      <c r="J1964" s="89" t="s">
        <v>3823</v>
      </c>
      <c r="K1964" s="89" t="s">
        <v>7080</v>
      </c>
      <c r="L1964" s="89" t="s">
        <v>1677</v>
      </c>
      <c r="M1964" s="89" t="s">
        <v>1456</v>
      </c>
      <c r="N1964" s="89" t="s">
        <v>910</v>
      </c>
      <c r="O1964" s="92" t="s">
        <v>7085</v>
      </c>
      <c r="P1964" s="107" t="s">
        <v>7086</v>
      </c>
      <c r="Q1964" s="93" t="s">
        <v>821</v>
      </c>
      <c r="R1964" s="92" t="s">
        <v>7087</v>
      </c>
      <c r="S1964" s="104" t="s">
        <v>7088</v>
      </c>
      <c r="T1964" s="94" t="s">
        <v>855</v>
      </c>
      <c r="U1964" s="50" t="s">
        <v>7896</v>
      </c>
      <c r="V1964" s="118" t="str">
        <f>+Agencia[[#This Row],[idcoleccion]]&amp;"-"&amp;Agencia[[#This Row],[id]]</f>
        <v>990-1953</v>
      </c>
      <c r="W1964" s="121">
        <v>99100000</v>
      </c>
      <c r="X1964" s="118" t="str">
        <f>+VLOOKUP(Agencia[[#This Row],[tema]],Estructura!$A$4:$C$500,3,0)</f>
        <v>T-1015</v>
      </c>
      <c r="Y1964" s="118" t="str">
        <f>+VLOOKUP(Agencia[[#This Row],[contenido]],Estructura!$E$4:$G$500,3,0)</f>
        <v>C-1010</v>
      </c>
      <c r="Z1964" s="118" t="str">
        <f>+VLOOKUP(Agencia[[#This Row],[Filtro Integrado]],Estructura!$I$4:$K$500,3,0)</f>
        <v>FI-1003</v>
      </c>
      <c r="AA1964" s="118" t="str">
        <f>+VLOOKUP(Agencia[[#This Row],[Muestra]],Estructura!$M$4:$O$500,3,0)</f>
        <v>M-1165</v>
      </c>
    </row>
    <row r="1965" spans="1:27" ht="51" x14ac:dyDescent="0.3">
      <c r="A1965" s="21" t="s">
        <v>8232</v>
      </c>
      <c r="B1965" s="83">
        <v>990</v>
      </c>
      <c r="C1965" s="84" t="s">
        <v>401</v>
      </c>
      <c r="D1965" s="84" t="s">
        <v>574</v>
      </c>
      <c r="E1965" s="114">
        <v>1</v>
      </c>
      <c r="F1965" s="90" t="s">
        <v>1604</v>
      </c>
      <c r="G1965" s="91" t="s">
        <v>3784</v>
      </c>
      <c r="H1965" s="98" t="s">
        <v>16</v>
      </c>
      <c r="I1965" s="99" t="s">
        <v>368</v>
      </c>
      <c r="J1965" s="83" t="s">
        <v>1606</v>
      </c>
      <c r="K1965" s="89" t="s">
        <v>7080</v>
      </c>
      <c r="L1965" s="89" t="s">
        <v>1677</v>
      </c>
      <c r="M1965" s="89" t="s">
        <v>1456</v>
      </c>
      <c r="N1965" s="89" t="s">
        <v>910</v>
      </c>
      <c r="O1965" s="92" t="s">
        <v>7089</v>
      </c>
      <c r="P1965" s="110"/>
      <c r="Q1965" s="85" t="s">
        <v>821</v>
      </c>
      <c r="R1965" s="92" t="s">
        <v>7090</v>
      </c>
      <c r="S1965" s="103" t="s">
        <v>7091</v>
      </c>
      <c r="T1965" s="88" t="s">
        <v>3757</v>
      </c>
      <c r="U1965" s="50" t="s">
        <v>7897</v>
      </c>
      <c r="V1965" s="118" t="str">
        <f>+Agencia[[#This Row],[idcoleccion]]&amp;"-"&amp;Agencia[[#This Row],[id]]</f>
        <v>990-1954</v>
      </c>
      <c r="W1965" s="121">
        <v>99200001</v>
      </c>
      <c r="X1965" s="118" t="str">
        <f>+VLOOKUP(Agencia[[#This Row],[tema]],Estructura!$A$4:$C$500,3,0)</f>
        <v>T-1015</v>
      </c>
      <c r="Y1965" s="118" t="str">
        <f>+VLOOKUP(Agencia[[#This Row],[contenido]],Estructura!$E$4:$G$500,3,0)</f>
        <v>C-1010</v>
      </c>
      <c r="Z1965" s="118" t="str">
        <f>+VLOOKUP(Agencia[[#This Row],[Filtro Integrado]],Estructura!$I$4:$K$500,3,0)</f>
        <v>FI-1001</v>
      </c>
      <c r="AA1965" s="118" t="str">
        <f>+VLOOKUP(Agencia[[#This Row],[Muestra]],Estructura!$M$4:$O$500,3,0)</f>
        <v>M-1165</v>
      </c>
    </row>
    <row r="1966" spans="1:27" ht="51" x14ac:dyDescent="0.3">
      <c r="A1966" s="21" t="s">
        <v>8233</v>
      </c>
      <c r="B1966" s="83">
        <v>990</v>
      </c>
      <c r="C1966" s="84" t="s">
        <v>401</v>
      </c>
      <c r="D1966" s="84" t="s">
        <v>574</v>
      </c>
      <c r="E1966" s="114">
        <v>2</v>
      </c>
      <c r="F1966" s="90" t="s">
        <v>1604</v>
      </c>
      <c r="G1966" s="91" t="s">
        <v>3784</v>
      </c>
      <c r="H1966" s="98" t="s">
        <v>16</v>
      </c>
      <c r="I1966" s="99" t="s">
        <v>369</v>
      </c>
      <c r="J1966" s="83" t="s">
        <v>1606</v>
      </c>
      <c r="K1966" s="89" t="s">
        <v>7080</v>
      </c>
      <c r="L1966" s="89" t="s">
        <v>1677</v>
      </c>
      <c r="M1966" s="89" t="s">
        <v>1456</v>
      </c>
      <c r="N1966" s="89" t="s">
        <v>910</v>
      </c>
      <c r="O1966" s="92" t="s">
        <v>7092</v>
      </c>
      <c r="P1966" s="110"/>
      <c r="Q1966" s="85" t="s">
        <v>821</v>
      </c>
      <c r="R1966" s="92" t="s">
        <v>7093</v>
      </c>
      <c r="S1966" s="103" t="s">
        <v>7094</v>
      </c>
      <c r="T1966" s="88" t="s">
        <v>3745</v>
      </c>
      <c r="U1966" s="50" t="s">
        <v>7898</v>
      </c>
      <c r="V1966" s="118" t="str">
        <f>+Agencia[[#This Row],[idcoleccion]]&amp;"-"&amp;Agencia[[#This Row],[id]]</f>
        <v>990-1955</v>
      </c>
      <c r="W1966" s="121">
        <v>99200002</v>
      </c>
      <c r="X1966" s="118" t="str">
        <f>+VLOOKUP(Agencia[[#This Row],[tema]],Estructura!$A$4:$C$500,3,0)</f>
        <v>T-1015</v>
      </c>
      <c r="Y1966" s="118" t="str">
        <f>+VLOOKUP(Agencia[[#This Row],[contenido]],Estructura!$E$4:$G$500,3,0)</f>
        <v>C-1010</v>
      </c>
      <c r="Z1966" s="118" t="str">
        <f>+VLOOKUP(Agencia[[#This Row],[Filtro Integrado]],Estructura!$I$4:$K$500,3,0)</f>
        <v>FI-1001</v>
      </c>
      <c r="AA1966" s="118" t="str">
        <f>+VLOOKUP(Agencia[[#This Row],[Muestra]],Estructura!$M$4:$O$500,3,0)</f>
        <v>M-1165</v>
      </c>
    </row>
    <row r="1967" spans="1:27" ht="51" x14ac:dyDescent="0.3">
      <c r="A1967" s="21" t="s">
        <v>8234</v>
      </c>
      <c r="B1967" s="83">
        <v>990</v>
      </c>
      <c r="C1967" s="84" t="s">
        <v>401</v>
      </c>
      <c r="D1967" s="84" t="s">
        <v>574</v>
      </c>
      <c r="E1967" s="114">
        <v>3</v>
      </c>
      <c r="F1967" s="90" t="s">
        <v>1604</v>
      </c>
      <c r="G1967" s="91" t="s">
        <v>3784</v>
      </c>
      <c r="H1967" s="98" t="s">
        <v>16</v>
      </c>
      <c r="I1967" s="99" t="s">
        <v>370</v>
      </c>
      <c r="J1967" s="83" t="s">
        <v>1606</v>
      </c>
      <c r="K1967" s="89" t="s">
        <v>7080</v>
      </c>
      <c r="L1967" s="89" t="s">
        <v>1677</v>
      </c>
      <c r="M1967" s="89" t="s">
        <v>1456</v>
      </c>
      <c r="N1967" s="89" t="s">
        <v>910</v>
      </c>
      <c r="O1967" s="92" t="s">
        <v>7095</v>
      </c>
      <c r="P1967" s="110"/>
      <c r="Q1967" s="85" t="s">
        <v>821</v>
      </c>
      <c r="R1967" s="92" t="s">
        <v>7096</v>
      </c>
      <c r="S1967" s="103" t="s">
        <v>7097</v>
      </c>
      <c r="T1967" s="88" t="s">
        <v>3747</v>
      </c>
      <c r="U1967" s="50" t="s">
        <v>7899</v>
      </c>
      <c r="V1967" s="118" t="str">
        <f>+Agencia[[#This Row],[idcoleccion]]&amp;"-"&amp;Agencia[[#This Row],[id]]</f>
        <v>990-1956</v>
      </c>
      <c r="W1967" s="121">
        <v>99200003</v>
      </c>
      <c r="X1967" s="118" t="str">
        <f>+VLOOKUP(Agencia[[#This Row],[tema]],Estructura!$A$4:$C$500,3,0)</f>
        <v>T-1015</v>
      </c>
      <c r="Y1967" s="118" t="str">
        <f>+VLOOKUP(Agencia[[#This Row],[contenido]],Estructura!$E$4:$G$500,3,0)</f>
        <v>C-1010</v>
      </c>
      <c r="Z1967" s="118" t="str">
        <f>+VLOOKUP(Agencia[[#This Row],[Filtro Integrado]],Estructura!$I$4:$K$500,3,0)</f>
        <v>FI-1001</v>
      </c>
      <c r="AA1967" s="118" t="str">
        <f>+VLOOKUP(Agencia[[#This Row],[Muestra]],Estructura!$M$4:$O$500,3,0)</f>
        <v>M-1165</v>
      </c>
    </row>
    <row r="1968" spans="1:27" ht="51" x14ac:dyDescent="0.3">
      <c r="A1968" s="21" t="s">
        <v>8235</v>
      </c>
      <c r="B1968" s="83">
        <v>990</v>
      </c>
      <c r="C1968" s="84" t="s">
        <v>401</v>
      </c>
      <c r="D1968" s="84" t="s">
        <v>574</v>
      </c>
      <c r="E1968" s="114">
        <v>4</v>
      </c>
      <c r="F1968" s="90" t="s">
        <v>1604</v>
      </c>
      <c r="G1968" s="91" t="s">
        <v>3784</v>
      </c>
      <c r="H1968" s="98" t="s">
        <v>16</v>
      </c>
      <c r="I1968" s="99" t="s">
        <v>371</v>
      </c>
      <c r="J1968" s="83" t="s">
        <v>1606</v>
      </c>
      <c r="K1968" s="89" t="s">
        <v>7080</v>
      </c>
      <c r="L1968" s="89" t="s">
        <v>1677</v>
      </c>
      <c r="M1968" s="89" t="s">
        <v>1456</v>
      </c>
      <c r="N1968" s="89" t="s">
        <v>910</v>
      </c>
      <c r="O1968" s="92" t="s">
        <v>7098</v>
      </c>
      <c r="P1968" s="110"/>
      <c r="Q1968" s="85" t="s">
        <v>821</v>
      </c>
      <c r="R1968" s="92" t="s">
        <v>7099</v>
      </c>
      <c r="S1968" s="103" t="s">
        <v>7100</v>
      </c>
      <c r="T1968" s="88" t="s">
        <v>3749</v>
      </c>
      <c r="U1968" s="50" t="s">
        <v>7900</v>
      </c>
      <c r="V1968" s="118" t="str">
        <f>+Agencia[[#This Row],[idcoleccion]]&amp;"-"&amp;Agencia[[#This Row],[id]]</f>
        <v>990-1957</v>
      </c>
      <c r="W1968" s="121">
        <v>99200004</v>
      </c>
      <c r="X1968" s="118" t="str">
        <f>+VLOOKUP(Agencia[[#This Row],[tema]],Estructura!$A$4:$C$500,3,0)</f>
        <v>T-1015</v>
      </c>
      <c r="Y1968" s="118" t="str">
        <f>+VLOOKUP(Agencia[[#This Row],[contenido]],Estructura!$E$4:$G$500,3,0)</f>
        <v>C-1010</v>
      </c>
      <c r="Z1968" s="118" t="str">
        <f>+VLOOKUP(Agencia[[#This Row],[Filtro Integrado]],Estructura!$I$4:$K$500,3,0)</f>
        <v>FI-1001</v>
      </c>
      <c r="AA1968" s="118" t="str">
        <f>+VLOOKUP(Agencia[[#This Row],[Muestra]],Estructura!$M$4:$O$500,3,0)</f>
        <v>M-1165</v>
      </c>
    </row>
    <row r="1969" spans="1:27" ht="51" x14ac:dyDescent="0.3">
      <c r="A1969" s="21" t="s">
        <v>8236</v>
      </c>
      <c r="B1969" s="83">
        <v>990</v>
      </c>
      <c r="C1969" s="84" t="s">
        <v>401</v>
      </c>
      <c r="D1969" s="84" t="s">
        <v>574</v>
      </c>
      <c r="E1969" s="114">
        <v>5</v>
      </c>
      <c r="F1969" s="90" t="s">
        <v>1604</v>
      </c>
      <c r="G1969" s="91" t="s">
        <v>3784</v>
      </c>
      <c r="H1969" s="98" t="s">
        <v>16</v>
      </c>
      <c r="I1969" s="99" t="s">
        <v>372</v>
      </c>
      <c r="J1969" s="83" t="s">
        <v>1606</v>
      </c>
      <c r="K1969" s="89" t="s">
        <v>7080</v>
      </c>
      <c r="L1969" s="89" t="s">
        <v>1677</v>
      </c>
      <c r="M1969" s="89" t="s">
        <v>1456</v>
      </c>
      <c r="N1969" s="89" t="s">
        <v>910</v>
      </c>
      <c r="O1969" s="92" t="s">
        <v>7101</v>
      </c>
      <c r="P1969" s="110"/>
      <c r="Q1969" s="85" t="s">
        <v>821</v>
      </c>
      <c r="R1969" s="92" t="s">
        <v>7102</v>
      </c>
      <c r="S1969" s="103" t="s">
        <v>7103</v>
      </c>
      <c r="T1969" s="88" t="s">
        <v>3758</v>
      </c>
      <c r="U1969" s="50" t="s">
        <v>7901</v>
      </c>
      <c r="V1969" s="118" t="str">
        <f>+Agencia[[#This Row],[idcoleccion]]&amp;"-"&amp;Agencia[[#This Row],[id]]</f>
        <v>990-1958</v>
      </c>
      <c r="W1969" s="121">
        <v>99200005</v>
      </c>
      <c r="X1969" s="118" t="str">
        <f>+VLOOKUP(Agencia[[#This Row],[tema]],Estructura!$A$4:$C$500,3,0)</f>
        <v>T-1015</v>
      </c>
      <c r="Y1969" s="118" t="str">
        <f>+VLOOKUP(Agencia[[#This Row],[contenido]],Estructura!$E$4:$G$500,3,0)</f>
        <v>C-1010</v>
      </c>
      <c r="Z1969" s="118" t="str">
        <f>+VLOOKUP(Agencia[[#This Row],[Filtro Integrado]],Estructura!$I$4:$K$500,3,0)</f>
        <v>FI-1001</v>
      </c>
      <c r="AA1969" s="118" t="str">
        <f>+VLOOKUP(Agencia[[#This Row],[Muestra]],Estructura!$M$4:$O$500,3,0)</f>
        <v>M-1165</v>
      </c>
    </row>
    <row r="1970" spans="1:27" ht="51" x14ac:dyDescent="0.3">
      <c r="A1970" s="21" t="s">
        <v>8237</v>
      </c>
      <c r="B1970" s="83">
        <v>990</v>
      </c>
      <c r="C1970" s="84" t="s">
        <v>401</v>
      </c>
      <c r="D1970" s="84" t="s">
        <v>574</v>
      </c>
      <c r="E1970" s="114">
        <v>6</v>
      </c>
      <c r="F1970" s="90" t="s">
        <v>1604</v>
      </c>
      <c r="G1970" s="91" t="s">
        <v>3784</v>
      </c>
      <c r="H1970" s="98" t="s">
        <v>16</v>
      </c>
      <c r="I1970" s="99" t="s">
        <v>373</v>
      </c>
      <c r="J1970" s="83" t="s">
        <v>1606</v>
      </c>
      <c r="K1970" s="89" t="s">
        <v>7080</v>
      </c>
      <c r="L1970" s="89" t="s">
        <v>1677</v>
      </c>
      <c r="M1970" s="89" t="s">
        <v>1456</v>
      </c>
      <c r="N1970" s="89" t="s">
        <v>910</v>
      </c>
      <c r="O1970" s="92" t="s">
        <v>7104</v>
      </c>
      <c r="P1970" s="110"/>
      <c r="Q1970" s="85" t="s">
        <v>821</v>
      </c>
      <c r="R1970" s="92" t="s">
        <v>7105</v>
      </c>
      <c r="S1970" s="103" t="s">
        <v>7106</v>
      </c>
      <c r="T1970" s="88" t="s">
        <v>3756</v>
      </c>
      <c r="U1970" s="50" t="s">
        <v>7902</v>
      </c>
      <c r="V1970" s="118" t="str">
        <f>+Agencia[[#This Row],[idcoleccion]]&amp;"-"&amp;Agencia[[#This Row],[id]]</f>
        <v>990-1959</v>
      </c>
      <c r="W1970" s="121">
        <v>99200006</v>
      </c>
      <c r="X1970" s="118" t="str">
        <f>+VLOOKUP(Agencia[[#This Row],[tema]],Estructura!$A$4:$C$500,3,0)</f>
        <v>T-1015</v>
      </c>
      <c r="Y1970" s="118" t="str">
        <f>+VLOOKUP(Agencia[[#This Row],[contenido]],Estructura!$E$4:$G$500,3,0)</f>
        <v>C-1010</v>
      </c>
      <c r="Z1970" s="118" t="str">
        <f>+VLOOKUP(Agencia[[#This Row],[Filtro Integrado]],Estructura!$I$4:$K$500,3,0)</f>
        <v>FI-1001</v>
      </c>
      <c r="AA1970" s="118" t="str">
        <f>+VLOOKUP(Agencia[[#This Row],[Muestra]],Estructura!$M$4:$O$500,3,0)</f>
        <v>M-1165</v>
      </c>
    </row>
    <row r="1971" spans="1:27" ht="51" x14ac:dyDescent="0.3">
      <c r="A1971" s="21" t="s">
        <v>8238</v>
      </c>
      <c r="B1971" s="83">
        <v>990</v>
      </c>
      <c r="C1971" s="84" t="s">
        <v>401</v>
      </c>
      <c r="D1971" s="84" t="s">
        <v>574</v>
      </c>
      <c r="E1971" s="114">
        <v>7</v>
      </c>
      <c r="F1971" s="90" t="s">
        <v>1604</v>
      </c>
      <c r="G1971" s="91" t="s">
        <v>3784</v>
      </c>
      <c r="H1971" s="98" t="s">
        <v>16</v>
      </c>
      <c r="I1971" s="99" t="s">
        <v>374</v>
      </c>
      <c r="J1971" s="83" t="s">
        <v>1606</v>
      </c>
      <c r="K1971" s="89" t="s">
        <v>7080</v>
      </c>
      <c r="L1971" s="89" t="s">
        <v>1677</v>
      </c>
      <c r="M1971" s="89" t="s">
        <v>1456</v>
      </c>
      <c r="N1971" s="89" t="s">
        <v>910</v>
      </c>
      <c r="O1971" s="92" t="s">
        <v>7107</v>
      </c>
      <c r="P1971" s="110"/>
      <c r="Q1971" s="85" t="s">
        <v>821</v>
      </c>
      <c r="R1971" s="92" t="s">
        <v>7108</v>
      </c>
      <c r="S1971" s="103" t="s">
        <v>7109</v>
      </c>
      <c r="T1971" s="88" t="s">
        <v>3754</v>
      </c>
      <c r="U1971" s="50" t="s">
        <v>7903</v>
      </c>
      <c r="V1971" s="118" t="str">
        <f>+Agencia[[#This Row],[idcoleccion]]&amp;"-"&amp;Agencia[[#This Row],[id]]</f>
        <v>990-1960</v>
      </c>
      <c r="W1971" s="121">
        <v>99200007</v>
      </c>
      <c r="X1971" s="118" t="str">
        <f>+VLOOKUP(Agencia[[#This Row],[tema]],Estructura!$A$4:$C$500,3,0)</f>
        <v>T-1015</v>
      </c>
      <c r="Y1971" s="118" t="str">
        <f>+VLOOKUP(Agencia[[#This Row],[contenido]],Estructura!$E$4:$G$500,3,0)</f>
        <v>C-1010</v>
      </c>
      <c r="Z1971" s="118" t="str">
        <f>+VLOOKUP(Agencia[[#This Row],[Filtro Integrado]],Estructura!$I$4:$K$500,3,0)</f>
        <v>FI-1001</v>
      </c>
      <c r="AA1971" s="118" t="str">
        <f>+VLOOKUP(Agencia[[#This Row],[Muestra]],Estructura!$M$4:$O$500,3,0)</f>
        <v>M-1165</v>
      </c>
    </row>
    <row r="1972" spans="1:27" ht="51" x14ac:dyDescent="0.3">
      <c r="A1972" s="21" t="s">
        <v>8239</v>
      </c>
      <c r="B1972" s="83">
        <v>990</v>
      </c>
      <c r="C1972" s="84" t="s">
        <v>401</v>
      </c>
      <c r="D1972" s="84" t="s">
        <v>574</v>
      </c>
      <c r="E1972" s="114">
        <v>8</v>
      </c>
      <c r="F1972" s="90" t="s">
        <v>1604</v>
      </c>
      <c r="G1972" s="91" t="s">
        <v>3784</v>
      </c>
      <c r="H1972" s="98" t="s">
        <v>16</v>
      </c>
      <c r="I1972" s="99" t="s">
        <v>375</v>
      </c>
      <c r="J1972" s="83" t="s">
        <v>1606</v>
      </c>
      <c r="K1972" s="89" t="s">
        <v>7080</v>
      </c>
      <c r="L1972" s="89" t="s">
        <v>1677</v>
      </c>
      <c r="M1972" s="89" t="s">
        <v>1456</v>
      </c>
      <c r="N1972" s="89" t="s">
        <v>910</v>
      </c>
      <c r="O1972" s="92" t="s">
        <v>7110</v>
      </c>
      <c r="P1972" s="110"/>
      <c r="Q1972" s="85" t="s">
        <v>821</v>
      </c>
      <c r="R1972" s="92" t="s">
        <v>7111</v>
      </c>
      <c r="S1972" s="103" t="s">
        <v>7112</v>
      </c>
      <c r="T1972" s="88" t="s">
        <v>3759</v>
      </c>
      <c r="U1972" s="50" t="s">
        <v>7904</v>
      </c>
      <c r="V1972" s="118" t="str">
        <f>+Agencia[[#This Row],[idcoleccion]]&amp;"-"&amp;Agencia[[#This Row],[id]]</f>
        <v>990-1961</v>
      </c>
      <c r="W1972" s="121">
        <v>99200008</v>
      </c>
      <c r="X1972" s="118" t="str">
        <f>+VLOOKUP(Agencia[[#This Row],[tema]],Estructura!$A$4:$C$500,3,0)</f>
        <v>T-1015</v>
      </c>
      <c r="Y1972" s="118" t="str">
        <f>+VLOOKUP(Agencia[[#This Row],[contenido]],Estructura!$E$4:$G$500,3,0)</f>
        <v>C-1010</v>
      </c>
      <c r="Z1972" s="118" t="str">
        <f>+VLOOKUP(Agencia[[#This Row],[Filtro Integrado]],Estructura!$I$4:$K$500,3,0)</f>
        <v>FI-1001</v>
      </c>
      <c r="AA1972" s="118" t="str">
        <f>+VLOOKUP(Agencia[[#This Row],[Muestra]],Estructura!$M$4:$O$500,3,0)</f>
        <v>M-1165</v>
      </c>
    </row>
    <row r="1973" spans="1:27" ht="51" x14ac:dyDescent="0.3">
      <c r="A1973" s="21" t="s">
        <v>8240</v>
      </c>
      <c r="B1973" s="83">
        <v>990</v>
      </c>
      <c r="C1973" s="84" t="s">
        <v>401</v>
      </c>
      <c r="D1973" s="84" t="s">
        <v>574</v>
      </c>
      <c r="E1973" s="114">
        <v>9</v>
      </c>
      <c r="F1973" s="90" t="s">
        <v>1604</v>
      </c>
      <c r="G1973" s="91" t="s">
        <v>3784</v>
      </c>
      <c r="H1973" s="98" t="s">
        <v>16</v>
      </c>
      <c r="I1973" s="99" t="s">
        <v>376</v>
      </c>
      <c r="J1973" s="83" t="s">
        <v>1606</v>
      </c>
      <c r="K1973" s="89" t="s">
        <v>7080</v>
      </c>
      <c r="L1973" s="89" t="s">
        <v>1677</v>
      </c>
      <c r="M1973" s="89" t="s">
        <v>1456</v>
      </c>
      <c r="N1973" s="89" t="s">
        <v>910</v>
      </c>
      <c r="O1973" s="92" t="s">
        <v>7113</v>
      </c>
      <c r="P1973" s="110"/>
      <c r="Q1973" s="85" t="s">
        <v>821</v>
      </c>
      <c r="R1973" s="92" t="s">
        <v>7114</v>
      </c>
      <c r="S1973" s="103" t="s">
        <v>7115</v>
      </c>
      <c r="T1973" s="88" t="s">
        <v>3750</v>
      </c>
      <c r="U1973" s="50" t="s">
        <v>7905</v>
      </c>
      <c r="V1973" s="118" t="str">
        <f>+Agencia[[#This Row],[idcoleccion]]&amp;"-"&amp;Agencia[[#This Row],[id]]</f>
        <v>990-1962</v>
      </c>
      <c r="W1973" s="121">
        <v>99200009</v>
      </c>
      <c r="X1973" s="118" t="str">
        <f>+VLOOKUP(Agencia[[#This Row],[tema]],Estructura!$A$4:$C$500,3,0)</f>
        <v>T-1015</v>
      </c>
      <c r="Y1973" s="118" t="str">
        <f>+VLOOKUP(Agencia[[#This Row],[contenido]],Estructura!$E$4:$G$500,3,0)</f>
        <v>C-1010</v>
      </c>
      <c r="Z1973" s="118" t="str">
        <f>+VLOOKUP(Agencia[[#This Row],[Filtro Integrado]],Estructura!$I$4:$K$500,3,0)</f>
        <v>FI-1001</v>
      </c>
      <c r="AA1973" s="118" t="str">
        <f>+VLOOKUP(Agencia[[#This Row],[Muestra]],Estructura!$M$4:$O$500,3,0)</f>
        <v>M-1165</v>
      </c>
    </row>
    <row r="1974" spans="1:27" ht="51" x14ac:dyDescent="0.3">
      <c r="A1974" s="21" t="s">
        <v>8241</v>
      </c>
      <c r="B1974" s="83">
        <v>990</v>
      </c>
      <c r="C1974" s="84" t="s">
        <v>401</v>
      </c>
      <c r="D1974" s="84" t="s">
        <v>574</v>
      </c>
      <c r="E1974" s="114">
        <v>10</v>
      </c>
      <c r="F1974" s="90" t="s">
        <v>1604</v>
      </c>
      <c r="G1974" s="91" t="s">
        <v>3784</v>
      </c>
      <c r="H1974" s="98" t="s">
        <v>16</v>
      </c>
      <c r="I1974" s="99" t="s">
        <v>377</v>
      </c>
      <c r="J1974" s="83" t="s">
        <v>1606</v>
      </c>
      <c r="K1974" s="89" t="s">
        <v>7080</v>
      </c>
      <c r="L1974" s="89" t="s">
        <v>1677</v>
      </c>
      <c r="M1974" s="89" t="s">
        <v>1456</v>
      </c>
      <c r="N1974" s="89" t="s">
        <v>910</v>
      </c>
      <c r="O1974" s="92" t="s">
        <v>7116</v>
      </c>
      <c r="P1974" s="110"/>
      <c r="Q1974" s="85" t="s">
        <v>821</v>
      </c>
      <c r="R1974" s="92" t="s">
        <v>7117</v>
      </c>
      <c r="S1974" s="103" t="s">
        <v>7118</v>
      </c>
      <c r="T1974" s="88" t="s">
        <v>3751</v>
      </c>
      <c r="U1974" s="50" t="s">
        <v>7906</v>
      </c>
      <c r="V1974" s="118" t="str">
        <f>+Agencia[[#This Row],[idcoleccion]]&amp;"-"&amp;Agencia[[#This Row],[id]]</f>
        <v>990-1963</v>
      </c>
      <c r="W1974" s="121">
        <v>99200010</v>
      </c>
      <c r="X1974" s="118" t="str">
        <f>+VLOOKUP(Agencia[[#This Row],[tema]],Estructura!$A$4:$C$500,3,0)</f>
        <v>T-1015</v>
      </c>
      <c r="Y1974" s="118" t="str">
        <f>+VLOOKUP(Agencia[[#This Row],[contenido]],Estructura!$E$4:$G$500,3,0)</f>
        <v>C-1010</v>
      </c>
      <c r="Z1974" s="118" t="str">
        <f>+VLOOKUP(Agencia[[#This Row],[Filtro Integrado]],Estructura!$I$4:$K$500,3,0)</f>
        <v>FI-1001</v>
      </c>
      <c r="AA1974" s="118" t="str">
        <f>+VLOOKUP(Agencia[[#This Row],[Muestra]],Estructura!$M$4:$O$500,3,0)</f>
        <v>M-1165</v>
      </c>
    </row>
    <row r="1975" spans="1:27" ht="51" x14ac:dyDescent="0.3">
      <c r="A1975" s="21" t="s">
        <v>8242</v>
      </c>
      <c r="B1975" s="83">
        <v>990</v>
      </c>
      <c r="C1975" s="84" t="s">
        <v>401</v>
      </c>
      <c r="D1975" s="84" t="s">
        <v>574</v>
      </c>
      <c r="E1975" s="114">
        <v>11</v>
      </c>
      <c r="F1975" s="90" t="s">
        <v>1604</v>
      </c>
      <c r="G1975" s="91" t="s">
        <v>3784</v>
      </c>
      <c r="H1975" s="98" t="s">
        <v>16</v>
      </c>
      <c r="I1975" s="99" t="s">
        <v>378</v>
      </c>
      <c r="J1975" s="83" t="s">
        <v>1606</v>
      </c>
      <c r="K1975" s="89" t="s">
        <v>7080</v>
      </c>
      <c r="L1975" s="89" t="s">
        <v>1677</v>
      </c>
      <c r="M1975" s="89" t="s">
        <v>1456</v>
      </c>
      <c r="N1975" s="89" t="s">
        <v>910</v>
      </c>
      <c r="O1975" s="92" t="s">
        <v>7119</v>
      </c>
      <c r="P1975" s="110"/>
      <c r="Q1975" s="85" t="s">
        <v>821</v>
      </c>
      <c r="R1975" s="92" t="s">
        <v>7120</v>
      </c>
      <c r="S1975" s="103" t="s">
        <v>7121</v>
      </c>
      <c r="T1975" s="88" t="s">
        <v>3748</v>
      </c>
      <c r="U1975" s="50" t="s">
        <v>7907</v>
      </c>
      <c r="V1975" s="118" t="str">
        <f>+Agencia[[#This Row],[idcoleccion]]&amp;"-"&amp;Agencia[[#This Row],[id]]</f>
        <v>990-1964</v>
      </c>
      <c r="W1975" s="121">
        <v>99200011</v>
      </c>
      <c r="X1975" s="118" t="str">
        <f>+VLOOKUP(Agencia[[#This Row],[tema]],Estructura!$A$4:$C$500,3,0)</f>
        <v>T-1015</v>
      </c>
      <c r="Y1975" s="118" t="str">
        <f>+VLOOKUP(Agencia[[#This Row],[contenido]],Estructura!$E$4:$G$500,3,0)</f>
        <v>C-1010</v>
      </c>
      <c r="Z1975" s="118" t="str">
        <f>+VLOOKUP(Agencia[[#This Row],[Filtro Integrado]],Estructura!$I$4:$K$500,3,0)</f>
        <v>FI-1001</v>
      </c>
      <c r="AA1975" s="118" t="str">
        <f>+VLOOKUP(Agencia[[#This Row],[Muestra]],Estructura!$M$4:$O$500,3,0)</f>
        <v>M-1165</v>
      </c>
    </row>
    <row r="1976" spans="1:27" ht="51" x14ac:dyDescent="0.3">
      <c r="A1976" s="21" t="s">
        <v>8243</v>
      </c>
      <c r="B1976" s="83">
        <v>990</v>
      </c>
      <c r="C1976" s="84" t="s">
        <v>401</v>
      </c>
      <c r="D1976" s="84" t="s">
        <v>574</v>
      </c>
      <c r="E1976" s="114">
        <v>12</v>
      </c>
      <c r="F1976" s="90" t="s">
        <v>1604</v>
      </c>
      <c r="G1976" s="91" t="s">
        <v>3784</v>
      </c>
      <c r="H1976" s="98" t="s">
        <v>16</v>
      </c>
      <c r="I1976" s="99" t="s">
        <v>379</v>
      </c>
      <c r="J1976" s="83" t="s">
        <v>1606</v>
      </c>
      <c r="K1976" s="89" t="s">
        <v>7080</v>
      </c>
      <c r="L1976" s="89" t="s">
        <v>1677</v>
      </c>
      <c r="M1976" s="89" t="s">
        <v>1456</v>
      </c>
      <c r="N1976" s="89" t="s">
        <v>910</v>
      </c>
      <c r="O1976" s="92" t="s">
        <v>7122</v>
      </c>
      <c r="P1976" s="110"/>
      <c r="Q1976" s="85" t="s">
        <v>821</v>
      </c>
      <c r="R1976" s="92" t="s">
        <v>7123</v>
      </c>
      <c r="S1976" s="103" t="s">
        <v>7124</v>
      </c>
      <c r="T1976" s="88" t="s">
        <v>3753</v>
      </c>
      <c r="U1976" s="50" t="s">
        <v>7908</v>
      </c>
      <c r="V1976" s="118" t="str">
        <f>+Agencia[[#This Row],[idcoleccion]]&amp;"-"&amp;Agencia[[#This Row],[id]]</f>
        <v>990-1965</v>
      </c>
      <c r="W1976" s="121">
        <v>99200012</v>
      </c>
      <c r="X1976" s="118" t="str">
        <f>+VLOOKUP(Agencia[[#This Row],[tema]],Estructura!$A$4:$C$500,3,0)</f>
        <v>T-1015</v>
      </c>
      <c r="Y1976" s="118" t="str">
        <f>+VLOOKUP(Agencia[[#This Row],[contenido]],Estructura!$E$4:$G$500,3,0)</f>
        <v>C-1010</v>
      </c>
      <c r="Z1976" s="118" t="str">
        <f>+VLOOKUP(Agencia[[#This Row],[Filtro Integrado]],Estructura!$I$4:$K$500,3,0)</f>
        <v>FI-1001</v>
      </c>
      <c r="AA1976" s="118" t="str">
        <f>+VLOOKUP(Agencia[[#This Row],[Muestra]],Estructura!$M$4:$O$500,3,0)</f>
        <v>M-1165</v>
      </c>
    </row>
    <row r="1977" spans="1:27" ht="51" x14ac:dyDescent="0.3">
      <c r="A1977" s="21" t="s">
        <v>8244</v>
      </c>
      <c r="B1977" s="83">
        <v>990</v>
      </c>
      <c r="C1977" s="84" t="s">
        <v>401</v>
      </c>
      <c r="D1977" s="84" t="s">
        <v>574</v>
      </c>
      <c r="E1977" s="114">
        <v>13</v>
      </c>
      <c r="F1977" s="90" t="s">
        <v>1604</v>
      </c>
      <c r="G1977" s="91" t="s">
        <v>3784</v>
      </c>
      <c r="H1977" s="98" t="s">
        <v>16</v>
      </c>
      <c r="I1977" s="99" t="s">
        <v>380</v>
      </c>
      <c r="J1977" s="83" t="s">
        <v>1606</v>
      </c>
      <c r="K1977" s="89" t="s">
        <v>7080</v>
      </c>
      <c r="L1977" s="89" t="s">
        <v>1677</v>
      </c>
      <c r="M1977" s="89" t="s">
        <v>1456</v>
      </c>
      <c r="N1977" s="89" t="s">
        <v>910</v>
      </c>
      <c r="O1977" s="92" t="s">
        <v>7125</v>
      </c>
      <c r="P1977" s="110"/>
      <c r="Q1977" s="85" t="s">
        <v>821</v>
      </c>
      <c r="R1977" s="92" t="s">
        <v>7126</v>
      </c>
      <c r="S1977" s="103" t="s">
        <v>7127</v>
      </c>
      <c r="T1977" s="88" t="s">
        <v>3760</v>
      </c>
      <c r="U1977" s="50" t="s">
        <v>7909</v>
      </c>
      <c r="V1977" s="118" t="str">
        <f>+Agencia[[#This Row],[idcoleccion]]&amp;"-"&amp;Agencia[[#This Row],[id]]</f>
        <v>990-1966</v>
      </c>
      <c r="W1977" s="121">
        <v>99200013</v>
      </c>
      <c r="X1977" s="118" t="str">
        <f>+VLOOKUP(Agencia[[#This Row],[tema]],Estructura!$A$4:$C$500,3,0)</f>
        <v>T-1015</v>
      </c>
      <c r="Y1977" s="118" t="str">
        <f>+VLOOKUP(Agencia[[#This Row],[contenido]],Estructura!$E$4:$G$500,3,0)</f>
        <v>C-1010</v>
      </c>
      <c r="Z1977" s="118" t="str">
        <f>+VLOOKUP(Agencia[[#This Row],[Filtro Integrado]],Estructura!$I$4:$K$500,3,0)</f>
        <v>FI-1001</v>
      </c>
      <c r="AA1977" s="118" t="str">
        <f>+VLOOKUP(Agencia[[#This Row],[Muestra]],Estructura!$M$4:$O$500,3,0)</f>
        <v>M-1165</v>
      </c>
    </row>
    <row r="1978" spans="1:27" ht="51" x14ac:dyDescent="0.3">
      <c r="A1978" s="21" t="s">
        <v>8245</v>
      </c>
      <c r="B1978" s="83">
        <v>990</v>
      </c>
      <c r="C1978" s="84" t="s">
        <v>401</v>
      </c>
      <c r="D1978" s="84" t="s">
        <v>574</v>
      </c>
      <c r="E1978" s="114">
        <v>14</v>
      </c>
      <c r="F1978" s="90" t="s">
        <v>1604</v>
      </c>
      <c r="G1978" s="91" t="s">
        <v>3784</v>
      </c>
      <c r="H1978" s="98" t="s">
        <v>16</v>
      </c>
      <c r="I1978" s="99" t="s">
        <v>381</v>
      </c>
      <c r="J1978" s="83" t="s">
        <v>1606</v>
      </c>
      <c r="K1978" s="89" t="s">
        <v>7080</v>
      </c>
      <c r="L1978" s="89" t="s">
        <v>1677</v>
      </c>
      <c r="M1978" s="89" t="s">
        <v>1456</v>
      </c>
      <c r="N1978" s="89" t="s">
        <v>910</v>
      </c>
      <c r="O1978" s="92" t="s">
        <v>7128</v>
      </c>
      <c r="P1978" s="110"/>
      <c r="Q1978" s="85" t="s">
        <v>821</v>
      </c>
      <c r="R1978" s="92" t="s">
        <v>7129</v>
      </c>
      <c r="S1978" s="103" t="s">
        <v>7130</v>
      </c>
      <c r="T1978" s="88" t="s">
        <v>3752</v>
      </c>
      <c r="U1978" s="50" t="s">
        <v>7910</v>
      </c>
      <c r="V1978" s="118" t="str">
        <f>+Agencia[[#This Row],[idcoleccion]]&amp;"-"&amp;Agencia[[#This Row],[id]]</f>
        <v>990-1967</v>
      </c>
      <c r="W1978" s="121">
        <v>99200014</v>
      </c>
      <c r="X1978" s="118" t="str">
        <f>+VLOOKUP(Agencia[[#This Row],[tema]],Estructura!$A$4:$C$500,3,0)</f>
        <v>T-1015</v>
      </c>
      <c r="Y1978" s="118" t="str">
        <f>+VLOOKUP(Agencia[[#This Row],[contenido]],Estructura!$E$4:$G$500,3,0)</f>
        <v>C-1010</v>
      </c>
      <c r="Z1978" s="118" t="str">
        <f>+VLOOKUP(Agencia[[#This Row],[Filtro Integrado]],Estructura!$I$4:$K$500,3,0)</f>
        <v>FI-1001</v>
      </c>
      <c r="AA1978" s="118" t="str">
        <f>+VLOOKUP(Agencia[[#This Row],[Muestra]],Estructura!$M$4:$O$500,3,0)</f>
        <v>M-1165</v>
      </c>
    </row>
    <row r="1979" spans="1:27" ht="51" x14ac:dyDescent="0.3">
      <c r="A1979" s="21" t="s">
        <v>8246</v>
      </c>
      <c r="B1979" s="83">
        <v>990</v>
      </c>
      <c r="C1979" s="84" t="s">
        <v>401</v>
      </c>
      <c r="D1979" s="84" t="s">
        <v>574</v>
      </c>
      <c r="E1979" s="114">
        <v>15</v>
      </c>
      <c r="F1979" s="90" t="s">
        <v>1604</v>
      </c>
      <c r="G1979" s="91" t="s">
        <v>3784</v>
      </c>
      <c r="H1979" s="98" t="s">
        <v>16</v>
      </c>
      <c r="I1979" s="99" t="s">
        <v>382</v>
      </c>
      <c r="J1979" s="83" t="s">
        <v>1606</v>
      </c>
      <c r="K1979" s="89" t="s">
        <v>7080</v>
      </c>
      <c r="L1979" s="89" t="s">
        <v>1677</v>
      </c>
      <c r="M1979" s="89" t="s">
        <v>1456</v>
      </c>
      <c r="N1979" s="89" t="s">
        <v>910</v>
      </c>
      <c r="O1979" s="92" t="s">
        <v>7131</v>
      </c>
      <c r="P1979" s="110"/>
      <c r="Q1979" s="85" t="s">
        <v>821</v>
      </c>
      <c r="R1979" s="92" t="s">
        <v>7132</v>
      </c>
      <c r="S1979" s="103" t="s">
        <v>7133</v>
      </c>
      <c r="T1979" s="88" t="s">
        <v>3746</v>
      </c>
      <c r="U1979" s="50" t="s">
        <v>7911</v>
      </c>
      <c r="V1979" s="118" t="str">
        <f>+Agencia[[#This Row],[idcoleccion]]&amp;"-"&amp;Agencia[[#This Row],[id]]</f>
        <v>990-1968</v>
      </c>
      <c r="W1979" s="121">
        <v>99200015</v>
      </c>
      <c r="X1979" s="118" t="str">
        <f>+VLOOKUP(Agencia[[#This Row],[tema]],Estructura!$A$4:$C$500,3,0)</f>
        <v>T-1015</v>
      </c>
      <c r="Y1979" s="118" t="str">
        <f>+VLOOKUP(Agencia[[#This Row],[contenido]],Estructura!$E$4:$G$500,3,0)</f>
        <v>C-1010</v>
      </c>
      <c r="Z1979" s="118" t="str">
        <f>+VLOOKUP(Agencia[[#This Row],[Filtro Integrado]],Estructura!$I$4:$K$500,3,0)</f>
        <v>FI-1001</v>
      </c>
      <c r="AA1979" s="118" t="str">
        <f>+VLOOKUP(Agencia[[#This Row],[Muestra]],Estructura!$M$4:$O$500,3,0)</f>
        <v>M-1165</v>
      </c>
    </row>
    <row r="1980" spans="1:27" ht="51" x14ac:dyDescent="0.3">
      <c r="A1980" s="21" t="s">
        <v>8247</v>
      </c>
      <c r="B1980" s="89">
        <v>990</v>
      </c>
      <c r="C1980" s="90" t="s">
        <v>401</v>
      </c>
      <c r="D1980" s="90" t="s">
        <v>574</v>
      </c>
      <c r="E1980" s="114">
        <v>16</v>
      </c>
      <c r="F1980" s="90" t="s">
        <v>1604</v>
      </c>
      <c r="G1980" s="91" t="s">
        <v>3784</v>
      </c>
      <c r="H1980" s="98" t="s">
        <v>16</v>
      </c>
      <c r="I1980" s="99" t="s">
        <v>383</v>
      </c>
      <c r="J1980" s="83" t="s">
        <v>1606</v>
      </c>
      <c r="K1980" s="89" t="s">
        <v>7080</v>
      </c>
      <c r="L1980" s="89" t="s">
        <v>1677</v>
      </c>
      <c r="M1980" s="89" t="s">
        <v>1456</v>
      </c>
      <c r="N1980" s="89" t="s">
        <v>910</v>
      </c>
      <c r="O1980" s="92" t="s">
        <v>7134</v>
      </c>
      <c r="P1980" s="109"/>
      <c r="Q1980" s="93" t="s">
        <v>821</v>
      </c>
      <c r="R1980" s="92" t="s">
        <v>7135</v>
      </c>
      <c r="S1980" s="103" t="s">
        <v>7136</v>
      </c>
      <c r="T1980" s="94" t="s">
        <v>3755</v>
      </c>
      <c r="U1980" s="50" t="s">
        <v>7912</v>
      </c>
      <c r="V1980" s="118" t="str">
        <f>+Agencia[[#This Row],[idcoleccion]]&amp;"-"&amp;Agencia[[#This Row],[id]]</f>
        <v>990-1969</v>
      </c>
      <c r="W1980" s="121">
        <v>99200016</v>
      </c>
      <c r="X1980" s="118" t="str">
        <f>+VLOOKUP(Agencia[[#This Row],[tema]],Estructura!$A$4:$C$500,3,0)</f>
        <v>T-1015</v>
      </c>
      <c r="Y1980" s="118" t="str">
        <f>+VLOOKUP(Agencia[[#This Row],[contenido]],Estructura!$E$4:$G$500,3,0)</f>
        <v>C-1010</v>
      </c>
      <c r="Z1980" s="118" t="str">
        <f>+VLOOKUP(Agencia[[#This Row],[Filtro Integrado]],Estructura!$I$4:$K$500,3,0)</f>
        <v>FI-1001</v>
      </c>
      <c r="AA1980" s="118" t="str">
        <f>+VLOOKUP(Agencia[[#This Row],[Muestra]],Estructura!$M$4:$O$500,3,0)</f>
        <v>M-1165</v>
      </c>
    </row>
    <row r="1981" spans="1:27" ht="61.2" x14ac:dyDescent="0.3">
      <c r="A1981" s="21" t="s">
        <v>8248</v>
      </c>
      <c r="B1981" s="89">
        <v>990</v>
      </c>
      <c r="C1981" s="90" t="s">
        <v>401</v>
      </c>
      <c r="D1981" s="90" t="s">
        <v>574</v>
      </c>
      <c r="E1981" s="115">
        <v>0</v>
      </c>
      <c r="F1981" s="90" t="s">
        <v>1604</v>
      </c>
      <c r="G1981" s="91" t="s">
        <v>3784</v>
      </c>
      <c r="H1981" s="96" t="s">
        <v>20</v>
      </c>
      <c r="I1981" s="97" t="s">
        <v>15</v>
      </c>
      <c r="J1981" s="89" t="s">
        <v>404</v>
      </c>
      <c r="K1981" s="89" t="s">
        <v>7080</v>
      </c>
      <c r="L1981" s="89" t="s">
        <v>1677</v>
      </c>
      <c r="M1981" s="89" t="s">
        <v>1456</v>
      </c>
      <c r="N1981" s="89" t="s">
        <v>910</v>
      </c>
      <c r="O1981" s="92" t="s">
        <v>7137</v>
      </c>
      <c r="P1981" s="107" t="s">
        <v>7138</v>
      </c>
      <c r="Q1981" s="93" t="s">
        <v>821</v>
      </c>
      <c r="R1981" s="92" t="s">
        <v>7139</v>
      </c>
      <c r="S1981" s="106" t="s">
        <v>7140</v>
      </c>
      <c r="T1981" s="94" t="s">
        <v>855</v>
      </c>
      <c r="U1981" s="50" t="s">
        <v>7913</v>
      </c>
      <c r="V1981" s="118" t="str">
        <f>+Agencia[[#This Row],[idcoleccion]]&amp;"-"&amp;Agencia[[#This Row],[id]]</f>
        <v>990-1970</v>
      </c>
      <c r="W1981" s="121">
        <v>99100000</v>
      </c>
      <c r="X1981" s="118" t="str">
        <f>+VLOOKUP(Agencia[[#This Row],[tema]],Estructura!$A$4:$C$500,3,0)</f>
        <v>T-1015</v>
      </c>
      <c r="Y1981" s="118" t="str">
        <f>+VLOOKUP(Agencia[[#This Row],[contenido]],Estructura!$E$4:$G$500,3,0)</f>
        <v>C-1010</v>
      </c>
      <c r="Z1981" s="118" t="str">
        <f>+VLOOKUP(Agencia[[#This Row],[Filtro Integrado]],Estructura!$I$4:$K$500,3,0)</f>
        <v>FI-993</v>
      </c>
      <c r="AA1981" s="118" t="str">
        <f>+VLOOKUP(Agencia[[#This Row],[Muestra]],Estructura!$M$4:$O$500,3,0)</f>
        <v>M-1165</v>
      </c>
    </row>
    <row r="1982" spans="1:27" ht="51" x14ac:dyDescent="0.3">
      <c r="A1982" s="21" t="s">
        <v>8249</v>
      </c>
      <c r="B1982" s="89">
        <v>990</v>
      </c>
      <c r="C1982" s="90" t="s">
        <v>401</v>
      </c>
      <c r="D1982" s="90" t="s">
        <v>574</v>
      </c>
      <c r="E1982" s="116">
        <v>1</v>
      </c>
      <c r="F1982" s="90" t="s">
        <v>1604</v>
      </c>
      <c r="G1982" s="91" t="s">
        <v>3784</v>
      </c>
      <c r="H1982" s="98" t="s">
        <v>16</v>
      </c>
      <c r="I1982" s="99" t="s">
        <v>368</v>
      </c>
      <c r="J1982" s="89" t="s">
        <v>404</v>
      </c>
      <c r="K1982" s="89" t="s">
        <v>7080</v>
      </c>
      <c r="L1982" s="89" t="s">
        <v>1677</v>
      </c>
      <c r="M1982" s="89" t="s">
        <v>1456</v>
      </c>
      <c r="N1982" s="89" t="s">
        <v>910</v>
      </c>
      <c r="O1982" s="92" t="s">
        <v>7141</v>
      </c>
      <c r="P1982" s="109"/>
      <c r="Q1982" s="93" t="s">
        <v>821</v>
      </c>
      <c r="R1982" s="92" t="s">
        <v>7142</v>
      </c>
      <c r="S1982" s="104" t="s">
        <v>7143</v>
      </c>
      <c r="T1982" s="94" t="s">
        <v>3757</v>
      </c>
      <c r="U1982" s="50" t="s">
        <v>7914</v>
      </c>
      <c r="V1982" s="118" t="str">
        <f>+Agencia[[#This Row],[idcoleccion]]&amp;"-"&amp;Agencia[[#This Row],[id]]</f>
        <v>990-1971</v>
      </c>
      <c r="W1982" s="121">
        <v>99200001</v>
      </c>
      <c r="X1982" s="118" t="str">
        <f>+VLOOKUP(Agencia[[#This Row],[tema]],Estructura!$A$4:$C$500,3,0)</f>
        <v>T-1015</v>
      </c>
      <c r="Y1982" s="118" t="str">
        <f>+VLOOKUP(Agencia[[#This Row],[contenido]],Estructura!$E$4:$G$500,3,0)</f>
        <v>C-1010</v>
      </c>
      <c r="Z1982" s="118" t="str">
        <f>+VLOOKUP(Agencia[[#This Row],[Filtro Integrado]],Estructura!$I$4:$K$500,3,0)</f>
        <v>FI-993</v>
      </c>
      <c r="AA1982" s="118" t="str">
        <f>+VLOOKUP(Agencia[[#This Row],[Muestra]],Estructura!$M$4:$O$500,3,0)</f>
        <v>M-1165</v>
      </c>
    </row>
    <row r="1983" spans="1:27" ht="51" x14ac:dyDescent="0.3">
      <c r="A1983" s="21" t="s">
        <v>8250</v>
      </c>
      <c r="B1983" s="83">
        <v>990</v>
      </c>
      <c r="C1983" s="84" t="s">
        <v>401</v>
      </c>
      <c r="D1983" s="84" t="s">
        <v>574</v>
      </c>
      <c r="E1983" s="114">
        <v>2</v>
      </c>
      <c r="F1983" s="90" t="s">
        <v>1604</v>
      </c>
      <c r="G1983" s="91" t="s">
        <v>3784</v>
      </c>
      <c r="H1983" s="98" t="s">
        <v>16</v>
      </c>
      <c r="I1983" s="99" t="s">
        <v>369</v>
      </c>
      <c r="J1983" s="89" t="s">
        <v>404</v>
      </c>
      <c r="K1983" s="89" t="s">
        <v>7080</v>
      </c>
      <c r="L1983" s="89" t="s">
        <v>1677</v>
      </c>
      <c r="M1983" s="89" t="s">
        <v>1456</v>
      </c>
      <c r="N1983" s="89" t="s">
        <v>910</v>
      </c>
      <c r="O1983" s="92" t="s">
        <v>7144</v>
      </c>
      <c r="P1983" s="110"/>
      <c r="Q1983" s="85" t="s">
        <v>821</v>
      </c>
      <c r="R1983" s="92" t="s">
        <v>7145</v>
      </c>
      <c r="S1983" s="104" t="s">
        <v>7146</v>
      </c>
      <c r="T1983" s="88" t="s">
        <v>3745</v>
      </c>
      <c r="U1983" s="50" t="s">
        <v>7915</v>
      </c>
      <c r="V1983" s="118" t="str">
        <f>+Agencia[[#This Row],[idcoleccion]]&amp;"-"&amp;Agencia[[#This Row],[id]]</f>
        <v>990-1972</v>
      </c>
      <c r="W1983" s="121">
        <v>99200002</v>
      </c>
      <c r="X1983" s="118" t="str">
        <f>+VLOOKUP(Agencia[[#This Row],[tema]],Estructura!$A$4:$C$500,3,0)</f>
        <v>T-1015</v>
      </c>
      <c r="Y1983" s="118" t="str">
        <f>+VLOOKUP(Agencia[[#This Row],[contenido]],Estructura!$E$4:$G$500,3,0)</f>
        <v>C-1010</v>
      </c>
      <c r="Z1983" s="118" t="str">
        <f>+VLOOKUP(Agencia[[#This Row],[Filtro Integrado]],Estructura!$I$4:$K$500,3,0)</f>
        <v>FI-993</v>
      </c>
      <c r="AA1983" s="118" t="str">
        <f>+VLOOKUP(Agencia[[#This Row],[Muestra]],Estructura!$M$4:$O$500,3,0)</f>
        <v>M-1165</v>
      </c>
    </row>
    <row r="1984" spans="1:27" ht="51" x14ac:dyDescent="0.3">
      <c r="A1984" s="21" t="s">
        <v>8251</v>
      </c>
      <c r="B1984" s="83">
        <v>990</v>
      </c>
      <c r="C1984" s="84" t="s">
        <v>401</v>
      </c>
      <c r="D1984" s="84" t="s">
        <v>574</v>
      </c>
      <c r="E1984" s="116">
        <v>3</v>
      </c>
      <c r="F1984" s="90" t="s">
        <v>1604</v>
      </c>
      <c r="G1984" s="91" t="s">
        <v>3784</v>
      </c>
      <c r="H1984" s="98" t="s">
        <v>16</v>
      </c>
      <c r="I1984" s="99" t="s">
        <v>370</v>
      </c>
      <c r="J1984" s="89" t="s">
        <v>404</v>
      </c>
      <c r="K1984" s="89" t="s">
        <v>7080</v>
      </c>
      <c r="L1984" s="89" t="s">
        <v>1677</v>
      </c>
      <c r="M1984" s="89" t="s">
        <v>1456</v>
      </c>
      <c r="N1984" s="89" t="s">
        <v>910</v>
      </c>
      <c r="O1984" s="92" t="s">
        <v>7147</v>
      </c>
      <c r="P1984" s="110"/>
      <c r="Q1984" s="85" t="s">
        <v>821</v>
      </c>
      <c r="R1984" s="92" t="s">
        <v>7148</v>
      </c>
      <c r="S1984" s="104" t="s">
        <v>7149</v>
      </c>
      <c r="T1984" s="88" t="s">
        <v>3747</v>
      </c>
      <c r="U1984" s="50" t="s">
        <v>7916</v>
      </c>
      <c r="V1984" s="118" t="str">
        <f>+Agencia[[#This Row],[idcoleccion]]&amp;"-"&amp;Agencia[[#This Row],[id]]</f>
        <v>990-1973</v>
      </c>
      <c r="W1984" s="121">
        <v>99200003</v>
      </c>
      <c r="X1984" s="118" t="str">
        <f>+VLOOKUP(Agencia[[#This Row],[tema]],Estructura!$A$4:$C$500,3,0)</f>
        <v>T-1015</v>
      </c>
      <c r="Y1984" s="118" t="str">
        <f>+VLOOKUP(Agencia[[#This Row],[contenido]],Estructura!$E$4:$G$500,3,0)</f>
        <v>C-1010</v>
      </c>
      <c r="Z1984" s="118" t="str">
        <f>+VLOOKUP(Agencia[[#This Row],[Filtro Integrado]],Estructura!$I$4:$K$500,3,0)</f>
        <v>FI-993</v>
      </c>
      <c r="AA1984" s="118" t="str">
        <f>+VLOOKUP(Agencia[[#This Row],[Muestra]],Estructura!$M$4:$O$500,3,0)</f>
        <v>M-1165</v>
      </c>
    </row>
    <row r="1985" spans="1:27" ht="51" x14ac:dyDescent="0.3">
      <c r="A1985" s="21" t="s">
        <v>8252</v>
      </c>
      <c r="B1985" s="83">
        <v>990</v>
      </c>
      <c r="C1985" s="84" t="s">
        <v>401</v>
      </c>
      <c r="D1985" s="84" t="s">
        <v>574</v>
      </c>
      <c r="E1985" s="114">
        <v>4</v>
      </c>
      <c r="F1985" s="90" t="s">
        <v>1604</v>
      </c>
      <c r="G1985" s="91" t="s">
        <v>3784</v>
      </c>
      <c r="H1985" s="98" t="s">
        <v>16</v>
      </c>
      <c r="I1985" s="99" t="s">
        <v>371</v>
      </c>
      <c r="J1985" s="89" t="s">
        <v>404</v>
      </c>
      <c r="K1985" s="89" t="s">
        <v>7080</v>
      </c>
      <c r="L1985" s="89" t="s">
        <v>1677</v>
      </c>
      <c r="M1985" s="89" t="s">
        <v>1456</v>
      </c>
      <c r="N1985" s="89" t="s">
        <v>910</v>
      </c>
      <c r="O1985" s="92" t="s">
        <v>7150</v>
      </c>
      <c r="P1985" s="110"/>
      <c r="Q1985" s="85" t="s">
        <v>821</v>
      </c>
      <c r="R1985" s="92" t="s">
        <v>7151</v>
      </c>
      <c r="S1985" s="104" t="s">
        <v>7152</v>
      </c>
      <c r="T1985" s="88" t="s">
        <v>3749</v>
      </c>
      <c r="U1985" s="50" t="s">
        <v>7917</v>
      </c>
      <c r="V1985" s="118" t="str">
        <f>+Agencia[[#This Row],[idcoleccion]]&amp;"-"&amp;Agencia[[#This Row],[id]]</f>
        <v>990-1974</v>
      </c>
      <c r="W1985" s="121">
        <v>99200004</v>
      </c>
      <c r="X1985" s="118" t="str">
        <f>+VLOOKUP(Agencia[[#This Row],[tema]],Estructura!$A$4:$C$500,3,0)</f>
        <v>T-1015</v>
      </c>
      <c r="Y1985" s="118" t="str">
        <f>+VLOOKUP(Agencia[[#This Row],[contenido]],Estructura!$E$4:$G$500,3,0)</f>
        <v>C-1010</v>
      </c>
      <c r="Z1985" s="118" t="str">
        <f>+VLOOKUP(Agencia[[#This Row],[Filtro Integrado]],Estructura!$I$4:$K$500,3,0)</f>
        <v>FI-993</v>
      </c>
      <c r="AA1985" s="118" t="str">
        <f>+VLOOKUP(Agencia[[#This Row],[Muestra]],Estructura!$M$4:$O$500,3,0)</f>
        <v>M-1165</v>
      </c>
    </row>
    <row r="1986" spans="1:27" ht="51" x14ac:dyDescent="0.3">
      <c r="A1986" s="21" t="s">
        <v>8253</v>
      </c>
      <c r="B1986" s="83">
        <v>990</v>
      </c>
      <c r="C1986" s="84" t="s">
        <v>401</v>
      </c>
      <c r="D1986" s="84" t="s">
        <v>574</v>
      </c>
      <c r="E1986" s="116">
        <v>5</v>
      </c>
      <c r="F1986" s="90" t="s">
        <v>1604</v>
      </c>
      <c r="G1986" s="91" t="s">
        <v>3784</v>
      </c>
      <c r="H1986" s="98" t="s">
        <v>16</v>
      </c>
      <c r="I1986" s="99" t="s">
        <v>372</v>
      </c>
      <c r="J1986" s="89" t="s">
        <v>404</v>
      </c>
      <c r="K1986" s="89" t="s">
        <v>7080</v>
      </c>
      <c r="L1986" s="89" t="s">
        <v>1677</v>
      </c>
      <c r="M1986" s="89" t="s">
        <v>1456</v>
      </c>
      <c r="N1986" s="89" t="s">
        <v>910</v>
      </c>
      <c r="O1986" s="92" t="s">
        <v>7153</v>
      </c>
      <c r="P1986" s="110"/>
      <c r="Q1986" s="85" t="s">
        <v>821</v>
      </c>
      <c r="R1986" s="92" t="s">
        <v>7154</v>
      </c>
      <c r="S1986" s="104" t="s">
        <v>7155</v>
      </c>
      <c r="T1986" s="88" t="s">
        <v>3758</v>
      </c>
      <c r="U1986" s="50" t="s">
        <v>7918</v>
      </c>
      <c r="V1986" s="118" t="str">
        <f>+Agencia[[#This Row],[idcoleccion]]&amp;"-"&amp;Agencia[[#This Row],[id]]</f>
        <v>990-1975</v>
      </c>
      <c r="W1986" s="121">
        <v>99200005</v>
      </c>
      <c r="X1986" s="118" t="str">
        <f>+VLOOKUP(Agencia[[#This Row],[tema]],Estructura!$A$4:$C$500,3,0)</f>
        <v>T-1015</v>
      </c>
      <c r="Y1986" s="118" t="str">
        <f>+VLOOKUP(Agencia[[#This Row],[contenido]],Estructura!$E$4:$G$500,3,0)</f>
        <v>C-1010</v>
      </c>
      <c r="Z1986" s="118" t="str">
        <f>+VLOOKUP(Agencia[[#This Row],[Filtro Integrado]],Estructura!$I$4:$K$500,3,0)</f>
        <v>FI-993</v>
      </c>
      <c r="AA1986" s="118" t="str">
        <f>+VLOOKUP(Agencia[[#This Row],[Muestra]],Estructura!$M$4:$O$500,3,0)</f>
        <v>M-1165</v>
      </c>
    </row>
    <row r="1987" spans="1:27" ht="51" x14ac:dyDescent="0.3">
      <c r="A1987" s="21" t="s">
        <v>8254</v>
      </c>
      <c r="B1987" s="83">
        <v>990</v>
      </c>
      <c r="C1987" s="84" t="s">
        <v>401</v>
      </c>
      <c r="D1987" s="84" t="s">
        <v>574</v>
      </c>
      <c r="E1987" s="114">
        <v>6</v>
      </c>
      <c r="F1987" s="90" t="s">
        <v>1604</v>
      </c>
      <c r="G1987" s="91" t="s">
        <v>3784</v>
      </c>
      <c r="H1987" s="98" t="s">
        <v>16</v>
      </c>
      <c r="I1987" s="99" t="s">
        <v>373</v>
      </c>
      <c r="J1987" s="89" t="s">
        <v>404</v>
      </c>
      <c r="K1987" s="89" t="s">
        <v>7080</v>
      </c>
      <c r="L1987" s="89" t="s">
        <v>1677</v>
      </c>
      <c r="M1987" s="89" t="s">
        <v>1456</v>
      </c>
      <c r="N1987" s="89" t="s">
        <v>910</v>
      </c>
      <c r="O1987" s="92" t="s">
        <v>7156</v>
      </c>
      <c r="P1987" s="110"/>
      <c r="Q1987" s="85" t="s">
        <v>821</v>
      </c>
      <c r="R1987" s="92" t="s">
        <v>7157</v>
      </c>
      <c r="S1987" s="104" t="s">
        <v>7158</v>
      </c>
      <c r="T1987" s="88" t="s">
        <v>3756</v>
      </c>
      <c r="U1987" s="50" t="s">
        <v>7919</v>
      </c>
      <c r="V1987" s="118" t="str">
        <f>+Agencia[[#This Row],[idcoleccion]]&amp;"-"&amp;Agencia[[#This Row],[id]]</f>
        <v>990-1976</v>
      </c>
      <c r="W1987" s="121">
        <v>99200006</v>
      </c>
      <c r="X1987" s="118" t="str">
        <f>+VLOOKUP(Agencia[[#This Row],[tema]],Estructura!$A$4:$C$500,3,0)</f>
        <v>T-1015</v>
      </c>
      <c r="Y1987" s="118" t="str">
        <f>+VLOOKUP(Agencia[[#This Row],[contenido]],Estructura!$E$4:$G$500,3,0)</f>
        <v>C-1010</v>
      </c>
      <c r="Z1987" s="118" t="str">
        <f>+VLOOKUP(Agencia[[#This Row],[Filtro Integrado]],Estructura!$I$4:$K$500,3,0)</f>
        <v>FI-993</v>
      </c>
      <c r="AA1987" s="118" t="str">
        <f>+VLOOKUP(Agencia[[#This Row],[Muestra]],Estructura!$M$4:$O$500,3,0)</f>
        <v>M-1165</v>
      </c>
    </row>
    <row r="1988" spans="1:27" ht="51" x14ac:dyDescent="0.3">
      <c r="A1988" s="21" t="s">
        <v>8255</v>
      </c>
      <c r="B1988" s="83">
        <v>990</v>
      </c>
      <c r="C1988" s="84" t="s">
        <v>401</v>
      </c>
      <c r="D1988" s="84" t="s">
        <v>574</v>
      </c>
      <c r="E1988" s="116">
        <v>7</v>
      </c>
      <c r="F1988" s="90" t="s">
        <v>1604</v>
      </c>
      <c r="G1988" s="91" t="s">
        <v>3784</v>
      </c>
      <c r="H1988" s="98" t="s">
        <v>16</v>
      </c>
      <c r="I1988" s="99" t="s">
        <v>374</v>
      </c>
      <c r="J1988" s="89" t="s">
        <v>404</v>
      </c>
      <c r="K1988" s="89" t="s">
        <v>7080</v>
      </c>
      <c r="L1988" s="89" t="s">
        <v>1677</v>
      </c>
      <c r="M1988" s="89" t="s">
        <v>1456</v>
      </c>
      <c r="N1988" s="89" t="s">
        <v>910</v>
      </c>
      <c r="O1988" s="92" t="s">
        <v>7159</v>
      </c>
      <c r="P1988" s="110"/>
      <c r="Q1988" s="85" t="s">
        <v>821</v>
      </c>
      <c r="R1988" s="92" t="s">
        <v>7160</v>
      </c>
      <c r="S1988" s="104" t="s">
        <v>7161</v>
      </c>
      <c r="T1988" s="88" t="s">
        <v>3754</v>
      </c>
      <c r="U1988" s="50" t="s">
        <v>7920</v>
      </c>
      <c r="V1988" s="118" t="str">
        <f>+Agencia[[#This Row],[idcoleccion]]&amp;"-"&amp;Agencia[[#This Row],[id]]</f>
        <v>990-1977</v>
      </c>
      <c r="W1988" s="121">
        <v>99200007</v>
      </c>
      <c r="X1988" s="118" t="str">
        <f>+VLOOKUP(Agencia[[#This Row],[tema]],Estructura!$A$4:$C$500,3,0)</f>
        <v>T-1015</v>
      </c>
      <c r="Y1988" s="118" t="str">
        <f>+VLOOKUP(Agencia[[#This Row],[contenido]],Estructura!$E$4:$G$500,3,0)</f>
        <v>C-1010</v>
      </c>
      <c r="Z1988" s="118" t="str">
        <f>+VLOOKUP(Agencia[[#This Row],[Filtro Integrado]],Estructura!$I$4:$K$500,3,0)</f>
        <v>FI-993</v>
      </c>
      <c r="AA1988" s="118" t="str">
        <f>+VLOOKUP(Agencia[[#This Row],[Muestra]],Estructura!$M$4:$O$500,3,0)</f>
        <v>M-1165</v>
      </c>
    </row>
    <row r="1989" spans="1:27" ht="51" x14ac:dyDescent="0.3">
      <c r="A1989" s="21" t="s">
        <v>8256</v>
      </c>
      <c r="B1989" s="83">
        <v>990</v>
      </c>
      <c r="C1989" s="84" t="s">
        <v>401</v>
      </c>
      <c r="D1989" s="84" t="s">
        <v>574</v>
      </c>
      <c r="E1989" s="114">
        <v>8</v>
      </c>
      <c r="F1989" s="90" t="s">
        <v>1604</v>
      </c>
      <c r="G1989" s="91" t="s">
        <v>3784</v>
      </c>
      <c r="H1989" s="98" t="s">
        <v>16</v>
      </c>
      <c r="I1989" s="99" t="s">
        <v>375</v>
      </c>
      <c r="J1989" s="89" t="s">
        <v>404</v>
      </c>
      <c r="K1989" s="89" t="s">
        <v>7080</v>
      </c>
      <c r="L1989" s="89" t="s">
        <v>1677</v>
      </c>
      <c r="M1989" s="89" t="s">
        <v>1456</v>
      </c>
      <c r="N1989" s="89" t="s">
        <v>910</v>
      </c>
      <c r="O1989" s="92" t="s">
        <v>7162</v>
      </c>
      <c r="P1989" s="110"/>
      <c r="Q1989" s="85" t="s">
        <v>821</v>
      </c>
      <c r="R1989" s="92" t="s">
        <v>7163</v>
      </c>
      <c r="S1989" s="104" t="s">
        <v>7164</v>
      </c>
      <c r="T1989" s="88" t="s">
        <v>3759</v>
      </c>
      <c r="U1989" s="50" t="s">
        <v>7921</v>
      </c>
      <c r="V1989" s="118" t="str">
        <f>+Agencia[[#This Row],[idcoleccion]]&amp;"-"&amp;Agencia[[#This Row],[id]]</f>
        <v>990-1978</v>
      </c>
      <c r="W1989" s="121">
        <v>99200008</v>
      </c>
      <c r="X1989" s="118" t="str">
        <f>+VLOOKUP(Agencia[[#This Row],[tema]],Estructura!$A$4:$C$500,3,0)</f>
        <v>T-1015</v>
      </c>
      <c r="Y1989" s="118" t="str">
        <f>+VLOOKUP(Agencia[[#This Row],[contenido]],Estructura!$E$4:$G$500,3,0)</f>
        <v>C-1010</v>
      </c>
      <c r="Z1989" s="118" t="str">
        <f>+VLOOKUP(Agencia[[#This Row],[Filtro Integrado]],Estructura!$I$4:$K$500,3,0)</f>
        <v>FI-993</v>
      </c>
      <c r="AA1989" s="118" t="str">
        <f>+VLOOKUP(Agencia[[#This Row],[Muestra]],Estructura!$M$4:$O$500,3,0)</f>
        <v>M-1165</v>
      </c>
    </row>
    <row r="1990" spans="1:27" ht="51" x14ac:dyDescent="0.3">
      <c r="A1990" s="21" t="s">
        <v>8257</v>
      </c>
      <c r="B1990" s="83">
        <v>990</v>
      </c>
      <c r="C1990" s="84" t="s">
        <v>401</v>
      </c>
      <c r="D1990" s="84" t="s">
        <v>574</v>
      </c>
      <c r="E1990" s="116">
        <v>9</v>
      </c>
      <c r="F1990" s="90" t="s">
        <v>1604</v>
      </c>
      <c r="G1990" s="91" t="s">
        <v>3784</v>
      </c>
      <c r="H1990" s="98" t="s">
        <v>16</v>
      </c>
      <c r="I1990" s="99" t="s">
        <v>376</v>
      </c>
      <c r="J1990" s="89" t="s">
        <v>404</v>
      </c>
      <c r="K1990" s="89" t="s">
        <v>7080</v>
      </c>
      <c r="L1990" s="89" t="s">
        <v>1677</v>
      </c>
      <c r="M1990" s="89" t="s">
        <v>1456</v>
      </c>
      <c r="N1990" s="89" t="s">
        <v>910</v>
      </c>
      <c r="O1990" s="92" t="s">
        <v>7165</v>
      </c>
      <c r="P1990" s="110"/>
      <c r="Q1990" s="85" t="s">
        <v>821</v>
      </c>
      <c r="R1990" s="92" t="s">
        <v>7166</v>
      </c>
      <c r="S1990" s="104" t="s">
        <v>7167</v>
      </c>
      <c r="T1990" s="88" t="s">
        <v>3750</v>
      </c>
      <c r="U1990" s="50" t="s">
        <v>7922</v>
      </c>
      <c r="V1990" s="118" t="str">
        <f>+Agencia[[#This Row],[idcoleccion]]&amp;"-"&amp;Agencia[[#This Row],[id]]</f>
        <v>990-1979</v>
      </c>
      <c r="W1990" s="121">
        <v>99200009</v>
      </c>
      <c r="X1990" s="118" t="str">
        <f>+VLOOKUP(Agencia[[#This Row],[tema]],Estructura!$A$4:$C$500,3,0)</f>
        <v>T-1015</v>
      </c>
      <c r="Y1990" s="118" t="str">
        <f>+VLOOKUP(Agencia[[#This Row],[contenido]],Estructura!$E$4:$G$500,3,0)</f>
        <v>C-1010</v>
      </c>
      <c r="Z1990" s="118" t="str">
        <f>+VLOOKUP(Agencia[[#This Row],[Filtro Integrado]],Estructura!$I$4:$K$500,3,0)</f>
        <v>FI-993</v>
      </c>
      <c r="AA1990" s="118" t="str">
        <f>+VLOOKUP(Agencia[[#This Row],[Muestra]],Estructura!$M$4:$O$500,3,0)</f>
        <v>M-1165</v>
      </c>
    </row>
    <row r="1991" spans="1:27" ht="51" x14ac:dyDescent="0.3">
      <c r="A1991" s="21" t="s">
        <v>8258</v>
      </c>
      <c r="B1991" s="83">
        <v>990</v>
      </c>
      <c r="C1991" s="84" t="s">
        <v>401</v>
      </c>
      <c r="D1991" s="84" t="s">
        <v>574</v>
      </c>
      <c r="E1991" s="114">
        <v>10</v>
      </c>
      <c r="F1991" s="90" t="s">
        <v>1604</v>
      </c>
      <c r="G1991" s="91" t="s">
        <v>3784</v>
      </c>
      <c r="H1991" s="98" t="s">
        <v>16</v>
      </c>
      <c r="I1991" s="99" t="s">
        <v>377</v>
      </c>
      <c r="J1991" s="89" t="s">
        <v>404</v>
      </c>
      <c r="K1991" s="89" t="s">
        <v>7080</v>
      </c>
      <c r="L1991" s="89" t="s">
        <v>1677</v>
      </c>
      <c r="M1991" s="89" t="s">
        <v>1456</v>
      </c>
      <c r="N1991" s="89" t="s">
        <v>910</v>
      </c>
      <c r="O1991" s="92" t="s">
        <v>7168</v>
      </c>
      <c r="P1991" s="110"/>
      <c r="Q1991" s="85" t="s">
        <v>821</v>
      </c>
      <c r="R1991" s="92" t="s">
        <v>7169</v>
      </c>
      <c r="S1991" s="104" t="s">
        <v>7170</v>
      </c>
      <c r="T1991" s="88" t="s">
        <v>3751</v>
      </c>
      <c r="U1991" s="50" t="s">
        <v>7923</v>
      </c>
      <c r="V1991" s="118" t="str">
        <f>+Agencia[[#This Row],[idcoleccion]]&amp;"-"&amp;Agencia[[#This Row],[id]]</f>
        <v>990-1980</v>
      </c>
      <c r="W1991" s="121">
        <v>99200010</v>
      </c>
      <c r="X1991" s="118" t="str">
        <f>+VLOOKUP(Agencia[[#This Row],[tema]],Estructura!$A$4:$C$500,3,0)</f>
        <v>T-1015</v>
      </c>
      <c r="Y1991" s="118" t="str">
        <f>+VLOOKUP(Agencia[[#This Row],[contenido]],Estructura!$E$4:$G$500,3,0)</f>
        <v>C-1010</v>
      </c>
      <c r="Z1991" s="118" t="str">
        <f>+VLOOKUP(Agencia[[#This Row],[Filtro Integrado]],Estructura!$I$4:$K$500,3,0)</f>
        <v>FI-993</v>
      </c>
      <c r="AA1991" s="118" t="str">
        <f>+VLOOKUP(Agencia[[#This Row],[Muestra]],Estructura!$M$4:$O$500,3,0)</f>
        <v>M-1165</v>
      </c>
    </row>
    <row r="1992" spans="1:27" ht="51" x14ac:dyDescent="0.3">
      <c r="A1992" s="21" t="s">
        <v>8259</v>
      </c>
      <c r="B1992" s="83">
        <v>990</v>
      </c>
      <c r="C1992" s="84" t="s">
        <v>401</v>
      </c>
      <c r="D1992" s="84" t="s">
        <v>574</v>
      </c>
      <c r="E1992" s="116">
        <v>11</v>
      </c>
      <c r="F1992" s="90" t="s">
        <v>1604</v>
      </c>
      <c r="G1992" s="91" t="s">
        <v>3784</v>
      </c>
      <c r="H1992" s="98" t="s">
        <v>16</v>
      </c>
      <c r="I1992" s="99" t="s">
        <v>378</v>
      </c>
      <c r="J1992" s="89" t="s">
        <v>404</v>
      </c>
      <c r="K1992" s="89" t="s">
        <v>7080</v>
      </c>
      <c r="L1992" s="89" t="s">
        <v>1677</v>
      </c>
      <c r="M1992" s="89" t="s">
        <v>1456</v>
      </c>
      <c r="N1992" s="89" t="s">
        <v>910</v>
      </c>
      <c r="O1992" s="92" t="s">
        <v>7171</v>
      </c>
      <c r="P1992" s="110"/>
      <c r="Q1992" s="85" t="s">
        <v>821</v>
      </c>
      <c r="R1992" s="92" t="s">
        <v>7172</v>
      </c>
      <c r="S1992" s="104" t="s">
        <v>7173</v>
      </c>
      <c r="T1992" s="88" t="s">
        <v>3748</v>
      </c>
      <c r="U1992" s="50" t="s">
        <v>7924</v>
      </c>
      <c r="V1992" s="118" t="str">
        <f>+Agencia[[#This Row],[idcoleccion]]&amp;"-"&amp;Agencia[[#This Row],[id]]</f>
        <v>990-1981</v>
      </c>
      <c r="W1992" s="121">
        <v>99200011</v>
      </c>
      <c r="X1992" s="118" t="str">
        <f>+VLOOKUP(Agencia[[#This Row],[tema]],Estructura!$A$4:$C$500,3,0)</f>
        <v>T-1015</v>
      </c>
      <c r="Y1992" s="118" t="str">
        <f>+VLOOKUP(Agencia[[#This Row],[contenido]],Estructura!$E$4:$G$500,3,0)</f>
        <v>C-1010</v>
      </c>
      <c r="Z1992" s="118" t="str">
        <f>+VLOOKUP(Agencia[[#This Row],[Filtro Integrado]],Estructura!$I$4:$K$500,3,0)</f>
        <v>FI-993</v>
      </c>
      <c r="AA1992" s="118" t="str">
        <f>+VLOOKUP(Agencia[[#This Row],[Muestra]],Estructura!$M$4:$O$500,3,0)</f>
        <v>M-1165</v>
      </c>
    </row>
    <row r="1993" spans="1:27" ht="51" x14ac:dyDescent="0.3">
      <c r="A1993" s="21" t="s">
        <v>8260</v>
      </c>
      <c r="B1993" s="83">
        <v>990</v>
      </c>
      <c r="C1993" s="84" t="s">
        <v>401</v>
      </c>
      <c r="D1993" s="84" t="s">
        <v>574</v>
      </c>
      <c r="E1993" s="114">
        <v>12</v>
      </c>
      <c r="F1993" s="90" t="s">
        <v>1604</v>
      </c>
      <c r="G1993" s="91" t="s">
        <v>3784</v>
      </c>
      <c r="H1993" s="98" t="s">
        <v>16</v>
      </c>
      <c r="I1993" s="99" t="s">
        <v>379</v>
      </c>
      <c r="J1993" s="89" t="s">
        <v>404</v>
      </c>
      <c r="K1993" s="89" t="s">
        <v>7080</v>
      </c>
      <c r="L1993" s="89" t="s">
        <v>1677</v>
      </c>
      <c r="M1993" s="89" t="s">
        <v>1456</v>
      </c>
      <c r="N1993" s="89" t="s">
        <v>910</v>
      </c>
      <c r="O1993" s="92" t="s">
        <v>7174</v>
      </c>
      <c r="P1993" s="110"/>
      <c r="Q1993" s="85" t="s">
        <v>821</v>
      </c>
      <c r="R1993" s="92" t="s">
        <v>7175</v>
      </c>
      <c r="S1993" s="104" t="s">
        <v>7176</v>
      </c>
      <c r="T1993" s="88" t="s">
        <v>3753</v>
      </c>
      <c r="U1993" s="50" t="s">
        <v>7925</v>
      </c>
      <c r="V1993" s="118" t="str">
        <f>+Agencia[[#This Row],[idcoleccion]]&amp;"-"&amp;Agencia[[#This Row],[id]]</f>
        <v>990-1982</v>
      </c>
      <c r="W1993" s="121">
        <v>99200012</v>
      </c>
      <c r="X1993" s="118" t="str">
        <f>+VLOOKUP(Agencia[[#This Row],[tema]],Estructura!$A$4:$C$500,3,0)</f>
        <v>T-1015</v>
      </c>
      <c r="Y1993" s="118" t="str">
        <f>+VLOOKUP(Agencia[[#This Row],[contenido]],Estructura!$E$4:$G$500,3,0)</f>
        <v>C-1010</v>
      </c>
      <c r="Z1993" s="118" t="str">
        <f>+VLOOKUP(Agencia[[#This Row],[Filtro Integrado]],Estructura!$I$4:$K$500,3,0)</f>
        <v>FI-993</v>
      </c>
      <c r="AA1993" s="118" t="str">
        <f>+VLOOKUP(Agencia[[#This Row],[Muestra]],Estructura!$M$4:$O$500,3,0)</f>
        <v>M-1165</v>
      </c>
    </row>
    <row r="1994" spans="1:27" ht="51" x14ac:dyDescent="0.3">
      <c r="A1994" s="21" t="s">
        <v>8261</v>
      </c>
      <c r="B1994" s="83">
        <v>990</v>
      </c>
      <c r="C1994" s="84" t="s">
        <v>401</v>
      </c>
      <c r="D1994" s="84" t="s">
        <v>574</v>
      </c>
      <c r="E1994" s="116">
        <v>13</v>
      </c>
      <c r="F1994" s="90" t="s">
        <v>1604</v>
      </c>
      <c r="G1994" s="91" t="s">
        <v>3784</v>
      </c>
      <c r="H1994" s="98" t="s">
        <v>16</v>
      </c>
      <c r="I1994" s="99" t="s">
        <v>380</v>
      </c>
      <c r="J1994" s="89" t="s">
        <v>404</v>
      </c>
      <c r="K1994" s="89" t="s">
        <v>7080</v>
      </c>
      <c r="L1994" s="89" t="s">
        <v>1677</v>
      </c>
      <c r="M1994" s="89" t="s">
        <v>1456</v>
      </c>
      <c r="N1994" s="89" t="s">
        <v>910</v>
      </c>
      <c r="O1994" s="92" t="s">
        <v>7177</v>
      </c>
      <c r="P1994" s="110"/>
      <c r="Q1994" s="85" t="s">
        <v>821</v>
      </c>
      <c r="R1994" s="92" t="s">
        <v>7178</v>
      </c>
      <c r="S1994" s="104" t="s">
        <v>7179</v>
      </c>
      <c r="T1994" s="88" t="s">
        <v>3760</v>
      </c>
      <c r="U1994" s="50" t="s">
        <v>7926</v>
      </c>
      <c r="V1994" s="118" t="str">
        <f>+Agencia[[#This Row],[idcoleccion]]&amp;"-"&amp;Agencia[[#This Row],[id]]</f>
        <v>990-1983</v>
      </c>
      <c r="W1994" s="121">
        <v>99200013</v>
      </c>
      <c r="X1994" s="118" t="str">
        <f>+VLOOKUP(Agencia[[#This Row],[tema]],Estructura!$A$4:$C$500,3,0)</f>
        <v>T-1015</v>
      </c>
      <c r="Y1994" s="118" t="str">
        <f>+VLOOKUP(Agencia[[#This Row],[contenido]],Estructura!$E$4:$G$500,3,0)</f>
        <v>C-1010</v>
      </c>
      <c r="Z1994" s="118" t="str">
        <f>+VLOOKUP(Agencia[[#This Row],[Filtro Integrado]],Estructura!$I$4:$K$500,3,0)</f>
        <v>FI-993</v>
      </c>
      <c r="AA1994" s="118" t="str">
        <f>+VLOOKUP(Agencia[[#This Row],[Muestra]],Estructura!$M$4:$O$500,3,0)</f>
        <v>M-1165</v>
      </c>
    </row>
    <row r="1995" spans="1:27" ht="51" x14ac:dyDescent="0.3">
      <c r="A1995" s="21" t="s">
        <v>8262</v>
      </c>
      <c r="B1995" s="83">
        <v>990</v>
      </c>
      <c r="C1995" s="84" t="s">
        <v>401</v>
      </c>
      <c r="D1995" s="84" t="s">
        <v>574</v>
      </c>
      <c r="E1995" s="114">
        <v>14</v>
      </c>
      <c r="F1995" s="90" t="s">
        <v>1604</v>
      </c>
      <c r="G1995" s="91" t="s">
        <v>3784</v>
      </c>
      <c r="H1995" s="98" t="s">
        <v>16</v>
      </c>
      <c r="I1995" s="99" t="s">
        <v>381</v>
      </c>
      <c r="J1995" s="89" t="s">
        <v>404</v>
      </c>
      <c r="K1995" s="89" t="s">
        <v>7080</v>
      </c>
      <c r="L1995" s="89" t="s">
        <v>1677</v>
      </c>
      <c r="M1995" s="89" t="s">
        <v>1456</v>
      </c>
      <c r="N1995" s="89" t="s">
        <v>910</v>
      </c>
      <c r="O1995" s="92" t="s">
        <v>7180</v>
      </c>
      <c r="P1995" s="110"/>
      <c r="Q1995" s="85" t="s">
        <v>821</v>
      </c>
      <c r="R1995" s="92" t="s">
        <v>7181</v>
      </c>
      <c r="S1995" s="104" t="s">
        <v>7182</v>
      </c>
      <c r="T1995" s="88" t="s">
        <v>3752</v>
      </c>
      <c r="U1995" s="50" t="s">
        <v>7927</v>
      </c>
      <c r="V1995" s="118" t="str">
        <f>+Agencia[[#This Row],[idcoleccion]]&amp;"-"&amp;Agencia[[#This Row],[id]]</f>
        <v>990-1984</v>
      </c>
      <c r="W1995" s="121">
        <v>99200014</v>
      </c>
      <c r="X1995" s="118" t="str">
        <f>+VLOOKUP(Agencia[[#This Row],[tema]],Estructura!$A$4:$C$500,3,0)</f>
        <v>T-1015</v>
      </c>
      <c r="Y1995" s="118" t="str">
        <f>+VLOOKUP(Agencia[[#This Row],[contenido]],Estructura!$E$4:$G$500,3,0)</f>
        <v>C-1010</v>
      </c>
      <c r="Z1995" s="118" t="str">
        <f>+VLOOKUP(Agencia[[#This Row],[Filtro Integrado]],Estructura!$I$4:$K$500,3,0)</f>
        <v>FI-993</v>
      </c>
      <c r="AA1995" s="118" t="str">
        <f>+VLOOKUP(Agencia[[#This Row],[Muestra]],Estructura!$M$4:$O$500,3,0)</f>
        <v>M-1165</v>
      </c>
    </row>
    <row r="1996" spans="1:27" ht="51" x14ac:dyDescent="0.3">
      <c r="A1996" s="21" t="s">
        <v>8263</v>
      </c>
      <c r="B1996" s="83">
        <v>990</v>
      </c>
      <c r="C1996" s="84" t="s">
        <v>401</v>
      </c>
      <c r="D1996" s="84" t="s">
        <v>574</v>
      </c>
      <c r="E1996" s="116">
        <v>15</v>
      </c>
      <c r="F1996" s="90" t="s">
        <v>1604</v>
      </c>
      <c r="G1996" s="91" t="s">
        <v>3784</v>
      </c>
      <c r="H1996" s="98" t="s">
        <v>16</v>
      </c>
      <c r="I1996" s="99" t="s">
        <v>382</v>
      </c>
      <c r="J1996" s="89" t="s">
        <v>404</v>
      </c>
      <c r="K1996" s="89" t="s">
        <v>7080</v>
      </c>
      <c r="L1996" s="89" t="s">
        <v>1677</v>
      </c>
      <c r="M1996" s="89" t="s">
        <v>1456</v>
      </c>
      <c r="N1996" s="89" t="s">
        <v>910</v>
      </c>
      <c r="O1996" s="92" t="s">
        <v>7183</v>
      </c>
      <c r="P1996" s="110"/>
      <c r="Q1996" s="85" t="s">
        <v>821</v>
      </c>
      <c r="R1996" s="92" t="s">
        <v>7184</v>
      </c>
      <c r="S1996" s="104" t="s">
        <v>7185</v>
      </c>
      <c r="T1996" s="88" t="s">
        <v>3746</v>
      </c>
      <c r="U1996" s="50" t="s">
        <v>7928</v>
      </c>
      <c r="V1996" s="118" t="str">
        <f>+Agencia[[#This Row],[idcoleccion]]&amp;"-"&amp;Agencia[[#This Row],[id]]</f>
        <v>990-1985</v>
      </c>
      <c r="W1996" s="121">
        <v>99200015</v>
      </c>
      <c r="X1996" s="118" t="str">
        <f>+VLOOKUP(Agencia[[#This Row],[tema]],Estructura!$A$4:$C$500,3,0)</f>
        <v>T-1015</v>
      </c>
      <c r="Y1996" s="118" t="str">
        <f>+VLOOKUP(Agencia[[#This Row],[contenido]],Estructura!$E$4:$G$500,3,0)</f>
        <v>C-1010</v>
      </c>
      <c r="Z1996" s="118" t="str">
        <f>+VLOOKUP(Agencia[[#This Row],[Filtro Integrado]],Estructura!$I$4:$K$500,3,0)</f>
        <v>FI-993</v>
      </c>
      <c r="AA1996" s="118" t="str">
        <f>+VLOOKUP(Agencia[[#This Row],[Muestra]],Estructura!$M$4:$O$500,3,0)</f>
        <v>M-1165</v>
      </c>
    </row>
    <row r="1997" spans="1:27" ht="51" x14ac:dyDescent="0.3">
      <c r="A1997" s="21" t="s">
        <v>8264</v>
      </c>
      <c r="B1997" s="89">
        <v>990</v>
      </c>
      <c r="C1997" s="90" t="s">
        <v>401</v>
      </c>
      <c r="D1997" s="90" t="s">
        <v>574</v>
      </c>
      <c r="E1997" s="114">
        <v>16</v>
      </c>
      <c r="F1997" s="90" t="s">
        <v>1604</v>
      </c>
      <c r="G1997" s="91" t="s">
        <v>3784</v>
      </c>
      <c r="H1997" s="98" t="s">
        <v>16</v>
      </c>
      <c r="I1997" s="99" t="s">
        <v>383</v>
      </c>
      <c r="J1997" s="89" t="s">
        <v>404</v>
      </c>
      <c r="K1997" s="89" t="s">
        <v>7080</v>
      </c>
      <c r="L1997" s="89" t="s">
        <v>1677</v>
      </c>
      <c r="M1997" s="89" t="s">
        <v>1456</v>
      </c>
      <c r="N1997" s="89" t="s">
        <v>910</v>
      </c>
      <c r="O1997" s="92" t="s">
        <v>7186</v>
      </c>
      <c r="P1997" s="109"/>
      <c r="Q1997" s="93" t="s">
        <v>821</v>
      </c>
      <c r="R1997" s="92" t="s">
        <v>7187</v>
      </c>
      <c r="S1997" s="104" t="s">
        <v>7188</v>
      </c>
      <c r="T1997" s="94" t="s">
        <v>3755</v>
      </c>
      <c r="U1997" s="50" t="s">
        <v>7929</v>
      </c>
      <c r="V1997" s="118" t="str">
        <f>+Agencia[[#This Row],[idcoleccion]]&amp;"-"&amp;Agencia[[#This Row],[id]]</f>
        <v>990-1986</v>
      </c>
      <c r="W1997" s="121">
        <v>99200016</v>
      </c>
      <c r="X1997" s="118" t="str">
        <f>+VLOOKUP(Agencia[[#This Row],[tema]],Estructura!$A$4:$C$500,3,0)</f>
        <v>T-1015</v>
      </c>
      <c r="Y1997" s="118" t="str">
        <f>+VLOOKUP(Agencia[[#This Row],[contenido]],Estructura!$E$4:$G$500,3,0)</f>
        <v>C-1010</v>
      </c>
      <c r="Z1997" s="118" t="str">
        <f>+VLOOKUP(Agencia[[#This Row],[Filtro Integrado]],Estructura!$I$4:$K$500,3,0)</f>
        <v>FI-993</v>
      </c>
      <c r="AA1997" s="118" t="str">
        <f>+VLOOKUP(Agencia[[#This Row],[Muestra]],Estructura!$M$4:$O$500,3,0)</f>
        <v>M-1165</v>
      </c>
    </row>
    <row r="1998" spans="1:27" ht="61.2" x14ac:dyDescent="0.3">
      <c r="A1998" s="21" t="s">
        <v>8265</v>
      </c>
      <c r="B1998" s="89">
        <v>990</v>
      </c>
      <c r="C1998" s="90" t="s">
        <v>401</v>
      </c>
      <c r="D1998" s="90" t="s">
        <v>574</v>
      </c>
      <c r="E1998" s="115">
        <v>0</v>
      </c>
      <c r="F1998" s="90" t="s">
        <v>1604</v>
      </c>
      <c r="G1998" s="91" t="s">
        <v>3784</v>
      </c>
      <c r="H1998" s="96" t="s">
        <v>20</v>
      </c>
      <c r="I1998" s="97" t="s">
        <v>15</v>
      </c>
      <c r="J1998" s="83" t="s">
        <v>5301</v>
      </c>
      <c r="K1998" s="89" t="s">
        <v>7080</v>
      </c>
      <c r="L1998" s="89" t="s">
        <v>1677</v>
      </c>
      <c r="M1998" s="89" t="s">
        <v>1456</v>
      </c>
      <c r="N1998" s="89" t="s">
        <v>910</v>
      </c>
      <c r="O1998" s="87" t="s">
        <v>7189</v>
      </c>
      <c r="P1998" s="95" t="s">
        <v>7190</v>
      </c>
      <c r="Q1998" s="85" t="s">
        <v>821</v>
      </c>
      <c r="R1998" s="92" t="s">
        <v>7191</v>
      </c>
      <c r="S1998" s="106" t="s">
        <v>7192</v>
      </c>
      <c r="T1998" s="88" t="s">
        <v>1033</v>
      </c>
      <c r="U1998" s="50" t="s">
        <v>7930</v>
      </c>
      <c r="V1998" s="118" t="str">
        <f>+Agencia[[#This Row],[idcoleccion]]&amp;"-"&amp;Agencia[[#This Row],[id]]</f>
        <v>990-1987</v>
      </c>
      <c r="W1998" s="121">
        <v>99100000</v>
      </c>
      <c r="X1998" s="118" t="str">
        <f>+VLOOKUP(Agencia[[#This Row],[tema]],Estructura!$A$4:$C$500,3,0)</f>
        <v>T-1015</v>
      </c>
      <c r="Y1998" s="118" t="str">
        <f>+VLOOKUP(Agencia[[#This Row],[contenido]],Estructura!$E$4:$G$500,3,0)</f>
        <v>C-1010</v>
      </c>
      <c r="Z1998" s="118" t="str">
        <f>+VLOOKUP(Agencia[[#This Row],[Filtro Integrado]],Estructura!$I$4:$K$500,3,0)</f>
        <v>FI-1008</v>
      </c>
      <c r="AA1998" s="118" t="str">
        <f>+VLOOKUP(Agencia[[#This Row],[Muestra]],Estructura!$M$4:$O$500,3,0)</f>
        <v>M-1165</v>
      </c>
    </row>
    <row r="1999" spans="1:27" ht="51" x14ac:dyDescent="0.3">
      <c r="A1999" s="21" t="s">
        <v>8266</v>
      </c>
      <c r="B1999" s="83">
        <v>990</v>
      </c>
      <c r="C1999" s="84" t="s">
        <v>401</v>
      </c>
      <c r="D1999" s="84" t="s">
        <v>574</v>
      </c>
      <c r="E1999" s="114">
        <v>1</v>
      </c>
      <c r="F1999" s="90" t="s">
        <v>1604</v>
      </c>
      <c r="G1999" s="91" t="s">
        <v>3784</v>
      </c>
      <c r="H1999" s="98" t="s">
        <v>16</v>
      </c>
      <c r="I1999" s="99" t="s">
        <v>368</v>
      </c>
      <c r="J1999" s="83" t="s">
        <v>1637</v>
      </c>
      <c r="K1999" s="89" t="s">
        <v>7080</v>
      </c>
      <c r="L1999" s="89" t="s">
        <v>1677</v>
      </c>
      <c r="M1999" s="89" t="s">
        <v>1456</v>
      </c>
      <c r="N1999" s="89" t="s">
        <v>910</v>
      </c>
      <c r="O1999" s="87" t="s">
        <v>7193</v>
      </c>
      <c r="P1999" s="110"/>
      <c r="Q1999" s="85" t="s">
        <v>821</v>
      </c>
      <c r="R1999" s="92" t="s">
        <v>7194</v>
      </c>
      <c r="S1999" s="103" t="s">
        <v>7195</v>
      </c>
      <c r="T1999" s="88" t="s">
        <v>3741</v>
      </c>
      <c r="U1999" s="50" t="s">
        <v>7931</v>
      </c>
      <c r="V1999" s="118" t="str">
        <f>+Agencia[[#This Row],[idcoleccion]]&amp;"-"&amp;Agencia[[#This Row],[id]]</f>
        <v>990-1988</v>
      </c>
      <c r="W1999" s="121">
        <v>99200001</v>
      </c>
      <c r="X1999" s="118" t="str">
        <f>+VLOOKUP(Agencia[[#This Row],[tema]],Estructura!$A$4:$C$500,3,0)</f>
        <v>T-1015</v>
      </c>
      <c r="Y1999" s="118" t="str">
        <f>+VLOOKUP(Agencia[[#This Row],[contenido]],Estructura!$E$4:$G$500,3,0)</f>
        <v>C-1010</v>
      </c>
      <c r="Z1999" s="118" t="str">
        <f>+VLOOKUP(Agencia[[#This Row],[Filtro Integrado]],Estructura!$I$4:$K$500,3,0)</f>
        <v>FI-1002</v>
      </c>
      <c r="AA1999" s="118" t="str">
        <f>+VLOOKUP(Agencia[[#This Row],[Muestra]],Estructura!$M$4:$O$500,3,0)</f>
        <v>M-1165</v>
      </c>
    </row>
    <row r="2000" spans="1:27" ht="51" x14ac:dyDescent="0.3">
      <c r="A2000" s="21" t="s">
        <v>8267</v>
      </c>
      <c r="B2000" s="83">
        <v>990</v>
      </c>
      <c r="C2000" s="84" t="s">
        <v>401</v>
      </c>
      <c r="D2000" s="84" t="s">
        <v>574</v>
      </c>
      <c r="E2000" s="114">
        <v>2</v>
      </c>
      <c r="F2000" s="90" t="s">
        <v>1604</v>
      </c>
      <c r="G2000" s="91" t="s">
        <v>3784</v>
      </c>
      <c r="H2000" s="98" t="s">
        <v>16</v>
      </c>
      <c r="I2000" s="99" t="s">
        <v>369</v>
      </c>
      <c r="J2000" s="83" t="s">
        <v>1637</v>
      </c>
      <c r="K2000" s="89" t="s">
        <v>7080</v>
      </c>
      <c r="L2000" s="89" t="s">
        <v>1677</v>
      </c>
      <c r="M2000" s="89" t="s">
        <v>1456</v>
      </c>
      <c r="N2000" s="89" t="s">
        <v>910</v>
      </c>
      <c r="O2000" s="87" t="s">
        <v>7196</v>
      </c>
      <c r="P2000" s="110"/>
      <c r="Q2000" s="85" t="s">
        <v>821</v>
      </c>
      <c r="R2000" s="92" t="s">
        <v>7197</v>
      </c>
      <c r="S2000" s="103" t="s">
        <v>7198</v>
      </c>
      <c r="T2000" s="88" t="s">
        <v>3729</v>
      </c>
      <c r="U2000" s="50" t="s">
        <v>7932</v>
      </c>
      <c r="V2000" s="118" t="str">
        <f>+Agencia[[#This Row],[idcoleccion]]&amp;"-"&amp;Agencia[[#This Row],[id]]</f>
        <v>990-1989</v>
      </c>
      <c r="W2000" s="121">
        <v>99200002</v>
      </c>
      <c r="X2000" s="118" t="str">
        <f>+VLOOKUP(Agencia[[#This Row],[tema]],Estructura!$A$4:$C$500,3,0)</f>
        <v>T-1015</v>
      </c>
      <c r="Y2000" s="118" t="str">
        <f>+VLOOKUP(Agencia[[#This Row],[contenido]],Estructura!$E$4:$G$500,3,0)</f>
        <v>C-1010</v>
      </c>
      <c r="Z2000" s="118" t="str">
        <f>+VLOOKUP(Agencia[[#This Row],[Filtro Integrado]],Estructura!$I$4:$K$500,3,0)</f>
        <v>FI-1002</v>
      </c>
      <c r="AA2000" s="118" t="str">
        <f>+VLOOKUP(Agencia[[#This Row],[Muestra]],Estructura!$M$4:$O$500,3,0)</f>
        <v>M-1165</v>
      </c>
    </row>
    <row r="2001" spans="1:27" ht="51" x14ac:dyDescent="0.3">
      <c r="A2001" s="21" t="s">
        <v>8268</v>
      </c>
      <c r="B2001" s="83">
        <v>990</v>
      </c>
      <c r="C2001" s="84" t="s">
        <v>401</v>
      </c>
      <c r="D2001" s="84" t="s">
        <v>574</v>
      </c>
      <c r="E2001" s="114">
        <v>3</v>
      </c>
      <c r="F2001" s="90" t="s">
        <v>1604</v>
      </c>
      <c r="G2001" s="91" t="s">
        <v>3784</v>
      </c>
      <c r="H2001" s="98" t="s">
        <v>16</v>
      </c>
      <c r="I2001" s="99" t="s">
        <v>370</v>
      </c>
      <c r="J2001" s="83" t="s">
        <v>1637</v>
      </c>
      <c r="K2001" s="89" t="s">
        <v>7080</v>
      </c>
      <c r="L2001" s="89" t="s">
        <v>1677</v>
      </c>
      <c r="M2001" s="89" t="s">
        <v>1456</v>
      </c>
      <c r="N2001" s="89" t="s">
        <v>910</v>
      </c>
      <c r="O2001" s="87" t="s">
        <v>7199</v>
      </c>
      <c r="P2001" s="110"/>
      <c r="Q2001" s="85" t="s">
        <v>821</v>
      </c>
      <c r="R2001" s="92" t="s">
        <v>7200</v>
      </c>
      <c r="S2001" s="103" t="s">
        <v>7201</v>
      </c>
      <c r="T2001" s="88" t="s">
        <v>3731</v>
      </c>
      <c r="U2001" s="50" t="s">
        <v>7933</v>
      </c>
      <c r="V2001" s="118" t="str">
        <f>+Agencia[[#This Row],[idcoleccion]]&amp;"-"&amp;Agencia[[#This Row],[id]]</f>
        <v>990-1990</v>
      </c>
      <c r="W2001" s="121">
        <v>99200003</v>
      </c>
      <c r="X2001" s="118" t="str">
        <f>+VLOOKUP(Agencia[[#This Row],[tema]],Estructura!$A$4:$C$500,3,0)</f>
        <v>T-1015</v>
      </c>
      <c r="Y2001" s="118" t="str">
        <f>+VLOOKUP(Agencia[[#This Row],[contenido]],Estructura!$E$4:$G$500,3,0)</f>
        <v>C-1010</v>
      </c>
      <c r="Z2001" s="118" t="str">
        <f>+VLOOKUP(Agencia[[#This Row],[Filtro Integrado]],Estructura!$I$4:$K$500,3,0)</f>
        <v>FI-1002</v>
      </c>
      <c r="AA2001" s="118" t="str">
        <f>+VLOOKUP(Agencia[[#This Row],[Muestra]],Estructura!$M$4:$O$500,3,0)</f>
        <v>M-1165</v>
      </c>
    </row>
    <row r="2002" spans="1:27" ht="51" x14ac:dyDescent="0.3">
      <c r="A2002" s="21" t="s">
        <v>8269</v>
      </c>
      <c r="B2002" s="83">
        <v>990</v>
      </c>
      <c r="C2002" s="84" t="s">
        <v>401</v>
      </c>
      <c r="D2002" s="84" t="s">
        <v>574</v>
      </c>
      <c r="E2002" s="114">
        <v>4</v>
      </c>
      <c r="F2002" s="90" t="s">
        <v>1604</v>
      </c>
      <c r="G2002" s="91" t="s">
        <v>3784</v>
      </c>
      <c r="H2002" s="98" t="s">
        <v>16</v>
      </c>
      <c r="I2002" s="99" t="s">
        <v>371</v>
      </c>
      <c r="J2002" s="83" t="s">
        <v>1637</v>
      </c>
      <c r="K2002" s="89" t="s">
        <v>7080</v>
      </c>
      <c r="L2002" s="89" t="s">
        <v>1677</v>
      </c>
      <c r="M2002" s="89" t="s">
        <v>1456</v>
      </c>
      <c r="N2002" s="89" t="s">
        <v>910</v>
      </c>
      <c r="O2002" s="87" t="s">
        <v>7202</v>
      </c>
      <c r="P2002" s="110"/>
      <c r="Q2002" s="85" t="s">
        <v>821</v>
      </c>
      <c r="R2002" s="92" t="s">
        <v>7203</v>
      </c>
      <c r="S2002" s="103" t="s">
        <v>7204</v>
      </c>
      <c r="T2002" s="88" t="s">
        <v>3733</v>
      </c>
      <c r="U2002" s="50" t="s">
        <v>7934</v>
      </c>
      <c r="V2002" s="118" t="str">
        <f>+Agencia[[#This Row],[idcoleccion]]&amp;"-"&amp;Agencia[[#This Row],[id]]</f>
        <v>990-1991</v>
      </c>
      <c r="W2002" s="121">
        <v>99200004</v>
      </c>
      <c r="X2002" s="118" t="str">
        <f>+VLOOKUP(Agencia[[#This Row],[tema]],Estructura!$A$4:$C$500,3,0)</f>
        <v>T-1015</v>
      </c>
      <c r="Y2002" s="118" t="str">
        <f>+VLOOKUP(Agencia[[#This Row],[contenido]],Estructura!$E$4:$G$500,3,0)</f>
        <v>C-1010</v>
      </c>
      <c r="Z2002" s="118" t="str">
        <f>+VLOOKUP(Agencia[[#This Row],[Filtro Integrado]],Estructura!$I$4:$K$500,3,0)</f>
        <v>FI-1002</v>
      </c>
      <c r="AA2002" s="118" t="str">
        <f>+VLOOKUP(Agencia[[#This Row],[Muestra]],Estructura!$M$4:$O$500,3,0)</f>
        <v>M-1165</v>
      </c>
    </row>
    <row r="2003" spans="1:27" ht="51" x14ac:dyDescent="0.3">
      <c r="A2003" s="21" t="s">
        <v>8270</v>
      </c>
      <c r="B2003" s="83">
        <v>990</v>
      </c>
      <c r="C2003" s="84" t="s">
        <v>401</v>
      </c>
      <c r="D2003" s="84" t="s">
        <v>574</v>
      </c>
      <c r="E2003" s="114">
        <v>5</v>
      </c>
      <c r="F2003" s="90" t="s">
        <v>1604</v>
      </c>
      <c r="G2003" s="91" t="s">
        <v>3784</v>
      </c>
      <c r="H2003" s="98" t="s">
        <v>16</v>
      </c>
      <c r="I2003" s="99" t="s">
        <v>372</v>
      </c>
      <c r="J2003" s="83" t="s">
        <v>1637</v>
      </c>
      <c r="K2003" s="89" t="s">
        <v>7080</v>
      </c>
      <c r="L2003" s="89" t="s">
        <v>1677</v>
      </c>
      <c r="M2003" s="89" t="s">
        <v>1456</v>
      </c>
      <c r="N2003" s="89" t="s">
        <v>910</v>
      </c>
      <c r="O2003" s="87" t="s">
        <v>7205</v>
      </c>
      <c r="P2003" s="110"/>
      <c r="Q2003" s="85" t="s">
        <v>821</v>
      </c>
      <c r="R2003" s="92" t="s">
        <v>7206</v>
      </c>
      <c r="S2003" s="103" t="s">
        <v>7207</v>
      </c>
      <c r="T2003" s="88" t="s">
        <v>3742</v>
      </c>
      <c r="U2003" s="50" t="s">
        <v>7935</v>
      </c>
      <c r="V2003" s="118" t="str">
        <f>+Agencia[[#This Row],[idcoleccion]]&amp;"-"&amp;Agencia[[#This Row],[id]]</f>
        <v>990-1992</v>
      </c>
      <c r="W2003" s="121">
        <v>99200005</v>
      </c>
      <c r="X2003" s="118" t="str">
        <f>+VLOOKUP(Agencia[[#This Row],[tema]],Estructura!$A$4:$C$500,3,0)</f>
        <v>T-1015</v>
      </c>
      <c r="Y2003" s="118" t="str">
        <f>+VLOOKUP(Agencia[[#This Row],[contenido]],Estructura!$E$4:$G$500,3,0)</f>
        <v>C-1010</v>
      </c>
      <c r="Z2003" s="118" t="str">
        <f>+VLOOKUP(Agencia[[#This Row],[Filtro Integrado]],Estructura!$I$4:$K$500,3,0)</f>
        <v>FI-1002</v>
      </c>
      <c r="AA2003" s="118" t="str">
        <f>+VLOOKUP(Agencia[[#This Row],[Muestra]],Estructura!$M$4:$O$500,3,0)</f>
        <v>M-1165</v>
      </c>
    </row>
    <row r="2004" spans="1:27" ht="51" x14ac:dyDescent="0.3">
      <c r="A2004" s="21" t="s">
        <v>8271</v>
      </c>
      <c r="B2004" s="83">
        <v>990</v>
      </c>
      <c r="C2004" s="84" t="s">
        <v>401</v>
      </c>
      <c r="D2004" s="84" t="s">
        <v>574</v>
      </c>
      <c r="E2004" s="114">
        <v>6</v>
      </c>
      <c r="F2004" s="90" t="s">
        <v>1604</v>
      </c>
      <c r="G2004" s="91" t="s">
        <v>3784</v>
      </c>
      <c r="H2004" s="98" t="s">
        <v>16</v>
      </c>
      <c r="I2004" s="99" t="s">
        <v>373</v>
      </c>
      <c r="J2004" s="83" t="s">
        <v>1637</v>
      </c>
      <c r="K2004" s="89" t="s">
        <v>7080</v>
      </c>
      <c r="L2004" s="89" t="s">
        <v>1677</v>
      </c>
      <c r="M2004" s="89" t="s">
        <v>1456</v>
      </c>
      <c r="N2004" s="89" t="s">
        <v>910</v>
      </c>
      <c r="O2004" s="87" t="s">
        <v>7208</v>
      </c>
      <c r="P2004" s="110"/>
      <c r="Q2004" s="85" t="s">
        <v>821</v>
      </c>
      <c r="R2004" s="92" t="s">
        <v>7209</v>
      </c>
      <c r="S2004" s="103" t="s">
        <v>7210</v>
      </c>
      <c r="T2004" s="88" t="s">
        <v>3740</v>
      </c>
      <c r="U2004" s="50" t="s">
        <v>7936</v>
      </c>
      <c r="V2004" s="118" t="str">
        <f>+Agencia[[#This Row],[idcoleccion]]&amp;"-"&amp;Agencia[[#This Row],[id]]</f>
        <v>990-1993</v>
      </c>
      <c r="W2004" s="121">
        <v>99200006</v>
      </c>
      <c r="X2004" s="118" t="str">
        <f>+VLOOKUP(Agencia[[#This Row],[tema]],Estructura!$A$4:$C$500,3,0)</f>
        <v>T-1015</v>
      </c>
      <c r="Y2004" s="118" t="str">
        <f>+VLOOKUP(Agencia[[#This Row],[contenido]],Estructura!$E$4:$G$500,3,0)</f>
        <v>C-1010</v>
      </c>
      <c r="Z2004" s="118" t="str">
        <f>+VLOOKUP(Agencia[[#This Row],[Filtro Integrado]],Estructura!$I$4:$K$500,3,0)</f>
        <v>FI-1002</v>
      </c>
      <c r="AA2004" s="118" t="str">
        <f>+VLOOKUP(Agencia[[#This Row],[Muestra]],Estructura!$M$4:$O$500,3,0)</f>
        <v>M-1165</v>
      </c>
    </row>
    <row r="2005" spans="1:27" ht="51" x14ac:dyDescent="0.3">
      <c r="A2005" s="21" t="s">
        <v>8272</v>
      </c>
      <c r="B2005" s="83">
        <v>990</v>
      </c>
      <c r="C2005" s="84" t="s">
        <v>401</v>
      </c>
      <c r="D2005" s="84" t="s">
        <v>574</v>
      </c>
      <c r="E2005" s="114">
        <v>7</v>
      </c>
      <c r="F2005" s="90" t="s">
        <v>1604</v>
      </c>
      <c r="G2005" s="91" t="s">
        <v>3784</v>
      </c>
      <c r="H2005" s="98" t="s">
        <v>16</v>
      </c>
      <c r="I2005" s="99" t="s">
        <v>374</v>
      </c>
      <c r="J2005" s="83" t="s">
        <v>1637</v>
      </c>
      <c r="K2005" s="89" t="s">
        <v>7080</v>
      </c>
      <c r="L2005" s="89" t="s">
        <v>1677</v>
      </c>
      <c r="M2005" s="89" t="s">
        <v>1456</v>
      </c>
      <c r="N2005" s="89" t="s">
        <v>910</v>
      </c>
      <c r="O2005" s="87" t="s">
        <v>7211</v>
      </c>
      <c r="P2005" s="110"/>
      <c r="Q2005" s="85" t="s">
        <v>821</v>
      </c>
      <c r="R2005" s="92" t="s">
        <v>7212</v>
      </c>
      <c r="S2005" s="103" t="s">
        <v>7213</v>
      </c>
      <c r="T2005" s="88" t="s">
        <v>3738</v>
      </c>
      <c r="U2005" s="50" t="s">
        <v>7937</v>
      </c>
      <c r="V2005" s="118" t="str">
        <f>+Agencia[[#This Row],[idcoleccion]]&amp;"-"&amp;Agencia[[#This Row],[id]]</f>
        <v>990-1994</v>
      </c>
      <c r="W2005" s="121">
        <v>99200007</v>
      </c>
      <c r="X2005" s="118" t="str">
        <f>+VLOOKUP(Agencia[[#This Row],[tema]],Estructura!$A$4:$C$500,3,0)</f>
        <v>T-1015</v>
      </c>
      <c r="Y2005" s="118" t="str">
        <f>+VLOOKUP(Agencia[[#This Row],[contenido]],Estructura!$E$4:$G$500,3,0)</f>
        <v>C-1010</v>
      </c>
      <c r="Z2005" s="118" t="str">
        <f>+VLOOKUP(Agencia[[#This Row],[Filtro Integrado]],Estructura!$I$4:$K$500,3,0)</f>
        <v>FI-1002</v>
      </c>
      <c r="AA2005" s="118" t="str">
        <f>+VLOOKUP(Agencia[[#This Row],[Muestra]],Estructura!$M$4:$O$500,3,0)</f>
        <v>M-1165</v>
      </c>
    </row>
    <row r="2006" spans="1:27" ht="51" x14ac:dyDescent="0.3">
      <c r="A2006" s="21" t="s">
        <v>8273</v>
      </c>
      <c r="B2006" s="83">
        <v>990</v>
      </c>
      <c r="C2006" s="84" t="s">
        <v>401</v>
      </c>
      <c r="D2006" s="84" t="s">
        <v>574</v>
      </c>
      <c r="E2006" s="114">
        <v>8</v>
      </c>
      <c r="F2006" s="90" t="s">
        <v>1604</v>
      </c>
      <c r="G2006" s="91" t="s">
        <v>3784</v>
      </c>
      <c r="H2006" s="98" t="s">
        <v>16</v>
      </c>
      <c r="I2006" s="99" t="s">
        <v>375</v>
      </c>
      <c r="J2006" s="83" t="s">
        <v>1637</v>
      </c>
      <c r="K2006" s="89" t="s">
        <v>7080</v>
      </c>
      <c r="L2006" s="89" t="s">
        <v>1677</v>
      </c>
      <c r="M2006" s="89" t="s">
        <v>1456</v>
      </c>
      <c r="N2006" s="89" t="s">
        <v>910</v>
      </c>
      <c r="O2006" s="87" t="s">
        <v>7214</v>
      </c>
      <c r="P2006" s="110"/>
      <c r="Q2006" s="85" t="s">
        <v>821</v>
      </c>
      <c r="R2006" s="92" t="s">
        <v>7215</v>
      </c>
      <c r="S2006" s="103" t="s">
        <v>7216</v>
      </c>
      <c r="T2006" s="88" t="s">
        <v>3743</v>
      </c>
      <c r="U2006" s="50" t="s">
        <v>7938</v>
      </c>
      <c r="V2006" s="118" t="str">
        <f>+Agencia[[#This Row],[idcoleccion]]&amp;"-"&amp;Agencia[[#This Row],[id]]</f>
        <v>990-1995</v>
      </c>
      <c r="W2006" s="121">
        <v>99200008</v>
      </c>
      <c r="X2006" s="118" t="str">
        <f>+VLOOKUP(Agencia[[#This Row],[tema]],Estructura!$A$4:$C$500,3,0)</f>
        <v>T-1015</v>
      </c>
      <c r="Y2006" s="118" t="str">
        <f>+VLOOKUP(Agencia[[#This Row],[contenido]],Estructura!$E$4:$G$500,3,0)</f>
        <v>C-1010</v>
      </c>
      <c r="Z2006" s="118" t="str">
        <f>+VLOOKUP(Agencia[[#This Row],[Filtro Integrado]],Estructura!$I$4:$K$500,3,0)</f>
        <v>FI-1002</v>
      </c>
      <c r="AA2006" s="118" t="str">
        <f>+VLOOKUP(Agencia[[#This Row],[Muestra]],Estructura!$M$4:$O$500,3,0)</f>
        <v>M-1165</v>
      </c>
    </row>
    <row r="2007" spans="1:27" ht="51" x14ac:dyDescent="0.3">
      <c r="A2007" s="21" t="s">
        <v>8274</v>
      </c>
      <c r="B2007" s="83">
        <v>990</v>
      </c>
      <c r="C2007" s="84" t="s">
        <v>401</v>
      </c>
      <c r="D2007" s="84" t="s">
        <v>574</v>
      </c>
      <c r="E2007" s="114">
        <v>9</v>
      </c>
      <c r="F2007" s="90" t="s">
        <v>1604</v>
      </c>
      <c r="G2007" s="91" t="s">
        <v>3784</v>
      </c>
      <c r="H2007" s="98" t="s">
        <v>16</v>
      </c>
      <c r="I2007" s="99" t="s">
        <v>376</v>
      </c>
      <c r="J2007" s="83" t="s">
        <v>1637</v>
      </c>
      <c r="K2007" s="89" t="s">
        <v>7080</v>
      </c>
      <c r="L2007" s="89" t="s">
        <v>1677</v>
      </c>
      <c r="M2007" s="89" t="s">
        <v>1456</v>
      </c>
      <c r="N2007" s="89" t="s">
        <v>910</v>
      </c>
      <c r="O2007" s="87" t="s">
        <v>7217</v>
      </c>
      <c r="P2007" s="110"/>
      <c r="Q2007" s="85" t="s">
        <v>821</v>
      </c>
      <c r="R2007" s="92" t="s">
        <v>7218</v>
      </c>
      <c r="S2007" s="103" t="s">
        <v>7219</v>
      </c>
      <c r="T2007" s="88" t="s">
        <v>3734</v>
      </c>
      <c r="U2007" s="50" t="s">
        <v>7939</v>
      </c>
      <c r="V2007" s="118" t="str">
        <f>+Agencia[[#This Row],[idcoleccion]]&amp;"-"&amp;Agencia[[#This Row],[id]]</f>
        <v>990-1996</v>
      </c>
      <c r="W2007" s="121">
        <v>99200009</v>
      </c>
      <c r="X2007" s="118" t="str">
        <f>+VLOOKUP(Agencia[[#This Row],[tema]],Estructura!$A$4:$C$500,3,0)</f>
        <v>T-1015</v>
      </c>
      <c r="Y2007" s="118" t="str">
        <f>+VLOOKUP(Agencia[[#This Row],[contenido]],Estructura!$E$4:$G$500,3,0)</f>
        <v>C-1010</v>
      </c>
      <c r="Z2007" s="118" t="str">
        <f>+VLOOKUP(Agencia[[#This Row],[Filtro Integrado]],Estructura!$I$4:$K$500,3,0)</f>
        <v>FI-1002</v>
      </c>
      <c r="AA2007" s="118" t="str">
        <f>+VLOOKUP(Agencia[[#This Row],[Muestra]],Estructura!$M$4:$O$500,3,0)</f>
        <v>M-1165</v>
      </c>
    </row>
    <row r="2008" spans="1:27" ht="51" x14ac:dyDescent="0.3">
      <c r="A2008" s="21" t="s">
        <v>8275</v>
      </c>
      <c r="B2008" s="83">
        <v>990</v>
      </c>
      <c r="C2008" s="84" t="s">
        <v>401</v>
      </c>
      <c r="D2008" s="84" t="s">
        <v>574</v>
      </c>
      <c r="E2008" s="114">
        <v>10</v>
      </c>
      <c r="F2008" s="90" t="s">
        <v>1604</v>
      </c>
      <c r="G2008" s="91" t="s">
        <v>3784</v>
      </c>
      <c r="H2008" s="98" t="s">
        <v>16</v>
      </c>
      <c r="I2008" s="99" t="s">
        <v>377</v>
      </c>
      <c r="J2008" s="83" t="s">
        <v>1637</v>
      </c>
      <c r="K2008" s="89" t="s">
        <v>7080</v>
      </c>
      <c r="L2008" s="89" t="s">
        <v>1677</v>
      </c>
      <c r="M2008" s="89" t="s">
        <v>1456</v>
      </c>
      <c r="N2008" s="89" t="s">
        <v>910</v>
      </c>
      <c r="O2008" s="87" t="s">
        <v>7220</v>
      </c>
      <c r="P2008" s="110"/>
      <c r="Q2008" s="85" t="s">
        <v>821</v>
      </c>
      <c r="R2008" s="92" t="s">
        <v>7221</v>
      </c>
      <c r="S2008" s="103" t="s">
        <v>7222</v>
      </c>
      <c r="T2008" s="88" t="s">
        <v>3735</v>
      </c>
      <c r="U2008" s="50" t="s">
        <v>7940</v>
      </c>
      <c r="V2008" s="118" t="str">
        <f>+Agencia[[#This Row],[idcoleccion]]&amp;"-"&amp;Agencia[[#This Row],[id]]</f>
        <v>990-1997</v>
      </c>
      <c r="W2008" s="121">
        <v>99200010</v>
      </c>
      <c r="X2008" s="118" t="str">
        <f>+VLOOKUP(Agencia[[#This Row],[tema]],Estructura!$A$4:$C$500,3,0)</f>
        <v>T-1015</v>
      </c>
      <c r="Y2008" s="118" t="str">
        <f>+VLOOKUP(Agencia[[#This Row],[contenido]],Estructura!$E$4:$G$500,3,0)</f>
        <v>C-1010</v>
      </c>
      <c r="Z2008" s="118" t="str">
        <f>+VLOOKUP(Agencia[[#This Row],[Filtro Integrado]],Estructura!$I$4:$K$500,3,0)</f>
        <v>FI-1002</v>
      </c>
      <c r="AA2008" s="118" t="str">
        <f>+VLOOKUP(Agencia[[#This Row],[Muestra]],Estructura!$M$4:$O$500,3,0)</f>
        <v>M-1165</v>
      </c>
    </row>
    <row r="2009" spans="1:27" ht="51" x14ac:dyDescent="0.3">
      <c r="A2009" s="21" t="s">
        <v>8276</v>
      </c>
      <c r="B2009" s="83">
        <v>990</v>
      </c>
      <c r="C2009" s="84" t="s">
        <v>401</v>
      </c>
      <c r="D2009" s="84" t="s">
        <v>574</v>
      </c>
      <c r="E2009" s="114">
        <v>11</v>
      </c>
      <c r="F2009" s="90" t="s">
        <v>1604</v>
      </c>
      <c r="G2009" s="91" t="s">
        <v>3784</v>
      </c>
      <c r="H2009" s="98" t="s">
        <v>16</v>
      </c>
      <c r="I2009" s="99" t="s">
        <v>378</v>
      </c>
      <c r="J2009" s="83" t="s">
        <v>1637</v>
      </c>
      <c r="K2009" s="89" t="s">
        <v>7080</v>
      </c>
      <c r="L2009" s="89" t="s">
        <v>1677</v>
      </c>
      <c r="M2009" s="89" t="s">
        <v>1456</v>
      </c>
      <c r="N2009" s="89" t="s">
        <v>910</v>
      </c>
      <c r="O2009" s="87" t="s">
        <v>7223</v>
      </c>
      <c r="P2009" s="110"/>
      <c r="Q2009" s="85" t="s">
        <v>821</v>
      </c>
      <c r="R2009" s="92" t="s">
        <v>7224</v>
      </c>
      <c r="S2009" s="103" t="s">
        <v>7225</v>
      </c>
      <c r="T2009" s="88" t="s">
        <v>3732</v>
      </c>
      <c r="U2009" s="50" t="s">
        <v>7941</v>
      </c>
      <c r="V2009" s="118" t="str">
        <f>+Agencia[[#This Row],[idcoleccion]]&amp;"-"&amp;Agencia[[#This Row],[id]]</f>
        <v>990-1998</v>
      </c>
      <c r="W2009" s="121">
        <v>99200011</v>
      </c>
      <c r="X2009" s="118" t="str">
        <f>+VLOOKUP(Agencia[[#This Row],[tema]],Estructura!$A$4:$C$500,3,0)</f>
        <v>T-1015</v>
      </c>
      <c r="Y2009" s="118" t="str">
        <f>+VLOOKUP(Agencia[[#This Row],[contenido]],Estructura!$E$4:$G$500,3,0)</f>
        <v>C-1010</v>
      </c>
      <c r="Z2009" s="118" t="str">
        <f>+VLOOKUP(Agencia[[#This Row],[Filtro Integrado]],Estructura!$I$4:$K$500,3,0)</f>
        <v>FI-1002</v>
      </c>
      <c r="AA2009" s="118" t="str">
        <f>+VLOOKUP(Agencia[[#This Row],[Muestra]],Estructura!$M$4:$O$500,3,0)</f>
        <v>M-1165</v>
      </c>
    </row>
    <row r="2010" spans="1:27" ht="51" x14ac:dyDescent="0.3">
      <c r="A2010" s="21" t="s">
        <v>8277</v>
      </c>
      <c r="B2010" s="83">
        <v>990</v>
      </c>
      <c r="C2010" s="84" t="s">
        <v>401</v>
      </c>
      <c r="D2010" s="84" t="s">
        <v>574</v>
      </c>
      <c r="E2010" s="114">
        <v>12</v>
      </c>
      <c r="F2010" s="90" t="s">
        <v>1604</v>
      </c>
      <c r="G2010" s="91" t="s">
        <v>3784</v>
      </c>
      <c r="H2010" s="98" t="s">
        <v>16</v>
      </c>
      <c r="I2010" s="99" t="s">
        <v>379</v>
      </c>
      <c r="J2010" s="83" t="s">
        <v>1637</v>
      </c>
      <c r="K2010" s="89" t="s">
        <v>7080</v>
      </c>
      <c r="L2010" s="89" t="s">
        <v>1677</v>
      </c>
      <c r="M2010" s="89" t="s">
        <v>1456</v>
      </c>
      <c r="N2010" s="89" t="s">
        <v>910</v>
      </c>
      <c r="O2010" s="87" t="s">
        <v>7226</v>
      </c>
      <c r="P2010" s="110"/>
      <c r="Q2010" s="85" t="s">
        <v>821</v>
      </c>
      <c r="R2010" s="92" t="s">
        <v>7227</v>
      </c>
      <c r="S2010" s="103" t="s">
        <v>7228</v>
      </c>
      <c r="T2010" s="88" t="s">
        <v>3737</v>
      </c>
      <c r="U2010" s="50" t="s">
        <v>7942</v>
      </c>
      <c r="V2010" s="118" t="str">
        <f>+Agencia[[#This Row],[idcoleccion]]&amp;"-"&amp;Agencia[[#This Row],[id]]</f>
        <v>990-1999</v>
      </c>
      <c r="W2010" s="121">
        <v>99200012</v>
      </c>
      <c r="X2010" s="118" t="str">
        <f>+VLOOKUP(Agencia[[#This Row],[tema]],Estructura!$A$4:$C$500,3,0)</f>
        <v>T-1015</v>
      </c>
      <c r="Y2010" s="118" t="str">
        <f>+VLOOKUP(Agencia[[#This Row],[contenido]],Estructura!$E$4:$G$500,3,0)</f>
        <v>C-1010</v>
      </c>
      <c r="Z2010" s="118" t="str">
        <f>+VLOOKUP(Agencia[[#This Row],[Filtro Integrado]],Estructura!$I$4:$K$500,3,0)</f>
        <v>FI-1002</v>
      </c>
      <c r="AA2010" s="118" t="str">
        <f>+VLOOKUP(Agencia[[#This Row],[Muestra]],Estructura!$M$4:$O$500,3,0)</f>
        <v>M-1165</v>
      </c>
    </row>
    <row r="2011" spans="1:27" ht="51" x14ac:dyDescent="0.3">
      <c r="A2011" s="21" t="s">
        <v>8278</v>
      </c>
      <c r="B2011" s="83">
        <v>990</v>
      </c>
      <c r="C2011" s="84" t="s">
        <v>401</v>
      </c>
      <c r="D2011" s="84" t="s">
        <v>574</v>
      </c>
      <c r="E2011" s="114">
        <v>13</v>
      </c>
      <c r="F2011" s="90" t="s">
        <v>1604</v>
      </c>
      <c r="G2011" s="91" t="s">
        <v>3784</v>
      </c>
      <c r="H2011" s="98" t="s">
        <v>16</v>
      </c>
      <c r="I2011" s="99" t="s">
        <v>380</v>
      </c>
      <c r="J2011" s="83" t="s">
        <v>1637</v>
      </c>
      <c r="K2011" s="89" t="s">
        <v>7080</v>
      </c>
      <c r="L2011" s="89" t="s">
        <v>1677</v>
      </c>
      <c r="M2011" s="89" t="s">
        <v>1456</v>
      </c>
      <c r="N2011" s="89" t="s">
        <v>910</v>
      </c>
      <c r="O2011" s="87" t="s">
        <v>7229</v>
      </c>
      <c r="P2011" s="110"/>
      <c r="Q2011" s="85" t="s">
        <v>821</v>
      </c>
      <c r="R2011" s="92" t="s">
        <v>7230</v>
      </c>
      <c r="S2011" s="103" t="s">
        <v>7231</v>
      </c>
      <c r="T2011" s="88" t="s">
        <v>3744</v>
      </c>
      <c r="U2011" s="50" t="s">
        <v>7943</v>
      </c>
      <c r="V2011" s="118" t="str">
        <f>+Agencia[[#This Row],[idcoleccion]]&amp;"-"&amp;Agencia[[#This Row],[id]]</f>
        <v>990-2000</v>
      </c>
      <c r="W2011" s="121">
        <v>99200013</v>
      </c>
      <c r="X2011" s="118" t="str">
        <f>+VLOOKUP(Agencia[[#This Row],[tema]],Estructura!$A$4:$C$500,3,0)</f>
        <v>T-1015</v>
      </c>
      <c r="Y2011" s="118" t="str">
        <f>+VLOOKUP(Agencia[[#This Row],[contenido]],Estructura!$E$4:$G$500,3,0)</f>
        <v>C-1010</v>
      </c>
      <c r="Z2011" s="118" t="str">
        <f>+VLOOKUP(Agencia[[#This Row],[Filtro Integrado]],Estructura!$I$4:$K$500,3,0)</f>
        <v>FI-1002</v>
      </c>
      <c r="AA2011" s="118" t="str">
        <f>+VLOOKUP(Agencia[[#This Row],[Muestra]],Estructura!$M$4:$O$500,3,0)</f>
        <v>M-1165</v>
      </c>
    </row>
    <row r="2012" spans="1:27" ht="51" x14ac:dyDescent="0.3">
      <c r="A2012" s="21" t="s">
        <v>8279</v>
      </c>
      <c r="B2012" s="83">
        <v>990</v>
      </c>
      <c r="C2012" s="84" t="s">
        <v>401</v>
      </c>
      <c r="D2012" s="84" t="s">
        <v>574</v>
      </c>
      <c r="E2012" s="114">
        <v>14</v>
      </c>
      <c r="F2012" s="90" t="s">
        <v>1604</v>
      </c>
      <c r="G2012" s="91" t="s">
        <v>3784</v>
      </c>
      <c r="H2012" s="98" t="s">
        <v>16</v>
      </c>
      <c r="I2012" s="99" t="s">
        <v>381</v>
      </c>
      <c r="J2012" s="83" t="s">
        <v>1637</v>
      </c>
      <c r="K2012" s="89" t="s">
        <v>7080</v>
      </c>
      <c r="L2012" s="89" t="s">
        <v>1677</v>
      </c>
      <c r="M2012" s="89" t="s">
        <v>1456</v>
      </c>
      <c r="N2012" s="89" t="s">
        <v>910</v>
      </c>
      <c r="O2012" s="87" t="s">
        <v>7232</v>
      </c>
      <c r="P2012" s="110"/>
      <c r="Q2012" s="85" t="s">
        <v>821</v>
      </c>
      <c r="R2012" s="92" t="s">
        <v>7233</v>
      </c>
      <c r="S2012" s="103" t="s">
        <v>7234</v>
      </c>
      <c r="T2012" s="88" t="s">
        <v>3736</v>
      </c>
      <c r="U2012" s="50" t="s">
        <v>7944</v>
      </c>
      <c r="V2012" s="118" t="str">
        <f>+Agencia[[#This Row],[idcoleccion]]&amp;"-"&amp;Agencia[[#This Row],[id]]</f>
        <v>990-2001</v>
      </c>
      <c r="W2012" s="121">
        <v>99200014</v>
      </c>
      <c r="X2012" s="118" t="str">
        <f>+VLOOKUP(Agencia[[#This Row],[tema]],Estructura!$A$4:$C$500,3,0)</f>
        <v>T-1015</v>
      </c>
      <c r="Y2012" s="118" t="str">
        <f>+VLOOKUP(Agencia[[#This Row],[contenido]],Estructura!$E$4:$G$500,3,0)</f>
        <v>C-1010</v>
      </c>
      <c r="Z2012" s="118" t="str">
        <f>+VLOOKUP(Agencia[[#This Row],[Filtro Integrado]],Estructura!$I$4:$K$500,3,0)</f>
        <v>FI-1002</v>
      </c>
      <c r="AA2012" s="118" t="str">
        <f>+VLOOKUP(Agencia[[#This Row],[Muestra]],Estructura!$M$4:$O$500,3,0)</f>
        <v>M-1165</v>
      </c>
    </row>
    <row r="2013" spans="1:27" ht="51" x14ac:dyDescent="0.3">
      <c r="A2013" s="21" t="s">
        <v>8280</v>
      </c>
      <c r="B2013" s="83">
        <v>990</v>
      </c>
      <c r="C2013" s="84" t="s">
        <v>401</v>
      </c>
      <c r="D2013" s="84" t="s">
        <v>574</v>
      </c>
      <c r="E2013" s="114">
        <v>15</v>
      </c>
      <c r="F2013" s="90" t="s">
        <v>1604</v>
      </c>
      <c r="G2013" s="91" t="s">
        <v>3784</v>
      </c>
      <c r="H2013" s="98" t="s">
        <v>16</v>
      </c>
      <c r="I2013" s="99" t="s">
        <v>382</v>
      </c>
      <c r="J2013" s="83" t="s">
        <v>1637</v>
      </c>
      <c r="K2013" s="89" t="s">
        <v>7080</v>
      </c>
      <c r="L2013" s="89" t="s">
        <v>1677</v>
      </c>
      <c r="M2013" s="89" t="s">
        <v>1456</v>
      </c>
      <c r="N2013" s="89" t="s">
        <v>910</v>
      </c>
      <c r="O2013" s="87" t="s">
        <v>7235</v>
      </c>
      <c r="P2013" s="110"/>
      <c r="Q2013" s="85" t="s">
        <v>821</v>
      </c>
      <c r="R2013" s="92" t="s">
        <v>7236</v>
      </c>
      <c r="S2013" s="103" t="s">
        <v>7237</v>
      </c>
      <c r="T2013" s="88" t="s">
        <v>3730</v>
      </c>
      <c r="U2013" s="50" t="s">
        <v>7945</v>
      </c>
      <c r="V2013" s="118" t="str">
        <f>+Agencia[[#This Row],[idcoleccion]]&amp;"-"&amp;Agencia[[#This Row],[id]]</f>
        <v>990-2002</v>
      </c>
      <c r="W2013" s="121">
        <v>99200015</v>
      </c>
      <c r="X2013" s="118" t="str">
        <f>+VLOOKUP(Agencia[[#This Row],[tema]],Estructura!$A$4:$C$500,3,0)</f>
        <v>T-1015</v>
      </c>
      <c r="Y2013" s="118" t="str">
        <f>+VLOOKUP(Agencia[[#This Row],[contenido]],Estructura!$E$4:$G$500,3,0)</f>
        <v>C-1010</v>
      </c>
      <c r="Z2013" s="118" t="str">
        <f>+VLOOKUP(Agencia[[#This Row],[Filtro Integrado]],Estructura!$I$4:$K$500,3,0)</f>
        <v>FI-1002</v>
      </c>
      <c r="AA2013" s="118" t="str">
        <f>+VLOOKUP(Agencia[[#This Row],[Muestra]],Estructura!$M$4:$O$500,3,0)</f>
        <v>M-1165</v>
      </c>
    </row>
    <row r="2014" spans="1:27" ht="51" x14ac:dyDescent="0.3">
      <c r="A2014" s="21" t="s">
        <v>8281</v>
      </c>
      <c r="B2014" s="89">
        <v>990</v>
      </c>
      <c r="C2014" s="90" t="s">
        <v>401</v>
      </c>
      <c r="D2014" s="90" t="s">
        <v>574</v>
      </c>
      <c r="E2014" s="114">
        <v>16</v>
      </c>
      <c r="F2014" s="90" t="s">
        <v>1604</v>
      </c>
      <c r="G2014" s="91" t="s">
        <v>3784</v>
      </c>
      <c r="H2014" s="98" t="s">
        <v>16</v>
      </c>
      <c r="I2014" s="99" t="s">
        <v>383</v>
      </c>
      <c r="J2014" s="83" t="s">
        <v>1637</v>
      </c>
      <c r="K2014" s="89" t="s">
        <v>7080</v>
      </c>
      <c r="L2014" s="89" t="s">
        <v>1677</v>
      </c>
      <c r="M2014" s="89" t="s">
        <v>1456</v>
      </c>
      <c r="N2014" s="89" t="s">
        <v>910</v>
      </c>
      <c r="O2014" s="87" t="s">
        <v>7238</v>
      </c>
      <c r="P2014" s="109"/>
      <c r="Q2014" s="93" t="s">
        <v>821</v>
      </c>
      <c r="R2014" s="92" t="s">
        <v>7239</v>
      </c>
      <c r="S2014" s="103" t="s">
        <v>7240</v>
      </c>
      <c r="T2014" s="94" t="s">
        <v>3739</v>
      </c>
      <c r="U2014" s="50" t="s">
        <v>7946</v>
      </c>
      <c r="V2014" s="118" t="str">
        <f>+Agencia[[#This Row],[idcoleccion]]&amp;"-"&amp;Agencia[[#This Row],[id]]</f>
        <v>990-2003</v>
      </c>
      <c r="W2014" s="121">
        <v>99200016</v>
      </c>
      <c r="X2014" s="118" t="str">
        <f>+VLOOKUP(Agencia[[#This Row],[tema]],Estructura!$A$4:$C$500,3,0)</f>
        <v>T-1015</v>
      </c>
      <c r="Y2014" s="118" t="str">
        <f>+VLOOKUP(Agencia[[#This Row],[contenido]],Estructura!$E$4:$G$500,3,0)</f>
        <v>C-1010</v>
      </c>
      <c r="Z2014" s="118" t="str">
        <f>+VLOOKUP(Agencia[[#This Row],[Filtro Integrado]],Estructura!$I$4:$K$500,3,0)</f>
        <v>FI-1002</v>
      </c>
      <c r="AA2014" s="118" t="str">
        <f>+VLOOKUP(Agencia[[#This Row],[Muestra]],Estructura!$M$4:$O$500,3,0)</f>
        <v>M-1165</v>
      </c>
    </row>
    <row r="2015" spans="1:27" ht="81.599999999999994" x14ac:dyDescent="0.3">
      <c r="A2015" s="21" t="s">
        <v>8282</v>
      </c>
      <c r="B2015" s="89">
        <v>990</v>
      </c>
      <c r="C2015" s="90" t="s">
        <v>401</v>
      </c>
      <c r="D2015" s="90" t="s">
        <v>574</v>
      </c>
      <c r="E2015" s="115">
        <v>0</v>
      </c>
      <c r="F2015" s="90" t="s">
        <v>1604</v>
      </c>
      <c r="G2015" s="91" t="s">
        <v>3784</v>
      </c>
      <c r="H2015" s="96" t="s">
        <v>20</v>
      </c>
      <c r="I2015" s="97" t="s">
        <v>15</v>
      </c>
      <c r="J2015" s="83" t="s">
        <v>16</v>
      </c>
      <c r="K2015" s="89" t="s">
        <v>7080</v>
      </c>
      <c r="L2015" s="89" t="s">
        <v>1677</v>
      </c>
      <c r="M2015" s="89" t="s">
        <v>1456</v>
      </c>
      <c r="N2015" s="89" t="s">
        <v>910</v>
      </c>
      <c r="O2015" s="87" t="s">
        <v>7241</v>
      </c>
      <c r="P2015" s="95" t="s">
        <v>7242</v>
      </c>
      <c r="Q2015" s="85" t="s">
        <v>821</v>
      </c>
      <c r="R2015" s="92" t="s">
        <v>7243</v>
      </c>
      <c r="S2015" s="103" t="s">
        <v>7244</v>
      </c>
      <c r="T2015" s="88" t="s">
        <v>855</v>
      </c>
      <c r="U2015" s="50" t="s">
        <v>7947</v>
      </c>
      <c r="V2015" s="118" t="str">
        <f>+Agencia[[#This Row],[idcoleccion]]&amp;"-"&amp;Agencia[[#This Row],[id]]</f>
        <v>990-2004</v>
      </c>
      <c r="W2015" s="121">
        <v>99100000</v>
      </c>
      <c r="X2015" s="118" t="str">
        <f>+VLOOKUP(Agencia[[#This Row],[tema]],Estructura!$A$4:$C$500,3,0)</f>
        <v>T-1015</v>
      </c>
      <c r="Y2015" s="118" t="str">
        <f>+VLOOKUP(Agencia[[#This Row],[contenido]],Estructura!$E$4:$G$500,3,0)</f>
        <v>C-1010</v>
      </c>
      <c r="Z2015" s="118" t="str">
        <f>+VLOOKUP(Agencia[[#This Row],[Filtro Integrado]],Estructura!$I$4:$K$500,3,0)</f>
        <v>FI-992</v>
      </c>
      <c r="AA2015" s="118" t="str">
        <f>+VLOOKUP(Agencia[[#This Row],[Muestra]],Estructura!$M$4:$O$500,3,0)</f>
        <v>M-1165</v>
      </c>
    </row>
    <row r="2016" spans="1:27" ht="51" x14ac:dyDescent="0.3">
      <c r="A2016" s="21" t="s">
        <v>8283</v>
      </c>
      <c r="B2016" s="83">
        <v>990</v>
      </c>
      <c r="C2016" s="84" t="s">
        <v>401</v>
      </c>
      <c r="D2016" s="84" t="s">
        <v>574</v>
      </c>
      <c r="E2016" s="114">
        <v>1</v>
      </c>
      <c r="F2016" s="90" t="s">
        <v>1604</v>
      </c>
      <c r="G2016" s="91" t="s">
        <v>3784</v>
      </c>
      <c r="H2016" s="98" t="s">
        <v>16</v>
      </c>
      <c r="I2016" s="99" t="s">
        <v>368</v>
      </c>
      <c r="J2016" s="83" t="s">
        <v>404</v>
      </c>
      <c r="K2016" s="89" t="s">
        <v>7080</v>
      </c>
      <c r="L2016" s="89" t="s">
        <v>1677</v>
      </c>
      <c r="M2016" s="89" t="s">
        <v>1456</v>
      </c>
      <c r="N2016" s="89" t="s">
        <v>910</v>
      </c>
      <c r="O2016" s="87" t="s">
        <v>7245</v>
      </c>
      <c r="P2016" s="110"/>
      <c r="Q2016" s="85" t="s">
        <v>821</v>
      </c>
      <c r="R2016" s="92" t="s">
        <v>7246</v>
      </c>
      <c r="S2016" s="103" t="s">
        <v>7247</v>
      </c>
      <c r="T2016" s="88" t="s">
        <v>3757</v>
      </c>
      <c r="U2016" s="50" t="s">
        <v>7948</v>
      </c>
      <c r="V2016" s="118" t="str">
        <f>+Agencia[[#This Row],[idcoleccion]]&amp;"-"&amp;Agencia[[#This Row],[id]]</f>
        <v>990-2005</v>
      </c>
      <c r="W2016" s="121">
        <v>99200001</v>
      </c>
      <c r="X2016" s="118" t="str">
        <f>+VLOOKUP(Agencia[[#This Row],[tema]],Estructura!$A$4:$C$500,3,0)</f>
        <v>T-1015</v>
      </c>
      <c r="Y2016" s="118" t="str">
        <f>+VLOOKUP(Agencia[[#This Row],[contenido]],Estructura!$E$4:$G$500,3,0)</f>
        <v>C-1010</v>
      </c>
      <c r="Z2016" s="118" t="str">
        <f>+VLOOKUP(Agencia[[#This Row],[Filtro Integrado]],Estructura!$I$4:$K$500,3,0)</f>
        <v>FI-993</v>
      </c>
      <c r="AA2016" s="118" t="str">
        <f>+VLOOKUP(Agencia[[#This Row],[Muestra]],Estructura!$M$4:$O$500,3,0)</f>
        <v>M-1165</v>
      </c>
    </row>
    <row r="2017" spans="1:27" ht="51" x14ac:dyDescent="0.3">
      <c r="A2017" s="21" t="s">
        <v>8284</v>
      </c>
      <c r="B2017" s="83">
        <v>990</v>
      </c>
      <c r="C2017" s="84" t="s">
        <v>401</v>
      </c>
      <c r="D2017" s="84" t="s">
        <v>574</v>
      </c>
      <c r="E2017" s="114">
        <v>2</v>
      </c>
      <c r="F2017" s="90" t="s">
        <v>1604</v>
      </c>
      <c r="G2017" s="91" t="s">
        <v>3784</v>
      </c>
      <c r="H2017" s="98" t="s">
        <v>16</v>
      </c>
      <c r="I2017" s="99" t="s">
        <v>369</v>
      </c>
      <c r="J2017" s="83" t="s">
        <v>404</v>
      </c>
      <c r="K2017" s="89" t="s">
        <v>7080</v>
      </c>
      <c r="L2017" s="89" t="s">
        <v>1677</v>
      </c>
      <c r="M2017" s="89" t="s">
        <v>1456</v>
      </c>
      <c r="N2017" s="89" t="s">
        <v>910</v>
      </c>
      <c r="O2017" s="87" t="s">
        <v>7248</v>
      </c>
      <c r="P2017" s="110"/>
      <c r="Q2017" s="85" t="s">
        <v>821</v>
      </c>
      <c r="R2017" s="92" t="s">
        <v>7249</v>
      </c>
      <c r="S2017" s="103" t="s">
        <v>7250</v>
      </c>
      <c r="T2017" s="88" t="s">
        <v>3745</v>
      </c>
      <c r="U2017" s="50" t="s">
        <v>7949</v>
      </c>
      <c r="V2017" s="118" t="str">
        <f>+Agencia[[#This Row],[idcoleccion]]&amp;"-"&amp;Agencia[[#This Row],[id]]</f>
        <v>990-2006</v>
      </c>
      <c r="W2017" s="121">
        <v>99200002</v>
      </c>
      <c r="X2017" s="118" t="str">
        <f>+VLOOKUP(Agencia[[#This Row],[tema]],Estructura!$A$4:$C$500,3,0)</f>
        <v>T-1015</v>
      </c>
      <c r="Y2017" s="118" t="str">
        <f>+VLOOKUP(Agencia[[#This Row],[contenido]],Estructura!$E$4:$G$500,3,0)</f>
        <v>C-1010</v>
      </c>
      <c r="Z2017" s="118" t="str">
        <f>+VLOOKUP(Agencia[[#This Row],[Filtro Integrado]],Estructura!$I$4:$K$500,3,0)</f>
        <v>FI-993</v>
      </c>
      <c r="AA2017" s="118" t="str">
        <f>+VLOOKUP(Agencia[[#This Row],[Muestra]],Estructura!$M$4:$O$500,3,0)</f>
        <v>M-1165</v>
      </c>
    </row>
    <row r="2018" spans="1:27" ht="51" x14ac:dyDescent="0.3">
      <c r="A2018" s="21" t="s">
        <v>8285</v>
      </c>
      <c r="B2018" s="83">
        <v>990</v>
      </c>
      <c r="C2018" s="84" t="s">
        <v>401</v>
      </c>
      <c r="D2018" s="84" t="s">
        <v>574</v>
      </c>
      <c r="E2018" s="114">
        <v>3</v>
      </c>
      <c r="F2018" s="90" t="s">
        <v>1604</v>
      </c>
      <c r="G2018" s="91" t="s">
        <v>3784</v>
      </c>
      <c r="H2018" s="98" t="s">
        <v>16</v>
      </c>
      <c r="I2018" s="99" t="s">
        <v>370</v>
      </c>
      <c r="J2018" s="83" t="s">
        <v>404</v>
      </c>
      <c r="K2018" s="89" t="s">
        <v>7080</v>
      </c>
      <c r="L2018" s="89" t="s">
        <v>1677</v>
      </c>
      <c r="M2018" s="89" t="s">
        <v>1456</v>
      </c>
      <c r="N2018" s="89" t="s">
        <v>910</v>
      </c>
      <c r="O2018" s="87" t="s">
        <v>7251</v>
      </c>
      <c r="P2018" s="110"/>
      <c r="Q2018" s="85" t="s">
        <v>821</v>
      </c>
      <c r="R2018" s="92" t="s">
        <v>7252</v>
      </c>
      <c r="S2018" s="103" t="s">
        <v>7253</v>
      </c>
      <c r="T2018" s="88" t="s">
        <v>3747</v>
      </c>
      <c r="U2018" s="50" t="s">
        <v>7950</v>
      </c>
      <c r="V2018" s="118" t="str">
        <f>+Agencia[[#This Row],[idcoleccion]]&amp;"-"&amp;Agencia[[#This Row],[id]]</f>
        <v>990-2007</v>
      </c>
      <c r="W2018" s="121">
        <v>99200003</v>
      </c>
      <c r="X2018" s="118" t="str">
        <f>+VLOOKUP(Agencia[[#This Row],[tema]],Estructura!$A$4:$C$500,3,0)</f>
        <v>T-1015</v>
      </c>
      <c r="Y2018" s="118" t="str">
        <f>+VLOOKUP(Agencia[[#This Row],[contenido]],Estructura!$E$4:$G$500,3,0)</f>
        <v>C-1010</v>
      </c>
      <c r="Z2018" s="118" t="str">
        <f>+VLOOKUP(Agencia[[#This Row],[Filtro Integrado]],Estructura!$I$4:$K$500,3,0)</f>
        <v>FI-993</v>
      </c>
      <c r="AA2018" s="118" t="str">
        <f>+VLOOKUP(Agencia[[#This Row],[Muestra]],Estructura!$M$4:$O$500,3,0)</f>
        <v>M-1165</v>
      </c>
    </row>
    <row r="2019" spans="1:27" ht="51" x14ac:dyDescent="0.3">
      <c r="A2019" s="21" t="s">
        <v>8286</v>
      </c>
      <c r="B2019" s="83">
        <v>990</v>
      </c>
      <c r="C2019" s="84" t="s">
        <v>401</v>
      </c>
      <c r="D2019" s="84" t="s">
        <v>574</v>
      </c>
      <c r="E2019" s="114">
        <v>4</v>
      </c>
      <c r="F2019" s="90" t="s">
        <v>1604</v>
      </c>
      <c r="G2019" s="91" t="s">
        <v>3784</v>
      </c>
      <c r="H2019" s="98" t="s">
        <v>16</v>
      </c>
      <c r="I2019" s="99" t="s">
        <v>371</v>
      </c>
      <c r="J2019" s="83" t="s">
        <v>404</v>
      </c>
      <c r="K2019" s="89" t="s">
        <v>7080</v>
      </c>
      <c r="L2019" s="89" t="s">
        <v>1677</v>
      </c>
      <c r="M2019" s="89" t="s">
        <v>1456</v>
      </c>
      <c r="N2019" s="89" t="s">
        <v>910</v>
      </c>
      <c r="O2019" s="87" t="s">
        <v>7254</v>
      </c>
      <c r="P2019" s="110"/>
      <c r="Q2019" s="85" t="s">
        <v>821</v>
      </c>
      <c r="R2019" s="92" t="s">
        <v>7255</v>
      </c>
      <c r="S2019" s="103" t="s">
        <v>7256</v>
      </c>
      <c r="T2019" s="88" t="s">
        <v>3749</v>
      </c>
      <c r="U2019" s="50" t="s">
        <v>7951</v>
      </c>
      <c r="V2019" s="118" t="str">
        <f>+Agencia[[#This Row],[idcoleccion]]&amp;"-"&amp;Agencia[[#This Row],[id]]</f>
        <v>990-2008</v>
      </c>
      <c r="W2019" s="121">
        <v>99200004</v>
      </c>
      <c r="X2019" s="118" t="str">
        <f>+VLOOKUP(Agencia[[#This Row],[tema]],Estructura!$A$4:$C$500,3,0)</f>
        <v>T-1015</v>
      </c>
      <c r="Y2019" s="118" t="str">
        <f>+VLOOKUP(Agencia[[#This Row],[contenido]],Estructura!$E$4:$G$500,3,0)</f>
        <v>C-1010</v>
      </c>
      <c r="Z2019" s="118" t="str">
        <f>+VLOOKUP(Agencia[[#This Row],[Filtro Integrado]],Estructura!$I$4:$K$500,3,0)</f>
        <v>FI-993</v>
      </c>
      <c r="AA2019" s="118" t="str">
        <f>+VLOOKUP(Agencia[[#This Row],[Muestra]],Estructura!$M$4:$O$500,3,0)</f>
        <v>M-1165</v>
      </c>
    </row>
    <row r="2020" spans="1:27" ht="51" x14ac:dyDescent="0.3">
      <c r="A2020" s="21" t="s">
        <v>8287</v>
      </c>
      <c r="B2020" s="83">
        <v>990</v>
      </c>
      <c r="C2020" s="84" t="s">
        <v>401</v>
      </c>
      <c r="D2020" s="84" t="s">
        <v>574</v>
      </c>
      <c r="E2020" s="114">
        <v>5</v>
      </c>
      <c r="F2020" s="90" t="s">
        <v>1604</v>
      </c>
      <c r="G2020" s="91" t="s">
        <v>3784</v>
      </c>
      <c r="H2020" s="98" t="s">
        <v>16</v>
      </c>
      <c r="I2020" s="99" t="s">
        <v>372</v>
      </c>
      <c r="J2020" s="83" t="s">
        <v>404</v>
      </c>
      <c r="K2020" s="89" t="s">
        <v>7080</v>
      </c>
      <c r="L2020" s="89" t="s">
        <v>1677</v>
      </c>
      <c r="M2020" s="89" t="s">
        <v>1456</v>
      </c>
      <c r="N2020" s="89" t="s">
        <v>910</v>
      </c>
      <c r="O2020" s="87" t="s">
        <v>7257</v>
      </c>
      <c r="P2020" s="110"/>
      <c r="Q2020" s="85" t="s">
        <v>821</v>
      </c>
      <c r="R2020" s="92" t="s">
        <v>7258</v>
      </c>
      <c r="S2020" s="103" t="s">
        <v>7259</v>
      </c>
      <c r="T2020" s="88" t="s">
        <v>3758</v>
      </c>
      <c r="U2020" s="50" t="s">
        <v>7952</v>
      </c>
      <c r="V2020" s="118" t="str">
        <f>+Agencia[[#This Row],[idcoleccion]]&amp;"-"&amp;Agencia[[#This Row],[id]]</f>
        <v>990-2009</v>
      </c>
      <c r="W2020" s="121">
        <v>99200005</v>
      </c>
      <c r="X2020" s="118" t="str">
        <f>+VLOOKUP(Agencia[[#This Row],[tema]],Estructura!$A$4:$C$500,3,0)</f>
        <v>T-1015</v>
      </c>
      <c r="Y2020" s="118" t="str">
        <f>+VLOOKUP(Agencia[[#This Row],[contenido]],Estructura!$E$4:$G$500,3,0)</f>
        <v>C-1010</v>
      </c>
      <c r="Z2020" s="118" t="str">
        <f>+VLOOKUP(Agencia[[#This Row],[Filtro Integrado]],Estructura!$I$4:$K$500,3,0)</f>
        <v>FI-993</v>
      </c>
      <c r="AA2020" s="118" t="str">
        <f>+VLOOKUP(Agencia[[#This Row],[Muestra]],Estructura!$M$4:$O$500,3,0)</f>
        <v>M-1165</v>
      </c>
    </row>
    <row r="2021" spans="1:27" ht="51" x14ac:dyDescent="0.3">
      <c r="A2021" s="21" t="s">
        <v>8288</v>
      </c>
      <c r="B2021" s="83">
        <v>990</v>
      </c>
      <c r="C2021" s="84" t="s">
        <v>401</v>
      </c>
      <c r="D2021" s="84" t="s">
        <v>574</v>
      </c>
      <c r="E2021" s="114">
        <v>6</v>
      </c>
      <c r="F2021" s="90" t="s">
        <v>1604</v>
      </c>
      <c r="G2021" s="91" t="s">
        <v>3784</v>
      </c>
      <c r="H2021" s="98" t="s">
        <v>16</v>
      </c>
      <c r="I2021" s="99" t="s">
        <v>373</v>
      </c>
      <c r="J2021" s="83" t="s">
        <v>404</v>
      </c>
      <c r="K2021" s="89" t="s">
        <v>7080</v>
      </c>
      <c r="L2021" s="89" t="s">
        <v>1677</v>
      </c>
      <c r="M2021" s="89" t="s">
        <v>1456</v>
      </c>
      <c r="N2021" s="89" t="s">
        <v>910</v>
      </c>
      <c r="O2021" s="87" t="s">
        <v>7260</v>
      </c>
      <c r="P2021" s="110"/>
      <c r="Q2021" s="85" t="s">
        <v>821</v>
      </c>
      <c r="R2021" s="92" t="s">
        <v>7261</v>
      </c>
      <c r="S2021" s="103" t="s">
        <v>7262</v>
      </c>
      <c r="T2021" s="88" t="s">
        <v>3756</v>
      </c>
      <c r="U2021" s="50" t="s">
        <v>7953</v>
      </c>
      <c r="V2021" s="118" t="str">
        <f>+Agencia[[#This Row],[idcoleccion]]&amp;"-"&amp;Agencia[[#This Row],[id]]</f>
        <v>990-2010</v>
      </c>
      <c r="W2021" s="121">
        <v>99200006</v>
      </c>
      <c r="X2021" s="118" t="str">
        <f>+VLOOKUP(Agencia[[#This Row],[tema]],Estructura!$A$4:$C$500,3,0)</f>
        <v>T-1015</v>
      </c>
      <c r="Y2021" s="118" t="str">
        <f>+VLOOKUP(Agencia[[#This Row],[contenido]],Estructura!$E$4:$G$500,3,0)</f>
        <v>C-1010</v>
      </c>
      <c r="Z2021" s="118" t="str">
        <f>+VLOOKUP(Agencia[[#This Row],[Filtro Integrado]],Estructura!$I$4:$K$500,3,0)</f>
        <v>FI-993</v>
      </c>
      <c r="AA2021" s="118" t="str">
        <f>+VLOOKUP(Agencia[[#This Row],[Muestra]],Estructura!$M$4:$O$500,3,0)</f>
        <v>M-1165</v>
      </c>
    </row>
    <row r="2022" spans="1:27" ht="51" x14ac:dyDescent="0.3">
      <c r="A2022" s="21" t="s">
        <v>8289</v>
      </c>
      <c r="B2022" s="83">
        <v>990</v>
      </c>
      <c r="C2022" s="84" t="s">
        <v>401</v>
      </c>
      <c r="D2022" s="84" t="s">
        <v>574</v>
      </c>
      <c r="E2022" s="114">
        <v>7</v>
      </c>
      <c r="F2022" s="90" t="s">
        <v>1604</v>
      </c>
      <c r="G2022" s="91" t="s">
        <v>3784</v>
      </c>
      <c r="H2022" s="98" t="s">
        <v>16</v>
      </c>
      <c r="I2022" s="99" t="s">
        <v>374</v>
      </c>
      <c r="J2022" s="83" t="s">
        <v>404</v>
      </c>
      <c r="K2022" s="89" t="s">
        <v>7080</v>
      </c>
      <c r="L2022" s="89" t="s">
        <v>1677</v>
      </c>
      <c r="M2022" s="89" t="s">
        <v>1456</v>
      </c>
      <c r="N2022" s="89" t="s">
        <v>910</v>
      </c>
      <c r="O2022" s="87" t="s">
        <v>7263</v>
      </c>
      <c r="P2022" s="110"/>
      <c r="Q2022" s="85" t="s">
        <v>821</v>
      </c>
      <c r="R2022" s="92" t="s">
        <v>7264</v>
      </c>
      <c r="S2022" s="103" t="s">
        <v>7265</v>
      </c>
      <c r="T2022" s="88" t="s">
        <v>3754</v>
      </c>
      <c r="U2022" s="50" t="s">
        <v>7954</v>
      </c>
      <c r="V2022" s="118" t="str">
        <f>+Agencia[[#This Row],[idcoleccion]]&amp;"-"&amp;Agencia[[#This Row],[id]]</f>
        <v>990-2011</v>
      </c>
      <c r="W2022" s="121">
        <v>99200007</v>
      </c>
      <c r="X2022" s="118" t="str">
        <f>+VLOOKUP(Agencia[[#This Row],[tema]],Estructura!$A$4:$C$500,3,0)</f>
        <v>T-1015</v>
      </c>
      <c r="Y2022" s="118" t="str">
        <f>+VLOOKUP(Agencia[[#This Row],[contenido]],Estructura!$E$4:$G$500,3,0)</f>
        <v>C-1010</v>
      </c>
      <c r="Z2022" s="118" t="str">
        <f>+VLOOKUP(Agencia[[#This Row],[Filtro Integrado]],Estructura!$I$4:$K$500,3,0)</f>
        <v>FI-993</v>
      </c>
      <c r="AA2022" s="118" t="str">
        <f>+VLOOKUP(Agencia[[#This Row],[Muestra]],Estructura!$M$4:$O$500,3,0)</f>
        <v>M-1165</v>
      </c>
    </row>
    <row r="2023" spans="1:27" ht="51" x14ac:dyDescent="0.3">
      <c r="A2023" s="21" t="s">
        <v>8290</v>
      </c>
      <c r="B2023" s="83">
        <v>990</v>
      </c>
      <c r="C2023" s="84" t="s">
        <v>401</v>
      </c>
      <c r="D2023" s="84" t="s">
        <v>574</v>
      </c>
      <c r="E2023" s="114">
        <v>8</v>
      </c>
      <c r="F2023" s="90" t="s">
        <v>1604</v>
      </c>
      <c r="G2023" s="91" t="s">
        <v>3784</v>
      </c>
      <c r="H2023" s="98" t="s">
        <v>16</v>
      </c>
      <c r="I2023" s="99" t="s">
        <v>375</v>
      </c>
      <c r="J2023" s="83" t="s">
        <v>404</v>
      </c>
      <c r="K2023" s="89" t="s">
        <v>7080</v>
      </c>
      <c r="L2023" s="89" t="s">
        <v>1677</v>
      </c>
      <c r="M2023" s="89" t="s">
        <v>1456</v>
      </c>
      <c r="N2023" s="89" t="s">
        <v>910</v>
      </c>
      <c r="O2023" s="87" t="s">
        <v>7266</v>
      </c>
      <c r="P2023" s="110"/>
      <c r="Q2023" s="85" t="s">
        <v>821</v>
      </c>
      <c r="R2023" s="92" t="s">
        <v>7267</v>
      </c>
      <c r="S2023" s="103" t="s">
        <v>7268</v>
      </c>
      <c r="T2023" s="88" t="s">
        <v>3759</v>
      </c>
      <c r="U2023" s="50" t="s">
        <v>7955</v>
      </c>
      <c r="V2023" s="118" t="str">
        <f>+Agencia[[#This Row],[idcoleccion]]&amp;"-"&amp;Agencia[[#This Row],[id]]</f>
        <v>990-2012</v>
      </c>
      <c r="W2023" s="121">
        <v>99200008</v>
      </c>
      <c r="X2023" s="118" t="str">
        <f>+VLOOKUP(Agencia[[#This Row],[tema]],Estructura!$A$4:$C$500,3,0)</f>
        <v>T-1015</v>
      </c>
      <c r="Y2023" s="118" t="str">
        <f>+VLOOKUP(Agencia[[#This Row],[contenido]],Estructura!$E$4:$G$500,3,0)</f>
        <v>C-1010</v>
      </c>
      <c r="Z2023" s="118" t="str">
        <f>+VLOOKUP(Agencia[[#This Row],[Filtro Integrado]],Estructura!$I$4:$K$500,3,0)</f>
        <v>FI-993</v>
      </c>
      <c r="AA2023" s="118" t="str">
        <f>+VLOOKUP(Agencia[[#This Row],[Muestra]],Estructura!$M$4:$O$500,3,0)</f>
        <v>M-1165</v>
      </c>
    </row>
    <row r="2024" spans="1:27" ht="51" x14ac:dyDescent="0.3">
      <c r="A2024" s="21" t="s">
        <v>8291</v>
      </c>
      <c r="B2024" s="83">
        <v>990</v>
      </c>
      <c r="C2024" s="84" t="s">
        <v>401</v>
      </c>
      <c r="D2024" s="84" t="s">
        <v>574</v>
      </c>
      <c r="E2024" s="114">
        <v>9</v>
      </c>
      <c r="F2024" s="90" t="s">
        <v>1604</v>
      </c>
      <c r="G2024" s="91" t="s">
        <v>3784</v>
      </c>
      <c r="H2024" s="98" t="s">
        <v>16</v>
      </c>
      <c r="I2024" s="99" t="s">
        <v>376</v>
      </c>
      <c r="J2024" s="83" t="s">
        <v>404</v>
      </c>
      <c r="K2024" s="89" t="s">
        <v>7080</v>
      </c>
      <c r="L2024" s="89" t="s">
        <v>1677</v>
      </c>
      <c r="M2024" s="89" t="s">
        <v>1456</v>
      </c>
      <c r="N2024" s="89" t="s">
        <v>910</v>
      </c>
      <c r="O2024" s="87" t="s">
        <v>7269</v>
      </c>
      <c r="P2024" s="110"/>
      <c r="Q2024" s="85" t="s">
        <v>821</v>
      </c>
      <c r="R2024" s="92" t="s">
        <v>7270</v>
      </c>
      <c r="S2024" s="103" t="s">
        <v>7271</v>
      </c>
      <c r="T2024" s="88" t="s">
        <v>3750</v>
      </c>
      <c r="U2024" s="50" t="s">
        <v>7956</v>
      </c>
      <c r="V2024" s="118" t="str">
        <f>+Agencia[[#This Row],[idcoleccion]]&amp;"-"&amp;Agencia[[#This Row],[id]]</f>
        <v>990-2013</v>
      </c>
      <c r="W2024" s="121">
        <v>99200009</v>
      </c>
      <c r="X2024" s="118" t="str">
        <f>+VLOOKUP(Agencia[[#This Row],[tema]],Estructura!$A$4:$C$500,3,0)</f>
        <v>T-1015</v>
      </c>
      <c r="Y2024" s="118" t="str">
        <f>+VLOOKUP(Agencia[[#This Row],[contenido]],Estructura!$E$4:$G$500,3,0)</f>
        <v>C-1010</v>
      </c>
      <c r="Z2024" s="118" t="str">
        <f>+VLOOKUP(Agencia[[#This Row],[Filtro Integrado]],Estructura!$I$4:$K$500,3,0)</f>
        <v>FI-993</v>
      </c>
      <c r="AA2024" s="118" t="str">
        <f>+VLOOKUP(Agencia[[#This Row],[Muestra]],Estructura!$M$4:$O$500,3,0)</f>
        <v>M-1165</v>
      </c>
    </row>
    <row r="2025" spans="1:27" ht="51" x14ac:dyDescent="0.3">
      <c r="A2025" s="21" t="s">
        <v>8292</v>
      </c>
      <c r="B2025" s="83">
        <v>990</v>
      </c>
      <c r="C2025" s="84" t="s">
        <v>401</v>
      </c>
      <c r="D2025" s="84" t="s">
        <v>574</v>
      </c>
      <c r="E2025" s="114">
        <v>10</v>
      </c>
      <c r="F2025" s="90" t="s">
        <v>1604</v>
      </c>
      <c r="G2025" s="91" t="s">
        <v>3784</v>
      </c>
      <c r="H2025" s="98" t="s">
        <v>16</v>
      </c>
      <c r="I2025" s="99" t="s">
        <v>377</v>
      </c>
      <c r="J2025" s="83" t="s">
        <v>404</v>
      </c>
      <c r="K2025" s="89" t="s">
        <v>7080</v>
      </c>
      <c r="L2025" s="89" t="s">
        <v>1677</v>
      </c>
      <c r="M2025" s="89" t="s">
        <v>1456</v>
      </c>
      <c r="N2025" s="89" t="s">
        <v>910</v>
      </c>
      <c r="O2025" s="87" t="s">
        <v>7272</v>
      </c>
      <c r="P2025" s="110"/>
      <c r="Q2025" s="85" t="s">
        <v>821</v>
      </c>
      <c r="R2025" s="92" t="s">
        <v>7273</v>
      </c>
      <c r="S2025" s="103" t="s">
        <v>7274</v>
      </c>
      <c r="T2025" s="88" t="s">
        <v>3751</v>
      </c>
      <c r="U2025" s="50" t="s">
        <v>7957</v>
      </c>
      <c r="V2025" s="118" t="str">
        <f>+Agencia[[#This Row],[idcoleccion]]&amp;"-"&amp;Agencia[[#This Row],[id]]</f>
        <v>990-2014</v>
      </c>
      <c r="W2025" s="121">
        <v>99200010</v>
      </c>
      <c r="X2025" s="118" t="str">
        <f>+VLOOKUP(Agencia[[#This Row],[tema]],Estructura!$A$4:$C$500,3,0)</f>
        <v>T-1015</v>
      </c>
      <c r="Y2025" s="118" t="str">
        <f>+VLOOKUP(Agencia[[#This Row],[contenido]],Estructura!$E$4:$G$500,3,0)</f>
        <v>C-1010</v>
      </c>
      <c r="Z2025" s="118" t="str">
        <f>+VLOOKUP(Agencia[[#This Row],[Filtro Integrado]],Estructura!$I$4:$K$500,3,0)</f>
        <v>FI-993</v>
      </c>
      <c r="AA2025" s="118" t="str">
        <f>+VLOOKUP(Agencia[[#This Row],[Muestra]],Estructura!$M$4:$O$500,3,0)</f>
        <v>M-1165</v>
      </c>
    </row>
    <row r="2026" spans="1:27" ht="51" x14ac:dyDescent="0.3">
      <c r="A2026" s="21" t="s">
        <v>8293</v>
      </c>
      <c r="B2026" s="83">
        <v>990</v>
      </c>
      <c r="C2026" s="84" t="s">
        <v>401</v>
      </c>
      <c r="D2026" s="84" t="s">
        <v>574</v>
      </c>
      <c r="E2026" s="114">
        <v>11</v>
      </c>
      <c r="F2026" s="90" t="s">
        <v>1604</v>
      </c>
      <c r="G2026" s="91" t="s">
        <v>3784</v>
      </c>
      <c r="H2026" s="98" t="s">
        <v>16</v>
      </c>
      <c r="I2026" s="99" t="s">
        <v>378</v>
      </c>
      <c r="J2026" s="83" t="s">
        <v>404</v>
      </c>
      <c r="K2026" s="89" t="s">
        <v>7080</v>
      </c>
      <c r="L2026" s="89" t="s">
        <v>1677</v>
      </c>
      <c r="M2026" s="89" t="s">
        <v>1456</v>
      </c>
      <c r="N2026" s="89" t="s">
        <v>910</v>
      </c>
      <c r="O2026" s="87" t="s">
        <v>7275</v>
      </c>
      <c r="P2026" s="110"/>
      <c r="Q2026" s="85" t="s">
        <v>821</v>
      </c>
      <c r="R2026" s="92" t="s">
        <v>7276</v>
      </c>
      <c r="S2026" s="103" t="s">
        <v>7277</v>
      </c>
      <c r="T2026" s="88" t="s">
        <v>3748</v>
      </c>
      <c r="U2026" s="50" t="s">
        <v>7958</v>
      </c>
      <c r="V2026" s="118" t="str">
        <f>+Agencia[[#This Row],[idcoleccion]]&amp;"-"&amp;Agencia[[#This Row],[id]]</f>
        <v>990-2015</v>
      </c>
      <c r="W2026" s="121">
        <v>99200011</v>
      </c>
      <c r="X2026" s="118" t="str">
        <f>+VLOOKUP(Agencia[[#This Row],[tema]],Estructura!$A$4:$C$500,3,0)</f>
        <v>T-1015</v>
      </c>
      <c r="Y2026" s="118" t="str">
        <f>+VLOOKUP(Agencia[[#This Row],[contenido]],Estructura!$E$4:$G$500,3,0)</f>
        <v>C-1010</v>
      </c>
      <c r="Z2026" s="118" t="str">
        <f>+VLOOKUP(Agencia[[#This Row],[Filtro Integrado]],Estructura!$I$4:$K$500,3,0)</f>
        <v>FI-993</v>
      </c>
      <c r="AA2026" s="118" t="str">
        <f>+VLOOKUP(Agencia[[#This Row],[Muestra]],Estructura!$M$4:$O$500,3,0)</f>
        <v>M-1165</v>
      </c>
    </row>
    <row r="2027" spans="1:27" ht="51" x14ac:dyDescent="0.3">
      <c r="A2027" s="21" t="s">
        <v>8294</v>
      </c>
      <c r="B2027" s="83">
        <v>990</v>
      </c>
      <c r="C2027" s="84" t="s">
        <v>401</v>
      </c>
      <c r="D2027" s="84" t="s">
        <v>574</v>
      </c>
      <c r="E2027" s="114">
        <v>12</v>
      </c>
      <c r="F2027" s="90" t="s">
        <v>1604</v>
      </c>
      <c r="G2027" s="91" t="s">
        <v>3784</v>
      </c>
      <c r="H2027" s="98" t="s">
        <v>16</v>
      </c>
      <c r="I2027" s="99" t="s">
        <v>379</v>
      </c>
      <c r="J2027" s="83" t="s">
        <v>404</v>
      </c>
      <c r="K2027" s="89" t="s">
        <v>7080</v>
      </c>
      <c r="L2027" s="89" t="s">
        <v>1677</v>
      </c>
      <c r="M2027" s="89" t="s">
        <v>1456</v>
      </c>
      <c r="N2027" s="89" t="s">
        <v>910</v>
      </c>
      <c r="O2027" s="87" t="s">
        <v>7278</v>
      </c>
      <c r="P2027" s="110"/>
      <c r="Q2027" s="85" t="s">
        <v>821</v>
      </c>
      <c r="R2027" s="92" t="s">
        <v>7279</v>
      </c>
      <c r="S2027" s="103" t="s">
        <v>7280</v>
      </c>
      <c r="T2027" s="88" t="s">
        <v>3753</v>
      </c>
      <c r="U2027" s="50" t="s">
        <v>7959</v>
      </c>
      <c r="V2027" s="118" t="str">
        <f>+Agencia[[#This Row],[idcoleccion]]&amp;"-"&amp;Agencia[[#This Row],[id]]</f>
        <v>990-2016</v>
      </c>
      <c r="W2027" s="121">
        <v>99200012</v>
      </c>
      <c r="X2027" s="118" t="str">
        <f>+VLOOKUP(Agencia[[#This Row],[tema]],Estructura!$A$4:$C$500,3,0)</f>
        <v>T-1015</v>
      </c>
      <c r="Y2027" s="118" t="str">
        <f>+VLOOKUP(Agencia[[#This Row],[contenido]],Estructura!$E$4:$G$500,3,0)</f>
        <v>C-1010</v>
      </c>
      <c r="Z2027" s="118" t="str">
        <f>+VLOOKUP(Agencia[[#This Row],[Filtro Integrado]],Estructura!$I$4:$K$500,3,0)</f>
        <v>FI-993</v>
      </c>
      <c r="AA2027" s="118" t="str">
        <f>+VLOOKUP(Agencia[[#This Row],[Muestra]],Estructura!$M$4:$O$500,3,0)</f>
        <v>M-1165</v>
      </c>
    </row>
    <row r="2028" spans="1:27" ht="51" x14ac:dyDescent="0.3">
      <c r="A2028" s="21" t="s">
        <v>8295</v>
      </c>
      <c r="B2028" s="83">
        <v>990</v>
      </c>
      <c r="C2028" s="84" t="s">
        <v>401</v>
      </c>
      <c r="D2028" s="84" t="s">
        <v>574</v>
      </c>
      <c r="E2028" s="114">
        <v>13</v>
      </c>
      <c r="F2028" s="90" t="s">
        <v>1604</v>
      </c>
      <c r="G2028" s="91" t="s">
        <v>3784</v>
      </c>
      <c r="H2028" s="98" t="s">
        <v>16</v>
      </c>
      <c r="I2028" s="99" t="s">
        <v>380</v>
      </c>
      <c r="J2028" s="83" t="s">
        <v>404</v>
      </c>
      <c r="K2028" s="89" t="s">
        <v>7080</v>
      </c>
      <c r="L2028" s="89" t="s">
        <v>1677</v>
      </c>
      <c r="M2028" s="89" t="s">
        <v>1456</v>
      </c>
      <c r="N2028" s="89" t="s">
        <v>910</v>
      </c>
      <c r="O2028" s="87" t="s">
        <v>7281</v>
      </c>
      <c r="P2028" s="110"/>
      <c r="Q2028" s="85" t="s">
        <v>821</v>
      </c>
      <c r="R2028" s="92" t="s">
        <v>7282</v>
      </c>
      <c r="S2028" s="103" t="s">
        <v>7283</v>
      </c>
      <c r="T2028" s="88" t="s">
        <v>3760</v>
      </c>
      <c r="U2028" s="50" t="s">
        <v>7960</v>
      </c>
      <c r="V2028" s="118" t="str">
        <f>+Agencia[[#This Row],[idcoleccion]]&amp;"-"&amp;Agencia[[#This Row],[id]]</f>
        <v>990-2017</v>
      </c>
      <c r="W2028" s="121">
        <v>99200013</v>
      </c>
      <c r="X2028" s="118" t="str">
        <f>+VLOOKUP(Agencia[[#This Row],[tema]],Estructura!$A$4:$C$500,3,0)</f>
        <v>T-1015</v>
      </c>
      <c r="Y2028" s="118" t="str">
        <f>+VLOOKUP(Agencia[[#This Row],[contenido]],Estructura!$E$4:$G$500,3,0)</f>
        <v>C-1010</v>
      </c>
      <c r="Z2028" s="118" t="str">
        <f>+VLOOKUP(Agencia[[#This Row],[Filtro Integrado]],Estructura!$I$4:$K$500,3,0)</f>
        <v>FI-993</v>
      </c>
      <c r="AA2028" s="118" t="str">
        <f>+VLOOKUP(Agencia[[#This Row],[Muestra]],Estructura!$M$4:$O$500,3,0)</f>
        <v>M-1165</v>
      </c>
    </row>
    <row r="2029" spans="1:27" ht="51" x14ac:dyDescent="0.3">
      <c r="A2029" s="21" t="s">
        <v>8296</v>
      </c>
      <c r="B2029" s="83">
        <v>990</v>
      </c>
      <c r="C2029" s="84" t="s">
        <v>401</v>
      </c>
      <c r="D2029" s="84" t="s">
        <v>574</v>
      </c>
      <c r="E2029" s="114">
        <v>14</v>
      </c>
      <c r="F2029" s="90" t="s">
        <v>1604</v>
      </c>
      <c r="G2029" s="91" t="s">
        <v>3784</v>
      </c>
      <c r="H2029" s="98" t="s">
        <v>16</v>
      </c>
      <c r="I2029" s="99" t="s">
        <v>381</v>
      </c>
      <c r="J2029" s="83" t="s">
        <v>404</v>
      </c>
      <c r="K2029" s="89" t="s">
        <v>7080</v>
      </c>
      <c r="L2029" s="89" t="s">
        <v>1677</v>
      </c>
      <c r="M2029" s="89" t="s">
        <v>1456</v>
      </c>
      <c r="N2029" s="89" t="s">
        <v>910</v>
      </c>
      <c r="O2029" s="87" t="s">
        <v>7284</v>
      </c>
      <c r="P2029" s="110"/>
      <c r="Q2029" s="85" t="s">
        <v>821</v>
      </c>
      <c r="R2029" s="92" t="s">
        <v>7285</v>
      </c>
      <c r="S2029" s="103" t="s">
        <v>7286</v>
      </c>
      <c r="T2029" s="88" t="s">
        <v>3752</v>
      </c>
      <c r="U2029" s="50" t="s">
        <v>7961</v>
      </c>
      <c r="V2029" s="118" t="str">
        <f>+Agencia[[#This Row],[idcoleccion]]&amp;"-"&amp;Agencia[[#This Row],[id]]</f>
        <v>990-2018</v>
      </c>
      <c r="W2029" s="121">
        <v>99200014</v>
      </c>
      <c r="X2029" s="118" t="str">
        <f>+VLOOKUP(Agencia[[#This Row],[tema]],Estructura!$A$4:$C$500,3,0)</f>
        <v>T-1015</v>
      </c>
      <c r="Y2029" s="118" t="str">
        <f>+VLOOKUP(Agencia[[#This Row],[contenido]],Estructura!$E$4:$G$500,3,0)</f>
        <v>C-1010</v>
      </c>
      <c r="Z2029" s="118" t="str">
        <f>+VLOOKUP(Agencia[[#This Row],[Filtro Integrado]],Estructura!$I$4:$K$500,3,0)</f>
        <v>FI-993</v>
      </c>
      <c r="AA2029" s="118" t="str">
        <f>+VLOOKUP(Agencia[[#This Row],[Muestra]],Estructura!$M$4:$O$500,3,0)</f>
        <v>M-1165</v>
      </c>
    </row>
    <row r="2030" spans="1:27" ht="51" x14ac:dyDescent="0.3">
      <c r="A2030" s="21" t="s">
        <v>8297</v>
      </c>
      <c r="B2030" s="83">
        <v>990</v>
      </c>
      <c r="C2030" s="84" t="s">
        <v>401</v>
      </c>
      <c r="D2030" s="84" t="s">
        <v>574</v>
      </c>
      <c r="E2030" s="114">
        <v>15</v>
      </c>
      <c r="F2030" s="90" t="s">
        <v>1604</v>
      </c>
      <c r="G2030" s="91" t="s">
        <v>3784</v>
      </c>
      <c r="H2030" s="98" t="s">
        <v>16</v>
      </c>
      <c r="I2030" s="99" t="s">
        <v>382</v>
      </c>
      <c r="J2030" s="83" t="s">
        <v>404</v>
      </c>
      <c r="K2030" s="89" t="s">
        <v>7080</v>
      </c>
      <c r="L2030" s="89" t="s">
        <v>1677</v>
      </c>
      <c r="M2030" s="89" t="s">
        <v>1456</v>
      </c>
      <c r="N2030" s="89" t="s">
        <v>910</v>
      </c>
      <c r="O2030" s="87" t="s">
        <v>7287</v>
      </c>
      <c r="P2030" s="110"/>
      <c r="Q2030" s="85" t="s">
        <v>821</v>
      </c>
      <c r="R2030" s="92" t="s">
        <v>7288</v>
      </c>
      <c r="S2030" s="103" t="s">
        <v>7289</v>
      </c>
      <c r="T2030" s="88" t="s">
        <v>3746</v>
      </c>
      <c r="U2030" s="50" t="s">
        <v>7962</v>
      </c>
      <c r="V2030" s="118" t="str">
        <f>+Agencia[[#This Row],[idcoleccion]]&amp;"-"&amp;Agencia[[#This Row],[id]]</f>
        <v>990-2019</v>
      </c>
      <c r="W2030" s="121">
        <v>99200015</v>
      </c>
      <c r="X2030" s="118" t="str">
        <f>+VLOOKUP(Agencia[[#This Row],[tema]],Estructura!$A$4:$C$500,3,0)</f>
        <v>T-1015</v>
      </c>
      <c r="Y2030" s="118" t="str">
        <f>+VLOOKUP(Agencia[[#This Row],[contenido]],Estructura!$E$4:$G$500,3,0)</f>
        <v>C-1010</v>
      </c>
      <c r="Z2030" s="118" t="str">
        <f>+VLOOKUP(Agencia[[#This Row],[Filtro Integrado]],Estructura!$I$4:$K$500,3,0)</f>
        <v>FI-993</v>
      </c>
      <c r="AA2030" s="118" t="str">
        <f>+VLOOKUP(Agencia[[#This Row],[Muestra]],Estructura!$M$4:$O$500,3,0)</f>
        <v>M-1165</v>
      </c>
    </row>
    <row r="2031" spans="1:27" ht="51" x14ac:dyDescent="0.3">
      <c r="A2031" s="21" t="s">
        <v>8298</v>
      </c>
      <c r="B2031" s="89">
        <v>990</v>
      </c>
      <c r="C2031" s="90" t="s">
        <v>401</v>
      </c>
      <c r="D2031" s="90" t="s">
        <v>574</v>
      </c>
      <c r="E2031" s="114">
        <v>16</v>
      </c>
      <c r="F2031" s="90" t="s">
        <v>1604</v>
      </c>
      <c r="G2031" s="91" t="s">
        <v>3784</v>
      </c>
      <c r="H2031" s="98" t="s">
        <v>16</v>
      </c>
      <c r="I2031" s="99" t="s">
        <v>383</v>
      </c>
      <c r="J2031" s="83" t="s">
        <v>404</v>
      </c>
      <c r="K2031" s="89" t="s">
        <v>7080</v>
      </c>
      <c r="L2031" s="89" t="s">
        <v>1677</v>
      </c>
      <c r="M2031" s="89" t="s">
        <v>1456</v>
      </c>
      <c r="N2031" s="89" t="s">
        <v>910</v>
      </c>
      <c r="O2031" s="87" t="s">
        <v>7290</v>
      </c>
      <c r="P2031" s="109"/>
      <c r="Q2031" s="93" t="s">
        <v>821</v>
      </c>
      <c r="R2031" s="92" t="s">
        <v>7291</v>
      </c>
      <c r="S2031" s="103" t="s">
        <v>7292</v>
      </c>
      <c r="T2031" s="94" t="s">
        <v>3755</v>
      </c>
      <c r="U2031" s="50" t="s">
        <v>7963</v>
      </c>
      <c r="V2031" s="118" t="str">
        <f>+Agencia[[#This Row],[idcoleccion]]&amp;"-"&amp;Agencia[[#This Row],[id]]</f>
        <v>990-2020</v>
      </c>
      <c r="W2031" s="121">
        <v>99200016</v>
      </c>
      <c r="X2031" s="118" t="str">
        <f>+VLOOKUP(Agencia[[#This Row],[tema]],Estructura!$A$4:$C$500,3,0)</f>
        <v>T-1015</v>
      </c>
      <c r="Y2031" s="118" t="str">
        <f>+VLOOKUP(Agencia[[#This Row],[contenido]],Estructura!$E$4:$G$500,3,0)</f>
        <v>C-1010</v>
      </c>
      <c r="Z2031" s="118" t="str">
        <f>+VLOOKUP(Agencia[[#This Row],[Filtro Integrado]],Estructura!$I$4:$K$500,3,0)</f>
        <v>FI-993</v>
      </c>
      <c r="AA2031" s="118" t="str">
        <f>+VLOOKUP(Agencia[[#This Row],[Muestra]],Estructura!$M$4:$O$500,3,0)</f>
        <v>M-1165</v>
      </c>
    </row>
    <row r="2032" spans="1:27" ht="71.400000000000006" x14ac:dyDescent="0.3">
      <c r="A2032" s="21" t="s">
        <v>8299</v>
      </c>
      <c r="B2032" s="83">
        <v>990</v>
      </c>
      <c r="C2032" s="84" t="s">
        <v>401</v>
      </c>
      <c r="D2032" s="84" t="s">
        <v>574</v>
      </c>
      <c r="E2032" s="115">
        <v>0</v>
      </c>
      <c r="F2032" s="90" t="s">
        <v>1604</v>
      </c>
      <c r="G2032" s="91" t="s">
        <v>3784</v>
      </c>
      <c r="H2032" s="96" t="s">
        <v>20</v>
      </c>
      <c r="I2032" s="97" t="s">
        <v>15</v>
      </c>
      <c r="J2032" s="83" t="s">
        <v>16</v>
      </c>
      <c r="K2032" s="89" t="s">
        <v>7080</v>
      </c>
      <c r="L2032" s="89" t="s">
        <v>1677</v>
      </c>
      <c r="M2032" s="89" t="s">
        <v>1456</v>
      </c>
      <c r="N2032" s="89" t="s">
        <v>910</v>
      </c>
      <c r="O2032" s="87" t="s">
        <v>7293</v>
      </c>
      <c r="P2032" s="95" t="s">
        <v>7294</v>
      </c>
      <c r="Q2032" s="85" t="s">
        <v>821</v>
      </c>
      <c r="R2032" s="92" t="s">
        <v>7295</v>
      </c>
      <c r="S2032" s="103" t="s">
        <v>7296</v>
      </c>
      <c r="T2032" s="88" t="s">
        <v>855</v>
      </c>
      <c r="U2032" s="50" t="s">
        <v>7964</v>
      </c>
      <c r="V2032" s="118" t="str">
        <f>+Agencia[[#This Row],[idcoleccion]]&amp;"-"&amp;Agencia[[#This Row],[id]]</f>
        <v>990-2021</v>
      </c>
      <c r="W2032" s="121">
        <v>99100000</v>
      </c>
      <c r="X2032" s="118" t="str">
        <f>+VLOOKUP(Agencia[[#This Row],[tema]],Estructura!$A$4:$C$500,3,0)</f>
        <v>T-1015</v>
      </c>
      <c r="Y2032" s="118" t="str">
        <f>+VLOOKUP(Agencia[[#This Row],[contenido]],Estructura!$E$4:$G$500,3,0)</f>
        <v>C-1010</v>
      </c>
      <c r="Z2032" s="118" t="str">
        <f>+VLOOKUP(Agencia[[#This Row],[Filtro Integrado]],Estructura!$I$4:$K$500,3,0)</f>
        <v>FI-992</v>
      </c>
      <c r="AA2032" s="118" t="str">
        <f>+VLOOKUP(Agencia[[#This Row],[Muestra]],Estructura!$M$4:$O$500,3,0)</f>
        <v>M-1165</v>
      </c>
    </row>
    <row r="2033" spans="1:27" ht="51" x14ac:dyDescent="0.3">
      <c r="A2033" s="21" t="s">
        <v>8300</v>
      </c>
      <c r="B2033" s="83">
        <v>990</v>
      </c>
      <c r="C2033" s="84" t="s">
        <v>401</v>
      </c>
      <c r="D2033" s="84" t="s">
        <v>574</v>
      </c>
      <c r="E2033" s="114">
        <v>1</v>
      </c>
      <c r="F2033" s="90" t="s">
        <v>1604</v>
      </c>
      <c r="G2033" s="91" t="s">
        <v>3784</v>
      </c>
      <c r="H2033" s="98" t="s">
        <v>16</v>
      </c>
      <c r="I2033" s="99" t="s">
        <v>368</v>
      </c>
      <c r="J2033" s="83" t="s">
        <v>404</v>
      </c>
      <c r="K2033" s="89" t="s">
        <v>7080</v>
      </c>
      <c r="L2033" s="89" t="s">
        <v>1677</v>
      </c>
      <c r="M2033" s="89" t="s">
        <v>1456</v>
      </c>
      <c r="N2033" s="89" t="s">
        <v>910</v>
      </c>
      <c r="O2033" s="87" t="s">
        <v>7297</v>
      </c>
      <c r="P2033" s="110"/>
      <c r="Q2033" s="85" t="s">
        <v>821</v>
      </c>
      <c r="R2033" s="92" t="s">
        <v>7298</v>
      </c>
      <c r="S2033" s="103" t="s">
        <v>7299</v>
      </c>
      <c r="T2033" s="88" t="s">
        <v>3757</v>
      </c>
      <c r="U2033" s="50" t="s">
        <v>7965</v>
      </c>
      <c r="V2033" s="118" t="str">
        <f>+Agencia[[#This Row],[idcoleccion]]&amp;"-"&amp;Agencia[[#This Row],[id]]</f>
        <v>990-2022</v>
      </c>
      <c r="W2033" s="121">
        <v>99200001</v>
      </c>
      <c r="X2033" s="118" t="str">
        <f>+VLOOKUP(Agencia[[#This Row],[tema]],Estructura!$A$4:$C$500,3,0)</f>
        <v>T-1015</v>
      </c>
      <c r="Y2033" s="118" t="str">
        <f>+VLOOKUP(Agencia[[#This Row],[contenido]],Estructura!$E$4:$G$500,3,0)</f>
        <v>C-1010</v>
      </c>
      <c r="Z2033" s="118" t="str">
        <f>+VLOOKUP(Agencia[[#This Row],[Filtro Integrado]],Estructura!$I$4:$K$500,3,0)</f>
        <v>FI-993</v>
      </c>
      <c r="AA2033" s="118" t="str">
        <f>+VLOOKUP(Agencia[[#This Row],[Muestra]],Estructura!$M$4:$O$500,3,0)</f>
        <v>M-1165</v>
      </c>
    </row>
    <row r="2034" spans="1:27" ht="51" x14ac:dyDescent="0.3">
      <c r="A2034" s="21" t="s">
        <v>8301</v>
      </c>
      <c r="B2034" s="83">
        <v>990</v>
      </c>
      <c r="C2034" s="84" t="s">
        <v>401</v>
      </c>
      <c r="D2034" s="84" t="s">
        <v>574</v>
      </c>
      <c r="E2034" s="114">
        <v>2</v>
      </c>
      <c r="F2034" s="90" t="s">
        <v>1604</v>
      </c>
      <c r="G2034" s="91" t="s">
        <v>3784</v>
      </c>
      <c r="H2034" s="98" t="s">
        <v>16</v>
      </c>
      <c r="I2034" s="99" t="s">
        <v>369</v>
      </c>
      <c r="J2034" s="83" t="s">
        <v>404</v>
      </c>
      <c r="K2034" s="89" t="s">
        <v>7080</v>
      </c>
      <c r="L2034" s="89" t="s">
        <v>1677</v>
      </c>
      <c r="M2034" s="89" t="s">
        <v>1456</v>
      </c>
      <c r="N2034" s="89" t="s">
        <v>910</v>
      </c>
      <c r="O2034" s="87" t="s">
        <v>7300</v>
      </c>
      <c r="P2034" s="110"/>
      <c r="Q2034" s="85" t="s">
        <v>821</v>
      </c>
      <c r="R2034" s="92" t="s">
        <v>7301</v>
      </c>
      <c r="S2034" s="103" t="s">
        <v>7302</v>
      </c>
      <c r="T2034" s="88" t="s">
        <v>3745</v>
      </c>
      <c r="U2034" s="50" t="s">
        <v>7966</v>
      </c>
      <c r="V2034" s="118" t="str">
        <f>+Agencia[[#This Row],[idcoleccion]]&amp;"-"&amp;Agencia[[#This Row],[id]]</f>
        <v>990-2023</v>
      </c>
      <c r="W2034" s="121">
        <v>99200002</v>
      </c>
      <c r="X2034" s="118" t="str">
        <f>+VLOOKUP(Agencia[[#This Row],[tema]],Estructura!$A$4:$C$500,3,0)</f>
        <v>T-1015</v>
      </c>
      <c r="Y2034" s="118" t="str">
        <f>+VLOOKUP(Agencia[[#This Row],[contenido]],Estructura!$E$4:$G$500,3,0)</f>
        <v>C-1010</v>
      </c>
      <c r="Z2034" s="118" t="str">
        <f>+VLOOKUP(Agencia[[#This Row],[Filtro Integrado]],Estructura!$I$4:$K$500,3,0)</f>
        <v>FI-993</v>
      </c>
      <c r="AA2034" s="118" t="str">
        <f>+VLOOKUP(Agencia[[#This Row],[Muestra]],Estructura!$M$4:$O$500,3,0)</f>
        <v>M-1165</v>
      </c>
    </row>
    <row r="2035" spans="1:27" ht="51" x14ac:dyDescent="0.3">
      <c r="A2035" s="21" t="s">
        <v>8302</v>
      </c>
      <c r="B2035" s="83">
        <v>990</v>
      </c>
      <c r="C2035" s="84" t="s">
        <v>401</v>
      </c>
      <c r="D2035" s="84" t="s">
        <v>574</v>
      </c>
      <c r="E2035" s="114">
        <v>3</v>
      </c>
      <c r="F2035" s="90" t="s">
        <v>1604</v>
      </c>
      <c r="G2035" s="91" t="s">
        <v>3784</v>
      </c>
      <c r="H2035" s="98" t="s">
        <v>16</v>
      </c>
      <c r="I2035" s="99" t="s">
        <v>370</v>
      </c>
      <c r="J2035" s="83" t="s">
        <v>404</v>
      </c>
      <c r="K2035" s="89" t="s">
        <v>7080</v>
      </c>
      <c r="L2035" s="89" t="s">
        <v>1677</v>
      </c>
      <c r="M2035" s="89" t="s">
        <v>1456</v>
      </c>
      <c r="N2035" s="89" t="s">
        <v>910</v>
      </c>
      <c r="O2035" s="87" t="s">
        <v>7303</v>
      </c>
      <c r="P2035" s="110"/>
      <c r="Q2035" s="85" t="s">
        <v>821</v>
      </c>
      <c r="R2035" s="92" t="s">
        <v>7304</v>
      </c>
      <c r="S2035" s="103" t="s">
        <v>7305</v>
      </c>
      <c r="T2035" s="88" t="s">
        <v>3747</v>
      </c>
      <c r="U2035" s="50" t="s">
        <v>7967</v>
      </c>
      <c r="V2035" s="118" t="str">
        <f>+Agencia[[#This Row],[idcoleccion]]&amp;"-"&amp;Agencia[[#This Row],[id]]</f>
        <v>990-2024</v>
      </c>
      <c r="W2035" s="121">
        <v>99200003</v>
      </c>
      <c r="X2035" s="118" t="str">
        <f>+VLOOKUP(Agencia[[#This Row],[tema]],Estructura!$A$4:$C$500,3,0)</f>
        <v>T-1015</v>
      </c>
      <c r="Y2035" s="118" t="str">
        <f>+VLOOKUP(Agencia[[#This Row],[contenido]],Estructura!$E$4:$G$500,3,0)</f>
        <v>C-1010</v>
      </c>
      <c r="Z2035" s="118" t="str">
        <f>+VLOOKUP(Agencia[[#This Row],[Filtro Integrado]],Estructura!$I$4:$K$500,3,0)</f>
        <v>FI-993</v>
      </c>
      <c r="AA2035" s="118" t="str">
        <f>+VLOOKUP(Agencia[[#This Row],[Muestra]],Estructura!$M$4:$O$500,3,0)</f>
        <v>M-1165</v>
      </c>
    </row>
    <row r="2036" spans="1:27" ht="51" x14ac:dyDescent="0.3">
      <c r="A2036" s="21" t="s">
        <v>8303</v>
      </c>
      <c r="B2036" s="83">
        <v>990</v>
      </c>
      <c r="C2036" s="84" t="s">
        <v>401</v>
      </c>
      <c r="D2036" s="84" t="s">
        <v>574</v>
      </c>
      <c r="E2036" s="114">
        <v>4</v>
      </c>
      <c r="F2036" s="90" t="s">
        <v>1604</v>
      </c>
      <c r="G2036" s="91" t="s">
        <v>3784</v>
      </c>
      <c r="H2036" s="98" t="s">
        <v>16</v>
      </c>
      <c r="I2036" s="99" t="s">
        <v>371</v>
      </c>
      <c r="J2036" s="83" t="s">
        <v>404</v>
      </c>
      <c r="K2036" s="89" t="s">
        <v>7080</v>
      </c>
      <c r="L2036" s="89" t="s">
        <v>1677</v>
      </c>
      <c r="M2036" s="89" t="s">
        <v>1456</v>
      </c>
      <c r="N2036" s="89" t="s">
        <v>910</v>
      </c>
      <c r="O2036" s="87" t="s">
        <v>7306</v>
      </c>
      <c r="P2036" s="110"/>
      <c r="Q2036" s="85" t="s">
        <v>821</v>
      </c>
      <c r="R2036" s="92" t="s">
        <v>7307</v>
      </c>
      <c r="S2036" s="103" t="s">
        <v>7308</v>
      </c>
      <c r="T2036" s="88" t="s">
        <v>3749</v>
      </c>
      <c r="U2036" s="50" t="s">
        <v>7968</v>
      </c>
      <c r="V2036" s="118" t="str">
        <f>+Agencia[[#This Row],[idcoleccion]]&amp;"-"&amp;Agencia[[#This Row],[id]]</f>
        <v>990-2025</v>
      </c>
      <c r="W2036" s="121">
        <v>99200004</v>
      </c>
      <c r="X2036" s="118" t="str">
        <f>+VLOOKUP(Agencia[[#This Row],[tema]],Estructura!$A$4:$C$500,3,0)</f>
        <v>T-1015</v>
      </c>
      <c r="Y2036" s="118" t="str">
        <f>+VLOOKUP(Agencia[[#This Row],[contenido]],Estructura!$E$4:$G$500,3,0)</f>
        <v>C-1010</v>
      </c>
      <c r="Z2036" s="118" t="str">
        <f>+VLOOKUP(Agencia[[#This Row],[Filtro Integrado]],Estructura!$I$4:$K$500,3,0)</f>
        <v>FI-993</v>
      </c>
      <c r="AA2036" s="118" t="str">
        <f>+VLOOKUP(Agencia[[#This Row],[Muestra]],Estructura!$M$4:$O$500,3,0)</f>
        <v>M-1165</v>
      </c>
    </row>
    <row r="2037" spans="1:27" ht="51" x14ac:dyDescent="0.3">
      <c r="A2037" s="21" t="s">
        <v>8304</v>
      </c>
      <c r="B2037" s="83">
        <v>990</v>
      </c>
      <c r="C2037" s="84" t="s">
        <v>401</v>
      </c>
      <c r="D2037" s="84" t="s">
        <v>574</v>
      </c>
      <c r="E2037" s="114">
        <v>5</v>
      </c>
      <c r="F2037" s="90" t="s">
        <v>1604</v>
      </c>
      <c r="G2037" s="91" t="s">
        <v>3784</v>
      </c>
      <c r="H2037" s="98" t="s">
        <v>16</v>
      </c>
      <c r="I2037" s="99" t="s">
        <v>372</v>
      </c>
      <c r="J2037" s="83" t="s">
        <v>404</v>
      </c>
      <c r="K2037" s="89" t="s">
        <v>7080</v>
      </c>
      <c r="L2037" s="89" t="s">
        <v>1677</v>
      </c>
      <c r="M2037" s="89" t="s">
        <v>1456</v>
      </c>
      <c r="N2037" s="89" t="s">
        <v>910</v>
      </c>
      <c r="O2037" s="87" t="s">
        <v>7309</v>
      </c>
      <c r="P2037" s="110"/>
      <c r="Q2037" s="85" t="s">
        <v>821</v>
      </c>
      <c r="R2037" s="92" t="s">
        <v>7310</v>
      </c>
      <c r="S2037" s="103" t="s">
        <v>7311</v>
      </c>
      <c r="T2037" s="88" t="s">
        <v>3758</v>
      </c>
      <c r="U2037" s="50" t="s">
        <v>7969</v>
      </c>
      <c r="V2037" s="118" t="str">
        <f>+Agencia[[#This Row],[idcoleccion]]&amp;"-"&amp;Agencia[[#This Row],[id]]</f>
        <v>990-2026</v>
      </c>
      <c r="W2037" s="121">
        <v>99200005</v>
      </c>
      <c r="X2037" s="118" t="str">
        <f>+VLOOKUP(Agencia[[#This Row],[tema]],Estructura!$A$4:$C$500,3,0)</f>
        <v>T-1015</v>
      </c>
      <c r="Y2037" s="118" t="str">
        <f>+VLOOKUP(Agencia[[#This Row],[contenido]],Estructura!$E$4:$G$500,3,0)</f>
        <v>C-1010</v>
      </c>
      <c r="Z2037" s="118" t="str">
        <f>+VLOOKUP(Agencia[[#This Row],[Filtro Integrado]],Estructura!$I$4:$K$500,3,0)</f>
        <v>FI-993</v>
      </c>
      <c r="AA2037" s="118" t="str">
        <f>+VLOOKUP(Agencia[[#This Row],[Muestra]],Estructura!$M$4:$O$500,3,0)</f>
        <v>M-1165</v>
      </c>
    </row>
    <row r="2038" spans="1:27" ht="51" x14ac:dyDescent="0.3">
      <c r="A2038" s="21" t="s">
        <v>8305</v>
      </c>
      <c r="B2038" s="83">
        <v>990</v>
      </c>
      <c r="C2038" s="84" t="s">
        <v>401</v>
      </c>
      <c r="D2038" s="84" t="s">
        <v>574</v>
      </c>
      <c r="E2038" s="114">
        <v>6</v>
      </c>
      <c r="F2038" s="90" t="s">
        <v>1604</v>
      </c>
      <c r="G2038" s="91" t="s">
        <v>3784</v>
      </c>
      <c r="H2038" s="98" t="s">
        <v>16</v>
      </c>
      <c r="I2038" s="99" t="s">
        <v>373</v>
      </c>
      <c r="J2038" s="83" t="s">
        <v>404</v>
      </c>
      <c r="K2038" s="89" t="s">
        <v>7080</v>
      </c>
      <c r="L2038" s="89" t="s">
        <v>1677</v>
      </c>
      <c r="M2038" s="89" t="s">
        <v>1456</v>
      </c>
      <c r="N2038" s="89" t="s">
        <v>910</v>
      </c>
      <c r="O2038" s="87" t="s">
        <v>7312</v>
      </c>
      <c r="P2038" s="110"/>
      <c r="Q2038" s="85" t="s">
        <v>821</v>
      </c>
      <c r="R2038" s="92" t="s">
        <v>7313</v>
      </c>
      <c r="S2038" s="103" t="s">
        <v>7314</v>
      </c>
      <c r="T2038" s="88" t="s">
        <v>3756</v>
      </c>
      <c r="U2038" s="50" t="s">
        <v>7970</v>
      </c>
      <c r="V2038" s="118" t="str">
        <f>+Agencia[[#This Row],[idcoleccion]]&amp;"-"&amp;Agencia[[#This Row],[id]]</f>
        <v>990-2027</v>
      </c>
      <c r="W2038" s="121">
        <v>99200006</v>
      </c>
      <c r="X2038" s="118" t="str">
        <f>+VLOOKUP(Agencia[[#This Row],[tema]],Estructura!$A$4:$C$500,3,0)</f>
        <v>T-1015</v>
      </c>
      <c r="Y2038" s="118" t="str">
        <f>+VLOOKUP(Agencia[[#This Row],[contenido]],Estructura!$E$4:$G$500,3,0)</f>
        <v>C-1010</v>
      </c>
      <c r="Z2038" s="118" t="str">
        <f>+VLOOKUP(Agencia[[#This Row],[Filtro Integrado]],Estructura!$I$4:$K$500,3,0)</f>
        <v>FI-993</v>
      </c>
      <c r="AA2038" s="118" t="str">
        <f>+VLOOKUP(Agencia[[#This Row],[Muestra]],Estructura!$M$4:$O$500,3,0)</f>
        <v>M-1165</v>
      </c>
    </row>
    <row r="2039" spans="1:27" ht="51" x14ac:dyDescent="0.3">
      <c r="A2039" s="21" t="s">
        <v>8306</v>
      </c>
      <c r="B2039" s="83">
        <v>990</v>
      </c>
      <c r="C2039" s="84" t="s">
        <v>401</v>
      </c>
      <c r="D2039" s="84" t="s">
        <v>574</v>
      </c>
      <c r="E2039" s="114">
        <v>7</v>
      </c>
      <c r="F2039" s="90" t="s">
        <v>1604</v>
      </c>
      <c r="G2039" s="91" t="s">
        <v>3784</v>
      </c>
      <c r="H2039" s="98" t="s">
        <v>16</v>
      </c>
      <c r="I2039" s="99" t="s">
        <v>374</v>
      </c>
      <c r="J2039" s="83" t="s">
        <v>404</v>
      </c>
      <c r="K2039" s="89" t="s">
        <v>7080</v>
      </c>
      <c r="L2039" s="89" t="s">
        <v>1677</v>
      </c>
      <c r="M2039" s="89" t="s">
        <v>1456</v>
      </c>
      <c r="N2039" s="89" t="s">
        <v>910</v>
      </c>
      <c r="O2039" s="87" t="s">
        <v>7315</v>
      </c>
      <c r="P2039" s="110"/>
      <c r="Q2039" s="85" t="s">
        <v>821</v>
      </c>
      <c r="R2039" s="92" t="s">
        <v>7316</v>
      </c>
      <c r="S2039" s="103" t="s">
        <v>7317</v>
      </c>
      <c r="T2039" s="88" t="s">
        <v>3754</v>
      </c>
      <c r="U2039" s="50" t="s">
        <v>7971</v>
      </c>
      <c r="V2039" s="118" t="str">
        <f>+Agencia[[#This Row],[idcoleccion]]&amp;"-"&amp;Agencia[[#This Row],[id]]</f>
        <v>990-2028</v>
      </c>
      <c r="W2039" s="121">
        <v>99200007</v>
      </c>
      <c r="X2039" s="118" t="str">
        <f>+VLOOKUP(Agencia[[#This Row],[tema]],Estructura!$A$4:$C$500,3,0)</f>
        <v>T-1015</v>
      </c>
      <c r="Y2039" s="118" t="str">
        <f>+VLOOKUP(Agencia[[#This Row],[contenido]],Estructura!$E$4:$G$500,3,0)</f>
        <v>C-1010</v>
      </c>
      <c r="Z2039" s="118" t="str">
        <f>+VLOOKUP(Agencia[[#This Row],[Filtro Integrado]],Estructura!$I$4:$K$500,3,0)</f>
        <v>FI-993</v>
      </c>
      <c r="AA2039" s="118" t="str">
        <f>+VLOOKUP(Agencia[[#This Row],[Muestra]],Estructura!$M$4:$O$500,3,0)</f>
        <v>M-1165</v>
      </c>
    </row>
    <row r="2040" spans="1:27" ht="51" x14ac:dyDescent="0.3">
      <c r="A2040" s="21" t="s">
        <v>8307</v>
      </c>
      <c r="B2040" s="83">
        <v>990</v>
      </c>
      <c r="C2040" s="84" t="s">
        <v>401</v>
      </c>
      <c r="D2040" s="84" t="s">
        <v>574</v>
      </c>
      <c r="E2040" s="114">
        <v>8</v>
      </c>
      <c r="F2040" s="90" t="s">
        <v>1604</v>
      </c>
      <c r="G2040" s="91" t="s">
        <v>3784</v>
      </c>
      <c r="H2040" s="98" t="s">
        <v>16</v>
      </c>
      <c r="I2040" s="99" t="s">
        <v>375</v>
      </c>
      <c r="J2040" s="83" t="s">
        <v>404</v>
      </c>
      <c r="K2040" s="89" t="s">
        <v>7080</v>
      </c>
      <c r="L2040" s="89" t="s">
        <v>1677</v>
      </c>
      <c r="M2040" s="89" t="s">
        <v>1456</v>
      </c>
      <c r="N2040" s="89" t="s">
        <v>910</v>
      </c>
      <c r="O2040" s="87" t="s">
        <v>7318</v>
      </c>
      <c r="P2040" s="110"/>
      <c r="Q2040" s="85" t="s">
        <v>821</v>
      </c>
      <c r="R2040" s="92" t="s">
        <v>7319</v>
      </c>
      <c r="S2040" s="103" t="s">
        <v>7320</v>
      </c>
      <c r="T2040" s="88" t="s">
        <v>3759</v>
      </c>
      <c r="U2040" s="50" t="s">
        <v>7972</v>
      </c>
      <c r="V2040" s="118" t="str">
        <f>+Agencia[[#This Row],[idcoleccion]]&amp;"-"&amp;Agencia[[#This Row],[id]]</f>
        <v>990-2029</v>
      </c>
      <c r="W2040" s="121">
        <v>99200008</v>
      </c>
      <c r="X2040" s="118" t="str">
        <f>+VLOOKUP(Agencia[[#This Row],[tema]],Estructura!$A$4:$C$500,3,0)</f>
        <v>T-1015</v>
      </c>
      <c r="Y2040" s="118" t="str">
        <f>+VLOOKUP(Agencia[[#This Row],[contenido]],Estructura!$E$4:$G$500,3,0)</f>
        <v>C-1010</v>
      </c>
      <c r="Z2040" s="118" t="str">
        <f>+VLOOKUP(Agencia[[#This Row],[Filtro Integrado]],Estructura!$I$4:$K$500,3,0)</f>
        <v>FI-993</v>
      </c>
      <c r="AA2040" s="118" t="str">
        <f>+VLOOKUP(Agencia[[#This Row],[Muestra]],Estructura!$M$4:$O$500,3,0)</f>
        <v>M-1165</v>
      </c>
    </row>
    <row r="2041" spans="1:27" ht="51" x14ac:dyDescent="0.3">
      <c r="A2041" s="21" t="s">
        <v>8308</v>
      </c>
      <c r="B2041" s="83">
        <v>990</v>
      </c>
      <c r="C2041" s="84" t="s">
        <v>401</v>
      </c>
      <c r="D2041" s="84" t="s">
        <v>574</v>
      </c>
      <c r="E2041" s="114">
        <v>9</v>
      </c>
      <c r="F2041" s="90" t="s">
        <v>1604</v>
      </c>
      <c r="G2041" s="91" t="s">
        <v>3784</v>
      </c>
      <c r="H2041" s="98" t="s">
        <v>16</v>
      </c>
      <c r="I2041" s="99" t="s">
        <v>376</v>
      </c>
      <c r="J2041" s="83" t="s">
        <v>404</v>
      </c>
      <c r="K2041" s="89" t="s">
        <v>7080</v>
      </c>
      <c r="L2041" s="89" t="s">
        <v>1677</v>
      </c>
      <c r="M2041" s="89" t="s">
        <v>1456</v>
      </c>
      <c r="N2041" s="89" t="s">
        <v>910</v>
      </c>
      <c r="O2041" s="87" t="s">
        <v>7321</v>
      </c>
      <c r="P2041" s="110"/>
      <c r="Q2041" s="85" t="s">
        <v>821</v>
      </c>
      <c r="R2041" s="92" t="s">
        <v>7322</v>
      </c>
      <c r="S2041" s="103" t="s">
        <v>7323</v>
      </c>
      <c r="T2041" s="88" t="s">
        <v>3750</v>
      </c>
      <c r="U2041" s="50" t="s">
        <v>7973</v>
      </c>
      <c r="V2041" s="118" t="str">
        <f>+Agencia[[#This Row],[idcoleccion]]&amp;"-"&amp;Agencia[[#This Row],[id]]</f>
        <v>990-2030</v>
      </c>
      <c r="W2041" s="121">
        <v>99200009</v>
      </c>
      <c r="X2041" s="118" t="str">
        <f>+VLOOKUP(Agencia[[#This Row],[tema]],Estructura!$A$4:$C$500,3,0)</f>
        <v>T-1015</v>
      </c>
      <c r="Y2041" s="118" t="str">
        <f>+VLOOKUP(Agencia[[#This Row],[contenido]],Estructura!$E$4:$G$500,3,0)</f>
        <v>C-1010</v>
      </c>
      <c r="Z2041" s="118" t="str">
        <f>+VLOOKUP(Agencia[[#This Row],[Filtro Integrado]],Estructura!$I$4:$K$500,3,0)</f>
        <v>FI-993</v>
      </c>
      <c r="AA2041" s="118" t="str">
        <f>+VLOOKUP(Agencia[[#This Row],[Muestra]],Estructura!$M$4:$O$500,3,0)</f>
        <v>M-1165</v>
      </c>
    </row>
    <row r="2042" spans="1:27" ht="51" x14ac:dyDescent="0.3">
      <c r="A2042" s="21" t="s">
        <v>8309</v>
      </c>
      <c r="B2042" s="83">
        <v>990</v>
      </c>
      <c r="C2042" s="84" t="s">
        <v>401</v>
      </c>
      <c r="D2042" s="84" t="s">
        <v>574</v>
      </c>
      <c r="E2042" s="114">
        <v>10</v>
      </c>
      <c r="F2042" s="90" t="s">
        <v>1604</v>
      </c>
      <c r="G2042" s="91" t="s">
        <v>3784</v>
      </c>
      <c r="H2042" s="98" t="s">
        <v>16</v>
      </c>
      <c r="I2042" s="99" t="s">
        <v>377</v>
      </c>
      <c r="J2042" s="83" t="s">
        <v>404</v>
      </c>
      <c r="K2042" s="89" t="s">
        <v>7080</v>
      </c>
      <c r="L2042" s="89" t="s">
        <v>1677</v>
      </c>
      <c r="M2042" s="89" t="s">
        <v>1456</v>
      </c>
      <c r="N2042" s="89" t="s">
        <v>910</v>
      </c>
      <c r="O2042" s="87" t="s">
        <v>7324</v>
      </c>
      <c r="P2042" s="110"/>
      <c r="Q2042" s="85" t="s">
        <v>821</v>
      </c>
      <c r="R2042" s="92" t="s">
        <v>7325</v>
      </c>
      <c r="S2042" s="103" t="s">
        <v>7326</v>
      </c>
      <c r="T2042" s="88" t="s">
        <v>3751</v>
      </c>
      <c r="U2042" s="50" t="s">
        <v>7974</v>
      </c>
      <c r="V2042" s="118" t="str">
        <f>+Agencia[[#This Row],[idcoleccion]]&amp;"-"&amp;Agencia[[#This Row],[id]]</f>
        <v>990-2031</v>
      </c>
      <c r="W2042" s="121">
        <v>99200010</v>
      </c>
      <c r="X2042" s="118" t="str">
        <f>+VLOOKUP(Agencia[[#This Row],[tema]],Estructura!$A$4:$C$500,3,0)</f>
        <v>T-1015</v>
      </c>
      <c r="Y2042" s="118" t="str">
        <f>+VLOOKUP(Agencia[[#This Row],[contenido]],Estructura!$E$4:$G$500,3,0)</f>
        <v>C-1010</v>
      </c>
      <c r="Z2042" s="118" t="str">
        <f>+VLOOKUP(Agencia[[#This Row],[Filtro Integrado]],Estructura!$I$4:$K$500,3,0)</f>
        <v>FI-993</v>
      </c>
      <c r="AA2042" s="118" t="str">
        <f>+VLOOKUP(Agencia[[#This Row],[Muestra]],Estructura!$M$4:$O$500,3,0)</f>
        <v>M-1165</v>
      </c>
    </row>
    <row r="2043" spans="1:27" ht="51" x14ac:dyDescent="0.3">
      <c r="A2043" s="21" t="s">
        <v>8310</v>
      </c>
      <c r="B2043" s="83">
        <v>990</v>
      </c>
      <c r="C2043" s="84" t="s">
        <v>401</v>
      </c>
      <c r="D2043" s="84" t="s">
        <v>574</v>
      </c>
      <c r="E2043" s="114">
        <v>11</v>
      </c>
      <c r="F2043" s="90" t="s">
        <v>1604</v>
      </c>
      <c r="G2043" s="91" t="s">
        <v>3784</v>
      </c>
      <c r="H2043" s="98" t="s">
        <v>16</v>
      </c>
      <c r="I2043" s="99" t="s">
        <v>378</v>
      </c>
      <c r="J2043" s="83" t="s">
        <v>404</v>
      </c>
      <c r="K2043" s="89" t="s">
        <v>7080</v>
      </c>
      <c r="L2043" s="89" t="s">
        <v>1677</v>
      </c>
      <c r="M2043" s="89" t="s">
        <v>1456</v>
      </c>
      <c r="N2043" s="89" t="s">
        <v>910</v>
      </c>
      <c r="O2043" s="87" t="s">
        <v>7327</v>
      </c>
      <c r="P2043" s="110"/>
      <c r="Q2043" s="85" t="s">
        <v>821</v>
      </c>
      <c r="R2043" s="92" t="s">
        <v>7328</v>
      </c>
      <c r="S2043" s="103" t="s">
        <v>7329</v>
      </c>
      <c r="T2043" s="88" t="s">
        <v>3748</v>
      </c>
      <c r="U2043" s="50" t="s">
        <v>7975</v>
      </c>
      <c r="V2043" s="118" t="str">
        <f>+Agencia[[#This Row],[idcoleccion]]&amp;"-"&amp;Agencia[[#This Row],[id]]</f>
        <v>990-2032</v>
      </c>
      <c r="W2043" s="121">
        <v>99200011</v>
      </c>
      <c r="X2043" s="118" t="str">
        <f>+VLOOKUP(Agencia[[#This Row],[tema]],Estructura!$A$4:$C$500,3,0)</f>
        <v>T-1015</v>
      </c>
      <c r="Y2043" s="118" t="str">
        <f>+VLOOKUP(Agencia[[#This Row],[contenido]],Estructura!$E$4:$G$500,3,0)</f>
        <v>C-1010</v>
      </c>
      <c r="Z2043" s="118" t="str">
        <f>+VLOOKUP(Agencia[[#This Row],[Filtro Integrado]],Estructura!$I$4:$K$500,3,0)</f>
        <v>FI-993</v>
      </c>
      <c r="AA2043" s="118" t="str">
        <f>+VLOOKUP(Agencia[[#This Row],[Muestra]],Estructura!$M$4:$O$500,3,0)</f>
        <v>M-1165</v>
      </c>
    </row>
    <row r="2044" spans="1:27" ht="51" x14ac:dyDescent="0.3">
      <c r="A2044" s="21" t="s">
        <v>8311</v>
      </c>
      <c r="B2044" s="83">
        <v>990</v>
      </c>
      <c r="C2044" s="84" t="s">
        <v>401</v>
      </c>
      <c r="D2044" s="84" t="s">
        <v>574</v>
      </c>
      <c r="E2044" s="114">
        <v>12</v>
      </c>
      <c r="F2044" s="90" t="s">
        <v>1604</v>
      </c>
      <c r="G2044" s="91" t="s">
        <v>3784</v>
      </c>
      <c r="H2044" s="98" t="s">
        <v>16</v>
      </c>
      <c r="I2044" s="99" t="s">
        <v>379</v>
      </c>
      <c r="J2044" s="83" t="s">
        <v>404</v>
      </c>
      <c r="K2044" s="89" t="s">
        <v>7080</v>
      </c>
      <c r="L2044" s="89" t="s">
        <v>1677</v>
      </c>
      <c r="M2044" s="89" t="s">
        <v>1456</v>
      </c>
      <c r="N2044" s="89" t="s">
        <v>910</v>
      </c>
      <c r="O2044" s="87" t="s">
        <v>7330</v>
      </c>
      <c r="P2044" s="110"/>
      <c r="Q2044" s="85" t="s">
        <v>821</v>
      </c>
      <c r="R2044" s="92" t="s">
        <v>7331</v>
      </c>
      <c r="S2044" s="103" t="s">
        <v>7332</v>
      </c>
      <c r="T2044" s="88" t="s">
        <v>3753</v>
      </c>
      <c r="U2044" s="50" t="s">
        <v>7976</v>
      </c>
      <c r="V2044" s="118" t="str">
        <f>+Agencia[[#This Row],[idcoleccion]]&amp;"-"&amp;Agencia[[#This Row],[id]]</f>
        <v>990-2033</v>
      </c>
      <c r="W2044" s="121">
        <v>99200012</v>
      </c>
      <c r="X2044" s="118" t="str">
        <f>+VLOOKUP(Agencia[[#This Row],[tema]],Estructura!$A$4:$C$500,3,0)</f>
        <v>T-1015</v>
      </c>
      <c r="Y2044" s="118" t="str">
        <f>+VLOOKUP(Agencia[[#This Row],[contenido]],Estructura!$E$4:$G$500,3,0)</f>
        <v>C-1010</v>
      </c>
      <c r="Z2044" s="118" t="str">
        <f>+VLOOKUP(Agencia[[#This Row],[Filtro Integrado]],Estructura!$I$4:$K$500,3,0)</f>
        <v>FI-993</v>
      </c>
      <c r="AA2044" s="118" t="str">
        <f>+VLOOKUP(Agencia[[#This Row],[Muestra]],Estructura!$M$4:$O$500,3,0)</f>
        <v>M-1165</v>
      </c>
    </row>
    <row r="2045" spans="1:27" ht="51" x14ac:dyDescent="0.3">
      <c r="A2045" s="21" t="s">
        <v>8312</v>
      </c>
      <c r="B2045" s="83">
        <v>990</v>
      </c>
      <c r="C2045" s="84" t="s">
        <v>401</v>
      </c>
      <c r="D2045" s="84" t="s">
        <v>574</v>
      </c>
      <c r="E2045" s="114">
        <v>13</v>
      </c>
      <c r="F2045" s="90" t="s">
        <v>1604</v>
      </c>
      <c r="G2045" s="91" t="s">
        <v>3784</v>
      </c>
      <c r="H2045" s="98" t="s">
        <v>16</v>
      </c>
      <c r="I2045" s="99" t="s">
        <v>380</v>
      </c>
      <c r="J2045" s="83" t="s">
        <v>404</v>
      </c>
      <c r="K2045" s="89" t="s">
        <v>7080</v>
      </c>
      <c r="L2045" s="89" t="s">
        <v>1677</v>
      </c>
      <c r="M2045" s="89" t="s">
        <v>1456</v>
      </c>
      <c r="N2045" s="89" t="s">
        <v>910</v>
      </c>
      <c r="O2045" s="87" t="s">
        <v>7333</v>
      </c>
      <c r="P2045" s="110"/>
      <c r="Q2045" s="85" t="s">
        <v>821</v>
      </c>
      <c r="R2045" s="92" t="s">
        <v>7334</v>
      </c>
      <c r="S2045" s="103" t="s">
        <v>7335</v>
      </c>
      <c r="T2045" s="88" t="s">
        <v>3760</v>
      </c>
      <c r="U2045" s="50" t="s">
        <v>7977</v>
      </c>
      <c r="V2045" s="118" t="str">
        <f>+Agencia[[#This Row],[idcoleccion]]&amp;"-"&amp;Agencia[[#This Row],[id]]</f>
        <v>990-2034</v>
      </c>
      <c r="W2045" s="121">
        <v>99200013</v>
      </c>
      <c r="X2045" s="118" t="str">
        <f>+VLOOKUP(Agencia[[#This Row],[tema]],Estructura!$A$4:$C$500,3,0)</f>
        <v>T-1015</v>
      </c>
      <c r="Y2045" s="118" t="str">
        <f>+VLOOKUP(Agencia[[#This Row],[contenido]],Estructura!$E$4:$G$500,3,0)</f>
        <v>C-1010</v>
      </c>
      <c r="Z2045" s="118" t="str">
        <f>+VLOOKUP(Agencia[[#This Row],[Filtro Integrado]],Estructura!$I$4:$K$500,3,0)</f>
        <v>FI-993</v>
      </c>
      <c r="AA2045" s="118" t="str">
        <f>+VLOOKUP(Agencia[[#This Row],[Muestra]],Estructura!$M$4:$O$500,3,0)</f>
        <v>M-1165</v>
      </c>
    </row>
    <row r="2046" spans="1:27" ht="51" x14ac:dyDescent="0.3">
      <c r="A2046" s="21" t="s">
        <v>8313</v>
      </c>
      <c r="B2046" s="83">
        <v>990</v>
      </c>
      <c r="C2046" s="84" t="s">
        <v>401</v>
      </c>
      <c r="D2046" s="84" t="s">
        <v>574</v>
      </c>
      <c r="E2046" s="114">
        <v>14</v>
      </c>
      <c r="F2046" s="90" t="s">
        <v>1604</v>
      </c>
      <c r="G2046" s="91" t="s">
        <v>3784</v>
      </c>
      <c r="H2046" s="98" t="s">
        <v>16</v>
      </c>
      <c r="I2046" s="99" t="s">
        <v>381</v>
      </c>
      <c r="J2046" s="83" t="s">
        <v>404</v>
      </c>
      <c r="K2046" s="89" t="s">
        <v>7080</v>
      </c>
      <c r="L2046" s="89" t="s">
        <v>1677</v>
      </c>
      <c r="M2046" s="89" t="s">
        <v>1456</v>
      </c>
      <c r="N2046" s="89" t="s">
        <v>910</v>
      </c>
      <c r="O2046" s="87" t="s">
        <v>7336</v>
      </c>
      <c r="P2046" s="110"/>
      <c r="Q2046" s="85" t="s">
        <v>821</v>
      </c>
      <c r="R2046" s="92" t="s">
        <v>7337</v>
      </c>
      <c r="S2046" s="103" t="s">
        <v>7338</v>
      </c>
      <c r="T2046" s="88" t="s">
        <v>3752</v>
      </c>
      <c r="U2046" s="50" t="s">
        <v>7978</v>
      </c>
      <c r="V2046" s="118" t="str">
        <f>+Agencia[[#This Row],[idcoleccion]]&amp;"-"&amp;Agencia[[#This Row],[id]]</f>
        <v>990-2035</v>
      </c>
      <c r="W2046" s="121">
        <v>99200014</v>
      </c>
      <c r="X2046" s="118" t="str">
        <f>+VLOOKUP(Agencia[[#This Row],[tema]],Estructura!$A$4:$C$500,3,0)</f>
        <v>T-1015</v>
      </c>
      <c r="Y2046" s="118" t="str">
        <f>+VLOOKUP(Agencia[[#This Row],[contenido]],Estructura!$E$4:$G$500,3,0)</f>
        <v>C-1010</v>
      </c>
      <c r="Z2046" s="118" t="str">
        <f>+VLOOKUP(Agencia[[#This Row],[Filtro Integrado]],Estructura!$I$4:$K$500,3,0)</f>
        <v>FI-993</v>
      </c>
      <c r="AA2046" s="118" t="str">
        <f>+VLOOKUP(Agencia[[#This Row],[Muestra]],Estructura!$M$4:$O$500,3,0)</f>
        <v>M-1165</v>
      </c>
    </row>
    <row r="2047" spans="1:27" ht="51" x14ac:dyDescent="0.3">
      <c r="A2047" s="21" t="s">
        <v>8314</v>
      </c>
      <c r="B2047" s="83">
        <v>990</v>
      </c>
      <c r="C2047" s="84" t="s">
        <v>401</v>
      </c>
      <c r="D2047" s="84" t="s">
        <v>574</v>
      </c>
      <c r="E2047" s="114">
        <v>15</v>
      </c>
      <c r="F2047" s="90" t="s">
        <v>1604</v>
      </c>
      <c r="G2047" s="91" t="s">
        <v>3784</v>
      </c>
      <c r="H2047" s="98" t="s">
        <v>16</v>
      </c>
      <c r="I2047" s="99" t="s">
        <v>382</v>
      </c>
      <c r="J2047" s="83" t="s">
        <v>404</v>
      </c>
      <c r="K2047" s="89" t="s">
        <v>7080</v>
      </c>
      <c r="L2047" s="89" t="s">
        <v>1677</v>
      </c>
      <c r="M2047" s="89" t="s">
        <v>1456</v>
      </c>
      <c r="N2047" s="89" t="s">
        <v>910</v>
      </c>
      <c r="O2047" s="87" t="s">
        <v>7339</v>
      </c>
      <c r="P2047" s="110"/>
      <c r="Q2047" s="85" t="s">
        <v>821</v>
      </c>
      <c r="R2047" s="92" t="s">
        <v>7340</v>
      </c>
      <c r="S2047" s="103" t="s">
        <v>7341</v>
      </c>
      <c r="T2047" s="88" t="s">
        <v>3746</v>
      </c>
      <c r="U2047" s="50" t="s">
        <v>7979</v>
      </c>
      <c r="V2047" s="118" t="str">
        <f>+Agencia[[#This Row],[idcoleccion]]&amp;"-"&amp;Agencia[[#This Row],[id]]</f>
        <v>990-2036</v>
      </c>
      <c r="W2047" s="121">
        <v>99200015</v>
      </c>
      <c r="X2047" s="118" t="str">
        <f>+VLOOKUP(Agencia[[#This Row],[tema]],Estructura!$A$4:$C$500,3,0)</f>
        <v>T-1015</v>
      </c>
      <c r="Y2047" s="118" t="str">
        <f>+VLOOKUP(Agencia[[#This Row],[contenido]],Estructura!$E$4:$G$500,3,0)</f>
        <v>C-1010</v>
      </c>
      <c r="Z2047" s="118" t="str">
        <f>+VLOOKUP(Agencia[[#This Row],[Filtro Integrado]],Estructura!$I$4:$K$500,3,0)</f>
        <v>FI-993</v>
      </c>
      <c r="AA2047" s="118" t="str">
        <f>+VLOOKUP(Agencia[[#This Row],[Muestra]],Estructura!$M$4:$O$500,3,0)</f>
        <v>M-1165</v>
      </c>
    </row>
    <row r="2048" spans="1:27" ht="51" x14ac:dyDescent="0.3">
      <c r="A2048" s="21" t="s">
        <v>8315</v>
      </c>
      <c r="B2048" s="89">
        <v>990</v>
      </c>
      <c r="C2048" s="90" t="s">
        <v>401</v>
      </c>
      <c r="D2048" s="90" t="s">
        <v>574</v>
      </c>
      <c r="E2048" s="114">
        <v>16</v>
      </c>
      <c r="F2048" s="90" t="s">
        <v>1604</v>
      </c>
      <c r="G2048" s="91" t="s">
        <v>3784</v>
      </c>
      <c r="H2048" s="98" t="s">
        <v>16</v>
      </c>
      <c r="I2048" s="99" t="s">
        <v>383</v>
      </c>
      <c r="J2048" s="83" t="s">
        <v>404</v>
      </c>
      <c r="K2048" s="89" t="s">
        <v>7080</v>
      </c>
      <c r="L2048" s="89" t="s">
        <v>1677</v>
      </c>
      <c r="M2048" s="89" t="s">
        <v>1456</v>
      </c>
      <c r="N2048" s="89" t="s">
        <v>910</v>
      </c>
      <c r="O2048" s="87" t="s">
        <v>7342</v>
      </c>
      <c r="P2048" s="109"/>
      <c r="Q2048" s="93" t="s">
        <v>821</v>
      </c>
      <c r="R2048" s="92" t="s">
        <v>7343</v>
      </c>
      <c r="S2048" s="103" t="s">
        <v>7344</v>
      </c>
      <c r="T2048" s="94" t="s">
        <v>3755</v>
      </c>
      <c r="U2048" s="50" t="s">
        <v>7980</v>
      </c>
      <c r="V2048" s="118" t="str">
        <f>+Agencia[[#This Row],[idcoleccion]]&amp;"-"&amp;Agencia[[#This Row],[id]]</f>
        <v>990-2037</v>
      </c>
      <c r="W2048" s="121">
        <v>99200016</v>
      </c>
      <c r="X2048" s="118" t="str">
        <f>+VLOOKUP(Agencia[[#This Row],[tema]],Estructura!$A$4:$C$500,3,0)</f>
        <v>T-1015</v>
      </c>
      <c r="Y2048" s="118" t="str">
        <f>+VLOOKUP(Agencia[[#This Row],[contenido]],Estructura!$E$4:$G$500,3,0)</f>
        <v>C-1010</v>
      </c>
      <c r="Z2048" s="118" t="str">
        <f>+VLOOKUP(Agencia[[#This Row],[Filtro Integrado]],Estructura!$I$4:$K$500,3,0)</f>
        <v>FI-993</v>
      </c>
      <c r="AA2048" s="118" t="str">
        <f>+VLOOKUP(Agencia[[#This Row],[Muestra]],Estructura!$M$4:$O$500,3,0)</f>
        <v>M-1165</v>
      </c>
    </row>
  </sheetData>
  <phoneticPr fontId="7" type="noConversion"/>
  <hyperlinks>
    <hyperlink ref="S81" r:id="rId1" xr:uid="{A30A7E42-63C1-4979-AC16-5A814C3F082D}"/>
    <hyperlink ref="S191" r:id="rId2" xr:uid="{6E4E9460-98A2-449E-A42F-2ED6FB53128C}"/>
    <hyperlink ref="S115" r:id="rId3" xr:uid="{2CC9BFEE-53A0-45AC-AE1C-2237FECC3FC4}"/>
    <hyperlink ref="S116" r:id="rId4" xr:uid="{AD0AAD0F-4F84-4D5B-9C14-E35B50AF0F9E}"/>
    <hyperlink ref="S135" r:id="rId5" xr:uid="{7D9BEBF5-B8A0-464E-A588-FC5A81D8FE77}"/>
    <hyperlink ref="S192" r:id="rId6" xr:uid="{742483BF-E7D4-4DE2-869F-18F9C7BC07A4}"/>
    <hyperlink ref="S209" r:id="rId7" xr:uid="{9759B77C-1BA8-4EDD-A246-6B9684C196A6}"/>
    <hyperlink ref="S226" r:id="rId8" xr:uid="{0059D6F5-80FA-4163-9A54-E7FB8BB201D4}"/>
    <hyperlink ref="S227" r:id="rId9" xr:uid="{233D8E14-3AC9-42E8-A768-EBFEB5774EDA}"/>
    <hyperlink ref="S244" r:id="rId10" xr:uid="{43C488C6-3E84-4C16-A428-69C607C0DEE0}"/>
    <hyperlink ref="S134" r:id="rId11" xr:uid="{DBC7201C-D574-4CE4-AA6D-8324F44ED876}"/>
    <hyperlink ref="S174" r:id="rId12" xr:uid="{8499B293-5A53-4A05-8D30-25059DABC43F}"/>
    <hyperlink ref="S256" r:id="rId13" xr:uid="{45E968DD-C7D2-491C-99FA-FB823982068A}"/>
    <hyperlink ref="S290" r:id="rId14" xr:uid="{B0AFAEAE-7ABF-47A2-81C0-BD174CAB8B92}"/>
    <hyperlink ref="S291" r:id="rId15" xr:uid="{4A94DC98-AB02-4B73-9AB1-8B8DBF08EAD4}"/>
    <hyperlink ref="S292" r:id="rId16" xr:uid="{6AA2AE20-A717-46F5-9299-15BC9108EC74}"/>
    <hyperlink ref="S293" r:id="rId17" xr:uid="{F06FA470-4FFB-462F-87B2-EDF72FE934DC}"/>
    <hyperlink ref="S182" r:id="rId18" xr:uid="{BFA9A15B-D69F-413A-AC87-FF87201AFC31}"/>
    <hyperlink ref="S185" r:id="rId19" xr:uid="{C88805A7-7F7B-43DD-B543-D57B2788BFFC}"/>
    <hyperlink ref="S178" r:id="rId20" xr:uid="{7FE50314-611D-4B24-ACE7-F8798A9DED29}"/>
    <hyperlink ref="S177" r:id="rId21" xr:uid="{6CD0D786-3FF3-434F-AD51-A9EB82DACE93}"/>
    <hyperlink ref="S176" r:id="rId22" xr:uid="{7F1E45BA-C8C1-48BA-A98F-83BE5B004F5F}"/>
    <hyperlink ref="S183" r:id="rId23" xr:uid="{F06F0456-EBB1-425D-AA1F-9E004948B107}"/>
    <hyperlink ref="S184" r:id="rId24" xr:uid="{CBA880E9-6649-4183-90F3-407E193C5820}"/>
    <hyperlink ref="S188" r:id="rId25" xr:uid="{EDB7622A-4F5F-40D6-B94D-BC58D56D4B2C}"/>
    <hyperlink ref="S186" r:id="rId26" xr:uid="{AAB4CAB4-DCEF-4A50-90E7-5C8E012C4E06}"/>
    <hyperlink ref="S181" r:id="rId27" xr:uid="{276948C5-DF47-4513-A8D2-620A784F1D90}"/>
    <hyperlink ref="S187" r:id="rId28" xr:uid="{C5B4648E-C84D-4A75-B6C2-3D12F57AB91C}"/>
    <hyperlink ref="S190" r:id="rId29" xr:uid="{4D3CC608-8E28-48AA-BDA7-494768306BBD}"/>
    <hyperlink ref="S189" r:id="rId30" xr:uid="{1690FB1D-0B54-44BF-90D6-8A8EEB49C3AF}"/>
    <hyperlink ref="S175" r:id="rId31" xr:uid="{E262F185-043E-4AD6-9DAD-B27098E1C3B8}"/>
    <hyperlink ref="S180" r:id="rId32" xr:uid="{5D888AB2-2D93-4644-9762-C7BCD8179DE5}"/>
    <hyperlink ref="S179" r:id="rId33" xr:uid="{E01C1A6A-60A5-4467-A4F9-E1F956AC32FF}"/>
    <hyperlink ref="S328" r:id="rId34" xr:uid="{D4D515C0-6F07-408F-8281-31719FEFB364}"/>
    <hyperlink ref="S157" r:id="rId35" xr:uid="{263F55EE-69B7-4274-A630-96BB5573A6AC}"/>
    <hyperlink ref="S46" r:id="rId36" xr:uid="{FF93A996-34A2-43A4-8EC6-6F44EF7446E2}"/>
    <hyperlink ref="S12" r:id="rId37" xr:uid="{DDAECDCF-01C9-47CC-8E17-9C16F99CB418}"/>
    <hyperlink ref="S29" r:id="rId38" xr:uid="{3CF78B69-992D-4051-85E7-B22080148D55}"/>
    <hyperlink ref="S64" r:id="rId39" xr:uid="{D28EDB3A-94EE-4691-8DB4-84671B3EDC8C}"/>
    <hyperlink ref="S383" r:id="rId40" xr:uid="{8620AAEC-20DE-4C78-A1F9-D75F7E8556A4}"/>
    <hyperlink ref="S400" r:id="rId41" xr:uid="{AEA7AD97-116C-431A-8A00-2A2D876D4205}"/>
    <hyperlink ref="S401" r:id="rId42" xr:uid="{13999D65-E11F-48E9-93BD-8CB81A2441A3}"/>
    <hyperlink ref="S419" r:id="rId43" xr:uid="{FD3DD36E-1031-40D7-8002-FE5D9D6AC477}"/>
    <hyperlink ref="S490" r:id="rId44" xr:uid="{20655E3A-01A6-48F5-BF22-AB5F16BD0F85}"/>
    <hyperlink ref="S489" r:id="rId45" xr:uid="{1A940E07-CF5B-4EB4-952E-72C1E5EE930F}"/>
    <hyperlink ref="S491" r:id="rId46" xr:uid="{6F60F236-1830-470E-9261-81F37D3385CE}"/>
    <hyperlink ref="S492" r:id="rId47" xr:uid="{C0798DE3-8179-4E7F-B13B-2DBB2EE5E97C}"/>
    <hyperlink ref="S493" r:id="rId48" xr:uid="{C5C0C833-F1B3-44E7-8E3F-80E5A1B6FF27}"/>
    <hyperlink ref="S363" r:id="rId49" xr:uid="{D1E75862-055C-4A2B-9C47-AC5F8F0F64B0}"/>
    <hyperlink ref="S364" r:id="rId50" xr:uid="{2914894D-8D00-428B-A8A3-DD24D131542D}"/>
    <hyperlink ref="S365" r:id="rId51" xr:uid="{1A8112AA-FD00-4314-9982-D56C57BAE2E7}"/>
    <hyperlink ref="S311" r:id="rId52" xr:uid="{622AF067-9DB0-47DE-A902-8FF831BB0029}"/>
    <hyperlink ref="S273" r:id="rId53" xr:uid="{495647D8-9CFC-4A81-BA05-2C36BFDA2FD1}"/>
    <hyperlink ref="S346" r:id="rId54" xr:uid="{24F07DA8-0D76-4A58-9640-D375D7812C8C}"/>
    <hyperlink ref="S63" r:id="rId55" xr:uid="{4D7FD9ED-6387-4648-8571-D751E2FFDA8D}"/>
    <hyperlink ref="S438" r:id="rId56" xr:uid="{30A464ED-FC77-48DD-9849-B6C5C1767B6E}"/>
    <hyperlink ref="S437" r:id="rId57" xr:uid="{694CE424-C0E9-4159-B733-057DBD2B1667}"/>
    <hyperlink ref="S494" r:id="rId58" xr:uid="{B389E16A-3876-4E82-B79E-37D0D6C6D804}"/>
    <hyperlink ref="S545" r:id="rId59" xr:uid="{7BE0516D-E58D-4DF1-BD0B-8C853BCAFAE2}"/>
    <hyperlink ref="S562" r:id="rId60" xr:uid="{33D41F02-D2D7-48D1-8511-19607010C319}"/>
    <hyperlink ref="S579" r:id="rId61" xr:uid="{B10DE35A-5EC1-4739-A07F-D8D10D9439FC}"/>
    <hyperlink ref="S596" r:id="rId62" xr:uid="{7FBB48AD-CF9C-490F-9B8C-B9B1368A36A4}"/>
    <hyperlink ref="S613" r:id="rId63" xr:uid="{ED2D28F2-F065-4CED-8B6F-7BBB7114896A}"/>
    <hyperlink ref="S614" r:id="rId64" xr:uid="{1CDBA710-905D-4E34-9183-069AC307A624}"/>
    <hyperlink ref="S615" r:id="rId65" xr:uid="{39D1CB1B-06AE-4B85-BFAA-AA8A3050D372}"/>
    <hyperlink ref="S616" r:id="rId66" xr:uid="{BA66AE52-C954-4B85-BCE4-03ABFA99F186}"/>
    <hyperlink ref="S651" r:id="rId67" xr:uid="{FD458431-A3E9-4A9C-86FB-76EC3FB6C34B}"/>
    <hyperlink ref="S634" r:id="rId68" xr:uid="{E772543D-E914-4C06-B026-D788C9733A09}"/>
    <hyperlink ref="S685" r:id="rId69" xr:uid="{E1E8DB76-86F2-437A-83EA-B9A841F9FC0D}"/>
    <hyperlink ref="S702" r:id="rId70" xr:uid="{88DA84A9-5BD1-42E4-8247-4F88B364A48A}"/>
    <hyperlink ref="S719" r:id="rId71" xr:uid="{4D0359BB-F729-4E86-9F35-6EF745C1C137}"/>
    <hyperlink ref="S720" r:id="rId72" xr:uid="{B0130471-6D1B-469D-9D8C-EC477BC9E8F7}"/>
    <hyperlink ref="S754" r:id="rId73" xr:uid="{4AB80F54-27D3-4689-8EC8-931DB3F34DA0}"/>
    <hyperlink ref="S794" r:id="rId74" xr:uid="{BFD87403-B95C-4349-B625-55E959367297}"/>
    <hyperlink ref="S821" r:id="rId75" xr:uid="{21ACA767-4EE3-4CD8-A79C-898F4E391456}"/>
    <hyperlink ref="S914" r:id="rId76" xr:uid="{E45A50FD-FD10-47C2-B435-0B16598199E7}"/>
    <hyperlink ref="S965" r:id="rId77" xr:uid="{60E96B0F-B648-4127-A436-D2326ECCB523}"/>
    <hyperlink ref="S982" r:id="rId78" xr:uid="{039CC69B-0414-44BC-8C9A-9511CAD2BAC0}"/>
    <hyperlink ref="S1033" r:id="rId79" xr:uid="{0623AD4B-3424-47F0-9736-2FA972DB92DD}"/>
    <hyperlink ref="S999" r:id="rId80" xr:uid="{FB8785BD-5F65-4ADA-ACBC-BC49A6E6B411}"/>
    <hyperlink ref="S1016" r:id="rId81" xr:uid="{781401B5-9BE6-4234-96B4-0B41E71DDE7C}"/>
    <hyperlink ref="S1050" r:id="rId82" xr:uid="{8FAE488E-1424-418D-B295-B851346A7613}"/>
    <hyperlink ref="S117" r:id="rId83" xr:uid="{76ABDF80-F405-4B91-AAB0-7C706F3B73E7}"/>
    <hyperlink ref="S137" r:id="rId84" xr:uid="{DC3A1EF8-2FA0-4D1F-9137-E67AB3F80FF8}"/>
    <hyperlink ref="S448" r:id="rId85" xr:uid="{C4BA0AF7-68C5-4AFA-B5DD-31B5BA54BAD6}"/>
    <hyperlink ref="S454" r:id="rId86" xr:uid="{E46F3D33-0F0E-4AC1-A319-7909322739D4}"/>
    <hyperlink ref="S453" r:id="rId87" xr:uid="{F23A3C0D-B135-4515-8699-1F927154AC84}"/>
    <hyperlink ref="S439" r:id="rId88" xr:uid="{FA46DF4E-7410-4324-9960-0D2EDCB3308B}"/>
    <hyperlink ref="S440" r:id="rId89" xr:uid="{7CBD90FD-7322-45D9-B4B2-D18D18C4EC0A}"/>
    <hyperlink ref="S441" r:id="rId90" xr:uid="{162CF66C-B88D-4B61-BD4D-C9A743E8DAA1}"/>
    <hyperlink ref="S1084" r:id="rId91" xr:uid="{C2AD9C16-4A44-4B2D-B772-CA7AB9F2661A}"/>
    <hyperlink ref="S366" r:id="rId92" xr:uid="{D17DEF00-173C-4584-9647-981C83F0902B}"/>
    <hyperlink ref="S1118" r:id="rId93" xr:uid="{53C8BDFE-C8FF-45EE-8420-416F8D6647FB}"/>
    <hyperlink ref="S1135" r:id="rId94" xr:uid="{6112089B-1ADF-454D-B853-FE9619DE6EA2}"/>
    <hyperlink ref="S1203" r:id="rId95" xr:uid="{8182D74A-17B1-4348-9078-AC4C70FCEC1D}"/>
    <hyperlink ref="S1220" r:id="rId96" xr:uid="{A28EAF53-4D64-48E6-855A-850AE6F828F1}"/>
    <hyperlink ref="S1237" r:id="rId97" xr:uid="{E74BE578-571B-4FFA-A3ED-1141D8158C1F}"/>
    <hyperlink ref="S1271" r:id="rId98" xr:uid="{0BF7F325-3827-478B-9135-2C9979A2A4D1}"/>
    <hyperlink ref="S1288" r:id="rId99" xr:uid="{81BD45D2-66B7-41A6-ADBB-F4C0126E1E7E}"/>
    <hyperlink ref="S1305" r:id="rId100" xr:uid="{E4EC9372-6D9E-4ACB-883A-3A43BD513EEF}"/>
    <hyperlink ref="S1322" r:id="rId101" xr:uid="{424F9595-AC4E-4B9D-9D17-ED7C721A3CF3}"/>
    <hyperlink ref="S1361" r:id="rId102" xr:uid="{E41B8090-EB23-4D5F-8751-5DFD9DA65892}"/>
    <hyperlink ref="S1339" r:id="rId103" xr:uid="{3B7DEB09-F972-4320-B786-042996B56CAD}"/>
    <hyperlink ref="S1340" r:id="rId104" xr:uid="{D670A790-272B-4670-B7C9-B0AB08A02BF8}"/>
    <hyperlink ref="S1358" r:id="rId105" xr:uid="{0A4C246B-A161-4A6C-A269-E4455118C560}"/>
    <hyperlink ref="S1360" r:id="rId106" xr:uid="{FE4AD4BC-2B5E-4300-9AB5-34E74DB1060F}"/>
    <hyperlink ref="S1378" r:id="rId107" xr:uid="{A1F7F1AF-A2F5-4F3B-9372-E9AAA16F4C9B}"/>
    <hyperlink ref="S1379" r:id="rId108" xr:uid="{EE794840-E39C-4414-97AC-5ECAACB4B5FA}"/>
    <hyperlink ref="S1380" r:id="rId109" xr:uid="{D003C770-F4C2-4744-B803-29DC85BD08B8}"/>
    <hyperlink ref="S1382" r:id="rId110" xr:uid="{5CAA7E3E-2BDD-417A-B6A6-D4D2E96C91DA}"/>
    <hyperlink ref="S1414" r:id="rId111" xr:uid="{ED9898B0-48A6-4D76-8384-EBCF827A13B1}"/>
    <hyperlink ref="S1415" r:id="rId112" xr:uid="{1441787E-1F3D-4EC7-9B63-16A07ABA79E9}"/>
    <hyperlink ref="S1448" r:id="rId113" xr:uid="{1451A132-C949-478A-8A2F-B20B66804459}"/>
    <hyperlink ref="S1465" r:id="rId114" xr:uid="{658F0388-CC1F-4555-8769-931EC4ACFA20}"/>
    <hyperlink ref="S1482" r:id="rId115" xr:uid="{565638C3-FE9B-47F3-A39C-9038E938E9F3}"/>
    <hyperlink ref="S1483" r:id="rId116" xr:uid="{5DFFC6E8-1A2B-40E1-9A28-87305C94C9F0}"/>
    <hyperlink ref="S1484" r:id="rId117" xr:uid="{6DA8D1B7-00CA-4B79-B861-5BB192909A6F}"/>
    <hyperlink ref="S1169" r:id="rId118" xr:uid="{978B7669-70CC-4174-949A-2C831BE18892}"/>
    <hyperlink ref="S1153" r:id="rId119" xr:uid="{9E638327-4599-4951-B103-785AA00C6DE6}"/>
    <hyperlink ref="S1198" r:id="rId120" xr:uid="{4C3E5D15-9DCB-47B5-8F38-0278CD782ECA}"/>
    <hyperlink ref="S1204" r:id="rId121" xr:uid="{1FCCA5D4-180B-4402-BDCC-5A939AF9E1BC}"/>
    <hyperlink ref="S1504" r:id="rId122" xr:uid="{AFA26F11-9C34-484C-880D-B9BF88CF7B14}"/>
    <hyperlink ref="S1505" r:id="rId123" xr:uid="{C4EA4B26-67B6-4320-826E-A22EC7F07764}"/>
    <hyperlink ref="S1507" r:id="rId124" xr:uid="{71F6BCBE-4021-4418-99A2-775EC0F8D9E0}"/>
    <hyperlink ref="S1508" r:id="rId125" xr:uid="{BDA19575-3652-4800-8CF6-480E7E464889}"/>
    <hyperlink ref="S1509" r:id="rId126" xr:uid="{0D5047AA-5BB0-480F-883E-FD61F33515ED}"/>
    <hyperlink ref="S1510" r:id="rId127" xr:uid="{71588353-B3B1-4229-9934-09C8B3ED842D}"/>
    <hyperlink ref="S1511" r:id="rId128" xr:uid="{2A765CBB-1B07-447E-A06A-17D11F06C235}"/>
    <hyperlink ref="S1512" r:id="rId129" xr:uid="{0FD8EB66-47DB-49F9-A2FE-0B1B3B35C9DD}"/>
    <hyperlink ref="S1513" r:id="rId130" xr:uid="{BBC2D2F6-6344-472C-910C-660E71AF56F2}"/>
    <hyperlink ref="S1514" r:id="rId131" xr:uid="{C1F284B4-9ACF-472D-807D-B0FDEAEB95C0}"/>
    <hyperlink ref="S1515" r:id="rId132" xr:uid="{F5D034B2-3071-468C-A18D-0719F693F175}"/>
    <hyperlink ref="S1516" r:id="rId133" xr:uid="{F5245510-A2EB-428F-86FA-3B30302C42E2}"/>
    <hyperlink ref="S1517" r:id="rId134" xr:uid="{EDF02670-3433-4E0A-9723-BAEC96D546CA}"/>
    <hyperlink ref="S1518" r:id="rId135" xr:uid="{0E0DAC51-9807-4403-91E1-6572CD2E06B7}"/>
    <hyperlink ref="S1519" r:id="rId136" xr:uid="{EF0E430E-B44B-4F04-9040-5ADE5F5B7A5C}"/>
    <hyperlink ref="S1536" r:id="rId137" xr:uid="{F30818D8-CD6F-44C7-9EB1-5C1D7A7ECDBD}"/>
    <hyperlink ref="S1537" r:id="rId138" xr:uid="{8FDE1AA7-3F09-4CB9-A6BA-0607DC778112}"/>
    <hyperlink ref="S1538" r:id="rId139" xr:uid="{5525BDF7-2228-4B13-97B2-7D3D72C1154C}"/>
    <hyperlink ref="S1539" r:id="rId140" xr:uid="{FE16B1E8-B42A-4FFF-B7EC-0956FD88137A}"/>
    <hyperlink ref="S1540" r:id="rId141" xr:uid="{2FED899D-F641-401F-8FE9-E6304A51A751}"/>
    <hyperlink ref="S1541" r:id="rId142" xr:uid="{DCB489DC-892A-4A9E-BA77-461F69750777}"/>
    <hyperlink ref="S1542" r:id="rId143" xr:uid="{32EF1CC0-0A0F-47FB-B9AA-0ACBAB4847AA}"/>
    <hyperlink ref="S1543" r:id="rId144" xr:uid="{E9BDA6C4-159F-4EA7-9D83-CDAF5B5E1667}"/>
    <hyperlink ref="S1544" r:id="rId145" xr:uid="{5F00025D-009D-4621-ABB6-9285A56F129F}"/>
    <hyperlink ref="S1545" r:id="rId146" xr:uid="{C7F5C47A-AB4B-4B16-87F9-1587A2D62A17}"/>
    <hyperlink ref="S1546" r:id="rId147" xr:uid="{69C0AEA0-3056-4F60-96C6-1082F358F74F}"/>
    <hyperlink ref="S1547" r:id="rId148" xr:uid="{EB0496B9-402D-4C13-ADD6-4AEAFAA3D5ED}"/>
    <hyperlink ref="S1548" r:id="rId149" xr:uid="{7A8321FC-54EA-4F6E-A689-3513BFD62453}"/>
    <hyperlink ref="S1549" r:id="rId150" xr:uid="{FAF92214-402B-4CD5-BC20-84371B471A5E}"/>
    <hyperlink ref="S1550" r:id="rId151" xr:uid="{9B261890-6ACD-4D5D-888F-74068BA6E795}"/>
    <hyperlink ref="S1551" r:id="rId152" xr:uid="{7C365138-3C1A-4611-8447-022B79665618}"/>
    <hyperlink ref="S1552" r:id="rId153" xr:uid="{7FD12E1B-7286-4951-A10A-AA72A4856146}"/>
    <hyperlink ref="S1553" r:id="rId154" xr:uid="{6246C3A6-FF11-42EC-9463-599BD6E31AD9}"/>
    <hyperlink ref="S1554" r:id="rId155" xr:uid="{F0ABEF59-85D9-4B80-BCB8-F52EEA6F2AE1}"/>
    <hyperlink ref="S1555" r:id="rId156" xr:uid="{D948EE4E-17AA-439B-9BC9-64FC16A0BE70}"/>
    <hyperlink ref="S1556" r:id="rId157" xr:uid="{DB45BFE3-D88E-40ED-86CA-6FFD964D68A3}"/>
    <hyperlink ref="S1557" r:id="rId158" xr:uid="{588AA10F-B6FE-474F-9AB2-E0EBB66B4D31}"/>
    <hyperlink ref="S1558" r:id="rId159" xr:uid="{E8147765-E5F8-4B1A-A386-61A5C31282D4}"/>
    <hyperlink ref="S1559" r:id="rId160" xr:uid="{87204E7A-6FDC-4A69-8B1C-34274A55C308}"/>
    <hyperlink ref="S1560" r:id="rId161" xr:uid="{19616529-19D0-4F73-950B-EBD573304665}"/>
    <hyperlink ref="S1561" r:id="rId162" xr:uid="{AE80ECB2-3D34-4E58-89AF-A85D51CB4D8E}"/>
    <hyperlink ref="S1562" r:id="rId163" xr:uid="{9FCB80D0-3410-42C1-B4F0-F71A78391E5C}"/>
    <hyperlink ref="S1563" r:id="rId164" xr:uid="{9954153E-518F-46CE-847F-E65E246D1708}"/>
    <hyperlink ref="S1564" r:id="rId165" xr:uid="{637BE6B6-13C1-471C-BA96-CF111792C12F}"/>
    <hyperlink ref="S1565" r:id="rId166" xr:uid="{7FDA1C25-2F89-45FE-B37E-5EEE59FEF6C5}"/>
    <hyperlink ref="S1566" r:id="rId167" xr:uid="{39E3E022-9AEF-48AF-99EA-BB4DC143BA2F}"/>
    <hyperlink ref="S1567" r:id="rId168" xr:uid="{0C50AB00-A5DE-4932-A4C8-19B7E74C7DC4}"/>
    <hyperlink ref="S1568" r:id="rId169" xr:uid="{764E1B6F-DDD8-4461-AE2B-C21A5B6FD539}"/>
    <hyperlink ref="S1569" r:id="rId170" xr:uid="{A07BB05B-D0AE-4C2B-BCCA-779D0C6FB5E5}"/>
    <hyperlink ref="S1502" r:id="rId171" xr:uid="{7674C07A-F466-4BC9-BFDD-7C1462C33E5F}"/>
    <hyperlink ref="S1570" r:id="rId172" xr:uid="{65AFD249-A9B6-4BEF-9519-8CDA5003041B}"/>
    <hyperlink ref="S1571" r:id="rId173" xr:uid="{AA207119-74DE-49EF-B943-31E8B600AE9D}"/>
    <hyperlink ref="S1572" r:id="rId174" xr:uid="{8E5C06C2-E490-4296-909E-121CE40421F3}"/>
    <hyperlink ref="S1573" r:id="rId175" xr:uid="{B23AC9D8-D617-4739-A440-68FF730393DB}"/>
    <hyperlink ref="S1574" r:id="rId176" xr:uid="{DF9F01C8-5C27-4E89-AFB0-D11F05B79BA6}"/>
    <hyperlink ref="S1575" r:id="rId177" xr:uid="{887B5D4F-E673-4A89-8260-AA25A3F8E113}"/>
    <hyperlink ref="S1576" r:id="rId178" xr:uid="{37E5DBE9-3B9F-45B2-8DC7-1C56A866426B}"/>
    <hyperlink ref="S1577" r:id="rId179" xr:uid="{A61C3A51-C10B-4C60-A3F3-7AF3505F713F}"/>
    <hyperlink ref="S1578" r:id="rId180" xr:uid="{70469678-BA3E-4C26-8FE5-7307E5F1C712}"/>
    <hyperlink ref="S1579" r:id="rId181" xr:uid="{E7B7A1AE-8D1B-4576-9EF9-3D42F262C8CE}"/>
    <hyperlink ref="S1580" r:id="rId182" xr:uid="{D0C8DBB8-7691-4BB5-AF5B-1EC9428A1AE8}"/>
    <hyperlink ref="S1581" r:id="rId183" xr:uid="{ACD94CE5-89A9-4FA6-A816-6EA18B00118D}"/>
    <hyperlink ref="S1582" r:id="rId184" xr:uid="{B4E76C9E-F4B1-428F-9944-2B345DDB6504}"/>
    <hyperlink ref="S1583" r:id="rId185" xr:uid="{3833648A-E736-4A8C-87F6-C00B33556CC1}"/>
    <hyperlink ref="S1584" r:id="rId186" xr:uid="{0E5002D1-0556-4E4B-84A2-23F5B5C2FECB}"/>
    <hyperlink ref="S1585" r:id="rId187" xr:uid="{6443090B-6BF7-412D-AA9E-02A05A378D9D}"/>
    <hyperlink ref="S1586" r:id="rId188" xr:uid="{EF974F0F-6805-4EB0-B392-18832976D378}"/>
    <hyperlink ref="S1587" r:id="rId189" xr:uid="{08643061-C772-4542-B1C6-36B1C37ACF14}"/>
    <hyperlink ref="S1588" r:id="rId190" xr:uid="{4EC9737E-02F4-4BC0-A0A1-8663C272B07F}"/>
    <hyperlink ref="S1589" r:id="rId191" xr:uid="{0934796C-ACE2-4393-B571-035ED731E48A}"/>
    <hyperlink ref="S1590" r:id="rId192" xr:uid="{43B1F93E-3553-4DCB-99C8-9BCBD2341E0A}"/>
    <hyperlink ref="S1591" r:id="rId193" xr:uid="{C7352E74-DAC1-4316-894D-75C37E95AFB9}"/>
    <hyperlink ref="S1592" r:id="rId194" xr:uid="{80D8DE79-202D-44F6-982B-FC7AD3618536}"/>
    <hyperlink ref="S1593" r:id="rId195" xr:uid="{5A8C3870-151D-43C4-ACEC-9A422BBA9A18}"/>
    <hyperlink ref="S1594" r:id="rId196" xr:uid="{AA9891BB-152C-4954-919D-FE6FC0B37B1D}"/>
    <hyperlink ref="S1595" r:id="rId197" xr:uid="{86ADAF27-702F-42B8-8A89-D23DDD4BDE93}"/>
    <hyperlink ref="S1596" r:id="rId198" xr:uid="{0A75B14D-CE3D-4ABC-961F-96C4A6D49299}"/>
    <hyperlink ref="S1597" r:id="rId199" xr:uid="{F16694A6-1808-4C75-A8A6-BE59873533C0}"/>
    <hyperlink ref="S1598" r:id="rId200" xr:uid="{B6B55AC7-88A9-4C99-A4CB-BA6BB8983412}"/>
    <hyperlink ref="S1599" r:id="rId201" xr:uid="{B0CA20C5-7DCA-440C-9C09-0A5900A61791}"/>
    <hyperlink ref="S1600" r:id="rId202" xr:uid="{0A0429A5-36A1-4281-8270-DB54329982A8}"/>
    <hyperlink ref="S1601" r:id="rId203" xr:uid="{3BE447EE-A974-4F50-9774-964DDDC58AEB}"/>
    <hyperlink ref="S1602" r:id="rId204" xr:uid="{3A25BF1C-6B3A-4E1E-A94B-6945A9B49DA3}"/>
    <hyperlink ref="S1603" r:id="rId205" xr:uid="{8BC91451-0446-4982-A5C9-A5D8E0DF5C79}"/>
    <hyperlink ref="S1604" r:id="rId206" xr:uid="{0CB76961-460C-4030-87F7-5183AEFA05D6}"/>
    <hyperlink ref="S1605" r:id="rId207" xr:uid="{77727EB8-3EB6-4613-8F98-0EF3E3B7C218}"/>
    <hyperlink ref="S1607" r:id="rId208" xr:uid="{014FA326-84B0-4531-8D38-BBE094A08DCD}"/>
    <hyperlink ref="S1608:S1621" r:id="rId209" display="https://analytics.zoho.com/open-view/2395394000008503554?ZOHO_CRITERIA=%22Pueblos%20Ind%C3%ADgenas%20Sexo%22.%22id_Region%22%20%3D%201" xr:uid="{EFCED958-516E-4814-BF7C-CCBAFD69CC63}"/>
    <hyperlink ref="S1608" r:id="rId210" xr:uid="{2150830C-2603-4BB3-826F-5ADF46DCD7A3}"/>
    <hyperlink ref="S1609" r:id="rId211" xr:uid="{C6C841F8-EB78-4A17-B763-6DD3F7DF6640}"/>
    <hyperlink ref="S1610" r:id="rId212" xr:uid="{C5BAE162-08A2-43D1-AF76-1DF8F889A381}"/>
    <hyperlink ref="S1611" r:id="rId213" xr:uid="{F8085EF4-63B8-47F8-81B6-EF1C51D979AD}"/>
    <hyperlink ref="S1612" r:id="rId214" xr:uid="{1DA3DC5B-EEE5-4B40-9222-9C0C98FC2E19}"/>
    <hyperlink ref="S1613" r:id="rId215" xr:uid="{55B0AA7F-878E-4182-A024-25CDFE98160F}"/>
    <hyperlink ref="S1614" r:id="rId216" xr:uid="{0E36BEC5-5975-4035-A8AD-61AF53497B81}"/>
    <hyperlink ref="S1615" r:id="rId217" xr:uid="{1CEAA4AB-491B-4446-9641-90F05A68CBAF}"/>
    <hyperlink ref="S1616" r:id="rId218" xr:uid="{0BEA1E1D-CD2E-4436-B8E9-743485080C6C}"/>
    <hyperlink ref="S1617" r:id="rId219" xr:uid="{2848F482-0F35-48DE-9374-120A300999D1}"/>
    <hyperlink ref="S1618" r:id="rId220" xr:uid="{F738DB8A-4917-44D4-8851-A57D92B4A155}"/>
    <hyperlink ref="S1619" r:id="rId221" xr:uid="{0F6F87BB-78D8-4611-B483-0D7647CF10A9}"/>
    <hyperlink ref="S1620" r:id="rId222" xr:uid="{FE907430-B49D-470B-883D-4B2347DC90E6}"/>
    <hyperlink ref="S1621" r:id="rId223" xr:uid="{FBA80B13-9E7A-48D5-879F-8BCE79BDBBF7}"/>
    <hyperlink ref="S1606" r:id="rId224" xr:uid="{B8E420B4-68EF-468D-B52A-CC69E48499EB}"/>
    <hyperlink ref="S1622" r:id="rId225" xr:uid="{82288D13-C764-49F5-9F8C-8AD7985EC987}"/>
    <hyperlink ref="S1623" r:id="rId226" xr:uid="{4EF95E60-48E0-4F2B-9592-9E9C039B547A}"/>
    <hyperlink ref="S1624" r:id="rId227" xr:uid="{6C47FB89-0682-4786-ACBB-C2B9C469AC4A}"/>
    <hyperlink ref="S1625" r:id="rId228" xr:uid="{4525E51E-ACF3-42AA-8AB1-749EB6F8E10C}"/>
    <hyperlink ref="S1630" r:id="rId229" xr:uid="{BD7F5C95-0306-44C7-BD5C-C7FFC2820562}"/>
    <hyperlink ref="S1636" r:id="rId230" xr:uid="{E76326A4-962A-4613-90AF-2CAF44B47519}"/>
    <hyperlink ref="S1637" r:id="rId231" xr:uid="{5F11CE54-CDEB-46B6-BA17-E20D7A238774}"/>
    <hyperlink ref="S1638" r:id="rId232" xr:uid="{F7643559-A42B-47C1-B6E4-460672A3B983}"/>
    <hyperlink ref="S1639" r:id="rId233" xr:uid="{8F85E479-23B1-4CE7-A93E-A7CC8AB77F3E}"/>
    <hyperlink ref="S1640:S1654" r:id="rId234" display="https://analytics.zoho.com/open-view/2395394000008296020?ZOHO_CRITERIA=%22Consolidado_Estadisticas_Regionales_New%22.%22C%C3%B3digo%20regi%C3%B3n%22%3D1" xr:uid="{9CD427E7-46F4-4F06-AEAF-C0FC168A677C}"/>
    <hyperlink ref="S1640" r:id="rId235" xr:uid="{C5329554-8C66-4EC1-B4B2-F3E48376A848}"/>
    <hyperlink ref="S1641" r:id="rId236" xr:uid="{DDF231AF-7F39-4825-A0B3-17DBAEFC7A96}"/>
    <hyperlink ref="S1642" r:id="rId237" xr:uid="{64F20618-B9D9-4D99-B17F-74D3ED0A6318}"/>
    <hyperlink ref="S1643" r:id="rId238" xr:uid="{FBACD75B-DA79-406C-869A-12A85AD68077}"/>
    <hyperlink ref="S1644" r:id="rId239" xr:uid="{C772B670-3F51-4798-9578-3818A5035B45}"/>
    <hyperlink ref="S1645" r:id="rId240" xr:uid="{1CA43585-C2C6-4A75-BCE2-CC091C41BEE5}"/>
    <hyperlink ref="S1646" r:id="rId241" xr:uid="{E39DDE49-13C3-4955-92B4-605224992628}"/>
    <hyperlink ref="S1647" r:id="rId242" xr:uid="{2A6A3621-0BA2-4A26-9219-5FC08B0F893B}"/>
    <hyperlink ref="S1648" r:id="rId243" xr:uid="{FBA85796-273F-4D67-934B-33257C78DCCF}"/>
    <hyperlink ref="S1649" r:id="rId244" xr:uid="{A32992C6-1287-475E-91CC-4EEDE0AEAA71}"/>
    <hyperlink ref="S1650" r:id="rId245" xr:uid="{00CB0A0B-D304-45D2-912C-9FEA10ED3FB4}"/>
    <hyperlink ref="S1651" r:id="rId246" xr:uid="{E297ADC1-1373-44A6-B5AC-3C9669679544}"/>
    <hyperlink ref="S1652" r:id="rId247" xr:uid="{CCD20124-6938-466C-AFBA-B0851C43D619}"/>
    <hyperlink ref="S1653" r:id="rId248" xr:uid="{F846603B-49E6-4E13-9171-2D709D798E4B}"/>
    <hyperlink ref="S1654" r:id="rId249" xr:uid="{E666A1C6-2E5D-48AC-B237-E176FC9ACF4A}"/>
    <hyperlink ref="S1655" r:id="rId250" xr:uid="{061EE2C9-22D0-4CAD-828A-9AD3F32F2077}"/>
    <hyperlink ref="S1657" r:id="rId251" xr:uid="{2047AC23-3D8C-4AD8-82F2-8BE588622A81}"/>
    <hyperlink ref="S1658" r:id="rId252" xr:uid="{C1A86508-4A74-457C-AB9C-D62BAC7E6DCF}"/>
    <hyperlink ref="S1659" r:id="rId253" xr:uid="{545FABEF-1C70-4942-A393-67ACDA22773F}"/>
    <hyperlink ref="S1660" r:id="rId254" xr:uid="{1E48A20A-2A2A-4441-8A3E-FC411D59C9B7}"/>
    <hyperlink ref="S1661" r:id="rId255" xr:uid="{1CE40E92-862E-4F8B-9DB9-54A745C19593}"/>
    <hyperlink ref="S1662" r:id="rId256" xr:uid="{C4F2DBAD-D0FE-4076-A671-6A876F1A6722}"/>
    <hyperlink ref="S1663" r:id="rId257" xr:uid="{C4AB07EB-3C89-4DE4-A35D-CA124D59B176}"/>
    <hyperlink ref="S1664" r:id="rId258" xr:uid="{A8F5CE7D-0E59-4173-81C1-A3C31D428C3E}"/>
    <hyperlink ref="S1665" r:id="rId259" xr:uid="{402AA71C-A6C9-4D26-BF7B-65C55B9C55C1}"/>
    <hyperlink ref="S1666" r:id="rId260" xr:uid="{7EE70F20-BC7D-475F-A0DA-A7DCA35833D6}"/>
    <hyperlink ref="S1667" r:id="rId261" xr:uid="{37BE17E2-E72D-41E0-8606-7DAF60879E83}"/>
    <hyperlink ref="S1668" r:id="rId262" xr:uid="{5CA852B2-14C0-44B2-B9A3-2B0D3C7113C1}"/>
    <hyperlink ref="S1669" r:id="rId263" xr:uid="{FBBBAB95-3BCE-48C0-8FEB-E93AACF8D49D}"/>
    <hyperlink ref="S1670" r:id="rId264" xr:uid="{334B4F1F-CA50-40D6-8AF2-3C3962B6D753}"/>
    <hyperlink ref="S1671" r:id="rId265" xr:uid="{5CBEB7BE-F6B6-4FC8-B619-9ED5169FEE77}"/>
    <hyperlink ref="S1656" r:id="rId266" xr:uid="{7BFCE9DE-A957-4112-954E-FB5911CC80FB}"/>
    <hyperlink ref="S1672" r:id="rId267" xr:uid="{1D3AA2AD-0FD6-4723-A855-B707C2B87F83}"/>
    <hyperlink ref="S1673" r:id="rId268" xr:uid="{9EE9D25E-CF1C-499F-AB17-AECFAD371560}"/>
    <hyperlink ref="S1674" r:id="rId269" xr:uid="{13930C8C-CB63-4EE4-8231-F04E60E177A5}"/>
    <hyperlink ref="S1501" r:id="rId270" xr:uid="{F99287B3-1190-4652-899A-F9BBB2E17FAD}"/>
    <hyperlink ref="S1503" r:id="rId271" xr:uid="{6EAB67ED-0232-4542-9EF2-E1D7A6E1B8F8}"/>
    <hyperlink ref="S1521" r:id="rId272" xr:uid="{5494BD99-E85F-4389-9EFE-6EB2E2E224B0}"/>
    <hyperlink ref="S1522" r:id="rId273" xr:uid="{B4E3FAA4-964D-48B6-9D25-9E4517D02BD0}"/>
    <hyperlink ref="S1523" r:id="rId274" xr:uid="{C2C7B625-AFE2-42D7-9F4E-8DE93CEDC806}"/>
    <hyperlink ref="S1524" r:id="rId275" xr:uid="{ED8B1BF8-0DC7-4686-8BB8-C1F4B93DAEB0}"/>
    <hyperlink ref="S1525" r:id="rId276" xr:uid="{A235A1B9-1BF3-4B4C-A97B-742E2274F5EB}"/>
    <hyperlink ref="S1526" r:id="rId277" xr:uid="{09A6D83C-926A-4DBD-9BA1-91B880DA6836}"/>
    <hyperlink ref="S1527" r:id="rId278" xr:uid="{163E590F-21F1-4A5C-A27B-FADD6D622F1C}"/>
    <hyperlink ref="S1528" r:id="rId279" xr:uid="{497A4064-0C8B-4B31-9FC4-F0C959880E24}"/>
    <hyperlink ref="S1529" r:id="rId280" xr:uid="{633C9C5E-A59B-4050-9414-879254F5EC43}"/>
    <hyperlink ref="S1530" r:id="rId281" xr:uid="{0B28FDA0-65DE-434F-B644-DBEF35AABFE7}"/>
    <hyperlink ref="S1531" r:id="rId282" xr:uid="{36BB1C5C-DE6E-4ACF-96C1-6ACDCBCD4B93}"/>
    <hyperlink ref="S1532" r:id="rId283" xr:uid="{0BDE875C-6F33-4822-A224-B8207300AE70}"/>
    <hyperlink ref="S1533" r:id="rId284" xr:uid="{D1C44C67-CA19-4B6F-BAD3-03206E720E46}"/>
    <hyperlink ref="S1534" r:id="rId285" xr:uid="{57C91259-2EF9-4992-8BC3-897804CA83BE}"/>
    <hyperlink ref="S1535" r:id="rId286" xr:uid="{77EC0F7A-BAF1-48F6-94AC-4F18CC765472}"/>
    <hyperlink ref="S1626" r:id="rId287" xr:uid="{8918798E-396E-4404-B4AF-A366CA656C30}"/>
    <hyperlink ref="S1627" r:id="rId288" xr:uid="{7B0DB6F3-C1C2-4E84-9340-01BF1607C5B9}"/>
    <hyperlink ref="S1628" r:id="rId289" xr:uid="{DCC7EC66-8028-474A-B872-8A62566B0F1E}"/>
    <hyperlink ref="S1629" r:id="rId290" xr:uid="{B6FAA2A4-B5AE-4429-97C1-4022918ECAE1}"/>
    <hyperlink ref="S1631" r:id="rId291" xr:uid="{8430BF60-5E17-4D76-837C-7526D6ABF8B1}"/>
    <hyperlink ref="S1632" r:id="rId292" xr:uid="{96F07F65-02E1-4FE0-B250-0025F9DF3151}"/>
    <hyperlink ref="S1633" r:id="rId293" xr:uid="{3DB44A59-76E1-42EB-89C5-EA525FD07CA3}"/>
    <hyperlink ref="S1634" r:id="rId294" xr:uid="{9DD69396-B575-42E9-829E-12382D1EAADD}"/>
    <hyperlink ref="S1635" r:id="rId295" xr:uid="{28BA7693-2C69-4A37-9775-62E1E4D5FAC0}"/>
    <hyperlink ref="S1675" r:id="rId296" xr:uid="{D7AD5F70-FEC3-41E4-8987-DCA0DBCBCEDC}"/>
    <hyperlink ref="S1676" r:id="rId297" xr:uid="{AE08BE49-6460-4186-A8A5-C0FE8F5C9D4E}"/>
    <hyperlink ref="S1677:S1691" r:id="rId298" display="https://analytics.zoho.com/open-view/2395394000008478071?ZOHO_CRITERIA=%22Localiza%20CL%22.%22Codreg%22%20%3D%201" xr:uid="{81F70AC5-D028-40FA-A846-D7EE15BD464A}"/>
    <hyperlink ref="S1677" r:id="rId299" xr:uid="{4D8BC0F2-3C53-4407-85B9-B9551661EEFD}"/>
    <hyperlink ref="S1678" r:id="rId300" xr:uid="{F93BA6EC-AB12-4DE6-8314-B75D7F7C9B63}"/>
    <hyperlink ref="S1679" r:id="rId301" xr:uid="{CF0E38C4-369B-4B39-A189-A8C793375C42}"/>
    <hyperlink ref="S1680" r:id="rId302" xr:uid="{350B72F6-5768-4A2E-AE16-A1BF0089B57D}"/>
    <hyperlink ref="S1681" r:id="rId303" xr:uid="{D9BEAA6B-A1E8-4AFF-BB67-623128C2531E}"/>
    <hyperlink ref="S1682" r:id="rId304" xr:uid="{B3E8D6DE-5592-4D5D-9FF1-09EAA7CAC2F7}"/>
    <hyperlink ref="S1683" r:id="rId305" xr:uid="{5CC3FF93-1D0C-4DC7-9182-AC3CC182F816}"/>
    <hyperlink ref="S1684" r:id="rId306" xr:uid="{22DB4FF0-C666-4804-B17A-D20C04BDD79F}"/>
    <hyperlink ref="S1685" r:id="rId307" xr:uid="{161FA8E9-3966-48EC-B7DD-C8A600451DCD}"/>
    <hyperlink ref="S1686" r:id="rId308" xr:uid="{4796F088-A8E5-4F7F-A424-8E505B26A8C9}"/>
    <hyperlink ref="S1687" r:id="rId309" xr:uid="{93BD5A96-BE35-4122-A9C2-475CD909BBFD}"/>
    <hyperlink ref="S1688" r:id="rId310" xr:uid="{C76FF738-2365-4D22-8E50-27E6F6678324}"/>
    <hyperlink ref="S1689" r:id="rId311" xr:uid="{E2F24F2B-488B-4798-991A-F7DF7C212153}"/>
    <hyperlink ref="S1690" r:id="rId312" xr:uid="{D5C42065-154B-450F-B265-CCE420279C1A}"/>
    <hyperlink ref="S1691" r:id="rId313" xr:uid="{66CD801E-6AD0-4EDF-95F4-BAA5E9BD568B}"/>
    <hyperlink ref="S1692" r:id="rId314" xr:uid="{BBFB6100-32C4-4821-BBA8-FA396065B409}"/>
    <hyperlink ref="S1693" r:id="rId315" xr:uid="{44F55ECB-A7F5-4C3C-AEC6-83D959F1C5DA}"/>
    <hyperlink ref="S1694:S1708" r:id="rId316" display="https://analytics.zoho.com/open-view/2395394000008478183?ZOHO_CRITERIA=%22Localiza%20CL%22.%22Codreg%22%20%3D%201" xr:uid="{4E78CE11-30EE-46A5-B98B-F47646DCAC78}"/>
    <hyperlink ref="S1694" r:id="rId317" xr:uid="{25DCB53E-3322-4CB0-BF89-E8E9E0A8A5FD}"/>
    <hyperlink ref="S1695" r:id="rId318" xr:uid="{25C27C9D-F388-44F6-8022-F199A89FD394}"/>
    <hyperlink ref="S1696" r:id="rId319" xr:uid="{412434B6-297D-4A59-A0B8-77F6681DE18A}"/>
    <hyperlink ref="S1697" r:id="rId320" xr:uid="{AB0961DE-65B4-4856-B69E-55AD00996BC0}"/>
    <hyperlink ref="S1698" r:id="rId321" xr:uid="{242C3A04-D46A-4DFD-A6E3-1D6C3B6CAEAB}"/>
    <hyperlink ref="S1699" r:id="rId322" xr:uid="{F430B9C5-DB2B-4349-A786-F91E4D711678}"/>
    <hyperlink ref="S1700" r:id="rId323" xr:uid="{1221B0EB-23BF-47E1-B4F4-071827F93AB2}"/>
    <hyperlink ref="S1701" r:id="rId324" xr:uid="{94F15B51-F6A7-40E2-A25C-B7744B44C444}"/>
    <hyperlink ref="S1702" r:id="rId325" xr:uid="{2C150F6C-0528-400F-8D55-37416E979457}"/>
    <hyperlink ref="S1703" r:id="rId326" xr:uid="{037F3E4C-2AD7-4016-B767-1273EDB85903}"/>
    <hyperlink ref="S1704" r:id="rId327" xr:uid="{284FD010-29A7-430A-BC91-1154E59AFCC4}"/>
    <hyperlink ref="S1705" r:id="rId328" xr:uid="{49D067FE-FCF8-4034-81E8-39718EBADFE1}"/>
    <hyperlink ref="S1706" r:id="rId329" xr:uid="{56ECB231-C3DB-4776-9994-99A5D49EC8D2}"/>
    <hyperlink ref="S1707" r:id="rId330" xr:uid="{ACB9CAA8-174A-4201-BECA-8D7DD3FAC73A}"/>
    <hyperlink ref="S1708" r:id="rId331" xr:uid="{17E04E5F-AD31-419A-8BE7-957113983A1F}"/>
    <hyperlink ref="S1709" r:id="rId332" xr:uid="{3CCAFF91-20AD-4FED-A251-9429222BD505}"/>
    <hyperlink ref="S1710" r:id="rId333" xr:uid="{2B878853-6965-473E-A91B-5369BD453E65}"/>
    <hyperlink ref="S1711" r:id="rId334" xr:uid="{6E12F7EB-6195-413A-B89E-40C45F95C8FD}"/>
    <hyperlink ref="S1712" r:id="rId335" xr:uid="{DBD66ABB-38AD-4526-B5E7-8F7BF488D9B6}"/>
    <hyperlink ref="S1713" r:id="rId336" xr:uid="{00168F20-0C7C-432D-9F21-9B55F19A4BAA}"/>
    <hyperlink ref="S1067" r:id="rId337" xr:uid="{24A6A407-469E-48AA-A399-FA2E0EB3D73B}"/>
    <hyperlink ref="S1431" r:id="rId338" xr:uid="{8AC9B35F-E5D9-48E7-B9CE-2707BF2291EA}"/>
    <hyperlink ref="S1769" r:id="rId339" xr:uid="{128DEA9D-9707-45DB-91C2-DA5701DA8DF8}"/>
    <hyperlink ref="S98" r:id="rId340" xr:uid="{DDB1E081-84AF-406B-B381-D58F7DEE5BC4}"/>
    <hyperlink ref="S617" r:id="rId341" xr:uid="{58C375D9-229A-4912-ABD2-5DFEBD9C7105}"/>
    <hyperlink ref="S1947" r:id="rId342" xr:uid="{3C126A7D-C9C1-4FC8-AD91-E9B1E4AAC555}"/>
    <hyperlink ref="S1790" r:id="rId343" xr:uid="{6E02F85A-ADBA-457A-B6BE-C7C986FC091B}"/>
    <hyperlink ref="S1793" r:id="rId344" xr:uid="{7D1FBBB2-8426-4BEC-93B3-1FFA38718FE3}"/>
    <hyperlink ref="S1152" r:id="rId345" xr:uid="{08C84C03-3AB4-42FD-B686-94CB35AD7345}"/>
    <hyperlink ref="S1182" r:id="rId346" xr:uid="{CF5F24A7-A76C-450C-AA39-B1099DD4F820}"/>
    <hyperlink ref="S1186" r:id="rId347" xr:uid="{7602814D-576C-4800-90F0-207B88FDA18B}"/>
    <hyperlink ref="S1187" r:id="rId348" xr:uid="{AC884675-4714-48B6-B9D5-9A646A5BF92F}"/>
    <hyperlink ref="S329" r:id="rId349" xr:uid="{AC08E350-6498-472C-84BC-D9DF52AB48CB}"/>
    <hyperlink ref="S449" r:id="rId350" xr:uid="{EF62586B-9D74-49E1-A072-29ACA29FABE9}"/>
    <hyperlink ref="S457" r:id="rId351" xr:uid="{E6ED009A-AC5B-4120-9C61-4D1B41058415}"/>
    <hyperlink ref="S470" r:id="rId352" xr:uid="{5E56147E-2B4B-4A8D-BDAC-E231B50ADCE8}"/>
    <hyperlink ref="S471" r:id="rId353" xr:uid="{2D5026CF-3C98-4255-A00A-130DA73336BF}"/>
  </hyperlinks>
  <pageMargins left="0.7" right="0.7" top="0.75" bottom="0.75" header="0.3" footer="0.3"/>
  <pageSetup orientation="portrait" horizontalDpi="4294967293" verticalDpi="4294967293" r:id="rId354"/>
  <drawing r:id="rId355"/>
  <tableParts count="1">
    <tablePart r:id="rId356"/>
  </tableParts>
  <extLst>
    <ext xmlns:x15="http://schemas.microsoft.com/office/spreadsheetml/2010/11/main" uri="{3A4CF648-6AED-40f4-86FF-DC5316D8AED3}">
      <x14:slicerList xmlns:x14="http://schemas.microsoft.com/office/spreadsheetml/2009/9/main">
        <x14:slicer r:id="rId35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0996-782E-477B-9CFA-4A03E6187C1D}">
  <sheetPr>
    <tabColor rgb="FFC00000"/>
  </sheetPr>
  <dimension ref="A1:AD366"/>
  <sheetViews>
    <sheetView showGridLines="0" workbookViewId="0">
      <selection activeCell="A9" sqref="A9"/>
    </sheetView>
  </sheetViews>
  <sheetFormatPr baseColWidth="10" defaultRowHeight="14.4" x14ac:dyDescent="0.3"/>
  <cols>
    <col min="1" max="1" width="48.88671875" bestFit="1" customWidth="1"/>
    <col min="2" max="2" width="6.33203125" customWidth="1"/>
    <col min="3" max="3" width="7.6640625" bestFit="1" customWidth="1"/>
    <col min="4" max="4" width="1.33203125" style="30" customWidth="1"/>
    <col min="5" max="5" width="40.44140625" bestFit="1" customWidth="1"/>
    <col min="6" max="6" width="4.77734375" customWidth="1"/>
    <col min="7" max="7" width="13" customWidth="1"/>
    <col min="8" max="8" width="1.21875" style="30" customWidth="1"/>
    <col min="9" max="9" width="20.88671875" style="29" bestFit="1" customWidth="1"/>
    <col min="10" max="10" width="4.44140625" style="29" customWidth="1"/>
    <col min="11" max="11" width="13" style="29" customWidth="1"/>
    <col min="12" max="12" width="1.33203125" style="30" customWidth="1"/>
    <col min="13" max="13" width="67.88671875" style="29" bestFit="1" customWidth="1"/>
    <col min="14" max="14" width="3.77734375" style="29" customWidth="1"/>
    <col min="15" max="15" width="10.5546875" style="29" customWidth="1"/>
    <col min="16" max="16" width="1.44140625" style="30" customWidth="1"/>
    <col min="17" max="17" width="7.5546875" bestFit="1" customWidth="1"/>
    <col min="18" max="18" width="8.33203125" bestFit="1" customWidth="1"/>
    <col min="19" max="19" width="5.21875" customWidth="1"/>
    <col min="20" max="20" width="1.33203125" style="30" customWidth="1"/>
    <col min="21" max="21" width="10.33203125" customWidth="1"/>
    <col min="22" max="22" width="26" customWidth="1"/>
    <col min="23" max="23" width="8.33203125" bestFit="1" customWidth="1"/>
    <col min="24" max="24" width="6" bestFit="1" customWidth="1"/>
    <col min="26" max="26" width="3.77734375" customWidth="1"/>
    <col min="27" max="27" width="1.44140625" style="30" customWidth="1"/>
    <col min="28" max="28" width="3.33203125" customWidth="1"/>
    <col min="29" max="29" width="24.33203125" bestFit="1" customWidth="1"/>
    <col min="31" max="31" width="11.77734375" customWidth="1"/>
  </cols>
  <sheetData>
    <row r="1" spans="1:30" x14ac:dyDescent="0.3">
      <c r="A1" s="16" t="s">
        <v>400</v>
      </c>
      <c r="B1" s="17">
        <v>990</v>
      </c>
    </row>
    <row r="3" spans="1:30" x14ac:dyDescent="0.3">
      <c r="A3" s="82" t="s">
        <v>3</v>
      </c>
      <c r="C3" s="4" t="s">
        <v>388</v>
      </c>
      <c r="E3" s="82" t="s">
        <v>4</v>
      </c>
      <c r="G3" s="4" t="s">
        <v>389</v>
      </c>
      <c r="H3" s="31"/>
      <c r="I3" s="82" t="s">
        <v>24</v>
      </c>
      <c r="J3" s="15"/>
      <c r="K3" s="4" t="s">
        <v>392</v>
      </c>
      <c r="L3" s="31"/>
      <c r="M3" s="82" t="s">
        <v>25</v>
      </c>
      <c r="N3" s="15"/>
      <c r="O3" s="4" t="s">
        <v>391</v>
      </c>
      <c r="P3" s="31"/>
      <c r="Q3" t="s">
        <v>390</v>
      </c>
      <c r="R3" s="4" t="s">
        <v>5</v>
      </c>
      <c r="V3" s="82" t="s">
        <v>6</v>
      </c>
      <c r="W3" s="4" t="s">
        <v>5</v>
      </c>
      <c r="X3" s="5" t="s">
        <v>398</v>
      </c>
      <c r="Y3" s="5" t="s">
        <v>397</v>
      </c>
      <c r="AC3" t="s">
        <v>15</v>
      </c>
      <c r="AD3">
        <v>0</v>
      </c>
    </row>
    <row r="4" spans="1:30" x14ac:dyDescent="0.3">
      <c r="A4" s="81" t="s">
        <v>1538</v>
      </c>
      <c r="B4" s="15">
        <v>1</v>
      </c>
      <c r="C4" s="29" t="str">
        <f>+IF(A4="","","T-"&amp;$B$1+B4)</f>
        <v>T-991</v>
      </c>
      <c r="E4" s="81" t="s">
        <v>575</v>
      </c>
      <c r="F4" s="15">
        <v>1</v>
      </c>
      <c r="G4" t="str">
        <f>+IF(E4="","","C-"&amp;$B$1+F4)</f>
        <v>C-991</v>
      </c>
      <c r="I4" s="81" t="s">
        <v>18</v>
      </c>
      <c r="J4" s="15">
        <v>1</v>
      </c>
      <c r="K4" t="str">
        <f>+IF(I4="","","FI-"&amp;$B$1+J4)</f>
        <v>FI-991</v>
      </c>
      <c r="M4" s="81" t="s">
        <v>837</v>
      </c>
      <c r="N4" s="15">
        <v>1</v>
      </c>
      <c r="O4" t="str">
        <f>+IF(M4="","","M-"&amp;$B$1+N4)</f>
        <v>M-991</v>
      </c>
      <c r="Q4">
        <f>+$B$1+1</f>
        <v>991</v>
      </c>
      <c r="R4" s="81" t="s">
        <v>20</v>
      </c>
      <c r="S4">
        <f>+Q4</f>
        <v>991</v>
      </c>
      <c r="U4">
        <f>+VLOOKUP(W4,$R$4:$S$6,2,0)*100000+X4</f>
        <v>99100000</v>
      </c>
      <c r="V4" s="81" t="s">
        <v>15</v>
      </c>
      <c r="W4" s="81" t="s">
        <v>20</v>
      </c>
      <c r="X4">
        <f>+VLOOKUP(V4,$AC$3:$AD$364,2,0)</f>
        <v>0</v>
      </c>
      <c r="Y4">
        <f>+U4</f>
        <v>99100000</v>
      </c>
      <c r="AC4" t="s">
        <v>368</v>
      </c>
      <c r="AD4">
        <v>1</v>
      </c>
    </row>
    <row r="5" spans="1:30" x14ac:dyDescent="0.3">
      <c r="A5" s="81" t="s">
        <v>424</v>
      </c>
      <c r="B5" s="15">
        <f t="shared" ref="B5:B7" si="0">+IF(A5="","",B4+1)</f>
        <v>2</v>
      </c>
      <c r="C5" t="str">
        <f>+IF(A5="","","T-"&amp;$B$1+B5)</f>
        <v>T-992</v>
      </c>
      <c r="E5" s="81" t="s">
        <v>1029</v>
      </c>
      <c r="F5" s="15">
        <f t="shared" ref="F5:F6" si="1">+IF(E5="","",F4+1)</f>
        <v>2</v>
      </c>
      <c r="G5" t="str">
        <f>+IF(E5="","","C-"&amp;$B$1+F5)</f>
        <v>C-992</v>
      </c>
      <c r="I5" s="81" t="s">
        <v>16</v>
      </c>
      <c r="J5" s="15">
        <f t="shared" ref="J5:J30" si="2">+IF(I5="","",J4+1)</f>
        <v>2</v>
      </c>
      <c r="K5" t="str">
        <f>+IF(I5="","","FI-"&amp;$B$1+J5)</f>
        <v>FI-992</v>
      </c>
      <c r="M5" s="81" t="s">
        <v>838</v>
      </c>
      <c r="N5" s="15">
        <f t="shared" ref="N5:N6" si="3">+IF(M5="","",N4+1)</f>
        <v>2</v>
      </c>
      <c r="O5" t="str">
        <f>+IF(M5="","","M-"&amp;$B$1+N5)</f>
        <v>M-992</v>
      </c>
      <c r="Q5" s="29">
        <f>++IF(R5="","",Q4+1)</f>
        <v>992</v>
      </c>
      <c r="R5" s="81" t="s">
        <v>16</v>
      </c>
      <c r="S5">
        <f t="shared" ref="S5:S6" si="4">+Q5</f>
        <v>992</v>
      </c>
      <c r="U5">
        <f t="shared" ref="U5:U68" si="5">+VLOOKUP(W5,$R$4:$S$6,2,0)*100000+X5</f>
        <v>99200002</v>
      </c>
      <c r="V5" s="81" t="s">
        <v>369</v>
      </c>
      <c r="W5" s="81" t="s">
        <v>16</v>
      </c>
      <c r="X5">
        <f t="shared" ref="X5:X68" si="6">+VLOOKUP(V5,$AC$3:$AD$364,2,0)</f>
        <v>2</v>
      </c>
      <c r="Y5">
        <f t="shared" ref="Y5:Y68" si="7">+U5</f>
        <v>99200002</v>
      </c>
      <c r="AC5" t="s">
        <v>369</v>
      </c>
      <c r="AD5">
        <v>2</v>
      </c>
    </row>
    <row r="6" spans="1:30" x14ac:dyDescent="0.3">
      <c r="A6" s="81" t="s">
        <v>2368</v>
      </c>
      <c r="B6" s="15">
        <f t="shared" si="0"/>
        <v>3</v>
      </c>
      <c r="C6" t="str">
        <f>+IF(A6="","","T-"&amp;$B$1+B6)</f>
        <v>T-993</v>
      </c>
      <c r="E6" s="81" t="s">
        <v>1601</v>
      </c>
      <c r="F6" s="15">
        <f t="shared" si="1"/>
        <v>3</v>
      </c>
      <c r="G6" t="str">
        <f>+IF(E6="","","C-"&amp;$B$1+F6)</f>
        <v>C-993</v>
      </c>
      <c r="I6" s="81" t="s">
        <v>404</v>
      </c>
      <c r="J6" s="15">
        <f t="shared" si="2"/>
        <v>3</v>
      </c>
      <c r="K6" t="str">
        <f>+IF(I6="","","FI-"&amp;$B$1+J6)</f>
        <v>FI-993</v>
      </c>
      <c r="M6" s="81" t="s">
        <v>839</v>
      </c>
      <c r="N6" s="15">
        <f t="shared" si="3"/>
        <v>3</v>
      </c>
      <c r="O6" s="29" t="str">
        <f>+IF(M6="","","M-"&amp;$B$1+N6)</f>
        <v>M-993</v>
      </c>
      <c r="Q6" t="str">
        <f t="shared" ref="Q6:Q16" si="8">++IF(R6="","",Q5+1)</f>
        <v/>
      </c>
      <c r="S6" t="str">
        <f t="shared" si="4"/>
        <v/>
      </c>
      <c r="U6">
        <f t="shared" si="5"/>
        <v>99200015</v>
      </c>
      <c r="V6" s="81" t="s">
        <v>382</v>
      </c>
      <c r="W6" s="81" t="s">
        <v>16</v>
      </c>
      <c r="X6">
        <f t="shared" si="6"/>
        <v>15</v>
      </c>
      <c r="Y6">
        <f t="shared" si="7"/>
        <v>99200015</v>
      </c>
      <c r="AC6" t="s">
        <v>370</v>
      </c>
      <c r="AD6">
        <v>3</v>
      </c>
    </row>
    <row r="7" spans="1:30" x14ac:dyDescent="0.3">
      <c r="A7" s="81" t="s">
        <v>2369</v>
      </c>
      <c r="B7" s="15">
        <f t="shared" si="0"/>
        <v>4</v>
      </c>
      <c r="C7" t="str">
        <f>+IF(A7="","","T-"&amp;$B$1+B7)</f>
        <v>T-994</v>
      </c>
      <c r="E7" s="81" t="s">
        <v>1653</v>
      </c>
      <c r="F7" s="15">
        <f t="shared" ref="F7:F70" si="9">+IF(E7="","",F6+1)</f>
        <v>4</v>
      </c>
      <c r="G7" t="str">
        <f t="shared" ref="G7:G70" si="10">+IF(E7="","","C-"&amp;$B$1+F7)</f>
        <v>C-994</v>
      </c>
      <c r="I7" s="81" t="s">
        <v>1032</v>
      </c>
      <c r="J7" s="15">
        <f t="shared" si="2"/>
        <v>4</v>
      </c>
      <c r="K7" t="str">
        <f>+IF(I7="","","FI-"&amp;$B$1+J7)</f>
        <v>FI-994</v>
      </c>
      <c r="M7" s="81" t="s">
        <v>1064</v>
      </c>
      <c r="N7" s="15">
        <f t="shared" ref="N7:N19" si="11">+IF(M7="","",N6+1)</f>
        <v>4</v>
      </c>
      <c r="O7" s="29" t="str">
        <f t="shared" ref="O7:O19" si="12">+IF(M7="","","M-"&amp;$B$1+N7)</f>
        <v>M-994</v>
      </c>
      <c r="Q7" t="str">
        <f t="shared" si="8"/>
        <v/>
      </c>
      <c r="U7">
        <f t="shared" si="5"/>
        <v>99200003</v>
      </c>
      <c r="V7" s="81" t="s">
        <v>370</v>
      </c>
      <c r="W7" s="81" t="s">
        <v>16</v>
      </c>
      <c r="X7">
        <f t="shared" si="6"/>
        <v>3</v>
      </c>
      <c r="Y7">
        <f t="shared" si="7"/>
        <v>99200003</v>
      </c>
      <c r="AC7" t="s">
        <v>371</v>
      </c>
      <c r="AD7">
        <v>4</v>
      </c>
    </row>
    <row r="8" spans="1:30" x14ac:dyDescent="0.3">
      <c r="A8" s="81" t="s">
        <v>628</v>
      </c>
      <c r="B8" s="15">
        <f t="shared" ref="B8:B71" si="13">+IF(A8="","",B7+1)</f>
        <v>5</v>
      </c>
      <c r="C8" t="str">
        <f t="shared" ref="C8:C71" si="14">+IF(A8="","","T-"&amp;$B$1+B8)</f>
        <v>T-995</v>
      </c>
      <c r="E8" s="81" t="s">
        <v>3761</v>
      </c>
      <c r="F8" s="15">
        <f t="shared" si="9"/>
        <v>5</v>
      </c>
      <c r="G8" t="str">
        <f t="shared" si="10"/>
        <v>C-995</v>
      </c>
      <c r="I8" s="81" t="s">
        <v>846</v>
      </c>
      <c r="J8" s="15">
        <f t="shared" ref="J8:J17" si="15">+IF(I8="","",J7+1)</f>
        <v>5</v>
      </c>
      <c r="K8" t="str">
        <f t="shared" ref="K8:K36" si="16">+IF(I8="","","FI-"&amp;$B$1+J8)</f>
        <v>FI-995</v>
      </c>
      <c r="M8" s="81" t="s">
        <v>840</v>
      </c>
      <c r="N8" s="15">
        <f t="shared" si="11"/>
        <v>5</v>
      </c>
      <c r="O8" s="29" t="str">
        <f t="shared" si="12"/>
        <v>M-995</v>
      </c>
      <c r="Q8" t="str">
        <f t="shared" si="8"/>
        <v/>
      </c>
      <c r="U8">
        <f t="shared" si="5"/>
        <v>99200011</v>
      </c>
      <c r="V8" s="81" t="s">
        <v>378</v>
      </c>
      <c r="W8" s="81" t="s">
        <v>16</v>
      </c>
      <c r="X8">
        <f t="shared" si="6"/>
        <v>11</v>
      </c>
      <c r="Y8">
        <f t="shared" si="7"/>
        <v>99200011</v>
      </c>
      <c r="AC8" t="s">
        <v>372</v>
      </c>
      <c r="AD8">
        <v>5</v>
      </c>
    </row>
    <row r="9" spans="1:30" x14ac:dyDescent="0.3">
      <c r="A9" s="81" t="s">
        <v>623</v>
      </c>
      <c r="B9" s="15">
        <f t="shared" si="13"/>
        <v>6</v>
      </c>
      <c r="C9" t="str">
        <f t="shared" si="14"/>
        <v>T-996</v>
      </c>
      <c r="E9" s="81" t="s">
        <v>3762</v>
      </c>
      <c r="F9" s="15">
        <f t="shared" si="9"/>
        <v>6</v>
      </c>
      <c r="G9" t="str">
        <f t="shared" si="10"/>
        <v>C-996</v>
      </c>
      <c r="I9" s="81" t="s">
        <v>617</v>
      </c>
      <c r="J9" s="15">
        <f t="shared" si="15"/>
        <v>6</v>
      </c>
      <c r="K9" t="str">
        <f t="shared" si="16"/>
        <v>FI-996</v>
      </c>
      <c r="M9" s="81" t="s">
        <v>841</v>
      </c>
      <c r="N9" s="15">
        <f t="shared" si="11"/>
        <v>6</v>
      </c>
      <c r="O9" s="29" t="str">
        <f t="shared" si="12"/>
        <v>M-996</v>
      </c>
      <c r="Q9" t="str">
        <f t="shared" si="8"/>
        <v/>
      </c>
      <c r="U9">
        <f t="shared" si="5"/>
        <v>99200004</v>
      </c>
      <c r="V9" s="81" t="s">
        <v>371</v>
      </c>
      <c r="W9" s="81" t="s">
        <v>16</v>
      </c>
      <c r="X9">
        <f t="shared" si="6"/>
        <v>4</v>
      </c>
      <c r="Y9">
        <f t="shared" si="7"/>
        <v>99200004</v>
      </c>
      <c r="AC9" t="s">
        <v>373</v>
      </c>
      <c r="AD9">
        <v>6</v>
      </c>
    </row>
    <row r="10" spans="1:30" x14ac:dyDescent="0.3">
      <c r="A10" s="81" t="s">
        <v>877</v>
      </c>
      <c r="B10" s="15">
        <f t="shared" si="13"/>
        <v>7</v>
      </c>
      <c r="C10" t="str">
        <f t="shared" si="14"/>
        <v>T-997</v>
      </c>
      <c r="E10" s="81" t="s">
        <v>3763</v>
      </c>
      <c r="F10" s="15">
        <f t="shared" si="9"/>
        <v>7</v>
      </c>
      <c r="G10" t="str">
        <f t="shared" si="10"/>
        <v>C-997</v>
      </c>
      <c r="I10" s="81" t="s">
        <v>618</v>
      </c>
      <c r="J10" s="15">
        <f t="shared" si="15"/>
        <v>7</v>
      </c>
      <c r="K10" t="str">
        <f t="shared" si="16"/>
        <v>FI-997</v>
      </c>
      <c r="M10" s="81" t="s">
        <v>842</v>
      </c>
      <c r="N10" s="15">
        <f t="shared" si="11"/>
        <v>7</v>
      </c>
      <c r="O10" s="29" t="str">
        <f t="shared" si="12"/>
        <v>M-997</v>
      </c>
      <c r="Q10" t="str">
        <f t="shared" si="8"/>
        <v/>
      </c>
      <c r="U10">
        <f t="shared" si="5"/>
        <v>99200009</v>
      </c>
      <c r="V10" s="81" t="s">
        <v>376</v>
      </c>
      <c r="W10" s="81" t="s">
        <v>16</v>
      </c>
      <c r="X10">
        <f t="shared" si="6"/>
        <v>9</v>
      </c>
      <c r="Y10">
        <f t="shared" si="7"/>
        <v>99200009</v>
      </c>
      <c r="AC10" t="s">
        <v>374</v>
      </c>
      <c r="AD10">
        <v>7</v>
      </c>
    </row>
    <row r="11" spans="1:30" x14ac:dyDescent="0.3">
      <c r="A11" s="81" t="s">
        <v>883</v>
      </c>
      <c r="B11" s="15">
        <f t="shared" si="13"/>
        <v>8</v>
      </c>
      <c r="C11" t="str">
        <f t="shared" si="14"/>
        <v>T-998</v>
      </c>
      <c r="E11" s="81" t="s">
        <v>3764</v>
      </c>
      <c r="F11" s="15">
        <f t="shared" si="9"/>
        <v>8</v>
      </c>
      <c r="G11" t="str">
        <f t="shared" si="10"/>
        <v>C-998</v>
      </c>
      <c r="I11" s="81" t="s">
        <v>1066</v>
      </c>
      <c r="J11" s="15">
        <f t="shared" si="15"/>
        <v>8</v>
      </c>
      <c r="K11" t="str">
        <f t="shared" si="16"/>
        <v>FI-998</v>
      </c>
      <c r="M11" s="81" t="s">
        <v>843</v>
      </c>
      <c r="N11" s="15">
        <f t="shared" si="11"/>
        <v>8</v>
      </c>
      <c r="O11" s="29" t="str">
        <f t="shared" si="12"/>
        <v>M-998</v>
      </c>
      <c r="Q11" t="str">
        <f t="shared" si="8"/>
        <v/>
      </c>
      <c r="U11">
        <f t="shared" si="5"/>
        <v>99200010</v>
      </c>
      <c r="V11" s="81" t="s">
        <v>377</v>
      </c>
      <c r="W11" s="81" t="s">
        <v>16</v>
      </c>
      <c r="X11">
        <f t="shared" si="6"/>
        <v>10</v>
      </c>
      <c r="Y11">
        <f t="shared" si="7"/>
        <v>99200010</v>
      </c>
      <c r="AC11" t="s">
        <v>375</v>
      </c>
      <c r="AD11">
        <v>8</v>
      </c>
    </row>
    <row r="12" spans="1:30" x14ac:dyDescent="0.3">
      <c r="A12" s="81" t="s">
        <v>1018</v>
      </c>
      <c r="B12" s="15">
        <f t="shared" si="13"/>
        <v>9</v>
      </c>
      <c r="C12" t="str">
        <f t="shared" si="14"/>
        <v>T-999</v>
      </c>
      <c r="E12" s="81" t="s">
        <v>3765</v>
      </c>
      <c r="F12" s="15">
        <f t="shared" si="9"/>
        <v>9</v>
      </c>
      <c r="G12" t="str">
        <f t="shared" si="10"/>
        <v>C-999</v>
      </c>
      <c r="I12" s="81" t="s">
        <v>1493</v>
      </c>
      <c r="J12" s="15">
        <f t="shared" si="15"/>
        <v>9</v>
      </c>
      <c r="K12" t="str">
        <f t="shared" si="16"/>
        <v>FI-999</v>
      </c>
      <c r="M12" s="81" t="s">
        <v>844</v>
      </c>
      <c r="N12" s="15">
        <f t="shared" si="11"/>
        <v>9</v>
      </c>
      <c r="O12" s="29" t="str">
        <f t="shared" si="12"/>
        <v>M-999</v>
      </c>
      <c r="Q12" t="str">
        <f t="shared" si="8"/>
        <v/>
      </c>
      <c r="U12">
        <f t="shared" si="5"/>
        <v>99200014</v>
      </c>
      <c r="V12" s="81" t="s">
        <v>381</v>
      </c>
      <c r="W12" s="81" t="s">
        <v>16</v>
      </c>
      <c r="X12">
        <f t="shared" si="6"/>
        <v>14</v>
      </c>
      <c r="Y12">
        <f t="shared" si="7"/>
        <v>99200014</v>
      </c>
      <c r="AC12" t="s">
        <v>376</v>
      </c>
      <c r="AD12">
        <v>9</v>
      </c>
    </row>
    <row r="13" spans="1:30" x14ac:dyDescent="0.3">
      <c r="A13" s="81" t="s">
        <v>1021</v>
      </c>
      <c r="B13" s="15">
        <f t="shared" si="13"/>
        <v>10</v>
      </c>
      <c r="C13" t="str">
        <f t="shared" si="14"/>
        <v>T-1000</v>
      </c>
      <c r="E13" s="81" t="s">
        <v>933</v>
      </c>
      <c r="F13" s="15">
        <f t="shared" si="9"/>
        <v>10</v>
      </c>
      <c r="G13" t="str">
        <f t="shared" si="10"/>
        <v>C-1000</v>
      </c>
      <c r="I13" s="81" t="s">
        <v>1565</v>
      </c>
      <c r="J13" s="15">
        <f t="shared" si="15"/>
        <v>10</v>
      </c>
      <c r="K13" t="str">
        <f t="shared" si="16"/>
        <v>FI-1000</v>
      </c>
      <c r="M13" s="81" t="s">
        <v>845</v>
      </c>
      <c r="N13" s="15">
        <f t="shared" si="11"/>
        <v>10</v>
      </c>
      <c r="O13" s="29" t="str">
        <f t="shared" si="12"/>
        <v>M-1000</v>
      </c>
      <c r="Q13" t="str">
        <f t="shared" si="8"/>
        <v/>
      </c>
      <c r="U13">
        <f t="shared" si="5"/>
        <v>99200012</v>
      </c>
      <c r="V13" s="81" t="s">
        <v>379</v>
      </c>
      <c r="W13" s="81" t="s">
        <v>16</v>
      </c>
      <c r="X13">
        <f t="shared" si="6"/>
        <v>12</v>
      </c>
      <c r="Y13">
        <f t="shared" si="7"/>
        <v>99200012</v>
      </c>
      <c r="AC13" t="s">
        <v>377</v>
      </c>
      <c r="AD13">
        <v>10</v>
      </c>
    </row>
    <row r="14" spans="1:30" x14ac:dyDescent="0.3">
      <c r="A14" s="81" t="s">
        <v>1028</v>
      </c>
      <c r="B14" s="15">
        <f t="shared" si="13"/>
        <v>11</v>
      </c>
      <c r="C14" t="str">
        <f t="shared" si="14"/>
        <v>T-1001</v>
      </c>
      <c r="E14" s="81" t="s">
        <v>3766</v>
      </c>
      <c r="F14" s="15">
        <f t="shared" si="9"/>
        <v>11</v>
      </c>
      <c r="G14" t="str">
        <f t="shared" si="10"/>
        <v>C-1001</v>
      </c>
      <c r="I14" s="81" t="s">
        <v>1606</v>
      </c>
      <c r="J14" s="15">
        <f t="shared" si="15"/>
        <v>11</v>
      </c>
      <c r="K14" t="str">
        <f t="shared" si="16"/>
        <v>FI-1001</v>
      </c>
      <c r="M14" s="81" t="s">
        <v>847</v>
      </c>
      <c r="N14" s="15">
        <f t="shared" si="11"/>
        <v>11</v>
      </c>
      <c r="O14" s="29" t="str">
        <f t="shared" si="12"/>
        <v>M-1001</v>
      </c>
      <c r="Q14" t="str">
        <f t="shared" si="8"/>
        <v/>
      </c>
      <c r="U14">
        <f t="shared" si="5"/>
        <v>99200007</v>
      </c>
      <c r="V14" s="81" t="s">
        <v>374</v>
      </c>
      <c r="W14" s="81" t="s">
        <v>16</v>
      </c>
      <c r="X14">
        <f t="shared" si="6"/>
        <v>7</v>
      </c>
      <c r="Y14">
        <f t="shared" si="7"/>
        <v>99200007</v>
      </c>
      <c r="AC14" t="s">
        <v>378</v>
      </c>
      <c r="AD14">
        <v>11</v>
      </c>
    </row>
    <row r="15" spans="1:30" x14ac:dyDescent="0.3">
      <c r="A15" s="81" t="s">
        <v>1073</v>
      </c>
      <c r="B15" s="15">
        <f t="shared" si="13"/>
        <v>12</v>
      </c>
      <c r="C15" t="str">
        <f t="shared" si="14"/>
        <v>T-1002</v>
      </c>
      <c r="E15" s="81" t="s">
        <v>3767</v>
      </c>
      <c r="F15" s="15">
        <f t="shared" si="9"/>
        <v>12</v>
      </c>
      <c r="G15" t="str">
        <f t="shared" si="10"/>
        <v>C-1002</v>
      </c>
      <c r="I15" s="81" t="s">
        <v>1637</v>
      </c>
      <c r="J15" s="15">
        <f t="shared" si="15"/>
        <v>12</v>
      </c>
      <c r="K15" t="str">
        <f t="shared" si="16"/>
        <v>FI-1002</v>
      </c>
      <c r="M15" s="81" t="s">
        <v>848</v>
      </c>
      <c r="N15" s="15">
        <f t="shared" si="11"/>
        <v>12</v>
      </c>
      <c r="O15" s="29" t="str">
        <f t="shared" si="12"/>
        <v>M-1002</v>
      </c>
      <c r="Q15" t="str">
        <f t="shared" si="8"/>
        <v/>
      </c>
      <c r="U15">
        <f t="shared" si="5"/>
        <v>99200016</v>
      </c>
      <c r="V15" s="81" t="s">
        <v>383</v>
      </c>
      <c r="W15" s="81" t="s">
        <v>16</v>
      </c>
      <c r="X15">
        <f t="shared" si="6"/>
        <v>16</v>
      </c>
      <c r="Y15">
        <f t="shared" si="7"/>
        <v>99200016</v>
      </c>
      <c r="AC15" t="s">
        <v>379</v>
      </c>
      <c r="AD15">
        <v>12</v>
      </c>
    </row>
    <row r="16" spans="1:30" x14ac:dyDescent="0.3">
      <c r="A16" s="81" t="s">
        <v>1081</v>
      </c>
      <c r="B16" s="15">
        <f t="shared" si="13"/>
        <v>13</v>
      </c>
      <c r="C16" t="str">
        <f t="shared" si="14"/>
        <v>T-1003</v>
      </c>
      <c r="E16" s="81" t="s">
        <v>3770</v>
      </c>
      <c r="F16" s="15">
        <f t="shared" si="9"/>
        <v>13</v>
      </c>
      <c r="G16" t="str">
        <f t="shared" si="10"/>
        <v>C-1003</v>
      </c>
      <c r="I16" s="81" t="s">
        <v>3823</v>
      </c>
      <c r="J16" s="15">
        <f t="shared" si="15"/>
        <v>13</v>
      </c>
      <c r="K16" t="str">
        <f t="shared" si="16"/>
        <v>FI-1003</v>
      </c>
      <c r="M16" s="81" t="s">
        <v>1034</v>
      </c>
      <c r="N16" s="15">
        <f t="shared" si="11"/>
        <v>13</v>
      </c>
      <c r="O16" s="29" t="str">
        <f t="shared" si="12"/>
        <v>M-1003</v>
      </c>
      <c r="Q16" t="str">
        <f t="shared" si="8"/>
        <v/>
      </c>
      <c r="U16">
        <f t="shared" si="5"/>
        <v>99200006</v>
      </c>
      <c r="V16" s="81" t="s">
        <v>373</v>
      </c>
      <c r="W16" s="81" t="s">
        <v>16</v>
      </c>
      <c r="X16">
        <f t="shared" si="6"/>
        <v>6</v>
      </c>
      <c r="Y16">
        <f t="shared" si="7"/>
        <v>99200006</v>
      </c>
      <c r="AC16" t="s">
        <v>380</v>
      </c>
      <c r="AD16">
        <v>13</v>
      </c>
    </row>
    <row r="17" spans="1:30" x14ac:dyDescent="0.3">
      <c r="A17" s="81" t="s">
        <v>1458</v>
      </c>
      <c r="B17" s="15">
        <f t="shared" si="13"/>
        <v>14</v>
      </c>
      <c r="C17" t="str">
        <f t="shared" si="14"/>
        <v>T-1004</v>
      </c>
      <c r="E17" s="81" t="s">
        <v>3768</v>
      </c>
      <c r="F17" s="15">
        <f t="shared" si="9"/>
        <v>14</v>
      </c>
      <c r="G17" t="str">
        <f t="shared" si="10"/>
        <v>C-1004</v>
      </c>
      <c r="I17" s="81" t="s">
        <v>3950</v>
      </c>
      <c r="J17" s="15">
        <f t="shared" si="15"/>
        <v>14</v>
      </c>
      <c r="K17" t="str">
        <f t="shared" si="16"/>
        <v>FI-1004</v>
      </c>
      <c r="M17" s="81" t="s">
        <v>849</v>
      </c>
      <c r="N17" s="15">
        <f t="shared" si="11"/>
        <v>14</v>
      </c>
      <c r="O17" s="29" t="str">
        <f t="shared" si="12"/>
        <v>M-1004</v>
      </c>
      <c r="U17">
        <f t="shared" si="5"/>
        <v>99200001</v>
      </c>
      <c r="V17" s="81" t="s">
        <v>368</v>
      </c>
      <c r="W17" s="81" t="s">
        <v>16</v>
      </c>
      <c r="X17">
        <f t="shared" si="6"/>
        <v>1</v>
      </c>
      <c r="Y17">
        <f t="shared" si="7"/>
        <v>99200001</v>
      </c>
      <c r="AC17" t="s">
        <v>381</v>
      </c>
      <c r="AD17">
        <v>14</v>
      </c>
    </row>
    <row r="18" spans="1:30" x14ac:dyDescent="0.3">
      <c r="A18" s="81" t="s">
        <v>1460</v>
      </c>
      <c r="B18" s="15">
        <f t="shared" si="13"/>
        <v>15</v>
      </c>
      <c r="C18" t="str">
        <f t="shared" si="14"/>
        <v>T-1005</v>
      </c>
      <c r="E18" s="81" t="s">
        <v>3769</v>
      </c>
      <c r="F18" s="15">
        <f t="shared" si="9"/>
        <v>15</v>
      </c>
      <c r="G18" t="str">
        <f t="shared" si="10"/>
        <v>C-1005</v>
      </c>
      <c r="I18" s="81" t="s">
        <v>3974</v>
      </c>
      <c r="J18" s="15">
        <f t="shared" si="2"/>
        <v>15</v>
      </c>
      <c r="K18" t="str">
        <f t="shared" si="16"/>
        <v>FI-1005</v>
      </c>
      <c r="M18" s="81" t="s">
        <v>850</v>
      </c>
      <c r="N18" s="15">
        <f t="shared" si="11"/>
        <v>15</v>
      </c>
      <c r="O18" s="29" t="str">
        <f t="shared" si="12"/>
        <v>M-1005</v>
      </c>
      <c r="U18">
        <f t="shared" si="5"/>
        <v>99200005</v>
      </c>
      <c r="V18" s="81" t="s">
        <v>372</v>
      </c>
      <c r="W18" s="81" t="s">
        <v>16</v>
      </c>
      <c r="X18">
        <f t="shared" si="6"/>
        <v>5</v>
      </c>
      <c r="Y18">
        <f t="shared" si="7"/>
        <v>99200005</v>
      </c>
      <c r="AC18" t="s">
        <v>382</v>
      </c>
      <c r="AD18">
        <v>15</v>
      </c>
    </row>
    <row r="19" spans="1:30" x14ac:dyDescent="0.3">
      <c r="A19" s="81" t="s">
        <v>1464</v>
      </c>
      <c r="B19" s="15">
        <f t="shared" si="13"/>
        <v>16</v>
      </c>
      <c r="C19" t="str">
        <f t="shared" si="14"/>
        <v>T-1006</v>
      </c>
      <c r="E19" s="81" t="s">
        <v>3786</v>
      </c>
      <c r="F19" s="15">
        <f t="shared" si="9"/>
        <v>16</v>
      </c>
      <c r="G19" t="str">
        <f t="shared" si="10"/>
        <v>C-1006</v>
      </c>
      <c r="I19" s="81" t="s">
        <v>4100</v>
      </c>
      <c r="J19" s="15">
        <f t="shared" si="2"/>
        <v>16</v>
      </c>
      <c r="K19" t="str">
        <f t="shared" si="16"/>
        <v>FI-1006</v>
      </c>
      <c r="M19" s="81" t="s">
        <v>851</v>
      </c>
      <c r="N19" s="15">
        <f t="shared" si="11"/>
        <v>16</v>
      </c>
      <c r="O19" s="29" t="str">
        <f t="shared" si="12"/>
        <v>M-1006</v>
      </c>
      <c r="U19">
        <f t="shared" si="5"/>
        <v>99200008</v>
      </c>
      <c r="V19" s="81" t="s">
        <v>375</v>
      </c>
      <c r="W19" s="81" t="s">
        <v>16</v>
      </c>
      <c r="X19">
        <f t="shared" si="6"/>
        <v>8</v>
      </c>
      <c r="Y19">
        <f t="shared" si="7"/>
        <v>99200008</v>
      </c>
      <c r="AC19" t="s">
        <v>383</v>
      </c>
      <c r="AD19">
        <v>16</v>
      </c>
    </row>
    <row r="20" spans="1:30" x14ac:dyDescent="0.3">
      <c r="A20" s="81" t="s">
        <v>1468</v>
      </c>
      <c r="B20" s="15">
        <f t="shared" si="13"/>
        <v>17</v>
      </c>
      <c r="C20" t="str">
        <f t="shared" si="14"/>
        <v>T-1007</v>
      </c>
      <c r="E20" s="81" t="s">
        <v>3785</v>
      </c>
      <c r="F20" s="15">
        <f t="shared" si="9"/>
        <v>17</v>
      </c>
      <c r="G20" t="str">
        <f t="shared" si="10"/>
        <v>C-1007</v>
      </c>
      <c r="H20" s="31"/>
      <c r="I20" s="81" t="s">
        <v>4106</v>
      </c>
      <c r="J20" s="15">
        <f t="shared" si="2"/>
        <v>17</v>
      </c>
      <c r="K20" t="str">
        <f t="shared" si="16"/>
        <v>FI-1007</v>
      </c>
      <c r="L20" s="31"/>
      <c r="M20" s="81" t="s">
        <v>828</v>
      </c>
      <c r="N20" s="15">
        <f t="shared" ref="N20:N83" si="17">+IF(M20="","",N19+1)</f>
        <v>17</v>
      </c>
      <c r="O20" s="29" t="str">
        <f t="shared" ref="O20:O83" si="18">+IF(M20="","","M-"&amp;$B$1+N20)</f>
        <v>M-1007</v>
      </c>
      <c r="P20" s="31"/>
      <c r="U20">
        <f t="shared" si="5"/>
        <v>99200013</v>
      </c>
      <c r="V20" s="81" t="s">
        <v>380</v>
      </c>
      <c r="W20" s="81" t="s">
        <v>16</v>
      </c>
      <c r="X20">
        <f t="shared" si="6"/>
        <v>13</v>
      </c>
      <c r="Y20">
        <f t="shared" si="7"/>
        <v>99200013</v>
      </c>
      <c r="AC20" t="s">
        <v>30</v>
      </c>
      <c r="AD20">
        <v>1101</v>
      </c>
    </row>
    <row r="21" spans="1:30" x14ac:dyDescent="0.3">
      <c r="A21" s="81" t="s">
        <v>1480</v>
      </c>
      <c r="B21" s="15">
        <f t="shared" si="13"/>
        <v>18</v>
      </c>
      <c r="C21" t="str">
        <f t="shared" si="14"/>
        <v>T-1008</v>
      </c>
      <c r="E21" s="81" t="s">
        <v>3781</v>
      </c>
      <c r="F21" s="15">
        <f t="shared" si="9"/>
        <v>18</v>
      </c>
      <c r="G21" t="str">
        <f t="shared" si="10"/>
        <v>C-1008</v>
      </c>
      <c r="I21" s="81" t="s">
        <v>5301</v>
      </c>
      <c r="J21" s="15">
        <f t="shared" si="2"/>
        <v>18</v>
      </c>
      <c r="K21" t="str">
        <f t="shared" si="16"/>
        <v>FI-1008</v>
      </c>
      <c r="M21" s="81" t="s">
        <v>854</v>
      </c>
      <c r="N21" s="15">
        <f t="shared" si="17"/>
        <v>18</v>
      </c>
      <c r="O21" s="29" t="str">
        <f t="shared" si="18"/>
        <v>M-1008</v>
      </c>
      <c r="U21" t="e">
        <f t="shared" si="5"/>
        <v>#N/A</v>
      </c>
      <c r="X21" t="e">
        <f t="shared" si="6"/>
        <v>#N/A</v>
      </c>
      <c r="Y21" t="e">
        <f t="shared" si="7"/>
        <v>#N/A</v>
      </c>
      <c r="AC21" t="s">
        <v>31</v>
      </c>
      <c r="AD21">
        <v>1107</v>
      </c>
    </row>
    <row r="22" spans="1:30" x14ac:dyDescent="0.3">
      <c r="A22" s="81" t="s">
        <v>1492</v>
      </c>
      <c r="B22" s="15">
        <f t="shared" si="13"/>
        <v>19</v>
      </c>
      <c r="C22" t="str">
        <f t="shared" si="14"/>
        <v>T-1009</v>
      </c>
      <c r="E22" s="81" t="s">
        <v>3783</v>
      </c>
      <c r="F22" s="15">
        <f t="shared" si="9"/>
        <v>19</v>
      </c>
      <c r="G22" t="str">
        <f t="shared" si="10"/>
        <v>C-1009</v>
      </c>
      <c r="I22" s="81" t="s">
        <v>5590</v>
      </c>
      <c r="J22" s="15">
        <f t="shared" si="2"/>
        <v>19</v>
      </c>
      <c r="K22" t="str">
        <f t="shared" si="16"/>
        <v>FI-1009</v>
      </c>
      <c r="M22" s="81" t="s">
        <v>853</v>
      </c>
      <c r="N22" s="15">
        <f t="shared" si="17"/>
        <v>19</v>
      </c>
      <c r="O22" s="29" t="str">
        <f t="shared" si="18"/>
        <v>M-1009</v>
      </c>
      <c r="U22" t="e">
        <f t="shared" si="5"/>
        <v>#N/A</v>
      </c>
      <c r="X22" t="e">
        <f t="shared" si="6"/>
        <v>#N/A</v>
      </c>
      <c r="Y22" t="e">
        <f t="shared" si="7"/>
        <v>#N/A</v>
      </c>
      <c r="AC22" t="s">
        <v>32</v>
      </c>
      <c r="AD22">
        <v>1401</v>
      </c>
    </row>
    <row r="23" spans="1:30" x14ac:dyDescent="0.3">
      <c r="A23" s="81" t="s">
        <v>1495</v>
      </c>
      <c r="B23" s="15">
        <f t="shared" si="13"/>
        <v>20</v>
      </c>
      <c r="C23" t="str">
        <f t="shared" si="14"/>
        <v>T-1010</v>
      </c>
      <c r="E23" s="81" t="s">
        <v>3784</v>
      </c>
      <c r="F23" s="15">
        <f t="shared" si="9"/>
        <v>20</v>
      </c>
      <c r="G23" t="str">
        <f t="shared" si="10"/>
        <v>C-1010</v>
      </c>
      <c r="I23" s="81" t="s">
        <v>5610</v>
      </c>
      <c r="J23" s="15">
        <f t="shared" si="2"/>
        <v>20</v>
      </c>
      <c r="K23" t="str">
        <f t="shared" si="16"/>
        <v>FI-1010</v>
      </c>
      <c r="M23" s="81" t="s">
        <v>856</v>
      </c>
      <c r="N23" s="15">
        <f t="shared" si="17"/>
        <v>20</v>
      </c>
      <c r="O23" s="29" t="str">
        <f t="shared" si="18"/>
        <v>M-1010</v>
      </c>
      <c r="U23" t="e">
        <f t="shared" si="5"/>
        <v>#N/A</v>
      </c>
      <c r="X23" t="e">
        <f t="shared" si="6"/>
        <v>#N/A</v>
      </c>
      <c r="Y23" t="e">
        <f t="shared" si="7"/>
        <v>#N/A</v>
      </c>
      <c r="AC23" t="s">
        <v>33</v>
      </c>
      <c r="AD23">
        <v>1402</v>
      </c>
    </row>
    <row r="24" spans="1:30" x14ac:dyDescent="0.3">
      <c r="A24" s="81" t="s">
        <v>1566</v>
      </c>
      <c r="B24" s="15">
        <f t="shared" si="13"/>
        <v>21</v>
      </c>
      <c r="C24" t="str">
        <f t="shared" si="14"/>
        <v>T-1011</v>
      </c>
      <c r="E24" s="81" t="s">
        <v>870</v>
      </c>
      <c r="F24" s="15">
        <f t="shared" si="9"/>
        <v>21</v>
      </c>
      <c r="G24" t="str">
        <f t="shared" si="10"/>
        <v>C-1011</v>
      </c>
      <c r="I24" s="81" t="s">
        <v>20</v>
      </c>
      <c r="J24" s="15">
        <f t="shared" si="2"/>
        <v>21</v>
      </c>
      <c r="K24" t="str">
        <f t="shared" si="16"/>
        <v>FI-1011</v>
      </c>
      <c r="M24" s="81" t="s">
        <v>860</v>
      </c>
      <c r="N24" s="15">
        <f t="shared" si="17"/>
        <v>21</v>
      </c>
      <c r="O24" s="29" t="str">
        <f t="shared" si="18"/>
        <v>M-1011</v>
      </c>
      <c r="U24" t="e">
        <f t="shared" si="5"/>
        <v>#N/A</v>
      </c>
      <c r="X24" t="e">
        <f t="shared" si="6"/>
        <v>#N/A</v>
      </c>
      <c r="Y24" t="e">
        <f t="shared" si="7"/>
        <v>#N/A</v>
      </c>
      <c r="AC24" t="s">
        <v>34</v>
      </c>
      <c r="AD24">
        <v>1403</v>
      </c>
    </row>
    <row r="25" spans="1:30" x14ac:dyDescent="0.3">
      <c r="A25" s="81" t="s">
        <v>1590</v>
      </c>
      <c r="B25" s="15">
        <f t="shared" si="13"/>
        <v>22</v>
      </c>
      <c r="C25" t="str">
        <f t="shared" si="14"/>
        <v>T-1012</v>
      </c>
      <c r="E25" s="81" t="s">
        <v>3793</v>
      </c>
      <c r="F25" s="15">
        <f t="shared" si="9"/>
        <v>22</v>
      </c>
      <c r="G25" t="str">
        <f t="shared" si="10"/>
        <v>C-1012</v>
      </c>
      <c r="I25"/>
      <c r="J25" s="15" t="str">
        <f t="shared" si="2"/>
        <v/>
      </c>
      <c r="K25" s="81" t="str">
        <f t="shared" si="16"/>
        <v/>
      </c>
      <c r="M25" s="81" t="s">
        <v>864</v>
      </c>
      <c r="N25" s="15">
        <f t="shared" si="17"/>
        <v>22</v>
      </c>
      <c r="O25" s="29" t="str">
        <f t="shared" si="18"/>
        <v>M-1012</v>
      </c>
      <c r="U25" t="e">
        <f t="shared" si="5"/>
        <v>#N/A</v>
      </c>
      <c r="X25" t="e">
        <f t="shared" si="6"/>
        <v>#N/A</v>
      </c>
      <c r="Y25" t="e">
        <f t="shared" si="7"/>
        <v>#N/A</v>
      </c>
      <c r="AC25" t="s">
        <v>35</v>
      </c>
      <c r="AD25">
        <v>1404</v>
      </c>
    </row>
    <row r="26" spans="1:30" x14ac:dyDescent="0.3">
      <c r="A26" s="81" t="s">
        <v>1596</v>
      </c>
      <c r="B26" s="15">
        <f t="shared" si="13"/>
        <v>23</v>
      </c>
      <c r="C26" t="str">
        <f t="shared" si="14"/>
        <v>T-1013</v>
      </c>
      <c r="E26" s="81" t="s">
        <v>3802</v>
      </c>
      <c r="F26" s="15">
        <f t="shared" si="9"/>
        <v>23</v>
      </c>
      <c r="G26" t="str">
        <f t="shared" si="10"/>
        <v>C-1013</v>
      </c>
      <c r="J26" s="15" t="str">
        <f t="shared" si="2"/>
        <v/>
      </c>
      <c r="K26" s="81" t="str">
        <f t="shared" si="16"/>
        <v/>
      </c>
      <c r="M26" s="81" t="s">
        <v>875</v>
      </c>
      <c r="N26" s="15">
        <f t="shared" si="17"/>
        <v>23</v>
      </c>
      <c r="O26" s="29" t="str">
        <f t="shared" si="18"/>
        <v>M-1013</v>
      </c>
      <c r="U26" t="e">
        <f t="shared" si="5"/>
        <v>#N/A</v>
      </c>
      <c r="X26" t="e">
        <f t="shared" si="6"/>
        <v>#N/A</v>
      </c>
      <c r="Y26" t="e">
        <f t="shared" si="7"/>
        <v>#N/A</v>
      </c>
      <c r="AC26" t="s">
        <v>36</v>
      </c>
      <c r="AD26">
        <v>1405</v>
      </c>
    </row>
    <row r="27" spans="1:30" x14ac:dyDescent="0.3">
      <c r="A27" s="81" t="s">
        <v>1602</v>
      </c>
      <c r="B27" s="15">
        <f t="shared" si="13"/>
        <v>24</v>
      </c>
      <c r="C27" t="str">
        <f t="shared" si="14"/>
        <v>T-1014</v>
      </c>
      <c r="E27" s="81" t="s">
        <v>4099</v>
      </c>
      <c r="F27" s="15">
        <f t="shared" si="9"/>
        <v>24</v>
      </c>
      <c r="G27" t="str">
        <f t="shared" si="10"/>
        <v>C-1014</v>
      </c>
      <c r="J27" s="15" t="str">
        <f t="shared" si="2"/>
        <v/>
      </c>
      <c r="K27" s="81" t="str">
        <f t="shared" si="16"/>
        <v/>
      </c>
      <c r="M27" s="81" t="s">
        <v>884</v>
      </c>
      <c r="N27" s="15">
        <f t="shared" si="17"/>
        <v>24</v>
      </c>
      <c r="O27" s="29" t="str">
        <f t="shared" si="18"/>
        <v>M-1014</v>
      </c>
      <c r="U27" t="e">
        <f t="shared" si="5"/>
        <v>#N/A</v>
      </c>
      <c r="X27" t="e">
        <f t="shared" si="6"/>
        <v>#N/A</v>
      </c>
      <c r="Y27" t="e">
        <f t="shared" si="7"/>
        <v>#N/A</v>
      </c>
      <c r="AC27" t="s">
        <v>17</v>
      </c>
      <c r="AD27">
        <v>2101</v>
      </c>
    </row>
    <row r="28" spans="1:30" x14ac:dyDescent="0.3">
      <c r="A28" s="81" t="s">
        <v>1604</v>
      </c>
      <c r="B28" s="15">
        <f t="shared" si="13"/>
        <v>25</v>
      </c>
      <c r="C28" t="str">
        <f t="shared" si="14"/>
        <v>T-1015</v>
      </c>
      <c r="E28" s="81" t="s">
        <v>3795</v>
      </c>
      <c r="F28" s="15">
        <f t="shared" si="9"/>
        <v>25</v>
      </c>
      <c r="G28" t="str">
        <f t="shared" si="10"/>
        <v>C-1015</v>
      </c>
      <c r="J28" s="15" t="str">
        <f t="shared" si="2"/>
        <v/>
      </c>
      <c r="K28" s="81" t="str">
        <f t="shared" si="16"/>
        <v/>
      </c>
      <c r="M28" s="81" t="s">
        <v>893</v>
      </c>
      <c r="N28" s="15">
        <f t="shared" si="17"/>
        <v>25</v>
      </c>
      <c r="O28" s="29" t="str">
        <f t="shared" si="18"/>
        <v>M-1015</v>
      </c>
      <c r="U28" t="e">
        <f t="shared" si="5"/>
        <v>#N/A</v>
      </c>
      <c r="X28" t="e">
        <f t="shared" si="6"/>
        <v>#N/A</v>
      </c>
      <c r="Y28" t="e">
        <f t="shared" si="7"/>
        <v>#N/A</v>
      </c>
      <c r="AC28" t="s">
        <v>37</v>
      </c>
      <c r="AD28">
        <v>2102</v>
      </c>
    </row>
    <row r="29" spans="1:30" x14ac:dyDescent="0.3">
      <c r="A29" s="81" t="s">
        <v>1614</v>
      </c>
      <c r="B29" s="15">
        <f t="shared" si="13"/>
        <v>26</v>
      </c>
      <c r="C29" t="str">
        <f t="shared" si="14"/>
        <v>T-1016</v>
      </c>
      <c r="E29" s="81" t="s">
        <v>4685</v>
      </c>
      <c r="F29" s="15">
        <f t="shared" si="9"/>
        <v>26</v>
      </c>
      <c r="G29" t="str">
        <f t="shared" si="10"/>
        <v>C-1016</v>
      </c>
      <c r="J29" s="15" t="str">
        <f t="shared" si="2"/>
        <v/>
      </c>
      <c r="K29" s="81" t="str">
        <f t="shared" si="16"/>
        <v/>
      </c>
      <c r="M29" s="81" t="s">
        <v>898</v>
      </c>
      <c r="N29" s="15">
        <f t="shared" si="17"/>
        <v>26</v>
      </c>
      <c r="O29" s="29" t="str">
        <f t="shared" si="18"/>
        <v>M-1016</v>
      </c>
      <c r="U29" t="e">
        <f t="shared" si="5"/>
        <v>#N/A</v>
      </c>
      <c r="X29" t="e">
        <f t="shared" si="6"/>
        <v>#N/A</v>
      </c>
      <c r="Y29" t="e">
        <f t="shared" si="7"/>
        <v>#N/A</v>
      </c>
      <c r="AC29" t="s">
        <v>38</v>
      </c>
      <c r="AD29">
        <v>2103</v>
      </c>
    </row>
    <row r="30" spans="1:30" x14ac:dyDescent="0.3">
      <c r="A30" s="81" t="s">
        <v>1615</v>
      </c>
      <c r="B30" s="15">
        <f t="shared" si="13"/>
        <v>27</v>
      </c>
      <c r="C30" t="str">
        <f t="shared" si="14"/>
        <v>T-1017</v>
      </c>
      <c r="E30" s="81" t="s">
        <v>5300</v>
      </c>
      <c r="F30" s="15">
        <f t="shared" si="9"/>
        <v>27</v>
      </c>
      <c r="G30" t="str">
        <f t="shared" si="10"/>
        <v>C-1017</v>
      </c>
      <c r="J30" s="15" t="str">
        <f t="shared" si="2"/>
        <v/>
      </c>
      <c r="K30" s="81" t="str">
        <f t="shared" si="16"/>
        <v/>
      </c>
      <c r="M30" s="81" t="s">
        <v>900</v>
      </c>
      <c r="N30" s="15">
        <f t="shared" si="17"/>
        <v>27</v>
      </c>
      <c r="O30" s="29" t="str">
        <f t="shared" si="18"/>
        <v>M-1017</v>
      </c>
      <c r="U30" t="e">
        <f t="shared" si="5"/>
        <v>#N/A</v>
      </c>
      <c r="X30" t="e">
        <f t="shared" si="6"/>
        <v>#N/A</v>
      </c>
      <c r="Y30" t="e">
        <f t="shared" si="7"/>
        <v>#N/A</v>
      </c>
      <c r="AC30" t="s">
        <v>39</v>
      </c>
      <c r="AD30">
        <v>2104</v>
      </c>
    </row>
    <row r="31" spans="1:30" x14ac:dyDescent="0.3">
      <c r="A31" s="81" t="s">
        <v>1623</v>
      </c>
      <c r="B31" s="15">
        <f t="shared" si="13"/>
        <v>28</v>
      </c>
      <c r="C31" t="str">
        <f t="shared" si="14"/>
        <v>T-1018</v>
      </c>
      <c r="E31" s="81" t="s">
        <v>7427</v>
      </c>
      <c r="F31" s="15">
        <f t="shared" si="9"/>
        <v>28</v>
      </c>
      <c r="G31" t="str">
        <f t="shared" si="10"/>
        <v>C-1018</v>
      </c>
      <c r="K31" s="81" t="str">
        <f t="shared" si="16"/>
        <v/>
      </c>
      <c r="M31" s="81" t="s">
        <v>905</v>
      </c>
      <c r="N31" s="15">
        <f t="shared" si="17"/>
        <v>28</v>
      </c>
      <c r="O31" s="29" t="str">
        <f t="shared" si="18"/>
        <v>M-1018</v>
      </c>
      <c r="U31" t="e">
        <f t="shared" si="5"/>
        <v>#N/A</v>
      </c>
      <c r="X31" t="e">
        <f t="shared" si="6"/>
        <v>#N/A</v>
      </c>
      <c r="Y31" t="e">
        <f t="shared" si="7"/>
        <v>#N/A</v>
      </c>
      <c r="AC31" t="s">
        <v>40</v>
      </c>
      <c r="AD31">
        <v>2201</v>
      </c>
    </row>
    <row r="32" spans="1:30" x14ac:dyDescent="0.3">
      <c r="A32" s="81" t="s">
        <v>1624</v>
      </c>
      <c r="B32" s="15">
        <f t="shared" si="13"/>
        <v>29</v>
      </c>
      <c r="C32" t="str">
        <f t="shared" si="14"/>
        <v>T-1019</v>
      </c>
      <c r="E32" s="81" t="s">
        <v>6250</v>
      </c>
      <c r="F32" s="15">
        <f t="shared" si="9"/>
        <v>29</v>
      </c>
      <c r="G32" t="str">
        <f t="shared" si="10"/>
        <v>C-1019</v>
      </c>
      <c r="K32" s="81" t="str">
        <f t="shared" si="16"/>
        <v/>
      </c>
      <c r="M32" s="81" t="s">
        <v>911</v>
      </c>
      <c r="N32" s="15">
        <f t="shared" si="17"/>
        <v>29</v>
      </c>
      <c r="O32" s="29" t="str">
        <f t="shared" si="18"/>
        <v>M-1019</v>
      </c>
      <c r="U32" t="e">
        <f t="shared" si="5"/>
        <v>#N/A</v>
      </c>
      <c r="X32" t="e">
        <f t="shared" si="6"/>
        <v>#N/A</v>
      </c>
      <c r="Y32" t="e">
        <f t="shared" si="7"/>
        <v>#N/A</v>
      </c>
      <c r="AC32" t="s">
        <v>41</v>
      </c>
      <c r="AD32">
        <v>2202</v>
      </c>
    </row>
    <row r="33" spans="1:30" x14ac:dyDescent="0.3">
      <c r="A33" s="81" t="s">
        <v>1663</v>
      </c>
      <c r="B33" s="15">
        <f t="shared" si="13"/>
        <v>30</v>
      </c>
      <c r="C33" t="str">
        <f t="shared" si="14"/>
        <v>T-1020</v>
      </c>
      <c r="E33" s="81" t="s">
        <v>7428</v>
      </c>
      <c r="F33" s="15">
        <f t="shared" si="9"/>
        <v>30</v>
      </c>
      <c r="G33" t="str">
        <f t="shared" si="10"/>
        <v>C-1020</v>
      </c>
      <c r="K33" s="81" t="str">
        <f t="shared" si="16"/>
        <v/>
      </c>
      <c r="M33" s="81" t="s">
        <v>929</v>
      </c>
      <c r="N33" s="15">
        <f t="shared" si="17"/>
        <v>30</v>
      </c>
      <c r="O33" s="29" t="str">
        <f t="shared" si="18"/>
        <v>M-1020</v>
      </c>
      <c r="U33" t="e">
        <f t="shared" si="5"/>
        <v>#N/A</v>
      </c>
      <c r="X33" t="e">
        <f t="shared" si="6"/>
        <v>#N/A</v>
      </c>
      <c r="Y33" t="e">
        <f t="shared" si="7"/>
        <v>#N/A</v>
      </c>
      <c r="AC33" t="s">
        <v>42</v>
      </c>
      <c r="AD33">
        <v>2203</v>
      </c>
    </row>
    <row r="34" spans="1:30" x14ac:dyDescent="0.3">
      <c r="A34" s="81" t="s">
        <v>1664</v>
      </c>
      <c r="B34" s="15">
        <f t="shared" si="13"/>
        <v>31</v>
      </c>
      <c r="C34" t="str">
        <f t="shared" si="14"/>
        <v>T-1021</v>
      </c>
      <c r="E34" s="81" t="s">
        <v>5304</v>
      </c>
      <c r="F34" s="15">
        <f t="shared" si="9"/>
        <v>31</v>
      </c>
      <c r="G34" t="str">
        <f t="shared" si="10"/>
        <v>C-1021</v>
      </c>
      <c r="K34" s="81" t="str">
        <f t="shared" si="16"/>
        <v/>
      </c>
      <c r="M34" s="81" t="s">
        <v>931</v>
      </c>
      <c r="N34" s="15">
        <f t="shared" si="17"/>
        <v>31</v>
      </c>
      <c r="O34" s="29" t="str">
        <f t="shared" si="18"/>
        <v>M-1021</v>
      </c>
      <c r="U34" t="e">
        <f t="shared" si="5"/>
        <v>#N/A</v>
      </c>
      <c r="X34" t="e">
        <f t="shared" si="6"/>
        <v>#N/A</v>
      </c>
      <c r="Y34" t="e">
        <f t="shared" si="7"/>
        <v>#N/A</v>
      </c>
      <c r="AC34" t="s">
        <v>43</v>
      </c>
      <c r="AD34">
        <v>2301</v>
      </c>
    </row>
    <row r="35" spans="1:30" x14ac:dyDescent="0.3">
      <c r="A35" s="81" t="s">
        <v>1669</v>
      </c>
      <c r="B35" s="15">
        <f t="shared" si="13"/>
        <v>32</v>
      </c>
      <c r="C35" t="str">
        <f t="shared" si="14"/>
        <v>T-1022</v>
      </c>
      <c r="E35" s="81" t="s">
        <v>5331</v>
      </c>
      <c r="F35" s="15">
        <f t="shared" si="9"/>
        <v>32</v>
      </c>
      <c r="G35" t="str">
        <f t="shared" si="10"/>
        <v>C-1022</v>
      </c>
      <c r="K35" s="81" t="str">
        <f t="shared" si="16"/>
        <v/>
      </c>
      <c r="M35" s="81" t="s">
        <v>936</v>
      </c>
      <c r="N35" s="15">
        <f t="shared" si="17"/>
        <v>32</v>
      </c>
      <c r="O35" s="29" t="str">
        <f t="shared" si="18"/>
        <v>M-1022</v>
      </c>
      <c r="U35" t="e">
        <f t="shared" si="5"/>
        <v>#N/A</v>
      </c>
      <c r="X35" t="e">
        <f t="shared" si="6"/>
        <v>#N/A</v>
      </c>
      <c r="Y35" t="e">
        <f t="shared" si="7"/>
        <v>#N/A</v>
      </c>
      <c r="AC35" t="s">
        <v>44</v>
      </c>
      <c r="AD35">
        <v>2302</v>
      </c>
    </row>
    <row r="36" spans="1:30" x14ac:dyDescent="0.3">
      <c r="A36" s="81" t="s">
        <v>1670</v>
      </c>
      <c r="B36" s="15">
        <f t="shared" si="13"/>
        <v>33</v>
      </c>
      <c r="C36" t="str">
        <f t="shared" si="14"/>
        <v>T-1023</v>
      </c>
      <c r="E36" s="81" t="s">
        <v>5609</v>
      </c>
      <c r="F36" s="15">
        <f t="shared" si="9"/>
        <v>33</v>
      </c>
      <c r="G36" t="str">
        <f t="shared" si="10"/>
        <v>C-1023</v>
      </c>
      <c r="K36" s="81" t="str">
        <f t="shared" si="16"/>
        <v/>
      </c>
      <c r="M36" s="81" t="s">
        <v>1009</v>
      </c>
      <c r="N36" s="15">
        <f t="shared" si="17"/>
        <v>33</v>
      </c>
      <c r="O36" s="29" t="str">
        <f t="shared" si="18"/>
        <v>M-1023</v>
      </c>
      <c r="U36" t="e">
        <f t="shared" si="5"/>
        <v>#N/A</v>
      </c>
      <c r="X36" t="e">
        <f t="shared" si="6"/>
        <v>#N/A</v>
      </c>
      <c r="Y36" t="e">
        <f t="shared" si="7"/>
        <v>#N/A</v>
      </c>
      <c r="AC36" t="s">
        <v>45</v>
      </c>
      <c r="AD36">
        <v>3101</v>
      </c>
    </row>
    <row r="37" spans="1:30" x14ac:dyDescent="0.3">
      <c r="A37" s="81" t="s">
        <v>1684</v>
      </c>
      <c r="B37" s="15">
        <f t="shared" si="13"/>
        <v>34</v>
      </c>
      <c r="C37" t="str">
        <f t="shared" si="14"/>
        <v>T-1024</v>
      </c>
      <c r="E37" s="81" t="s">
        <v>5641</v>
      </c>
      <c r="F37" s="15">
        <f t="shared" si="9"/>
        <v>34</v>
      </c>
      <c r="G37" t="str">
        <f t="shared" si="10"/>
        <v>C-1024</v>
      </c>
      <c r="M37" s="81" t="s">
        <v>1011</v>
      </c>
      <c r="N37" s="15">
        <f t="shared" si="17"/>
        <v>34</v>
      </c>
      <c r="O37" s="29" t="str">
        <f t="shared" si="18"/>
        <v>M-1024</v>
      </c>
      <c r="U37" t="e">
        <f t="shared" si="5"/>
        <v>#N/A</v>
      </c>
      <c r="X37" t="e">
        <f t="shared" si="6"/>
        <v>#N/A</v>
      </c>
      <c r="Y37" t="e">
        <f t="shared" si="7"/>
        <v>#N/A</v>
      </c>
      <c r="AC37" t="s">
        <v>46</v>
      </c>
      <c r="AD37">
        <v>3102</v>
      </c>
    </row>
    <row r="38" spans="1:30" x14ac:dyDescent="0.3">
      <c r="A38" s="81" t="s">
        <v>1687</v>
      </c>
      <c r="B38" s="15">
        <f t="shared" si="13"/>
        <v>35</v>
      </c>
      <c r="C38" t="str">
        <f t="shared" si="14"/>
        <v>T-1025</v>
      </c>
      <c r="E38" s="81" t="s">
        <v>6259</v>
      </c>
      <c r="F38" s="15">
        <f t="shared" si="9"/>
        <v>35</v>
      </c>
      <c r="G38" t="str">
        <f t="shared" si="10"/>
        <v>C-1025</v>
      </c>
      <c r="M38" s="81" t="s">
        <v>1019</v>
      </c>
      <c r="N38" s="15">
        <f t="shared" si="17"/>
        <v>35</v>
      </c>
      <c r="O38" s="29" t="str">
        <f t="shared" si="18"/>
        <v>M-1025</v>
      </c>
      <c r="U38" t="e">
        <f t="shared" si="5"/>
        <v>#N/A</v>
      </c>
      <c r="X38" t="e">
        <f t="shared" si="6"/>
        <v>#N/A</v>
      </c>
      <c r="Y38" t="e">
        <f t="shared" si="7"/>
        <v>#N/A</v>
      </c>
      <c r="AC38" t="s">
        <v>47</v>
      </c>
      <c r="AD38">
        <v>3103</v>
      </c>
    </row>
    <row r="39" spans="1:30" x14ac:dyDescent="0.3">
      <c r="A39" s="81" t="s">
        <v>1694</v>
      </c>
      <c r="B39" s="15">
        <f t="shared" si="13"/>
        <v>36</v>
      </c>
      <c r="C39" t="str">
        <f t="shared" si="14"/>
        <v>T-1026</v>
      </c>
      <c r="E39" s="81" t="s">
        <v>6286</v>
      </c>
      <c r="F39" s="15">
        <f t="shared" si="9"/>
        <v>36</v>
      </c>
      <c r="G39" t="str">
        <f t="shared" si="10"/>
        <v>C-1026</v>
      </c>
      <c r="M39" s="81" t="s">
        <v>2015</v>
      </c>
      <c r="N39" s="15">
        <f t="shared" si="17"/>
        <v>36</v>
      </c>
      <c r="O39" s="29" t="str">
        <f t="shared" si="18"/>
        <v>M-1026</v>
      </c>
      <c r="U39" t="e">
        <f t="shared" si="5"/>
        <v>#N/A</v>
      </c>
      <c r="X39" t="e">
        <f t="shared" si="6"/>
        <v>#N/A</v>
      </c>
      <c r="Y39" t="e">
        <f t="shared" si="7"/>
        <v>#N/A</v>
      </c>
      <c r="AC39" t="s">
        <v>48</v>
      </c>
      <c r="AD39">
        <v>3201</v>
      </c>
    </row>
    <row r="40" spans="1:30" x14ac:dyDescent="0.3">
      <c r="A40" s="81" t="s">
        <v>1695</v>
      </c>
      <c r="B40" s="15">
        <f t="shared" si="13"/>
        <v>37</v>
      </c>
      <c r="C40" t="str">
        <f t="shared" si="14"/>
        <v>T-1027</v>
      </c>
      <c r="E40" s="81" t="s">
        <v>6401</v>
      </c>
      <c r="F40" s="15">
        <f t="shared" si="9"/>
        <v>37</v>
      </c>
      <c r="G40" t="str">
        <f t="shared" si="10"/>
        <v>C-1027</v>
      </c>
      <c r="M40" s="81" t="s">
        <v>2016</v>
      </c>
      <c r="N40" s="15">
        <f t="shared" si="17"/>
        <v>37</v>
      </c>
      <c r="O40" s="29" t="str">
        <f t="shared" si="18"/>
        <v>M-1027</v>
      </c>
      <c r="U40" t="e">
        <f t="shared" si="5"/>
        <v>#N/A</v>
      </c>
      <c r="X40" t="e">
        <f t="shared" si="6"/>
        <v>#N/A</v>
      </c>
      <c r="Y40" t="e">
        <f t="shared" si="7"/>
        <v>#N/A</v>
      </c>
      <c r="AC40" t="s">
        <v>49</v>
      </c>
      <c r="AD40">
        <v>3202</v>
      </c>
    </row>
    <row r="41" spans="1:30" x14ac:dyDescent="0.3">
      <c r="A41" s="81" t="s">
        <v>463</v>
      </c>
      <c r="B41" s="15">
        <f t="shared" si="13"/>
        <v>38</v>
      </c>
      <c r="C41" t="str">
        <f t="shared" si="14"/>
        <v>T-1028</v>
      </c>
      <c r="E41" s="81" t="s">
        <v>6478</v>
      </c>
      <c r="F41" s="15">
        <f t="shared" si="9"/>
        <v>38</v>
      </c>
      <c r="G41" t="str">
        <f t="shared" si="10"/>
        <v>C-1028</v>
      </c>
      <c r="M41" s="81" t="s">
        <v>1031</v>
      </c>
      <c r="N41" s="15">
        <f t="shared" si="17"/>
        <v>38</v>
      </c>
      <c r="O41" s="29" t="str">
        <f t="shared" si="18"/>
        <v>M-1028</v>
      </c>
      <c r="U41" t="e">
        <f t="shared" si="5"/>
        <v>#N/A</v>
      </c>
      <c r="X41" t="e">
        <f t="shared" si="6"/>
        <v>#N/A</v>
      </c>
      <c r="Y41" t="e">
        <f t="shared" si="7"/>
        <v>#N/A</v>
      </c>
      <c r="AC41" t="s">
        <v>50</v>
      </c>
      <c r="AD41">
        <v>3301</v>
      </c>
    </row>
    <row r="42" spans="1:30" x14ac:dyDescent="0.3">
      <c r="A42" s="81" t="s">
        <v>2367</v>
      </c>
      <c r="B42" s="15">
        <f t="shared" si="13"/>
        <v>39</v>
      </c>
      <c r="C42" t="str">
        <f t="shared" si="14"/>
        <v>T-1029</v>
      </c>
      <c r="E42" s="81" t="s">
        <v>6790</v>
      </c>
      <c r="F42" s="15">
        <f t="shared" si="9"/>
        <v>39</v>
      </c>
      <c r="G42" t="str">
        <f t="shared" si="10"/>
        <v>C-1029</v>
      </c>
      <c r="M42" s="81" t="s">
        <v>1067</v>
      </c>
      <c r="N42" s="15">
        <f t="shared" si="17"/>
        <v>39</v>
      </c>
      <c r="O42" s="29" t="str">
        <f t="shared" si="18"/>
        <v>M-1029</v>
      </c>
      <c r="U42" t="e">
        <f t="shared" si="5"/>
        <v>#N/A</v>
      </c>
      <c r="X42" t="e">
        <f t="shared" si="6"/>
        <v>#N/A</v>
      </c>
      <c r="Y42" t="e">
        <f t="shared" si="7"/>
        <v>#N/A</v>
      </c>
      <c r="AC42" t="s">
        <v>51</v>
      </c>
      <c r="AD42">
        <v>3302</v>
      </c>
    </row>
    <row r="43" spans="1:30" x14ac:dyDescent="0.3">
      <c r="A43" s="81" t="s">
        <v>819</v>
      </c>
      <c r="B43" s="15">
        <f t="shared" si="13"/>
        <v>40</v>
      </c>
      <c r="C43" t="str">
        <f t="shared" si="14"/>
        <v>T-1030</v>
      </c>
      <c r="E43" s="81" t="s">
        <v>6952</v>
      </c>
      <c r="F43" s="15">
        <f t="shared" si="9"/>
        <v>40</v>
      </c>
      <c r="G43" t="str">
        <f t="shared" si="10"/>
        <v>C-1030</v>
      </c>
      <c r="M43" s="81" t="s">
        <v>1069</v>
      </c>
      <c r="N43" s="15">
        <f t="shared" si="17"/>
        <v>40</v>
      </c>
      <c r="O43" s="29" t="str">
        <f t="shared" si="18"/>
        <v>M-1030</v>
      </c>
      <c r="U43" t="e">
        <f t="shared" si="5"/>
        <v>#N/A</v>
      </c>
      <c r="X43" t="e">
        <f t="shared" si="6"/>
        <v>#N/A</v>
      </c>
      <c r="Y43" t="e">
        <f t="shared" si="7"/>
        <v>#N/A</v>
      </c>
      <c r="AC43" t="s">
        <v>52</v>
      </c>
      <c r="AD43">
        <v>3303</v>
      </c>
    </row>
    <row r="44" spans="1:30" x14ac:dyDescent="0.3">
      <c r="A44" s="81" t="s">
        <v>579</v>
      </c>
      <c r="B44" s="15">
        <f t="shared" si="13"/>
        <v>41</v>
      </c>
      <c r="C44" t="str">
        <f t="shared" si="14"/>
        <v>T-1031</v>
      </c>
      <c r="F44" s="15" t="str">
        <f t="shared" si="9"/>
        <v/>
      </c>
      <c r="G44" t="str">
        <f t="shared" si="10"/>
        <v/>
      </c>
      <c r="M44" s="81" t="s">
        <v>1074</v>
      </c>
      <c r="N44" s="15">
        <f t="shared" si="17"/>
        <v>41</v>
      </c>
      <c r="O44" s="29" t="str">
        <f t="shared" si="18"/>
        <v>M-1031</v>
      </c>
      <c r="U44" t="e">
        <f t="shared" si="5"/>
        <v>#N/A</v>
      </c>
      <c r="X44" t="e">
        <f t="shared" si="6"/>
        <v>#N/A</v>
      </c>
      <c r="Y44" t="e">
        <f t="shared" si="7"/>
        <v>#N/A</v>
      </c>
      <c r="AC44" t="s">
        <v>53</v>
      </c>
      <c r="AD44">
        <v>3304</v>
      </c>
    </row>
    <row r="45" spans="1:30" x14ac:dyDescent="0.3">
      <c r="A45" s="81" t="s">
        <v>586</v>
      </c>
      <c r="B45" s="15">
        <f t="shared" si="13"/>
        <v>42</v>
      </c>
      <c r="C45" t="str">
        <f t="shared" si="14"/>
        <v>T-1032</v>
      </c>
      <c r="F45" s="15" t="str">
        <f t="shared" si="9"/>
        <v/>
      </c>
      <c r="G45" t="str">
        <f t="shared" si="10"/>
        <v/>
      </c>
      <c r="M45" s="81" t="s">
        <v>1078</v>
      </c>
      <c r="N45" s="15">
        <f t="shared" si="17"/>
        <v>42</v>
      </c>
      <c r="O45" s="29" t="str">
        <f t="shared" si="18"/>
        <v>M-1032</v>
      </c>
      <c r="U45" s="12" t="e">
        <f t="shared" si="5"/>
        <v>#N/A</v>
      </c>
      <c r="X45" t="e">
        <f t="shared" si="6"/>
        <v>#N/A</v>
      </c>
      <c r="Y45" t="e">
        <f t="shared" si="7"/>
        <v>#N/A</v>
      </c>
      <c r="AC45" t="s">
        <v>54</v>
      </c>
      <c r="AD45">
        <v>4101</v>
      </c>
    </row>
    <row r="46" spans="1:30" x14ac:dyDescent="0.3">
      <c r="A46" s="81" t="s">
        <v>616</v>
      </c>
      <c r="B46" s="15">
        <f t="shared" si="13"/>
        <v>43</v>
      </c>
      <c r="C46" t="str">
        <f t="shared" si="14"/>
        <v>T-1033</v>
      </c>
      <c r="F46" s="15" t="str">
        <f t="shared" si="9"/>
        <v/>
      </c>
      <c r="G46" t="str">
        <f t="shared" si="10"/>
        <v/>
      </c>
      <c r="M46" s="81" t="s">
        <v>1457</v>
      </c>
      <c r="N46" s="15">
        <f t="shared" si="17"/>
        <v>43</v>
      </c>
      <c r="O46" s="29" t="str">
        <f t="shared" si="18"/>
        <v>M-1033</v>
      </c>
      <c r="U46" t="e">
        <f t="shared" si="5"/>
        <v>#N/A</v>
      </c>
      <c r="X46" t="e">
        <f t="shared" si="6"/>
        <v>#N/A</v>
      </c>
      <c r="Y46" t="e">
        <f t="shared" si="7"/>
        <v>#N/A</v>
      </c>
      <c r="AC46" t="s">
        <v>26</v>
      </c>
      <c r="AD46">
        <v>4102</v>
      </c>
    </row>
    <row r="47" spans="1:30" x14ac:dyDescent="0.3">
      <c r="A47" s="81" t="s">
        <v>823</v>
      </c>
      <c r="B47" s="15">
        <f t="shared" si="13"/>
        <v>44</v>
      </c>
      <c r="C47" t="str">
        <f t="shared" si="14"/>
        <v>T-1034</v>
      </c>
      <c r="F47" s="15" t="str">
        <f t="shared" si="9"/>
        <v/>
      </c>
      <c r="G47" t="str">
        <f t="shared" si="10"/>
        <v/>
      </c>
      <c r="M47" s="81" t="s">
        <v>1463</v>
      </c>
      <c r="N47" s="15">
        <f t="shared" si="17"/>
        <v>44</v>
      </c>
      <c r="O47" s="29" t="str">
        <f t="shared" si="18"/>
        <v>M-1034</v>
      </c>
      <c r="U47" t="e">
        <f t="shared" si="5"/>
        <v>#N/A</v>
      </c>
      <c r="X47" t="e">
        <f t="shared" si="6"/>
        <v>#N/A</v>
      </c>
      <c r="Y47" t="e">
        <f t="shared" si="7"/>
        <v>#N/A</v>
      </c>
      <c r="AC47" t="s">
        <v>55</v>
      </c>
      <c r="AD47">
        <v>4103</v>
      </c>
    </row>
    <row r="48" spans="1:30" x14ac:dyDescent="0.3">
      <c r="A48" s="81" t="s">
        <v>832</v>
      </c>
      <c r="B48" s="15">
        <f t="shared" si="13"/>
        <v>45</v>
      </c>
      <c r="C48" t="str">
        <f t="shared" si="14"/>
        <v>T-1035</v>
      </c>
      <c r="F48" s="15" t="str">
        <f t="shared" si="9"/>
        <v/>
      </c>
      <c r="G48" t="str">
        <f t="shared" si="10"/>
        <v/>
      </c>
      <c r="M48" s="81" t="s">
        <v>1465</v>
      </c>
      <c r="N48" s="15">
        <f t="shared" si="17"/>
        <v>45</v>
      </c>
      <c r="O48" s="29" t="str">
        <f t="shared" si="18"/>
        <v>M-1035</v>
      </c>
      <c r="U48" t="e">
        <f t="shared" si="5"/>
        <v>#N/A</v>
      </c>
      <c r="X48" t="e">
        <f t="shared" si="6"/>
        <v>#N/A</v>
      </c>
      <c r="Y48" t="e">
        <f t="shared" si="7"/>
        <v>#N/A</v>
      </c>
      <c r="AC48" t="s">
        <v>56</v>
      </c>
      <c r="AD48">
        <v>4104</v>
      </c>
    </row>
    <row r="49" spans="1:30" x14ac:dyDescent="0.3">
      <c r="A49" s="81" t="s">
        <v>868</v>
      </c>
      <c r="B49" s="15">
        <f t="shared" si="13"/>
        <v>46</v>
      </c>
      <c r="C49" t="str">
        <f t="shared" si="14"/>
        <v>T-1036</v>
      </c>
      <c r="F49" s="15" t="str">
        <f t="shared" si="9"/>
        <v/>
      </c>
      <c r="G49" t="str">
        <f t="shared" si="10"/>
        <v/>
      </c>
      <c r="M49" s="81" t="s">
        <v>1472</v>
      </c>
      <c r="N49" s="15">
        <f t="shared" si="17"/>
        <v>46</v>
      </c>
      <c r="O49" s="29" t="str">
        <f t="shared" si="18"/>
        <v>M-1036</v>
      </c>
      <c r="U49" t="e">
        <f t="shared" si="5"/>
        <v>#N/A</v>
      </c>
      <c r="X49" t="e">
        <f t="shared" si="6"/>
        <v>#N/A</v>
      </c>
      <c r="Y49" t="e">
        <f t="shared" si="7"/>
        <v>#N/A</v>
      </c>
      <c r="AC49" t="s">
        <v>57</v>
      </c>
      <c r="AD49">
        <v>4105</v>
      </c>
    </row>
    <row r="50" spans="1:30" x14ac:dyDescent="0.3">
      <c r="A50" s="81" t="s">
        <v>871</v>
      </c>
      <c r="B50" s="15">
        <f t="shared" si="13"/>
        <v>47</v>
      </c>
      <c r="C50" t="str">
        <f t="shared" si="14"/>
        <v>T-1037</v>
      </c>
      <c r="F50" s="15" t="str">
        <f t="shared" si="9"/>
        <v/>
      </c>
      <c r="G50" t="str">
        <f t="shared" si="10"/>
        <v/>
      </c>
      <c r="M50" s="81" t="s">
        <v>1476</v>
      </c>
      <c r="N50" s="15">
        <f t="shared" si="17"/>
        <v>47</v>
      </c>
      <c r="O50" s="29" t="str">
        <f t="shared" si="18"/>
        <v>M-1037</v>
      </c>
      <c r="U50" t="e">
        <f t="shared" si="5"/>
        <v>#N/A</v>
      </c>
      <c r="X50" t="e">
        <f t="shared" si="6"/>
        <v>#N/A</v>
      </c>
      <c r="Y50" t="e">
        <f t="shared" si="7"/>
        <v>#N/A</v>
      </c>
      <c r="AC50" t="s">
        <v>58</v>
      </c>
      <c r="AD50">
        <v>4106</v>
      </c>
    </row>
    <row r="51" spans="1:30" x14ac:dyDescent="0.3">
      <c r="A51" s="81" t="s">
        <v>882</v>
      </c>
      <c r="B51" s="15">
        <f t="shared" si="13"/>
        <v>48</v>
      </c>
      <c r="C51" t="str">
        <f t="shared" si="14"/>
        <v>T-1038</v>
      </c>
      <c r="F51" s="15" t="str">
        <f t="shared" si="9"/>
        <v/>
      </c>
      <c r="G51" t="str">
        <f t="shared" si="10"/>
        <v/>
      </c>
      <c r="M51" s="81" t="s">
        <v>1479</v>
      </c>
      <c r="N51" s="15">
        <f t="shared" si="17"/>
        <v>48</v>
      </c>
      <c r="O51" s="29" t="str">
        <f t="shared" si="18"/>
        <v>M-1038</v>
      </c>
      <c r="U51" t="e">
        <f t="shared" si="5"/>
        <v>#N/A</v>
      </c>
      <c r="X51" t="e">
        <f t="shared" si="6"/>
        <v>#N/A</v>
      </c>
      <c r="Y51" t="e">
        <f t="shared" si="7"/>
        <v>#N/A</v>
      </c>
      <c r="AC51" t="s">
        <v>59</v>
      </c>
      <c r="AD51">
        <v>4201</v>
      </c>
    </row>
    <row r="52" spans="1:30" x14ac:dyDescent="0.3">
      <c r="A52" s="81" t="s">
        <v>888</v>
      </c>
      <c r="B52" s="15">
        <f t="shared" si="13"/>
        <v>49</v>
      </c>
      <c r="C52" t="str">
        <f t="shared" si="14"/>
        <v>T-1039</v>
      </c>
      <c r="F52" s="15" t="str">
        <f t="shared" si="9"/>
        <v/>
      </c>
      <c r="G52" t="str">
        <f t="shared" si="10"/>
        <v/>
      </c>
      <c r="M52" s="81" t="s">
        <v>1483</v>
      </c>
      <c r="N52" s="15">
        <f t="shared" si="17"/>
        <v>49</v>
      </c>
      <c r="O52" s="29" t="str">
        <f t="shared" si="18"/>
        <v>M-1039</v>
      </c>
      <c r="U52" t="e">
        <f t="shared" si="5"/>
        <v>#N/A</v>
      </c>
      <c r="X52" t="e">
        <f t="shared" si="6"/>
        <v>#N/A</v>
      </c>
      <c r="Y52" t="e">
        <f t="shared" si="7"/>
        <v>#N/A</v>
      </c>
      <c r="AC52" t="s">
        <v>60</v>
      </c>
      <c r="AD52">
        <v>4202</v>
      </c>
    </row>
    <row r="53" spans="1:30" x14ac:dyDescent="0.3">
      <c r="A53" s="81" t="s">
        <v>906</v>
      </c>
      <c r="B53" s="15">
        <f t="shared" si="13"/>
        <v>50</v>
      </c>
      <c r="C53" t="str">
        <f t="shared" si="14"/>
        <v>T-1040</v>
      </c>
      <c r="F53" s="15" t="str">
        <f t="shared" si="9"/>
        <v/>
      </c>
      <c r="G53" t="str">
        <f t="shared" si="10"/>
        <v/>
      </c>
      <c r="M53" s="81" t="s">
        <v>1488</v>
      </c>
      <c r="N53" s="15">
        <f t="shared" si="17"/>
        <v>50</v>
      </c>
      <c r="O53" s="29" t="str">
        <f t="shared" si="18"/>
        <v>M-1040</v>
      </c>
      <c r="U53" t="e">
        <f t="shared" si="5"/>
        <v>#N/A</v>
      </c>
      <c r="X53" t="e">
        <f t="shared" si="6"/>
        <v>#N/A</v>
      </c>
      <c r="Y53" t="e">
        <f t="shared" si="7"/>
        <v>#N/A</v>
      </c>
      <c r="AC53" t="s">
        <v>61</v>
      </c>
      <c r="AD53">
        <v>4203</v>
      </c>
    </row>
    <row r="54" spans="1:30" x14ac:dyDescent="0.3">
      <c r="A54" s="81" t="s">
        <v>1521</v>
      </c>
      <c r="B54" s="15">
        <f t="shared" si="13"/>
        <v>51</v>
      </c>
      <c r="C54" t="str">
        <f t="shared" si="14"/>
        <v>T-1041</v>
      </c>
      <c r="F54" s="15" t="str">
        <f t="shared" si="9"/>
        <v/>
      </c>
      <c r="G54" t="str">
        <f t="shared" si="10"/>
        <v/>
      </c>
      <c r="M54" s="81" t="s">
        <v>1494</v>
      </c>
      <c r="N54" s="15">
        <f t="shared" si="17"/>
        <v>51</v>
      </c>
      <c r="O54" s="29" t="str">
        <f t="shared" si="18"/>
        <v>M-1041</v>
      </c>
      <c r="U54" t="e">
        <f t="shared" si="5"/>
        <v>#N/A</v>
      </c>
      <c r="X54" t="e">
        <f t="shared" si="6"/>
        <v>#N/A</v>
      </c>
      <c r="Y54" t="e">
        <f t="shared" si="7"/>
        <v>#N/A</v>
      </c>
      <c r="AC54" t="s">
        <v>62</v>
      </c>
      <c r="AD54">
        <v>4204</v>
      </c>
    </row>
    <row r="55" spans="1:30" x14ac:dyDescent="0.3">
      <c r="A55" s="81" t="s">
        <v>1010</v>
      </c>
      <c r="B55" s="15">
        <f t="shared" si="13"/>
        <v>52</v>
      </c>
      <c r="C55" t="str">
        <f t="shared" si="14"/>
        <v>T-1042</v>
      </c>
      <c r="F55" s="15" t="str">
        <f t="shared" si="9"/>
        <v/>
      </c>
      <c r="G55" t="str">
        <f t="shared" si="10"/>
        <v/>
      </c>
      <c r="M55" s="81" t="s">
        <v>1497</v>
      </c>
      <c r="N55" s="15">
        <f t="shared" si="17"/>
        <v>52</v>
      </c>
      <c r="O55" s="29" t="str">
        <f t="shared" si="18"/>
        <v>M-1042</v>
      </c>
      <c r="U55" t="e">
        <f t="shared" si="5"/>
        <v>#N/A</v>
      </c>
      <c r="X55" t="e">
        <f t="shared" si="6"/>
        <v>#N/A</v>
      </c>
      <c r="Y55" t="e">
        <f t="shared" si="7"/>
        <v>#N/A</v>
      </c>
      <c r="AC55" t="s">
        <v>22</v>
      </c>
      <c r="AD55">
        <v>4301</v>
      </c>
    </row>
    <row r="56" spans="1:30" x14ac:dyDescent="0.3">
      <c r="A56" s="81" t="s">
        <v>1524</v>
      </c>
      <c r="B56" s="15">
        <f t="shared" si="13"/>
        <v>53</v>
      </c>
      <c r="C56" t="str">
        <f t="shared" si="14"/>
        <v>T-1043</v>
      </c>
      <c r="F56" s="15" t="str">
        <f t="shared" si="9"/>
        <v/>
      </c>
      <c r="G56" t="str">
        <f t="shared" si="10"/>
        <v/>
      </c>
      <c r="M56" s="81" t="s">
        <v>1530</v>
      </c>
      <c r="N56" s="15">
        <f t="shared" si="17"/>
        <v>53</v>
      </c>
      <c r="O56" s="29" t="str">
        <f t="shared" si="18"/>
        <v>M-1043</v>
      </c>
      <c r="U56" t="e">
        <f t="shared" si="5"/>
        <v>#N/A</v>
      </c>
      <c r="X56" t="e">
        <f t="shared" si="6"/>
        <v>#N/A</v>
      </c>
      <c r="Y56" t="e">
        <f t="shared" si="7"/>
        <v>#N/A</v>
      </c>
      <c r="AC56" t="s">
        <v>63</v>
      </c>
      <c r="AD56">
        <v>4302</v>
      </c>
    </row>
    <row r="57" spans="1:30" x14ac:dyDescent="0.3">
      <c r="A57" s="81" t="s">
        <v>1541</v>
      </c>
      <c r="B57" s="15">
        <f t="shared" si="13"/>
        <v>54</v>
      </c>
      <c r="C57" t="str">
        <f t="shared" si="14"/>
        <v>T-1044</v>
      </c>
      <c r="F57" s="15" t="str">
        <f t="shared" si="9"/>
        <v/>
      </c>
      <c r="G57" t="str">
        <f t="shared" si="10"/>
        <v/>
      </c>
      <c r="M57" s="81" t="s">
        <v>1532</v>
      </c>
      <c r="N57" s="15">
        <f t="shared" si="17"/>
        <v>54</v>
      </c>
      <c r="O57" s="29" t="str">
        <f t="shared" si="18"/>
        <v>M-1044</v>
      </c>
      <c r="U57" t="e">
        <f t="shared" si="5"/>
        <v>#N/A</v>
      </c>
      <c r="X57" t="e">
        <f t="shared" si="6"/>
        <v>#N/A</v>
      </c>
      <c r="Y57" t="e">
        <f t="shared" si="7"/>
        <v>#N/A</v>
      </c>
      <c r="AC57" t="s">
        <v>64</v>
      </c>
      <c r="AD57">
        <v>4303</v>
      </c>
    </row>
    <row r="58" spans="1:30" x14ac:dyDescent="0.3">
      <c r="A58" s="81" t="s">
        <v>1558</v>
      </c>
      <c r="B58" s="15">
        <f t="shared" si="13"/>
        <v>55</v>
      </c>
      <c r="C58" t="str">
        <f t="shared" si="14"/>
        <v>T-1045</v>
      </c>
      <c r="F58" s="15" t="str">
        <f t="shared" si="9"/>
        <v/>
      </c>
      <c r="G58" t="str">
        <f t="shared" si="10"/>
        <v/>
      </c>
      <c r="M58" s="81" t="s">
        <v>1533</v>
      </c>
      <c r="N58" s="15">
        <f t="shared" si="17"/>
        <v>55</v>
      </c>
      <c r="O58" s="29" t="str">
        <f t="shared" si="18"/>
        <v>M-1045</v>
      </c>
      <c r="U58" t="e">
        <f t="shared" si="5"/>
        <v>#N/A</v>
      </c>
      <c r="X58" t="e">
        <f t="shared" si="6"/>
        <v>#N/A</v>
      </c>
      <c r="Y58" t="e">
        <f t="shared" si="7"/>
        <v>#N/A</v>
      </c>
      <c r="AC58" t="s">
        <v>65</v>
      </c>
      <c r="AD58">
        <v>4304</v>
      </c>
    </row>
    <row r="59" spans="1:30" x14ac:dyDescent="0.3">
      <c r="A59" s="81" t="s">
        <v>1641</v>
      </c>
      <c r="B59" s="15">
        <f t="shared" si="13"/>
        <v>56</v>
      </c>
      <c r="C59" t="str">
        <f t="shared" si="14"/>
        <v>T-1046</v>
      </c>
      <c r="F59" s="15" t="str">
        <f t="shared" si="9"/>
        <v/>
      </c>
      <c r="G59" t="str">
        <f t="shared" si="10"/>
        <v/>
      </c>
      <c r="M59" s="81" t="s">
        <v>1539</v>
      </c>
      <c r="N59" s="15">
        <f t="shared" si="17"/>
        <v>56</v>
      </c>
      <c r="O59" s="29" t="str">
        <f t="shared" si="18"/>
        <v>M-1046</v>
      </c>
      <c r="U59" t="e">
        <f t="shared" si="5"/>
        <v>#N/A</v>
      </c>
      <c r="X59" t="e">
        <f t="shared" si="6"/>
        <v>#N/A</v>
      </c>
      <c r="Y59" t="e">
        <f t="shared" si="7"/>
        <v>#N/A</v>
      </c>
      <c r="AC59" t="s">
        <v>66</v>
      </c>
      <c r="AD59">
        <v>4305</v>
      </c>
    </row>
    <row r="60" spans="1:30" x14ac:dyDescent="0.3">
      <c r="A60" s="81" t="s">
        <v>3802</v>
      </c>
      <c r="B60" s="15">
        <f t="shared" si="13"/>
        <v>57</v>
      </c>
      <c r="C60" t="str">
        <f t="shared" si="14"/>
        <v>T-1047</v>
      </c>
      <c r="F60" s="15" t="str">
        <f t="shared" si="9"/>
        <v/>
      </c>
      <c r="G60" t="str">
        <f t="shared" si="10"/>
        <v/>
      </c>
      <c r="M60" s="81" t="s">
        <v>1542</v>
      </c>
      <c r="N60" s="15">
        <f t="shared" si="17"/>
        <v>57</v>
      </c>
      <c r="O60" s="29" t="str">
        <f t="shared" si="18"/>
        <v>M-1047</v>
      </c>
      <c r="U60" t="e">
        <f t="shared" si="5"/>
        <v>#N/A</v>
      </c>
      <c r="X60" t="e">
        <f t="shared" si="6"/>
        <v>#N/A</v>
      </c>
      <c r="Y60" t="e">
        <f t="shared" si="7"/>
        <v>#N/A</v>
      </c>
      <c r="AC60" t="s">
        <v>27</v>
      </c>
      <c r="AD60">
        <v>5101</v>
      </c>
    </row>
    <row r="61" spans="1:30" x14ac:dyDescent="0.3">
      <c r="A61" s="81" t="s">
        <v>3906</v>
      </c>
      <c r="B61" s="15">
        <f t="shared" si="13"/>
        <v>58</v>
      </c>
      <c r="C61" t="str">
        <f t="shared" si="14"/>
        <v>T-1048</v>
      </c>
      <c r="F61" s="15" t="str">
        <f t="shared" si="9"/>
        <v/>
      </c>
      <c r="G61" t="str">
        <f t="shared" si="10"/>
        <v/>
      </c>
      <c r="M61" s="81" t="s">
        <v>1548</v>
      </c>
      <c r="N61" s="15">
        <f t="shared" si="17"/>
        <v>58</v>
      </c>
      <c r="O61" s="29" t="str">
        <f t="shared" si="18"/>
        <v>M-1048</v>
      </c>
      <c r="U61" t="e">
        <f t="shared" si="5"/>
        <v>#N/A</v>
      </c>
      <c r="X61" t="e">
        <f t="shared" si="6"/>
        <v>#N/A</v>
      </c>
      <c r="Y61" t="e">
        <f t="shared" si="7"/>
        <v>#N/A</v>
      </c>
      <c r="AC61" t="s">
        <v>67</v>
      </c>
      <c r="AD61">
        <v>5102</v>
      </c>
    </row>
    <row r="62" spans="1:30" x14ac:dyDescent="0.3">
      <c r="A62" s="81" t="s">
        <v>3907</v>
      </c>
      <c r="B62" s="15">
        <f t="shared" si="13"/>
        <v>59</v>
      </c>
      <c r="C62" t="str">
        <f t="shared" si="14"/>
        <v>T-1049</v>
      </c>
      <c r="F62" s="15" t="str">
        <f t="shared" si="9"/>
        <v/>
      </c>
      <c r="G62" t="str">
        <f t="shared" si="10"/>
        <v/>
      </c>
      <c r="M62" s="81" t="s">
        <v>1550</v>
      </c>
      <c r="N62" s="15">
        <f t="shared" si="17"/>
        <v>59</v>
      </c>
      <c r="O62" s="29" t="str">
        <f t="shared" si="18"/>
        <v>M-1049</v>
      </c>
      <c r="U62" t="e">
        <f t="shared" si="5"/>
        <v>#N/A</v>
      </c>
      <c r="X62" t="e">
        <f t="shared" si="6"/>
        <v>#N/A</v>
      </c>
      <c r="Y62" t="e">
        <f t="shared" si="7"/>
        <v>#N/A</v>
      </c>
      <c r="AC62" t="s">
        <v>68</v>
      </c>
      <c r="AD62">
        <v>5103</v>
      </c>
    </row>
    <row r="63" spans="1:30" x14ac:dyDescent="0.3">
      <c r="A63" s="81" t="s">
        <v>4040</v>
      </c>
      <c r="B63" s="15">
        <f t="shared" si="13"/>
        <v>60</v>
      </c>
      <c r="C63" t="str">
        <f t="shared" si="14"/>
        <v>T-1050</v>
      </c>
      <c r="F63" s="15" t="str">
        <f t="shared" si="9"/>
        <v/>
      </c>
      <c r="G63" t="str">
        <f t="shared" si="10"/>
        <v/>
      </c>
      <c r="M63" s="81" t="s">
        <v>1560</v>
      </c>
      <c r="N63" s="15">
        <f t="shared" si="17"/>
        <v>60</v>
      </c>
      <c r="O63" s="29" t="str">
        <f t="shared" si="18"/>
        <v>M-1050</v>
      </c>
      <c r="U63" t="e">
        <f t="shared" si="5"/>
        <v>#N/A</v>
      </c>
      <c r="X63" t="e">
        <f t="shared" si="6"/>
        <v>#N/A</v>
      </c>
      <c r="Y63" t="e">
        <f t="shared" si="7"/>
        <v>#N/A</v>
      </c>
      <c r="AC63" t="s">
        <v>69</v>
      </c>
      <c r="AD63">
        <v>5104</v>
      </c>
    </row>
    <row r="64" spans="1:30" x14ac:dyDescent="0.3">
      <c r="A64" s="81" t="s">
        <v>4064</v>
      </c>
      <c r="B64" s="15">
        <f t="shared" si="13"/>
        <v>61</v>
      </c>
      <c r="C64" t="str">
        <f t="shared" si="14"/>
        <v>T-1051</v>
      </c>
      <c r="F64" s="15" t="str">
        <f t="shared" si="9"/>
        <v/>
      </c>
      <c r="G64" t="str">
        <f t="shared" si="10"/>
        <v/>
      </c>
      <c r="M64" s="81" t="s">
        <v>1567</v>
      </c>
      <c r="N64" s="15">
        <f t="shared" si="17"/>
        <v>61</v>
      </c>
      <c r="O64" s="29" t="str">
        <f t="shared" si="18"/>
        <v>M-1051</v>
      </c>
      <c r="U64" t="e">
        <f t="shared" si="5"/>
        <v>#N/A</v>
      </c>
      <c r="X64" t="e">
        <f t="shared" si="6"/>
        <v>#N/A</v>
      </c>
      <c r="Y64" t="e">
        <f t="shared" si="7"/>
        <v>#N/A</v>
      </c>
      <c r="AC64" t="s">
        <v>70</v>
      </c>
      <c r="AD64">
        <v>5105</v>
      </c>
    </row>
    <row r="65" spans="1:30" x14ac:dyDescent="0.3">
      <c r="A65" s="81" t="s">
        <v>4158</v>
      </c>
      <c r="B65" s="15">
        <f t="shared" si="13"/>
        <v>62</v>
      </c>
      <c r="C65" t="str">
        <f t="shared" si="14"/>
        <v>T-1052</v>
      </c>
      <c r="F65" s="15" t="str">
        <f t="shared" si="9"/>
        <v/>
      </c>
      <c r="G65" t="str">
        <f t="shared" si="10"/>
        <v/>
      </c>
      <c r="M65" s="81" t="s">
        <v>1571</v>
      </c>
      <c r="N65" s="15">
        <f t="shared" si="17"/>
        <v>62</v>
      </c>
      <c r="O65" s="29" t="str">
        <f t="shared" si="18"/>
        <v>M-1052</v>
      </c>
      <c r="U65" t="e">
        <f t="shared" si="5"/>
        <v>#N/A</v>
      </c>
      <c r="X65" t="e">
        <f t="shared" si="6"/>
        <v>#N/A</v>
      </c>
      <c r="Y65" t="e">
        <f t="shared" si="7"/>
        <v>#N/A</v>
      </c>
      <c r="AC65" t="s">
        <v>71</v>
      </c>
      <c r="AD65">
        <v>5107</v>
      </c>
    </row>
    <row r="66" spans="1:30" x14ac:dyDescent="0.3">
      <c r="A66" s="81" t="s">
        <v>4179</v>
      </c>
      <c r="B66" s="15">
        <f t="shared" si="13"/>
        <v>63</v>
      </c>
      <c r="C66" t="str">
        <f t="shared" si="14"/>
        <v>T-1053</v>
      </c>
      <c r="F66" s="15" t="str">
        <f t="shared" si="9"/>
        <v/>
      </c>
      <c r="G66" t="str">
        <f t="shared" si="10"/>
        <v/>
      </c>
      <c r="M66" s="81" t="s">
        <v>1574</v>
      </c>
      <c r="N66" s="15">
        <f t="shared" si="17"/>
        <v>63</v>
      </c>
      <c r="O66" s="29" t="str">
        <f t="shared" si="18"/>
        <v>M-1053</v>
      </c>
      <c r="U66" t="e">
        <f t="shared" si="5"/>
        <v>#N/A</v>
      </c>
      <c r="X66" t="e">
        <f t="shared" si="6"/>
        <v>#N/A</v>
      </c>
      <c r="Y66" t="e">
        <f t="shared" si="7"/>
        <v>#N/A</v>
      </c>
      <c r="AC66" t="s">
        <v>72</v>
      </c>
      <c r="AD66">
        <v>5109</v>
      </c>
    </row>
    <row r="67" spans="1:30" x14ac:dyDescent="0.3">
      <c r="A67" s="81" t="s">
        <v>4201</v>
      </c>
      <c r="B67" s="15">
        <f t="shared" si="13"/>
        <v>64</v>
      </c>
      <c r="C67" t="str">
        <f t="shared" si="14"/>
        <v>T-1054</v>
      </c>
      <c r="F67" s="15" t="str">
        <f t="shared" si="9"/>
        <v/>
      </c>
      <c r="G67" t="str">
        <f t="shared" si="10"/>
        <v/>
      </c>
      <c r="M67" s="81" t="s">
        <v>1588</v>
      </c>
      <c r="N67" s="15">
        <f t="shared" si="17"/>
        <v>64</v>
      </c>
      <c r="O67" s="29" t="str">
        <f t="shared" si="18"/>
        <v>M-1054</v>
      </c>
      <c r="U67" t="e">
        <f t="shared" si="5"/>
        <v>#N/A</v>
      </c>
      <c r="X67" t="e">
        <f t="shared" si="6"/>
        <v>#N/A</v>
      </c>
      <c r="Y67" t="e">
        <f t="shared" si="7"/>
        <v>#N/A</v>
      </c>
      <c r="AC67" t="s">
        <v>73</v>
      </c>
      <c r="AD67">
        <v>5201</v>
      </c>
    </row>
    <row r="68" spans="1:30" x14ac:dyDescent="0.3">
      <c r="A68" s="81" t="s">
        <v>5298</v>
      </c>
      <c r="B68" s="15">
        <f t="shared" si="13"/>
        <v>65</v>
      </c>
      <c r="C68" t="str">
        <f t="shared" si="14"/>
        <v>T-1055</v>
      </c>
      <c r="F68" s="15" t="str">
        <f t="shared" si="9"/>
        <v/>
      </c>
      <c r="G68" t="str">
        <f t="shared" si="10"/>
        <v/>
      </c>
      <c r="M68" s="81" t="s">
        <v>1591</v>
      </c>
      <c r="N68" s="15">
        <f t="shared" si="17"/>
        <v>65</v>
      </c>
      <c r="O68" s="29" t="str">
        <f t="shared" si="18"/>
        <v>M-1055</v>
      </c>
      <c r="U68" t="e">
        <f t="shared" si="5"/>
        <v>#N/A</v>
      </c>
      <c r="X68" t="e">
        <f t="shared" si="6"/>
        <v>#N/A</v>
      </c>
      <c r="Y68" t="e">
        <f t="shared" si="7"/>
        <v>#N/A</v>
      </c>
      <c r="AC68" t="s">
        <v>74</v>
      </c>
      <c r="AD68">
        <v>5301</v>
      </c>
    </row>
    <row r="69" spans="1:30" x14ac:dyDescent="0.3">
      <c r="A69" s="81" t="s">
        <v>5296</v>
      </c>
      <c r="B69" s="15">
        <f t="shared" si="13"/>
        <v>66</v>
      </c>
      <c r="C69" t="str">
        <f t="shared" si="14"/>
        <v>T-1056</v>
      </c>
      <c r="F69" s="15" t="str">
        <f t="shared" si="9"/>
        <v/>
      </c>
      <c r="G69" t="str">
        <f t="shared" si="10"/>
        <v/>
      </c>
      <c r="M69" s="81" t="s">
        <v>1595</v>
      </c>
      <c r="N69" s="15">
        <f t="shared" si="17"/>
        <v>66</v>
      </c>
      <c r="O69" s="29" t="str">
        <f t="shared" si="18"/>
        <v>M-1056</v>
      </c>
      <c r="U69" t="e">
        <f t="shared" ref="U69:U132" si="19">+VLOOKUP(W69,$R$4:$S$6,2,0)*100000+X69</f>
        <v>#N/A</v>
      </c>
      <c r="X69" t="e">
        <f t="shared" ref="X69:X132" si="20">+VLOOKUP(V69,$AC$3:$AD$364,2,0)</f>
        <v>#N/A</v>
      </c>
      <c r="Y69" t="e">
        <f t="shared" ref="Y69:Y132" si="21">+U69</f>
        <v>#N/A</v>
      </c>
      <c r="AC69" t="s">
        <v>75</v>
      </c>
      <c r="AD69">
        <v>5302</v>
      </c>
    </row>
    <row r="70" spans="1:30" x14ac:dyDescent="0.3">
      <c r="A70" s="81" t="s">
        <v>5295</v>
      </c>
      <c r="B70" s="15">
        <f t="shared" si="13"/>
        <v>67</v>
      </c>
      <c r="C70" t="str">
        <f t="shared" si="14"/>
        <v>T-1057</v>
      </c>
      <c r="F70" s="15" t="str">
        <f t="shared" si="9"/>
        <v/>
      </c>
      <c r="G70" t="str">
        <f t="shared" si="10"/>
        <v/>
      </c>
      <c r="M70" s="81" t="s">
        <v>1600</v>
      </c>
      <c r="N70" s="15">
        <f t="shared" si="17"/>
        <v>67</v>
      </c>
      <c r="O70" s="29" t="str">
        <f t="shared" si="18"/>
        <v>M-1057</v>
      </c>
      <c r="U70" t="e">
        <f t="shared" si="19"/>
        <v>#N/A</v>
      </c>
      <c r="X70" t="e">
        <f t="shared" si="20"/>
        <v>#N/A</v>
      </c>
      <c r="Y70" t="e">
        <f t="shared" si="21"/>
        <v>#N/A</v>
      </c>
      <c r="AC70" t="s">
        <v>76</v>
      </c>
      <c r="AD70">
        <v>5303</v>
      </c>
    </row>
    <row r="71" spans="1:30" x14ac:dyDescent="0.3">
      <c r="A71" s="81" t="s">
        <v>5297</v>
      </c>
      <c r="B71" s="15">
        <f t="shared" si="13"/>
        <v>68</v>
      </c>
      <c r="C71" t="str">
        <f t="shared" si="14"/>
        <v>T-1058</v>
      </c>
      <c r="F71" s="15" t="str">
        <f t="shared" ref="F71:F100" si="22">+IF(E71="","",F70+1)</f>
        <v/>
      </c>
      <c r="G71" t="str">
        <f t="shared" ref="G71:G100" si="23">+IF(E71="","","C-"&amp;$B$1+F71)</f>
        <v/>
      </c>
      <c r="M71" s="81" t="s">
        <v>1605</v>
      </c>
      <c r="N71" s="15">
        <f t="shared" si="17"/>
        <v>68</v>
      </c>
      <c r="O71" s="29" t="str">
        <f t="shared" si="18"/>
        <v>M-1058</v>
      </c>
      <c r="U71" t="e">
        <f t="shared" si="19"/>
        <v>#N/A</v>
      </c>
      <c r="X71" t="e">
        <f t="shared" si="20"/>
        <v>#N/A</v>
      </c>
      <c r="Y71" t="e">
        <f t="shared" si="21"/>
        <v>#N/A</v>
      </c>
      <c r="AC71" t="s">
        <v>77</v>
      </c>
      <c r="AD71">
        <v>5304</v>
      </c>
    </row>
    <row r="72" spans="1:30" x14ac:dyDescent="0.3">
      <c r="A72" s="81" t="s">
        <v>4244</v>
      </c>
      <c r="B72" s="15">
        <f t="shared" ref="B72:B100" si="24">+IF(A72="","",B71+1)</f>
        <v>69</v>
      </c>
      <c r="C72" t="str">
        <f t="shared" ref="C72:C100" si="25">+IF(A72="","","T-"&amp;$B$1+B72)</f>
        <v>T-1059</v>
      </c>
      <c r="F72" s="15" t="str">
        <f t="shared" si="22"/>
        <v/>
      </c>
      <c r="G72" t="str">
        <f t="shared" si="23"/>
        <v/>
      </c>
      <c r="M72" s="81" t="s">
        <v>1618</v>
      </c>
      <c r="N72" s="15">
        <f t="shared" si="17"/>
        <v>69</v>
      </c>
      <c r="O72" s="29" t="str">
        <f t="shared" si="18"/>
        <v>M-1059</v>
      </c>
      <c r="U72" t="e">
        <f t="shared" si="19"/>
        <v>#N/A</v>
      </c>
      <c r="X72" t="e">
        <f t="shared" si="20"/>
        <v>#N/A</v>
      </c>
      <c r="Y72" t="e">
        <f t="shared" si="21"/>
        <v>#N/A</v>
      </c>
      <c r="AC72" t="s">
        <v>78</v>
      </c>
      <c r="AD72">
        <v>5401</v>
      </c>
    </row>
    <row r="73" spans="1:30" x14ac:dyDescent="0.3">
      <c r="A73" s="81" t="s">
        <v>6251</v>
      </c>
      <c r="B73" s="15">
        <f t="shared" si="24"/>
        <v>70</v>
      </c>
      <c r="C73" t="str">
        <f t="shared" si="25"/>
        <v>T-1060</v>
      </c>
      <c r="F73" s="15" t="str">
        <f t="shared" si="22"/>
        <v/>
      </c>
      <c r="G73" t="str">
        <f t="shared" si="23"/>
        <v/>
      </c>
      <c r="M73" s="81" t="s">
        <v>1619</v>
      </c>
      <c r="N73" s="15">
        <f t="shared" si="17"/>
        <v>70</v>
      </c>
      <c r="O73" s="29" t="str">
        <f t="shared" si="18"/>
        <v>M-1060</v>
      </c>
      <c r="U73" t="e">
        <f t="shared" si="19"/>
        <v>#N/A</v>
      </c>
      <c r="X73" t="e">
        <f t="shared" si="20"/>
        <v>#N/A</v>
      </c>
      <c r="Y73" t="e">
        <f t="shared" si="21"/>
        <v>#N/A</v>
      </c>
      <c r="AC73" t="s">
        <v>79</v>
      </c>
      <c r="AD73">
        <v>5402</v>
      </c>
    </row>
    <row r="74" spans="1:30" x14ac:dyDescent="0.3">
      <c r="A74" s="81" t="s">
        <v>7409</v>
      </c>
      <c r="B74" s="15">
        <f t="shared" si="24"/>
        <v>71</v>
      </c>
      <c r="C74" t="str">
        <f t="shared" si="25"/>
        <v>T-1061</v>
      </c>
      <c r="F74" s="15" t="str">
        <f t="shared" si="22"/>
        <v/>
      </c>
      <c r="G74" t="str">
        <f t="shared" si="23"/>
        <v/>
      </c>
      <c r="M74" s="81" t="s">
        <v>1622</v>
      </c>
      <c r="N74" s="15">
        <f t="shared" si="17"/>
        <v>71</v>
      </c>
      <c r="O74" s="29" t="str">
        <f t="shared" si="18"/>
        <v>M-1061</v>
      </c>
      <c r="U74" t="e">
        <f t="shared" si="19"/>
        <v>#N/A</v>
      </c>
      <c r="X74" t="e">
        <f t="shared" si="20"/>
        <v>#N/A</v>
      </c>
      <c r="Y74" t="e">
        <f t="shared" si="21"/>
        <v>#N/A</v>
      </c>
      <c r="AC74" t="s">
        <v>80</v>
      </c>
      <c r="AD74">
        <v>5403</v>
      </c>
    </row>
    <row r="75" spans="1:30" x14ac:dyDescent="0.3">
      <c r="A75" s="81" t="s">
        <v>6252</v>
      </c>
      <c r="B75" s="15">
        <f t="shared" si="24"/>
        <v>72</v>
      </c>
      <c r="C75" t="str">
        <f t="shared" si="25"/>
        <v>T-1062</v>
      </c>
      <c r="F75" s="15" t="str">
        <f t="shared" si="22"/>
        <v/>
      </c>
      <c r="G75" t="str">
        <f t="shared" si="23"/>
        <v/>
      </c>
      <c r="M75" s="81" t="s">
        <v>1626</v>
      </c>
      <c r="N75" s="15">
        <f t="shared" si="17"/>
        <v>72</v>
      </c>
      <c r="O75" s="29" t="str">
        <f t="shared" si="18"/>
        <v>M-1062</v>
      </c>
      <c r="U75" t="e">
        <f t="shared" si="19"/>
        <v>#N/A</v>
      </c>
      <c r="X75" t="e">
        <f t="shared" si="20"/>
        <v>#N/A</v>
      </c>
      <c r="Y75" t="e">
        <f t="shared" si="21"/>
        <v>#N/A</v>
      </c>
      <c r="AC75" t="s">
        <v>81</v>
      </c>
      <c r="AD75">
        <v>5404</v>
      </c>
    </row>
    <row r="76" spans="1:30" x14ac:dyDescent="0.3">
      <c r="A76" s="81" t="s">
        <v>7426</v>
      </c>
      <c r="B76" s="15">
        <f t="shared" si="24"/>
        <v>73</v>
      </c>
      <c r="C76" t="str">
        <f t="shared" si="25"/>
        <v>T-1063</v>
      </c>
      <c r="F76" s="15" t="str">
        <f t="shared" si="22"/>
        <v/>
      </c>
      <c r="G76" t="str">
        <f t="shared" si="23"/>
        <v/>
      </c>
      <c r="M76" s="81" t="s">
        <v>1630</v>
      </c>
      <c r="N76" s="15">
        <f t="shared" si="17"/>
        <v>73</v>
      </c>
      <c r="O76" s="29" t="str">
        <f t="shared" si="18"/>
        <v>M-1063</v>
      </c>
      <c r="U76" t="e">
        <f t="shared" si="19"/>
        <v>#N/A</v>
      </c>
      <c r="X76" t="e">
        <f t="shared" si="20"/>
        <v>#N/A</v>
      </c>
      <c r="Y76" t="e">
        <f t="shared" si="21"/>
        <v>#N/A</v>
      </c>
      <c r="AC76" t="s">
        <v>82</v>
      </c>
      <c r="AD76">
        <v>5405</v>
      </c>
    </row>
    <row r="77" spans="1:30" x14ac:dyDescent="0.3">
      <c r="A77" s="81" t="s">
        <v>5303</v>
      </c>
      <c r="B77" s="15">
        <f t="shared" si="24"/>
        <v>74</v>
      </c>
      <c r="C77" t="str">
        <f t="shared" si="25"/>
        <v>T-1064</v>
      </c>
      <c r="F77" s="15" t="str">
        <f t="shared" si="22"/>
        <v/>
      </c>
      <c r="G77" t="str">
        <f t="shared" si="23"/>
        <v/>
      </c>
      <c r="M77" s="81" t="s">
        <v>1632</v>
      </c>
      <c r="N77" s="15">
        <f t="shared" si="17"/>
        <v>74</v>
      </c>
      <c r="O77" s="29" t="str">
        <f t="shared" si="18"/>
        <v>M-1064</v>
      </c>
      <c r="U77" t="e">
        <f t="shared" si="19"/>
        <v>#N/A</v>
      </c>
      <c r="X77" t="e">
        <f t="shared" si="20"/>
        <v>#N/A</v>
      </c>
      <c r="Y77" t="e">
        <f t="shared" si="21"/>
        <v>#N/A</v>
      </c>
      <c r="AC77" t="s">
        <v>83</v>
      </c>
      <c r="AD77">
        <v>5501</v>
      </c>
    </row>
    <row r="78" spans="1:30" x14ac:dyDescent="0.3">
      <c r="A78" s="81" t="s">
        <v>5330</v>
      </c>
      <c r="B78" s="15">
        <f t="shared" si="24"/>
        <v>75</v>
      </c>
      <c r="C78" t="str">
        <f t="shared" si="25"/>
        <v>T-1065</v>
      </c>
      <c r="F78" s="15" t="str">
        <f t="shared" si="22"/>
        <v/>
      </c>
      <c r="G78" t="str">
        <f t="shared" si="23"/>
        <v/>
      </c>
      <c r="M78" s="81" t="s">
        <v>1636</v>
      </c>
      <c r="N78" s="15">
        <f t="shared" si="17"/>
        <v>75</v>
      </c>
      <c r="O78" s="29" t="str">
        <f t="shared" si="18"/>
        <v>M-1065</v>
      </c>
      <c r="U78" t="e">
        <f t="shared" si="19"/>
        <v>#N/A</v>
      </c>
      <c r="X78" t="e">
        <f t="shared" si="20"/>
        <v>#N/A</v>
      </c>
      <c r="Y78" t="e">
        <f t="shared" si="21"/>
        <v>#N/A</v>
      </c>
      <c r="AC78" t="s">
        <v>84</v>
      </c>
      <c r="AD78">
        <v>5502</v>
      </c>
    </row>
    <row r="79" spans="1:30" x14ac:dyDescent="0.3">
      <c r="A79" s="81" t="s">
        <v>5420</v>
      </c>
      <c r="B79" s="15">
        <f t="shared" si="24"/>
        <v>76</v>
      </c>
      <c r="C79" t="str">
        <f t="shared" si="25"/>
        <v>T-1066</v>
      </c>
      <c r="F79" s="15" t="str">
        <f t="shared" si="22"/>
        <v/>
      </c>
      <c r="G79" t="str">
        <f t="shared" si="23"/>
        <v/>
      </c>
      <c r="M79" s="81" t="s">
        <v>1638</v>
      </c>
      <c r="N79" s="15">
        <f t="shared" si="17"/>
        <v>76</v>
      </c>
      <c r="O79" s="29" t="str">
        <f t="shared" si="18"/>
        <v>M-1066</v>
      </c>
      <c r="U79" t="e">
        <f t="shared" si="19"/>
        <v>#N/A</v>
      </c>
      <c r="X79" t="e">
        <f t="shared" si="20"/>
        <v>#N/A</v>
      </c>
      <c r="Y79" t="e">
        <f t="shared" si="21"/>
        <v>#N/A</v>
      </c>
      <c r="AC79" t="s">
        <v>85</v>
      </c>
      <c r="AD79">
        <v>5503</v>
      </c>
    </row>
    <row r="80" spans="1:30" x14ac:dyDescent="0.3">
      <c r="A80" s="81" t="s">
        <v>5589</v>
      </c>
      <c r="B80" s="15">
        <f t="shared" si="24"/>
        <v>77</v>
      </c>
      <c r="C80" t="str">
        <f t="shared" si="25"/>
        <v>T-1067</v>
      </c>
      <c r="F80" s="15" t="str">
        <f t="shared" si="22"/>
        <v/>
      </c>
      <c r="G80" t="str">
        <f t="shared" si="23"/>
        <v/>
      </c>
      <c r="M80" s="81" t="s">
        <v>1645</v>
      </c>
      <c r="N80" s="15">
        <f t="shared" si="17"/>
        <v>77</v>
      </c>
      <c r="O80" s="29" t="str">
        <f t="shared" si="18"/>
        <v>M-1067</v>
      </c>
      <c r="U80" t="e">
        <f t="shared" si="19"/>
        <v>#N/A</v>
      </c>
      <c r="X80" t="e">
        <f t="shared" si="20"/>
        <v>#N/A</v>
      </c>
      <c r="Y80" t="e">
        <f t="shared" si="21"/>
        <v>#N/A</v>
      </c>
      <c r="AC80" t="s">
        <v>86</v>
      </c>
      <c r="AD80">
        <v>5504</v>
      </c>
    </row>
    <row r="81" spans="1:30" x14ac:dyDescent="0.3">
      <c r="A81" s="81" t="s">
        <v>5599</v>
      </c>
      <c r="B81" s="15">
        <f t="shared" si="24"/>
        <v>78</v>
      </c>
      <c r="C81" t="str">
        <f t="shared" si="25"/>
        <v>T-1068</v>
      </c>
      <c r="F81" s="15" t="str">
        <f t="shared" si="22"/>
        <v/>
      </c>
      <c r="G81" t="str">
        <f t="shared" si="23"/>
        <v/>
      </c>
      <c r="M81" s="81" t="s">
        <v>1644</v>
      </c>
      <c r="N81" s="15">
        <f t="shared" si="17"/>
        <v>78</v>
      </c>
      <c r="O81" s="29" t="str">
        <f t="shared" si="18"/>
        <v>M-1068</v>
      </c>
      <c r="U81" t="e">
        <f t="shared" si="19"/>
        <v>#N/A</v>
      </c>
      <c r="X81" t="e">
        <f t="shared" si="20"/>
        <v>#N/A</v>
      </c>
      <c r="Y81" t="e">
        <f t="shared" si="21"/>
        <v>#N/A</v>
      </c>
      <c r="AC81" t="s">
        <v>87</v>
      </c>
      <c r="AD81">
        <v>5506</v>
      </c>
    </row>
    <row r="82" spans="1:30" x14ac:dyDescent="0.3">
      <c r="A82" s="81" t="s">
        <v>5603</v>
      </c>
      <c r="B82" s="15">
        <f t="shared" si="24"/>
        <v>79</v>
      </c>
      <c r="C82" t="str">
        <f t="shared" si="25"/>
        <v>T-1069</v>
      </c>
      <c r="F82" s="15" t="str">
        <f t="shared" si="22"/>
        <v/>
      </c>
      <c r="G82" t="str">
        <f t="shared" si="23"/>
        <v/>
      </c>
      <c r="M82" s="81" t="s">
        <v>1649</v>
      </c>
      <c r="N82" s="15">
        <f t="shared" si="17"/>
        <v>79</v>
      </c>
      <c r="O82" s="29" t="str">
        <f t="shared" si="18"/>
        <v>M-1069</v>
      </c>
      <c r="U82" t="e">
        <f t="shared" si="19"/>
        <v>#N/A</v>
      </c>
      <c r="X82" t="e">
        <f t="shared" si="20"/>
        <v>#N/A</v>
      </c>
      <c r="Y82" t="e">
        <f t="shared" si="21"/>
        <v>#N/A</v>
      </c>
      <c r="AC82" t="s">
        <v>88</v>
      </c>
      <c r="AD82">
        <v>5601</v>
      </c>
    </row>
    <row r="83" spans="1:30" x14ac:dyDescent="0.3">
      <c r="A83" s="81" t="s">
        <v>5608</v>
      </c>
      <c r="B83" s="15">
        <f t="shared" si="24"/>
        <v>80</v>
      </c>
      <c r="C83" t="str">
        <f t="shared" si="25"/>
        <v>T-1070</v>
      </c>
      <c r="F83" s="15" t="str">
        <f t="shared" si="22"/>
        <v/>
      </c>
      <c r="G83" t="str">
        <f t="shared" si="23"/>
        <v/>
      </c>
      <c r="M83" s="81" t="s">
        <v>1657</v>
      </c>
      <c r="N83" s="15">
        <f t="shared" si="17"/>
        <v>80</v>
      </c>
      <c r="O83" s="29" t="str">
        <f t="shared" si="18"/>
        <v>M-1070</v>
      </c>
      <c r="U83" t="e">
        <f t="shared" si="19"/>
        <v>#N/A</v>
      </c>
      <c r="X83" t="e">
        <f t="shared" si="20"/>
        <v>#N/A</v>
      </c>
      <c r="Y83" t="e">
        <f t="shared" si="21"/>
        <v>#N/A</v>
      </c>
      <c r="AC83" t="s">
        <v>89</v>
      </c>
      <c r="AD83">
        <v>5602</v>
      </c>
    </row>
    <row r="84" spans="1:30" x14ac:dyDescent="0.3">
      <c r="A84" s="81" t="s">
        <v>5642</v>
      </c>
      <c r="B84" s="15">
        <f t="shared" si="24"/>
        <v>81</v>
      </c>
      <c r="C84" t="str">
        <f t="shared" si="25"/>
        <v>T-1071</v>
      </c>
      <c r="F84" s="15" t="str">
        <f t="shared" si="22"/>
        <v/>
      </c>
      <c r="G84" t="str">
        <f t="shared" si="23"/>
        <v/>
      </c>
      <c r="M84" s="81" t="s">
        <v>1662</v>
      </c>
      <c r="N84" s="15">
        <f t="shared" ref="N84:N147" si="26">+IF(M84="","",N83+1)</f>
        <v>81</v>
      </c>
      <c r="O84" s="29" t="str">
        <f t="shared" ref="O84:O147" si="27">+IF(M84="","","M-"&amp;$B$1+N84)</f>
        <v>M-1071</v>
      </c>
      <c r="U84" t="e">
        <f t="shared" si="19"/>
        <v>#N/A</v>
      </c>
      <c r="X84" t="e">
        <f t="shared" si="20"/>
        <v>#N/A</v>
      </c>
      <c r="Y84" t="e">
        <f t="shared" si="21"/>
        <v>#N/A</v>
      </c>
      <c r="AC84" t="s">
        <v>90</v>
      </c>
      <c r="AD84">
        <v>5603</v>
      </c>
    </row>
    <row r="85" spans="1:30" x14ac:dyDescent="0.3">
      <c r="A85" s="81" t="s">
        <v>5664</v>
      </c>
      <c r="B85" s="15">
        <f t="shared" si="24"/>
        <v>82</v>
      </c>
      <c r="C85" t="str">
        <f t="shared" si="25"/>
        <v>T-1072</v>
      </c>
      <c r="F85" s="15" t="str">
        <f t="shared" si="22"/>
        <v/>
      </c>
      <c r="G85" t="str">
        <f t="shared" si="23"/>
        <v/>
      </c>
      <c r="M85" s="81" t="s">
        <v>1672</v>
      </c>
      <c r="N85" s="15">
        <f t="shared" si="26"/>
        <v>82</v>
      </c>
      <c r="O85" s="29" t="str">
        <f t="shared" si="27"/>
        <v>M-1072</v>
      </c>
      <c r="U85" t="e">
        <f t="shared" si="19"/>
        <v>#N/A</v>
      </c>
      <c r="X85" t="e">
        <f t="shared" si="20"/>
        <v>#N/A</v>
      </c>
      <c r="Y85" t="e">
        <f t="shared" si="21"/>
        <v>#N/A</v>
      </c>
      <c r="AC85" t="s">
        <v>91</v>
      </c>
      <c r="AD85">
        <v>5604</v>
      </c>
    </row>
    <row r="86" spans="1:30" x14ac:dyDescent="0.3">
      <c r="A86" s="81" t="s">
        <v>5686</v>
      </c>
      <c r="B86" s="15">
        <f t="shared" si="24"/>
        <v>83</v>
      </c>
      <c r="C86" t="str">
        <f t="shared" si="25"/>
        <v>T-1073</v>
      </c>
      <c r="F86" s="15" t="str">
        <f t="shared" si="22"/>
        <v/>
      </c>
      <c r="G86" t="str">
        <f t="shared" si="23"/>
        <v/>
      </c>
      <c r="M86" s="81" t="s">
        <v>1673</v>
      </c>
      <c r="N86" s="15">
        <f t="shared" si="26"/>
        <v>83</v>
      </c>
      <c r="O86" s="29" t="str">
        <f t="shared" si="27"/>
        <v>M-1073</v>
      </c>
      <c r="U86" t="e">
        <f t="shared" si="19"/>
        <v>#N/A</v>
      </c>
      <c r="X86" t="e">
        <f t="shared" si="20"/>
        <v>#N/A</v>
      </c>
      <c r="Y86" t="e">
        <f t="shared" si="21"/>
        <v>#N/A</v>
      </c>
      <c r="AC86" t="s">
        <v>92</v>
      </c>
      <c r="AD86">
        <v>5605</v>
      </c>
    </row>
    <row r="87" spans="1:30" x14ac:dyDescent="0.3">
      <c r="A87" s="81" t="s">
        <v>5691</v>
      </c>
      <c r="B87" s="15">
        <f t="shared" si="24"/>
        <v>84</v>
      </c>
      <c r="C87" t="str">
        <f t="shared" si="25"/>
        <v>T-1074</v>
      </c>
      <c r="F87" s="15" t="str">
        <f t="shared" si="22"/>
        <v/>
      </c>
      <c r="G87" t="str">
        <f t="shared" si="23"/>
        <v/>
      </c>
      <c r="M87" s="81" t="s">
        <v>1678</v>
      </c>
      <c r="N87" s="15">
        <f t="shared" si="26"/>
        <v>84</v>
      </c>
      <c r="O87" s="29" t="str">
        <f t="shared" si="27"/>
        <v>M-1074</v>
      </c>
      <c r="U87" t="e">
        <f t="shared" si="19"/>
        <v>#N/A</v>
      </c>
      <c r="X87" t="e">
        <f t="shared" si="20"/>
        <v>#N/A</v>
      </c>
      <c r="Y87" t="e">
        <f t="shared" si="21"/>
        <v>#N/A</v>
      </c>
      <c r="AC87" t="s">
        <v>93</v>
      </c>
      <c r="AD87">
        <v>5606</v>
      </c>
    </row>
    <row r="88" spans="1:30" x14ac:dyDescent="0.3">
      <c r="A88" s="81" t="s">
        <v>5696</v>
      </c>
      <c r="B88" s="15">
        <f t="shared" si="24"/>
        <v>85</v>
      </c>
      <c r="C88" t="str">
        <f t="shared" si="25"/>
        <v>T-1075</v>
      </c>
      <c r="F88" s="15" t="str">
        <f t="shared" si="22"/>
        <v/>
      </c>
      <c r="G88" t="str">
        <f t="shared" si="23"/>
        <v/>
      </c>
      <c r="M88" s="81" t="s">
        <v>1680</v>
      </c>
      <c r="N88" s="15">
        <f t="shared" si="26"/>
        <v>85</v>
      </c>
      <c r="O88" s="29" t="str">
        <f t="shared" si="27"/>
        <v>M-1075</v>
      </c>
      <c r="U88" t="e">
        <f t="shared" si="19"/>
        <v>#N/A</v>
      </c>
      <c r="X88" t="e">
        <f t="shared" si="20"/>
        <v>#N/A</v>
      </c>
      <c r="Y88" t="e">
        <f t="shared" si="21"/>
        <v>#N/A</v>
      </c>
      <c r="AC88" t="s">
        <v>94</v>
      </c>
      <c r="AD88">
        <v>5701</v>
      </c>
    </row>
    <row r="89" spans="1:30" x14ac:dyDescent="0.3">
      <c r="A89" s="81" t="s">
        <v>5747</v>
      </c>
      <c r="B89" s="15">
        <f t="shared" si="24"/>
        <v>86</v>
      </c>
      <c r="C89" t="str">
        <f t="shared" si="25"/>
        <v>T-1076</v>
      </c>
      <c r="F89" s="15" t="str">
        <f t="shared" si="22"/>
        <v/>
      </c>
      <c r="G89" t="str">
        <f t="shared" si="23"/>
        <v/>
      </c>
      <c r="M89" s="81" t="s">
        <v>1682</v>
      </c>
      <c r="N89" s="15">
        <f t="shared" si="26"/>
        <v>86</v>
      </c>
      <c r="O89" s="29" t="str">
        <f t="shared" si="27"/>
        <v>M-1076</v>
      </c>
      <c r="U89" t="e">
        <f t="shared" si="19"/>
        <v>#N/A</v>
      </c>
      <c r="X89" t="e">
        <f t="shared" si="20"/>
        <v>#N/A</v>
      </c>
      <c r="Y89" t="e">
        <f t="shared" si="21"/>
        <v>#N/A</v>
      </c>
      <c r="AC89" t="s">
        <v>95</v>
      </c>
      <c r="AD89">
        <v>5702</v>
      </c>
    </row>
    <row r="90" spans="1:30" x14ac:dyDescent="0.3">
      <c r="A90" s="81" t="s">
        <v>7345</v>
      </c>
      <c r="B90" s="15">
        <f t="shared" si="24"/>
        <v>87</v>
      </c>
      <c r="C90" t="str">
        <f t="shared" si="25"/>
        <v>T-1077</v>
      </c>
      <c r="F90" s="15" t="str">
        <f t="shared" si="22"/>
        <v/>
      </c>
      <c r="G90" t="str">
        <f t="shared" si="23"/>
        <v/>
      </c>
      <c r="M90" s="81" t="s">
        <v>1689</v>
      </c>
      <c r="N90" s="15">
        <f t="shared" si="26"/>
        <v>87</v>
      </c>
      <c r="O90" s="29" t="str">
        <f t="shared" si="27"/>
        <v>M-1077</v>
      </c>
      <c r="U90" t="e">
        <f t="shared" si="19"/>
        <v>#N/A</v>
      </c>
      <c r="X90" t="e">
        <f t="shared" si="20"/>
        <v>#N/A</v>
      </c>
      <c r="Y90" t="e">
        <f t="shared" si="21"/>
        <v>#N/A</v>
      </c>
      <c r="AC90" t="s">
        <v>96</v>
      </c>
      <c r="AD90">
        <v>5703</v>
      </c>
    </row>
    <row r="91" spans="1:30" x14ac:dyDescent="0.3">
      <c r="A91" s="81" t="s">
        <v>6285</v>
      </c>
      <c r="B91" s="15">
        <f t="shared" si="24"/>
        <v>88</v>
      </c>
      <c r="C91" t="str">
        <f t="shared" si="25"/>
        <v>T-1078</v>
      </c>
      <c r="F91" s="15" t="str">
        <f t="shared" si="22"/>
        <v/>
      </c>
      <c r="G91" t="str">
        <f t="shared" si="23"/>
        <v/>
      </c>
      <c r="M91" s="81" t="s">
        <v>1696</v>
      </c>
      <c r="N91" s="15">
        <f t="shared" si="26"/>
        <v>88</v>
      </c>
      <c r="O91" s="29" t="str">
        <f t="shared" si="27"/>
        <v>M-1078</v>
      </c>
      <c r="U91" t="e">
        <f t="shared" si="19"/>
        <v>#N/A</v>
      </c>
      <c r="X91" t="e">
        <f t="shared" si="20"/>
        <v>#N/A</v>
      </c>
      <c r="Y91" t="e">
        <f t="shared" si="21"/>
        <v>#N/A</v>
      </c>
      <c r="AC91" t="s">
        <v>97</v>
      </c>
      <c r="AD91">
        <v>5704</v>
      </c>
    </row>
    <row r="92" spans="1:30" x14ac:dyDescent="0.3">
      <c r="A92" s="81" t="s">
        <v>6400</v>
      </c>
      <c r="B92" s="15">
        <f t="shared" si="24"/>
        <v>89</v>
      </c>
      <c r="C92" t="str">
        <f t="shared" si="25"/>
        <v>T-1079</v>
      </c>
      <c r="F92" s="15" t="str">
        <f t="shared" si="22"/>
        <v/>
      </c>
      <c r="G92" t="str">
        <f t="shared" si="23"/>
        <v/>
      </c>
      <c r="M92" s="81" t="s">
        <v>2010</v>
      </c>
      <c r="N92" s="15">
        <f t="shared" si="26"/>
        <v>89</v>
      </c>
      <c r="O92" s="29" t="str">
        <f t="shared" si="27"/>
        <v>M-1079</v>
      </c>
      <c r="U92" t="e">
        <f t="shared" si="19"/>
        <v>#N/A</v>
      </c>
      <c r="X92" t="e">
        <f t="shared" si="20"/>
        <v>#N/A</v>
      </c>
      <c r="Y92" t="e">
        <f t="shared" si="21"/>
        <v>#N/A</v>
      </c>
      <c r="AC92" t="s">
        <v>98</v>
      </c>
      <c r="AD92">
        <v>5705</v>
      </c>
    </row>
    <row r="93" spans="1:30" x14ac:dyDescent="0.3">
      <c r="A93" s="81" t="s">
        <v>7407</v>
      </c>
      <c r="B93" s="15">
        <f t="shared" si="24"/>
        <v>90</v>
      </c>
      <c r="C93" t="str">
        <f t="shared" si="25"/>
        <v>T-1080</v>
      </c>
      <c r="F93" s="15" t="str">
        <f t="shared" si="22"/>
        <v/>
      </c>
      <c r="G93" t="str">
        <f t="shared" si="23"/>
        <v/>
      </c>
      <c r="M93" s="81" t="s">
        <v>1724</v>
      </c>
      <c r="N93" s="15">
        <f t="shared" si="26"/>
        <v>90</v>
      </c>
      <c r="O93" s="29" t="str">
        <f t="shared" si="27"/>
        <v>M-1080</v>
      </c>
      <c r="U93" t="e">
        <f t="shared" si="19"/>
        <v>#N/A</v>
      </c>
      <c r="X93" t="e">
        <f t="shared" si="20"/>
        <v>#N/A</v>
      </c>
      <c r="Y93" t="e">
        <f t="shared" si="21"/>
        <v>#N/A</v>
      </c>
      <c r="AC93" t="s">
        <v>99</v>
      </c>
      <c r="AD93">
        <v>5706</v>
      </c>
    </row>
    <row r="94" spans="1:30" x14ac:dyDescent="0.3">
      <c r="A94" s="81" t="s">
        <v>6477</v>
      </c>
      <c r="B94" s="15">
        <f t="shared" si="24"/>
        <v>91</v>
      </c>
      <c r="C94" t="str">
        <f t="shared" si="25"/>
        <v>T-1081</v>
      </c>
      <c r="F94" s="15" t="str">
        <f t="shared" si="22"/>
        <v/>
      </c>
      <c r="G94" t="str">
        <f t="shared" si="23"/>
        <v/>
      </c>
      <c r="M94" s="81" t="s">
        <v>2014</v>
      </c>
      <c r="N94" s="15">
        <f t="shared" si="26"/>
        <v>91</v>
      </c>
      <c r="O94" s="29" t="str">
        <f t="shared" si="27"/>
        <v>M-1081</v>
      </c>
      <c r="U94" t="e">
        <f t="shared" si="19"/>
        <v>#N/A</v>
      </c>
      <c r="X94" t="e">
        <f t="shared" si="20"/>
        <v>#N/A</v>
      </c>
      <c r="Y94" t="e">
        <f t="shared" si="21"/>
        <v>#N/A</v>
      </c>
      <c r="AC94" t="s">
        <v>100</v>
      </c>
      <c r="AD94">
        <v>5801</v>
      </c>
    </row>
    <row r="95" spans="1:30" x14ac:dyDescent="0.3">
      <c r="A95" s="81" t="s">
        <v>6493</v>
      </c>
      <c r="B95" s="15">
        <f t="shared" si="24"/>
        <v>92</v>
      </c>
      <c r="C95" t="str">
        <f t="shared" si="25"/>
        <v>T-1082</v>
      </c>
      <c r="F95" s="15" t="str">
        <f t="shared" si="22"/>
        <v/>
      </c>
      <c r="G95" t="str">
        <f t="shared" si="23"/>
        <v/>
      </c>
      <c r="M95" s="81" t="s">
        <v>1577</v>
      </c>
      <c r="N95" s="15">
        <f t="shared" si="26"/>
        <v>92</v>
      </c>
      <c r="O95" s="29" t="str">
        <f t="shared" si="27"/>
        <v>M-1082</v>
      </c>
      <c r="U95" t="e">
        <f t="shared" si="19"/>
        <v>#N/A</v>
      </c>
      <c r="X95" t="e">
        <f t="shared" si="20"/>
        <v>#N/A</v>
      </c>
      <c r="Y95" t="e">
        <f t="shared" si="21"/>
        <v>#N/A</v>
      </c>
      <c r="AC95" t="s">
        <v>101</v>
      </c>
      <c r="AD95">
        <v>5802</v>
      </c>
    </row>
    <row r="96" spans="1:30" x14ac:dyDescent="0.3">
      <c r="A96" s="81" t="s">
        <v>6547</v>
      </c>
      <c r="B96" s="15">
        <f t="shared" si="24"/>
        <v>93</v>
      </c>
      <c r="C96" t="str">
        <f t="shared" si="25"/>
        <v>T-1083</v>
      </c>
      <c r="F96" s="15" t="str">
        <f t="shared" si="22"/>
        <v/>
      </c>
      <c r="G96" t="str">
        <f t="shared" si="23"/>
        <v/>
      </c>
      <c r="M96" s="81" t="s">
        <v>1581</v>
      </c>
      <c r="N96" s="15">
        <f t="shared" si="26"/>
        <v>93</v>
      </c>
      <c r="O96" s="29" t="str">
        <f t="shared" si="27"/>
        <v>M-1083</v>
      </c>
      <c r="U96" t="e">
        <f t="shared" si="19"/>
        <v>#N/A</v>
      </c>
      <c r="X96" t="e">
        <f t="shared" si="20"/>
        <v>#N/A</v>
      </c>
      <c r="Y96" t="e">
        <f t="shared" si="21"/>
        <v>#N/A</v>
      </c>
      <c r="AC96" t="s">
        <v>102</v>
      </c>
      <c r="AD96">
        <v>5803</v>
      </c>
    </row>
    <row r="97" spans="1:30" x14ac:dyDescent="0.3">
      <c r="A97" s="81" t="s">
        <v>6601</v>
      </c>
      <c r="B97" s="15">
        <f t="shared" si="24"/>
        <v>94</v>
      </c>
      <c r="C97" t="str">
        <f t="shared" si="25"/>
        <v>T-1084</v>
      </c>
      <c r="F97" s="15" t="str">
        <f t="shared" si="22"/>
        <v/>
      </c>
      <c r="G97" t="str">
        <f t="shared" si="23"/>
        <v/>
      </c>
      <c r="M97" s="81" t="s">
        <v>1583</v>
      </c>
      <c r="N97" s="15">
        <f t="shared" si="26"/>
        <v>94</v>
      </c>
      <c r="O97" s="29" t="str">
        <f t="shared" si="27"/>
        <v>M-1084</v>
      </c>
      <c r="U97" t="e">
        <f t="shared" si="19"/>
        <v>#N/A</v>
      </c>
      <c r="X97" t="e">
        <f t="shared" si="20"/>
        <v>#N/A</v>
      </c>
      <c r="Y97" t="e">
        <f t="shared" si="21"/>
        <v>#N/A</v>
      </c>
      <c r="AC97" t="s">
        <v>103</v>
      </c>
      <c r="AD97">
        <v>5804</v>
      </c>
    </row>
    <row r="98" spans="1:30" x14ac:dyDescent="0.3">
      <c r="A98" s="81" t="s">
        <v>7404</v>
      </c>
      <c r="B98" s="15">
        <f t="shared" si="24"/>
        <v>95</v>
      </c>
      <c r="C98" t="str">
        <f t="shared" si="25"/>
        <v>T-1085</v>
      </c>
      <c r="F98" s="15" t="str">
        <f t="shared" si="22"/>
        <v/>
      </c>
      <c r="G98" t="str">
        <f t="shared" si="23"/>
        <v/>
      </c>
      <c r="M98" s="81" t="s">
        <v>3782</v>
      </c>
      <c r="N98" s="15">
        <f t="shared" si="26"/>
        <v>95</v>
      </c>
      <c r="O98" s="29" t="str">
        <f t="shared" si="27"/>
        <v>M-1085</v>
      </c>
      <c r="U98" t="e">
        <f t="shared" si="19"/>
        <v>#N/A</v>
      </c>
      <c r="X98" t="e">
        <f t="shared" si="20"/>
        <v>#N/A</v>
      </c>
      <c r="Y98" t="e">
        <f t="shared" si="21"/>
        <v>#N/A</v>
      </c>
      <c r="AC98" t="s">
        <v>104</v>
      </c>
      <c r="AD98">
        <v>6101</v>
      </c>
    </row>
    <row r="99" spans="1:30" x14ac:dyDescent="0.3">
      <c r="A99" s="81" t="s">
        <v>7405</v>
      </c>
      <c r="B99" s="15">
        <f t="shared" si="24"/>
        <v>96</v>
      </c>
      <c r="C99" t="str">
        <f t="shared" si="25"/>
        <v>T-1086</v>
      </c>
      <c r="F99" s="15" t="str">
        <f t="shared" si="22"/>
        <v/>
      </c>
      <c r="G99" t="str">
        <f t="shared" si="23"/>
        <v/>
      </c>
      <c r="M99" s="81" t="s">
        <v>3799</v>
      </c>
      <c r="N99" s="15">
        <f t="shared" si="26"/>
        <v>96</v>
      </c>
      <c r="O99" s="29" t="str">
        <f t="shared" si="27"/>
        <v>M-1086</v>
      </c>
      <c r="U99" t="e">
        <f t="shared" si="19"/>
        <v>#N/A</v>
      </c>
      <c r="X99" t="e">
        <f t="shared" si="20"/>
        <v>#N/A</v>
      </c>
      <c r="Y99" t="e">
        <f t="shared" si="21"/>
        <v>#N/A</v>
      </c>
      <c r="AC99" t="s">
        <v>105</v>
      </c>
      <c r="AD99">
        <v>6102</v>
      </c>
    </row>
    <row r="100" spans="1:30" x14ac:dyDescent="0.3">
      <c r="A100" s="81" t="s">
        <v>7406</v>
      </c>
      <c r="B100" s="15">
        <f t="shared" si="24"/>
        <v>97</v>
      </c>
      <c r="C100" t="str">
        <f t="shared" si="25"/>
        <v>T-1087</v>
      </c>
      <c r="F100" s="15" t="str">
        <f t="shared" si="22"/>
        <v/>
      </c>
      <c r="G100" t="str">
        <f t="shared" si="23"/>
        <v/>
      </c>
      <c r="M100" s="81" t="s">
        <v>3803</v>
      </c>
      <c r="N100" s="15">
        <f t="shared" si="26"/>
        <v>97</v>
      </c>
      <c r="O100" s="29" t="str">
        <f t="shared" si="27"/>
        <v>M-1087</v>
      </c>
      <c r="U100" t="e">
        <f t="shared" si="19"/>
        <v>#N/A</v>
      </c>
      <c r="X100" t="e">
        <f t="shared" si="20"/>
        <v>#N/A</v>
      </c>
      <c r="Y100" t="e">
        <f t="shared" si="21"/>
        <v>#N/A</v>
      </c>
      <c r="AC100" t="s">
        <v>106</v>
      </c>
      <c r="AD100">
        <v>6103</v>
      </c>
    </row>
    <row r="101" spans="1:30" x14ac:dyDescent="0.3">
      <c r="A101" s="81" t="s">
        <v>6789</v>
      </c>
      <c r="B101" s="15">
        <f t="shared" ref="B101:B116" si="28">+IF(A101="","",B100+1)</f>
        <v>98</v>
      </c>
      <c r="C101" s="81" t="str">
        <f t="shared" ref="C101:C116" si="29">+IF(A101="","","T-"&amp;$B$1+B101)</f>
        <v>T-1088</v>
      </c>
      <c r="M101" s="81" t="s">
        <v>3824</v>
      </c>
      <c r="N101" s="15">
        <f t="shared" si="26"/>
        <v>98</v>
      </c>
      <c r="O101" s="29" t="str">
        <f t="shared" si="27"/>
        <v>M-1088</v>
      </c>
      <c r="U101" t="e">
        <f t="shared" si="19"/>
        <v>#N/A</v>
      </c>
      <c r="X101" t="e">
        <f t="shared" si="20"/>
        <v>#N/A</v>
      </c>
      <c r="Y101" t="e">
        <f t="shared" si="21"/>
        <v>#N/A</v>
      </c>
      <c r="AC101" t="s">
        <v>107</v>
      </c>
      <c r="AD101">
        <v>6104</v>
      </c>
    </row>
    <row r="102" spans="1:30" x14ac:dyDescent="0.3">
      <c r="A102" s="81" t="s">
        <v>6898</v>
      </c>
      <c r="B102" s="15">
        <f t="shared" si="28"/>
        <v>99</v>
      </c>
      <c r="C102" s="81" t="str">
        <f t="shared" si="29"/>
        <v>T-1089</v>
      </c>
      <c r="M102" s="81" t="s">
        <v>3865</v>
      </c>
      <c r="N102" s="15">
        <f t="shared" si="26"/>
        <v>99</v>
      </c>
      <c r="O102" s="29" t="str">
        <f t="shared" si="27"/>
        <v>M-1089</v>
      </c>
      <c r="U102" t="e">
        <f t="shared" si="19"/>
        <v>#N/A</v>
      </c>
      <c r="X102" t="e">
        <f t="shared" si="20"/>
        <v>#N/A</v>
      </c>
      <c r="Y102" t="e">
        <f t="shared" si="21"/>
        <v>#N/A</v>
      </c>
      <c r="AC102" t="s">
        <v>108</v>
      </c>
      <c r="AD102">
        <v>6105</v>
      </c>
    </row>
    <row r="103" spans="1:30" x14ac:dyDescent="0.3">
      <c r="A103" s="81" t="s">
        <v>6951</v>
      </c>
      <c r="B103" s="15">
        <f t="shared" si="28"/>
        <v>100</v>
      </c>
      <c r="C103" s="81" t="str">
        <f t="shared" si="29"/>
        <v>T-1090</v>
      </c>
      <c r="M103" s="81" t="s">
        <v>3869</v>
      </c>
      <c r="N103" s="15">
        <f t="shared" si="26"/>
        <v>100</v>
      </c>
      <c r="O103" s="29" t="str">
        <f t="shared" si="27"/>
        <v>M-1090</v>
      </c>
      <c r="U103" t="e">
        <f t="shared" si="19"/>
        <v>#N/A</v>
      </c>
      <c r="X103" t="e">
        <f t="shared" si="20"/>
        <v>#N/A</v>
      </c>
      <c r="Y103" t="e">
        <f t="shared" si="21"/>
        <v>#N/A</v>
      </c>
      <c r="AC103" t="s">
        <v>109</v>
      </c>
      <c r="AD103">
        <v>6106</v>
      </c>
    </row>
    <row r="104" spans="1:30" x14ac:dyDescent="0.3">
      <c r="A104" s="81" t="s">
        <v>6971</v>
      </c>
      <c r="B104" s="15">
        <f t="shared" si="28"/>
        <v>101</v>
      </c>
      <c r="C104" s="81" t="str">
        <f t="shared" si="29"/>
        <v>T-1091</v>
      </c>
      <c r="M104" s="81" t="s">
        <v>3908</v>
      </c>
      <c r="N104" s="15">
        <f t="shared" si="26"/>
        <v>101</v>
      </c>
      <c r="O104" s="29" t="str">
        <f t="shared" si="27"/>
        <v>M-1091</v>
      </c>
      <c r="U104" t="e">
        <f t="shared" si="19"/>
        <v>#N/A</v>
      </c>
      <c r="X104" t="e">
        <f t="shared" si="20"/>
        <v>#N/A</v>
      </c>
      <c r="Y104" t="e">
        <f t="shared" si="21"/>
        <v>#N/A</v>
      </c>
      <c r="AC104" t="s">
        <v>110</v>
      </c>
      <c r="AD104">
        <v>6107</v>
      </c>
    </row>
    <row r="105" spans="1:30" x14ac:dyDescent="0.3">
      <c r="A105" s="81" t="s">
        <v>7026</v>
      </c>
      <c r="B105" s="15">
        <f t="shared" si="28"/>
        <v>102</v>
      </c>
      <c r="C105" s="81" t="str">
        <f t="shared" si="29"/>
        <v>T-1092</v>
      </c>
      <c r="M105" s="81" t="s">
        <v>3930</v>
      </c>
      <c r="N105" s="15">
        <f t="shared" si="26"/>
        <v>102</v>
      </c>
      <c r="O105" s="29" t="str">
        <f t="shared" si="27"/>
        <v>M-1092</v>
      </c>
      <c r="U105" t="e">
        <f t="shared" si="19"/>
        <v>#N/A</v>
      </c>
      <c r="X105" t="e">
        <f t="shared" si="20"/>
        <v>#N/A</v>
      </c>
      <c r="Y105" t="e">
        <f t="shared" si="21"/>
        <v>#N/A</v>
      </c>
      <c r="AC105" t="s">
        <v>111</v>
      </c>
      <c r="AD105">
        <v>6108</v>
      </c>
    </row>
    <row r="106" spans="1:30" x14ac:dyDescent="0.3">
      <c r="B106" s="15" t="str">
        <f t="shared" si="28"/>
        <v/>
      </c>
      <c r="C106" s="81" t="str">
        <f t="shared" si="29"/>
        <v/>
      </c>
      <c r="M106" s="81" t="s">
        <v>3951</v>
      </c>
      <c r="N106" s="15">
        <f t="shared" si="26"/>
        <v>103</v>
      </c>
      <c r="O106" s="29" t="str">
        <f t="shared" si="27"/>
        <v>M-1093</v>
      </c>
      <c r="U106" t="e">
        <f t="shared" si="19"/>
        <v>#N/A</v>
      </c>
      <c r="X106" t="e">
        <f t="shared" si="20"/>
        <v>#N/A</v>
      </c>
      <c r="Y106" t="e">
        <f t="shared" si="21"/>
        <v>#N/A</v>
      </c>
      <c r="AC106" t="s">
        <v>112</v>
      </c>
      <c r="AD106">
        <v>6109</v>
      </c>
    </row>
    <row r="107" spans="1:30" x14ac:dyDescent="0.3">
      <c r="B107" s="15" t="str">
        <f t="shared" si="28"/>
        <v/>
      </c>
      <c r="C107" s="81" t="str">
        <f t="shared" si="29"/>
        <v/>
      </c>
      <c r="M107" s="81" t="s">
        <v>3971</v>
      </c>
      <c r="N107" s="15">
        <f t="shared" si="26"/>
        <v>104</v>
      </c>
      <c r="O107" s="29" t="str">
        <f t="shared" si="27"/>
        <v>M-1094</v>
      </c>
      <c r="U107" t="e">
        <f t="shared" si="19"/>
        <v>#N/A</v>
      </c>
      <c r="X107" t="e">
        <f t="shared" si="20"/>
        <v>#N/A</v>
      </c>
      <c r="Y107" t="e">
        <f t="shared" si="21"/>
        <v>#N/A</v>
      </c>
      <c r="AC107" t="s">
        <v>113</v>
      </c>
      <c r="AD107">
        <v>6110</v>
      </c>
    </row>
    <row r="108" spans="1:30" x14ac:dyDescent="0.3">
      <c r="B108" s="15" t="str">
        <f t="shared" si="28"/>
        <v/>
      </c>
      <c r="C108" s="81" t="str">
        <f t="shared" si="29"/>
        <v/>
      </c>
      <c r="M108" s="81" t="s">
        <v>4011</v>
      </c>
      <c r="N108" s="15">
        <f t="shared" si="26"/>
        <v>105</v>
      </c>
      <c r="O108" s="29" t="str">
        <f t="shared" si="27"/>
        <v>M-1095</v>
      </c>
      <c r="U108" t="e">
        <f t="shared" si="19"/>
        <v>#N/A</v>
      </c>
      <c r="X108" t="e">
        <f t="shared" si="20"/>
        <v>#N/A</v>
      </c>
      <c r="Y108" t="e">
        <f t="shared" si="21"/>
        <v>#N/A</v>
      </c>
      <c r="AC108" t="s">
        <v>114</v>
      </c>
      <c r="AD108">
        <v>6111</v>
      </c>
    </row>
    <row r="109" spans="1:30" x14ac:dyDescent="0.3">
      <c r="B109" s="15" t="str">
        <f t="shared" si="28"/>
        <v/>
      </c>
      <c r="C109" s="81" t="str">
        <f t="shared" si="29"/>
        <v/>
      </c>
      <c r="M109" s="81" t="s">
        <v>4031</v>
      </c>
      <c r="N109" s="15">
        <f t="shared" si="26"/>
        <v>106</v>
      </c>
      <c r="O109" s="29" t="str">
        <f t="shared" si="27"/>
        <v>M-1096</v>
      </c>
      <c r="U109" t="e">
        <f t="shared" si="19"/>
        <v>#N/A</v>
      </c>
      <c r="X109" t="e">
        <f t="shared" si="20"/>
        <v>#N/A</v>
      </c>
      <c r="Y109" t="e">
        <f t="shared" si="21"/>
        <v>#N/A</v>
      </c>
      <c r="AC109" t="s">
        <v>115</v>
      </c>
      <c r="AD109">
        <v>6112</v>
      </c>
    </row>
    <row r="110" spans="1:30" x14ac:dyDescent="0.3">
      <c r="B110" s="15" t="str">
        <f t="shared" si="28"/>
        <v/>
      </c>
      <c r="C110" s="81" t="str">
        <f t="shared" si="29"/>
        <v/>
      </c>
      <c r="M110" s="81" t="s">
        <v>4035</v>
      </c>
      <c r="N110" s="15">
        <f t="shared" si="26"/>
        <v>107</v>
      </c>
      <c r="O110" s="29" t="str">
        <f t="shared" si="27"/>
        <v>M-1097</v>
      </c>
      <c r="U110" t="e">
        <f t="shared" si="19"/>
        <v>#N/A</v>
      </c>
      <c r="X110" t="e">
        <f t="shared" si="20"/>
        <v>#N/A</v>
      </c>
      <c r="Y110" t="e">
        <f t="shared" si="21"/>
        <v>#N/A</v>
      </c>
      <c r="AC110" t="s">
        <v>116</v>
      </c>
      <c r="AD110">
        <v>6113</v>
      </c>
    </row>
    <row r="111" spans="1:30" x14ac:dyDescent="0.3">
      <c r="B111" s="15" t="str">
        <f t="shared" si="28"/>
        <v/>
      </c>
      <c r="C111" s="81" t="str">
        <f t="shared" si="29"/>
        <v/>
      </c>
      <c r="M111" s="81" t="s">
        <v>4065</v>
      </c>
      <c r="N111" s="15">
        <f t="shared" si="26"/>
        <v>108</v>
      </c>
      <c r="O111" s="29" t="str">
        <f t="shared" si="27"/>
        <v>M-1098</v>
      </c>
      <c r="U111" t="e">
        <f t="shared" si="19"/>
        <v>#N/A</v>
      </c>
      <c r="X111" t="e">
        <f t="shared" si="20"/>
        <v>#N/A</v>
      </c>
      <c r="Y111" t="e">
        <f t="shared" si="21"/>
        <v>#N/A</v>
      </c>
      <c r="AC111" t="s">
        <v>117</v>
      </c>
      <c r="AD111">
        <v>6114</v>
      </c>
    </row>
    <row r="112" spans="1:30" x14ac:dyDescent="0.3">
      <c r="B112" s="15" t="str">
        <f t="shared" si="28"/>
        <v/>
      </c>
      <c r="C112" s="81" t="str">
        <f t="shared" si="29"/>
        <v/>
      </c>
      <c r="M112" s="81" t="s">
        <v>4071</v>
      </c>
      <c r="N112" s="15">
        <f t="shared" si="26"/>
        <v>109</v>
      </c>
      <c r="O112" s="29" t="str">
        <f t="shared" si="27"/>
        <v>M-1099</v>
      </c>
      <c r="U112" t="e">
        <f t="shared" si="19"/>
        <v>#N/A</v>
      </c>
      <c r="X112" t="e">
        <f t="shared" si="20"/>
        <v>#N/A</v>
      </c>
      <c r="Y112" t="e">
        <f t="shared" si="21"/>
        <v>#N/A</v>
      </c>
      <c r="AC112" t="s">
        <v>118</v>
      </c>
      <c r="AD112">
        <v>6115</v>
      </c>
    </row>
    <row r="113" spans="2:30" x14ac:dyDescent="0.3">
      <c r="B113" s="15" t="str">
        <f t="shared" si="28"/>
        <v/>
      </c>
      <c r="C113" s="81" t="str">
        <f t="shared" si="29"/>
        <v/>
      </c>
      <c r="M113" s="81" t="s">
        <v>4075</v>
      </c>
      <c r="N113" s="15">
        <f t="shared" si="26"/>
        <v>110</v>
      </c>
      <c r="O113" s="29" t="str">
        <f t="shared" si="27"/>
        <v>M-1100</v>
      </c>
      <c r="U113" t="e">
        <f t="shared" si="19"/>
        <v>#N/A</v>
      </c>
      <c r="X113" t="e">
        <f t="shared" si="20"/>
        <v>#N/A</v>
      </c>
      <c r="Y113" t="e">
        <f t="shared" si="21"/>
        <v>#N/A</v>
      </c>
      <c r="AC113" t="s">
        <v>119</v>
      </c>
      <c r="AD113">
        <v>6116</v>
      </c>
    </row>
    <row r="114" spans="2:30" x14ac:dyDescent="0.3">
      <c r="B114" s="15" t="str">
        <f t="shared" si="28"/>
        <v/>
      </c>
      <c r="C114" s="81" t="str">
        <f t="shared" si="29"/>
        <v/>
      </c>
      <c r="M114" s="81" t="s">
        <v>4095</v>
      </c>
      <c r="N114" s="15">
        <f t="shared" si="26"/>
        <v>111</v>
      </c>
      <c r="O114" s="29" t="str">
        <f t="shared" si="27"/>
        <v>M-1101</v>
      </c>
      <c r="U114" t="e">
        <f t="shared" si="19"/>
        <v>#N/A</v>
      </c>
      <c r="X114" t="e">
        <f t="shared" si="20"/>
        <v>#N/A</v>
      </c>
      <c r="Y114" t="e">
        <f t="shared" si="21"/>
        <v>#N/A</v>
      </c>
      <c r="AC114" t="s">
        <v>120</v>
      </c>
      <c r="AD114">
        <v>6117</v>
      </c>
    </row>
    <row r="115" spans="2:30" x14ac:dyDescent="0.3">
      <c r="B115" s="15" t="str">
        <f t="shared" si="28"/>
        <v/>
      </c>
      <c r="C115" s="81" t="str">
        <f t="shared" si="29"/>
        <v/>
      </c>
      <c r="M115" s="81" t="s">
        <v>4101</v>
      </c>
      <c r="N115" s="15">
        <f t="shared" si="26"/>
        <v>112</v>
      </c>
      <c r="O115" s="29" t="str">
        <f t="shared" si="27"/>
        <v>M-1102</v>
      </c>
      <c r="U115" t="e">
        <f t="shared" si="19"/>
        <v>#N/A</v>
      </c>
      <c r="X115" t="e">
        <f t="shared" si="20"/>
        <v>#N/A</v>
      </c>
      <c r="Y115" t="e">
        <f t="shared" si="21"/>
        <v>#N/A</v>
      </c>
      <c r="AC115" t="s">
        <v>121</v>
      </c>
      <c r="AD115">
        <v>6201</v>
      </c>
    </row>
    <row r="116" spans="2:30" x14ac:dyDescent="0.3">
      <c r="B116" s="15" t="str">
        <f t="shared" si="28"/>
        <v/>
      </c>
      <c r="C116" s="81" t="str">
        <f t="shared" si="29"/>
        <v/>
      </c>
      <c r="M116" s="81" t="s">
        <v>4107</v>
      </c>
      <c r="N116" s="15">
        <f t="shared" si="26"/>
        <v>113</v>
      </c>
      <c r="O116" s="29" t="str">
        <f t="shared" si="27"/>
        <v>M-1103</v>
      </c>
      <c r="U116" t="e">
        <f t="shared" si="19"/>
        <v>#N/A</v>
      </c>
      <c r="X116" t="e">
        <f t="shared" si="20"/>
        <v>#N/A</v>
      </c>
      <c r="Y116" t="e">
        <f t="shared" si="21"/>
        <v>#N/A</v>
      </c>
      <c r="AC116" t="s">
        <v>122</v>
      </c>
      <c r="AD116">
        <v>6202</v>
      </c>
    </row>
    <row r="117" spans="2:30" x14ac:dyDescent="0.3">
      <c r="M117" s="81" t="s">
        <v>4112</v>
      </c>
      <c r="N117" s="15">
        <f t="shared" si="26"/>
        <v>114</v>
      </c>
      <c r="O117" s="29" t="str">
        <f t="shared" si="27"/>
        <v>M-1104</v>
      </c>
      <c r="U117" t="e">
        <f t="shared" si="19"/>
        <v>#N/A</v>
      </c>
      <c r="X117" t="e">
        <f t="shared" si="20"/>
        <v>#N/A</v>
      </c>
      <c r="Y117" t="e">
        <f t="shared" si="21"/>
        <v>#N/A</v>
      </c>
      <c r="AC117" t="s">
        <v>123</v>
      </c>
      <c r="AD117">
        <v>6203</v>
      </c>
    </row>
    <row r="118" spans="2:30" x14ac:dyDescent="0.3">
      <c r="M118" s="81" t="s">
        <v>4116</v>
      </c>
      <c r="N118" s="15">
        <f t="shared" si="26"/>
        <v>115</v>
      </c>
      <c r="O118" s="29" t="str">
        <f t="shared" si="27"/>
        <v>M-1105</v>
      </c>
      <c r="U118" t="e">
        <f t="shared" si="19"/>
        <v>#N/A</v>
      </c>
      <c r="X118" t="e">
        <f t="shared" si="20"/>
        <v>#N/A</v>
      </c>
      <c r="Y118" t="e">
        <f t="shared" si="21"/>
        <v>#N/A</v>
      </c>
      <c r="AC118" t="s">
        <v>124</v>
      </c>
      <c r="AD118">
        <v>6204</v>
      </c>
    </row>
    <row r="119" spans="2:30" x14ac:dyDescent="0.3">
      <c r="M119" s="81" t="s">
        <v>4135</v>
      </c>
      <c r="N119" s="15">
        <f t="shared" si="26"/>
        <v>116</v>
      </c>
      <c r="O119" s="29" t="str">
        <f t="shared" si="27"/>
        <v>M-1106</v>
      </c>
      <c r="U119" t="e">
        <f t="shared" si="19"/>
        <v>#N/A</v>
      </c>
      <c r="X119" t="e">
        <f t="shared" si="20"/>
        <v>#N/A</v>
      </c>
      <c r="Y119" t="e">
        <f t="shared" si="21"/>
        <v>#N/A</v>
      </c>
      <c r="AC119" t="s">
        <v>125</v>
      </c>
      <c r="AD119">
        <v>6205</v>
      </c>
    </row>
    <row r="120" spans="2:30" x14ac:dyDescent="0.3">
      <c r="M120" s="81" t="s">
        <v>4154</v>
      </c>
      <c r="N120" s="15">
        <f t="shared" si="26"/>
        <v>117</v>
      </c>
      <c r="O120" s="29" t="str">
        <f t="shared" si="27"/>
        <v>M-1107</v>
      </c>
      <c r="U120" t="e">
        <f t="shared" si="19"/>
        <v>#N/A</v>
      </c>
      <c r="X120" t="e">
        <f t="shared" si="20"/>
        <v>#N/A</v>
      </c>
      <c r="Y120" t="e">
        <f t="shared" si="21"/>
        <v>#N/A</v>
      </c>
      <c r="AC120" t="s">
        <v>126</v>
      </c>
      <c r="AD120">
        <v>6206</v>
      </c>
    </row>
    <row r="121" spans="2:30" x14ac:dyDescent="0.3">
      <c r="M121" s="81" t="s">
        <v>4159</v>
      </c>
      <c r="N121" s="15">
        <f t="shared" si="26"/>
        <v>118</v>
      </c>
      <c r="O121" s="29" t="str">
        <f t="shared" si="27"/>
        <v>M-1108</v>
      </c>
      <c r="U121" t="e">
        <f t="shared" si="19"/>
        <v>#N/A</v>
      </c>
      <c r="X121" t="e">
        <f t="shared" si="20"/>
        <v>#N/A</v>
      </c>
      <c r="Y121" t="e">
        <f t="shared" si="21"/>
        <v>#N/A</v>
      </c>
      <c r="AC121" t="s">
        <v>127</v>
      </c>
      <c r="AD121">
        <v>6301</v>
      </c>
    </row>
    <row r="122" spans="2:30" x14ac:dyDescent="0.3">
      <c r="M122" s="81" t="s">
        <v>4180</v>
      </c>
      <c r="N122" s="15">
        <f t="shared" si="26"/>
        <v>119</v>
      </c>
      <c r="O122" s="29" t="str">
        <f t="shared" si="27"/>
        <v>M-1109</v>
      </c>
      <c r="U122" t="e">
        <f t="shared" si="19"/>
        <v>#N/A</v>
      </c>
      <c r="X122" t="e">
        <f t="shared" si="20"/>
        <v>#N/A</v>
      </c>
      <c r="Y122" t="e">
        <f t="shared" si="21"/>
        <v>#N/A</v>
      </c>
      <c r="AC122" t="s">
        <v>128</v>
      </c>
      <c r="AD122">
        <v>6302</v>
      </c>
    </row>
    <row r="123" spans="2:30" x14ac:dyDescent="0.3">
      <c r="M123" s="81" t="s">
        <v>4202</v>
      </c>
      <c r="N123" s="15">
        <f t="shared" si="26"/>
        <v>120</v>
      </c>
      <c r="O123" s="29" t="str">
        <f t="shared" si="27"/>
        <v>M-1110</v>
      </c>
      <c r="U123" t="e">
        <f t="shared" si="19"/>
        <v>#N/A</v>
      </c>
      <c r="X123" t="e">
        <f t="shared" si="20"/>
        <v>#N/A</v>
      </c>
      <c r="Y123" t="e">
        <f t="shared" si="21"/>
        <v>#N/A</v>
      </c>
      <c r="AC123" t="s">
        <v>129</v>
      </c>
      <c r="AD123">
        <v>6303</v>
      </c>
    </row>
    <row r="124" spans="2:30" x14ac:dyDescent="0.3">
      <c r="M124" s="81" t="s">
        <v>4223</v>
      </c>
      <c r="N124" s="15">
        <f t="shared" si="26"/>
        <v>121</v>
      </c>
      <c r="O124" s="29" t="str">
        <f t="shared" si="27"/>
        <v>M-1111</v>
      </c>
      <c r="U124" t="e">
        <f t="shared" si="19"/>
        <v>#N/A</v>
      </c>
      <c r="X124" t="e">
        <f t="shared" si="20"/>
        <v>#N/A</v>
      </c>
      <c r="Y124" t="e">
        <f t="shared" si="21"/>
        <v>#N/A</v>
      </c>
      <c r="AC124" t="s">
        <v>130</v>
      </c>
      <c r="AD124">
        <v>6304</v>
      </c>
    </row>
    <row r="125" spans="2:30" x14ac:dyDescent="0.3">
      <c r="M125" s="81" t="s">
        <v>4245</v>
      </c>
      <c r="N125" s="15">
        <f t="shared" si="26"/>
        <v>122</v>
      </c>
      <c r="O125" s="29" t="str">
        <f t="shared" si="27"/>
        <v>M-1112</v>
      </c>
      <c r="U125" t="e">
        <f t="shared" si="19"/>
        <v>#N/A</v>
      </c>
      <c r="X125" t="e">
        <f t="shared" si="20"/>
        <v>#N/A</v>
      </c>
      <c r="Y125" t="e">
        <f t="shared" si="21"/>
        <v>#N/A</v>
      </c>
      <c r="AC125" t="s">
        <v>131</v>
      </c>
      <c r="AD125">
        <v>6305</v>
      </c>
    </row>
    <row r="126" spans="2:30" x14ac:dyDescent="0.3">
      <c r="M126" s="81" t="s">
        <v>5294</v>
      </c>
      <c r="N126" s="15">
        <f t="shared" si="26"/>
        <v>123</v>
      </c>
      <c r="O126" s="29" t="str">
        <f t="shared" si="27"/>
        <v>M-1113</v>
      </c>
      <c r="U126" t="e">
        <f t="shared" si="19"/>
        <v>#N/A</v>
      </c>
      <c r="X126" t="e">
        <f t="shared" si="20"/>
        <v>#N/A</v>
      </c>
      <c r="Y126" t="e">
        <f t="shared" si="21"/>
        <v>#N/A</v>
      </c>
      <c r="AC126" t="s">
        <v>132</v>
      </c>
      <c r="AD126">
        <v>6306</v>
      </c>
    </row>
    <row r="127" spans="2:30" x14ac:dyDescent="0.3">
      <c r="M127" s="81" t="s">
        <v>4252</v>
      </c>
      <c r="N127" s="15">
        <f t="shared" si="26"/>
        <v>124</v>
      </c>
      <c r="O127" s="29" t="str">
        <f t="shared" si="27"/>
        <v>M-1114</v>
      </c>
      <c r="U127" t="e">
        <f t="shared" si="19"/>
        <v>#N/A</v>
      </c>
      <c r="X127" t="e">
        <f t="shared" si="20"/>
        <v>#N/A</v>
      </c>
      <c r="Y127" t="e">
        <f t="shared" si="21"/>
        <v>#N/A</v>
      </c>
      <c r="AC127" t="s">
        <v>133</v>
      </c>
      <c r="AD127">
        <v>6307</v>
      </c>
    </row>
    <row r="128" spans="2:30" x14ac:dyDescent="0.3">
      <c r="M128" s="81" t="s">
        <v>5305</v>
      </c>
      <c r="N128" s="15">
        <f t="shared" si="26"/>
        <v>125</v>
      </c>
      <c r="O128" s="29" t="str">
        <f t="shared" si="27"/>
        <v>M-1115</v>
      </c>
      <c r="U128" t="e">
        <f t="shared" si="19"/>
        <v>#N/A</v>
      </c>
      <c r="X128" t="e">
        <f t="shared" si="20"/>
        <v>#N/A</v>
      </c>
      <c r="Y128" t="e">
        <f t="shared" si="21"/>
        <v>#N/A</v>
      </c>
      <c r="AC128" t="s">
        <v>134</v>
      </c>
      <c r="AD128">
        <v>6308</v>
      </c>
    </row>
    <row r="129" spans="13:30" x14ac:dyDescent="0.3">
      <c r="M129" s="81" t="s">
        <v>5332</v>
      </c>
      <c r="N129" s="15">
        <f t="shared" si="26"/>
        <v>126</v>
      </c>
      <c r="O129" s="29" t="str">
        <f t="shared" si="27"/>
        <v>M-1116</v>
      </c>
      <c r="U129" t="e">
        <f t="shared" si="19"/>
        <v>#N/A</v>
      </c>
      <c r="X129" t="e">
        <f t="shared" si="20"/>
        <v>#N/A</v>
      </c>
      <c r="Y129" t="e">
        <f t="shared" si="21"/>
        <v>#N/A</v>
      </c>
      <c r="AC129" t="s">
        <v>135</v>
      </c>
      <c r="AD129">
        <v>6309</v>
      </c>
    </row>
    <row r="130" spans="13:30" x14ac:dyDescent="0.3">
      <c r="M130" s="81" t="s">
        <v>5335</v>
      </c>
      <c r="N130" s="15">
        <f t="shared" si="26"/>
        <v>127</v>
      </c>
      <c r="O130" s="29" t="str">
        <f t="shared" si="27"/>
        <v>M-1117</v>
      </c>
      <c r="U130" t="e">
        <f t="shared" si="19"/>
        <v>#N/A</v>
      </c>
      <c r="X130" t="e">
        <f t="shared" si="20"/>
        <v>#N/A</v>
      </c>
      <c r="Y130" t="e">
        <f t="shared" si="21"/>
        <v>#N/A</v>
      </c>
      <c r="AC130" t="s">
        <v>136</v>
      </c>
      <c r="AD130">
        <v>6310</v>
      </c>
    </row>
    <row r="131" spans="13:30" x14ac:dyDescent="0.3">
      <c r="M131" s="81" t="s">
        <v>5422</v>
      </c>
      <c r="N131" s="15">
        <f t="shared" si="26"/>
        <v>128</v>
      </c>
      <c r="O131" s="29" t="str">
        <f t="shared" si="27"/>
        <v>M-1118</v>
      </c>
      <c r="U131" t="e">
        <f t="shared" si="19"/>
        <v>#N/A</v>
      </c>
      <c r="X131" t="e">
        <f t="shared" si="20"/>
        <v>#N/A</v>
      </c>
      <c r="Y131" t="e">
        <f t="shared" si="21"/>
        <v>#N/A</v>
      </c>
      <c r="AC131" t="s">
        <v>137</v>
      </c>
      <c r="AD131">
        <v>7101</v>
      </c>
    </row>
    <row r="132" spans="13:30" x14ac:dyDescent="0.3">
      <c r="M132" s="81" t="s">
        <v>5427</v>
      </c>
      <c r="N132" s="15">
        <f t="shared" si="26"/>
        <v>129</v>
      </c>
      <c r="O132" s="29" t="str">
        <f t="shared" si="27"/>
        <v>M-1119</v>
      </c>
      <c r="U132" t="e">
        <f t="shared" si="19"/>
        <v>#N/A</v>
      </c>
      <c r="X132" t="e">
        <f t="shared" si="20"/>
        <v>#N/A</v>
      </c>
      <c r="Y132" t="e">
        <f t="shared" si="21"/>
        <v>#N/A</v>
      </c>
      <c r="AC132" t="s">
        <v>138</v>
      </c>
      <c r="AD132">
        <v>7102</v>
      </c>
    </row>
    <row r="133" spans="13:30" x14ac:dyDescent="0.3">
      <c r="M133" s="81" t="s">
        <v>5476</v>
      </c>
      <c r="N133" s="15">
        <f t="shared" si="26"/>
        <v>130</v>
      </c>
      <c r="O133" s="29" t="str">
        <f t="shared" si="27"/>
        <v>M-1120</v>
      </c>
      <c r="U133" t="e">
        <f t="shared" ref="U133:U196" si="30">+VLOOKUP(W133,$R$4:$S$6,2,0)*100000+X133</f>
        <v>#N/A</v>
      </c>
      <c r="X133" t="e">
        <f t="shared" ref="X133:X196" si="31">+VLOOKUP(V133,$AC$3:$AD$364,2,0)</f>
        <v>#N/A</v>
      </c>
      <c r="Y133" t="e">
        <f t="shared" ref="Y133:Y196" si="32">+U133</f>
        <v>#N/A</v>
      </c>
      <c r="AC133" t="s">
        <v>139</v>
      </c>
      <c r="AD133">
        <v>7103</v>
      </c>
    </row>
    <row r="134" spans="13:30" x14ac:dyDescent="0.3">
      <c r="M134" s="81" t="s">
        <v>5480</v>
      </c>
      <c r="N134" s="15">
        <f t="shared" si="26"/>
        <v>131</v>
      </c>
      <c r="O134" s="29" t="str">
        <f t="shared" si="27"/>
        <v>M-1121</v>
      </c>
      <c r="U134" t="e">
        <f t="shared" si="30"/>
        <v>#N/A</v>
      </c>
      <c r="X134" t="e">
        <f t="shared" si="31"/>
        <v>#N/A</v>
      </c>
      <c r="Y134" t="e">
        <f t="shared" si="32"/>
        <v>#N/A</v>
      </c>
      <c r="AC134" t="s">
        <v>140</v>
      </c>
      <c r="AD134">
        <v>7104</v>
      </c>
    </row>
    <row r="135" spans="13:30" x14ac:dyDescent="0.3">
      <c r="M135" s="81" t="s">
        <v>5514</v>
      </c>
      <c r="N135" s="15">
        <f t="shared" si="26"/>
        <v>132</v>
      </c>
      <c r="O135" s="29" t="str">
        <f t="shared" si="27"/>
        <v>M-1122</v>
      </c>
      <c r="U135" t="e">
        <f t="shared" si="30"/>
        <v>#N/A</v>
      </c>
      <c r="X135" t="e">
        <f t="shared" si="31"/>
        <v>#N/A</v>
      </c>
      <c r="Y135" t="e">
        <f t="shared" si="32"/>
        <v>#N/A</v>
      </c>
      <c r="AC135" t="s">
        <v>28</v>
      </c>
      <c r="AD135">
        <v>7105</v>
      </c>
    </row>
    <row r="136" spans="13:30" x14ac:dyDescent="0.3">
      <c r="M136" s="81" t="s">
        <v>5517</v>
      </c>
      <c r="N136" s="15">
        <f t="shared" si="26"/>
        <v>133</v>
      </c>
      <c r="O136" s="29" t="str">
        <f t="shared" si="27"/>
        <v>M-1123</v>
      </c>
      <c r="U136" t="e">
        <f t="shared" si="30"/>
        <v>#N/A</v>
      </c>
      <c r="X136" t="e">
        <f t="shared" si="31"/>
        <v>#N/A</v>
      </c>
      <c r="Y136" t="e">
        <f t="shared" si="32"/>
        <v>#N/A</v>
      </c>
      <c r="AC136" t="s">
        <v>141</v>
      </c>
      <c r="AD136">
        <v>7106</v>
      </c>
    </row>
    <row r="137" spans="13:30" x14ac:dyDescent="0.3">
      <c r="M137" s="81" t="s">
        <v>5569</v>
      </c>
      <c r="N137" s="15">
        <f t="shared" si="26"/>
        <v>134</v>
      </c>
      <c r="O137" s="29" t="str">
        <f t="shared" si="27"/>
        <v>M-1124</v>
      </c>
      <c r="U137" t="e">
        <f t="shared" si="30"/>
        <v>#N/A</v>
      </c>
      <c r="X137" t="e">
        <f t="shared" si="31"/>
        <v>#N/A</v>
      </c>
      <c r="Y137" t="e">
        <f t="shared" si="32"/>
        <v>#N/A</v>
      </c>
      <c r="AC137" t="s">
        <v>142</v>
      </c>
      <c r="AD137">
        <v>7107</v>
      </c>
    </row>
    <row r="138" spans="13:30" x14ac:dyDescent="0.3">
      <c r="M138" s="81" t="s">
        <v>5591</v>
      </c>
      <c r="N138" s="15">
        <f t="shared" si="26"/>
        <v>135</v>
      </c>
      <c r="O138" s="29" t="str">
        <f t="shared" si="27"/>
        <v>M-1125</v>
      </c>
      <c r="U138" t="e">
        <f t="shared" si="30"/>
        <v>#N/A</v>
      </c>
      <c r="X138" t="e">
        <f t="shared" si="31"/>
        <v>#N/A</v>
      </c>
      <c r="Y138" t="e">
        <f t="shared" si="32"/>
        <v>#N/A</v>
      </c>
      <c r="AC138" t="s">
        <v>143</v>
      </c>
      <c r="AD138">
        <v>7108</v>
      </c>
    </row>
    <row r="139" spans="13:30" x14ac:dyDescent="0.3">
      <c r="M139" s="81" t="s">
        <v>6249</v>
      </c>
      <c r="N139" s="15">
        <f t="shared" si="26"/>
        <v>136</v>
      </c>
      <c r="O139" s="29" t="str">
        <f t="shared" si="27"/>
        <v>M-1126</v>
      </c>
      <c r="U139" t="e">
        <f t="shared" si="30"/>
        <v>#N/A</v>
      </c>
      <c r="X139" t="e">
        <f t="shared" si="31"/>
        <v>#N/A</v>
      </c>
      <c r="Y139" t="e">
        <f t="shared" si="32"/>
        <v>#N/A</v>
      </c>
      <c r="AC139" t="s">
        <v>144</v>
      </c>
      <c r="AD139">
        <v>7109</v>
      </c>
    </row>
    <row r="140" spans="13:30" x14ac:dyDescent="0.3">
      <c r="M140" s="81" t="s">
        <v>5604</v>
      </c>
      <c r="N140" s="15">
        <f t="shared" si="26"/>
        <v>137</v>
      </c>
      <c r="O140" s="29" t="str">
        <f t="shared" si="27"/>
        <v>M-1127</v>
      </c>
      <c r="U140" t="e">
        <f t="shared" si="30"/>
        <v>#N/A</v>
      </c>
      <c r="X140" t="e">
        <f t="shared" si="31"/>
        <v>#N/A</v>
      </c>
      <c r="Y140" t="e">
        <f t="shared" si="32"/>
        <v>#N/A</v>
      </c>
      <c r="AC140" t="s">
        <v>145</v>
      </c>
      <c r="AD140">
        <v>7110</v>
      </c>
    </row>
    <row r="141" spans="13:30" x14ac:dyDescent="0.3">
      <c r="M141" s="81" t="s">
        <v>5611</v>
      </c>
      <c r="N141" s="15">
        <f t="shared" si="26"/>
        <v>138</v>
      </c>
      <c r="O141" s="29" t="str">
        <f t="shared" si="27"/>
        <v>M-1128</v>
      </c>
      <c r="U141" t="e">
        <f t="shared" si="30"/>
        <v>#N/A</v>
      </c>
      <c r="X141" t="e">
        <f t="shared" si="31"/>
        <v>#N/A</v>
      </c>
      <c r="Y141" t="e">
        <f t="shared" si="32"/>
        <v>#N/A</v>
      </c>
      <c r="AC141" t="s">
        <v>146</v>
      </c>
      <c r="AD141">
        <v>7201</v>
      </c>
    </row>
    <row r="142" spans="13:30" x14ac:dyDescent="0.3">
      <c r="M142" s="81" t="s">
        <v>5620</v>
      </c>
      <c r="N142" s="15">
        <f t="shared" si="26"/>
        <v>139</v>
      </c>
      <c r="O142" s="29" t="str">
        <f t="shared" si="27"/>
        <v>M-1129</v>
      </c>
      <c r="U142" t="e">
        <f t="shared" si="30"/>
        <v>#N/A</v>
      </c>
      <c r="X142" t="e">
        <f t="shared" si="31"/>
        <v>#N/A</v>
      </c>
      <c r="Y142" t="e">
        <f t="shared" si="32"/>
        <v>#N/A</v>
      </c>
      <c r="AC142" t="s">
        <v>147</v>
      </c>
      <c r="AD142">
        <v>7202</v>
      </c>
    </row>
    <row r="143" spans="13:30" x14ac:dyDescent="0.3">
      <c r="M143" s="81" t="s">
        <v>5633</v>
      </c>
      <c r="N143" s="15">
        <f t="shared" si="26"/>
        <v>140</v>
      </c>
      <c r="O143" s="29" t="str">
        <f t="shared" si="27"/>
        <v>M-1130</v>
      </c>
      <c r="U143" t="e">
        <f t="shared" si="30"/>
        <v>#N/A</v>
      </c>
      <c r="X143" t="e">
        <f t="shared" si="31"/>
        <v>#N/A</v>
      </c>
      <c r="Y143" t="e">
        <f t="shared" si="32"/>
        <v>#N/A</v>
      </c>
      <c r="AC143" t="s">
        <v>148</v>
      </c>
      <c r="AD143">
        <v>7203</v>
      </c>
    </row>
    <row r="144" spans="13:30" x14ac:dyDescent="0.3">
      <c r="M144" s="81" t="s">
        <v>5637</v>
      </c>
      <c r="N144" s="15">
        <f t="shared" si="26"/>
        <v>141</v>
      </c>
      <c r="O144" s="29" t="str">
        <f t="shared" si="27"/>
        <v>M-1131</v>
      </c>
      <c r="U144" t="e">
        <f t="shared" si="30"/>
        <v>#N/A</v>
      </c>
      <c r="X144" t="e">
        <f t="shared" si="31"/>
        <v>#N/A</v>
      </c>
      <c r="Y144" t="e">
        <f t="shared" si="32"/>
        <v>#N/A</v>
      </c>
      <c r="AC144" t="s">
        <v>149</v>
      </c>
      <c r="AD144">
        <v>7301</v>
      </c>
    </row>
    <row r="145" spans="13:30" x14ac:dyDescent="0.3">
      <c r="M145" s="81" t="s">
        <v>5643</v>
      </c>
      <c r="N145" s="15">
        <f t="shared" si="26"/>
        <v>142</v>
      </c>
      <c r="O145" s="29" t="str">
        <f t="shared" si="27"/>
        <v>M-1132</v>
      </c>
      <c r="U145" t="e">
        <f t="shared" si="30"/>
        <v>#N/A</v>
      </c>
      <c r="X145" t="e">
        <f t="shared" si="31"/>
        <v>#N/A</v>
      </c>
      <c r="Y145" t="e">
        <f t="shared" si="32"/>
        <v>#N/A</v>
      </c>
      <c r="AC145" t="s">
        <v>150</v>
      </c>
      <c r="AD145">
        <v>7302</v>
      </c>
    </row>
    <row r="146" spans="13:30" x14ac:dyDescent="0.3">
      <c r="M146" s="81" t="s">
        <v>5665</v>
      </c>
      <c r="N146" s="15">
        <f t="shared" si="26"/>
        <v>143</v>
      </c>
      <c r="O146" s="29" t="str">
        <f t="shared" si="27"/>
        <v>M-1133</v>
      </c>
      <c r="U146" t="e">
        <f t="shared" si="30"/>
        <v>#N/A</v>
      </c>
      <c r="X146" t="e">
        <f t="shared" si="31"/>
        <v>#N/A</v>
      </c>
      <c r="Y146" t="e">
        <f t="shared" si="32"/>
        <v>#N/A</v>
      </c>
      <c r="AC146" t="s">
        <v>151</v>
      </c>
      <c r="AD146">
        <v>7303</v>
      </c>
    </row>
    <row r="147" spans="13:30" x14ac:dyDescent="0.3">
      <c r="M147" s="81" t="s">
        <v>5687</v>
      </c>
      <c r="N147" s="15">
        <f t="shared" si="26"/>
        <v>144</v>
      </c>
      <c r="O147" s="29" t="str">
        <f t="shared" si="27"/>
        <v>M-1134</v>
      </c>
      <c r="U147" t="e">
        <f t="shared" si="30"/>
        <v>#N/A</v>
      </c>
      <c r="X147" t="e">
        <f t="shared" si="31"/>
        <v>#N/A</v>
      </c>
      <c r="Y147" t="e">
        <f t="shared" si="32"/>
        <v>#N/A</v>
      </c>
      <c r="AC147" t="s">
        <v>152</v>
      </c>
      <c r="AD147">
        <v>7304</v>
      </c>
    </row>
    <row r="148" spans="13:30" x14ac:dyDescent="0.3">
      <c r="M148" s="81" t="s">
        <v>5692</v>
      </c>
      <c r="N148" s="15">
        <f t="shared" ref="N148:N211" si="33">+IF(M148="","",N147+1)</f>
        <v>145</v>
      </c>
      <c r="O148" s="29" t="str">
        <f t="shared" ref="O148:O211" si="34">+IF(M148="","","M-"&amp;$B$1+N148)</f>
        <v>M-1135</v>
      </c>
      <c r="U148" t="e">
        <f t="shared" si="30"/>
        <v>#N/A</v>
      </c>
      <c r="X148" t="e">
        <f t="shared" si="31"/>
        <v>#N/A</v>
      </c>
      <c r="Y148" t="e">
        <f t="shared" si="32"/>
        <v>#N/A</v>
      </c>
      <c r="AC148" t="s">
        <v>153</v>
      </c>
      <c r="AD148">
        <v>7305</v>
      </c>
    </row>
    <row r="149" spans="13:30" x14ac:dyDescent="0.3">
      <c r="M149" s="81" t="s">
        <v>5697</v>
      </c>
      <c r="N149" s="15">
        <f t="shared" si="33"/>
        <v>146</v>
      </c>
      <c r="O149" s="29" t="str">
        <f t="shared" si="34"/>
        <v>M-1136</v>
      </c>
      <c r="U149" t="e">
        <f t="shared" si="30"/>
        <v>#N/A</v>
      </c>
      <c r="X149" t="e">
        <f t="shared" si="31"/>
        <v>#N/A</v>
      </c>
      <c r="Y149" t="e">
        <f t="shared" si="32"/>
        <v>#N/A</v>
      </c>
      <c r="AC149" t="s">
        <v>154</v>
      </c>
      <c r="AD149">
        <v>7306</v>
      </c>
    </row>
    <row r="150" spans="13:30" x14ac:dyDescent="0.3">
      <c r="M150" s="81" t="s">
        <v>5702</v>
      </c>
      <c r="N150" s="15">
        <f t="shared" si="33"/>
        <v>147</v>
      </c>
      <c r="O150" s="29" t="str">
        <f t="shared" si="34"/>
        <v>M-1137</v>
      </c>
      <c r="U150" t="e">
        <f t="shared" si="30"/>
        <v>#N/A</v>
      </c>
      <c r="X150" t="e">
        <f t="shared" si="31"/>
        <v>#N/A</v>
      </c>
      <c r="Y150" t="e">
        <f t="shared" si="32"/>
        <v>#N/A</v>
      </c>
      <c r="AC150" t="s">
        <v>155</v>
      </c>
      <c r="AD150">
        <v>7307</v>
      </c>
    </row>
    <row r="151" spans="13:30" x14ac:dyDescent="0.3">
      <c r="M151" s="81" t="s">
        <v>5723</v>
      </c>
      <c r="N151" s="15">
        <f t="shared" si="33"/>
        <v>148</v>
      </c>
      <c r="O151" s="29" t="str">
        <f t="shared" si="34"/>
        <v>M-1138</v>
      </c>
      <c r="U151" t="e">
        <f t="shared" si="30"/>
        <v>#N/A</v>
      </c>
      <c r="X151" t="e">
        <f t="shared" si="31"/>
        <v>#N/A</v>
      </c>
      <c r="Y151" t="e">
        <f t="shared" si="32"/>
        <v>#N/A</v>
      </c>
      <c r="AC151" t="s">
        <v>156</v>
      </c>
      <c r="AD151">
        <v>7308</v>
      </c>
    </row>
    <row r="152" spans="13:30" x14ac:dyDescent="0.3">
      <c r="M152" s="81" t="s">
        <v>5743</v>
      </c>
      <c r="N152" s="15">
        <f t="shared" si="33"/>
        <v>149</v>
      </c>
      <c r="O152" s="29" t="str">
        <f t="shared" si="34"/>
        <v>M-1139</v>
      </c>
      <c r="U152" t="e">
        <f t="shared" si="30"/>
        <v>#N/A</v>
      </c>
      <c r="X152" t="e">
        <f t="shared" si="31"/>
        <v>#N/A</v>
      </c>
      <c r="Y152" t="e">
        <f t="shared" si="32"/>
        <v>#N/A</v>
      </c>
      <c r="AC152" t="s">
        <v>157</v>
      </c>
      <c r="AD152">
        <v>7309</v>
      </c>
    </row>
    <row r="153" spans="13:30" x14ac:dyDescent="0.3">
      <c r="M153" s="81" t="s">
        <v>5748</v>
      </c>
      <c r="N153" s="15">
        <f t="shared" si="33"/>
        <v>150</v>
      </c>
      <c r="O153" s="29" t="str">
        <f t="shared" si="34"/>
        <v>M-1140</v>
      </c>
      <c r="U153" t="e">
        <f t="shared" si="30"/>
        <v>#N/A</v>
      </c>
      <c r="X153" t="e">
        <f t="shared" si="31"/>
        <v>#N/A</v>
      </c>
      <c r="Y153" t="e">
        <f t="shared" si="32"/>
        <v>#N/A</v>
      </c>
      <c r="AC153" t="s">
        <v>158</v>
      </c>
      <c r="AD153">
        <v>7401</v>
      </c>
    </row>
    <row r="154" spans="13:30" x14ac:dyDescent="0.3">
      <c r="M154" s="81" t="s">
        <v>5752</v>
      </c>
      <c r="N154" s="15">
        <f t="shared" si="33"/>
        <v>151</v>
      </c>
      <c r="O154" s="29" t="str">
        <f t="shared" si="34"/>
        <v>M-1141</v>
      </c>
      <c r="U154" t="e">
        <f t="shared" si="30"/>
        <v>#N/A</v>
      </c>
      <c r="X154" t="e">
        <f t="shared" si="31"/>
        <v>#N/A</v>
      </c>
      <c r="Y154" t="e">
        <f t="shared" si="32"/>
        <v>#N/A</v>
      </c>
      <c r="AC154" t="s">
        <v>159</v>
      </c>
      <c r="AD154">
        <v>7402</v>
      </c>
    </row>
    <row r="155" spans="13:30" x14ac:dyDescent="0.3">
      <c r="M155" s="81" t="s">
        <v>5757</v>
      </c>
      <c r="N155" s="15">
        <f t="shared" si="33"/>
        <v>152</v>
      </c>
      <c r="O155" s="29" t="str">
        <f t="shared" si="34"/>
        <v>M-1142</v>
      </c>
      <c r="U155" t="e">
        <f t="shared" si="30"/>
        <v>#N/A</v>
      </c>
      <c r="X155" t="e">
        <f t="shared" si="31"/>
        <v>#N/A</v>
      </c>
      <c r="Y155" t="e">
        <f t="shared" si="32"/>
        <v>#N/A</v>
      </c>
      <c r="AC155" t="s">
        <v>160</v>
      </c>
      <c r="AD155">
        <v>7403</v>
      </c>
    </row>
    <row r="156" spans="13:30" x14ac:dyDescent="0.3">
      <c r="M156" s="81" t="s">
        <v>5761</v>
      </c>
      <c r="N156" s="15">
        <f t="shared" si="33"/>
        <v>153</v>
      </c>
      <c r="O156" s="29" t="str">
        <f t="shared" si="34"/>
        <v>M-1143</v>
      </c>
      <c r="U156" t="e">
        <f t="shared" si="30"/>
        <v>#N/A</v>
      </c>
      <c r="X156" t="e">
        <f t="shared" si="31"/>
        <v>#N/A</v>
      </c>
      <c r="Y156" t="e">
        <f t="shared" si="32"/>
        <v>#N/A</v>
      </c>
      <c r="AC156" t="s">
        <v>161</v>
      </c>
      <c r="AD156">
        <v>7404</v>
      </c>
    </row>
    <row r="157" spans="13:30" x14ac:dyDescent="0.3">
      <c r="M157" s="81" t="s">
        <v>6258</v>
      </c>
      <c r="N157" s="15">
        <f t="shared" si="33"/>
        <v>154</v>
      </c>
      <c r="O157" s="29" t="str">
        <f t="shared" si="34"/>
        <v>M-1144</v>
      </c>
      <c r="U157" t="e">
        <f t="shared" si="30"/>
        <v>#N/A</v>
      </c>
      <c r="X157" t="e">
        <f t="shared" si="31"/>
        <v>#N/A</v>
      </c>
      <c r="Y157" t="e">
        <f t="shared" si="32"/>
        <v>#N/A</v>
      </c>
      <c r="AC157" t="s">
        <v>162</v>
      </c>
      <c r="AD157">
        <v>7405</v>
      </c>
    </row>
    <row r="158" spans="13:30" x14ac:dyDescent="0.3">
      <c r="M158" s="81" t="s">
        <v>6287</v>
      </c>
      <c r="N158" s="15">
        <f t="shared" si="33"/>
        <v>155</v>
      </c>
      <c r="O158" s="29" t="str">
        <f t="shared" si="34"/>
        <v>M-1145</v>
      </c>
      <c r="U158" t="e">
        <f t="shared" si="30"/>
        <v>#N/A</v>
      </c>
      <c r="X158" t="e">
        <f t="shared" si="31"/>
        <v>#N/A</v>
      </c>
      <c r="Y158" t="e">
        <f t="shared" si="32"/>
        <v>#N/A</v>
      </c>
      <c r="AC158" t="s">
        <v>163</v>
      </c>
      <c r="AD158">
        <v>7406</v>
      </c>
    </row>
    <row r="159" spans="13:30" x14ac:dyDescent="0.3">
      <c r="M159" s="81" t="s">
        <v>6357</v>
      </c>
      <c r="N159" s="15">
        <f t="shared" si="33"/>
        <v>156</v>
      </c>
      <c r="O159" s="29" t="str">
        <f t="shared" si="34"/>
        <v>M-1146</v>
      </c>
      <c r="U159" t="e">
        <f t="shared" si="30"/>
        <v>#N/A</v>
      </c>
      <c r="X159" t="e">
        <f t="shared" si="31"/>
        <v>#N/A</v>
      </c>
      <c r="Y159" t="e">
        <f t="shared" si="32"/>
        <v>#N/A</v>
      </c>
      <c r="AC159" t="s">
        <v>164</v>
      </c>
      <c r="AD159">
        <v>7407</v>
      </c>
    </row>
    <row r="160" spans="13:30" x14ac:dyDescent="0.3">
      <c r="M160" s="81" t="s">
        <v>6378</v>
      </c>
      <c r="N160" s="15">
        <f t="shared" si="33"/>
        <v>157</v>
      </c>
      <c r="O160" s="29" t="str">
        <f t="shared" si="34"/>
        <v>M-1147</v>
      </c>
      <c r="U160" t="e">
        <f t="shared" si="30"/>
        <v>#N/A</v>
      </c>
      <c r="X160" t="e">
        <f t="shared" si="31"/>
        <v>#N/A</v>
      </c>
      <c r="Y160" t="e">
        <f t="shared" si="32"/>
        <v>#N/A</v>
      </c>
      <c r="AC160" t="s">
        <v>165</v>
      </c>
      <c r="AD160">
        <v>7408</v>
      </c>
    </row>
    <row r="161" spans="13:30" x14ac:dyDescent="0.3">
      <c r="M161" s="81" t="s">
        <v>6383</v>
      </c>
      <c r="N161" s="15">
        <f t="shared" si="33"/>
        <v>158</v>
      </c>
      <c r="O161" s="29" t="str">
        <f t="shared" si="34"/>
        <v>M-1148</v>
      </c>
      <c r="U161" t="e">
        <f t="shared" si="30"/>
        <v>#N/A</v>
      </c>
      <c r="X161" t="e">
        <f t="shared" si="31"/>
        <v>#N/A</v>
      </c>
      <c r="Y161" t="e">
        <f t="shared" si="32"/>
        <v>#N/A</v>
      </c>
      <c r="AC161" t="s">
        <v>166</v>
      </c>
      <c r="AD161">
        <v>8101</v>
      </c>
    </row>
    <row r="162" spans="13:30" x14ac:dyDescent="0.3">
      <c r="M162" s="81" t="s">
        <v>6402</v>
      </c>
      <c r="N162" s="15">
        <f t="shared" si="33"/>
        <v>159</v>
      </c>
      <c r="O162" s="29" t="str">
        <f t="shared" si="34"/>
        <v>M-1149</v>
      </c>
      <c r="U162" t="e">
        <f t="shared" si="30"/>
        <v>#N/A</v>
      </c>
      <c r="X162" t="e">
        <f t="shared" si="31"/>
        <v>#N/A</v>
      </c>
      <c r="Y162" t="e">
        <f t="shared" si="32"/>
        <v>#N/A</v>
      </c>
      <c r="AC162" t="s">
        <v>167</v>
      </c>
      <c r="AD162">
        <v>8102</v>
      </c>
    </row>
    <row r="163" spans="13:30" x14ac:dyDescent="0.3">
      <c r="M163" s="81" t="s">
        <v>6424</v>
      </c>
      <c r="N163" s="15">
        <f t="shared" si="33"/>
        <v>160</v>
      </c>
      <c r="O163" s="29" t="str">
        <f t="shared" si="34"/>
        <v>M-1150</v>
      </c>
      <c r="U163" t="e">
        <f t="shared" si="30"/>
        <v>#N/A</v>
      </c>
      <c r="X163" t="e">
        <f t="shared" si="31"/>
        <v>#N/A</v>
      </c>
      <c r="Y163" t="e">
        <f t="shared" si="32"/>
        <v>#N/A</v>
      </c>
      <c r="AC163" t="s">
        <v>168</v>
      </c>
      <c r="AD163">
        <v>8103</v>
      </c>
    </row>
    <row r="164" spans="13:30" x14ac:dyDescent="0.3">
      <c r="M164" s="81" t="s">
        <v>6479</v>
      </c>
      <c r="N164" s="15">
        <f t="shared" si="33"/>
        <v>161</v>
      </c>
      <c r="O164" s="29" t="str">
        <f t="shared" si="34"/>
        <v>M-1151</v>
      </c>
      <c r="U164" t="e">
        <f t="shared" si="30"/>
        <v>#N/A</v>
      </c>
      <c r="X164" t="e">
        <f t="shared" si="31"/>
        <v>#N/A</v>
      </c>
      <c r="Y164" t="e">
        <f t="shared" si="32"/>
        <v>#N/A</v>
      </c>
      <c r="AC164" t="s">
        <v>169</v>
      </c>
      <c r="AD164">
        <v>8104</v>
      </c>
    </row>
    <row r="165" spans="13:30" x14ac:dyDescent="0.3">
      <c r="M165" s="81" t="s">
        <v>6494</v>
      </c>
      <c r="N165" s="15">
        <f t="shared" si="33"/>
        <v>162</v>
      </c>
      <c r="O165" s="29" t="str">
        <f t="shared" si="34"/>
        <v>M-1152</v>
      </c>
      <c r="U165" t="e">
        <f t="shared" si="30"/>
        <v>#N/A</v>
      </c>
      <c r="X165" t="e">
        <f t="shared" si="31"/>
        <v>#N/A</v>
      </c>
      <c r="Y165" t="e">
        <f t="shared" si="32"/>
        <v>#N/A</v>
      </c>
      <c r="AC165" t="s">
        <v>170</v>
      </c>
      <c r="AD165">
        <v>8105</v>
      </c>
    </row>
    <row r="166" spans="13:30" x14ac:dyDescent="0.3">
      <c r="M166" s="81" t="s">
        <v>6547</v>
      </c>
      <c r="N166" s="15">
        <f t="shared" si="33"/>
        <v>163</v>
      </c>
      <c r="O166" s="29" t="str">
        <f t="shared" si="34"/>
        <v>M-1153</v>
      </c>
      <c r="U166" t="e">
        <f t="shared" si="30"/>
        <v>#N/A</v>
      </c>
      <c r="X166" t="e">
        <f t="shared" si="31"/>
        <v>#N/A</v>
      </c>
      <c r="Y166" t="e">
        <f t="shared" si="32"/>
        <v>#N/A</v>
      </c>
      <c r="AC166" t="s">
        <v>171</v>
      </c>
      <c r="AD166">
        <v>8106</v>
      </c>
    </row>
    <row r="167" spans="13:30" x14ac:dyDescent="0.3">
      <c r="M167" s="81" t="s">
        <v>6602</v>
      </c>
      <c r="N167" s="15">
        <f t="shared" si="33"/>
        <v>164</v>
      </c>
      <c r="O167" s="29" t="str">
        <f t="shared" si="34"/>
        <v>M-1154</v>
      </c>
      <c r="U167" t="e">
        <f t="shared" si="30"/>
        <v>#N/A</v>
      </c>
      <c r="X167" t="e">
        <f t="shared" si="31"/>
        <v>#N/A</v>
      </c>
      <c r="Y167" t="e">
        <f t="shared" si="32"/>
        <v>#N/A</v>
      </c>
      <c r="AC167" t="s">
        <v>172</v>
      </c>
      <c r="AD167">
        <v>8107</v>
      </c>
    </row>
    <row r="168" spans="13:30" x14ac:dyDescent="0.3">
      <c r="M168" s="81" t="s">
        <v>6655</v>
      </c>
      <c r="N168" s="15">
        <f t="shared" si="33"/>
        <v>165</v>
      </c>
      <c r="O168" s="29" t="str">
        <f t="shared" si="34"/>
        <v>M-1155</v>
      </c>
      <c r="U168" t="e">
        <f t="shared" si="30"/>
        <v>#N/A</v>
      </c>
      <c r="X168" t="e">
        <f t="shared" si="31"/>
        <v>#N/A</v>
      </c>
      <c r="Y168" t="e">
        <f t="shared" si="32"/>
        <v>#N/A</v>
      </c>
      <c r="AC168" t="s">
        <v>173</v>
      </c>
      <c r="AD168">
        <v>8108</v>
      </c>
    </row>
    <row r="169" spans="13:30" x14ac:dyDescent="0.3">
      <c r="M169" s="81" t="s">
        <v>6708</v>
      </c>
      <c r="N169" s="15">
        <f t="shared" si="33"/>
        <v>166</v>
      </c>
      <c r="O169" s="29" t="str">
        <f t="shared" si="34"/>
        <v>M-1156</v>
      </c>
      <c r="U169" t="e">
        <f t="shared" si="30"/>
        <v>#N/A</v>
      </c>
      <c r="X169" t="e">
        <f t="shared" si="31"/>
        <v>#N/A</v>
      </c>
      <c r="Y169" t="e">
        <f t="shared" si="32"/>
        <v>#N/A</v>
      </c>
      <c r="AC169" t="s">
        <v>174</v>
      </c>
      <c r="AD169">
        <v>8109</v>
      </c>
    </row>
    <row r="170" spans="13:30" x14ac:dyDescent="0.3">
      <c r="M170" s="81" t="s">
        <v>6752</v>
      </c>
      <c r="N170" s="15">
        <f t="shared" si="33"/>
        <v>167</v>
      </c>
      <c r="O170" s="29" t="str">
        <f t="shared" si="34"/>
        <v>M-1157</v>
      </c>
      <c r="U170" t="e">
        <f t="shared" si="30"/>
        <v>#N/A</v>
      </c>
      <c r="X170" t="e">
        <f t="shared" si="31"/>
        <v>#N/A</v>
      </c>
      <c r="Y170" t="e">
        <f t="shared" si="32"/>
        <v>#N/A</v>
      </c>
      <c r="AC170" t="s">
        <v>175</v>
      </c>
      <c r="AD170">
        <v>8110</v>
      </c>
    </row>
    <row r="171" spans="13:30" x14ac:dyDescent="0.3">
      <c r="M171" s="81" t="s">
        <v>6791</v>
      </c>
      <c r="N171" s="15">
        <f t="shared" si="33"/>
        <v>168</v>
      </c>
      <c r="O171" s="29" t="str">
        <f t="shared" si="34"/>
        <v>M-1158</v>
      </c>
      <c r="U171" t="e">
        <f t="shared" si="30"/>
        <v>#N/A</v>
      </c>
      <c r="X171" t="e">
        <f t="shared" si="31"/>
        <v>#N/A</v>
      </c>
      <c r="Y171" t="e">
        <f t="shared" si="32"/>
        <v>#N/A</v>
      </c>
      <c r="AC171" t="s">
        <v>176</v>
      </c>
      <c r="AD171">
        <v>8111</v>
      </c>
    </row>
    <row r="172" spans="13:30" x14ac:dyDescent="0.3">
      <c r="M172" s="81" t="s">
        <v>6844</v>
      </c>
      <c r="N172" s="15">
        <f t="shared" si="33"/>
        <v>169</v>
      </c>
      <c r="O172" s="29" t="str">
        <f t="shared" si="34"/>
        <v>M-1159</v>
      </c>
      <c r="U172" t="e">
        <f t="shared" si="30"/>
        <v>#N/A</v>
      </c>
      <c r="X172" t="e">
        <f t="shared" si="31"/>
        <v>#N/A</v>
      </c>
      <c r="Y172" t="e">
        <f t="shared" si="32"/>
        <v>#N/A</v>
      </c>
      <c r="AC172" t="s">
        <v>177</v>
      </c>
      <c r="AD172">
        <v>8112</v>
      </c>
    </row>
    <row r="173" spans="13:30" x14ac:dyDescent="0.3">
      <c r="M173" s="81" t="s">
        <v>6898</v>
      </c>
      <c r="N173" s="15">
        <f t="shared" si="33"/>
        <v>170</v>
      </c>
      <c r="O173" s="29" t="str">
        <f t="shared" si="34"/>
        <v>M-1160</v>
      </c>
      <c r="U173" t="e">
        <f t="shared" si="30"/>
        <v>#N/A</v>
      </c>
      <c r="X173" t="e">
        <f t="shared" si="31"/>
        <v>#N/A</v>
      </c>
      <c r="Y173" t="e">
        <f t="shared" si="32"/>
        <v>#N/A</v>
      </c>
      <c r="AC173" t="s">
        <v>178</v>
      </c>
      <c r="AD173">
        <v>8201</v>
      </c>
    </row>
    <row r="174" spans="13:30" x14ac:dyDescent="0.3">
      <c r="M174" s="81" t="s">
        <v>6953</v>
      </c>
      <c r="N174" s="15">
        <f t="shared" si="33"/>
        <v>171</v>
      </c>
      <c r="O174" s="29" t="str">
        <f t="shared" si="34"/>
        <v>M-1161</v>
      </c>
      <c r="U174" t="e">
        <f t="shared" si="30"/>
        <v>#N/A</v>
      </c>
      <c r="X174" t="e">
        <f t="shared" si="31"/>
        <v>#N/A</v>
      </c>
      <c r="Y174" t="e">
        <f t="shared" si="32"/>
        <v>#N/A</v>
      </c>
      <c r="AC174" t="s">
        <v>179</v>
      </c>
      <c r="AD174">
        <v>8202</v>
      </c>
    </row>
    <row r="175" spans="13:30" x14ac:dyDescent="0.3">
      <c r="M175" s="81" t="s">
        <v>6961</v>
      </c>
      <c r="N175" s="15">
        <f t="shared" si="33"/>
        <v>172</v>
      </c>
      <c r="O175" s="29" t="str">
        <f t="shared" si="34"/>
        <v>M-1162</v>
      </c>
      <c r="U175" t="e">
        <f t="shared" si="30"/>
        <v>#N/A</v>
      </c>
      <c r="X175" t="e">
        <f t="shared" si="31"/>
        <v>#N/A</v>
      </c>
      <c r="Y175" t="e">
        <f t="shared" si="32"/>
        <v>#N/A</v>
      </c>
      <c r="AC175" t="s">
        <v>180</v>
      </c>
      <c r="AD175">
        <v>8203</v>
      </c>
    </row>
    <row r="176" spans="13:30" x14ac:dyDescent="0.3">
      <c r="M176" s="81" t="s">
        <v>6972</v>
      </c>
      <c r="N176" s="15">
        <f t="shared" si="33"/>
        <v>173</v>
      </c>
      <c r="O176" s="29" t="str">
        <f t="shared" si="34"/>
        <v>M-1163</v>
      </c>
      <c r="U176" t="e">
        <f t="shared" si="30"/>
        <v>#N/A</v>
      </c>
      <c r="X176" t="e">
        <f t="shared" si="31"/>
        <v>#N/A</v>
      </c>
      <c r="Y176" t="e">
        <f t="shared" si="32"/>
        <v>#N/A</v>
      </c>
      <c r="AC176" t="s">
        <v>181</v>
      </c>
      <c r="AD176">
        <v>8204</v>
      </c>
    </row>
    <row r="177" spans="13:30" x14ac:dyDescent="0.3">
      <c r="M177" s="81" t="s">
        <v>7027</v>
      </c>
      <c r="N177" s="15">
        <f t="shared" si="33"/>
        <v>174</v>
      </c>
      <c r="O177" s="29" t="str">
        <f t="shared" si="34"/>
        <v>M-1164</v>
      </c>
      <c r="U177" t="e">
        <f t="shared" si="30"/>
        <v>#N/A</v>
      </c>
      <c r="X177" t="e">
        <f t="shared" si="31"/>
        <v>#N/A</v>
      </c>
      <c r="Y177" t="e">
        <f t="shared" si="32"/>
        <v>#N/A</v>
      </c>
      <c r="AC177" t="s">
        <v>182</v>
      </c>
      <c r="AD177">
        <v>8205</v>
      </c>
    </row>
    <row r="178" spans="13:30" x14ac:dyDescent="0.3">
      <c r="M178" s="81" t="s">
        <v>7080</v>
      </c>
      <c r="N178" s="15">
        <f t="shared" si="33"/>
        <v>175</v>
      </c>
      <c r="O178" s="29" t="str">
        <f t="shared" si="34"/>
        <v>M-1165</v>
      </c>
      <c r="U178" t="e">
        <f t="shared" si="30"/>
        <v>#N/A</v>
      </c>
      <c r="X178" t="e">
        <f t="shared" si="31"/>
        <v>#N/A</v>
      </c>
      <c r="Y178" t="e">
        <f t="shared" si="32"/>
        <v>#N/A</v>
      </c>
      <c r="AC178" t="s">
        <v>183</v>
      </c>
      <c r="AD178">
        <v>8206</v>
      </c>
    </row>
    <row r="179" spans="13:30" x14ac:dyDescent="0.3">
      <c r="M179"/>
      <c r="N179" s="15" t="str">
        <f t="shared" si="33"/>
        <v/>
      </c>
      <c r="O179" s="29" t="str">
        <f t="shared" si="34"/>
        <v/>
      </c>
      <c r="U179" t="e">
        <f t="shared" si="30"/>
        <v>#N/A</v>
      </c>
      <c r="X179" t="e">
        <f t="shared" si="31"/>
        <v>#N/A</v>
      </c>
      <c r="Y179" t="e">
        <f t="shared" si="32"/>
        <v>#N/A</v>
      </c>
      <c r="AC179" t="s">
        <v>184</v>
      </c>
      <c r="AD179">
        <v>8207</v>
      </c>
    </row>
    <row r="180" spans="13:30" x14ac:dyDescent="0.3">
      <c r="N180" s="15" t="str">
        <f t="shared" si="33"/>
        <v/>
      </c>
      <c r="O180" s="29" t="str">
        <f t="shared" si="34"/>
        <v/>
      </c>
      <c r="U180" t="e">
        <f t="shared" si="30"/>
        <v>#N/A</v>
      </c>
      <c r="X180" t="e">
        <f t="shared" si="31"/>
        <v>#N/A</v>
      </c>
      <c r="Y180" t="e">
        <f t="shared" si="32"/>
        <v>#N/A</v>
      </c>
      <c r="AC180" t="s">
        <v>185</v>
      </c>
      <c r="AD180">
        <v>8301</v>
      </c>
    </row>
    <row r="181" spans="13:30" x14ac:dyDescent="0.3">
      <c r="N181" s="15" t="str">
        <f t="shared" si="33"/>
        <v/>
      </c>
      <c r="O181" s="29" t="str">
        <f t="shared" si="34"/>
        <v/>
      </c>
      <c r="U181" t="e">
        <f t="shared" si="30"/>
        <v>#N/A</v>
      </c>
      <c r="X181" t="e">
        <f t="shared" si="31"/>
        <v>#N/A</v>
      </c>
      <c r="Y181" t="e">
        <f t="shared" si="32"/>
        <v>#N/A</v>
      </c>
      <c r="AC181" t="s">
        <v>186</v>
      </c>
      <c r="AD181">
        <v>8302</v>
      </c>
    </row>
    <row r="182" spans="13:30" x14ac:dyDescent="0.3">
      <c r="N182" s="15" t="str">
        <f t="shared" si="33"/>
        <v/>
      </c>
      <c r="O182" s="29" t="str">
        <f t="shared" si="34"/>
        <v/>
      </c>
      <c r="U182" t="e">
        <f t="shared" si="30"/>
        <v>#N/A</v>
      </c>
      <c r="X182" t="e">
        <f t="shared" si="31"/>
        <v>#N/A</v>
      </c>
      <c r="Y182" t="e">
        <f t="shared" si="32"/>
        <v>#N/A</v>
      </c>
      <c r="AC182" t="s">
        <v>187</v>
      </c>
      <c r="AD182">
        <v>8303</v>
      </c>
    </row>
    <row r="183" spans="13:30" x14ac:dyDescent="0.3">
      <c r="N183" s="15" t="str">
        <f t="shared" si="33"/>
        <v/>
      </c>
      <c r="O183" s="29" t="str">
        <f t="shared" si="34"/>
        <v/>
      </c>
      <c r="U183" t="e">
        <f t="shared" si="30"/>
        <v>#N/A</v>
      </c>
      <c r="X183" t="e">
        <f t="shared" si="31"/>
        <v>#N/A</v>
      </c>
      <c r="Y183" t="e">
        <f t="shared" si="32"/>
        <v>#N/A</v>
      </c>
      <c r="AC183" t="s">
        <v>188</v>
      </c>
      <c r="AD183">
        <v>8304</v>
      </c>
    </row>
    <row r="184" spans="13:30" x14ac:dyDescent="0.3">
      <c r="N184" s="15" t="str">
        <f t="shared" si="33"/>
        <v/>
      </c>
      <c r="O184" s="29" t="str">
        <f t="shared" si="34"/>
        <v/>
      </c>
      <c r="U184" t="e">
        <f t="shared" si="30"/>
        <v>#N/A</v>
      </c>
      <c r="X184" t="e">
        <f t="shared" si="31"/>
        <v>#N/A</v>
      </c>
      <c r="Y184" t="e">
        <f t="shared" si="32"/>
        <v>#N/A</v>
      </c>
      <c r="AC184" t="s">
        <v>189</v>
      </c>
      <c r="AD184">
        <v>8305</v>
      </c>
    </row>
    <row r="185" spans="13:30" x14ac:dyDescent="0.3">
      <c r="N185" s="15" t="str">
        <f t="shared" si="33"/>
        <v/>
      </c>
      <c r="O185" s="29" t="str">
        <f t="shared" si="34"/>
        <v/>
      </c>
      <c r="U185" t="e">
        <f t="shared" si="30"/>
        <v>#N/A</v>
      </c>
      <c r="X185" t="e">
        <f t="shared" si="31"/>
        <v>#N/A</v>
      </c>
      <c r="Y185" t="e">
        <f t="shared" si="32"/>
        <v>#N/A</v>
      </c>
      <c r="AC185" t="s">
        <v>190</v>
      </c>
      <c r="AD185">
        <v>8306</v>
      </c>
    </row>
    <row r="186" spans="13:30" x14ac:dyDescent="0.3">
      <c r="N186" s="15" t="str">
        <f t="shared" si="33"/>
        <v/>
      </c>
      <c r="O186" s="29" t="str">
        <f t="shared" si="34"/>
        <v/>
      </c>
      <c r="U186" t="e">
        <f t="shared" si="30"/>
        <v>#N/A</v>
      </c>
      <c r="X186" t="e">
        <f t="shared" si="31"/>
        <v>#N/A</v>
      </c>
      <c r="Y186" t="e">
        <f t="shared" si="32"/>
        <v>#N/A</v>
      </c>
      <c r="AC186" t="s">
        <v>191</v>
      </c>
      <c r="AD186">
        <v>8307</v>
      </c>
    </row>
    <row r="187" spans="13:30" x14ac:dyDescent="0.3">
      <c r="N187" s="15" t="str">
        <f t="shared" si="33"/>
        <v/>
      </c>
      <c r="O187" s="29" t="str">
        <f t="shared" si="34"/>
        <v/>
      </c>
      <c r="U187" t="e">
        <f t="shared" si="30"/>
        <v>#N/A</v>
      </c>
      <c r="X187" t="e">
        <f t="shared" si="31"/>
        <v>#N/A</v>
      </c>
      <c r="Y187" t="e">
        <f t="shared" si="32"/>
        <v>#N/A</v>
      </c>
      <c r="AC187" t="s">
        <v>192</v>
      </c>
      <c r="AD187">
        <v>8308</v>
      </c>
    </row>
    <row r="188" spans="13:30" x14ac:dyDescent="0.3">
      <c r="N188" s="15" t="str">
        <f t="shared" si="33"/>
        <v/>
      </c>
      <c r="O188" s="29" t="str">
        <f t="shared" si="34"/>
        <v/>
      </c>
      <c r="U188" t="e">
        <f t="shared" si="30"/>
        <v>#N/A</v>
      </c>
      <c r="X188" t="e">
        <f t="shared" si="31"/>
        <v>#N/A</v>
      </c>
      <c r="Y188" t="e">
        <f t="shared" si="32"/>
        <v>#N/A</v>
      </c>
      <c r="AC188" t="s">
        <v>193</v>
      </c>
      <c r="AD188">
        <v>8309</v>
      </c>
    </row>
    <row r="189" spans="13:30" x14ac:dyDescent="0.3">
      <c r="N189" s="15" t="str">
        <f t="shared" si="33"/>
        <v/>
      </c>
      <c r="O189" s="29" t="str">
        <f t="shared" si="34"/>
        <v/>
      </c>
      <c r="U189" t="e">
        <f t="shared" si="30"/>
        <v>#N/A</v>
      </c>
      <c r="X189" t="e">
        <f t="shared" si="31"/>
        <v>#N/A</v>
      </c>
      <c r="Y189" t="e">
        <f t="shared" si="32"/>
        <v>#N/A</v>
      </c>
      <c r="AC189" t="s">
        <v>194</v>
      </c>
      <c r="AD189">
        <v>8310</v>
      </c>
    </row>
    <row r="190" spans="13:30" x14ac:dyDescent="0.3">
      <c r="N190" s="15" t="str">
        <f t="shared" si="33"/>
        <v/>
      </c>
      <c r="O190" s="29" t="str">
        <f t="shared" si="34"/>
        <v/>
      </c>
      <c r="U190" t="e">
        <f t="shared" si="30"/>
        <v>#N/A</v>
      </c>
      <c r="X190" t="e">
        <f t="shared" si="31"/>
        <v>#N/A</v>
      </c>
      <c r="Y190" t="e">
        <f t="shared" si="32"/>
        <v>#N/A</v>
      </c>
      <c r="AC190" t="s">
        <v>195</v>
      </c>
      <c r="AD190">
        <v>8311</v>
      </c>
    </row>
    <row r="191" spans="13:30" x14ac:dyDescent="0.3">
      <c r="N191" s="15" t="str">
        <f t="shared" si="33"/>
        <v/>
      </c>
      <c r="O191" s="29" t="str">
        <f t="shared" si="34"/>
        <v/>
      </c>
      <c r="U191" t="e">
        <f t="shared" si="30"/>
        <v>#N/A</v>
      </c>
      <c r="X191" t="e">
        <f t="shared" si="31"/>
        <v>#N/A</v>
      </c>
      <c r="Y191" t="e">
        <f t="shared" si="32"/>
        <v>#N/A</v>
      </c>
      <c r="AC191" t="s">
        <v>196</v>
      </c>
      <c r="AD191">
        <v>8312</v>
      </c>
    </row>
    <row r="192" spans="13:30" x14ac:dyDescent="0.3">
      <c r="N192" s="15" t="str">
        <f t="shared" si="33"/>
        <v/>
      </c>
      <c r="O192" s="29" t="str">
        <f t="shared" si="34"/>
        <v/>
      </c>
      <c r="U192" t="e">
        <f t="shared" si="30"/>
        <v>#N/A</v>
      </c>
      <c r="X192" t="e">
        <f t="shared" si="31"/>
        <v>#N/A</v>
      </c>
      <c r="Y192" t="e">
        <f t="shared" si="32"/>
        <v>#N/A</v>
      </c>
      <c r="AC192" t="s">
        <v>197</v>
      </c>
      <c r="AD192">
        <v>8313</v>
      </c>
    </row>
    <row r="193" spans="14:30" x14ac:dyDescent="0.3">
      <c r="N193" s="15" t="str">
        <f t="shared" si="33"/>
        <v/>
      </c>
      <c r="O193" s="29" t="str">
        <f t="shared" si="34"/>
        <v/>
      </c>
      <c r="U193" t="e">
        <f t="shared" si="30"/>
        <v>#N/A</v>
      </c>
      <c r="X193" t="e">
        <f t="shared" si="31"/>
        <v>#N/A</v>
      </c>
      <c r="Y193" t="e">
        <f t="shared" si="32"/>
        <v>#N/A</v>
      </c>
      <c r="AC193" t="s">
        <v>198</v>
      </c>
      <c r="AD193">
        <v>8314</v>
      </c>
    </row>
    <row r="194" spans="14:30" x14ac:dyDescent="0.3">
      <c r="N194" s="15" t="str">
        <f t="shared" si="33"/>
        <v/>
      </c>
      <c r="O194" s="29" t="str">
        <f t="shared" si="34"/>
        <v/>
      </c>
      <c r="U194" t="e">
        <f t="shared" si="30"/>
        <v>#N/A</v>
      </c>
      <c r="X194" t="e">
        <f t="shared" si="31"/>
        <v>#N/A</v>
      </c>
      <c r="Y194" t="e">
        <f t="shared" si="32"/>
        <v>#N/A</v>
      </c>
      <c r="AC194" t="s">
        <v>199</v>
      </c>
      <c r="AD194">
        <v>16101</v>
      </c>
    </row>
    <row r="195" spans="14:30" x14ac:dyDescent="0.3">
      <c r="N195" s="15" t="str">
        <f t="shared" si="33"/>
        <v/>
      </c>
      <c r="O195" s="29" t="str">
        <f t="shared" si="34"/>
        <v/>
      </c>
      <c r="U195" t="e">
        <f t="shared" si="30"/>
        <v>#N/A</v>
      </c>
      <c r="X195" t="e">
        <f t="shared" si="31"/>
        <v>#N/A</v>
      </c>
      <c r="Y195" t="e">
        <f t="shared" si="32"/>
        <v>#N/A</v>
      </c>
      <c r="AC195" t="s">
        <v>200</v>
      </c>
      <c r="AD195">
        <v>16102</v>
      </c>
    </row>
    <row r="196" spans="14:30" x14ac:dyDescent="0.3">
      <c r="N196" s="15" t="str">
        <f t="shared" si="33"/>
        <v/>
      </c>
      <c r="O196" s="29" t="str">
        <f t="shared" si="34"/>
        <v/>
      </c>
      <c r="U196" t="e">
        <f t="shared" si="30"/>
        <v>#N/A</v>
      </c>
      <c r="X196" t="e">
        <f t="shared" si="31"/>
        <v>#N/A</v>
      </c>
      <c r="Y196" t="e">
        <f t="shared" si="32"/>
        <v>#N/A</v>
      </c>
      <c r="AC196" t="s">
        <v>201</v>
      </c>
      <c r="AD196">
        <v>16202</v>
      </c>
    </row>
    <row r="197" spans="14:30" x14ac:dyDescent="0.3">
      <c r="N197" s="15" t="str">
        <f t="shared" si="33"/>
        <v/>
      </c>
      <c r="O197" s="29" t="str">
        <f t="shared" si="34"/>
        <v/>
      </c>
      <c r="U197" t="e">
        <f t="shared" ref="U197:U260" si="35">+VLOOKUP(W197,$R$4:$S$6,2,0)*100000+X197</f>
        <v>#N/A</v>
      </c>
      <c r="X197" t="e">
        <f t="shared" ref="X197:X260" si="36">+VLOOKUP(V197,$AC$3:$AD$364,2,0)</f>
        <v>#N/A</v>
      </c>
      <c r="Y197" t="e">
        <f t="shared" ref="Y197:Y260" si="37">+U197</f>
        <v>#N/A</v>
      </c>
      <c r="AC197" t="s">
        <v>202</v>
      </c>
      <c r="AD197">
        <v>16203</v>
      </c>
    </row>
    <row r="198" spans="14:30" x14ac:dyDescent="0.3">
      <c r="N198" s="15" t="str">
        <f t="shared" si="33"/>
        <v/>
      </c>
      <c r="O198" s="29" t="str">
        <f t="shared" si="34"/>
        <v/>
      </c>
      <c r="U198" t="e">
        <f t="shared" si="35"/>
        <v>#N/A</v>
      </c>
      <c r="X198" t="e">
        <f t="shared" si="36"/>
        <v>#N/A</v>
      </c>
      <c r="Y198" t="e">
        <f t="shared" si="37"/>
        <v>#N/A</v>
      </c>
      <c r="AC198" t="s">
        <v>203</v>
      </c>
      <c r="AD198">
        <v>16302</v>
      </c>
    </row>
    <row r="199" spans="14:30" x14ac:dyDescent="0.3">
      <c r="N199" s="15" t="str">
        <f t="shared" si="33"/>
        <v/>
      </c>
      <c r="O199" s="29" t="str">
        <f t="shared" si="34"/>
        <v/>
      </c>
      <c r="U199" t="e">
        <f t="shared" si="35"/>
        <v>#N/A</v>
      </c>
      <c r="X199" t="e">
        <f t="shared" si="36"/>
        <v>#N/A</v>
      </c>
      <c r="Y199" t="e">
        <f t="shared" si="37"/>
        <v>#N/A</v>
      </c>
      <c r="AC199" t="s">
        <v>204</v>
      </c>
      <c r="AD199">
        <v>16103</v>
      </c>
    </row>
    <row r="200" spans="14:30" x14ac:dyDescent="0.3">
      <c r="N200" s="15" t="str">
        <f t="shared" si="33"/>
        <v/>
      </c>
      <c r="O200" s="29" t="str">
        <f t="shared" si="34"/>
        <v/>
      </c>
      <c r="U200" t="e">
        <f t="shared" si="35"/>
        <v>#N/A</v>
      </c>
      <c r="X200" t="e">
        <f t="shared" si="36"/>
        <v>#N/A</v>
      </c>
      <c r="Y200" t="e">
        <f t="shared" si="37"/>
        <v>#N/A</v>
      </c>
      <c r="AC200" t="s">
        <v>205</v>
      </c>
      <c r="AD200">
        <v>16104</v>
      </c>
    </row>
    <row r="201" spans="14:30" x14ac:dyDescent="0.3">
      <c r="N201" s="15" t="str">
        <f t="shared" si="33"/>
        <v/>
      </c>
      <c r="O201" s="29" t="str">
        <f t="shared" si="34"/>
        <v/>
      </c>
      <c r="U201" t="e">
        <f t="shared" si="35"/>
        <v>#N/A</v>
      </c>
      <c r="X201" t="e">
        <f t="shared" si="36"/>
        <v>#N/A</v>
      </c>
      <c r="Y201" t="e">
        <f t="shared" si="37"/>
        <v>#N/A</v>
      </c>
      <c r="AC201" t="s">
        <v>206</v>
      </c>
      <c r="AD201">
        <v>16204</v>
      </c>
    </row>
    <row r="202" spans="14:30" x14ac:dyDescent="0.3">
      <c r="N202" s="15" t="str">
        <f t="shared" si="33"/>
        <v/>
      </c>
      <c r="O202" s="29" t="str">
        <f t="shared" si="34"/>
        <v/>
      </c>
      <c r="U202" t="e">
        <f t="shared" si="35"/>
        <v>#N/A</v>
      </c>
      <c r="X202" t="e">
        <f t="shared" si="36"/>
        <v>#N/A</v>
      </c>
      <c r="Y202" t="e">
        <f t="shared" si="37"/>
        <v>#N/A</v>
      </c>
      <c r="AC202" t="s">
        <v>207</v>
      </c>
      <c r="AD202">
        <v>16303</v>
      </c>
    </row>
    <row r="203" spans="14:30" x14ac:dyDescent="0.3">
      <c r="N203" s="15" t="str">
        <f t="shared" si="33"/>
        <v/>
      </c>
      <c r="O203" s="29" t="str">
        <f t="shared" si="34"/>
        <v/>
      </c>
      <c r="U203" t="e">
        <f t="shared" si="35"/>
        <v>#N/A</v>
      </c>
      <c r="X203" t="e">
        <f t="shared" si="36"/>
        <v>#N/A</v>
      </c>
      <c r="Y203" t="e">
        <f t="shared" si="37"/>
        <v>#N/A</v>
      </c>
      <c r="AC203" t="s">
        <v>208</v>
      </c>
      <c r="AD203">
        <v>16105</v>
      </c>
    </row>
    <row r="204" spans="14:30" x14ac:dyDescent="0.3">
      <c r="N204" s="15" t="str">
        <f t="shared" si="33"/>
        <v/>
      </c>
      <c r="O204" s="29" t="str">
        <f t="shared" si="34"/>
        <v/>
      </c>
      <c r="U204" t="e">
        <f t="shared" si="35"/>
        <v>#N/A</v>
      </c>
      <c r="X204" t="e">
        <f t="shared" si="36"/>
        <v>#N/A</v>
      </c>
      <c r="Y204" t="e">
        <f t="shared" si="37"/>
        <v>#N/A</v>
      </c>
      <c r="AC204" t="s">
        <v>209</v>
      </c>
      <c r="AD204">
        <v>16106</v>
      </c>
    </row>
    <row r="205" spans="14:30" x14ac:dyDescent="0.3">
      <c r="N205" s="15" t="str">
        <f t="shared" si="33"/>
        <v/>
      </c>
      <c r="O205" s="29" t="str">
        <f t="shared" si="34"/>
        <v/>
      </c>
      <c r="U205" t="e">
        <f t="shared" si="35"/>
        <v>#N/A</v>
      </c>
      <c r="X205" t="e">
        <f t="shared" si="36"/>
        <v>#N/A</v>
      </c>
      <c r="Y205" t="e">
        <f t="shared" si="37"/>
        <v>#N/A</v>
      </c>
      <c r="AC205" t="s">
        <v>210</v>
      </c>
      <c r="AD205">
        <v>16205</v>
      </c>
    </row>
    <row r="206" spans="14:30" x14ac:dyDescent="0.3">
      <c r="N206" s="15" t="str">
        <f t="shared" si="33"/>
        <v/>
      </c>
      <c r="O206" s="29" t="str">
        <f t="shared" si="34"/>
        <v/>
      </c>
      <c r="U206" t="e">
        <f t="shared" si="35"/>
        <v>#N/A</v>
      </c>
      <c r="X206" t="e">
        <f t="shared" si="36"/>
        <v>#N/A</v>
      </c>
      <c r="Y206" t="e">
        <f t="shared" si="37"/>
        <v>#N/A</v>
      </c>
      <c r="AC206" t="s">
        <v>211</v>
      </c>
      <c r="AD206">
        <v>16107</v>
      </c>
    </row>
    <row r="207" spans="14:30" x14ac:dyDescent="0.3">
      <c r="N207" s="15" t="str">
        <f t="shared" si="33"/>
        <v/>
      </c>
      <c r="O207" s="29" t="str">
        <f t="shared" si="34"/>
        <v/>
      </c>
      <c r="U207" t="e">
        <f t="shared" si="35"/>
        <v>#N/A</v>
      </c>
      <c r="X207" t="e">
        <f t="shared" si="36"/>
        <v>#N/A</v>
      </c>
      <c r="Y207" t="e">
        <f t="shared" si="37"/>
        <v>#N/A</v>
      </c>
      <c r="AC207" t="s">
        <v>212</v>
      </c>
      <c r="AD207">
        <v>16201</v>
      </c>
    </row>
    <row r="208" spans="14:30" x14ac:dyDescent="0.3">
      <c r="N208" s="15" t="str">
        <f t="shared" si="33"/>
        <v/>
      </c>
      <c r="O208" s="29" t="str">
        <f t="shared" si="34"/>
        <v/>
      </c>
      <c r="U208" t="e">
        <f t="shared" si="35"/>
        <v>#N/A</v>
      </c>
      <c r="X208" t="e">
        <f t="shared" si="36"/>
        <v>#N/A</v>
      </c>
      <c r="Y208" t="e">
        <f t="shared" si="37"/>
        <v>#N/A</v>
      </c>
      <c r="AC208" t="s">
        <v>213</v>
      </c>
      <c r="AD208">
        <v>16206</v>
      </c>
    </row>
    <row r="209" spans="14:30" x14ac:dyDescent="0.3">
      <c r="N209" s="15" t="str">
        <f t="shared" si="33"/>
        <v/>
      </c>
      <c r="O209" s="29" t="str">
        <f t="shared" si="34"/>
        <v/>
      </c>
      <c r="U209" t="e">
        <f t="shared" si="35"/>
        <v>#N/A</v>
      </c>
      <c r="X209" t="e">
        <f t="shared" si="36"/>
        <v>#N/A</v>
      </c>
      <c r="Y209" t="e">
        <f t="shared" si="37"/>
        <v>#N/A</v>
      </c>
      <c r="AC209" t="s">
        <v>214</v>
      </c>
      <c r="AD209">
        <v>16301</v>
      </c>
    </row>
    <row r="210" spans="14:30" x14ac:dyDescent="0.3">
      <c r="N210" s="15" t="str">
        <f t="shared" si="33"/>
        <v/>
      </c>
      <c r="O210" s="29" t="str">
        <f t="shared" si="34"/>
        <v/>
      </c>
      <c r="U210" t="e">
        <f t="shared" si="35"/>
        <v>#N/A</v>
      </c>
      <c r="X210" t="e">
        <f t="shared" si="36"/>
        <v>#N/A</v>
      </c>
      <c r="Y210" t="e">
        <f t="shared" si="37"/>
        <v>#N/A</v>
      </c>
      <c r="AC210" t="s">
        <v>215</v>
      </c>
      <c r="AD210">
        <v>16304</v>
      </c>
    </row>
    <row r="211" spans="14:30" x14ac:dyDescent="0.3">
      <c r="N211" s="15" t="str">
        <f t="shared" si="33"/>
        <v/>
      </c>
      <c r="O211" s="29" t="str">
        <f t="shared" si="34"/>
        <v/>
      </c>
      <c r="U211" t="e">
        <f t="shared" si="35"/>
        <v>#N/A</v>
      </c>
      <c r="X211" t="e">
        <f t="shared" si="36"/>
        <v>#N/A</v>
      </c>
      <c r="Y211" t="e">
        <f t="shared" si="37"/>
        <v>#N/A</v>
      </c>
      <c r="AC211" t="s">
        <v>216</v>
      </c>
      <c r="AD211">
        <v>16108</v>
      </c>
    </row>
    <row r="212" spans="14:30" x14ac:dyDescent="0.3">
      <c r="N212" s="15" t="str">
        <f t="shared" ref="N212:N267" si="38">+IF(M212="","",N211+1)</f>
        <v/>
      </c>
      <c r="O212" s="29" t="str">
        <f t="shared" ref="O212:O267" si="39">+IF(M212="","","M-"&amp;$B$1+N212)</f>
        <v/>
      </c>
      <c r="U212" t="e">
        <f t="shared" si="35"/>
        <v>#N/A</v>
      </c>
      <c r="X212" t="e">
        <f t="shared" si="36"/>
        <v>#N/A</v>
      </c>
      <c r="Y212" t="e">
        <f t="shared" si="37"/>
        <v>#N/A</v>
      </c>
      <c r="AC212" t="s">
        <v>217</v>
      </c>
      <c r="AD212">
        <v>16305</v>
      </c>
    </row>
    <row r="213" spans="14:30" x14ac:dyDescent="0.3">
      <c r="N213" s="15" t="str">
        <f t="shared" si="38"/>
        <v/>
      </c>
      <c r="O213" s="29" t="str">
        <f t="shared" si="39"/>
        <v/>
      </c>
      <c r="U213" t="e">
        <f t="shared" si="35"/>
        <v>#N/A</v>
      </c>
      <c r="X213" t="e">
        <f t="shared" si="36"/>
        <v>#N/A</v>
      </c>
      <c r="Y213" t="e">
        <f t="shared" si="37"/>
        <v>#N/A</v>
      </c>
      <c r="AC213" t="s">
        <v>218</v>
      </c>
      <c r="AD213">
        <v>16207</v>
      </c>
    </row>
    <row r="214" spans="14:30" x14ac:dyDescent="0.3">
      <c r="N214" s="15" t="str">
        <f t="shared" si="38"/>
        <v/>
      </c>
      <c r="O214" s="29" t="str">
        <f t="shared" si="39"/>
        <v/>
      </c>
      <c r="U214" t="e">
        <f t="shared" si="35"/>
        <v>#N/A</v>
      </c>
      <c r="X214" t="e">
        <f t="shared" si="36"/>
        <v>#N/A</v>
      </c>
      <c r="Y214" t="e">
        <f t="shared" si="37"/>
        <v>#N/A</v>
      </c>
      <c r="AC214" t="s">
        <v>219</v>
      </c>
      <c r="AD214">
        <v>16109</v>
      </c>
    </row>
    <row r="215" spans="14:30" x14ac:dyDescent="0.3">
      <c r="N215" s="15" t="str">
        <f t="shared" si="38"/>
        <v/>
      </c>
      <c r="O215" s="29" t="str">
        <f t="shared" si="39"/>
        <v/>
      </c>
      <c r="U215" t="e">
        <f t="shared" si="35"/>
        <v>#N/A</v>
      </c>
      <c r="X215" t="e">
        <f t="shared" si="36"/>
        <v>#N/A</v>
      </c>
      <c r="Y215" t="e">
        <f t="shared" si="37"/>
        <v>#N/A</v>
      </c>
      <c r="AC215" t="s">
        <v>220</v>
      </c>
      <c r="AD215">
        <v>9101</v>
      </c>
    </row>
    <row r="216" spans="14:30" x14ac:dyDescent="0.3">
      <c r="N216" s="15" t="str">
        <f t="shared" si="38"/>
        <v/>
      </c>
      <c r="O216" s="29" t="str">
        <f t="shared" si="39"/>
        <v/>
      </c>
      <c r="U216" t="e">
        <f t="shared" si="35"/>
        <v>#N/A</v>
      </c>
      <c r="X216" t="e">
        <f t="shared" si="36"/>
        <v>#N/A</v>
      </c>
      <c r="Y216" t="e">
        <f t="shared" si="37"/>
        <v>#N/A</v>
      </c>
      <c r="AC216" t="s">
        <v>221</v>
      </c>
      <c r="AD216">
        <v>9102</v>
      </c>
    </row>
    <row r="217" spans="14:30" x14ac:dyDescent="0.3">
      <c r="N217" s="15" t="str">
        <f t="shared" si="38"/>
        <v/>
      </c>
      <c r="O217" s="29" t="str">
        <f t="shared" si="39"/>
        <v/>
      </c>
      <c r="U217" t="e">
        <f t="shared" si="35"/>
        <v>#N/A</v>
      </c>
      <c r="X217" t="e">
        <f t="shared" si="36"/>
        <v>#N/A</v>
      </c>
      <c r="Y217" t="e">
        <f t="shared" si="37"/>
        <v>#N/A</v>
      </c>
      <c r="AC217" t="s">
        <v>222</v>
      </c>
      <c r="AD217">
        <v>9103</v>
      </c>
    </row>
    <row r="218" spans="14:30" x14ac:dyDescent="0.3">
      <c r="N218" s="15" t="str">
        <f t="shared" si="38"/>
        <v/>
      </c>
      <c r="O218" s="29" t="str">
        <f t="shared" si="39"/>
        <v/>
      </c>
      <c r="U218" t="e">
        <f t="shared" si="35"/>
        <v>#N/A</v>
      </c>
      <c r="X218" t="e">
        <f t="shared" si="36"/>
        <v>#N/A</v>
      </c>
      <c r="Y218" t="e">
        <f t="shared" si="37"/>
        <v>#N/A</v>
      </c>
      <c r="AC218" t="s">
        <v>223</v>
      </c>
      <c r="AD218">
        <v>9104</v>
      </c>
    </row>
    <row r="219" spans="14:30" x14ac:dyDescent="0.3">
      <c r="N219" s="15" t="str">
        <f t="shared" si="38"/>
        <v/>
      </c>
      <c r="O219" s="29" t="str">
        <f t="shared" si="39"/>
        <v/>
      </c>
      <c r="U219" t="e">
        <f t="shared" si="35"/>
        <v>#N/A</v>
      </c>
      <c r="X219" t="e">
        <f t="shared" si="36"/>
        <v>#N/A</v>
      </c>
      <c r="Y219" t="e">
        <f t="shared" si="37"/>
        <v>#N/A</v>
      </c>
      <c r="AC219" t="s">
        <v>224</v>
      </c>
      <c r="AD219">
        <v>9105</v>
      </c>
    </row>
    <row r="220" spans="14:30" x14ac:dyDescent="0.3">
      <c r="N220" s="15" t="str">
        <f t="shared" si="38"/>
        <v/>
      </c>
      <c r="O220" s="29" t="str">
        <f t="shared" si="39"/>
        <v/>
      </c>
      <c r="U220" t="e">
        <f t="shared" si="35"/>
        <v>#N/A</v>
      </c>
      <c r="X220" t="e">
        <f t="shared" si="36"/>
        <v>#N/A</v>
      </c>
      <c r="Y220" t="e">
        <f t="shared" si="37"/>
        <v>#N/A</v>
      </c>
      <c r="AC220" t="s">
        <v>225</v>
      </c>
      <c r="AD220">
        <v>9106</v>
      </c>
    </row>
    <row r="221" spans="14:30" x14ac:dyDescent="0.3">
      <c r="N221" s="15" t="str">
        <f t="shared" si="38"/>
        <v/>
      </c>
      <c r="O221" s="29" t="str">
        <f t="shared" si="39"/>
        <v/>
      </c>
      <c r="U221" t="e">
        <f t="shared" si="35"/>
        <v>#N/A</v>
      </c>
      <c r="X221" t="e">
        <f t="shared" si="36"/>
        <v>#N/A</v>
      </c>
      <c r="Y221" t="e">
        <f t="shared" si="37"/>
        <v>#N/A</v>
      </c>
      <c r="AC221" t="s">
        <v>226</v>
      </c>
      <c r="AD221">
        <v>9107</v>
      </c>
    </row>
    <row r="222" spans="14:30" x14ac:dyDescent="0.3">
      <c r="N222" s="15" t="str">
        <f t="shared" si="38"/>
        <v/>
      </c>
      <c r="O222" s="29" t="str">
        <f t="shared" si="39"/>
        <v/>
      </c>
      <c r="U222" t="e">
        <f t="shared" si="35"/>
        <v>#N/A</v>
      </c>
      <c r="X222" t="e">
        <f t="shared" si="36"/>
        <v>#N/A</v>
      </c>
      <c r="Y222" t="e">
        <f t="shared" si="37"/>
        <v>#N/A</v>
      </c>
      <c r="AC222" t="s">
        <v>227</v>
      </c>
      <c r="AD222">
        <v>9108</v>
      </c>
    </row>
    <row r="223" spans="14:30" x14ac:dyDescent="0.3">
      <c r="N223" s="15" t="str">
        <f t="shared" si="38"/>
        <v/>
      </c>
      <c r="O223" s="29" t="str">
        <f t="shared" si="39"/>
        <v/>
      </c>
      <c r="U223" t="e">
        <f t="shared" si="35"/>
        <v>#N/A</v>
      </c>
      <c r="X223" t="e">
        <f t="shared" si="36"/>
        <v>#N/A</v>
      </c>
      <c r="Y223" t="e">
        <f t="shared" si="37"/>
        <v>#N/A</v>
      </c>
      <c r="AC223" t="s">
        <v>228</v>
      </c>
      <c r="AD223">
        <v>9109</v>
      </c>
    </row>
    <row r="224" spans="14:30" x14ac:dyDescent="0.3">
      <c r="N224" s="15" t="str">
        <f t="shared" si="38"/>
        <v/>
      </c>
      <c r="O224" s="29" t="str">
        <f t="shared" si="39"/>
        <v/>
      </c>
      <c r="U224" t="e">
        <f t="shared" si="35"/>
        <v>#N/A</v>
      </c>
      <c r="X224" t="e">
        <f t="shared" si="36"/>
        <v>#N/A</v>
      </c>
      <c r="Y224" t="e">
        <f t="shared" si="37"/>
        <v>#N/A</v>
      </c>
      <c r="AC224" t="s">
        <v>229</v>
      </c>
      <c r="AD224">
        <v>9110</v>
      </c>
    </row>
    <row r="225" spans="14:30" x14ac:dyDescent="0.3">
      <c r="N225" s="15" t="str">
        <f t="shared" si="38"/>
        <v/>
      </c>
      <c r="O225" s="29" t="str">
        <f t="shared" si="39"/>
        <v/>
      </c>
      <c r="U225" t="e">
        <f t="shared" si="35"/>
        <v>#N/A</v>
      </c>
      <c r="X225" t="e">
        <f t="shared" si="36"/>
        <v>#N/A</v>
      </c>
      <c r="Y225" t="e">
        <f t="shared" si="37"/>
        <v>#N/A</v>
      </c>
      <c r="AC225" t="s">
        <v>230</v>
      </c>
      <c r="AD225">
        <v>9111</v>
      </c>
    </row>
    <row r="226" spans="14:30" x14ac:dyDescent="0.3">
      <c r="N226" s="15" t="str">
        <f t="shared" si="38"/>
        <v/>
      </c>
      <c r="O226" s="29" t="str">
        <f t="shared" si="39"/>
        <v/>
      </c>
      <c r="U226" t="e">
        <f t="shared" si="35"/>
        <v>#N/A</v>
      </c>
      <c r="X226" t="e">
        <f t="shared" si="36"/>
        <v>#N/A</v>
      </c>
      <c r="Y226" t="e">
        <f t="shared" si="37"/>
        <v>#N/A</v>
      </c>
      <c r="AC226" t="s">
        <v>231</v>
      </c>
      <c r="AD226">
        <v>9112</v>
      </c>
    </row>
    <row r="227" spans="14:30" x14ac:dyDescent="0.3">
      <c r="N227" s="15" t="str">
        <f t="shared" si="38"/>
        <v/>
      </c>
      <c r="O227" s="29" t="str">
        <f t="shared" si="39"/>
        <v/>
      </c>
      <c r="U227" t="e">
        <f t="shared" si="35"/>
        <v>#N/A</v>
      </c>
      <c r="X227" t="e">
        <f t="shared" si="36"/>
        <v>#N/A</v>
      </c>
      <c r="Y227" t="e">
        <f t="shared" si="37"/>
        <v>#N/A</v>
      </c>
      <c r="AC227" t="s">
        <v>232</v>
      </c>
      <c r="AD227">
        <v>9113</v>
      </c>
    </row>
    <row r="228" spans="14:30" x14ac:dyDescent="0.3">
      <c r="N228" s="15" t="str">
        <f t="shared" si="38"/>
        <v/>
      </c>
      <c r="O228" s="29" t="str">
        <f t="shared" si="39"/>
        <v/>
      </c>
      <c r="U228" t="e">
        <f t="shared" si="35"/>
        <v>#N/A</v>
      </c>
      <c r="X228" t="e">
        <f t="shared" si="36"/>
        <v>#N/A</v>
      </c>
      <c r="Y228" t="e">
        <f t="shared" si="37"/>
        <v>#N/A</v>
      </c>
      <c r="AC228" t="s">
        <v>233</v>
      </c>
      <c r="AD228">
        <v>9114</v>
      </c>
    </row>
    <row r="229" spans="14:30" x14ac:dyDescent="0.3">
      <c r="N229" s="15" t="str">
        <f t="shared" si="38"/>
        <v/>
      </c>
      <c r="O229" s="29" t="str">
        <f t="shared" si="39"/>
        <v/>
      </c>
      <c r="U229" t="e">
        <f t="shared" si="35"/>
        <v>#N/A</v>
      </c>
      <c r="X229" t="e">
        <f t="shared" si="36"/>
        <v>#N/A</v>
      </c>
      <c r="Y229" t="e">
        <f t="shared" si="37"/>
        <v>#N/A</v>
      </c>
      <c r="AC229" t="s">
        <v>234</v>
      </c>
      <c r="AD229">
        <v>9115</v>
      </c>
    </row>
    <row r="230" spans="14:30" x14ac:dyDescent="0.3">
      <c r="N230" s="15" t="str">
        <f t="shared" si="38"/>
        <v/>
      </c>
      <c r="O230" s="29" t="str">
        <f t="shared" si="39"/>
        <v/>
      </c>
      <c r="U230" t="e">
        <f t="shared" si="35"/>
        <v>#N/A</v>
      </c>
      <c r="X230" t="e">
        <f t="shared" si="36"/>
        <v>#N/A</v>
      </c>
      <c r="Y230" t="e">
        <f t="shared" si="37"/>
        <v>#N/A</v>
      </c>
      <c r="AC230" t="s">
        <v>235</v>
      </c>
      <c r="AD230">
        <v>9116</v>
      </c>
    </row>
    <row r="231" spans="14:30" x14ac:dyDescent="0.3">
      <c r="N231" s="15" t="str">
        <f t="shared" si="38"/>
        <v/>
      </c>
      <c r="O231" s="29" t="str">
        <f t="shared" si="39"/>
        <v/>
      </c>
      <c r="U231" t="e">
        <f t="shared" si="35"/>
        <v>#N/A</v>
      </c>
      <c r="X231" t="e">
        <f t="shared" si="36"/>
        <v>#N/A</v>
      </c>
      <c r="Y231" t="e">
        <f t="shared" si="37"/>
        <v>#N/A</v>
      </c>
      <c r="AC231" t="s">
        <v>236</v>
      </c>
      <c r="AD231">
        <v>9117</v>
      </c>
    </row>
    <row r="232" spans="14:30" x14ac:dyDescent="0.3">
      <c r="N232" s="15" t="str">
        <f t="shared" si="38"/>
        <v/>
      </c>
      <c r="O232" s="29" t="str">
        <f t="shared" si="39"/>
        <v/>
      </c>
      <c r="U232" t="e">
        <f t="shared" si="35"/>
        <v>#N/A</v>
      </c>
      <c r="X232" t="e">
        <f t="shared" si="36"/>
        <v>#N/A</v>
      </c>
      <c r="Y232" t="e">
        <f t="shared" si="37"/>
        <v>#N/A</v>
      </c>
      <c r="AC232" t="s">
        <v>237</v>
      </c>
      <c r="AD232">
        <v>9118</v>
      </c>
    </row>
    <row r="233" spans="14:30" x14ac:dyDescent="0.3">
      <c r="N233" s="15" t="str">
        <f t="shared" si="38"/>
        <v/>
      </c>
      <c r="O233" s="29" t="str">
        <f t="shared" si="39"/>
        <v/>
      </c>
      <c r="U233" t="e">
        <f t="shared" si="35"/>
        <v>#N/A</v>
      </c>
      <c r="X233" t="e">
        <f t="shared" si="36"/>
        <v>#N/A</v>
      </c>
      <c r="Y233" t="e">
        <f t="shared" si="37"/>
        <v>#N/A</v>
      </c>
      <c r="AC233" t="s">
        <v>238</v>
      </c>
      <c r="AD233">
        <v>9119</v>
      </c>
    </row>
    <row r="234" spans="14:30" x14ac:dyDescent="0.3">
      <c r="N234" s="15" t="str">
        <f t="shared" si="38"/>
        <v/>
      </c>
      <c r="O234" s="29" t="str">
        <f t="shared" si="39"/>
        <v/>
      </c>
      <c r="U234" t="e">
        <f t="shared" si="35"/>
        <v>#N/A</v>
      </c>
      <c r="X234" t="e">
        <f t="shared" si="36"/>
        <v>#N/A</v>
      </c>
      <c r="Y234" t="e">
        <f t="shared" si="37"/>
        <v>#N/A</v>
      </c>
      <c r="AC234" t="s">
        <v>239</v>
      </c>
      <c r="AD234">
        <v>9120</v>
      </c>
    </row>
    <row r="235" spans="14:30" x14ac:dyDescent="0.3">
      <c r="N235" s="15" t="str">
        <f t="shared" si="38"/>
        <v/>
      </c>
      <c r="O235" s="29" t="str">
        <f t="shared" si="39"/>
        <v/>
      </c>
      <c r="U235" t="e">
        <f t="shared" si="35"/>
        <v>#N/A</v>
      </c>
      <c r="X235" t="e">
        <f t="shared" si="36"/>
        <v>#N/A</v>
      </c>
      <c r="Y235" t="e">
        <f t="shared" si="37"/>
        <v>#N/A</v>
      </c>
      <c r="AC235" t="s">
        <v>240</v>
      </c>
      <c r="AD235">
        <v>9121</v>
      </c>
    </row>
    <row r="236" spans="14:30" x14ac:dyDescent="0.3">
      <c r="N236" s="15" t="str">
        <f t="shared" si="38"/>
        <v/>
      </c>
      <c r="O236" s="29" t="str">
        <f t="shared" si="39"/>
        <v/>
      </c>
      <c r="U236" t="e">
        <f t="shared" si="35"/>
        <v>#N/A</v>
      </c>
      <c r="X236" t="e">
        <f t="shared" si="36"/>
        <v>#N/A</v>
      </c>
      <c r="Y236" t="e">
        <f t="shared" si="37"/>
        <v>#N/A</v>
      </c>
      <c r="AC236" t="s">
        <v>241</v>
      </c>
      <c r="AD236">
        <v>9201</v>
      </c>
    </row>
    <row r="237" spans="14:30" x14ac:dyDescent="0.3">
      <c r="N237" s="15" t="str">
        <f t="shared" si="38"/>
        <v/>
      </c>
      <c r="O237" s="29" t="str">
        <f t="shared" si="39"/>
        <v/>
      </c>
      <c r="U237" t="e">
        <f t="shared" si="35"/>
        <v>#N/A</v>
      </c>
      <c r="X237" t="e">
        <f t="shared" si="36"/>
        <v>#N/A</v>
      </c>
      <c r="Y237" t="e">
        <f t="shared" si="37"/>
        <v>#N/A</v>
      </c>
      <c r="AC237" t="s">
        <v>242</v>
      </c>
      <c r="AD237">
        <v>9202</v>
      </c>
    </row>
    <row r="238" spans="14:30" x14ac:dyDescent="0.3">
      <c r="N238" s="15" t="str">
        <f t="shared" si="38"/>
        <v/>
      </c>
      <c r="O238" s="29" t="str">
        <f t="shared" si="39"/>
        <v/>
      </c>
      <c r="U238" t="e">
        <f t="shared" si="35"/>
        <v>#N/A</v>
      </c>
      <c r="X238" t="e">
        <f t="shared" si="36"/>
        <v>#N/A</v>
      </c>
      <c r="Y238" t="e">
        <f t="shared" si="37"/>
        <v>#N/A</v>
      </c>
      <c r="AC238" t="s">
        <v>243</v>
      </c>
      <c r="AD238">
        <v>9203</v>
      </c>
    </row>
    <row r="239" spans="14:30" x14ac:dyDescent="0.3">
      <c r="N239" s="15" t="str">
        <f t="shared" si="38"/>
        <v/>
      </c>
      <c r="O239" s="29" t="str">
        <f t="shared" si="39"/>
        <v/>
      </c>
      <c r="U239" t="e">
        <f t="shared" si="35"/>
        <v>#N/A</v>
      </c>
      <c r="X239" t="e">
        <f t="shared" si="36"/>
        <v>#N/A</v>
      </c>
      <c r="Y239" t="e">
        <f t="shared" si="37"/>
        <v>#N/A</v>
      </c>
      <c r="AC239" t="s">
        <v>244</v>
      </c>
      <c r="AD239">
        <v>9204</v>
      </c>
    </row>
    <row r="240" spans="14:30" x14ac:dyDescent="0.3">
      <c r="N240" s="15" t="str">
        <f t="shared" si="38"/>
        <v/>
      </c>
      <c r="O240" s="29" t="str">
        <f t="shared" si="39"/>
        <v/>
      </c>
      <c r="U240" t="e">
        <f t="shared" si="35"/>
        <v>#N/A</v>
      </c>
      <c r="X240" t="e">
        <f t="shared" si="36"/>
        <v>#N/A</v>
      </c>
      <c r="Y240" t="e">
        <f t="shared" si="37"/>
        <v>#N/A</v>
      </c>
      <c r="AC240" t="s">
        <v>245</v>
      </c>
      <c r="AD240">
        <v>9205</v>
      </c>
    </row>
    <row r="241" spans="14:30" x14ac:dyDescent="0.3">
      <c r="N241" s="15" t="str">
        <f t="shared" si="38"/>
        <v/>
      </c>
      <c r="O241" s="29" t="str">
        <f t="shared" si="39"/>
        <v/>
      </c>
      <c r="U241" t="e">
        <f t="shared" si="35"/>
        <v>#N/A</v>
      </c>
      <c r="X241" t="e">
        <f t="shared" si="36"/>
        <v>#N/A</v>
      </c>
      <c r="Y241" t="e">
        <f t="shared" si="37"/>
        <v>#N/A</v>
      </c>
      <c r="AC241" t="s">
        <v>246</v>
      </c>
      <c r="AD241">
        <v>9206</v>
      </c>
    </row>
    <row r="242" spans="14:30" x14ac:dyDescent="0.3">
      <c r="N242" s="15" t="str">
        <f t="shared" si="38"/>
        <v/>
      </c>
      <c r="O242" s="29" t="str">
        <f t="shared" si="39"/>
        <v/>
      </c>
      <c r="U242" t="e">
        <f t="shared" si="35"/>
        <v>#N/A</v>
      </c>
      <c r="X242" t="e">
        <f t="shared" si="36"/>
        <v>#N/A</v>
      </c>
      <c r="Y242" t="e">
        <f t="shared" si="37"/>
        <v>#N/A</v>
      </c>
      <c r="AC242" t="s">
        <v>247</v>
      </c>
      <c r="AD242">
        <v>9207</v>
      </c>
    </row>
    <row r="243" spans="14:30" x14ac:dyDescent="0.3">
      <c r="N243" s="15" t="str">
        <f t="shared" si="38"/>
        <v/>
      </c>
      <c r="O243" s="29" t="str">
        <f t="shared" si="39"/>
        <v/>
      </c>
      <c r="U243" t="e">
        <f t="shared" si="35"/>
        <v>#N/A</v>
      </c>
      <c r="X243" t="e">
        <f t="shared" si="36"/>
        <v>#N/A</v>
      </c>
      <c r="Y243" t="e">
        <f t="shared" si="37"/>
        <v>#N/A</v>
      </c>
      <c r="AC243" t="s">
        <v>248</v>
      </c>
      <c r="AD243">
        <v>9208</v>
      </c>
    </row>
    <row r="244" spans="14:30" x14ac:dyDescent="0.3">
      <c r="N244" s="15" t="str">
        <f t="shared" si="38"/>
        <v/>
      </c>
      <c r="O244" s="29" t="str">
        <f t="shared" si="39"/>
        <v/>
      </c>
      <c r="U244" t="e">
        <f t="shared" si="35"/>
        <v>#N/A</v>
      </c>
      <c r="X244" t="e">
        <f t="shared" si="36"/>
        <v>#N/A</v>
      </c>
      <c r="Y244" t="e">
        <f t="shared" si="37"/>
        <v>#N/A</v>
      </c>
      <c r="AC244" t="s">
        <v>249</v>
      </c>
      <c r="AD244">
        <v>9209</v>
      </c>
    </row>
    <row r="245" spans="14:30" x14ac:dyDescent="0.3">
      <c r="N245" s="15" t="str">
        <f t="shared" si="38"/>
        <v/>
      </c>
      <c r="O245" s="29" t="str">
        <f t="shared" si="39"/>
        <v/>
      </c>
      <c r="U245" t="e">
        <f t="shared" si="35"/>
        <v>#N/A</v>
      </c>
      <c r="X245" t="e">
        <f t="shared" si="36"/>
        <v>#N/A</v>
      </c>
      <c r="Y245" t="e">
        <f t="shared" si="37"/>
        <v>#N/A</v>
      </c>
      <c r="AC245" t="s">
        <v>250</v>
      </c>
      <c r="AD245">
        <v>9210</v>
      </c>
    </row>
    <row r="246" spans="14:30" x14ac:dyDescent="0.3">
      <c r="N246" s="15" t="str">
        <f t="shared" si="38"/>
        <v/>
      </c>
      <c r="O246" s="29" t="str">
        <f t="shared" si="39"/>
        <v/>
      </c>
      <c r="U246" t="e">
        <f t="shared" si="35"/>
        <v>#N/A</v>
      </c>
      <c r="X246" t="e">
        <f t="shared" si="36"/>
        <v>#N/A</v>
      </c>
      <c r="Y246" t="e">
        <f t="shared" si="37"/>
        <v>#N/A</v>
      </c>
      <c r="AC246" t="s">
        <v>251</v>
      </c>
      <c r="AD246">
        <v>9211</v>
      </c>
    </row>
    <row r="247" spans="14:30" x14ac:dyDescent="0.3">
      <c r="N247" s="15" t="str">
        <f t="shared" si="38"/>
        <v/>
      </c>
      <c r="O247" s="29" t="str">
        <f t="shared" si="39"/>
        <v/>
      </c>
      <c r="U247" t="e">
        <f t="shared" si="35"/>
        <v>#N/A</v>
      </c>
      <c r="X247" t="e">
        <f t="shared" si="36"/>
        <v>#N/A</v>
      </c>
      <c r="Y247" t="e">
        <f t="shared" si="37"/>
        <v>#N/A</v>
      </c>
      <c r="AC247" t="s">
        <v>252</v>
      </c>
      <c r="AD247">
        <v>10101</v>
      </c>
    </row>
    <row r="248" spans="14:30" x14ac:dyDescent="0.3">
      <c r="N248" s="15" t="str">
        <f t="shared" si="38"/>
        <v/>
      </c>
      <c r="O248" s="29" t="str">
        <f t="shared" si="39"/>
        <v/>
      </c>
      <c r="U248" t="e">
        <f t="shared" si="35"/>
        <v>#N/A</v>
      </c>
      <c r="X248" t="e">
        <f t="shared" si="36"/>
        <v>#N/A</v>
      </c>
      <c r="Y248" t="e">
        <f t="shared" si="37"/>
        <v>#N/A</v>
      </c>
      <c r="AC248" t="s">
        <v>253</v>
      </c>
      <c r="AD248">
        <v>10102</v>
      </c>
    </row>
    <row r="249" spans="14:30" x14ac:dyDescent="0.3">
      <c r="N249" s="15" t="str">
        <f t="shared" si="38"/>
        <v/>
      </c>
      <c r="O249" s="29" t="str">
        <f t="shared" si="39"/>
        <v/>
      </c>
      <c r="U249" t="e">
        <f t="shared" si="35"/>
        <v>#N/A</v>
      </c>
      <c r="X249" t="e">
        <f t="shared" si="36"/>
        <v>#N/A</v>
      </c>
      <c r="Y249" t="e">
        <f t="shared" si="37"/>
        <v>#N/A</v>
      </c>
      <c r="AC249" t="s">
        <v>254</v>
      </c>
      <c r="AD249">
        <v>10103</v>
      </c>
    </row>
    <row r="250" spans="14:30" x14ac:dyDescent="0.3">
      <c r="N250" s="15" t="str">
        <f t="shared" si="38"/>
        <v/>
      </c>
      <c r="O250" s="29" t="str">
        <f t="shared" si="39"/>
        <v/>
      </c>
      <c r="U250" t="e">
        <f t="shared" si="35"/>
        <v>#N/A</v>
      </c>
      <c r="X250" t="e">
        <f t="shared" si="36"/>
        <v>#N/A</v>
      </c>
      <c r="Y250" t="e">
        <f t="shared" si="37"/>
        <v>#N/A</v>
      </c>
      <c r="AC250" t="s">
        <v>255</v>
      </c>
      <c r="AD250">
        <v>10104</v>
      </c>
    </row>
    <row r="251" spans="14:30" x14ac:dyDescent="0.3">
      <c r="N251" s="15" t="str">
        <f t="shared" si="38"/>
        <v/>
      </c>
      <c r="O251" s="29" t="str">
        <f t="shared" si="39"/>
        <v/>
      </c>
      <c r="U251" t="e">
        <f t="shared" si="35"/>
        <v>#N/A</v>
      </c>
      <c r="X251" t="e">
        <f t="shared" si="36"/>
        <v>#N/A</v>
      </c>
      <c r="Y251" t="e">
        <f t="shared" si="37"/>
        <v>#N/A</v>
      </c>
      <c r="AC251" t="s">
        <v>256</v>
      </c>
      <c r="AD251">
        <v>10105</v>
      </c>
    </row>
    <row r="252" spans="14:30" x14ac:dyDescent="0.3">
      <c r="N252" s="15" t="str">
        <f t="shared" si="38"/>
        <v/>
      </c>
      <c r="O252" s="29" t="str">
        <f t="shared" si="39"/>
        <v/>
      </c>
      <c r="U252" t="e">
        <f t="shared" si="35"/>
        <v>#N/A</v>
      </c>
      <c r="X252" t="e">
        <f t="shared" si="36"/>
        <v>#N/A</v>
      </c>
      <c r="Y252" t="e">
        <f t="shared" si="37"/>
        <v>#N/A</v>
      </c>
      <c r="AC252" t="s">
        <v>257</v>
      </c>
      <c r="AD252">
        <v>10106</v>
      </c>
    </row>
    <row r="253" spans="14:30" x14ac:dyDescent="0.3">
      <c r="N253" s="15" t="str">
        <f t="shared" si="38"/>
        <v/>
      </c>
      <c r="O253" s="29" t="str">
        <f t="shared" si="39"/>
        <v/>
      </c>
      <c r="U253" t="e">
        <f t="shared" si="35"/>
        <v>#N/A</v>
      </c>
      <c r="X253" t="e">
        <f t="shared" si="36"/>
        <v>#N/A</v>
      </c>
      <c r="Y253" t="e">
        <f t="shared" si="37"/>
        <v>#N/A</v>
      </c>
      <c r="AC253" t="s">
        <v>258</v>
      </c>
      <c r="AD253">
        <v>10107</v>
      </c>
    </row>
    <row r="254" spans="14:30" x14ac:dyDescent="0.3">
      <c r="N254" s="15" t="str">
        <f t="shared" si="38"/>
        <v/>
      </c>
      <c r="O254" s="29" t="str">
        <f t="shared" si="39"/>
        <v/>
      </c>
      <c r="U254" t="e">
        <f t="shared" si="35"/>
        <v>#N/A</v>
      </c>
      <c r="X254" t="e">
        <f t="shared" si="36"/>
        <v>#N/A</v>
      </c>
      <c r="Y254" t="e">
        <f t="shared" si="37"/>
        <v>#N/A</v>
      </c>
      <c r="AC254" t="s">
        <v>259</v>
      </c>
      <c r="AD254">
        <v>10108</v>
      </c>
    </row>
    <row r="255" spans="14:30" x14ac:dyDescent="0.3">
      <c r="N255" s="15" t="str">
        <f t="shared" si="38"/>
        <v/>
      </c>
      <c r="O255" s="29" t="str">
        <f t="shared" si="39"/>
        <v/>
      </c>
      <c r="U255" t="e">
        <f t="shared" si="35"/>
        <v>#N/A</v>
      </c>
      <c r="X255" t="e">
        <f t="shared" si="36"/>
        <v>#N/A</v>
      </c>
      <c r="Y255" t="e">
        <f t="shared" si="37"/>
        <v>#N/A</v>
      </c>
      <c r="AC255" t="s">
        <v>260</v>
      </c>
      <c r="AD255">
        <v>10109</v>
      </c>
    </row>
    <row r="256" spans="14:30" x14ac:dyDescent="0.3">
      <c r="N256" s="15" t="str">
        <f t="shared" si="38"/>
        <v/>
      </c>
      <c r="O256" s="29" t="str">
        <f t="shared" si="39"/>
        <v/>
      </c>
      <c r="U256" t="e">
        <f t="shared" si="35"/>
        <v>#N/A</v>
      </c>
      <c r="X256" t="e">
        <f t="shared" si="36"/>
        <v>#N/A</v>
      </c>
      <c r="Y256" t="e">
        <f t="shared" si="37"/>
        <v>#N/A</v>
      </c>
      <c r="AC256" t="s">
        <v>261</v>
      </c>
      <c r="AD256">
        <v>10201</v>
      </c>
    </row>
    <row r="257" spans="14:30" x14ac:dyDescent="0.3">
      <c r="N257" s="15" t="str">
        <f t="shared" si="38"/>
        <v/>
      </c>
      <c r="O257" s="29" t="str">
        <f t="shared" si="39"/>
        <v/>
      </c>
      <c r="U257" t="e">
        <f t="shared" si="35"/>
        <v>#N/A</v>
      </c>
      <c r="X257" t="e">
        <f t="shared" si="36"/>
        <v>#N/A</v>
      </c>
      <c r="Y257" t="e">
        <f t="shared" si="37"/>
        <v>#N/A</v>
      </c>
      <c r="AC257" t="s">
        <v>262</v>
      </c>
      <c r="AD257">
        <v>10202</v>
      </c>
    </row>
    <row r="258" spans="14:30" x14ac:dyDescent="0.3">
      <c r="N258" s="15" t="str">
        <f t="shared" si="38"/>
        <v/>
      </c>
      <c r="O258" s="29" t="str">
        <f t="shared" si="39"/>
        <v/>
      </c>
      <c r="U258" t="e">
        <f t="shared" si="35"/>
        <v>#N/A</v>
      </c>
      <c r="X258" t="e">
        <f t="shared" si="36"/>
        <v>#N/A</v>
      </c>
      <c r="Y258" t="e">
        <f t="shared" si="37"/>
        <v>#N/A</v>
      </c>
      <c r="AC258" t="s">
        <v>263</v>
      </c>
      <c r="AD258">
        <v>10203</v>
      </c>
    </row>
    <row r="259" spans="14:30" x14ac:dyDescent="0.3">
      <c r="N259" s="15" t="str">
        <f t="shared" si="38"/>
        <v/>
      </c>
      <c r="O259" s="29" t="str">
        <f t="shared" si="39"/>
        <v/>
      </c>
      <c r="U259" t="e">
        <f t="shared" si="35"/>
        <v>#N/A</v>
      </c>
      <c r="X259" t="e">
        <f t="shared" si="36"/>
        <v>#N/A</v>
      </c>
      <c r="Y259" t="e">
        <f t="shared" si="37"/>
        <v>#N/A</v>
      </c>
      <c r="AC259" t="s">
        <v>264</v>
      </c>
      <c r="AD259">
        <v>10204</v>
      </c>
    </row>
    <row r="260" spans="14:30" x14ac:dyDescent="0.3">
      <c r="N260" s="15" t="str">
        <f t="shared" si="38"/>
        <v/>
      </c>
      <c r="O260" s="29" t="str">
        <f t="shared" si="39"/>
        <v/>
      </c>
      <c r="U260" t="e">
        <f t="shared" si="35"/>
        <v>#N/A</v>
      </c>
      <c r="X260" t="e">
        <f t="shared" si="36"/>
        <v>#N/A</v>
      </c>
      <c r="Y260" t="e">
        <f t="shared" si="37"/>
        <v>#N/A</v>
      </c>
      <c r="AC260" t="s">
        <v>265</v>
      </c>
      <c r="AD260">
        <v>10205</v>
      </c>
    </row>
    <row r="261" spans="14:30" x14ac:dyDescent="0.3">
      <c r="N261" s="15" t="str">
        <f t="shared" si="38"/>
        <v/>
      </c>
      <c r="O261" s="29" t="str">
        <f t="shared" si="39"/>
        <v/>
      </c>
      <c r="U261" t="e">
        <f t="shared" ref="U261:U324" si="40">+VLOOKUP(W261,$R$4:$S$6,2,0)*100000+X261</f>
        <v>#N/A</v>
      </c>
      <c r="X261" t="e">
        <f t="shared" ref="X261:X324" si="41">+VLOOKUP(V261,$AC$3:$AD$364,2,0)</f>
        <v>#N/A</v>
      </c>
      <c r="Y261" t="e">
        <f t="shared" ref="Y261:Y324" si="42">+U261</f>
        <v>#N/A</v>
      </c>
      <c r="AC261" t="s">
        <v>266</v>
      </c>
      <c r="AD261">
        <v>10206</v>
      </c>
    </row>
    <row r="262" spans="14:30" x14ac:dyDescent="0.3">
      <c r="N262" s="15" t="str">
        <f t="shared" si="38"/>
        <v/>
      </c>
      <c r="O262" s="29" t="str">
        <f t="shared" si="39"/>
        <v/>
      </c>
      <c r="U262" t="e">
        <f t="shared" si="40"/>
        <v>#N/A</v>
      </c>
      <c r="X262" t="e">
        <f t="shared" si="41"/>
        <v>#N/A</v>
      </c>
      <c r="Y262" t="e">
        <f t="shared" si="42"/>
        <v>#N/A</v>
      </c>
      <c r="AC262" t="s">
        <v>267</v>
      </c>
      <c r="AD262">
        <v>10207</v>
      </c>
    </row>
    <row r="263" spans="14:30" x14ac:dyDescent="0.3">
      <c r="N263" s="15" t="str">
        <f t="shared" si="38"/>
        <v/>
      </c>
      <c r="O263" s="29" t="str">
        <f t="shared" si="39"/>
        <v/>
      </c>
      <c r="U263" t="e">
        <f t="shared" si="40"/>
        <v>#N/A</v>
      </c>
      <c r="X263" t="e">
        <f t="shared" si="41"/>
        <v>#N/A</v>
      </c>
      <c r="Y263" t="e">
        <f t="shared" si="42"/>
        <v>#N/A</v>
      </c>
      <c r="AC263" t="s">
        <v>268</v>
      </c>
      <c r="AD263">
        <v>10208</v>
      </c>
    </row>
    <row r="264" spans="14:30" x14ac:dyDescent="0.3">
      <c r="N264" s="15" t="str">
        <f t="shared" si="38"/>
        <v/>
      </c>
      <c r="O264" s="29" t="str">
        <f t="shared" si="39"/>
        <v/>
      </c>
      <c r="U264" t="e">
        <f t="shared" si="40"/>
        <v>#N/A</v>
      </c>
      <c r="X264" t="e">
        <f t="shared" si="41"/>
        <v>#N/A</v>
      </c>
      <c r="Y264" t="e">
        <f t="shared" si="42"/>
        <v>#N/A</v>
      </c>
      <c r="AC264" t="s">
        <v>269</v>
      </c>
      <c r="AD264">
        <v>10209</v>
      </c>
    </row>
    <row r="265" spans="14:30" x14ac:dyDescent="0.3">
      <c r="N265" s="15" t="str">
        <f t="shared" si="38"/>
        <v/>
      </c>
      <c r="O265" s="29" t="str">
        <f t="shared" si="39"/>
        <v/>
      </c>
      <c r="U265" t="e">
        <f t="shared" si="40"/>
        <v>#N/A</v>
      </c>
      <c r="X265" t="e">
        <f t="shared" si="41"/>
        <v>#N/A</v>
      </c>
      <c r="Y265" t="e">
        <f t="shared" si="42"/>
        <v>#N/A</v>
      </c>
      <c r="AC265" t="s">
        <v>270</v>
      </c>
      <c r="AD265">
        <v>10210</v>
      </c>
    </row>
    <row r="266" spans="14:30" x14ac:dyDescent="0.3">
      <c r="N266" s="15" t="str">
        <f t="shared" si="38"/>
        <v/>
      </c>
      <c r="O266" s="29" t="str">
        <f t="shared" si="39"/>
        <v/>
      </c>
      <c r="U266" t="e">
        <f t="shared" si="40"/>
        <v>#N/A</v>
      </c>
      <c r="X266" t="e">
        <f t="shared" si="41"/>
        <v>#N/A</v>
      </c>
      <c r="Y266" t="e">
        <f t="shared" si="42"/>
        <v>#N/A</v>
      </c>
      <c r="AC266" t="s">
        <v>271</v>
      </c>
      <c r="AD266">
        <v>10301</v>
      </c>
    </row>
    <row r="267" spans="14:30" x14ac:dyDescent="0.3">
      <c r="N267" s="15" t="str">
        <f t="shared" si="38"/>
        <v/>
      </c>
      <c r="O267" s="29" t="str">
        <f t="shared" si="39"/>
        <v/>
      </c>
      <c r="U267" t="e">
        <f t="shared" si="40"/>
        <v>#N/A</v>
      </c>
      <c r="X267" t="e">
        <f t="shared" si="41"/>
        <v>#N/A</v>
      </c>
      <c r="Y267" t="e">
        <f t="shared" si="42"/>
        <v>#N/A</v>
      </c>
      <c r="AC267" t="s">
        <v>272</v>
      </c>
      <c r="AD267">
        <v>10302</v>
      </c>
    </row>
    <row r="268" spans="14:30" x14ac:dyDescent="0.3">
      <c r="U268" t="e">
        <f t="shared" si="40"/>
        <v>#N/A</v>
      </c>
      <c r="X268" t="e">
        <f t="shared" si="41"/>
        <v>#N/A</v>
      </c>
      <c r="Y268" t="e">
        <f t="shared" si="42"/>
        <v>#N/A</v>
      </c>
      <c r="AC268" t="s">
        <v>273</v>
      </c>
      <c r="AD268">
        <v>10303</v>
      </c>
    </row>
    <row r="269" spans="14:30" x14ac:dyDescent="0.3">
      <c r="U269" t="e">
        <f t="shared" si="40"/>
        <v>#N/A</v>
      </c>
      <c r="X269" t="e">
        <f t="shared" si="41"/>
        <v>#N/A</v>
      </c>
      <c r="Y269" t="e">
        <f t="shared" si="42"/>
        <v>#N/A</v>
      </c>
      <c r="AC269" t="s">
        <v>274</v>
      </c>
      <c r="AD269">
        <v>10304</v>
      </c>
    </row>
    <row r="270" spans="14:30" x14ac:dyDescent="0.3">
      <c r="U270" t="e">
        <f t="shared" si="40"/>
        <v>#N/A</v>
      </c>
      <c r="X270" t="e">
        <f t="shared" si="41"/>
        <v>#N/A</v>
      </c>
      <c r="Y270" t="e">
        <f t="shared" si="42"/>
        <v>#N/A</v>
      </c>
      <c r="AC270" t="s">
        <v>275</v>
      </c>
      <c r="AD270">
        <v>10305</v>
      </c>
    </row>
    <row r="271" spans="14:30" x14ac:dyDescent="0.3">
      <c r="U271" t="e">
        <f t="shared" si="40"/>
        <v>#N/A</v>
      </c>
      <c r="X271" t="e">
        <f t="shared" si="41"/>
        <v>#N/A</v>
      </c>
      <c r="Y271" t="e">
        <f t="shared" si="42"/>
        <v>#N/A</v>
      </c>
      <c r="AC271" t="s">
        <v>276</v>
      </c>
      <c r="AD271">
        <v>10306</v>
      </c>
    </row>
    <row r="272" spans="14:30" x14ac:dyDescent="0.3">
      <c r="U272" t="e">
        <f t="shared" si="40"/>
        <v>#N/A</v>
      </c>
      <c r="X272" t="e">
        <f t="shared" si="41"/>
        <v>#N/A</v>
      </c>
      <c r="Y272" t="e">
        <f t="shared" si="42"/>
        <v>#N/A</v>
      </c>
      <c r="AC272" t="s">
        <v>277</v>
      </c>
      <c r="AD272">
        <v>10307</v>
      </c>
    </row>
    <row r="273" spans="21:30" x14ac:dyDescent="0.3">
      <c r="U273" t="e">
        <f t="shared" si="40"/>
        <v>#N/A</v>
      </c>
      <c r="X273" t="e">
        <f t="shared" si="41"/>
        <v>#N/A</v>
      </c>
      <c r="Y273" t="e">
        <f t="shared" si="42"/>
        <v>#N/A</v>
      </c>
      <c r="AC273" t="s">
        <v>278</v>
      </c>
      <c r="AD273">
        <v>10401</v>
      </c>
    </row>
    <row r="274" spans="21:30" x14ac:dyDescent="0.3">
      <c r="U274" t="e">
        <f t="shared" si="40"/>
        <v>#N/A</v>
      </c>
      <c r="X274" t="e">
        <f t="shared" si="41"/>
        <v>#N/A</v>
      </c>
      <c r="Y274" t="e">
        <f t="shared" si="42"/>
        <v>#N/A</v>
      </c>
      <c r="AC274" t="s">
        <v>279</v>
      </c>
      <c r="AD274">
        <v>10402</v>
      </c>
    </row>
    <row r="275" spans="21:30" x14ac:dyDescent="0.3">
      <c r="U275" t="e">
        <f t="shared" si="40"/>
        <v>#N/A</v>
      </c>
      <c r="X275" t="e">
        <f t="shared" si="41"/>
        <v>#N/A</v>
      </c>
      <c r="Y275" t="e">
        <f t="shared" si="42"/>
        <v>#N/A</v>
      </c>
      <c r="AC275" t="s">
        <v>280</v>
      </c>
      <c r="AD275">
        <v>10403</v>
      </c>
    </row>
    <row r="276" spans="21:30" x14ac:dyDescent="0.3">
      <c r="U276" t="e">
        <f t="shared" si="40"/>
        <v>#N/A</v>
      </c>
      <c r="X276" t="e">
        <f t="shared" si="41"/>
        <v>#N/A</v>
      </c>
      <c r="Y276" t="e">
        <f t="shared" si="42"/>
        <v>#N/A</v>
      </c>
      <c r="AC276" t="s">
        <v>281</v>
      </c>
      <c r="AD276">
        <v>10404</v>
      </c>
    </row>
    <row r="277" spans="21:30" x14ac:dyDescent="0.3">
      <c r="U277" t="e">
        <f t="shared" si="40"/>
        <v>#N/A</v>
      </c>
      <c r="X277" t="e">
        <f t="shared" si="41"/>
        <v>#N/A</v>
      </c>
      <c r="Y277" t="e">
        <f t="shared" si="42"/>
        <v>#N/A</v>
      </c>
      <c r="AC277" t="s">
        <v>282</v>
      </c>
      <c r="AD277">
        <v>11101</v>
      </c>
    </row>
    <row r="278" spans="21:30" x14ac:dyDescent="0.3">
      <c r="U278" t="e">
        <f t="shared" si="40"/>
        <v>#N/A</v>
      </c>
      <c r="X278" t="e">
        <f t="shared" si="41"/>
        <v>#N/A</v>
      </c>
      <c r="Y278" t="e">
        <f t="shared" si="42"/>
        <v>#N/A</v>
      </c>
      <c r="AC278" t="s">
        <v>283</v>
      </c>
      <c r="AD278">
        <v>11102</v>
      </c>
    </row>
    <row r="279" spans="21:30" x14ac:dyDescent="0.3">
      <c r="U279" t="e">
        <f t="shared" si="40"/>
        <v>#N/A</v>
      </c>
      <c r="X279" t="e">
        <f t="shared" si="41"/>
        <v>#N/A</v>
      </c>
      <c r="Y279" t="e">
        <f t="shared" si="42"/>
        <v>#N/A</v>
      </c>
      <c r="AC279" t="s">
        <v>284</v>
      </c>
      <c r="AD279">
        <v>11201</v>
      </c>
    </row>
    <row r="280" spans="21:30" x14ac:dyDescent="0.3">
      <c r="U280" t="e">
        <f t="shared" si="40"/>
        <v>#N/A</v>
      </c>
      <c r="X280" t="e">
        <f t="shared" si="41"/>
        <v>#N/A</v>
      </c>
      <c r="Y280" t="e">
        <f t="shared" si="42"/>
        <v>#N/A</v>
      </c>
      <c r="AC280" t="s">
        <v>285</v>
      </c>
      <c r="AD280">
        <v>11202</v>
      </c>
    </row>
    <row r="281" spans="21:30" x14ac:dyDescent="0.3">
      <c r="U281" t="e">
        <f t="shared" si="40"/>
        <v>#N/A</v>
      </c>
      <c r="X281" t="e">
        <f t="shared" si="41"/>
        <v>#N/A</v>
      </c>
      <c r="Y281" t="e">
        <f t="shared" si="42"/>
        <v>#N/A</v>
      </c>
      <c r="AC281" t="s">
        <v>286</v>
      </c>
      <c r="AD281">
        <v>11203</v>
      </c>
    </row>
    <row r="282" spans="21:30" x14ac:dyDescent="0.3">
      <c r="U282" t="e">
        <f t="shared" si="40"/>
        <v>#N/A</v>
      </c>
      <c r="X282" t="e">
        <f t="shared" si="41"/>
        <v>#N/A</v>
      </c>
      <c r="Y282" t="e">
        <f t="shared" si="42"/>
        <v>#N/A</v>
      </c>
      <c r="AC282" t="s">
        <v>287</v>
      </c>
      <c r="AD282">
        <v>11301</v>
      </c>
    </row>
    <row r="283" spans="21:30" x14ac:dyDescent="0.3">
      <c r="U283" t="e">
        <f t="shared" si="40"/>
        <v>#N/A</v>
      </c>
      <c r="X283" t="e">
        <f t="shared" si="41"/>
        <v>#N/A</v>
      </c>
      <c r="Y283" t="e">
        <f t="shared" si="42"/>
        <v>#N/A</v>
      </c>
      <c r="AC283" t="s">
        <v>23</v>
      </c>
      <c r="AD283">
        <v>11302</v>
      </c>
    </row>
    <row r="284" spans="21:30" x14ac:dyDescent="0.3">
      <c r="U284" t="e">
        <f t="shared" si="40"/>
        <v>#N/A</v>
      </c>
      <c r="X284" t="e">
        <f t="shared" si="41"/>
        <v>#N/A</v>
      </c>
      <c r="Y284" t="e">
        <f t="shared" si="42"/>
        <v>#N/A</v>
      </c>
      <c r="AC284" t="s">
        <v>288</v>
      </c>
      <c r="AD284">
        <v>11303</v>
      </c>
    </row>
    <row r="285" spans="21:30" x14ac:dyDescent="0.3">
      <c r="U285" t="e">
        <f t="shared" si="40"/>
        <v>#N/A</v>
      </c>
      <c r="X285" t="e">
        <f t="shared" si="41"/>
        <v>#N/A</v>
      </c>
      <c r="Y285" t="e">
        <f t="shared" si="42"/>
        <v>#N/A</v>
      </c>
      <c r="AC285" t="s">
        <v>289</v>
      </c>
      <c r="AD285">
        <v>11401</v>
      </c>
    </row>
    <row r="286" spans="21:30" x14ac:dyDescent="0.3">
      <c r="U286" t="e">
        <f t="shared" si="40"/>
        <v>#N/A</v>
      </c>
      <c r="X286" t="e">
        <f t="shared" si="41"/>
        <v>#N/A</v>
      </c>
      <c r="Y286" t="e">
        <f t="shared" si="42"/>
        <v>#N/A</v>
      </c>
      <c r="AC286" t="s">
        <v>290</v>
      </c>
      <c r="AD286">
        <v>11402</v>
      </c>
    </row>
    <row r="287" spans="21:30" x14ac:dyDescent="0.3">
      <c r="U287" t="e">
        <f t="shared" si="40"/>
        <v>#N/A</v>
      </c>
      <c r="X287" t="e">
        <f t="shared" si="41"/>
        <v>#N/A</v>
      </c>
      <c r="Y287" t="e">
        <f t="shared" si="42"/>
        <v>#N/A</v>
      </c>
      <c r="AC287" t="s">
        <v>291</v>
      </c>
      <c r="AD287">
        <v>12101</v>
      </c>
    </row>
    <row r="288" spans="21:30" x14ac:dyDescent="0.3">
      <c r="U288" t="e">
        <f t="shared" si="40"/>
        <v>#N/A</v>
      </c>
      <c r="X288" t="e">
        <f t="shared" si="41"/>
        <v>#N/A</v>
      </c>
      <c r="Y288" t="e">
        <f t="shared" si="42"/>
        <v>#N/A</v>
      </c>
      <c r="AC288" t="s">
        <v>292</v>
      </c>
      <c r="AD288">
        <v>12102</v>
      </c>
    </row>
    <row r="289" spans="21:30" x14ac:dyDescent="0.3">
      <c r="U289" t="e">
        <f t="shared" si="40"/>
        <v>#N/A</v>
      </c>
      <c r="X289" t="e">
        <f t="shared" si="41"/>
        <v>#N/A</v>
      </c>
      <c r="Y289" t="e">
        <f t="shared" si="42"/>
        <v>#N/A</v>
      </c>
      <c r="AC289" t="s">
        <v>293</v>
      </c>
      <c r="AD289">
        <v>12103</v>
      </c>
    </row>
    <row r="290" spans="21:30" x14ac:dyDescent="0.3">
      <c r="U290" t="e">
        <f t="shared" si="40"/>
        <v>#N/A</v>
      </c>
      <c r="X290" t="e">
        <f t="shared" si="41"/>
        <v>#N/A</v>
      </c>
      <c r="Y290" t="e">
        <f t="shared" si="42"/>
        <v>#N/A</v>
      </c>
      <c r="AC290" t="s">
        <v>294</v>
      </c>
      <c r="AD290">
        <v>12104</v>
      </c>
    </row>
    <row r="291" spans="21:30" x14ac:dyDescent="0.3">
      <c r="U291" t="e">
        <f t="shared" si="40"/>
        <v>#N/A</v>
      </c>
      <c r="X291" t="e">
        <f t="shared" si="41"/>
        <v>#N/A</v>
      </c>
      <c r="Y291" t="e">
        <f t="shared" si="42"/>
        <v>#N/A</v>
      </c>
      <c r="AC291" t="s">
        <v>295</v>
      </c>
      <c r="AD291">
        <v>12201</v>
      </c>
    </row>
    <row r="292" spans="21:30" x14ac:dyDescent="0.3">
      <c r="U292" t="e">
        <f t="shared" si="40"/>
        <v>#N/A</v>
      </c>
      <c r="X292" t="e">
        <f t="shared" si="41"/>
        <v>#N/A</v>
      </c>
      <c r="Y292" t="e">
        <f t="shared" si="42"/>
        <v>#N/A</v>
      </c>
      <c r="AC292" t="s">
        <v>296</v>
      </c>
      <c r="AD292">
        <v>12301</v>
      </c>
    </row>
    <row r="293" spans="21:30" x14ac:dyDescent="0.3">
      <c r="U293" t="e">
        <f t="shared" si="40"/>
        <v>#N/A</v>
      </c>
      <c r="X293" t="e">
        <f t="shared" si="41"/>
        <v>#N/A</v>
      </c>
      <c r="Y293" t="e">
        <f t="shared" si="42"/>
        <v>#N/A</v>
      </c>
      <c r="AC293" t="s">
        <v>297</v>
      </c>
      <c r="AD293">
        <v>12302</v>
      </c>
    </row>
    <row r="294" spans="21:30" x14ac:dyDescent="0.3">
      <c r="U294" t="e">
        <f t="shared" si="40"/>
        <v>#N/A</v>
      </c>
      <c r="X294" t="e">
        <f t="shared" si="41"/>
        <v>#N/A</v>
      </c>
      <c r="Y294" t="e">
        <f t="shared" si="42"/>
        <v>#N/A</v>
      </c>
      <c r="AC294" t="s">
        <v>298</v>
      </c>
      <c r="AD294">
        <v>12303</v>
      </c>
    </row>
    <row r="295" spans="21:30" x14ac:dyDescent="0.3">
      <c r="U295" t="e">
        <f t="shared" si="40"/>
        <v>#N/A</v>
      </c>
      <c r="X295" t="e">
        <f t="shared" si="41"/>
        <v>#N/A</v>
      </c>
      <c r="Y295" t="e">
        <f t="shared" si="42"/>
        <v>#N/A</v>
      </c>
      <c r="AC295" t="s">
        <v>299</v>
      </c>
      <c r="AD295">
        <v>12401</v>
      </c>
    </row>
    <row r="296" spans="21:30" x14ac:dyDescent="0.3">
      <c r="U296" t="e">
        <f t="shared" si="40"/>
        <v>#N/A</v>
      </c>
      <c r="X296" t="e">
        <f t="shared" si="41"/>
        <v>#N/A</v>
      </c>
      <c r="Y296" t="e">
        <f t="shared" si="42"/>
        <v>#N/A</v>
      </c>
      <c r="AC296" t="s">
        <v>300</v>
      </c>
      <c r="AD296">
        <v>12402</v>
      </c>
    </row>
    <row r="297" spans="21:30" x14ac:dyDescent="0.3">
      <c r="U297" t="e">
        <f t="shared" si="40"/>
        <v>#N/A</v>
      </c>
      <c r="X297" t="e">
        <f t="shared" si="41"/>
        <v>#N/A</v>
      </c>
      <c r="Y297" t="e">
        <f t="shared" si="42"/>
        <v>#N/A</v>
      </c>
      <c r="AC297" t="s">
        <v>301</v>
      </c>
      <c r="AD297">
        <v>13101</v>
      </c>
    </row>
    <row r="298" spans="21:30" x14ac:dyDescent="0.3">
      <c r="U298" t="e">
        <f t="shared" si="40"/>
        <v>#N/A</v>
      </c>
      <c r="X298" t="e">
        <f t="shared" si="41"/>
        <v>#N/A</v>
      </c>
      <c r="Y298" t="e">
        <f t="shared" si="42"/>
        <v>#N/A</v>
      </c>
      <c r="AC298" t="s">
        <v>302</v>
      </c>
      <c r="AD298">
        <v>13102</v>
      </c>
    </row>
    <row r="299" spans="21:30" x14ac:dyDescent="0.3">
      <c r="U299" t="e">
        <f t="shared" si="40"/>
        <v>#N/A</v>
      </c>
      <c r="X299" t="e">
        <f t="shared" si="41"/>
        <v>#N/A</v>
      </c>
      <c r="Y299" t="e">
        <f t="shared" si="42"/>
        <v>#N/A</v>
      </c>
      <c r="AC299" t="s">
        <v>303</v>
      </c>
      <c r="AD299">
        <v>13103</v>
      </c>
    </row>
    <row r="300" spans="21:30" x14ac:dyDescent="0.3">
      <c r="U300" t="e">
        <f t="shared" si="40"/>
        <v>#N/A</v>
      </c>
      <c r="X300" t="e">
        <f t="shared" si="41"/>
        <v>#N/A</v>
      </c>
      <c r="Y300" t="e">
        <f t="shared" si="42"/>
        <v>#N/A</v>
      </c>
      <c r="AC300" t="s">
        <v>304</v>
      </c>
      <c r="AD300">
        <v>13104</v>
      </c>
    </row>
    <row r="301" spans="21:30" x14ac:dyDescent="0.3">
      <c r="U301" t="e">
        <f t="shared" si="40"/>
        <v>#N/A</v>
      </c>
      <c r="X301" t="e">
        <f t="shared" si="41"/>
        <v>#N/A</v>
      </c>
      <c r="Y301" t="e">
        <f t="shared" si="42"/>
        <v>#N/A</v>
      </c>
      <c r="AC301" t="s">
        <v>305</v>
      </c>
      <c r="AD301">
        <v>13105</v>
      </c>
    </row>
    <row r="302" spans="21:30" x14ac:dyDescent="0.3">
      <c r="U302" t="e">
        <f t="shared" si="40"/>
        <v>#N/A</v>
      </c>
      <c r="X302" t="e">
        <f t="shared" si="41"/>
        <v>#N/A</v>
      </c>
      <c r="Y302" t="e">
        <f t="shared" si="42"/>
        <v>#N/A</v>
      </c>
      <c r="AC302" t="s">
        <v>306</v>
      </c>
      <c r="AD302">
        <v>13106</v>
      </c>
    </row>
    <row r="303" spans="21:30" x14ac:dyDescent="0.3">
      <c r="U303" t="e">
        <f t="shared" si="40"/>
        <v>#N/A</v>
      </c>
      <c r="X303" t="e">
        <f t="shared" si="41"/>
        <v>#N/A</v>
      </c>
      <c r="Y303" t="e">
        <f t="shared" si="42"/>
        <v>#N/A</v>
      </c>
      <c r="AC303" t="s">
        <v>307</v>
      </c>
      <c r="AD303">
        <v>13107</v>
      </c>
    </row>
    <row r="304" spans="21:30" x14ac:dyDescent="0.3">
      <c r="U304" t="e">
        <f t="shared" si="40"/>
        <v>#N/A</v>
      </c>
      <c r="X304" t="e">
        <f t="shared" si="41"/>
        <v>#N/A</v>
      </c>
      <c r="Y304" t="e">
        <f t="shared" si="42"/>
        <v>#N/A</v>
      </c>
      <c r="AC304" t="s">
        <v>308</v>
      </c>
      <c r="AD304">
        <v>13108</v>
      </c>
    </row>
    <row r="305" spans="21:30" x14ac:dyDescent="0.3">
      <c r="U305" t="e">
        <f t="shared" si="40"/>
        <v>#N/A</v>
      </c>
      <c r="X305" t="e">
        <f t="shared" si="41"/>
        <v>#N/A</v>
      </c>
      <c r="Y305" t="e">
        <f t="shared" si="42"/>
        <v>#N/A</v>
      </c>
      <c r="AC305" t="s">
        <v>309</v>
      </c>
      <c r="AD305">
        <v>13109</v>
      </c>
    </row>
    <row r="306" spans="21:30" x14ac:dyDescent="0.3">
      <c r="U306" t="e">
        <f t="shared" si="40"/>
        <v>#N/A</v>
      </c>
      <c r="X306" t="e">
        <f t="shared" si="41"/>
        <v>#N/A</v>
      </c>
      <c r="Y306" t="e">
        <f t="shared" si="42"/>
        <v>#N/A</v>
      </c>
      <c r="AC306" t="s">
        <v>310</v>
      </c>
      <c r="AD306">
        <v>13110</v>
      </c>
    </row>
    <row r="307" spans="21:30" x14ac:dyDescent="0.3">
      <c r="U307" t="e">
        <f t="shared" si="40"/>
        <v>#N/A</v>
      </c>
      <c r="X307" t="e">
        <f t="shared" si="41"/>
        <v>#N/A</v>
      </c>
      <c r="Y307" t="e">
        <f t="shared" si="42"/>
        <v>#N/A</v>
      </c>
      <c r="AC307" t="s">
        <v>311</v>
      </c>
      <c r="AD307">
        <v>13111</v>
      </c>
    </row>
    <row r="308" spans="21:30" x14ac:dyDescent="0.3">
      <c r="U308" t="e">
        <f t="shared" si="40"/>
        <v>#N/A</v>
      </c>
      <c r="X308" t="e">
        <f t="shared" si="41"/>
        <v>#N/A</v>
      </c>
      <c r="Y308" t="e">
        <f t="shared" si="42"/>
        <v>#N/A</v>
      </c>
      <c r="AC308" t="s">
        <v>312</v>
      </c>
      <c r="AD308">
        <v>13112</v>
      </c>
    </row>
    <row r="309" spans="21:30" x14ac:dyDescent="0.3">
      <c r="U309" t="e">
        <f t="shared" si="40"/>
        <v>#N/A</v>
      </c>
      <c r="X309" t="e">
        <f t="shared" si="41"/>
        <v>#N/A</v>
      </c>
      <c r="Y309" t="e">
        <f t="shared" si="42"/>
        <v>#N/A</v>
      </c>
      <c r="AC309" t="s">
        <v>313</v>
      </c>
      <c r="AD309">
        <v>13113</v>
      </c>
    </row>
    <row r="310" spans="21:30" x14ac:dyDescent="0.3">
      <c r="U310" t="e">
        <f t="shared" si="40"/>
        <v>#N/A</v>
      </c>
      <c r="X310" t="e">
        <f t="shared" si="41"/>
        <v>#N/A</v>
      </c>
      <c r="Y310" t="e">
        <f t="shared" si="42"/>
        <v>#N/A</v>
      </c>
      <c r="AC310" t="s">
        <v>314</v>
      </c>
      <c r="AD310">
        <v>13114</v>
      </c>
    </row>
    <row r="311" spans="21:30" x14ac:dyDescent="0.3">
      <c r="U311" t="e">
        <f t="shared" si="40"/>
        <v>#N/A</v>
      </c>
      <c r="X311" t="e">
        <f t="shared" si="41"/>
        <v>#N/A</v>
      </c>
      <c r="Y311" t="e">
        <f t="shared" si="42"/>
        <v>#N/A</v>
      </c>
      <c r="AC311" t="s">
        <v>315</v>
      </c>
      <c r="AD311">
        <v>13115</v>
      </c>
    </row>
    <row r="312" spans="21:30" x14ac:dyDescent="0.3">
      <c r="U312" t="e">
        <f t="shared" si="40"/>
        <v>#N/A</v>
      </c>
      <c r="X312" t="e">
        <f t="shared" si="41"/>
        <v>#N/A</v>
      </c>
      <c r="Y312" t="e">
        <f t="shared" si="42"/>
        <v>#N/A</v>
      </c>
      <c r="AC312" t="s">
        <v>316</v>
      </c>
      <c r="AD312">
        <v>13116</v>
      </c>
    </row>
    <row r="313" spans="21:30" x14ac:dyDescent="0.3">
      <c r="U313" t="e">
        <f t="shared" si="40"/>
        <v>#N/A</v>
      </c>
      <c r="X313" t="e">
        <f t="shared" si="41"/>
        <v>#N/A</v>
      </c>
      <c r="Y313" t="e">
        <f t="shared" si="42"/>
        <v>#N/A</v>
      </c>
      <c r="AC313" t="s">
        <v>317</v>
      </c>
      <c r="AD313">
        <v>13117</v>
      </c>
    </row>
    <row r="314" spans="21:30" x14ac:dyDescent="0.3">
      <c r="U314" t="e">
        <f t="shared" si="40"/>
        <v>#N/A</v>
      </c>
      <c r="X314" t="e">
        <f t="shared" si="41"/>
        <v>#N/A</v>
      </c>
      <c r="Y314" t="e">
        <f t="shared" si="42"/>
        <v>#N/A</v>
      </c>
      <c r="AC314" t="s">
        <v>318</v>
      </c>
      <c r="AD314">
        <v>13118</v>
      </c>
    </row>
    <row r="315" spans="21:30" x14ac:dyDescent="0.3">
      <c r="U315" t="e">
        <f t="shared" si="40"/>
        <v>#N/A</v>
      </c>
      <c r="X315" t="e">
        <f t="shared" si="41"/>
        <v>#N/A</v>
      </c>
      <c r="Y315" t="e">
        <f t="shared" si="42"/>
        <v>#N/A</v>
      </c>
      <c r="AC315" t="s">
        <v>319</v>
      </c>
      <c r="AD315">
        <v>13119</v>
      </c>
    </row>
    <row r="316" spans="21:30" x14ac:dyDescent="0.3">
      <c r="U316" t="e">
        <f t="shared" si="40"/>
        <v>#N/A</v>
      </c>
      <c r="X316" t="e">
        <f t="shared" si="41"/>
        <v>#N/A</v>
      </c>
      <c r="Y316" t="e">
        <f t="shared" si="42"/>
        <v>#N/A</v>
      </c>
      <c r="AC316" t="s">
        <v>320</v>
      </c>
      <c r="AD316">
        <v>13120</v>
      </c>
    </row>
    <row r="317" spans="21:30" x14ac:dyDescent="0.3">
      <c r="U317" t="e">
        <f t="shared" si="40"/>
        <v>#N/A</v>
      </c>
      <c r="X317" t="e">
        <f t="shared" si="41"/>
        <v>#N/A</v>
      </c>
      <c r="Y317" t="e">
        <f t="shared" si="42"/>
        <v>#N/A</v>
      </c>
      <c r="AC317" t="s">
        <v>321</v>
      </c>
      <c r="AD317">
        <v>13121</v>
      </c>
    </row>
    <row r="318" spans="21:30" x14ac:dyDescent="0.3">
      <c r="U318" t="e">
        <f t="shared" si="40"/>
        <v>#N/A</v>
      </c>
      <c r="X318" t="e">
        <f t="shared" si="41"/>
        <v>#N/A</v>
      </c>
      <c r="Y318" t="e">
        <f t="shared" si="42"/>
        <v>#N/A</v>
      </c>
      <c r="AC318" t="s">
        <v>322</v>
      </c>
      <c r="AD318">
        <v>13122</v>
      </c>
    </row>
    <row r="319" spans="21:30" x14ac:dyDescent="0.3">
      <c r="U319" t="e">
        <f t="shared" si="40"/>
        <v>#N/A</v>
      </c>
      <c r="X319" t="e">
        <f t="shared" si="41"/>
        <v>#N/A</v>
      </c>
      <c r="Y319" t="e">
        <f t="shared" si="42"/>
        <v>#N/A</v>
      </c>
      <c r="AC319" t="s">
        <v>323</v>
      </c>
      <c r="AD319">
        <v>13123</v>
      </c>
    </row>
    <row r="320" spans="21:30" x14ac:dyDescent="0.3">
      <c r="U320" t="e">
        <f t="shared" si="40"/>
        <v>#N/A</v>
      </c>
      <c r="X320" t="e">
        <f t="shared" si="41"/>
        <v>#N/A</v>
      </c>
      <c r="Y320" t="e">
        <f t="shared" si="42"/>
        <v>#N/A</v>
      </c>
      <c r="AC320" t="s">
        <v>324</v>
      </c>
      <c r="AD320">
        <v>13124</v>
      </c>
    </row>
    <row r="321" spans="21:30" x14ac:dyDescent="0.3">
      <c r="U321" t="e">
        <f t="shared" si="40"/>
        <v>#N/A</v>
      </c>
      <c r="X321" t="e">
        <f t="shared" si="41"/>
        <v>#N/A</v>
      </c>
      <c r="Y321" t="e">
        <f t="shared" si="42"/>
        <v>#N/A</v>
      </c>
      <c r="AC321" t="s">
        <v>325</v>
      </c>
      <c r="AD321">
        <v>13125</v>
      </c>
    </row>
    <row r="322" spans="21:30" x14ac:dyDescent="0.3">
      <c r="U322" t="e">
        <f t="shared" si="40"/>
        <v>#N/A</v>
      </c>
      <c r="X322" t="e">
        <f t="shared" si="41"/>
        <v>#N/A</v>
      </c>
      <c r="Y322" t="e">
        <f t="shared" si="42"/>
        <v>#N/A</v>
      </c>
      <c r="AC322" t="s">
        <v>326</v>
      </c>
      <c r="AD322">
        <v>13126</v>
      </c>
    </row>
    <row r="323" spans="21:30" x14ac:dyDescent="0.3">
      <c r="U323" t="e">
        <f t="shared" si="40"/>
        <v>#N/A</v>
      </c>
      <c r="X323" t="e">
        <f t="shared" si="41"/>
        <v>#N/A</v>
      </c>
      <c r="Y323" t="e">
        <f t="shared" si="42"/>
        <v>#N/A</v>
      </c>
      <c r="AC323" t="s">
        <v>19</v>
      </c>
      <c r="AD323">
        <v>13127</v>
      </c>
    </row>
    <row r="324" spans="21:30" x14ac:dyDescent="0.3">
      <c r="U324" t="e">
        <f t="shared" si="40"/>
        <v>#N/A</v>
      </c>
      <c r="X324" t="e">
        <f t="shared" si="41"/>
        <v>#N/A</v>
      </c>
      <c r="Y324" t="e">
        <f t="shared" si="42"/>
        <v>#N/A</v>
      </c>
      <c r="AC324" t="s">
        <v>327</v>
      </c>
      <c r="AD324">
        <v>13128</v>
      </c>
    </row>
    <row r="325" spans="21:30" x14ac:dyDescent="0.3">
      <c r="U325" t="e">
        <f t="shared" ref="U325:U366" si="43">+VLOOKUP(W325,$R$4:$S$6,2,0)*100000+X325</f>
        <v>#N/A</v>
      </c>
      <c r="X325" t="e">
        <f t="shared" ref="X325:X366" si="44">+VLOOKUP(V325,$AC$3:$AD$364,2,0)</f>
        <v>#N/A</v>
      </c>
      <c r="Y325" t="e">
        <f t="shared" ref="Y325:Y366" si="45">+U325</f>
        <v>#N/A</v>
      </c>
      <c r="AC325" t="s">
        <v>328</v>
      </c>
      <c r="AD325">
        <v>13129</v>
      </c>
    </row>
    <row r="326" spans="21:30" x14ac:dyDescent="0.3">
      <c r="U326" t="e">
        <f t="shared" si="43"/>
        <v>#N/A</v>
      </c>
      <c r="X326" t="e">
        <f t="shared" si="44"/>
        <v>#N/A</v>
      </c>
      <c r="Y326" t="e">
        <f t="shared" si="45"/>
        <v>#N/A</v>
      </c>
      <c r="AC326" t="s">
        <v>329</v>
      </c>
      <c r="AD326">
        <v>13130</v>
      </c>
    </row>
    <row r="327" spans="21:30" x14ac:dyDescent="0.3">
      <c r="U327" t="e">
        <f t="shared" si="43"/>
        <v>#N/A</v>
      </c>
      <c r="X327" t="e">
        <f t="shared" si="44"/>
        <v>#N/A</v>
      </c>
      <c r="Y327" t="e">
        <f t="shared" si="45"/>
        <v>#N/A</v>
      </c>
      <c r="AC327" t="s">
        <v>330</v>
      </c>
      <c r="AD327">
        <v>13131</v>
      </c>
    </row>
    <row r="328" spans="21:30" x14ac:dyDescent="0.3">
      <c r="U328" t="e">
        <f t="shared" si="43"/>
        <v>#N/A</v>
      </c>
      <c r="X328" t="e">
        <f t="shared" si="44"/>
        <v>#N/A</v>
      </c>
      <c r="Y328" t="e">
        <f t="shared" si="45"/>
        <v>#N/A</v>
      </c>
      <c r="AC328" t="s">
        <v>331</v>
      </c>
      <c r="AD328">
        <v>13132</v>
      </c>
    </row>
    <row r="329" spans="21:30" x14ac:dyDescent="0.3">
      <c r="U329" t="e">
        <f t="shared" si="43"/>
        <v>#N/A</v>
      </c>
      <c r="X329" t="e">
        <f t="shared" si="44"/>
        <v>#N/A</v>
      </c>
      <c r="Y329" t="e">
        <f t="shared" si="45"/>
        <v>#N/A</v>
      </c>
      <c r="AC329" t="s">
        <v>332</v>
      </c>
      <c r="AD329">
        <v>13201</v>
      </c>
    </row>
    <row r="330" spans="21:30" x14ac:dyDescent="0.3">
      <c r="U330" t="e">
        <f t="shared" si="43"/>
        <v>#N/A</v>
      </c>
      <c r="X330" t="e">
        <f t="shared" si="44"/>
        <v>#N/A</v>
      </c>
      <c r="Y330" t="e">
        <f t="shared" si="45"/>
        <v>#N/A</v>
      </c>
      <c r="AC330" t="s">
        <v>333</v>
      </c>
      <c r="AD330">
        <v>13202</v>
      </c>
    </row>
    <row r="331" spans="21:30" x14ac:dyDescent="0.3">
      <c r="U331" t="e">
        <f t="shared" si="43"/>
        <v>#N/A</v>
      </c>
      <c r="X331" t="e">
        <f t="shared" si="44"/>
        <v>#N/A</v>
      </c>
      <c r="Y331" t="e">
        <f t="shared" si="45"/>
        <v>#N/A</v>
      </c>
      <c r="AC331" t="s">
        <v>334</v>
      </c>
      <c r="AD331">
        <v>13203</v>
      </c>
    </row>
    <row r="332" spans="21:30" x14ac:dyDescent="0.3">
      <c r="U332" t="e">
        <f t="shared" si="43"/>
        <v>#N/A</v>
      </c>
      <c r="X332" t="e">
        <f t="shared" si="44"/>
        <v>#N/A</v>
      </c>
      <c r="Y332" t="e">
        <f t="shared" si="45"/>
        <v>#N/A</v>
      </c>
      <c r="AC332" t="s">
        <v>335</v>
      </c>
      <c r="AD332">
        <v>13301</v>
      </c>
    </row>
    <row r="333" spans="21:30" x14ac:dyDescent="0.3">
      <c r="U333" t="e">
        <f t="shared" si="43"/>
        <v>#N/A</v>
      </c>
      <c r="X333" t="e">
        <f t="shared" si="44"/>
        <v>#N/A</v>
      </c>
      <c r="Y333" t="e">
        <f t="shared" si="45"/>
        <v>#N/A</v>
      </c>
      <c r="AC333" t="s">
        <v>336</v>
      </c>
      <c r="AD333">
        <v>13302</v>
      </c>
    </row>
    <row r="334" spans="21:30" x14ac:dyDescent="0.3">
      <c r="U334" t="e">
        <f t="shared" si="43"/>
        <v>#N/A</v>
      </c>
      <c r="X334" t="e">
        <f t="shared" si="44"/>
        <v>#N/A</v>
      </c>
      <c r="Y334" t="e">
        <f t="shared" si="45"/>
        <v>#N/A</v>
      </c>
      <c r="AC334" t="s">
        <v>337</v>
      </c>
      <c r="AD334">
        <v>13303</v>
      </c>
    </row>
    <row r="335" spans="21:30" x14ac:dyDescent="0.3">
      <c r="U335" t="e">
        <f t="shared" si="43"/>
        <v>#N/A</v>
      </c>
      <c r="X335" t="e">
        <f t="shared" si="44"/>
        <v>#N/A</v>
      </c>
      <c r="Y335" t="e">
        <f t="shared" si="45"/>
        <v>#N/A</v>
      </c>
      <c r="AC335" t="s">
        <v>338</v>
      </c>
      <c r="AD335">
        <v>13401</v>
      </c>
    </row>
    <row r="336" spans="21:30" x14ac:dyDescent="0.3">
      <c r="U336" t="e">
        <f t="shared" si="43"/>
        <v>#N/A</v>
      </c>
      <c r="X336" t="e">
        <f t="shared" si="44"/>
        <v>#N/A</v>
      </c>
      <c r="Y336" t="e">
        <f t="shared" si="45"/>
        <v>#N/A</v>
      </c>
      <c r="AC336" t="s">
        <v>339</v>
      </c>
      <c r="AD336">
        <v>13402</v>
      </c>
    </row>
    <row r="337" spans="21:30" x14ac:dyDescent="0.3">
      <c r="U337" t="e">
        <f t="shared" si="43"/>
        <v>#N/A</v>
      </c>
      <c r="X337" t="e">
        <f t="shared" si="44"/>
        <v>#N/A</v>
      </c>
      <c r="Y337" t="e">
        <f t="shared" si="45"/>
        <v>#N/A</v>
      </c>
      <c r="AC337" t="s">
        <v>340</v>
      </c>
      <c r="AD337">
        <v>13403</v>
      </c>
    </row>
    <row r="338" spans="21:30" x14ac:dyDescent="0.3">
      <c r="U338" t="e">
        <f t="shared" si="43"/>
        <v>#N/A</v>
      </c>
      <c r="X338" t="e">
        <f t="shared" si="44"/>
        <v>#N/A</v>
      </c>
      <c r="Y338" t="e">
        <f t="shared" si="45"/>
        <v>#N/A</v>
      </c>
      <c r="AC338" t="s">
        <v>341</v>
      </c>
      <c r="AD338">
        <v>13404</v>
      </c>
    </row>
    <row r="339" spans="21:30" x14ac:dyDescent="0.3">
      <c r="U339" t="e">
        <f t="shared" si="43"/>
        <v>#N/A</v>
      </c>
      <c r="X339" t="e">
        <f t="shared" si="44"/>
        <v>#N/A</v>
      </c>
      <c r="Y339" t="e">
        <f t="shared" si="45"/>
        <v>#N/A</v>
      </c>
      <c r="AC339" t="s">
        <v>342</v>
      </c>
      <c r="AD339">
        <v>13501</v>
      </c>
    </row>
    <row r="340" spans="21:30" x14ac:dyDescent="0.3">
      <c r="U340" t="e">
        <f t="shared" si="43"/>
        <v>#N/A</v>
      </c>
      <c r="X340" t="e">
        <f t="shared" si="44"/>
        <v>#N/A</v>
      </c>
      <c r="Y340" t="e">
        <f t="shared" si="45"/>
        <v>#N/A</v>
      </c>
      <c r="AC340" t="s">
        <v>343</v>
      </c>
      <c r="AD340">
        <v>13502</v>
      </c>
    </row>
    <row r="341" spans="21:30" x14ac:dyDescent="0.3">
      <c r="U341" t="e">
        <f t="shared" si="43"/>
        <v>#N/A</v>
      </c>
      <c r="X341" t="e">
        <f t="shared" si="44"/>
        <v>#N/A</v>
      </c>
      <c r="Y341" t="e">
        <f t="shared" si="45"/>
        <v>#N/A</v>
      </c>
      <c r="AC341" t="s">
        <v>344</v>
      </c>
      <c r="AD341">
        <v>13503</v>
      </c>
    </row>
    <row r="342" spans="21:30" x14ac:dyDescent="0.3">
      <c r="U342" t="e">
        <f t="shared" si="43"/>
        <v>#N/A</v>
      </c>
      <c r="X342" t="e">
        <f t="shared" si="44"/>
        <v>#N/A</v>
      </c>
      <c r="Y342" t="e">
        <f t="shared" si="45"/>
        <v>#N/A</v>
      </c>
      <c r="AC342" t="s">
        <v>345</v>
      </c>
      <c r="AD342">
        <v>13504</v>
      </c>
    </row>
    <row r="343" spans="21:30" x14ac:dyDescent="0.3">
      <c r="U343" t="e">
        <f t="shared" si="43"/>
        <v>#N/A</v>
      </c>
      <c r="X343" t="e">
        <f t="shared" si="44"/>
        <v>#N/A</v>
      </c>
      <c r="Y343" t="e">
        <f t="shared" si="45"/>
        <v>#N/A</v>
      </c>
      <c r="AC343" t="s">
        <v>346</v>
      </c>
      <c r="AD343">
        <v>13505</v>
      </c>
    </row>
    <row r="344" spans="21:30" x14ac:dyDescent="0.3">
      <c r="U344" t="e">
        <f t="shared" si="43"/>
        <v>#N/A</v>
      </c>
      <c r="X344" t="e">
        <f t="shared" si="44"/>
        <v>#N/A</v>
      </c>
      <c r="Y344" t="e">
        <f t="shared" si="45"/>
        <v>#N/A</v>
      </c>
      <c r="AC344" t="s">
        <v>347</v>
      </c>
      <c r="AD344">
        <v>13601</v>
      </c>
    </row>
    <row r="345" spans="21:30" x14ac:dyDescent="0.3">
      <c r="U345" t="e">
        <f t="shared" si="43"/>
        <v>#N/A</v>
      </c>
      <c r="X345" t="e">
        <f t="shared" si="44"/>
        <v>#N/A</v>
      </c>
      <c r="Y345" t="e">
        <f t="shared" si="45"/>
        <v>#N/A</v>
      </c>
      <c r="AC345" t="s">
        <v>348</v>
      </c>
      <c r="AD345">
        <v>13602</v>
      </c>
    </row>
    <row r="346" spans="21:30" x14ac:dyDescent="0.3">
      <c r="U346" t="e">
        <f t="shared" si="43"/>
        <v>#N/A</v>
      </c>
      <c r="X346" t="e">
        <f t="shared" si="44"/>
        <v>#N/A</v>
      </c>
      <c r="Y346" t="e">
        <f t="shared" si="45"/>
        <v>#N/A</v>
      </c>
      <c r="AC346" t="s">
        <v>349</v>
      </c>
      <c r="AD346">
        <v>13603</v>
      </c>
    </row>
    <row r="347" spans="21:30" x14ac:dyDescent="0.3">
      <c r="U347" t="e">
        <f t="shared" si="43"/>
        <v>#N/A</v>
      </c>
      <c r="X347" t="e">
        <f t="shared" si="44"/>
        <v>#N/A</v>
      </c>
      <c r="Y347" t="e">
        <f t="shared" si="45"/>
        <v>#N/A</v>
      </c>
      <c r="AC347" t="s">
        <v>350</v>
      </c>
      <c r="AD347">
        <v>13604</v>
      </c>
    </row>
    <row r="348" spans="21:30" x14ac:dyDescent="0.3">
      <c r="U348" t="e">
        <f t="shared" si="43"/>
        <v>#N/A</v>
      </c>
      <c r="X348" t="e">
        <f t="shared" si="44"/>
        <v>#N/A</v>
      </c>
      <c r="Y348" t="e">
        <f t="shared" si="45"/>
        <v>#N/A</v>
      </c>
      <c r="AC348" t="s">
        <v>351</v>
      </c>
      <c r="AD348">
        <v>13605</v>
      </c>
    </row>
    <row r="349" spans="21:30" x14ac:dyDescent="0.3">
      <c r="U349" t="e">
        <f t="shared" si="43"/>
        <v>#N/A</v>
      </c>
      <c r="X349" t="e">
        <f t="shared" si="44"/>
        <v>#N/A</v>
      </c>
      <c r="Y349" t="e">
        <f t="shared" si="45"/>
        <v>#N/A</v>
      </c>
      <c r="AC349" t="s">
        <v>352</v>
      </c>
      <c r="AD349">
        <v>14101</v>
      </c>
    </row>
    <row r="350" spans="21:30" x14ac:dyDescent="0.3">
      <c r="U350" t="e">
        <f t="shared" si="43"/>
        <v>#N/A</v>
      </c>
      <c r="X350" t="e">
        <f t="shared" si="44"/>
        <v>#N/A</v>
      </c>
      <c r="Y350" t="e">
        <f t="shared" si="45"/>
        <v>#N/A</v>
      </c>
      <c r="AC350" t="s">
        <v>353</v>
      </c>
      <c r="AD350">
        <v>14102</v>
      </c>
    </row>
    <row r="351" spans="21:30" x14ac:dyDescent="0.3">
      <c r="U351" t="e">
        <f t="shared" si="43"/>
        <v>#N/A</v>
      </c>
      <c r="X351" t="e">
        <f t="shared" si="44"/>
        <v>#N/A</v>
      </c>
      <c r="Y351" t="e">
        <f t="shared" si="45"/>
        <v>#N/A</v>
      </c>
      <c r="AC351" t="s">
        <v>354</v>
      </c>
      <c r="AD351">
        <v>14103</v>
      </c>
    </row>
    <row r="352" spans="21:30" x14ac:dyDescent="0.3">
      <c r="U352" t="e">
        <f t="shared" si="43"/>
        <v>#N/A</v>
      </c>
      <c r="X352" t="e">
        <f t="shared" si="44"/>
        <v>#N/A</v>
      </c>
      <c r="Y352" t="e">
        <f t="shared" si="45"/>
        <v>#N/A</v>
      </c>
      <c r="AC352" t="s">
        <v>29</v>
      </c>
      <c r="AD352">
        <v>14104</v>
      </c>
    </row>
    <row r="353" spans="21:30" x14ac:dyDescent="0.3">
      <c r="U353" t="e">
        <f t="shared" si="43"/>
        <v>#N/A</v>
      </c>
      <c r="X353" t="e">
        <f t="shared" si="44"/>
        <v>#N/A</v>
      </c>
      <c r="Y353" t="e">
        <f t="shared" si="45"/>
        <v>#N/A</v>
      </c>
      <c r="AC353" t="s">
        <v>355</v>
      </c>
      <c r="AD353">
        <v>14105</v>
      </c>
    </row>
    <row r="354" spans="21:30" x14ac:dyDescent="0.3">
      <c r="U354" t="e">
        <f t="shared" si="43"/>
        <v>#N/A</v>
      </c>
      <c r="X354" t="e">
        <f t="shared" si="44"/>
        <v>#N/A</v>
      </c>
      <c r="Y354" t="e">
        <f t="shared" si="45"/>
        <v>#N/A</v>
      </c>
      <c r="AC354" t="s">
        <v>356</v>
      </c>
      <c r="AD354">
        <v>14106</v>
      </c>
    </row>
    <row r="355" spans="21:30" x14ac:dyDescent="0.3">
      <c r="U355" t="e">
        <f t="shared" si="43"/>
        <v>#N/A</v>
      </c>
      <c r="X355" t="e">
        <f t="shared" si="44"/>
        <v>#N/A</v>
      </c>
      <c r="Y355" t="e">
        <f t="shared" si="45"/>
        <v>#N/A</v>
      </c>
      <c r="AC355" t="s">
        <v>357</v>
      </c>
      <c r="AD355">
        <v>14107</v>
      </c>
    </row>
    <row r="356" spans="21:30" x14ac:dyDescent="0.3">
      <c r="U356" t="e">
        <f t="shared" si="43"/>
        <v>#N/A</v>
      </c>
      <c r="X356" t="e">
        <f t="shared" si="44"/>
        <v>#N/A</v>
      </c>
      <c r="Y356" t="e">
        <f t="shared" si="45"/>
        <v>#N/A</v>
      </c>
      <c r="AC356" t="s">
        <v>358</v>
      </c>
      <c r="AD356">
        <v>14108</v>
      </c>
    </row>
    <row r="357" spans="21:30" x14ac:dyDescent="0.3">
      <c r="U357" t="e">
        <f t="shared" si="43"/>
        <v>#N/A</v>
      </c>
      <c r="X357" t="e">
        <f t="shared" si="44"/>
        <v>#N/A</v>
      </c>
      <c r="Y357" t="e">
        <f t="shared" si="45"/>
        <v>#N/A</v>
      </c>
      <c r="AC357" t="s">
        <v>359</v>
      </c>
      <c r="AD357">
        <v>14201</v>
      </c>
    </row>
    <row r="358" spans="21:30" x14ac:dyDescent="0.3">
      <c r="U358" t="e">
        <f t="shared" si="43"/>
        <v>#N/A</v>
      </c>
      <c r="X358" t="e">
        <f t="shared" si="44"/>
        <v>#N/A</v>
      </c>
      <c r="Y358" t="e">
        <f t="shared" si="45"/>
        <v>#N/A</v>
      </c>
      <c r="AC358" t="s">
        <v>360</v>
      </c>
      <c r="AD358">
        <v>14202</v>
      </c>
    </row>
    <row r="359" spans="21:30" x14ac:dyDescent="0.3">
      <c r="U359" t="e">
        <f t="shared" si="43"/>
        <v>#N/A</v>
      </c>
      <c r="X359" t="e">
        <f t="shared" si="44"/>
        <v>#N/A</v>
      </c>
      <c r="Y359" t="e">
        <f t="shared" si="45"/>
        <v>#N/A</v>
      </c>
      <c r="AC359" t="s">
        <v>361</v>
      </c>
      <c r="AD359">
        <v>14203</v>
      </c>
    </row>
    <row r="360" spans="21:30" x14ac:dyDescent="0.3">
      <c r="U360" t="e">
        <f t="shared" si="43"/>
        <v>#N/A</v>
      </c>
      <c r="X360" t="e">
        <f t="shared" si="44"/>
        <v>#N/A</v>
      </c>
      <c r="Y360" t="e">
        <f t="shared" si="45"/>
        <v>#N/A</v>
      </c>
      <c r="AC360" t="s">
        <v>362</v>
      </c>
      <c r="AD360">
        <v>14204</v>
      </c>
    </row>
    <row r="361" spans="21:30" x14ac:dyDescent="0.3">
      <c r="U361" t="e">
        <f t="shared" si="43"/>
        <v>#N/A</v>
      </c>
      <c r="X361" t="e">
        <f t="shared" si="44"/>
        <v>#N/A</v>
      </c>
      <c r="Y361" t="e">
        <f t="shared" si="45"/>
        <v>#N/A</v>
      </c>
      <c r="AC361" t="s">
        <v>363</v>
      </c>
      <c r="AD361">
        <v>15101</v>
      </c>
    </row>
    <row r="362" spans="21:30" x14ac:dyDescent="0.3">
      <c r="U362" t="e">
        <f t="shared" si="43"/>
        <v>#N/A</v>
      </c>
      <c r="X362" t="e">
        <f t="shared" si="44"/>
        <v>#N/A</v>
      </c>
      <c r="Y362" t="e">
        <f t="shared" si="45"/>
        <v>#N/A</v>
      </c>
      <c r="AC362" t="s">
        <v>364</v>
      </c>
      <c r="AD362">
        <v>15102</v>
      </c>
    </row>
    <row r="363" spans="21:30" x14ac:dyDescent="0.3">
      <c r="U363" t="e">
        <f t="shared" si="43"/>
        <v>#N/A</v>
      </c>
      <c r="X363" t="e">
        <f t="shared" si="44"/>
        <v>#N/A</v>
      </c>
      <c r="Y363" t="e">
        <f t="shared" si="45"/>
        <v>#N/A</v>
      </c>
      <c r="AC363" t="s">
        <v>365</v>
      </c>
      <c r="AD363">
        <v>15201</v>
      </c>
    </row>
    <row r="364" spans="21:30" x14ac:dyDescent="0.3">
      <c r="U364" t="e">
        <f t="shared" si="43"/>
        <v>#N/A</v>
      </c>
      <c r="X364" t="e">
        <f t="shared" si="44"/>
        <v>#N/A</v>
      </c>
      <c r="Y364" t="e">
        <f t="shared" si="45"/>
        <v>#N/A</v>
      </c>
      <c r="AC364" t="s">
        <v>366</v>
      </c>
      <c r="AD364">
        <v>15202</v>
      </c>
    </row>
    <row r="365" spans="21:30" x14ac:dyDescent="0.3">
      <c r="U365" t="e">
        <f t="shared" si="43"/>
        <v>#N/A</v>
      </c>
      <c r="X365" t="e">
        <f t="shared" si="44"/>
        <v>#N/A</v>
      </c>
      <c r="Y365" t="e">
        <f t="shared" si="45"/>
        <v>#N/A</v>
      </c>
    </row>
    <row r="366" spans="21:30" x14ac:dyDescent="0.3">
      <c r="U366" t="e">
        <f t="shared" si="43"/>
        <v>#N/A</v>
      </c>
      <c r="X366" t="e">
        <f t="shared" si="44"/>
        <v>#N/A</v>
      </c>
      <c r="Y366" t="e">
        <f t="shared" si="45"/>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A89A-B284-4524-A564-1E9E745816B0}">
  <sheetPr>
    <tabColor rgb="FFFFC000"/>
  </sheetPr>
  <dimension ref="A3:G1937"/>
  <sheetViews>
    <sheetView workbookViewId="0">
      <selection activeCell="B14" sqref="B14"/>
    </sheetView>
  </sheetViews>
  <sheetFormatPr baseColWidth="10" defaultRowHeight="14.4" x14ac:dyDescent="0.3"/>
  <cols>
    <col min="1" max="2" width="37.21875" bestFit="1" customWidth="1"/>
    <col min="3" max="3" width="8.33203125" bestFit="1" customWidth="1"/>
    <col min="4" max="4" width="44" bestFit="1" customWidth="1"/>
    <col min="5" max="5" width="24.33203125" bestFit="1" customWidth="1"/>
    <col min="6" max="6" width="14.33203125" bestFit="1" customWidth="1"/>
    <col min="7" max="7" width="12.77734375" bestFit="1" customWidth="1"/>
  </cols>
  <sheetData>
    <row r="3" spans="1:7" x14ac:dyDescent="0.3">
      <c r="A3" s="82" t="s">
        <v>3</v>
      </c>
      <c r="B3" s="82" t="s">
        <v>4</v>
      </c>
      <c r="C3" s="82" t="s">
        <v>5</v>
      </c>
      <c r="D3" s="82" t="s">
        <v>24</v>
      </c>
      <c r="E3" s="82" t="s">
        <v>6</v>
      </c>
      <c r="F3" s="82" t="s">
        <v>25</v>
      </c>
      <c r="G3" s="82" t="s">
        <v>384</v>
      </c>
    </row>
    <row r="4" spans="1:7" x14ac:dyDescent="0.3">
      <c r="A4" s="81" t="s">
        <v>1538</v>
      </c>
      <c r="B4" s="81" t="s">
        <v>7427</v>
      </c>
      <c r="C4" s="81" t="s">
        <v>20</v>
      </c>
      <c r="D4" s="81" t="s">
        <v>18</v>
      </c>
      <c r="E4" s="81" t="s">
        <v>15</v>
      </c>
      <c r="F4" s="81" t="s">
        <v>1577</v>
      </c>
      <c r="G4" s="81" t="s">
        <v>1033</v>
      </c>
    </row>
    <row r="5" spans="1:7" x14ac:dyDescent="0.3">
      <c r="A5" s="81" t="s">
        <v>1538</v>
      </c>
      <c r="B5" s="81" t="s">
        <v>7427</v>
      </c>
      <c r="C5" s="81" t="s">
        <v>20</v>
      </c>
      <c r="D5" s="81" t="s">
        <v>16</v>
      </c>
      <c r="E5" s="81" t="s">
        <v>15</v>
      </c>
      <c r="F5" s="81" t="s">
        <v>1581</v>
      </c>
      <c r="G5" s="81" t="s">
        <v>855</v>
      </c>
    </row>
    <row r="6" spans="1:7" x14ac:dyDescent="0.3">
      <c r="A6" s="81" t="s">
        <v>1538</v>
      </c>
      <c r="B6" s="81" t="s">
        <v>7427</v>
      </c>
      <c r="C6" s="81" t="s">
        <v>20</v>
      </c>
      <c r="D6" s="81" t="s">
        <v>16</v>
      </c>
      <c r="E6" s="81" t="s">
        <v>15</v>
      </c>
      <c r="F6" s="81" t="s">
        <v>1583</v>
      </c>
      <c r="G6" s="81" t="s">
        <v>855</v>
      </c>
    </row>
    <row r="7" spans="1:7" x14ac:dyDescent="0.3">
      <c r="A7" s="81" t="s">
        <v>1538</v>
      </c>
      <c r="B7" s="81" t="s">
        <v>7427</v>
      </c>
      <c r="C7" s="81" t="s">
        <v>16</v>
      </c>
      <c r="D7" s="81" t="s">
        <v>18</v>
      </c>
      <c r="E7" s="81" t="s">
        <v>369</v>
      </c>
      <c r="F7" s="81" t="s">
        <v>1577</v>
      </c>
      <c r="G7" s="81" t="s">
        <v>3729</v>
      </c>
    </row>
    <row r="8" spans="1:7" x14ac:dyDescent="0.3">
      <c r="A8" s="81" t="s">
        <v>1538</v>
      </c>
      <c r="B8" s="81" t="s">
        <v>7427</v>
      </c>
      <c r="C8" s="81" t="s">
        <v>16</v>
      </c>
      <c r="D8" s="81" t="s">
        <v>18</v>
      </c>
      <c r="E8" s="81" t="s">
        <v>382</v>
      </c>
      <c r="F8" s="81" t="s">
        <v>1577</v>
      </c>
      <c r="G8" s="81" t="s">
        <v>3730</v>
      </c>
    </row>
    <row r="9" spans="1:7" x14ac:dyDescent="0.3">
      <c r="A9" s="81" t="s">
        <v>1538</v>
      </c>
      <c r="B9" s="81" t="s">
        <v>7427</v>
      </c>
      <c r="C9" s="81" t="s">
        <v>16</v>
      </c>
      <c r="D9" s="81" t="s">
        <v>18</v>
      </c>
      <c r="E9" s="81" t="s">
        <v>370</v>
      </c>
      <c r="F9" s="81" t="s">
        <v>1577</v>
      </c>
      <c r="G9" s="81" t="s">
        <v>3731</v>
      </c>
    </row>
    <row r="10" spans="1:7" x14ac:dyDescent="0.3">
      <c r="A10" s="81" t="s">
        <v>1538</v>
      </c>
      <c r="B10" s="81" t="s">
        <v>7427</v>
      </c>
      <c r="C10" s="81" t="s">
        <v>16</v>
      </c>
      <c r="D10" s="81" t="s">
        <v>18</v>
      </c>
      <c r="E10" s="81" t="s">
        <v>378</v>
      </c>
      <c r="F10" s="81" t="s">
        <v>1577</v>
      </c>
      <c r="G10" s="81" t="s">
        <v>3732</v>
      </c>
    </row>
    <row r="11" spans="1:7" x14ac:dyDescent="0.3">
      <c r="A11" s="81" t="s">
        <v>1538</v>
      </c>
      <c r="B11" s="81" t="s">
        <v>7427</v>
      </c>
      <c r="C11" s="81" t="s">
        <v>16</v>
      </c>
      <c r="D11" s="81" t="s">
        <v>18</v>
      </c>
      <c r="E11" s="81" t="s">
        <v>371</v>
      </c>
      <c r="F11" s="81" t="s">
        <v>1577</v>
      </c>
      <c r="G11" s="81" t="s">
        <v>3733</v>
      </c>
    </row>
    <row r="12" spans="1:7" x14ac:dyDescent="0.3">
      <c r="A12" s="81" t="s">
        <v>1538</v>
      </c>
      <c r="B12" s="81" t="s">
        <v>7427</v>
      </c>
      <c r="C12" s="81" t="s">
        <v>16</v>
      </c>
      <c r="D12" s="81" t="s">
        <v>18</v>
      </c>
      <c r="E12" s="81" t="s">
        <v>376</v>
      </c>
      <c r="F12" s="81" t="s">
        <v>1577</v>
      </c>
      <c r="G12" s="81" t="s">
        <v>3734</v>
      </c>
    </row>
    <row r="13" spans="1:7" x14ac:dyDescent="0.3">
      <c r="A13" s="81" t="s">
        <v>1538</v>
      </c>
      <c r="B13" s="81" t="s">
        <v>7427</v>
      </c>
      <c r="C13" s="81" t="s">
        <v>16</v>
      </c>
      <c r="D13" s="81" t="s">
        <v>18</v>
      </c>
      <c r="E13" s="81" t="s">
        <v>377</v>
      </c>
      <c r="F13" s="81" t="s">
        <v>1577</v>
      </c>
      <c r="G13" s="81" t="s">
        <v>3735</v>
      </c>
    </row>
    <row r="14" spans="1:7" x14ac:dyDescent="0.3">
      <c r="A14" s="81" t="s">
        <v>1538</v>
      </c>
      <c r="B14" s="81" t="s">
        <v>7427</v>
      </c>
      <c r="C14" s="81" t="s">
        <v>16</v>
      </c>
      <c r="D14" s="81" t="s">
        <v>18</v>
      </c>
      <c r="E14" s="81" t="s">
        <v>381</v>
      </c>
      <c r="F14" s="81" t="s">
        <v>1577</v>
      </c>
      <c r="G14" s="81" t="s">
        <v>3736</v>
      </c>
    </row>
    <row r="15" spans="1:7" x14ac:dyDescent="0.3">
      <c r="A15" s="81" t="s">
        <v>1538</v>
      </c>
      <c r="B15" s="81" t="s">
        <v>7427</v>
      </c>
      <c r="C15" s="81" t="s">
        <v>16</v>
      </c>
      <c r="D15" s="81" t="s">
        <v>18</v>
      </c>
      <c r="E15" s="81" t="s">
        <v>379</v>
      </c>
      <c r="F15" s="81" t="s">
        <v>1577</v>
      </c>
      <c r="G15" s="81" t="s">
        <v>3737</v>
      </c>
    </row>
    <row r="16" spans="1:7" x14ac:dyDescent="0.3">
      <c r="A16" s="81" t="s">
        <v>1538</v>
      </c>
      <c r="B16" s="81" t="s">
        <v>7427</v>
      </c>
      <c r="C16" s="81" t="s">
        <v>16</v>
      </c>
      <c r="D16" s="81" t="s">
        <v>18</v>
      </c>
      <c r="E16" s="81" t="s">
        <v>374</v>
      </c>
      <c r="F16" s="81" t="s">
        <v>1577</v>
      </c>
      <c r="G16" s="81" t="s">
        <v>3738</v>
      </c>
    </row>
    <row r="17" spans="1:7" x14ac:dyDescent="0.3">
      <c r="A17" s="81" t="s">
        <v>1538</v>
      </c>
      <c r="B17" s="81" t="s">
        <v>7427</v>
      </c>
      <c r="C17" s="81" t="s">
        <v>16</v>
      </c>
      <c r="D17" s="81" t="s">
        <v>18</v>
      </c>
      <c r="E17" s="81" t="s">
        <v>383</v>
      </c>
      <c r="F17" s="81" t="s">
        <v>1577</v>
      </c>
      <c r="G17" s="81" t="s">
        <v>3739</v>
      </c>
    </row>
    <row r="18" spans="1:7" x14ac:dyDescent="0.3">
      <c r="A18" s="81" t="s">
        <v>1538</v>
      </c>
      <c r="B18" s="81" t="s">
        <v>7427</v>
      </c>
      <c r="C18" s="81" t="s">
        <v>16</v>
      </c>
      <c r="D18" s="81" t="s">
        <v>18</v>
      </c>
      <c r="E18" s="81" t="s">
        <v>373</v>
      </c>
      <c r="F18" s="81" t="s">
        <v>1577</v>
      </c>
      <c r="G18" s="81" t="s">
        <v>3740</v>
      </c>
    </row>
    <row r="19" spans="1:7" x14ac:dyDescent="0.3">
      <c r="A19" s="81" t="s">
        <v>1538</v>
      </c>
      <c r="B19" s="81" t="s">
        <v>7427</v>
      </c>
      <c r="C19" s="81" t="s">
        <v>16</v>
      </c>
      <c r="D19" s="81" t="s">
        <v>18</v>
      </c>
      <c r="E19" s="81" t="s">
        <v>368</v>
      </c>
      <c r="F19" s="81" t="s">
        <v>1577</v>
      </c>
      <c r="G19" s="81" t="s">
        <v>3741</v>
      </c>
    </row>
    <row r="20" spans="1:7" x14ac:dyDescent="0.3">
      <c r="A20" s="81" t="s">
        <v>1538</v>
      </c>
      <c r="B20" s="81" t="s">
        <v>7427</v>
      </c>
      <c r="C20" s="81" t="s">
        <v>16</v>
      </c>
      <c r="D20" s="81" t="s">
        <v>18</v>
      </c>
      <c r="E20" s="81" t="s">
        <v>372</v>
      </c>
      <c r="F20" s="81" t="s">
        <v>1577</v>
      </c>
      <c r="G20" s="81" t="s">
        <v>3742</v>
      </c>
    </row>
    <row r="21" spans="1:7" x14ac:dyDescent="0.3">
      <c r="A21" s="81" t="s">
        <v>1538</v>
      </c>
      <c r="B21" s="81" t="s">
        <v>7427</v>
      </c>
      <c r="C21" s="81" t="s">
        <v>16</v>
      </c>
      <c r="D21" s="81" t="s">
        <v>18</v>
      </c>
      <c r="E21" s="81" t="s">
        <v>375</v>
      </c>
      <c r="F21" s="81" t="s">
        <v>1577</v>
      </c>
      <c r="G21" s="81" t="s">
        <v>3743</v>
      </c>
    </row>
    <row r="22" spans="1:7" x14ac:dyDescent="0.3">
      <c r="A22" s="81" t="s">
        <v>1538</v>
      </c>
      <c r="B22" s="81" t="s">
        <v>7427</v>
      </c>
      <c r="C22" s="81" t="s">
        <v>16</v>
      </c>
      <c r="D22" s="81" t="s">
        <v>18</v>
      </c>
      <c r="E22" s="81" t="s">
        <v>380</v>
      </c>
      <c r="F22" s="81" t="s">
        <v>1577</v>
      </c>
      <c r="G22" s="81" t="s">
        <v>3744</v>
      </c>
    </row>
    <row r="23" spans="1:7" x14ac:dyDescent="0.3">
      <c r="A23" s="81" t="s">
        <v>1538</v>
      </c>
      <c r="B23" s="81" t="s">
        <v>7427</v>
      </c>
      <c r="C23" s="81" t="s">
        <v>16</v>
      </c>
      <c r="D23" s="81" t="s">
        <v>404</v>
      </c>
      <c r="E23" s="81" t="s">
        <v>369</v>
      </c>
      <c r="F23" s="81" t="s">
        <v>1581</v>
      </c>
      <c r="G23" s="81" t="s">
        <v>3745</v>
      </c>
    </row>
    <row r="24" spans="1:7" x14ac:dyDescent="0.3">
      <c r="A24" s="81" t="s">
        <v>1538</v>
      </c>
      <c r="B24" s="81" t="s">
        <v>7427</v>
      </c>
      <c r="C24" s="81" t="s">
        <v>16</v>
      </c>
      <c r="D24" s="81" t="s">
        <v>404</v>
      </c>
      <c r="E24" s="81" t="s">
        <v>369</v>
      </c>
      <c r="F24" s="81" t="s">
        <v>1583</v>
      </c>
      <c r="G24" s="81" t="s">
        <v>3745</v>
      </c>
    </row>
    <row r="25" spans="1:7" x14ac:dyDescent="0.3">
      <c r="A25" s="81" t="s">
        <v>1538</v>
      </c>
      <c r="B25" s="81" t="s">
        <v>7427</v>
      </c>
      <c r="C25" s="81" t="s">
        <v>16</v>
      </c>
      <c r="D25" s="81" t="s">
        <v>404</v>
      </c>
      <c r="E25" s="81" t="s">
        <v>382</v>
      </c>
      <c r="F25" s="81" t="s">
        <v>1581</v>
      </c>
      <c r="G25" s="81" t="s">
        <v>3746</v>
      </c>
    </row>
    <row r="26" spans="1:7" x14ac:dyDescent="0.3">
      <c r="A26" s="81" t="s">
        <v>1538</v>
      </c>
      <c r="B26" s="81" t="s">
        <v>7427</v>
      </c>
      <c r="C26" s="81" t="s">
        <v>16</v>
      </c>
      <c r="D26" s="81" t="s">
        <v>404</v>
      </c>
      <c r="E26" s="81" t="s">
        <v>382</v>
      </c>
      <c r="F26" s="81" t="s">
        <v>1583</v>
      </c>
      <c r="G26" s="81" t="s">
        <v>3746</v>
      </c>
    </row>
    <row r="27" spans="1:7" x14ac:dyDescent="0.3">
      <c r="A27" s="81" t="s">
        <v>1538</v>
      </c>
      <c r="B27" s="81" t="s">
        <v>7427</v>
      </c>
      <c r="C27" s="81" t="s">
        <v>16</v>
      </c>
      <c r="D27" s="81" t="s">
        <v>404</v>
      </c>
      <c r="E27" s="81" t="s">
        <v>370</v>
      </c>
      <c r="F27" s="81" t="s">
        <v>1581</v>
      </c>
      <c r="G27" s="81" t="s">
        <v>3747</v>
      </c>
    </row>
    <row r="28" spans="1:7" x14ac:dyDescent="0.3">
      <c r="A28" s="81" t="s">
        <v>1538</v>
      </c>
      <c r="B28" s="81" t="s">
        <v>7427</v>
      </c>
      <c r="C28" s="81" t="s">
        <v>16</v>
      </c>
      <c r="D28" s="81" t="s">
        <v>404</v>
      </c>
      <c r="E28" s="81" t="s">
        <v>370</v>
      </c>
      <c r="F28" s="81" t="s">
        <v>1583</v>
      </c>
      <c r="G28" s="81" t="s">
        <v>3747</v>
      </c>
    </row>
    <row r="29" spans="1:7" x14ac:dyDescent="0.3">
      <c r="A29" s="81" t="s">
        <v>1538</v>
      </c>
      <c r="B29" s="81" t="s">
        <v>7427</v>
      </c>
      <c r="C29" s="81" t="s">
        <v>16</v>
      </c>
      <c r="D29" s="81" t="s">
        <v>404</v>
      </c>
      <c r="E29" s="81" t="s">
        <v>378</v>
      </c>
      <c r="F29" s="81" t="s">
        <v>1581</v>
      </c>
      <c r="G29" s="81" t="s">
        <v>3748</v>
      </c>
    </row>
    <row r="30" spans="1:7" x14ac:dyDescent="0.3">
      <c r="A30" s="81" t="s">
        <v>1538</v>
      </c>
      <c r="B30" s="81" t="s">
        <v>7427</v>
      </c>
      <c r="C30" s="81" t="s">
        <v>16</v>
      </c>
      <c r="D30" s="81" t="s">
        <v>404</v>
      </c>
      <c r="E30" s="81" t="s">
        <v>378</v>
      </c>
      <c r="F30" s="81" t="s">
        <v>1583</v>
      </c>
      <c r="G30" s="81" t="s">
        <v>3748</v>
      </c>
    </row>
    <row r="31" spans="1:7" x14ac:dyDescent="0.3">
      <c r="A31" s="81" t="s">
        <v>1538</v>
      </c>
      <c r="B31" s="81" t="s">
        <v>7427</v>
      </c>
      <c r="C31" s="81" t="s">
        <v>16</v>
      </c>
      <c r="D31" s="81" t="s">
        <v>404</v>
      </c>
      <c r="E31" s="81" t="s">
        <v>371</v>
      </c>
      <c r="F31" s="81" t="s">
        <v>1581</v>
      </c>
      <c r="G31" s="81" t="s">
        <v>3749</v>
      </c>
    </row>
    <row r="32" spans="1:7" x14ac:dyDescent="0.3">
      <c r="A32" s="81" t="s">
        <v>1538</v>
      </c>
      <c r="B32" s="81" t="s">
        <v>7427</v>
      </c>
      <c r="C32" s="81" t="s">
        <v>16</v>
      </c>
      <c r="D32" s="81" t="s">
        <v>404</v>
      </c>
      <c r="E32" s="81" t="s">
        <v>371</v>
      </c>
      <c r="F32" s="81" t="s">
        <v>1583</v>
      </c>
      <c r="G32" s="81" t="s">
        <v>3749</v>
      </c>
    </row>
    <row r="33" spans="1:7" x14ac:dyDescent="0.3">
      <c r="A33" s="81" t="s">
        <v>1538</v>
      </c>
      <c r="B33" s="81" t="s">
        <v>7427</v>
      </c>
      <c r="C33" s="81" t="s">
        <v>16</v>
      </c>
      <c r="D33" s="81" t="s">
        <v>404</v>
      </c>
      <c r="E33" s="81" t="s">
        <v>376</v>
      </c>
      <c r="F33" s="81" t="s">
        <v>1581</v>
      </c>
      <c r="G33" s="81" t="s">
        <v>3750</v>
      </c>
    </row>
    <row r="34" spans="1:7" x14ac:dyDescent="0.3">
      <c r="A34" s="81" t="s">
        <v>1538</v>
      </c>
      <c r="B34" s="81" t="s">
        <v>7427</v>
      </c>
      <c r="C34" s="81" t="s">
        <v>16</v>
      </c>
      <c r="D34" s="81" t="s">
        <v>404</v>
      </c>
      <c r="E34" s="81" t="s">
        <v>376</v>
      </c>
      <c r="F34" s="81" t="s">
        <v>1583</v>
      </c>
      <c r="G34" s="81" t="s">
        <v>3750</v>
      </c>
    </row>
    <row r="35" spans="1:7" x14ac:dyDescent="0.3">
      <c r="A35" s="81" t="s">
        <v>1538</v>
      </c>
      <c r="B35" s="81" t="s">
        <v>7427</v>
      </c>
      <c r="C35" s="81" t="s">
        <v>16</v>
      </c>
      <c r="D35" s="81" t="s">
        <v>404</v>
      </c>
      <c r="E35" s="81" t="s">
        <v>377</v>
      </c>
      <c r="F35" s="81" t="s">
        <v>1581</v>
      </c>
      <c r="G35" s="81" t="s">
        <v>3751</v>
      </c>
    </row>
    <row r="36" spans="1:7" x14ac:dyDescent="0.3">
      <c r="A36" s="81" t="s">
        <v>1538</v>
      </c>
      <c r="B36" s="81" t="s">
        <v>7427</v>
      </c>
      <c r="C36" s="81" t="s">
        <v>16</v>
      </c>
      <c r="D36" s="81" t="s">
        <v>404</v>
      </c>
      <c r="E36" s="81" t="s">
        <v>377</v>
      </c>
      <c r="F36" s="81" t="s">
        <v>1583</v>
      </c>
      <c r="G36" s="81" t="s">
        <v>3751</v>
      </c>
    </row>
    <row r="37" spans="1:7" x14ac:dyDescent="0.3">
      <c r="A37" s="81" t="s">
        <v>1538</v>
      </c>
      <c r="B37" s="81" t="s">
        <v>7427</v>
      </c>
      <c r="C37" s="81" t="s">
        <v>16</v>
      </c>
      <c r="D37" s="81" t="s">
        <v>404</v>
      </c>
      <c r="E37" s="81" t="s">
        <v>381</v>
      </c>
      <c r="F37" s="81" t="s">
        <v>1581</v>
      </c>
      <c r="G37" s="81" t="s">
        <v>3752</v>
      </c>
    </row>
    <row r="38" spans="1:7" x14ac:dyDescent="0.3">
      <c r="A38" s="81" t="s">
        <v>1538</v>
      </c>
      <c r="B38" s="81" t="s">
        <v>7427</v>
      </c>
      <c r="C38" s="81" t="s">
        <v>16</v>
      </c>
      <c r="D38" s="81" t="s">
        <v>404</v>
      </c>
      <c r="E38" s="81" t="s">
        <v>381</v>
      </c>
      <c r="F38" s="81" t="s">
        <v>1583</v>
      </c>
      <c r="G38" s="81" t="s">
        <v>3752</v>
      </c>
    </row>
    <row r="39" spans="1:7" x14ac:dyDescent="0.3">
      <c r="A39" s="81" t="s">
        <v>1538</v>
      </c>
      <c r="B39" s="81" t="s">
        <v>7427</v>
      </c>
      <c r="C39" s="81" t="s">
        <v>16</v>
      </c>
      <c r="D39" s="81" t="s">
        <v>404</v>
      </c>
      <c r="E39" s="81" t="s">
        <v>379</v>
      </c>
      <c r="F39" s="81" t="s">
        <v>1581</v>
      </c>
      <c r="G39" s="81" t="s">
        <v>3753</v>
      </c>
    </row>
    <row r="40" spans="1:7" x14ac:dyDescent="0.3">
      <c r="A40" s="81" t="s">
        <v>1538</v>
      </c>
      <c r="B40" s="81" t="s">
        <v>7427</v>
      </c>
      <c r="C40" s="81" t="s">
        <v>16</v>
      </c>
      <c r="D40" s="81" t="s">
        <v>404</v>
      </c>
      <c r="E40" s="81" t="s">
        <v>379</v>
      </c>
      <c r="F40" s="81" t="s">
        <v>1583</v>
      </c>
      <c r="G40" s="81" t="s">
        <v>3753</v>
      </c>
    </row>
    <row r="41" spans="1:7" x14ac:dyDescent="0.3">
      <c r="A41" s="81" t="s">
        <v>1538</v>
      </c>
      <c r="B41" s="81" t="s">
        <v>7427</v>
      </c>
      <c r="C41" s="81" t="s">
        <v>16</v>
      </c>
      <c r="D41" s="81" t="s">
        <v>404</v>
      </c>
      <c r="E41" s="81" t="s">
        <v>374</v>
      </c>
      <c r="F41" s="81" t="s">
        <v>1581</v>
      </c>
      <c r="G41" s="81" t="s">
        <v>3754</v>
      </c>
    </row>
    <row r="42" spans="1:7" x14ac:dyDescent="0.3">
      <c r="A42" s="81" t="s">
        <v>1538</v>
      </c>
      <c r="B42" s="81" t="s">
        <v>7427</v>
      </c>
      <c r="C42" s="81" t="s">
        <v>16</v>
      </c>
      <c r="D42" s="81" t="s">
        <v>404</v>
      </c>
      <c r="E42" s="81" t="s">
        <v>374</v>
      </c>
      <c r="F42" s="81" t="s">
        <v>1583</v>
      </c>
      <c r="G42" s="81" t="s">
        <v>3754</v>
      </c>
    </row>
    <row r="43" spans="1:7" x14ac:dyDescent="0.3">
      <c r="A43" s="81" t="s">
        <v>1538</v>
      </c>
      <c r="B43" s="81" t="s">
        <v>7427</v>
      </c>
      <c r="C43" s="81" t="s">
        <v>16</v>
      </c>
      <c r="D43" s="81" t="s">
        <v>404</v>
      </c>
      <c r="E43" s="81" t="s">
        <v>383</v>
      </c>
      <c r="F43" s="81" t="s">
        <v>1581</v>
      </c>
      <c r="G43" s="81" t="s">
        <v>3755</v>
      </c>
    </row>
    <row r="44" spans="1:7" x14ac:dyDescent="0.3">
      <c r="A44" s="81" t="s">
        <v>1538</v>
      </c>
      <c r="B44" s="81" t="s">
        <v>7427</v>
      </c>
      <c r="C44" s="81" t="s">
        <v>16</v>
      </c>
      <c r="D44" s="81" t="s">
        <v>404</v>
      </c>
      <c r="E44" s="81" t="s">
        <v>383</v>
      </c>
      <c r="F44" s="81" t="s">
        <v>1583</v>
      </c>
      <c r="G44" s="81" t="s">
        <v>3755</v>
      </c>
    </row>
    <row r="45" spans="1:7" x14ac:dyDescent="0.3">
      <c r="A45" s="81" t="s">
        <v>1538</v>
      </c>
      <c r="B45" s="81" t="s">
        <v>7427</v>
      </c>
      <c r="C45" s="81" t="s">
        <v>16</v>
      </c>
      <c r="D45" s="81" t="s">
        <v>404</v>
      </c>
      <c r="E45" s="81" t="s">
        <v>373</v>
      </c>
      <c r="F45" s="81" t="s">
        <v>1581</v>
      </c>
      <c r="G45" s="81" t="s">
        <v>3756</v>
      </c>
    </row>
    <row r="46" spans="1:7" x14ac:dyDescent="0.3">
      <c r="A46" s="81" t="s">
        <v>1538</v>
      </c>
      <c r="B46" s="81" t="s">
        <v>7427</v>
      </c>
      <c r="C46" s="81" t="s">
        <v>16</v>
      </c>
      <c r="D46" s="81" t="s">
        <v>404</v>
      </c>
      <c r="E46" s="81" t="s">
        <v>373</v>
      </c>
      <c r="F46" s="81" t="s">
        <v>1583</v>
      </c>
      <c r="G46" s="81" t="s">
        <v>3756</v>
      </c>
    </row>
    <row r="47" spans="1:7" x14ac:dyDescent="0.3">
      <c r="A47" s="81" t="s">
        <v>1538</v>
      </c>
      <c r="B47" s="81" t="s">
        <v>7427</v>
      </c>
      <c r="C47" s="81" t="s">
        <v>16</v>
      </c>
      <c r="D47" s="81" t="s">
        <v>404</v>
      </c>
      <c r="E47" s="81" t="s">
        <v>368</v>
      </c>
      <c r="F47" s="81" t="s">
        <v>1581</v>
      </c>
      <c r="G47" s="81" t="s">
        <v>3757</v>
      </c>
    </row>
    <row r="48" spans="1:7" x14ac:dyDescent="0.3">
      <c r="A48" s="81" t="s">
        <v>1538</v>
      </c>
      <c r="B48" s="81" t="s">
        <v>7427</v>
      </c>
      <c r="C48" s="81" t="s">
        <v>16</v>
      </c>
      <c r="D48" s="81" t="s">
        <v>404</v>
      </c>
      <c r="E48" s="81" t="s">
        <v>368</v>
      </c>
      <c r="F48" s="81" t="s">
        <v>1583</v>
      </c>
      <c r="G48" s="81" t="s">
        <v>3757</v>
      </c>
    </row>
    <row r="49" spans="1:7" x14ac:dyDescent="0.3">
      <c r="A49" s="81" t="s">
        <v>1538</v>
      </c>
      <c r="B49" s="81" t="s">
        <v>7427</v>
      </c>
      <c r="C49" s="81" t="s">
        <v>16</v>
      </c>
      <c r="D49" s="81" t="s">
        <v>404</v>
      </c>
      <c r="E49" s="81" t="s">
        <v>372</v>
      </c>
      <c r="F49" s="81" t="s">
        <v>1581</v>
      </c>
      <c r="G49" s="81" t="s">
        <v>3758</v>
      </c>
    </row>
    <row r="50" spans="1:7" x14ac:dyDescent="0.3">
      <c r="A50" s="81" t="s">
        <v>1538</v>
      </c>
      <c r="B50" s="81" t="s">
        <v>7427</v>
      </c>
      <c r="C50" s="81" t="s">
        <v>16</v>
      </c>
      <c r="D50" s="81" t="s">
        <v>404</v>
      </c>
      <c r="E50" s="81" t="s">
        <v>372</v>
      </c>
      <c r="F50" s="81" t="s">
        <v>1583</v>
      </c>
      <c r="G50" s="81" t="s">
        <v>3758</v>
      </c>
    </row>
    <row r="51" spans="1:7" x14ac:dyDescent="0.3">
      <c r="A51" s="81" t="s">
        <v>1538</v>
      </c>
      <c r="B51" s="81" t="s">
        <v>7427</v>
      </c>
      <c r="C51" s="81" t="s">
        <v>16</v>
      </c>
      <c r="D51" s="81" t="s">
        <v>404</v>
      </c>
      <c r="E51" s="81" t="s">
        <v>375</v>
      </c>
      <c r="F51" s="81" t="s">
        <v>1581</v>
      </c>
      <c r="G51" s="81" t="s">
        <v>3759</v>
      </c>
    </row>
    <row r="52" spans="1:7" x14ac:dyDescent="0.3">
      <c r="A52" s="81" t="s">
        <v>1538</v>
      </c>
      <c r="B52" s="81" t="s">
        <v>7427</v>
      </c>
      <c r="C52" s="81" t="s">
        <v>16</v>
      </c>
      <c r="D52" s="81" t="s">
        <v>404</v>
      </c>
      <c r="E52" s="81" t="s">
        <v>375</v>
      </c>
      <c r="F52" s="81" t="s">
        <v>1583</v>
      </c>
      <c r="G52" s="81" t="s">
        <v>3759</v>
      </c>
    </row>
    <row r="53" spans="1:7" x14ac:dyDescent="0.3">
      <c r="A53" s="81" t="s">
        <v>1538</v>
      </c>
      <c r="B53" s="81" t="s">
        <v>7427</v>
      </c>
      <c r="C53" s="81" t="s">
        <v>16</v>
      </c>
      <c r="D53" s="81" t="s">
        <v>404</v>
      </c>
      <c r="E53" s="81" t="s">
        <v>380</v>
      </c>
      <c r="F53" s="81" t="s">
        <v>1581</v>
      </c>
      <c r="G53" s="81" t="s">
        <v>3760</v>
      </c>
    </row>
    <row r="54" spans="1:7" x14ac:dyDescent="0.3">
      <c r="A54" s="81" t="s">
        <v>1538</v>
      </c>
      <c r="B54" s="81" t="s">
        <v>7427</v>
      </c>
      <c r="C54" s="81" t="s">
        <v>16</v>
      </c>
      <c r="D54" s="81" t="s">
        <v>404</v>
      </c>
      <c r="E54" s="81" t="s">
        <v>380</v>
      </c>
      <c r="F54" s="81" t="s">
        <v>1583</v>
      </c>
      <c r="G54" s="81" t="s">
        <v>3760</v>
      </c>
    </row>
    <row r="55" spans="1:7" x14ac:dyDescent="0.3">
      <c r="A55" s="81" t="s">
        <v>424</v>
      </c>
      <c r="B55" s="81" t="s">
        <v>6250</v>
      </c>
      <c r="C55" s="81" t="s">
        <v>20</v>
      </c>
      <c r="D55" s="81" t="s">
        <v>16</v>
      </c>
      <c r="E55" s="81" t="s">
        <v>15</v>
      </c>
      <c r="F55" s="81" t="s">
        <v>840</v>
      </c>
      <c r="G55" s="81" t="s">
        <v>1033</v>
      </c>
    </row>
    <row r="56" spans="1:7" x14ac:dyDescent="0.3">
      <c r="A56" s="81" t="s">
        <v>424</v>
      </c>
      <c r="B56" s="81" t="s">
        <v>6250</v>
      </c>
      <c r="C56" s="81" t="s">
        <v>16</v>
      </c>
      <c r="D56" s="81" t="s">
        <v>404</v>
      </c>
      <c r="E56" s="81" t="s">
        <v>369</v>
      </c>
      <c r="F56" s="81" t="s">
        <v>840</v>
      </c>
      <c r="G56" s="81" t="s">
        <v>3729</v>
      </c>
    </row>
    <row r="57" spans="1:7" x14ac:dyDescent="0.3">
      <c r="A57" s="81" t="s">
        <v>424</v>
      </c>
      <c r="B57" s="81" t="s">
        <v>6250</v>
      </c>
      <c r="C57" s="81" t="s">
        <v>16</v>
      </c>
      <c r="D57" s="81" t="s">
        <v>404</v>
      </c>
      <c r="E57" s="81" t="s">
        <v>382</v>
      </c>
      <c r="F57" s="81" t="s">
        <v>840</v>
      </c>
      <c r="G57" s="81" t="s">
        <v>3730</v>
      </c>
    </row>
    <row r="58" spans="1:7" x14ac:dyDescent="0.3">
      <c r="A58" s="81" t="s">
        <v>424</v>
      </c>
      <c r="B58" s="81" t="s">
        <v>6250</v>
      </c>
      <c r="C58" s="81" t="s">
        <v>16</v>
      </c>
      <c r="D58" s="81" t="s">
        <v>404</v>
      </c>
      <c r="E58" s="81" t="s">
        <v>370</v>
      </c>
      <c r="F58" s="81" t="s">
        <v>840</v>
      </c>
      <c r="G58" s="81" t="s">
        <v>3731</v>
      </c>
    </row>
    <row r="59" spans="1:7" x14ac:dyDescent="0.3">
      <c r="A59" s="81" t="s">
        <v>424</v>
      </c>
      <c r="B59" s="81" t="s">
        <v>6250</v>
      </c>
      <c r="C59" s="81" t="s">
        <v>16</v>
      </c>
      <c r="D59" s="81" t="s">
        <v>404</v>
      </c>
      <c r="E59" s="81" t="s">
        <v>378</v>
      </c>
      <c r="F59" s="81" t="s">
        <v>840</v>
      </c>
      <c r="G59" s="81" t="s">
        <v>3732</v>
      </c>
    </row>
    <row r="60" spans="1:7" x14ac:dyDescent="0.3">
      <c r="A60" s="81" t="s">
        <v>424</v>
      </c>
      <c r="B60" s="81" t="s">
        <v>6250</v>
      </c>
      <c r="C60" s="81" t="s">
        <v>16</v>
      </c>
      <c r="D60" s="81" t="s">
        <v>404</v>
      </c>
      <c r="E60" s="81" t="s">
        <v>371</v>
      </c>
      <c r="F60" s="81" t="s">
        <v>840</v>
      </c>
      <c r="G60" s="81" t="s">
        <v>3733</v>
      </c>
    </row>
    <row r="61" spans="1:7" x14ac:dyDescent="0.3">
      <c r="A61" s="81" t="s">
        <v>424</v>
      </c>
      <c r="B61" s="81" t="s">
        <v>6250</v>
      </c>
      <c r="C61" s="81" t="s">
        <v>16</v>
      </c>
      <c r="D61" s="81" t="s">
        <v>404</v>
      </c>
      <c r="E61" s="81" t="s">
        <v>376</v>
      </c>
      <c r="F61" s="81" t="s">
        <v>840</v>
      </c>
      <c r="G61" s="81" t="s">
        <v>3734</v>
      </c>
    </row>
    <row r="62" spans="1:7" x14ac:dyDescent="0.3">
      <c r="A62" s="81" t="s">
        <v>424</v>
      </c>
      <c r="B62" s="81" t="s">
        <v>6250</v>
      </c>
      <c r="C62" s="81" t="s">
        <v>16</v>
      </c>
      <c r="D62" s="81" t="s">
        <v>404</v>
      </c>
      <c r="E62" s="81" t="s">
        <v>377</v>
      </c>
      <c r="F62" s="81" t="s">
        <v>840</v>
      </c>
      <c r="G62" s="81" t="s">
        <v>3735</v>
      </c>
    </row>
    <row r="63" spans="1:7" x14ac:dyDescent="0.3">
      <c r="A63" s="81" t="s">
        <v>424</v>
      </c>
      <c r="B63" s="81" t="s">
        <v>6250</v>
      </c>
      <c r="C63" s="81" t="s">
        <v>16</v>
      </c>
      <c r="D63" s="81" t="s">
        <v>404</v>
      </c>
      <c r="E63" s="81" t="s">
        <v>381</v>
      </c>
      <c r="F63" s="81" t="s">
        <v>840</v>
      </c>
      <c r="G63" s="81" t="s">
        <v>3736</v>
      </c>
    </row>
    <row r="64" spans="1:7" x14ac:dyDescent="0.3">
      <c r="A64" s="81" t="s">
        <v>424</v>
      </c>
      <c r="B64" s="81" t="s">
        <v>6250</v>
      </c>
      <c r="C64" s="81" t="s">
        <v>16</v>
      </c>
      <c r="D64" s="81" t="s">
        <v>404</v>
      </c>
      <c r="E64" s="81" t="s">
        <v>379</v>
      </c>
      <c r="F64" s="81" t="s">
        <v>840</v>
      </c>
      <c r="G64" s="81" t="s">
        <v>3737</v>
      </c>
    </row>
    <row r="65" spans="1:7" x14ac:dyDescent="0.3">
      <c r="A65" s="81" t="s">
        <v>424</v>
      </c>
      <c r="B65" s="81" t="s">
        <v>6250</v>
      </c>
      <c r="C65" s="81" t="s">
        <v>16</v>
      </c>
      <c r="D65" s="81" t="s">
        <v>404</v>
      </c>
      <c r="E65" s="81" t="s">
        <v>374</v>
      </c>
      <c r="F65" s="81" t="s">
        <v>840</v>
      </c>
      <c r="G65" s="81" t="s">
        <v>3738</v>
      </c>
    </row>
    <row r="66" spans="1:7" x14ac:dyDescent="0.3">
      <c r="A66" s="81" t="s">
        <v>424</v>
      </c>
      <c r="B66" s="81" t="s">
        <v>6250</v>
      </c>
      <c r="C66" s="81" t="s">
        <v>16</v>
      </c>
      <c r="D66" s="81" t="s">
        <v>404</v>
      </c>
      <c r="E66" s="81" t="s">
        <v>383</v>
      </c>
      <c r="F66" s="81" t="s">
        <v>840</v>
      </c>
      <c r="G66" s="81" t="s">
        <v>3739</v>
      </c>
    </row>
    <row r="67" spans="1:7" x14ac:dyDescent="0.3">
      <c r="A67" s="81" t="s">
        <v>424</v>
      </c>
      <c r="B67" s="81" t="s">
        <v>6250</v>
      </c>
      <c r="C67" s="81" t="s">
        <v>16</v>
      </c>
      <c r="D67" s="81" t="s">
        <v>404</v>
      </c>
      <c r="E67" s="81" t="s">
        <v>373</v>
      </c>
      <c r="F67" s="81" t="s">
        <v>840</v>
      </c>
      <c r="G67" s="81" t="s">
        <v>3740</v>
      </c>
    </row>
    <row r="68" spans="1:7" x14ac:dyDescent="0.3">
      <c r="A68" s="81" t="s">
        <v>424</v>
      </c>
      <c r="B68" s="81" t="s">
        <v>6250</v>
      </c>
      <c r="C68" s="81" t="s">
        <v>16</v>
      </c>
      <c r="D68" s="81" t="s">
        <v>404</v>
      </c>
      <c r="E68" s="81" t="s">
        <v>368</v>
      </c>
      <c r="F68" s="81" t="s">
        <v>840</v>
      </c>
      <c r="G68" s="81" t="s">
        <v>3741</v>
      </c>
    </row>
    <row r="69" spans="1:7" x14ac:dyDescent="0.3">
      <c r="A69" s="81" t="s">
        <v>424</v>
      </c>
      <c r="B69" s="81" t="s">
        <v>6250</v>
      </c>
      <c r="C69" s="81" t="s">
        <v>16</v>
      </c>
      <c r="D69" s="81" t="s">
        <v>404</v>
      </c>
      <c r="E69" s="81" t="s">
        <v>372</v>
      </c>
      <c r="F69" s="81" t="s">
        <v>840</v>
      </c>
      <c r="G69" s="81" t="s">
        <v>3742</v>
      </c>
    </row>
    <row r="70" spans="1:7" x14ac:dyDescent="0.3">
      <c r="A70" s="81" t="s">
        <v>424</v>
      </c>
      <c r="B70" s="81" t="s">
        <v>6250</v>
      </c>
      <c r="C70" s="81" t="s">
        <v>16</v>
      </c>
      <c r="D70" s="81" t="s">
        <v>404</v>
      </c>
      <c r="E70" s="81" t="s">
        <v>375</v>
      </c>
      <c r="F70" s="81" t="s">
        <v>840</v>
      </c>
      <c r="G70" s="81" t="s">
        <v>3743</v>
      </c>
    </row>
    <row r="71" spans="1:7" x14ac:dyDescent="0.3">
      <c r="A71" s="81" t="s">
        <v>424</v>
      </c>
      <c r="B71" s="81" t="s">
        <v>6250</v>
      </c>
      <c r="C71" s="81" t="s">
        <v>16</v>
      </c>
      <c r="D71" s="81" t="s">
        <v>404</v>
      </c>
      <c r="E71" s="81" t="s">
        <v>380</v>
      </c>
      <c r="F71" s="81" t="s">
        <v>840</v>
      </c>
      <c r="G71" s="81" t="s">
        <v>3744</v>
      </c>
    </row>
    <row r="72" spans="1:7" x14ac:dyDescent="0.3">
      <c r="A72" s="81" t="s">
        <v>2368</v>
      </c>
      <c r="B72" s="81" t="s">
        <v>3761</v>
      </c>
      <c r="C72" s="81" t="s">
        <v>20</v>
      </c>
      <c r="D72" s="81" t="s">
        <v>16</v>
      </c>
      <c r="E72" s="81" t="s">
        <v>15</v>
      </c>
      <c r="F72" s="81" t="s">
        <v>837</v>
      </c>
      <c r="G72" s="81" t="s">
        <v>855</v>
      </c>
    </row>
    <row r="73" spans="1:7" x14ac:dyDescent="0.3">
      <c r="A73" s="81" t="s">
        <v>2368</v>
      </c>
      <c r="B73" s="81" t="s">
        <v>3761</v>
      </c>
      <c r="C73" s="81" t="s">
        <v>16</v>
      </c>
      <c r="D73" s="81" t="s">
        <v>404</v>
      </c>
      <c r="E73" s="81" t="s">
        <v>369</v>
      </c>
      <c r="F73" s="81" t="s">
        <v>837</v>
      </c>
      <c r="G73" s="81" t="s">
        <v>3745</v>
      </c>
    </row>
    <row r="74" spans="1:7" x14ac:dyDescent="0.3">
      <c r="A74" s="81" t="s">
        <v>2368</v>
      </c>
      <c r="B74" s="81" t="s">
        <v>3761</v>
      </c>
      <c r="C74" s="81" t="s">
        <v>16</v>
      </c>
      <c r="D74" s="81" t="s">
        <v>404</v>
      </c>
      <c r="E74" s="81" t="s">
        <v>382</v>
      </c>
      <c r="F74" s="81" t="s">
        <v>837</v>
      </c>
      <c r="G74" s="81" t="s">
        <v>3746</v>
      </c>
    </row>
    <row r="75" spans="1:7" x14ac:dyDescent="0.3">
      <c r="A75" s="81" t="s">
        <v>2368</v>
      </c>
      <c r="B75" s="81" t="s">
        <v>3761</v>
      </c>
      <c r="C75" s="81" t="s">
        <v>16</v>
      </c>
      <c r="D75" s="81" t="s">
        <v>404</v>
      </c>
      <c r="E75" s="81" t="s">
        <v>370</v>
      </c>
      <c r="F75" s="81" t="s">
        <v>837</v>
      </c>
      <c r="G75" s="81" t="s">
        <v>3747</v>
      </c>
    </row>
    <row r="76" spans="1:7" x14ac:dyDescent="0.3">
      <c r="A76" s="81" t="s">
        <v>2368</v>
      </c>
      <c r="B76" s="81" t="s">
        <v>3761</v>
      </c>
      <c r="C76" s="81" t="s">
        <v>16</v>
      </c>
      <c r="D76" s="81" t="s">
        <v>404</v>
      </c>
      <c r="E76" s="81" t="s">
        <v>378</v>
      </c>
      <c r="F76" s="81" t="s">
        <v>837</v>
      </c>
      <c r="G76" s="81" t="s">
        <v>3748</v>
      </c>
    </row>
    <row r="77" spans="1:7" x14ac:dyDescent="0.3">
      <c r="A77" s="81" t="s">
        <v>2368</v>
      </c>
      <c r="B77" s="81" t="s">
        <v>3761</v>
      </c>
      <c r="C77" s="81" t="s">
        <v>16</v>
      </c>
      <c r="D77" s="81" t="s">
        <v>404</v>
      </c>
      <c r="E77" s="81" t="s">
        <v>371</v>
      </c>
      <c r="F77" s="81" t="s">
        <v>837</v>
      </c>
      <c r="G77" s="81" t="s">
        <v>3749</v>
      </c>
    </row>
    <row r="78" spans="1:7" x14ac:dyDescent="0.3">
      <c r="A78" s="81" t="s">
        <v>2368</v>
      </c>
      <c r="B78" s="81" t="s">
        <v>3761</v>
      </c>
      <c r="C78" s="81" t="s">
        <v>16</v>
      </c>
      <c r="D78" s="81" t="s">
        <v>404</v>
      </c>
      <c r="E78" s="81" t="s">
        <v>376</v>
      </c>
      <c r="F78" s="81" t="s">
        <v>837</v>
      </c>
      <c r="G78" s="81" t="s">
        <v>3750</v>
      </c>
    </row>
    <row r="79" spans="1:7" x14ac:dyDescent="0.3">
      <c r="A79" s="81" t="s">
        <v>2368</v>
      </c>
      <c r="B79" s="81" t="s">
        <v>3761</v>
      </c>
      <c r="C79" s="81" t="s">
        <v>16</v>
      </c>
      <c r="D79" s="81" t="s">
        <v>404</v>
      </c>
      <c r="E79" s="81" t="s">
        <v>377</v>
      </c>
      <c r="F79" s="81" t="s">
        <v>837</v>
      </c>
      <c r="G79" s="81" t="s">
        <v>3751</v>
      </c>
    </row>
    <row r="80" spans="1:7" x14ac:dyDescent="0.3">
      <c r="A80" s="81" t="s">
        <v>2368</v>
      </c>
      <c r="B80" s="81" t="s">
        <v>3761</v>
      </c>
      <c r="C80" s="81" t="s">
        <v>16</v>
      </c>
      <c r="D80" s="81" t="s">
        <v>404</v>
      </c>
      <c r="E80" s="81" t="s">
        <v>381</v>
      </c>
      <c r="F80" s="81" t="s">
        <v>837</v>
      </c>
      <c r="G80" s="81" t="s">
        <v>3752</v>
      </c>
    </row>
    <row r="81" spans="1:7" x14ac:dyDescent="0.3">
      <c r="A81" s="81" t="s">
        <v>2368</v>
      </c>
      <c r="B81" s="81" t="s">
        <v>3761</v>
      </c>
      <c r="C81" s="81" t="s">
        <v>16</v>
      </c>
      <c r="D81" s="81" t="s">
        <v>404</v>
      </c>
      <c r="E81" s="81" t="s">
        <v>379</v>
      </c>
      <c r="F81" s="81" t="s">
        <v>837</v>
      </c>
      <c r="G81" s="81" t="s">
        <v>3753</v>
      </c>
    </row>
    <row r="82" spans="1:7" x14ac:dyDescent="0.3">
      <c r="A82" s="81" t="s">
        <v>2368</v>
      </c>
      <c r="B82" s="81" t="s">
        <v>3761</v>
      </c>
      <c r="C82" s="81" t="s">
        <v>16</v>
      </c>
      <c r="D82" s="81" t="s">
        <v>404</v>
      </c>
      <c r="E82" s="81" t="s">
        <v>374</v>
      </c>
      <c r="F82" s="81" t="s">
        <v>837</v>
      </c>
      <c r="G82" s="81" t="s">
        <v>3754</v>
      </c>
    </row>
    <row r="83" spans="1:7" x14ac:dyDescent="0.3">
      <c r="A83" s="81" t="s">
        <v>2368</v>
      </c>
      <c r="B83" s="81" t="s">
        <v>3761</v>
      </c>
      <c r="C83" s="81" t="s">
        <v>16</v>
      </c>
      <c r="D83" s="81" t="s">
        <v>404</v>
      </c>
      <c r="E83" s="81" t="s">
        <v>383</v>
      </c>
      <c r="F83" s="81" t="s">
        <v>837</v>
      </c>
      <c r="G83" s="81" t="s">
        <v>3755</v>
      </c>
    </row>
    <row r="84" spans="1:7" x14ac:dyDescent="0.3">
      <c r="A84" s="81" t="s">
        <v>2368</v>
      </c>
      <c r="B84" s="81" t="s">
        <v>3761</v>
      </c>
      <c r="C84" s="81" t="s">
        <v>16</v>
      </c>
      <c r="D84" s="81" t="s">
        <v>404</v>
      </c>
      <c r="E84" s="81" t="s">
        <v>373</v>
      </c>
      <c r="F84" s="81" t="s">
        <v>837</v>
      </c>
      <c r="G84" s="81" t="s">
        <v>3756</v>
      </c>
    </row>
    <row r="85" spans="1:7" x14ac:dyDescent="0.3">
      <c r="A85" s="81" t="s">
        <v>2368</v>
      </c>
      <c r="B85" s="81" t="s">
        <v>3761</v>
      </c>
      <c r="C85" s="81" t="s">
        <v>16</v>
      </c>
      <c r="D85" s="81" t="s">
        <v>404</v>
      </c>
      <c r="E85" s="81" t="s">
        <v>368</v>
      </c>
      <c r="F85" s="81" t="s">
        <v>837</v>
      </c>
      <c r="G85" s="81" t="s">
        <v>3757</v>
      </c>
    </row>
    <row r="86" spans="1:7" x14ac:dyDescent="0.3">
      <c r="A86" s="81" t="s">
        <v>2368</v>
      </c>
      <c r="B86" s="81" t="s">
        <v>3761</v>
      </c>
      <c r="C86" s="81" t="s">
        <v>16</v>
      </c>
      <c r="D86" s="81" t="s">
        <v>404</v>
      </c>
      <c r="E86" s="81" t="s">
        <v>372</v>
      </c>
      <c r="F86" s="81" t="s">
        <v>837</v>
      </c>
      <c r="G86" s="81" t="s">
        <v>3758</v>
      </c>
    </row>
    <row r="87" spans="1:7" x14ac:dyDescent="0.3">
      <c r="A87" s="81" t="s">
        <v>2368</v>
      </c>
      <c r="B87" s="81" t="s">
        <v>3761</v>
      </c>
      <c r="C87" s="81" t="s">
        <v>16</v>
      </c>
      <c r="D87" s="81" t="s">
        <v>404</v>
      </c>
      <c r="E87" s="81" t="s">
        <v>375</v>
      </c>
      <c r="F87" s="81" t="s">
        <v>837</v>
      </c>
      <c r="G87" s="81" t="s">
        <v>3759</v>
      </c>
    </row>
    <row r="88" spans="1:7" x14ac:dyDescent="0.3">
      <c r="A88" s="81" t="s">
        <v>2368</v>
      </c>
      <c r="B88" s="81" t="s">
        <v>3761</v>
      </c>
      <c r="C88" s="81" t="s">
        <v>16</v>
      </c>
      <c r="D88" s="81" t="s">
        <v>404</v>
      </c>
      <c r="E88" s="81" t="s">
        <v>380</v>
      </c>
      <c r="F88" s="81" t="s">
        <v>837</v>
      </c>
      <c r="G88" s="81" t="s">
        <v>3760</v>
      </c>
    </row>
    <row r="89" spans="1:7" x14ac:dyDescent="0.3">
      <c r="A89" s="81" t="s">
        <v>2369</v>
      </c>
      <c r="B89" s="81" t="s">
        <v>3761</v>
      </c>
      <c r="C89" s="81" t="s">
        <v>20</v>
      </c>
      <c r="D89" s="81" t="s">
        <v>18</v>
      </c>
      <c r="E89" s="81" t="s">
        <v>15</v>
      </c>
      <c r="F89" s="81" t="s">
        <v>1064</v>
      </c>
      <c r="G89" s="81">
        <v>0</v>
      </c>
    </row>
    <row r="90" spans="1:7" x14ac:dyDescent="0.3">
      <c r="A90" s="81" t="s">
        <v>628</v>
      </c>
      <c r="B90" s="81" t="s">
        <v>3786</v>
      </c>
      <c r="C90" s="81" t="s">
        <v>20</v>
      </c>
      <c r="D90" s="81" t="s">
        <v>404</v>
      </c>
      <c r="E90" s="81" t="s">
        <v>15</v>
      </c>
      <c r="F90" s="81" t="s">
        <v>845</v>
      </c>
      <c r="G90" s="81">
        <v>0</v>
      </c>
    </row>
    <row r="91" spans="1:7" x14ac:dyDescent="0.3">
      <c r="A91" s="81" t="s">
        <v>628</v>
      </c>
      <c r="B91" s="81" t="s">
        <v>3786</v>
      </c>
      <c r="C91" s="81" t="s">
        <v>20</v>
      </c>
      <c r="D91" s="81" t="s">
        <v>846</v>
      </c>
      <c r="E91" s="81" t="s">
        <v>15</v>
      </c>
      <c r="F91" s="81" t="s">
        <v>845</v>
      </c>
      <c r="G91" s="81">
        <v>0</v>
      </c>
    </row>
    <row r="92" spans="1:7" x14ac:dyDescent="0.3">
      <c r="A92" s="81" t="s">
        <v>623</v>
      </c>
      <c r="B92" s="81" t="s">
        <v>3781</v>
      </c>
      <c r="C92" s="81" t="s">
        <v>20</v>
      </c>
      <c r="D92" s="81" t="s">
        <v>16</v>
      </c>
      <c r="E92" s="81" t="s">
        <v>15</v>
      </c>
      <c r="F92" s="81" t="s">
        <v>850</v>
      </c>
      <c r="G92" s="81" t="s">
        <v>1033</v>
      </c>
    </row>
    <row r="93" spans="1:7" x14ac:dyDescent="0.3">
      <c r="A93" s="81" t="s">
        <v>623</v>
      </c>
      <c r="B93" s="81" t="s">
        <v>3781</v>
      </c>
      <c r="C93" s="81" t="s">
        <v>16</v>
      </c>
      <c r="D93" s="81" t="s">
        <v>18</v>
      </c>
      <c r="E93" s="81" t="s">
        <v>369</v>
      </c>
      <c r="F93" s="81" t="s">
        <v>850</v>
      </c>
      <c r="G93" s="81" t="s">
        <v>3729</v>
      </c>
    </row>
    <row r="94" spans="1:7" x14ac:dyDescent="0.3">
      <c r="A94" s="81" t="s">
        <v>623</v>
      </c>
      <c r="B94" s="81" t="s">
        <v>3781</v>
      </c>
      <c r="C94" s="81" t="s">
        <v>16</v>
      </c>
      <c r="D94" s="81" t="s">
        <v>18</v>
      </c>
      <c r="E94" s="81" t="s">
        <v>382</v>
      </c>
      <c r="F94" s="81" t="s">
        <v>850</v>
      </c>
      <c r="G94" s="81" t="s">
        <v>3730</v>
      </c>
    </row>
    <row r="95" spans="1:7" x14ac:dyDescent="0.3">
      <c r="A95" s="81" t="s">
        <v>623</v>
      </c>
      <c r="B95" s="81" t="s">
        <v>3781</v>
      </c>
      <c r="C95" s="81" t="s">
        <v>16</v>
      </c>
      <c r="D95" s="81" t="s">
        <v>18</v>
      </c>
      <c r="E95" s="81" t="s">
        <v>370</v>
      </c>
      <c r="F95" s="81" t="s">
        <v>850</v>
      </c>
      <c r="G95" s="81" t="s">
        <v>3731</v>
      </c>
    </row>
    <row r="96" spans="1:7" x14ac:dyDescent="0.3">
      <c r="A96" s="81" t="s">
        <v>623</v>
      </c>
      <c r="B96" s="81" t="s">
        <v>3781</v>
      </c>
      <c r="C96" s="81" t="s">
        <v>16</v>
      </c>
      <c r="D96" s="81" t="s">
        <v>18</v>
      </c>
      <c r="E96" s="81" t="s">
        <v>378</v>
      </c>
      <c r="F96" s="81" t="s">
        <v>850</v>
      </c>
      <c r="G96" s="81" t="s">
        <v>3732</v>
      </c>
    </row>
    <row r="97" spans="1:7" x14ac:dyDescent="0.3">
      <c r="A97" s="81" t="s">
        <v>623</v>
      </c>
      <c r="B97" s="81" t="s">
        <v>3781</v>
      </c>
      <c r="C97" s="81" t="s">
        <v>16</v>
      </c>
      <c r="D97" s="81" t="s">
        <v>18</v>
      </c>
      <c r="E97" s="81" t="s">
        <v>371</v>
      </c>
      <c r="F97" s="81" t="s">
        <v>850</v>
      </c>
      <c r="G97" s="81" t="s">
        <v>3733</v>
      </c>
    </row>
    <row r="98" spans="1:7" x14ac:dyDescent="0.3">
      <c r="A98" s="81" t="s">
        <v>623</v>
      </c>
      <c r="B98" s="81" t="s">
        <v>3781</v>
      </c>
      <c r="C98" s="81" t="s">
        <v>16</v>
      </c>
      <c r="D98" s="81" t="s">
        <v>18</v>
      </c>
      <c r="E98" s="81" t="s">
        <v>376</v>
      </c>
      <c r="F98" s="81" t="s">
        <v>850</v>
      </c>
      <c r="G98" s="81" t="s">
        <v>3734</v>
      </c>
    </row>
    <row r="99" spans="1:7" x14ac:dyDescent="0.3">
      <c r="A99" s="81" t="s">
        <v>623</v>
      </c>
      <c r="B99" s="81" t="s">
        <v>3781</v>
      </c>
      <c r="C99" s="81" t="s">
        <v>16</v>
      </c>
      <c r="D99" s="81" t="s">
        <v>18</v>
      </c>
      <c r="E99" s="81" t="s">
        <v>377</v>
      </c>
      <c r="F99" s="81" t="s">
        <v>850</v>
      </c>
      <c r="G99" s="81" t="s">
        <v>3735</v>
      </c>
    </row>
    <row r="100" spans="1:7" x14ac:dyDescent="0.3">
      <c r="A100" s="81" t="s">
        <v>623</v>
      </c>
      <c r="B100" s="81" t="s">
        <v>3781</v>
      </c>
      <c r="C100" s="81" t="s">
        <v>16</v>
      </c>
      <c r="D100" s="81" t="s">
        <v>18</v>
      </c>
      <c r="E100" s="81" t="s">
        <v>381</v>
      </c>
      <c r="F100" s="81" t="s">
        <v>850</v>
      </c>
      <c r="G100" s="81" t="s">
        <v>3736</v>
      </c>
    </row>
    <row r="101" spans="1:7" x14ac:dyDescent="0.3">
      <c r="A101" s="81" t="s">
        <v>623</v>
      </c>
      <c r="B101" s="81" t="s">
        <v>3781</v>
      </c>
      <c r="C101" s="81" t="s">
        <v>16</v>
      </c>
      <c r="D101" s="81" t="s">
        <v>18</v>
      </c>
      <c r="E101" s="81" t="s">
        <v>379</v>
      </c>
      <c r="F101" s="81" t="s">
        <v>850</v>
      </c>
      <c r="G101" s="81" t="s">
        <v>3737</v>
      </c>
    </row>
    <row r="102" spans="1:7" x14ac:dyDescent="0.3">
      <c r="A102" s="81" t="s">
        <v>623</v>
      </c>
      <c r="B102" s="81" t="s">
        <v>3781</v>
      </c>
      <c r="C102" s="81" t="s">
        <v>16</v>
      </c>
      <c r="D102" s="81" t="s">
        <v>18</v>
      </c>
      <c r="E102" s="81" t="s">
        <v>374</v>
      </c>
      <c r="F102" s="81" t="s">
        <v>850</v>
      </c>
      <c r="G102" s="81" t="s">
        <v>3738</v>
      </c>
    </row>
    <row r="103" spans="1:7" x14ac:dyDescent="0.3">
      <c r="A103" s="81" t="s">
        <v>623</v>
      </c>
      <c r="B103" s="81" t="s">
        <v>3781</v>
      </c>
      <c r="C103" s="81" t="s">
        <v>16</v>
      </c>
      <c r="D103" s="81" t="s">
        <v>18</v>
      </c>
      <c r="E103" s="81" t="s">
        <v>383</v>
      </c>
      <c r="F103" s="81" t="s">
        <v>850</v>
      </c>
      <c r="G103" s="81" t="s">
        <v>3739</v>
      </c>
    </row>
    <row r="104" spans="1:7" x14ac:dyDescent="0.3">
      <c r="A104" s="81" t="s">
        <v>623</v>
      </c>
      <c r="B104" s="81" t="s">
        <v>3781</v>
      </c>
      <c r="C104" s="81" t="s">
        <v>16</v>
      </c>
      <c r="D104" s="81" t="s">
        <v>18</v>
      </c>
      <c r="E104" s="81" t="s">
        <v>373</v>
      </c>
      <c r="F104" s="81" t="s">
        <v>850</v>
      </c>
      <c r="G104" s="81" t="s">
        <v>3740</v>
      </c>
    </row>
    <row r="105" spans="1:7" x14ac:dyDescent="0.3">
      <c r="A105" s="81" t="s">
        <v>623</v>
      </c>
      <c r="B105" s="81" t="s">
        <v>3781</v>
      </c>
      <c r="C105" s="81" t="s">
        <v>16</v>
      </c>
      <c r="D105" s="81" t="s">
        <v>18</v>
      </c>
      <c r="E105" s="81" t="s">
        <v>368</v>
      </c>
      <c r="F105" s="81" t="s">
        <v>850</v>
      </c>
      <c r="G105" s="81" t="s">
        <v>3741</v>
      </c>
    </row>
    <row r="106" spans="1:7" x14ac:dyDescent="0.3">
      <c r="A106" s="81" t="s">
        <v>623</v>
      </c>
      <c r="B106" s="81" t="s">
        <v>3781</v>
      </c>
      <c r="C106" s="81" t="s">
        <v>16</v>
      </c>
      <c r="D106" s="81" t="s">
        <v>18</v>
      </c>
      <c r="E106" s="81" t="s">
        <v>372</v>
      </c>
      <c r="F106" s="81" t="s">
        <v>850</v>
      </c>
      <c r="G106" s="81" t="s">
        <v>3742</v>
      </c>
    </row>
    <row r="107" spans="1:7" x14ac:dyDescent="0.3">
      <c r="A107" s="81" t="s">
        <v>623</v>
      </c>
      <c r="B107" s="81" t="s">
        <v>3781</v>
      </c>
      <c r="C107" s="81" t="s">
        <v>16</v>
      </c>
      <c r="D107" s="81" t="s">
        <v>18</v>
      </c>
      <c r="E107" s="81" t="s">
        <v>375</v>
      </c>
      <c r="F107" s="81" t="s">
        <v>850</v>
      </c>
      <c r="G107" s="81" t="s">
        <v>3743</v>
      </c>
    </row>
    <row r="108" spans="1:7" x14ac:dyDescent="0.3">
      <c r="A108" s="81" t="s">
        <v>623</v>
      </c>
      <c r="B108" s="81" t="s">
        <v>3781</v>
      </c>
      <c r="C108" s="81" t="s">
        <v>16</v>
      </c>
      <c r="D108" s="81" t="s">
        <v>18</v>
      </c>
      <c r="E108" s="81" t="s">
        <v>380</v>
      </c>
      <c r="F108" s="81" t="s">
        <v>850</v>
      </c>
      <c r="G108" s="81" t="s">
        <v>3744</v>
      </c>
    </row>
    <row r="109" spans="1:7" x14ac:dyDescent="0.3">
      <c r="A109" s="81" t="s">
        <v>877</v>
      </c>
      <c r="B109" s="81" t="s">
        <v>3781</v>
      </c>
      <c r="C109" s="81" t="s">
        <v>20</v>
      </c>
      <c r="D109" s="81" t="s">
        <v>18</v>
      </c>
      <c r="E109" s="81" t="s">
        <v>15</v>
      </c>
      <c r="F109" s="81" t="s">
        <v>850</v>
      </c>
      <c r="G109" s="81" t="s">
        <v>1033</v>
      </c>
    </row>
    <row r="110" spans="1:7" x14ac:dyDescent="0.3">
      <c r="A110" s="81" t="s">
        <v>877</v>
      </c>
      <c r="B110" s="81" t="s">
        <v>3781</v>
      </c>
      <c r="C110" s="81" t="s">
        <v>16</v>
      </c>
      <c r="D110" s="81" t="s">
        <v>18</v>
      </c>
      <c r="E110" s="81" t="s">
        <v>369</v>
      </c>
      <c r="F110" s="81" t="s">
        <v>850</v>
      </c>
      <c r="G110" s="81" t="s">
        <v>3729</v>
      </c>
    </row>
    <row r="111" spans="1:7" x14ac:dyDescent="0.3">
      <c r="A111" s="81" t="s">
        <v>877</v>
      </c>
      <c r="B111" s="81" t="s">
        <v>3781</v>
      </c>
      <c r="C111" s="81" t="s">
        <v>16</v>
      </c>
      <c r="D111" s="81" t="s">
        <v>18</v>
      </c>
      <c r="E111" s="81" t="s">
        <v>382</v>
      </c>
      <c r="F111" s="81" t="s">
        <v>850</v>
      </c>
      <c r="G111" s="81" t="s">
        <v>3730</v>
      </c>
    </row>
    <row r="112" spans="1:7" x14ac:dyDescent="0.3">
      <c r="A112" s="81" t="s">
        <v>877</v>
      </c>
      <c r="B112" s="81" t="s">
        <v>3781</v>
      </c>
      <c r="C112" s="81" t="s">
        <v>16</v>
      </c>
      <c r="D112" s="81" t="s">
        <v>18</v>
      </c>
      <c r="E112" s="81" t="s">
        <v>370</v>
      </c>
      <c r="F112" s="81" t="s">
        <v>850</v>
      </c>
      <c r="G112" s="81" t="s">
        <v>3731</v>
      </c>
    </row>
    <row r="113" spans="1:7" x14ac:dyDescent="0.3">
      <c r="A113" s="81" t="s">
        <v>877</v>
      </c>
      <c r="B113" s="81" t="s">
        <v>3781</v>
      </c>
      <c r="C113" s="81" t="s">
        <v>16</v>
      </c>
      <c r="D113" s="81" t="s">
        <v>18</v>
      </c>
      <c r="E113" s="81" t="s">
        <v>378</v>
      </c>
      <c r="F113" s="81" t="s">
        <v>850</v>
      </c>
      <c r="G113" s="81" t="s">
        <v>3732</v>
      </c>
    </row>
    <row r="114" spans="1:7" x14ac:dyDescent="0.3">
      <c r="A114" s="81" t="s">
        <v>877</v>
      </c>
      <c r="B114" s="81" t="s">
        <v>3781</v>
      </c>
      <c r="C114" s="81" t="s">
        <v>16</v>
      </c>
      <c r="D114" s="81" t="s">
        <v>18</v>
      </c>
      <c r="E114" s="81" t="s">
        <v>371</v>
      </c>
      <c r="F114" s="81" t="s">
        <v>850</v>
      </c>
      <c r="G114" s="81" t="s">
        <v>3733</v>
      </c>
    </row>
    <row r="115" spans="1:7" x14ac:dyDescent="0.3">
      <c r="A115" s="81" t="s">
        <v>877</v>
      </c>
      <c r="B115" s="81" t="s">
        <v>3781</v>
      </c>
      <c r="C115" s="81" t="s">
        <v>16</v>
      </c>
      <c r="D115" s="81" t="s">
        <v>18</v>
      </c>
      <c r="E115" s="81" t="s">
        <v>376</v>
      </c>
      <c r="F115" s="81" t="s">
        <v>850</v>
      </c>
      <c r="G115" s="81" t="s">
        <v>3734</v>
      </c>
    </row>
    <row r="116" spans="1:7" x14ac:dyDescent="0.3">
      <c r="A116" s="81" t="s">
        <v>877</v>
      </c>
      <c r="B116" s="81" t="s">
        <v>3781</v>
      </c>
      <c r="C116" s="81" t="s">
        <v>16</v>
      </c>
      <c r="D116" s="81" t="s">
        <v>18</v>
      </c>
      <c r="E116" s="81" t="s">
        <v>377</v>
      </c>
      <c r="F116" s="81" t="s">
        <v>850</v>
      </c>
      <c r="G116" s="81" t="s">
        <v>3735</v>
      </c>
    </row>
    <row r="117" spans="1:7" x14ac:dyDescent="0.3">
      <c r="A117" s="81" t="s">
        <v>877</v>
      </c>
      <c r="B117" s="81" t="s">
        <v>3781</v>
      </c>
      <c r="C117" s="81" t="s">
        <v>16</v>
      </c>
      <c r="D117" s="81" t="s">
        <v>18</v>
      </c>
      <c r="E117" s="81" t="s">
        <v>381</v>
      </c>
      <c r="F117" s="81" t="s">
        <v>850</v>
      </c>
      <c r="G117" s="81" t="s">
        <v>3736</v>
      </c>
    </row>
    <row r="118" spans="1:7" x14ac:dyDescent="0.3">
      <c r="A118" s="81" t="s">
        <v>877</v>
      </c>
      <c r="B118" s="81" t="s">
        <v>3781</v>
      </c>
      <c r="C118" s="81" t="s">
        <v>16</v>
      </c>
      <c r="D118" s="81" t="s">
        <v>18</v>
      </c>
      <c r="E118" s="81" t="s">
        <v>379</v>
      </c>
      <c r="F118" s="81" t="s">
        <v>850</v>
      </c>
      <c r="G118" s="81" t="s">
        <v>3737</v>
      </c>
    </row>
    <row r="119" spans="1:7" x14ac:dyDescent="0.3">
      <c r="A119" s="81" t="s">
        <v>877</v>
      </c>
      <c r="B119" s="81" t="s">
        <v>3781</v>
      </c>
      <c r="C119" s="81" t="s">
        <v>16</v>
      </c>
      <c r="D119" s="81" t="s">
        <v>18</v>
      </c>
      <c r="E119" s="81" t="s">
        <v>374</v>
      </c>
      <c r="F119" s="81" t="s">
        <v>850</v>
      </c>
      <c r="G119" s="81" t="s">
        <v>3738</v>
      </c>
    </row>
    <row r="120" spans="1:7" x14ac:dyDescent="0.3">
      <c r="A120" s="81" t="s">
        <v>877</v>
      </c>
      <c r="B120" s="81" t="s">
        <v>3781</v>
      </c>
      <c r="C120" s="81" t="s">
        <v>16</v>
      </c>
      <c r="D120" s="81" t="s">
        <v>18</v>
      </c>
      <c r="E120" s="81" t="s">
        <v>383</v>
      </c>
      <c r="F120" s="81" t="s">
        <v>850</v>
      </c>
      <c r="G120" s="81" t="s">
        <v>3739</v>
      </c>
    </row>
    <row r="121" spans="1:7" x14ac:dyDescent="0.3">
      <c r="A121" s="81" t="s">
        <v>877</v>
      </c>
      <c r="B121" s="81" t="s">
        <v>3781</v>
      </c>
      <c r="C121" s="81" t="s">
        <v>16</v>
      </c>
      <c r="D121" s="81" t="s">
        <v>18</v>
      </c>
      <c r="E121" s="81" t="s">
        <v>373</v>
      </c>
      <c r="F121" s="81" t="s">
        <v>850</v>
      </c>
      <c r="G121" s="81" t="s">
        <v>3740</v>
      </c>
    </row>
    <row r="122" spans="1:7" x14ac:dyDescent="0.3">
      <c r="A122" s="81" t="s">
        <v>877</v>
      </c>
      <c r="B122" s="81" t="s">
        <v>3781</v>
      </c>
      <c r="C122" s="81" t="s">
        <v>16</v>
      </c>
      <c r="D122" s="81" t="s">
        <v>18</v>
      </c>
      <c r="E122" s="81" t="s">
        <v>368</v>
      </c>
      <c r="F122" s="81" t="s">
        <v>850</v>
      </c>
      <c r="G122" s="81" t="s">
        <v>3741</v>
      </c>
    </row>
    <row r="123" spans="1:7" x14ac:dyDescent="0.3">
      <c r="A123" s="81" t="s">
        <v>877</v>
      </c>
      <c r="B123" s="81" t="s">
        <v>3781</v>
      </c>
      <c r="C123" s="81" t="s">
        <v>16</v>
      </c>
      <c r="D123" s="81" t="s">
        <v>18</v>
      </c>
      <c r="E123" s="81" t="s">
        <v>372</v>
      </c>
      <c r="F123" s="81" t="s">
        <v>850</v>
      </c>
      <c r="G123" s="81" t="s">
        <v>3742</v>
      </c>
    </row>
    <row r="124" spans="1:7" x14ac:dyDescent="0.3">
      <c r="A124" s="81" t="s">
        <v>877</v>
      </c>
      <c r="B124" s="81" t="s">
        <v>3781</v>
      </c>
      <c r="C124" s="81" t="s">
        <v>16</v>
      </c>
      <c r="D124" s="81" t="s">
        <v>18</v>
      </c>
      <c r="E124" s="81" t="s">
        <v>375</v>
      </c>
      <c r="F124" s="81" t="s">
        <v>850</v>
      </c>
      <c r="G124" s="81" t="s">
        <v>3743</v>
      </c>
    </row>
    <row r="125" spans="1:7" x14ac:dyDescent="0.3">
      <c r="A125" s="81" t="s">
        <v>877</v>
      </c>
      <c r="B125" s="81" t="s">
        <v>3781</v>
      </c>
      <c r="C125" s="81" t="s">
        <v>16</v>
      </c>
      <c r="D125" s="81" t="s">
        <v>18</v>
      </c>
      <c r="E125" s="81" t="s">
        <v>380</v>
      </c>
      <c r="F125" s="81" t="s">
        <v>850</v>
      </c>
      <c r="G125" s="81" t="s">
        <v>3744</v>
      </c>
    </row>
    <row r="126" spans="1:7" x14ac:dyDescent="0.3">
      <c r="A126" s="81" t="s">
        <v>883</v>
      </c>
      <c r="B126" s="81" t="s">
        <v>1601</v>
      </c>
      <c r="C126" s="81" t="s">
        <v>20</v>
      </c>
      <c r="D126" s="81" t="s">
        <v>404</v>
      </c>
      <c r="E126" s="81" t="s">
        <v>15</v>
      </c>
      <c r="F126" s="81" t="s">
        <v>1632</v>
      </c>
      <c r="G126" s="81">
        <v>0</v>
      </c>
    </row>
    <row r="127" spans="1:7" x14ac:dyDescent="0.3">
      <c r="A127" s="81" t="s">
        <v>1018</v>
      </c>
      <c r="B127" s="81" t="s">
        <v>3783</v>
      </c>
      <c r="C127" s="81" t="s">
        <v>20</v>
      </c>
      <c r="D127" s="81" t="s">
        <v>16</v>
      </c>
      <c r="E127" s="81" t="s">
        <v>15</v>
      </c>
      <c r="F127" s="81" t="s">
        <v>2010</v>
      </c>
      <c r="G127" s="81" t="s">
        <v>855</v>
      </c>
    </row>
    <row r="128" spans="1:7" x14ac:dyDescent="0.3">
      <c r="A128" s="81" t="s">
        <v>1018</v>
      </c>
      <c r="B128" s="81" t="s">
        <v>3783</v>
      </c>
      <c r="C128" s="81" t="s">
        <v>20</v>
      </c>
      <c r="D128" s="81" t="s">
        <v>404</v>
      </c>
      <c r="E128" s="81" t="s">
        <v>15</v>
      </c>
      <c r="F128" s="81" t="s">
        <v>1019</v>
      </c>
      <c r="G128" s="81">
        <v>0</v>
      </c>
    </row>
    <row r="129" spans="1:7" x14ac:dyDescent="0.3">
      <c r="A129" s="81" t="s">
        <v>1018</v>
      </c>
      <c r="B129" s="81" t="s">
        <v>3783</v>
      </c>
      <c r="C129" s="81" t="s">
        <v>20</v>
      </c>
      <c r="D129" s="81" t="s">
        <v>404</v>
      </c>
      <c r="E129" s="81" t="s">
        <v>15</v>
      </c>
      <c r="F129" s="81" t="s">
        <v>1724</v>
      </c>
      <c r="G129" s="81" t="s">
        <v>855</v>
      </c>
    </row>
    <row r="130" spans="1:7" x14ac:dyDescent="0.3">
      <c r="A130" s="81" t="s">
        <v>1018</v>
      </c>
      <c r="B130" s="81" t="s">
        <v>3783</v>
      </c>
      <c r="C130" s="81" t="s">
        <v>20</v>
      </c>
      <c r="D130" s="81" t="s">
        <v>5301</v>
      </c>
      <c r="E130" s="81" t="s">
        <v>15</v>
      </c>
      <c r="F130" s="81" t="s">
        <v>1636</v>
      </c>
      <c r="G130" s="81" t="s">
        <v>855</v>
      </c>
    </row>
    <row r="131" spans="1:7" x14ac:dyDescent="0.3">
      <c r="A131" s="81" t="s">
        <v>1018</v>
      </c>
      <c r="B131" s="81" t="s">
        <v>3783</v>
      </c>
      <c r="C131" s="81" t="s">
        <v>16</v>
      </c>
      <c r="D131" s="81" t="s">
        <v>404</v>
      </c>
      <c r="E131" s="81" t="s">
        <v>369</v>
      </c>
      <c r="F131" s="81" t="s">
        <v>2010</v>
      </c>
      <c r="G131" s="81" t="s">
        <v>3745</v>
      </c>
    </row>
    <row r="132" spans="1:7" x14ac:dyDescent="0.3">
      <c r="A132" s="81" t="s">
        <v>1018</v>
      </c>
      <c r="B132" s="81" t="s">
        <v>3783</v>
      </c>
      <c r="C132" s="81" t="s">
        <v>16</v>
      </c>
      <c r="D132" s="81" t="s">
        <v>404</v>
      </c>
      <c r="E132" s="81" t="s">
        <v>369</v>
      </c>
      <c r="F132" s="81" t="s">
        <v>1724</v>
      </c>
      <c r="G132" s="81" t="s">
        <v>3745</v>
      </c>
    </row>
    <row r="133" spans="1:7" x14ac:dyDescent="0.3">
      <c r="A133" s="81" t="s">
        <v>1018</v>
      </c>
      <c r="B133" s="81" t="s">
        <v>3783</v>
      </c>
      <c r="C133" s="81" t="s">
        <v>16</v>
      </c>
      <c r="D133" s="81" t="s">
        <v>404</v>
      </c>
      <c r="E133" s="81" t="s">
        <v>382</v>
      </c>
      <c r="F133" s="81" t="s">
        <v>2010</v>
      </c>
      <c r="G133" s="81" t="s">
        <v>3746</v>
      </c>
    </row>
    <row r="134" spans="1:7" x14ac:dyDescent="0.3">
      <c r="A134" s="81" t="s">
        <v>1018</v>
      </c>
      <c r="B134" s="81" t="s">
        <v>3783</v>
      </c>
      <c r="C134" s="81" t="s">
        <v>16</v>
      </c>
      <c r="D134" s="81" t="s">
        <v>404</v>
      </c>
      <c r="E134" s="81" t="s">
        <v>382</v>
      </c>
      <c r="F134" s="81" t="s">
        <v>1724</v>
      </c>
      <c r="G134" s="81" t="s">
        <v>3746</v>
      </c>
    </row>
    <row r="135" spans="1:7" x14ac:dyDescent="0.3">
      <c r="A135" s="81" t="s">
        <v>1018</v>
      </c>
      <c r="B135" s="81" t="s">
        <v>3783</v>
      </c>
      <c r="C135" s="81" t="s">
        <v>16</v>
      </c>
      <c r="D135" s="81" t="s">
        <v>404</v>
      </c>
      <c r="E135" s="81" t="s">
        <v>370</v>
      </c>
      <c r="F135" s="81" t="s">
        <v>2010</v>
      </c>
      <c r="G135" s="81" t="s">
        <v>3747</v>
      </c>
    </row>
    <row r="136" spans="1:7" x14ac:dyDescent="0.3">
      <c r="A136" s="81" t="s">
        <v>1018</v>
      </c>
      <c r="B136" s="81" t="s">
        <v>3783</v>
      </c>
      <c r="C136" s="81" t="s">
        <v>16</v>
      </c>
      <c r="D136" s="81" t="s">
        <v>404</v>
      </c>
      <c r="E136" s="81" t="s">
        <v>370</v>
      </c>
      <c r="F136" s="81" t="s">
        <v>1724</v>
      </c>
      <c r="G136" s="81" t="s">
        <v>3747</v>
      </c>
    </row>
    <row r="137" spans="1:7" x14ac:dyDescent="0.3">
      <c r="A137" s="81" t="s">
        <v>1018</v>
      </c>
      <c r="B137" s="81" t="s">
        <v>3783</v>
      </c>
      <c r="C137" s="81" t="s">
        <v>16</v>
      </c>
      <c r="D137" s="81" t="s">
        <v>404</v>
      </c>
      <c r="E137" s="81" t="s">
        <v>378</v>
      </c>
      <c r="F137" s="81" t="s">
        <v>2010</v>
      </c>
      <c r="G137" s="81" t="s">
        <v>3748</v>
      </c>
    </row>
    <row r="138" spans="1:7" x14ac:dyDescent="0.3">
      <c r="A138" s="81" t="s">
        <v>1018</v>
      </c>
      <c r="B138" s="81" t="s">
        <v>3783</v>
      </c>
      <c r="C138" s="81" t="s">
        <v>16</v>
      </c>
      <c r="D138" s="81" t="s">
        <v>404</v>
      </c>
      <c r="E138" s="81" t="s">
        <v>378</v>
      </c>
      <c r="F138" s="81" t="s">
        <v>1724</v>
      </c>
      <c r="G138" s="81" t="s">
        <v>3748</v>
      </c>
    </row>
    <row r="139" spans="1:7" x14ac:dyDescent="0.3">
      <c r="A139" s="81" t="s">
        <v>1018</v>
      </c>
      <c r="B139" s="81" t="s">
        <v>3783</v>
      </c>
      <c r="C139" s="81" t="s">
        <v>16</v>
      </c>
      <c r="D139" s="81" t="s">
        <v>404</v>
      </c>
      <c r="E139" s="81" t="s">
        <v>371</v>
      </c>
      <c r="F139" s="81" t="s">
        <v>2010</v>
      </c>
      <c r="G139" s="81" t="s">
        <v>3749</v>
      </c>
    </row>
    <row r="140" spans="1:7" x14ac:dyDescent="0.3">
      <c r="A140" s="81" t="s">
        <v>1018</v>
      </c>
      <c r="B140" s="81" t="s">
        <v>3783</v>
      </c>
      <c r="C140" s="81" t="s">
        <v>16</v>
      </c>
      <c r="D140" s="81" t="s">
        <v>404</v>
      </c>
      <c r="E140" s="81" t="s">
        <v>371</v>
      </c>
      <c r="F140" s="81" t="s">
        <v>1724</v>
      </c>
      <c r="G140" s="81" t="s">
        <v>3749</v>
      </c>
    </row>
    <row r="141" spans="1:7" x14ac:dyDescent="0.3">
      <c r="A141" s="81" t="s">
        <v>1018</v>
      </c>
      <c r="B141" s="81" t="s">
        <v>3783</v>
      </c>
      <c r="C141" s="81" t="s">
        <v>16</v>
      </c>
      <c r="D141" s="81" t="s">
        <v>404</v>
      </c>
      <c r="E141" s="81" t="s">
        <v>376</v>
      </c>
      <c r="F141" s="81" t="s">
        <v>2010</v>
      </c>
      <c r="G141" s="81" t="s">
        <v>3750</v>
      </c>
    </row>
    <row r="142" spans="1:7" x14ac:dyDescent="0.3">
      <c r="A142" s="81" t="s">
        <v>1018</v>
      </c>
      <c r="B142" s="81" t="s">
        <v>3783</v>
      </c>
      <c r="C142" s="81" t="s">
        <v>16</v>
      </c>
      <c r="D142" s="81" t="s">
        <v>404</v>
      </c>
      <c r="E142" s="81" t="s">
        <v>376</v>
      </c>
      <c r="F142" s="81" t="s">
        <v>1724</v>
      </c>
      <c r="G142" s="81" t="s">
        <v>3750</v>
      </c>
    </row>
    <row r="143" spans="1:7" x14ac:dyDescent="0.3">
      <c r="A143" s="81" t="s">
        <v>1018</v>
      </c>
      <c r="B143" s="81" t="s">
        <v>3783</v>
      </c>
      <c r="C143" s="81" t="s">
        <v>16</v>
      </c>
      <c r="D143" s="81" t="s">
        <v>404</v>
      </c>
      <c r="E143" s="81" t="s">
        <v>377</v>
      </c>
      <c r="F143" s="81" t="s">
        <v>2010</v>
      </c>
      <c r="G143" s="81" t="s">
        <v>3751</v>
      </c>
    </row>
    <row r="144" spans="1:7" x14ac:dyDescent="0.3">
      <c r="A144" s="81" t="s">
        <v>1018</v>
      </c>
      <c r="B144" s="81" t="s">
        <v>3783</v>
      </c>
      <c r="C144" s="81" t="s">
        <v>16</v>
      </c>
      <c r="D144" s="81" t="s">
        <v>404</v>
      </c>
      <c r="E144" s="81" t="s">
        <v>377</v>
      </c>
      <c r="F144" s="81" t="s">
        <v>1724</v>
      </c>
      <c r="G144" s="81" t="s">
        <v>3751</v>
      </c>
    </row>
    <row r="145" spans="1:7" x14ac:dyDescent="0.3">
      <c r="A145" s="81" t="s">
        <v>1018</v>
      </c>
      <c r="B145" s="81" t="s">
        <v>3783</v>
      </c>
      <c r="C145" s="81" t="s">
        <v>16</v>
      </c>
      <c r="D145" s="81" t="s">
        <v>404</v>
      </c>
      <c r="E145" s="81" t="s">
        <v>381</v>
      </c>
      <c r="F145" s="81" t="s">
        <v>2010</v>
      </c>
      <c r="G145" s="81" t="s">
        <v>3752</v>
      </c>
    </row>
    <row r="146" spans="1:7" x14ac:dyDescent="0.3">
      <c r="A146" s="81" t="s">
        <v>1018</v>
      </c>
      <c r="B146" s="81" t="s">
        <v>3783</v>
      </c>
      <c r="C146" s="81" t="s">
        <v>16</v>
      </c>
      <c r="D146" s="81" t="s">
        <v>404</v>
      </c>
      <c r="E146" s="81" t="s">
        <v>381</v>
      </c>
      <c r="F146" s="81" t="s">
        <v>1724</v>
      </c>
      <c r="G146" s="81" t="s">
        <v>3752</v>
      </c>
    </row>
    <row r="147" spans="1:7" x14ac:dyDescent="0.3">
      <c r="A147" s="81" t="s">
        <v>1018</v>
      </c>
      <c r="B147" s="81" t="s">
        <v>3783</v>
      </c>
      <c r="C147" s="81" t="s">
        <v>16</v>
      </c>
      <c r="D147" s="81" t="s">
        <v>404</v>
      </c>
      <c r="E147" s="81" t="s">
        <v>379</v>
      </c>
      <c r="F147" s="81" t="s">
        <v>2010</v>
      </c>
      <c r="G147" s="81" t="s">
        <v>3753</v>
      </c>
    </row>
    <row r="148" spans="1:7" x14ac:dyDescent="0.3">
      <c r="A148" s="81" t="s">
        <v>1018</v>
      </c>
      <c r="B148" s="81" t="s">
        <v>3783</v>
      </c>
      <c r="C148" s="81" t="s">
        <v>16</v>
      </c>
      <c r="D148" s="81" t="s">
        <v>404</v>
      </c>
      <c r="E148" s="81" t="s">
        <v>379</v>
      </c>
      <c r="F148" s="81" t="s">
        <v>1724</v>
      </c>
      <c r="G148" s="81" t="s">
        <v>3753</v>
      </c>
    </row>
    <row r="149" spans="1:7" x14ac:dyDescent="0.3">
      <c r="A149" s="81" t="s">
        <v>1018</v>
      </c>
      <c r="B149" s="81" t="s">
        <v>3783</v>
      </c>
      <c r="C149" s="81" t="s">
        <v>16</v>
      </c>
      <c r="D149" s="81" t="s">
        <v>404</v>
      </c>
      <c r="E149" s="81" t="s">
        <v>374</v>
      </c>
      <c r="F149" s="81" t="s">
        <v>2010</v>
      </c>
      <c r="G149" s="81" t="s">
        <v>3754</v>
      </c>
    </row>
    <row r="150" spans="1:7" x14ac:dyDescent="0.3">
      <c r="A150" s="81" t="s">
        <v>1018</v>
      </c>
      <c r="B150" s="81" t="s">
        <v>3783</v>
      </c>
      <c r="C150" s="81" t="s">
        <v>16</v>
      </c>
      <c r="D150" s="81" t="s">
        <v>404</v>
      </c>
      <c r="E150" s="81" t="s">
        <v>374</v>
      </c>
      <c r="F150" s="81" t="s">
        <v>1724</v>
      </c>
      <c r="G150" s="81" t="s">
        <v>3754</v>
      </c>
    </row>
    <row r="151" spans="1:7" x14ac:dyDescent="0.3">
      <c r="A151" s="81" t="s">
        <v>1018</v>
      </c>
      <c r="B151" s="81" t="s">
        <v>3783</v>
      </c>
      <c r="C151" s="81" t="s">
        <v>16</v>
      </c>
      <c r="D151" s="81" t="s">
        <v>404</v>
      </c>
      <c r="E151" s="81" t="s">
        <v>383</v>
      </c>
      <c r="F151" s="81" t="s">
        <v>2010</v>
      </c>
      <c r="G151" s="81" t="s">
        <v>3755</v>
      </c>
    </row>
    <row r="152" spans="1:7" x14ac:dyDescent="0.3">
      <c r="A152" s="81" t="s">
        <v>1018</v>
      </c>
      <c r="B152" s="81" t="s">
        <v>3783</v>
      </c>
      <c r="C152" s="81" t="s">
        <v>16</v>
      </c>
      <c r="D152" s="81" t="s">
        <v>404</v>
      </c>
      <c r="E152" s="81" t="s">
        <v>383</v>
      </c>
      <c r="F152" s="81" t="s">
        <v>1724</v>
      </c>
      <c r="G152" s="81" t="s">
        <v>3755</v>
      </c>
    </row>
    <row r="153" spans="1:7" x14ac:dyDescent="0.3">
      <c r="A153" s="81" t="s">
        <v>1018</v>
      </c>
      <c r="B153" s="81" t="s">
        <v>3783</v>
      </c>
      <c r="C153" s="81" t="s">
        <v>16</v>
      </c>
      <c r="D153" s="81" t="s">
        <v>404</v>
      </c>
      <c r="E153" s="81" t="s">
        <v>373</v>
      </c>
      <c r="F153" s="81" t="s">
        <v>2010</v>
      </c>
      <c r="G153" s="81" t="s">
        <v>3756</v>
      </c>
    </row>
    <row r="154" spans="1:7" x14ac:dyDescent="0.3">
      <c r="A154" s="81" t="s">
        <v>1018</v>
      </c>
      <c r="B154" s="81" t="s">
        <v>3783</v>
      </c>
      <c r="C154" s="81" t="s">
        <v>16</v>
      </c>
      <c r="D154" s="81" t="s">
        <v>404</v>
      </c>
      <c r="E154" s="81" t="s">
        <v>373</v>
      </c>
      <c r="F154" s="81" t="s">
        <v>1724</v>
      </c>
      <c r="G154" s="81" t="s">
        <v>3756</v>
      </c>
    </row>
    <row r="155" spans="1:7" x14ac:dyDescent="0.3">
      <c r="A155" s="81" t="s">
        <v>1018</v>
      </c>
      <c r="B155" s="81" t="s">
        <v>3783</v>
      </c>
      <c r="C155" s="81" t="s">
        <v>16</v>
      </c>
      <c r="D155" s="81" t="s">
        <v>404</v>
      </c>
      <c r="E155" s="81" t="s">
        <v>368</v>
      </c>
      <c r="F155" s="81" t="s">
        <v>2010</v>
      </c>
      <c r="G155" s="81" t="s">
        <v>3757</v>
      </c>
    </row>
    <row r="156" spans="1:7" x14ac:dyDescent="0.3">
      <c r="A156" s="81" t="s">
        <v>1018</v>
      </c>
      <c r="B156" s="81" t="s">
        <v>3783</v>
      </c>
      <c r="C156" s="81" t="s">
        <v>16</v>
      </c>
      <c r="D156" s="81" t="s">
        <v>404</v>
      </c>
      <c r="E156" s="81" t="s">
        <v>368</v>
      </c>
      <c r="F156" s="81" t="s">
        <v>1724</v>
      </c>
      <c r="G156" s="81" t="s">
        <v>3757</v>
      </c>
    </row>
    <row r="157" spans="1:7" x14ac:dyDescent="0.3">
      <c r="A157" s="81" t="s">
        <v>1018</v>
      </c>
      <c r="B157" s="81" t="s">
        <v>3783</v>
      </c>
      <c r="C157" s="81" t="s">
        <v>16</v>
      </c>
      <c r="D157" s="81" t="s">
        <v>404</v>
      </c>
      <c r="E157" s="81" t="s">
        <v>372</v>
      </c>
      <c r="F157" s="81" t="s">
        <v>2010</v>
      </c>
      <c r="G157" s="81" t="s">
        <v>3758</v>
      </c>
    </row>
    <row r="158" spans="1:7" x14ac:dyDescent="0.3">
      <c r="A158" s="81" t="s">
        <v>1018</v>
      </c>
      <c r="B158" s="81" t="s">
        <v>3783</v>
      </c>
      <c r="C158" s="81" t="s">
        <v>16</v>
      </c>
      <c r="D158" s="81" t="s">
        <v>404</v>
      </c>
      <c r="E158" s="81" t="s">
        <v>372</v>
      </c>
      <c r="F158" s="81" t="s">
        <v>1724</v>
      </c>
      <c r="G158" s="81" t="s">
        <v>3758</v>
      </c>
    </row>
    <row r="159" spans="1:7" x14ac:dyDescent="0.3">
      <c r="A159" s="81" t="s">
        <v>1018</v>
      </c>
      <c r="B159" s="81" t="s">
        <v>3783</v>
      </c>
      <c r="C159" s="81" t="s">
        <v>16</v>
      </c>
      <c r="D159" s="81" t="s">
        <v>404</v>
      </c>
      <c r="E159" s="81" t="s">
        <v>375</v>
      </c>
      <c r="F159" s="81" t="s">
        <v>2010</v>
      </c>
      <c r="G159" s="81" t="s">
        <v>3759</v>
      </c>
    </row>
    <row r="160" spans="1:7" x14ac:dyDescent="0.3">
      <c r="A160" s="81" t="s">
        <v>1018</v>
      </c>
      <c r="B160" s="81" t="s">
        <v>3783</v>
      </c>
      <c r="C160" s="81" t="s">
        <v>16</v>
      </c>
      <c r="D160" s="81" t="s">
        <v>404</v>
      </c>
      <c r="E160" s="81" t="s">
        <v>375</v>
      </c>
      <c r="F160" s="81" t="s">
        <v>1724</v>
      </c>
      <c r="G160" s="81" t="s">
        <v>3759</v>
      </c>
    </row>
    <row r="161" spans="1:7" x14ac:dyDescent="0.3">
      <c r="A161" s="81" t="s">
        <v>1018</v>
      </c>
      <c r="B161" s="81" t="s">
        <v>3783</v>
      </c>
      <c r="C161" s="81" t="s">
        <v>16</v>
      </c>
      <c r="D161" s="81" t="s">
        <v>404</v>
      </c>
      <c r="E161" s="81" t="s">
        <v>380</v>
      </c>
      <c r="F161" s="81" t="s">
        <v>2010</v>
      </c>
      <c r="G161" s="81" t="s">
        <v>3760</v>
      </c>
    </row>
    <row r="162" spans="1:7" x14ac:dyDescent="0.3">
      <c r="A162" s="81" t="s">
        <v>1018</v>
      </c>
      <c r="B162" s="81" t="s">
        <v>3783</v>
      </c>
      <c r="C162" s="81" t="s">
        <v>16</v>
      </c>
      <c r="D162" s="81" t="s">
        <v>404</v>
      </c>
      <c r="E162" s="81" t="s">
        <v>380</v>
      </c>
      <c r="F162" s="81" t="s">
        <v>1724</v>
      </c>
      <c r="G162" s="81" t="s">
        <v>3760</v>
      </c>
    </row>
    <row r="163" spans="1:7" x14ac:dyDescent="0.3">
      <c r="A163" s="81" t="s">
        <v>1018</v>
      </c>
      <c r="B163" s="81" t="s">
        <v>3783</v>
      </c>
      <c r="C163" s="81" t="s">
        <v>16</v>
      </c>
      <c r="D163" s="81" t="s">
        <v>1637</v>
      </c>
      <c r="E163" s="81" t="s">
        <v>369</v>
      </c>
      <c r="F163" s="81" t="s">
        <v>1636</v>
      </c>
      <c r="G163" s="81" t="s">
        <v>3745</v>
      </c>
    </row>
    <row r="164" spans="1:7" x14ac:dyDescent="0.3">
      <c r="A164" s="81" t="s">
        <v>1018</v>
      </c>
      <c r="B164" s="81" t="s">
        <v>3783</v>
      </c>
      <c r="C164" s="81" t="s">
        <v>16</v>
      </c>
      <c r="D164" s="81" t="s">
        <v>1637</v>
      </c>
      <c r="E164" s="81" t="s">
        <v>382</v>
      </c>
      <c r="F164" s="81" t="s">
        <v>1636</v>
      </c>
      <c r="G164" s="81" t="s">
        <v>3746</v>
      </c>
    </row>
    <row r="165" spans="1:7" x14ac:dyDescent="0.3">
      <c r="A165" s="81" t="s">
        <v>1018</v>
      </c>
      <c r="B165" s="81" t="s">
        <v>3783</v>
      </c>
      <c r="C165" s="81" t="s">
        <v>16</v>
      </c>
      <c r="D165" s="81" t="s">
        <v>1637</v>
      </c>
      <c r="E165" s="81" t="s">
        <v>370</v>
      </c>
      <c r="F165" s="81" t="s">
        <v>1636</v>
      </c>
      <c r="G165" s="81" t="s">
        <v>3747</v>
      </c>
    </row>
    <row r="166" spans="1:7" x14ac:dyDescent="0.3">
      <c r="A166" s="81" t="s">
        <v>1018</v>
      </c>
      <c r="B166" s="81" t="s">
        <v>3783</v>
      </c>
      <c r="C166" s="81" t="s">
        <v>16</v>
      </c>
      <c r="D166" s="81" t="s">
        <v>1637</v>
      </c>
      <c r="E166" s="81" t="s">
        <v>378</v>
      </c>
      <c r="F166" s="81" t="s">
        <v>1636</v>
      </c>
      <c r="G166" s="81" t="s">
        <v>3748</v>
      </c>
    </row>
    <row r="167" spans="1:7" x14ac:dyDescent="0.3">
      <c r="A167" s="81" t="s">
        <v>1018</v>
      </c>
      <c r="B167" s="81" t="s">
        <v>3783</v>
      </c>
      <c r="C167" s="81" t="s">
        <v>16</v>
      </c>
      <c r="D167" s="81" t="s">
        <v>1637</v>
      </c>
      <c r="E167" s="81" t="s">
        <v>371</v>
      </c>
      <c r="F167" s="81" t="s">
        <v>1636</v>
      </c>
      <c r="G167" s="81" t="s">
        <v>3749</v>
      </c>
    </row>
    <row r="168" spans="1:7" x14ac:dyDescent="0.3">
      <c r="A168" s="81" t="s">
        <v>1018</v>
      </c>
      <c r="B168" s="81" t="s">
        <v>3783</v>
      </c>
      <c r="C168" s="81" t="s">
        <v>16</v>
      </c>
      <c r="D168" s="81" t="s">
        <v>1637</v>
      </c>
      <c r="E168" s="81" t="s">
        <v>376</v>
      </c>
      <c r="F168" s="81" t="s">
        <v>1636</v>
      </c>
      <c r="G168" s="81" t="s">
        <v>3750</v>
      </c>
    </row>
    <row r="169" spans="1:7" x14ac:dyDescent="0.3">
      <c r="A169" s="81" t="s">
        <v>1018</v>
      </c>
      <c r="B169" s="81" t="s">
        <v>3783</v>
      </c>
      <c r="C169" s="81" t="s">
        <v>16</v>
      </c>
      <c r="D169" s="81" t="s">
        <v>1637</v>
      </c>
      <c r="E169" s="81" t="s">
        <v>377</v>
      </c>
      <c r="F169" s="81" t="s">
        <v>1636</v>
      </c>
      <c r="G169" s="81" t="s">
        <v>3751</v>
      </c>
    </row>
    <row r="170" spans="1:7" x14ac:dyDescent="0.3">
      <c r="A170" s="81" t="s">
        <v>1018</v>
      </c>
      <c r="B170" s="81" t="s">
        <v>3783</v>
      </c>
      <c r="C170" s="81" t="s">
        <v>16</v>
      </c>
      <c r="D170" s="81" t="s">
        <v>1637</v>
      </c>
      <c r="E170" s="81" t="s">
        <v>381</v>
      </c>
      <c r="F170" s="81" t="s">
        <v>1636</v>
      </c>
      <c r="G170" s="81" t="s">
        <v>3752</v>
      </c>
    </row>
    <row r="171" spans="1:7" x14ac:dyDescent="0.3">
      <c r="A171" s="81" t="s">
        <v>1018</v>
      </c>
      <c r="B171" s="81" t="s">
        <v>3783</v>
      </c>
      <c r="C171" s="81" t="s">
        <v>16</v>
      </c>
      <c r="D171" s="81" t="s">
        <v>1637</v>
      </c>
      <c r="E171" s="81" t="s">
        <v>379</v>
      </c>
      <c r="F171" s="81" t="s">
        <v>1636</v>
      </c>
      <c r="G171" s="81" t="s">
        <v>3753</v>
      </c>
    </row>
    <row r="172" spans="1:7" x14ac:dyDescent="0.3">
      <c r="A172" s="81" t="s">
        <v>1018</v>
      </c>
      <c r="B172" s="81" t="s">
        <v>3783</v>
      </c>
      <c r="C172" s="81" t="s">
        <v>16</v>
      </c>
      <c r="D172" s="81" t="s">
        <v>1637</v>
      </c>
      <c r="E172" s="81" t="s">
        <v>374</v>
      </c>
      <c r="F172" s="81" t="s">
        <v>1636</v>
      </c>
      <c r="G172" s="81" t="s">
        <v>3754</v>
      </c>
    </row>
    <row r="173" spans="1:7" x14ac:dyDescent="0.3">
      <c r="A173" s="81" t="s">
        <v>1018</v>
      </c>
      <c r="B173" s="81" t="s">
        <v>3783</v>
      </c>
      <c r="C173" s="81" t="s">
        <v>16</v>
      </c>
      <c r="D173" s="81" t="s">
        <v>1637</v>
      </c>
      <c r="E173" s="81" t="s">
        <v>383</v>
      </c>
      <c r="F173" s="81" t="s">
        <v>1636</v>
      </c>
      <c r="G173" s="81" t="s">
        <v>3755</v>
      </c>
    </row>
    <row r="174" spans="1:7" x14ac:dyDescent="0.3">
      <c r="A174" s="81" t="s">
        <v>1018</v>
      </c>
      <c r="B174" s="81" t="s">
        <v>3783</v>
      </c>
      <c r="C174" s="81" t="s">
        <v>16</v>
      </c>
      <c r="D174" s="81" t="s">
        <v>1637</v>
      </c>
      <c r="E174" s="81" t="s">
        <v>373</v>
      </c>
      <c r="F174" s="81" t="s">
        <v>1636</v>
      </c>
      <c r="G174" s="81" t="s">
        <v>3756</v>
      </c>
    </row>
    <row r="175" spans="1:7" x14ac:dyDescent="0.3">
      <c r="A175" s="81" t="s">
        <v>1018</v>
      </c>
      <c r="B175" s="81" t="s">
        <v>3783</v>
      </c>
      <c r="C175" s="81" t="s">
        <v>16</v>
      </c>
      <c r="D175" s="81" t="s">
        <v>1637</v>
      </c>
      <c r="E175" s="81" t="s">
        <v>368</v>
      </c>
      <c r="F175" s="81" t="s">
        <v>1636</v>
      </c>
      <c r="G175" s="81" t="s">
        <v>3757</v>
      </c>
    </row>
    <row r="176" spans="1:7" x14ac:dyDescent="0.3">
      <c r="A176" s="81" t="s">
        <v>1018</v>
      </c>
      <c r="B176" s="81" t="s">
        <v>3783</v>
      </c>
      <c r="C176" s="81" t="s">
        <v>16</v>
      </c>
      <c r="D176" s="81" t="s">
        <v>1637</v>
      </c>
      <c r="E176" s="81" t="s">
        <v>372</v>
      </c>
      <c r="F176" s="81" t="s">
        <v>1636</v>
      </c>
      <c r="G176" s="81" t="s">
        <v>3758</v>
      </c>
    </row>
    <row r="177" spans="1:7" x14ac:dyDescent="0.3">
      <c r="A177" s="81" t="s">
        <v>1018</v>
      </c>
      <c r="B177" s="81" t="s">
        <v>3783</v>
      </c>
      <c r="C177" s="81" t="s">
        <v>16</v>
      </c>
      <c r="D177" s="81" t="s">
        <v>1637</v>
      </c>
      <c r="E177" s="81" t="s">
        <v>375</v>
      </c>
      <c r="F177" s="81" t="s">
        <v>1636</v>
      </c>
      <c r="G177" s="81" t="s">
        <v>3759</v>
      </c>
    </row>
    <row r="178" spans="1:7" x14ac:dyDescent="0.3">
      <c r="A178" s="81" t="s">
        <v>1018</v>
      </c>
      <c r="B178" s="81" t="s">
        <v>3783</v>
      </c>
      <c r="C178" s="81" t="s">
        <v>16</v>
      </c>
      <c r="D178" s="81" t="s">
        <v>1637</v>
      </c>
      <c r="E178" s="81" t="s">
        <v>380</v>
      </c>
      <c r="F178" s="81" t="s">
        <v>1636</v>
      </c>
      <c r="G178" s="81" t="s">
        <v>3760</v>
      </c>
    </row>
    <row r="179" spans="1:7" x14ac:dyDescent="0.3">
      <c r="A179" s="81" t="s">
        <v>1021</v>
      </c>
      <c r="B179" s="81" t="s">
        <v>3784</v>
      </c>
      <c r="C179" s="81" t="s">
        <v>20</v>
      </c>
      <c r="D179" s="81" t="s">
        <v>16</v>
      </c>
      <c r="E179" s="81" t="s">
        <v>15</v>
      </c>
      <c r="F179" s="81" t="s">
        <v>2015</v>
      </c>
      <c r="G179" s="81" t="s">
        <v>855</v>
      </c>
    </row>
    <row r="180" spans="1:7" x14ac:dyDescent="0.3">
      <c r="A180" s="81" t="s">
        <v>1021</v>
      </c>
      <c r="B180" s="81" t="s">
        <v>3784</v>
      </c>
      <c r="C180" s="81" t="s">
        <v>20</v>
      </c>
      <c r="D180" s="81" t="s">
        <v>16</v>
      </c>
      <c r="E180" s="81" t="s">
        <v>15</v>
      </c>
      <c r="F180" s="81" t="s">
        <v>1680</v>
      </c>
      <c r="G180" s="81" t="s">
        <v>855</v>
      </c>
    </row>
    <row r="181" spans="1:7" x14ac:dyDescent="0.3">
      <c r="A181" s="81" t="s">
        <v>1021</v>
      </c>
      <c r="B181" s="81" t="s">
        <v>3784</v>
      </c>
      <c r="C181" s="81" t="s">
        <v>20</v>
      </c>
      <c r="D181" s="81" t="s">
        <v>16</v>
      </c>
      <c r="E181" s="81" t="s">
        <v>15</v>
      </c>
      <c r="F181" s="81" t="s">
        <v>1682</v>
      </c>
      <c r="G181" s="81" t="s">
        <v>855</v>
      </c>
    </row>
    <row r="182" spans="1:7" x14ac:dyDescent="0.3">
      <c r="A182" s="81" t="s">
        <v>1021</v>
      </c>
      <c r="B182" s="81" t="s">
        <v>3784</v>
      </c>
      <c r="C182" s="81" t="s">
        <v>20</v>
      </c>
      <c r="D182" s="81" t="s">
        <v>404</v>
      </c>
      <c r="E182" s="81" t="s">
        <v>15</v>
      </c>
      <c r="F182" s="81" t="s">
        <v>2014</v>
      </c>
      <c r="G182" s="81">
        <v>0</v>
      </c>
    </row>
    <row r="183" spans="1:7" x14ac:dyDescent="0.3">
      <c r="A183" s="81" t="s">
        <v>1021</v>
      </c>
      <c r="B183" s="81" t="s">
        <v>3784</v>
      </c>
      <c r="C183" s="81" t="s">
        <v>20</v>
      </c>
      <c r="D183" s="81" t="s">
        <v>1032</v>
      </c>
      <c r="E183" s="81" t="s">
        <v>15</v>
      </c>
      <c r="F183" s="81" t="s">
        <v>1678</v>
      </c>
      <c r="G183" s="81" t="s">
        <v>1033</v>
      </c>
    </row>
    <row r="184" spans="1:7" x14ac:dyDescent="0.3">
      <c r="A184" s="81" t="s">
        <v>1021</v>
      </c>
      <c r="B184" s="81" t="s">
        <v>3784</v>
      </c>
      <c r="C184" s="81" t="s">
        <v>16</v>
      </c>
      <c r="D184" s="81" t="s">
        <v>18</v>
      </c>
      <c r="E184" s="81" t="s">
        <v>369</v>
      </c>
      <c r="F184" s="81" t="s">
        <v>1678</v>
      </c>
      <c r="G184" s="81" t="s">
        <v>3729</v>
      </c>
    </row>
    <row r="185" spans="1:7" x14ac:dyDescent="0.3">
      <c r="A185" s="81" t="s">
        <v>1021</v>
      </c>
      <c r="B185" s="81" t="s">
        <v>3784</v>
      </c>
      <c r="C185" s="81" t="s">
        <v>16</v>
      </c>
      <c r="D185" s="81" t="s">
        <v>18</v>
      </c>
      <c r="E185" s="81" t="s">
        <v>382</v>
      </c>
      <c r="F185" s="81" t="s">
        <v>1678</v>
      </c>
      <c r="G185" s="81" t="s">
        <v>3730</v>
      </c>
    </row>
    <row r="186" spans="1:7" x14ac:dyDescent="0.3">
      <c r="A186" s="81" t="s">
        <v>1021</v>
      </c>
      <c r="B186" s="81" t="s">
        <v>3784</v>
      </c>
      <c r="C186" s="81" t="s">
        <v>16</v>
      </c>
      <c r="D186" s="81" t="s">
        <v>18</v>
      </c>
      <c r="E186" s="81" t="s">
        <v>370</v>
      </c>
      <c r="F186" s="81" t="s">
        <v>1678</v>
      </c>
      <c r="G186" s="81" t="s">
        <v>3731</v>
      </c>
    </row>
    <row r="187" spans="1:7" x14ac:dyDescent="0.3">
      <c r="A187" s="81" t="s">
        <v>1021</v>
      </c>
      <c r="B187" s="81" t="s">
        <v>3784</v>
      </c>
      <c r="C187" s="81" t="s">
        <v>16</v>
      </c>
      <c r="D187" s="81" t="s">
        <v>18</v>
      </c>
      <c r="E187" s="81" t="s">
        <v>378</v>
      </c>
      <c r="F187" s="81" t="s">
        <v>1678</v>
      </c>
      <c r="G187" s="81" t="s">
        <v>3732</v>
      </c>
    </row>
    <row r="188" spans="1:7" x14ac:dyDescent="0.3">
      <c r="A188" s="81" t="s">
        <v>1021</v>
      </c>
      <c r="B188" s="81" t="s">
        <v>3784</v>
      </c>
      <c r="C188" s="81" t="s">
        <v>16</v>
      </c>
      <c r="D188" s="81" t="s">
        <v>18</v>
      </c>
      <c r="E188" s="81" t="s">
        <v>371</v>
      </c>
      <c r="F188" s="81" t="s">
        <v>1678</v>
      </c>
      <c r="G188" s="81" t="s">
        <v>3733</v>
      </c>
    </row>
    <row r="189" spans="1:7" x14ac:dyDescent="0.3">
      <c r="A189" s="81" t="s">
        <v>1021</v>
      </c>
      <c r="B189" s="81" t="s">
        <v>3784</v>
      </c>
      <c r="C189" s="81" t="s">
        <v>16</v>
      </c>
      <c r="D189" s="81" t="s">
        <v>18</v>
      </c>
      <c r="E189" s="81" t="s">
        <v>376</v>
      </c>
      <c r="F189" s="81" t="s">
        <v>1678</v>
      </c>
      <c r="G189" s="81" t="s">
        <v>3734</v>
      </c>
    </row>
    <row r="190" spans="1:7" x14ac:dyDescent="0.3">
      <c r="A190" s="81" t="s">
        <v>1021</v>
      </c>
      <c r="B190" s="81" t="s">
        <v>3784</v>
      </c>
      <c r="C190" s="81" t="s">
        <v>16</v>
      </c>
      <c r="D190" s="81" t="s">
        <v>18</v>
      </c>
      <c r="E190" s="81" t="s">
        <v>377</v>
      </c>
      <c r="F190" s="81" t="s">
        <v>1678</v>
      </c>
      <c r="G190" s="81" t="s">
        <v>3735</v>
      </c>
    </row>
    <row r="191" spans="1:7" x14ac:dyDescent="0.3">
      <c r="A191" s="81" t="s">
        <v>1021</v>
      </c>
      <c r="B191" s="81" t="s">
        <v>3784</v>
      </c>
      <c r="C191" s="81" t="s">
        <v>16</v>
      </c>
      <c r="D191" s="81" t="s">
        <v>18</v>
      </c>
      <c r="E191" s="81" t="s">
        <v>381</v>
      </c>
      <c r="F191" s="81" t="s">
        <v>1678</v>
      </c>
      <c r="G191" s="81" t="s">
        <v>3736</v>
      </c>
    </row>
    <row r="192" spans="1:7" x14ac:dyDescent="0.3">
      <c r="A192" s="81" t="s">
        <v>1021</v>
      </c>
      <c r="B192" s="81" t="s">
        <v>3784</v>
      </c>
      <c r="C192" s="81" t="s">
        <v>16</v>
      </c>
      <c r="D192" s="81" t="s">
        <v>18</v>
      </c>
      <c r="E192" s="81" t="s">
        <v>379</v>
      </c>
      <c r="F192" s="81" t="s">
        <v>1678</v>
      </c>
      <c r="G192" s="81" t="s">
        <v>3737</v>
      </c>
    </row>
    <row r="193" spans="1:7" x14ac:dyDescent="0.3">
      <c r="A193" s="81" t="s">
        <v>1021</v>
      </c>
      <c r="B193" s="81" t="s">
        <v>3784</v>
      </c>
      <c r="C193" s="81" t="s">
        <v>16</v>
      </c>
      <c r="D193" s="81" t="s">
        <v>18</v>
      </c>
      <c r="E193" s="81" t="s">
        <v>374</v>
      </c>
      <c r="F193" s="81" t="s">
        <v>1678</v>
      </c>
      <c r="G193" s="81" t="s">
        <v>3738</v>
      </c>
    </row>
    <row r="194" spans="1:7" x14ac:dyDescent="0.3">
      <c r="A194" s="81" t="s">
        <v>1021</v>
      </c>
      <c r="B194" s="81" t="s">
        <v>3784</v>
      </c>
      <c r="C194" s="81" t="s">
        <v>16</v>
      </c>
      <c r="D194" s="81" t="s">
        <v>18</v>
      </c>
      <c r="E194" s="81" t="s">
        <v>383</v>
      </c>
      <c r="F194" s="81" t="s">
        <v>1678</v>
      </c>
      <c r="G194" s="81" t="s">
        <v>3739</v>
      </c>
    </row>
    <row r="195" spans="1:7" x14ac:dyDescent="0.3">
      <c r="A195" s="81" t="s">
        <v>1021</v>
      </c>
      <c r="B195" s="81" t="s">
        <v>3784</v>
      </c>
      <c r="C195" s="81" t="s">
        <v>16</v>
      </c>
      <c r="D195" s="81" t="s">
        <v>18</v>
      </c>
      <c r="E195" s="81" t="s">
        <v>373</v>
      </c>
      <c r="F195" s="81" t="s">
        <v>1678</v>
      </c>
      <c r="G195" s="81" t="s">
        <v>3740</v>
      </c>
    </row>
    <row r="196" spans="1:7" x14ac:dyDescent="0.3">
      <c r="A196" s="81" t="s">
        <v>1021</v>
      </c>
      <c r="B196" s="81" t="s">
        <v>3784</v>
      </c>
      <c r="C196" s="81" t="s">
        <v>16</v>
      </c>
      <c r="D196" s="81" t="s">
        <v>18</v>
      </c>
      <c r="E196" s="81" t="s">
        <v>368</v>
      </c>
      <c r="F196" s="81" t="s">
        <v>1678</v>
      </c>
      <c r="G196" s="81" t="s">
        <v>3741</v>
      </c>
    </row>
    <row r="197" spans="1:7" x14ac:dyDescent="0.3">
      <c r="A197" s="81" t="s">
        <v>1021</v>
      </c>
      <c r="B197" s="81" t="s">
        <v>3784</v>
      </c>
      <c r="C197" s="81" t="s">
        <v>16</v>
      </c>
      <c r="D197" s="81" t="s">
        <v>18</v>
      </c>
      <c r="E197" s="81" t="s">
        <v>372</v>
      </c>
      <c r="F197" s="81" t="s">
        <v>1678</v>
      </c>
      <c r="G197" s="81" t="s">
        <v>3742</v>
      </c>
    </row>
    <row r="198" spans="1:7" x14ac:dyDescent="0.3">
      <c r="A198" s="81" t="s">
        <v>1021</v>
      </c>
      <c r="B198" s="81" t="s">
        <v>3784</v>
      </c>
      <c r="C198" s="81" t="s">
        <v>16</v>
      </c>
      <c r="D198" s="81" t="s">
        <v>18</v>
      </c>
      <c r="E198" s="81" t="s">
        <v>375</v>
      </c>
      <c r="F198" s="81" t="s">
        <v>1678</v>
      </c>
      <c r="G198" s="81" t="s">
        <v>3743</v>
      </c>
    </row>
    <row r="199" spans="1:7" x14ac:dyDescent="0.3">
      <c r="A199" s="81" t="s">
        <v>1021</v>
      </c>
      <c r="B199" s="81" t="s">
        <v>3784</v>
      </c>
      <c r="C199" s="81" t="s">
        <v>16</v>
      </c>
      <c r="D199" s="81" t="s">
        <v>18</v>
      </c>
      <c r="E199" s="81" t="s">
        <v>380</v>
      </c>
      <c r="F199" s="81" t="s">
        <v>1678</v>
      </c>
      <c r="G199" s="81" t="s">
        <v>3744</v>
      </c>
    </row>
    <row r="200" spans="1:7" x14ac:dyDescent="0.3">
      <c r="A200" s="81" t="s">
        <v>1021</v>
      </c>
      <c r="B200" s="81" t="s">
        <v>3784</v>
      </c>
      <c r="C200" s="81" t="s">
        <v>16</v>
      </c>
      <c r="D200" s="81" t="s">
        <v>404</v>
      </c>
      <c r="E200" s="81" t="s">
        <v>369</v>
      </c>
      <c r="F200" s="81" t="s">
        <v>2016</v>
      </c>
      <c r="G200" s="81" t="s">
        <v>3745</v>
      </c>
    </row>
    <row r="201" spans="1:7" x14ac:dyDescent="0.3">
      <c r="A201" s="81" t="s">
        <v>1021</v>
      </c>
      <c r="B201" s="81" t="s">
        <v>3784</v>
      </c>
      <c r="C201" s="81" t="s">
        <v>16</v>
      </c>
      <c r="D201" s="81" t="s">
        <v>404</v>
      </c>
      <c r="E201" s="81" t="s">
        <v>369</v>
      </c>
      <c r="F201" s="81" t="s">
        <v>1680</v>
      </c>
      <c r="G201" s="81" t="s">
        <v>3745</v>
      </c>
    </row>
    <row r="202" spans="1:7" x14ac:dyDescent="0.3">
      <c r="A202" s="81" t="s">
        <v>1021</v>
      </c>
      <c r="B202" s="81" t="s">
        <v>3784</v>
      </c>
      <c r="C202" s="81" t="s">
        <v>16</v>
      </c>
      <c r="D202" s="81" t="s">
        <v>404</v>
      </c>
      <c r="E202" s="81" t="s">
        <v>369</v>
      </c>
      <c r="F202" s="81" t="s">
        <v>1682</v>
      </c>
      <c r="G202" s="81" t="s">
        <v>3745</v>
      </c>
    </row>
    <row r="203" spans="1:7" x14ac:dyDescent="0.3">
      <c r="A203" s="81" t="s">
        <v>1021</v>
      </c>
      <c r="B203" s="81" t="s">
        <v>3784</v>
      </c>
      <c r="C203" s="81" t="s">
        <v>16</v>
      </c>
      <c r="D203" s="81" t="s">
        <v>404</v>
      </c>
      <c r="E203" s="81" t="s">
        <v>369</v>
      </c>
      <c r="F203" s="81" t="s">
        <v>1724</v>
      </c>
      <c r="G203" s="81" t="s">
        <v>3745</v>
      </c>
    </row>
    <row r="204" spans="1:7" x14ac:dyDescent="0.3">
      <c r="A204" s="81" t="s">
        <v>1021</v>
      </c>
      <c r="B204" s="81" t="s">
        <v>3784</v>
      </c>
      <c r="C204" s="81" t="s">
        <v>16</v>
      </c>
      <c r="D204" s="81" t="s">
        <v>404</v>
      </c>
      <c r="E204" s="81" t="s">
        <v>382</v>
      </c>
      <c r="F204" s="81" t="s">
        <v>2016</v>
      </c>
      <c r="G204" s="81" t="s">
        <v>3746</v>
      </c>
    </row>
    <row r="205" spans="1:7" x14ac:dyDescent="0.3">
      <c r="A205" s="81" t="s">
        <v>1021</v>
      </c>
      <c r="B205" s="81" t="s">
        <v>3784</v>
      </c>
      <c r="C205" s="81" t="s">
        <v>16</v>
      </c>
      <c r="D205" s="81" t="s">
        <v>404</v>
      </c>
      <c r="E205" s="81" t="s">
        <v>382</v>
      </c>
      <c r="F205" s="81" t="s">
        <v>1680</v>
      </c>
      <c r="G205" s="81" t="s">
        <v>3746</v>
      </c>
    </row>
    <row r="206" spans="1:7" x14ac:dyDescent="0.3">
      <c r="A206" s="81" t="s">
        <v>1021</v>
      </c>
      <c r="B206" s="81" t="s">
        <v>3784</v>
      </c>
      <c r="C206" s="81" t="s">
        <v>16</v>
      </c>
      <c r="D206" s="81" t="s">
        <v>404</v>
      </c>
      <c r="E206" s="81" t="s">
        <v>382</v>
      </c>
      <c r="F206" s="81" t="s">
        <v>1682</v>
      </c>
      <c r="G206" s="81" t="s">
        <v>3746</v>
      </c>
    </row>
    <row r="207" spans="1:7" x14ac:dyDescent="0.3">
      <c r="A207" s="81" t="s">
        <v>1021</v>
      </c>
      <c r="B207" s="81" t="s">
        <v>3784</v>
      </c>
      <c r="C207" s="81" t="s">
        <v>16</v>
      </c>
      <c r="D207" s="81" t="s">
        <v>404</v>
      </c>
      <c r="E207" s="81" t="s">
        <v>382</v>
      </c>
      <c r="F207" s="81" t="s">
        <v>1724</v>
      </c>
      <c r="G207" s="81" t="s">
        <v>3746</v>
      </c>
    </row>
    <row r="208" spans="1:7" x14ac:dyDescent="0.3">
      <c r="A208" s="81" t="s">
        <v>1021</v>
      </c>
      <c r="B208" s="81" t="s">
        <v>3784</v>
      </c>
      <c r="C208" s="81" t="s">
        <v>16</v>
      </c>
      <c r="D208" s="81" t="s">
        <v>404</v>
      </c>
      <c r="E208" s="81" t="s">
        <v>370</v>
      </c>
      <c r="F208" s="81" t="s">
        <v>2016</v>
      </c>
      <c r="G208" s="81" t="s">
        <v>3747</v>
      </c>
    </row>
    <row r="209" spans="1:7" x14ac:dyDescent="0.3">
      <c r="A209" s="81" t="s">
        <v>1021</v>
      </c>
      <c r="B209" s="81" t="s">
        <v>3784</v>
      </c>
      <c r="C209" s="81" t="s">
        <v>16</v>
      </c>
      <c r="D209" s="81" t="s">
        <v>404</v>
      </c>
      <c r="E209" s="81" t="s">
        <v>370</v>
      </c>
      <c r="F209" s="81" t="s">
        <v>1680</v>
      </c>
      <c r="G209" s="81" t="s">
        <v>3747</v>
      </c>
    </row>
    <row r="210" spans="1:7" x14ac:dyDescent="0.3">
      <c r="A210" s="81" t="s">
        <v>1021</v>
      </c>
      <c r="B210" s="81" t="s">
        <v>3784</v>
      </c>
      <c r="C210" s="81" t="s">
        <v>16</v>
      </c>
      <c r="D210" s="81" t="s">
        <v>404</v>
      </c>
      <c r="E210" s="81" t="s">
        <v>370</v>
      </c>
      <c r="F210" s="81" t="s">
        <v>1682</v>
      </c>
      <c r="G210" s="81" t="s">
        <v>3747</v>
      </c>
    </row>
    <row r="211" spans="1:7" x14ac:dyDescent="0.3">
      <c r="A211" s="81" t="s">
        <v>1021</v>
      </c>
      <c r="B211" s="81" t="s">
        <v>3784</v>
      </c>
      <c r="C211" s="81" t="s">
        <v>16</v>
      </c>
      <c r="D211" s="81" t="s">
        <v>404</v>
      </c>
      <c r="E211" s="81" t="s">
        <v>370</v>
      </c>
      <c r="F211" s="81" t="s">
        <v>1724</v>
      </c>
      <c r="G211" s="81" t="s">
        <v>3747</v>
      </c>
    </row>
    <row r="212" spans="1:7" x14ac:dyDescent="0.3">
      <c r="A212" s="81" t="s">
        <v>1021</v>
      </c>
      <c r="B212" s="81" t="s">
        <v>3784</v>
      </c>
      <c r="C212" s="81" t="s">
        <v>16</v>
      </c>
      <c r="D212" s="81" t="s">
        <v>404</v>
      </c>
      <c r="E212" s="81" t="s">
        <v>378</v>
      </c>
      <c r="F212" s="81" t="s">
        <v>2016</v>
      </c>
      <c r="G212" s="81" t="s">
        <v>3748</v>
      </c>
    </row>
    <row r="213" spans="1:7" x14ac:dyDescent="0.3">
      <c r="A213" s="81" t="s">
        <v>1021</v>
      </c>
      <c r="B213" s="81" t="s">
        <v>3784</v>
      </c>
      <c r="C213" s="81" t="s">
        <v>16</v>
      </c>
      <c r="D213" s="81" t="s">
        <v>404</v>
      </c>
      <c r="E213" s="81" t="s">
        <v>378</v>
      </c>
      <c r="F213" s="81" t="s">
        <v>1680</v>
      </c>
      <c r="G213" s="81" t="s">
        <v>3748</v>
      </c>
    </row>
    <row r="214" spans="1:7" x14ac:dyDescent="0.3">
      <c r="A214" s="81" t="s">
        <v>1021</v>
      </c>
      <c r="B214" s="81" t="s">
        <v>3784</v>
      </c>
      <c r="C214" s="81" t="s">
        <v>16</v>
      </c>
      <c r="D214" s="81" t="s">
        <v>404</v>
      </c>
      <c r="E214" s="81" t="s">
        <v>378</v>
      </c>
      <c r="F214" s="81" t="s">
        <v>1682</v>
      </c>
      <c r="G214" s="81" t="s">
        <v>3748</v>
      </c>
    </row>
    <row r="215" spans="1:7" x14ac:dyDescent="0.3">
      <c r="A215" s="81" t="s">
        <v>1021</v>
      </c>
      <c r="B215" s="81" t="s">
        <v>3784</v>
      </c>
      <c r="C215" s="81" t="s">
        <v>16</v>
      </c>
      <c r="D215" s="81" t="s">
        <v>404</v>
      </c>
      <c r="E215" s="81" t="s">
        <v>378</v>
      </c>
      <c r="F215" s="81" t="s">
        <v>1724</v>
      </c>
      <c r="G215" s="81" t="s">
        <v>3748</v>
      </c>
    </row>
    <row r="216" spans="1:7" x14ac:dyDescent="0.3">
      <c r="A216" s="81" t="s">
        <v>1021</v>
      </c>
      <c r="B216" s="81" t="s">
        <v>3784</v>
      </c>
      <c r="C216" s="81" t="s">
        <v>16</v>
      </c>
      <c r="D216" s="81" t="s">
        <v>404</v>
      </c>
      <c r="E216" s="81" t="s">
        <v>371</v>
      </c>
      <c r="F216" s="81" t="s">
        <v>2016</v>
      </c>
      <c r="G216" s="81" t="s">
        <v>3749</v>
      </c>
    </row>
    <row r="217" spans="1:7" x14ac:dyDescent="0.3">
      <c r="A217" s="81" t="s">
        <v>1021</v>
      </c>
      <c r="B217" s="81" t="s">
        <v>3784</v>
      </c>
      <c r="C217" s="81" t="s">
        <v>16</v>
      </c>
      <c r="D217" s="81" t="s">
        <v>404</v>
      </c>
      <c r="E217" s="81" t="s">
        <v>371</v>
      </c>
      <c r="F217" s="81" t="s">
        <v>1680</v>
      </c>
      <c r="G217" s="81" t="s">
        <v>3749</v>
      </c>
    </row>
    <row r="218" spans="1:7" x14ac:dyDescent="0.3">
      <c r="A218" s="81" t="s">
        <v>1021</v>
      </c>
      <c r="B218" s="81" t="s">
        <v>3784</v>
      </c>
      <c r="C218" s="81" t="s">
        <v>16</v>
      </c>
      <c r="D218" s="81" t="s">
        <v>404</v>
      </c>
      <c r="E218" s="81" t="s">
        <v>371</v>
      </c>
      <c r="F218" s="81" t="s">
        <v>1682</v>
      </c>
      <c r="G218" s="81" t="s">
        <v>3749</v>
      </c>
    </row>
    <row r="219" spans="1:7" x14ac:dyDescent="0.3">
      <c r="A219" s="81" t="s">
        <v>1021</v>
      </c>
      <c r="B219" s="81" t="s">
        <v>3784</v>
      </c>
      <c r="C219" s="81" t="s">
        <v>16</v>
      </c>
      <c r="D219" s="81" t="s">
        <v>404</v>
      </c>
      <c r="E219" s="81" t="s">
        <v>371</v>
      </c>
      <c r="F219" s="81" t="s">
        <v>1724</v>
      </c>
      <c r="G219" s="81" t="s">
        <v>3749</v>
      </c>
    </row>
    <row r="220" spans="1:7" x14ac:dyDescent="0.3">
      <c r="A220" s="81" t="s">
        <v>1021</v>
      </c>
      <c r="B220" s="81" t="s">
        <v>3784</v>
      </c>
      <c r="C220" s="81" t="s">
        <v>16</v>
      </c>
      <c r="D220" s="81" t="s">
        <v>404</v>
      </c>
      <c r="E220" s="81" t="s">
        <v>376</v>
      </c>
      <c r="F220" s="81" t="s">
        <v>2016</v>
      </c>
      <c r="G220" s="81" t="s">
        <v>3750</v>
      </c>
    </row>
    <row r="221" spans="1:7" x14ac:dyDescent="0.3">
      <c r="A221" s="81" t="s">
        <v>1021</v>
      </c>
      <c r="B221" s="81" t="s">
        <v>3784</v>
      </c>
      <c r="C221" s="81" t="s">
        <v>16</v>
      </c>
      <c r="D221" s="81" t="s">
        <v>404</v>
      </c>
      <c r="E221" s="81" t="s">
        <v>376</v>
      </c>
      <c r="F221" s="81" t="s">
        <v>1680</v>
      </c>
      <c r="G221" s="81" t="s">
        <v>3750</v>
      </c>
    </row>
    <row r="222" spans="1:7" x14ac:dyDescent="0.3">
      <c r="A222" s="81" t="s">
        <v>1021</v>
      </c>
      <c r="B222" s="81" t="s">
        <v>3784</v>
      </c>
      <c r="C222" s="81" t="s">
        <v>16</v>
      </c>
      <c r="D222" s="81" t="s">
        <v>404</v>
      </c>
      <c r="E222" s="81" t="s">
        <v>376</v>
      </c>
      <c r="F222" s="81" t="s">
        <v>1682</v>
      </c>
      <c r="G222" s="81" t="s">
        <v>3750</v>
      </c>
    </row>
    <row r="223" spans="1:7" x14ac:dyDescent="0.3">
      <c r="A223" s="81" t="s">
        <v>1021</v>
      </c>
      <c r="B223" s="81" t="s">
        <v>3784</v>
      </c>
      <c r="C223" s="81" t="s">
        <v>16</v>
      </c>
      <c r="D223" s="81" t="s">
        <v>404</v>
      </c>
      <c r="E223" s="81" t="s">
        <v>376</v>
      </c>
      <c r="F223" s="81" t="s">
        <v>1724</v>
      </c>
      <c r="G223" s="81" t="s">
        <v>3750</v>
      </c>
    </row>
    <row r="224" spans="1:7" x14ac:dyDescent="0.3">
      <c r="A224" s="81" t="s">
        <v>1021</v>
      </c>
      <c r="B224" s="81" t="s">
        <v>3784</v>
      </c>
      <c r="C224" s="81" t="s">
        <v>16</v>
      </c>
      <c r="D224" s="81" t="s">
        <v>404</v>
      </c>
      <c r="E224" s="81" t="s">
        <v>377</v>
      </c>
      <c r="F224" s="81" t="s">
        <v>2016</v>
      </c>
      <c r="G224" s="81" t="s">
        <v>3751</v>
      </c>
    </row>
    <row r="225" spans="1:7" x14ac:dyDescent="0.3">
      <c r="A225" s="81" t="s">
        <v>1021</v>
      </c>
      <c r="B225" s="81" t="s">
        <v>3784</v>
      </c>
      <c r="C225" s="81" t="s">
        <v>16</v>
      </c>
      <c r="D225" s="81" t="s">
        <v>404</v>
      </c>
      <c r="E225" s="81" t="s">
        <v>377</v>
      </c>
      <c r="F225" s="81" t="s">
        <v>1680</v>
      </c>
      <c r="G225" s="81" t="s">
        <v>3751</v>
      </c>
    </row>
    <row r="226" spans="1:7" x14ac:dyDescent="0.3">
      <c r="A226" s="81" t="s">
        <v>1021</v>
      </c>
      <c r="B226" s="81" t="s">
        <v>3784</v>
      </c>
      <c r="C226" s="81" t="s">
        <v>16</v>
      </c>
      <c r="D226" s="81" t="s">
        <v>404</v>
      </c>
      <c r="E226" s="81" t="s">
        <v>377</v>
      </c>
      <c r="F226" s="81" t="s">
        <v>1682</v>
      </c>
      <c r="G226" s="81" t="s">
        <v>3751</v>
      </c>
    </row>
    <row r="227" spans="1:7" x14ac:dyDescent="0.3">
      <c r="A227" s="81" t="s">
        <v>1021</v>
      </c>
      <c r="B227" s="81" t="s">
        <v>3784</v>
      </c>
      <c r="C227" s="81" t="s">
        <v>16</v>
      </c>
      <c r="D227" s="81" t="s">
        <v>404</v>
      </c>
      <c r="E227" s="81" t="s">
        <v>377</v>
      </c>
      <c r="F227" s="81" t="s">
        <v>1724</v>
      </c>
      <c r="G227" s="81" t="s">
        <v>3751</v>
      </c>
    </row>
    <row r="228" spans="1:7" x14ac:dyDescent="0.3">
      <c r="A228" s="81" t="s">
        <v>1021</v>
      </c>
      <c r="B228" s="81" t="s">
        <v>3784</v>
      </c>
      <c r="C228" s="81" t="s">
        <v>16</v>
      </c>
      <c r="D228" s="81" t="s">
        <v>404</v>
      </c>
      <c r="E228" s="81" t="s">
        <v>381</v>
      </c>
      <c r="F228" s="81" t="s">
        <v>2016</v>
      </c>
      <c r="G228" s="81" t="s">
        <v>3752</v>
      </c>
    </row>
    <row r="229" spans="1:7" x14ac:dyDescent="0.3">
      <c r="A229" s="81" t="s">
        <v>1021</v>
      </c>
      <c r="B229" s="81" t="s">
        <v>3784</v>
      </c>
      <c r="C229" s="81" t="s">
        <v>16</v>
      </c>
      <c r="D229" s="81" t="s">
        <v>404</v>
      </c>
      <c r="E229" s="81" t="s">
        <v>381</v>
      </c>
      <c r="F229" s="81" t="s">
        <v>1680</v>
      </c>
      <c r="G229" s="81" t="s">
        <v>3752</v>
      </c>
    </row>
    <row r="230" spans="1:7" x14ac:dyDescent="0.3">
      <c r="A230" s="81" t="s">
        <v>1021</v>
      </c>
      <c r="B230" s="81" t="s">
        <v>3784</v>
      </c>
      <c r="C230" s="81" t="s">
        <v>16</v>
      </c>
      <c r="D230" s="81" t="s">
        <v>404</v>
      </c>
      <c r="E230" s="81" t="s">
        <v>381</v>
      </c>
      <c r="F230" s="81" t="s">
        <v>1682</v>
      </c>
      <c r="G230" s="81" t="s">
        <v>3752</v>
      </c>
    </row>
    <row r="231" spans="1:7" x14ac:dyDescent="0.3">
      <c r="A231" s="81" t="s">
        <v>1021</v>
      </c>
      <c r="B231" s="81" t="s">
        <v>3784</v>
      </c>
      <c r="C231" s="81" t="s">
        <v>16</v>
      </c>
      <c r="D231" s="81" t="s">
        <v>404</v>
      </c>
      <c r="E231" s="81" t="s">
        <v>381</v>
      </c>
      <c r="F231" s="81" t="s">
        <v>1724</v>
      </c>
      <c r="G231" s="81" t="s">
        <v>3752</v>
      </c>
    </row>
    <row r="232" spans="1:7" x14ac:dyDescent="0.3">
      <c r="A232" s="81" t="s">
        <v>1021</v>
      </c>
      <c r="B232" s="81" t="s">
        <v>3784</v>
      </c>
      <c r="C232" s="81" t="s">
        <v>16</v>
      </c>
      <c r="D232" s="81" t="s">
        <v>404</v>
      </c>
      <c r="E232" s="81" t="s">
        <v>379</v>
      </c>
      <c r="F232" s="81" t="s">
        <v>2016</v>
      </c>
      <c r="G232" s="81" t="s">
        <v>3753</v>
      </c>
    </row>
    <row r="233" spans="1:7" x14ac:dyDescent="0.3">
      <c r="A233" s="81" t="s">
        <v>1021</v>
      </c>
      <c r="B233" s="81" t="s">
        <v>3784</v>
      </c>
      <c r="C233" s="81" t="s">
        <v>16</v>
      </c>
      <c r="D233" s="81" t="s">
        <v>404</v>
      </c>
      <c r="E233" s="81" t="s">
        <v>379</v>
      </c>
      <c r="F233" s="81" t="s">
        <v>1680</v>
      </c>
      <c r="G233" s="81" t="s">
        <v>3753</v>
      </c>
    </row>
    <row r="234" spans="1:7" x14ac:dyDescent="0.3">
      <c r="A234" s="81" t="s">
        <v>1021</v>
      </c>
      <c r="B234" s="81" t="s">
        <v>3784</v>
      </c>
      <c r="C234" s="81" t="s">
        <v>16</v>
      </c>
      <c r="D234" s="81" t="s">
        <v>404</v>
      </c>
      <c r="E234" s="81" t="s">
        <v>379</v>
      </c>
      <c r="F234" s="81" t="s">
        <v>1682</v>
      </c>
      <c r="G234" s="81" t="s">
        <v>3753</v>
      </c>
    </row>
    <row r="235" spans="1:7" x14ac:dyDescent="0.3">
      <c r="A235" s="81" t="s">
        <v>1021</v>
      </c>
      <c r="B235" s="81" t="s">
        <v>3784</v>
      </c>
      <c r="C235" s="81" t="s">
        <v>16</v>
      </c>
      <c r="D235" s="81" t="s">
        <v>404</v>
      </c>
      <c r="E235" s="81" t="s">
        <v>379</v>
      </c>
      <c r="F235" s="81" t="s">
        <v>1724</v>
      </c>
      <c r="G235" s="81" t="s">
        <v>3753</v>
      </c>
    </row>
    <row r="236" spans="1:7" x14ac:dyDescent="0.3">
      <c r="A236" s="81" t="s">
        <v>1021</v>
      </c>
      <c r="B236" s="81" t="s">
        <v>3784</v>
      </c>
      <c r="C236" s="81" t="s">
        <v>16</v>
      </c>
      <c r="D236" s="81" t="s">
        <v>404</v>
      </c>
      <c r="E236" s="81" t="s">
        <v>374</v>
      </c>
      <c r="F236" s="81" t="s">
        <v>2016</v>
      </c>
      <c r="G236" s="81" t="s">
        <v>3754</v>
      </c>
    </row>
    <row r="237" spans="1:7" x14ac:dyDescent="0.3">
      <c r="A237" s="81" t="s">
        <v>1021</v>
      </c>
      <c r="B237" s="81" t="s">
        <v>3784</v>
      </c>
      <c r="C237" s="81" t="s">
        <v>16</v>
      </c>
      <c r="D237" s="81" t="s">
        <v>404</v>
      </c>
      <c r="E237" s="81" t="s">
        <v>374</v>
      </c>
      <c r="F237" s="81" t="s">
        <v>1680</v>
      </c>
      <c r="G237" s="81" t="s">
        <v>3754</v>
      </c>
    </row>
    <row r="238" spans="1:7" x14ac:dyDescent="0.3">
      <c r="A238" s="81" t="s">
        <v>1021</v>
      </c>
      <c r="B238" s="81" t="s">
        <v>3784</v>
      </c>
      <c r="C238" s="81" t="s">
        <v>16</v>
      </c>
      <c r="D238" s="81" t="s">
        <v>404</v>
      </c>
      <c r="E238" s="81" t="s">
        <v>374</v>
      </c>
      <c r="F238" s="81" t="s">
        <v>1682</v>
      </c>
      <c r="G238" s="81" t="s">
        <v>3754</v>
      </c>
    </row>
    <row r="239" spans="1:7" x14ac:dyDescent="0.3">
      <c r="A239" s="81" t="s">
        <v>1021</v>
      </c>
      <c r="B239" s="81" t="s">
        <v>3784</v>
      </c>
      <c r="C239" s="81" t="s">
        <v>16</v>
      </c>
      <c r="D239" s="81" t="s">
        <v>404</v>
      </c>
      <c r="E239" s="81" t="s">
        <v>374</v>
      </c>
      <c r="F239" s="81" t="s">
        <v>1724</v>
      </c>
      <c r="G239" s="81" t="s">
        <v>3754</v>
      </c>
    </row>
    <row r="240" spans="1:7" x14ac:dyDescent="0.3">
      <c r="A240" s="81" t="s">
        <v>1021</v>
      </c>
      <c r="B240" s="81" t="s">
        <v>3784</v>
      </c>
      <c r="C240" s="81" t="s">
        <v>16</v>
      </c>
      <c r="D240" s="81" t="s">
        <v>404</v>
      </c>
      <c r="E240" s="81" t="s">
        <v>383</v>
      </c>
      <c r="F240" s="81" t="s">
        <v>2016</v>
      </c>
      <c r="G240" s="81" t="s">
        <v>3755</v>
      </c>
    </row>
    <row r="241" spans="1:7" x14ac:dyDescent="0.3">
      <c r="A241" s="81" t="s">
        <v>1021</v>
      </c>
      <c r="B241" s="81" t="s">
        <v>3784</v>
      </c>
      <c r="C241" s="81" t="s">
        <v>16</v>
      </c>
      <c r="D241" s="81" t="s">
        <v>404</v>
      </c>
      <c r="E241" s="81" t="s">
        <v>383</v>
      </c>
      <c r="F241" s="81" t="s">
        <v>1680</v>
      </c>
      <c r="G241" s="81" t="s">
        <v>3755</v>
      </c>
    </row>
    <row r="242" spans="1:7" x14ac:dyDescent="0.3">
      <c r="A242" s="81" t="s">
        <v>1021</v>
      </c>
      <c r="B242" s="81" t="s">
        <v>3784</v>
      </c>
      <c r="C242" s="81" t="s">
        <v>16</v>
      </c>
      <c r="D242" s="81" t="s">
        <v>404</v>
      </c>
      <c r="E242" s="81" t="s">
        <v>383</v>
      </c>
      <c r="F242" s="81" t="s">
        <v>1682</v>
      </c>
      <c r="G242" s="81" t="s">
        <v>3755</v>
      </c>
    </row>
    <row r="243" spans="1:7" x14ac:dyDescent="0.3">
      <c r="A243" s="81" t="s">
        <v>1021</v>
      </c>
      <c r="B243" s="81" t="s">
        <v>3784</v>
      </c>
      <c r="C243" s="81" t="s">
        <v>16</v>
      </c>
      <c r="D243" s="81" t="s">
        <v>404</v>
      </c>
      <c r="E243" s="81" t="s">
        <v>383</v>
      </c>
      <c r="F243" s="81" t="s">
        <v>1724</v>
      </c>
      <c r="G243" s="81" t="s">
        <v>3755</v>
      </c>
    </row>
    <row r="244" spans="1:7" x14ac:dyDescent="0.3">
      <c r="A244" s="81" t="s">
        <v>1021</v>
      </c>
      <c r="B244" s="81" t="s">
        <v>3784</v>
      </c>
      <c r="C244" s="81" t="s">
        <v>16</v>
      </c>
      <c r="D244" s="81" t="s">
        <v>404</v>
      </c>
      <c r="E244" s="81" t="s">
        <v>373</v>
      </c>
      <c r="F244" s="81" t="s">
        <v>2016</v>
      </c>
      <c r="G244" s="81" t="s">
        <v>3756</v>
      </c>
    </row>
    <row r="245" spans="1:7" x14ac:dyDescent="0.3">
      <c r="A245" s="81" t="s">
        <v>1021</v>
      </c>
      <c r="B245" s="81" t="s">
        <v>3784</v>
      </c>
      <c r="C245" s="81" t="s">
        <v>16</v>
      </c>
      <c r="D245" s="81" t="s">
        <v>404</v>
      </c>
      <c r="E245" s="81" t="s">
        <v>373</v>
      </c>
      <c r="F245" s="81" t="s">
        <v>1680</v>
      </c>
      <c r="G245" s="81" t="s">
        <v>3756</v>
      </c>
    </row>
    <row r="246" spans="1:7" x14ac:dyDescent="0.3">
      <c r="A246" s="81" t="s">
        <v>1021</v>
      </c>
      <c r="B246" s="81" t="s">
        <v>3784</v>
      </c>
      <c r="C246" s="81" t="s">
        <v>16</v>
      </c>
      <c r="D246" s="81" t="s">
        <v>404</v>
      </c>
      <c r="E246" s="81" t="s">
        <v>373</v>
      </c>
      <c r="F246" s="81" t="s">
        <v>1682</v>
      </c>
      <c r="G246" s="81" t="s">
        <v>3756</v>
      </c>
    </row>
    <row r="247" spans="1:7" x14ac:dyDescent="0.3">
      <c r="A247" s="81" t="s">
        <v>1021</v>
      </c>
      <c r="B247" s="81" t="s">
        <v>3784</v>
      </c>
      <c r="C247" s="81" t="s">
        <v>16</v>
      </c>
      <c r="D247" s="81" t="s">
        <v>404</v>
      </c>
      <c r="E247" s="81" t="s">
        <v>373</v>
      </c>
      <c r="F247" s="81" t="s">
        <v>1724</v>
      </c>
      <c r="G247" s="81" t="s">
        <v>3756</v>
      </c>
    </row>
    <row r="248" spans="1:7" x14ac:dyDescent="0.3">
      <c r="A248" s="81" t="s">
        <v>1021</v>
      </c>
      <c r="B248" s="81" t="s">
        <v>3784</v>
      </c>
      <c r="C248" s="81" t="s">
        <v>16</v>
      </c>
      <c r="D248" s="81" t="s">
        <v>404</v>
      </c>
      <c r="E248" s="81" t="s">
        <v>368</v>
      </c>
      <c r="F248" s="81" t="s">
        <v>2016</v>
      </c>
      <c r="G248" s="81" t="s">
        <v>3757</v>
      </c>
    </row>
    <row r="249" spans="1:7" x14ac:dyDescent="0.3">
      <c r="A249" s="81" t="s">
        <v>1021</v>
      </c>
      <c r="B249" s="81" t="s">
        <v>3784</v>
      </c>
      <c r="C249" s="81" t="s">
        <v>16</v>
      </c>
      <c r="D249" s="81" t="s">
        <v>404</v>
      </c>
      <c r="E249" s="81" t="s">
        <v>368</v>
      </c>
      <c r="F249" s="81" t="s">
        <v>1680</v>
      </c>
      <c r="G249" s="81" t="s">
        <v>3757</v>
      </c>
    </row>
    <row r="250" spans="1:7" x14ac:dyDescent="0.3">
      <c r="A250" s="81" t="s">
        <v>1021</v>
      </c>
      <c r="B250" s="81" t="s">
        <v>3784</v>
      </c>
      <c r="C250" s="81" t="s">
        <v>16</v>
      </c>
      <c r="D250" s="81" t="s">
        <v>404</v>
      </c>
      <c r="E250" s="81" t="s">
        <v>368</v>
      </c>
      <c r="F250" s="81" t="s">
        <v>1682</v>
      </c>
      <c r="G250" s="81" t="s">
        <v>3757</v>
      </c>
    </row>
    <row r="251" spans="1:7" x14ac:dyDescent="0.3">
      <c r="A251" s="81" t="s">
        <v>1021</v>
      </c>
      <c r="B251" s="81" t="s">
        <v>3784</v>
      </c>
      <c r="C251" s="81" t="s">
        <v>16</v>
      </c>
      <c r="D251" s="81" t="s">
        <v>404</v>
      </c>
      <c r="E251" s="81" t="s">
        <v>368</v>
      </c>
      <c r="F251" s="81" t="s">
        <v>1724</v>
      </c>
      <c r="G251" s="81" t="s">
        <v>3757</v>
      </c>
    </row>
    <row r="252" spans="1:7" x14ac:dyDescent="0.3">
      <c r="A252" s="81" t="s">
        <v>1021</v>
      </c>
      <c r="B252" s="81" t="s">
        <v>3784</v>
      </c>
      <c r="C252" s="81" t="s">
        <v>16</v>
      </c>
      <c r="D252" s="81" t="s">
        <v>404</v>
      </c>
      <c r="E252" s="81" t="s">
        <v>372</v>
      </c>
      <c r="F252" s="81" t="s">
        <v>2016</v>
      </c>
      <c r="G252" s="81" t="s">
        <v>3758</v>
      </c>
    </row>
    <row r="253" spans="1:7" x14ac:dyDescent="0.3">
      <c r="A253" s="81" t="s">
        <v>1021</v>
      </c>
      <c r="B253" s="81" t="s">
        <v>3784</v>
      </c>
      <c r="C253" s="81" t="s">
        <v>16</v>
      </c>
      <c r="D253" s="81" t="s">
        <v>404</v>
      </c>
      <c r="E253" s="81" t="s">
        <v>372</v>
      </c>
      <c r="F253" s="81" t="s">
        <v>1680</v>
      </c>
      <c r="G253" s="81" t="s">
        <v>3758</v>
      </c>
    </row>
    <row r="254" spans="1:7" x14ac:dyDescent="0.3">
      <c r="A254" s="81" t="s">
        <v>1021</v>
      </c>
      <c r="B254" s="81" t="s">
        <v>3784</v>
      </c>
      <c r="C254" s="81" t="s">
        <v>16</v>
      </c>
      <c r="D254" s="81" t="s">
        <v>404</v>
      </c>
      <c r="E254" s="81" t="s">
        <v>372</v>
      </c>
      <c r="F254" s="81" t="s">
        <v>1682</v>
      </c>
      <c r="G254" s="81" t="s">
        <v>3758</v>
      </c>
    </row>
    <row r="255" spans="1:7" x14ac:dyDescent="0.3">
      <c r="A255" s="81" t="s">
        <v>1021</v>
      </c>
      <c r="B255" s="81" t="s">
        <v>3784</v>
      </c>
      <c r="C255" s="81" t="s">
        <v>16</v>
      </c>
      <c r="D255" s="81" t="s">
        <v>404</v>
      </c>
      <c r="E255" s="81" t="s">
        <v>372</v>
      </c>
      <c r="F255" s="81" t="s">
        <v>1724</v>
      </c>
      <c r="G255" s="81" t="s">
        <v>3758</v>
      </c>
    </row>
    <row r="256" spans="1:7" x14ac:dyDescent="0.3">
      <c r="A256" s="81" t="s">
        <v>1021</v>
      </c>
      <c r="B256" s="81" t="s">
        <v>3784</v>
      </c>
      <c r="C256" s="81" t="s">
        <v>16</v>
      </c>
      <c r="D256" s="81" t="s">
        <v>404</v>
      </c>
      <c r="E256" s="81" t="s">
        <v>375</v>
      </c>
      <c r="F256" s="81" t="s">
        <v>2016</v>
      </c>
      <c r="G256" s="81" t="s">
        <v>3759</v>
      </c>
    </row>
    <row r="257" spans="1:7" x14ac:dyDescent="0.3">
      <c r="A257" s="81" t="s">
        <v>1021</v>
      </c>
      <c r="B257" s="81" t="s">
        <v>3784</v>
      </c>
      <c r="C257" s="81" t="s">
        <v>16</v>
      </c>
      <c r="D257" s="81" t="s">
        <v>404</v>
      </c>
      <c r="E257" s="81" t="s">
        <v>375</v>
      </c>
      <c r="F257" s="81" t="s">
        <v>1680</v>
      </c>
      <c r="G257" s="81" t="s">
        <v>3759</v>
      </c>
    </row>
    <row r="258" spans="1:7" x14ac:dyDescent="0.3">
      <c r="A258" s="81" t="s">
        <v>1021</v>
      </c>
      <c r="B258" s="81" t="s">
        <v>3784</v>
      </c>
      <c r="C258" s="81" t="s">
        <v>16</v>
      </c>
      <c r="D258" s="81" t="s">
        <v>404</v>
      </c>
      <c r="E258" s="81" t="s">
        <v>375</v>
      </c>
      <c r="F258" s="81" t="s">
        <v>1682</v>
      </c>
      <c r="G258" s="81" t="s">
        <v>3759</v>
      </c>
    </row>
    <row r="259" spans="1:7" x14ac:dyDescent="0.3">
      <c r="A259" s="81" t="s">
        <v>1021</v>
      </c>
      <c r="B259" s="81" t="s">
        <v>3784</v>
      </c>
      <c r="C259" s="81" t="s">
        <v>16</v>
      </c>
      <c r="D259" s="81" t="s">
        <v>404</v>
      </c>
      <c r="E259" s="81" t="s">
        <v>375</v>
      </c>
      <c r="F259" s="81" t="s">
        <v>1724</v>
      </c>
      <c r="G259" s="81" t="s">
        <v>3759</v>
      </c>
    </row>
    <row r="260" spans="1:7" x14ac:dyDescent="0.3">
      <c r="A260" s="81" t="s">
        <v>1021</v>
      </c>
      <c r="B260" s="81" t="s">
        <v>3784</v>
      </c>
      <c r="C260" s="81" t="s">
        <v>16</v>
      </c>
      <c r="D260" s="81" t="s">
        <v>404</v>
      </c>
      <c r="E260" s="81" t="s">
        <v>380</v>
      </c>
      <c r="F260" s="81" t="s">
        <v>2016</v>
      </c>
      <c r="G260" s="81" t="s">
        <v>3760</v>
      </c>
    </row>
    <row r="261" spans="1:7" x14ac:dyDescent="0.3">
      <c r="A261" s="81" t="s">
        <v>1021</v>
      </c>
      <c r="B261" s="81" t="s">
        <v>3784</v>
      </c>
      <c r="C261" s="81" t="s">
        <v>16</v>
      </c>
      <c r="D261" s="81" t="s">
        <v>404</v>
      </c>
      <c r="E261" s="81" t="s">
        <v>380</v>
      </c>
      <c r="F261" s="81" t="s">
        <v>1680</v>
      </c>
      <c r="G261" s="81" t="s">
        <v>3760</v>
      </c>
    </row>
    <row r="262" spans="1:7" x14ac:dyDescent="0.3">
      <c r="A262" s="81" t="s">
        <v>1021</v>
      </c>
      <c r="B262" s="81" t="s">
        <v>3784</v>
      </c>
      <c r="C262" s="81" t="s">
        <v>16</v>
      </c>
      <c r="D262" s="81" t="s">
        <v>404</v>
      </c>
      <c r="E262" s="81" t="s">
        <v>380</v>
      </c>
      <c r="F262" s="81" t="s">
        <v>1682</v>
      </c>
      <c r="G262" s="81" t="s">
        <v>3760</v>
      </c>
    </row>
    <row r="263" spans="1:7" x14ac:dyDescent="0.3">
      <c r="A263" s="81" t="s">
        <v>1021</v>
      </c>
      <c r="B263" s="81" t="s">
        <v>3784</v>
      </c>
      <c r="C263" s="81" t="s">
        <v>16</v>
      </c>
      <c r="D263" s="81" t="s">
        <v>404</v>
      </c>
      <c r="E263" s="81" t="s">
        <v>380</v>
      </c>
      <c r="F263" s="81" t="s">
        <v>1724</v>
      </c>
      <c r="G263" s="81" t="s">
        <v>3760</v>
      </c>
    </row>
    <row r="264" spans="1:7" x14ac:dyDescent="0.3">
      <c r="A264" s="81" t="s">
        <v>1028</v>
      </c>
      <c r="B264" s="81" t="s">
        <v>1029</v>
      </c>
      <c r="C264" s="81" t="s">
        <v>20</v>
      </c>
      <c r="D264" s="81" t="s">
        <v>404</v>
      </c>
      <c r="E264" s="81" t="s">
        <v>15</v>
      </c>
      <c r="F264" s="81" t="s">
        <v>1031</v>
      </c>
      <c r="G264" s="81" t="s">
        <v>855</v>
      </c>
    </row>
    <row r="265" spans="1:7" x14ac:dyDescent="0.3">
      <c r="A265" s="81" t="s">
        <v>1028</v>
      </c>
      <c r="B265" s="81" t="s">
        <v>1029</v>
      </c>
      <c r="C265" s="81" t="s">
        <v>20</v>
      </c>
      <c r="D265" s="81" t="s">
        <v>404</v>
      </c>
      <c r="E265" s="81" t="s">
        <v>15</v>
      </c>
      <c r="F265" s="81" t="s">
        <v>1067</v>
      </c>
      <c r="G265" s="81">
        <v>0</v>
      </c>
    </row>
    <row r="266" spans="1:7" x14ac:dyDescent="0.3">
      <c r="A266" s="81" t="s">
        <v>1028</v>
      </c>
      <c r="B266" s="81" t="s">
        <v>1029</v>
      </c>
      <c r="C266" s="81" t="s">
        <v>20</v>
      </c>
      <c r="D266" s="81" t="s">
        <v>404</v>
      </c>
      <c r="E266" s="81" t="s">
        <v>15</v>
      </c>
      <c r="F266" s="81" t="s">
        <v>1069</v>
      </c>
      <c r="G266" s="81">
        <v>0</v>
      </c>
    </row>
    <row r="267" spans="1:7" x14ac:dyDescent="0.3">
      <c r="A267" s="81" t="s">
        <v>1028</v>
      </c>
      <c r="B267" s="81" t="s">
        <v>1029</v>
      </c>
      <c r="C267" s="81" t="s">
        <v>16</v>
      </c>
      <c r="D267" s="81" t="s">
        <v>404</v>
      </c>
      <c r="E267" s="81" t="s">
        <v>369</v>
      </c>
      <c r="F267" s="81" t="s">
        <v>1031</v>
      </c>
      <c r="G267" s="81" t="s">
        <v>3745</v>
      </c>
    </row>
    <row r="268" spans="1:7" x14ac:dyDescent="0.3">
      <c r="A268" s="81" t="s">
        <v>1028</v>
      </c>
      <c r="B268" s="81" t="s">
        <v>1029</v>
      </c>
      <c r="C268" s="81" t="s">
        <v>16</v>
      </c>
      <c r="D268" s="81" t="s">
        <v>404</v>
      </c>
      <c r="E268" s="81" t="s">
        <v>382</v>
      </c>
      <c r="F268" s="81" t="s">
        <v>1031</v>
      </c>
      <c r="G268" s="81" t="s">
        <v>3746</v>
      </c>
    </row>
    <row r="269" spans="1:7" x14ac:dyDescent="0.3">
      <c r="A269" s="81" t="s">
        <v>1028</v>
      </c>
      <c r="B269" s="81" t="s">
        <v>1029</v>
      </c>
      <c r="C269" s="81" t="s">
        <v>16</v>
      </c>
      <c r="D269" s="81" t="s">
        <v>404</v>
      </c>
      <c r="E269" s="81" t="s">
        <v>370</v>
      </c>
      <c r="F269" s="81" t="s">
        <v>1031</v>
      </c>
      <c r="G269" s="81" t="s">
        <v>3747</v>
      </c>
    </row>
    <row r="270" spans="1:7" x14ac:dyDescent="0.3">
      <c r="A270" s="81" t="s">
        <v>1028</v>
      </c>
      <c r="B270" s="81" t="s">
        <v>1029</v>
      </c>
      <c r="C270" s="81" t="s">
        <v>16</v>
      </c>
      <c r="D270" s="81" t="s">
        <v>404</v>
      </c>
      <c r="E270" s="81" t="s">
        <v>378</v>
      </c>
      <c r="F270" s="81" t="s">
        <v>1031</v>
      </c>
      <c r="G270" s="81" t="s">
        <v>3748</v>
      </c>
    </row>
    <row r="271" spans="1:7" x14ac:dyDescent="0.3">
      <c r="A271" s="81" t="s">
        <v>1028</v>
      </c>
      <c r="B271" s="81" t="s">
        <v>1029</v>
      </c>
      <c r="C271" s="81" t="s">
        <v>16</v>
      </c>
      <c r="D271" s="81" t="s">
        <v>404</v>
      </c>
      <c r="E271" s="81" t="s">
        <v>371</v>
      </c>
      <c r="F271" s="81" t="s">
        <v>1031</v>
      </c>
      <c r="G271" s="81" t="s">
        <v>3749</v>
      </c>
    </row>
    <row r="272" spans="1:7" x14ac:dyDescent="0.3">
      <c r="A272" s="81" t="s">
        <v>1028</v>
      </c>
      <c r="B272" s="81" t="s">
        <v>1029</v>
      </c>
      <c r="C272" s="81" t="s">
        <v>16</v>
      </c>
      <c r="D272" s="81" t="s">
        <v>404</v>
      </c>
      <c r="E272" s="81" t="s">
        <v>376</v>
      </c>
      <c r="F272" s="81" t="s">
        <v>1031</v>
      </c>
      <c r="G272" s="81" t="s">
        <v>3750</v>
      </c>
    </row>
    <row r="273" spans="1:7" x14ac:dyDescent="0.3">
      <c r="A273" s="81" t="s">
        <v>1028</v>
      </c>
      <c r="B273" s="81" t="s">
        <v>1029</v>
      </c>
      <c r="C273" s="81" t="s">
        <v>16</v>
      </c>
      <c r="D273" s="81" t="s">
        <v>404</v>
      </c>
      <c r="E273" s="81" t="s">
        <v>377</v>
      </c>
      <c r="F273" s="81" t="s">
        <v>1031</v>
      </c>
      <c r="G273" s="81" t="s">
        <v>3751</v>
      </c>
    </row>
    <row r="274" spans="1:7" x14ac:dyDescent="0.3">
      <c r="A274" s="81" t="s">
        <v>1028</v>
      </c>
      <c r="B274" s="81" t="s">
        <v>1029</v>
      </c>
      <c r="C274" s="81" t="s">
        <v>16</v>
      </c>
      <c r="D274" s="81" t="s">
        <v>404</v>
      </c>
      <c r="E274" s="81" t="s">
        <v>381</v>
      </c>
      <c r="F274" s="81" t="s">
        <v>1031</v>
      </c>
      <c r="G274" s="81" t="s">
        <v>3752</v>
      </c>
    </row>
    <row r="275" spans="1:7" x14ac:dyDescent="0.3">
      <c r="A275" s="81" t="s">
        <v>1028</v>
      </c>
      <c r="B275" s="81" t="s">
        <v>1029</v>
      </c>
      <c r="C275" s="81" t="s">
        <v>16</v>
      </c>
      <c r="D275" s="81" t="s">
        <v>404</v>
      </c>
      <c r="E275" s="81" t="s">
        <v>379</v>
      </c>
      <c r="F275" s="81" t="s">
        <v>1031</v>
      </c>
      <c r="G275" s="81" t="s">
        <v>3753</v>
      </c>
    </row>
    <row r="276" spans="1:7" x14ac:dyDescent="0.3">
      <c r="A276" s="81" t="s">
        <v>1028</v>
      </c>
      <c r="B276" s="81" t="s">
        <v>1029</v>
      </c>
      <c r="C276" s="81" t="s">
        <v>16</v>
      </c>
      <c r="D276" s="81" t="s">
        <v>404</v>
      </c>
      <c r="E276" s="81" t="s">
        <v>374</v>
      </c>
      <c r="F276" s="81" t="s">
        <v>1031</v>
      </c>
      <c r="G276" s="81" t="s">
        <v>3754</v>
      </c>
    </row>
    <row r="277" spans="1:7" x14ac:dyDescent="0.3">
      <c r="A277" s="81" t="s">
        <v>1028</v>
      </c>
      <c r="B277" s="81" t="s">
        <v>1029</v>
      </c>
      <c r="C277" s="81" t="s">
        <v>16</v>
      </c>
      <c r="D277" s="81" t="s">
        <v>404</v>
      </c>
      <c r="E277" s="81" t="s">
        <v>383</v>
      </c>
      <c r="F277" s="81" t="s">
        <v>1031</v>
      </c>
      <c r="G277" s="81" t="s">
        <v>3755</v>
      </c>
    </row>
    <row r="278" spans="1:7" x14ac:dyDescent="0.3">
      <c r="A278" s="81" t="s">
        <v>1028</v>
      </c>
      <c r="B278" s="81" t="s">
        <v>1029</v>
      </c>
      <c r="C278" s="81" t="s">
        <v>16</v>
      </c>
      <c r="D278" s="81" t="s">
        <v>404</v>
      </c>
      <c r="E278" s="81" t="s">
        <v>373</v>
      </c>
      <c r="F278" s="81" t="s">
        <v>1031</v>
      </c>
      <c r="G278" s="81" t="s">
        <v>3756</v>
      </c>
    </row>
    <row r="279" spans="1:7" x14ac:dyDescent="0.3">
      <c r="A279" s="81" t="s">
        <v>1028</v>
      </c>
      <c r="B279" s="81" t="s">
        <v>1029</v>
      </c>
      <c r="C279" s="81" t="s">
        <v>16</v>
      </c>
      <c r="D279" s="81" t="s">
        <v>404</v>
      </c>
      <c r="E279" s="81" t="s">
        <v>368</v>
      </c>
      <c r="F279" s="81" t="s">
        <v>1031</v>
      </c>
      <c r="G279" s="81" t="s">
        <v>3757</v>
      </c>
    </row>
    <row r="280" spans="1:7" x14ac:dyDescent="0.3">
      <c r="A280" s="81" t="s">
        <v>1028</v>
      </c>
      <c r="B280" s="81" t="s">
        <v>1029</v>
      </c>
      <c r="C280" s="81" t="s">
        <v>16</v>
      </c>
      <c r="D280" s="81" t="s">
        <v>404</v>
      </c>
      <c r="E280" s="81" t="s">
        <v>372</v>
      </c>
      <c r="F280" s="81" t="s">
        <v>1031</v>
      </c>
      <c r="G280" s="81" t="s">
        <v>3758</v>
      </c>
    </row>
    <row r="281" spans="1:7" x14ac:dyDescent="0.3">
      <c r="A281" s="81" t="s">
        <v>1028</v>
      </c>
      <c r="B281" s="81" t="s">
        <v>1029</v>
      </c>
      <c r="C281" s="81" t="s">
        <v>16</v>
      </c>
      <c r="D281" s="81" t="s">
        <v>404</v>
      </c>
      <c r="E281" s="81" t="s">
        <v>375</v>
      </c>
      <c r="F281" s="81" t="s">
        <v>1031</v>
      </c>
      <c r="G281" s="81" t="s">
        <v>3759</v>
      </c>
    </row>
    <row r="282" spans="1:7" x14ac:dyDescent="0.3">
      <c r="A282" s="81" t="s">
        <v>1028</v>
      </c>
      <c r="B282" s="81" t="s">
        <v>1029</v>
      </c>
      <c r="C282" s="81" t="s">
        <v>16</v>
      </c>
      <c r="D282" s="81" t="s">
        <v>404</v>
      </c>
      <c r="E282" s="81" t="s">
        <v>380</v>
      </c>
      <c r="F282" s="81" t="s">
        <v>1031</v>
      </c>
      <c r="G282" s="81" t="s">
        <v>3760</v>
      </c>
    </row>
    <row r="283" spans="1:7" x14ac:dyDescent="0.3">
      <c r="A283" s="81" t="s">
        <v>1073</v>
      </c>
      <c r="B283" s="81" t="s">
        <v>3766</v>
      </c>
      <c r="C283" s="81" t="s">
        <v>20</v>
      </c>
      <c r="D283" s="81" t="s">
        <v>1066</v>
      </c>
      <c r="E283" s="81" t="s">
        <v>15</v>
      </c>
      <c r="F283" s="81" t="s">
        <v>1074</v>
      </c>
      <c r="G283" s="81" t="s">
        <v>855</v>
      </c>
    </row>
    <row r="284" spans="1:7" x14ac:dyDescent="0.3">
      <c r="A284" s="81" t="s">
        <v>1073</v>
      </c>
      <c r="B284" s="81" t="s">
        <v>3766</v>
      </c>
      <c r="C284" s="81" t="s">
        <v>16</v>
      </c>
      <c r="D284" s="81" t="s">
        <v>1066</v>
      </c>
      <c r="E284" s="81" t="s">
        <v>369</v>
      </c>
      <c r="F284" s="81" t="s">
        <v>1074</v>
      </c>
      <c r="G284" s="81" t="s">
        <v>3745</v>
      </c>
    </row>
    <row r="285" spans="1:7" x14ac:dyDescent="0.3">
      <c r="A285" s="81" t="s">
        <v>1073</v>
      </c>
      <c r="B285" s="81" t="s">
        <v>3766</v>
      </c>
      <c r="C285" s="81" t="s">
        <v>16</v>
      </c>
      <c r="D285" s="81" t="s">
        <v>1066</v>
      </c>
      <c r="E285" s="81" t="s">
        <v>382</v>
      </c>
      <c r="F285" s="81" t="s">
        <v>1074</v>
      </c>
      <c r="G285" s="81" t="s">
        <v>3746</v>
      </c>
    </row>
    <row r="286" spans="1:7" x14ac:dyDescent="0.3">
      <c r="A286" s="81" t="s">
        <v>1073</v>
      </c>
      <c r="B286" s="81" t="s">
        <v>3766</v>
      </c>
      <c r="C286" s="81" t="s">
        <v>16</v>
      </c>
      <c r="D286" s="81" t="s">
        <v>1066</v>
      </c>
      <c r="E286" s="81" t="s">
        <v>370</v>
      </c>
      <c r="F286" s="81" t="s">
        <v>1074</v>
      </c>
      <c r="G286" s="81" t="s">
        <v>3747</v>
      </c>
    </row>
    <row r="287" spans="1:7" x14ac:dyDescent="0.3">
      <c r="A287" s="81" t="s">
        <v>1073</v>
      </c>
      <c r="B287" s="81" t="s">
        <v>3766</v>
      </c>
      <c r="C287" s="81" t="s">
        <v>16</v>
      </c>
      <c r="D287" s="81" t="s">
        <v>1066</v>
      </c>
      <c r="E287" s="81" t="s">
        <v>378</v>
      </c>
      <c r="F287" s="81" t="s">
        <v>1074</v>
      </c>
      <c r="G287" s="81" t="s">
        <v>3748</v>
      </c>
    </row>
    <row r="288" spans="1:7" x14ac:dyDescent="0.3">
      <c r="A288" s="81" t="s">
        <v>1073</v>
      </c>
      <c r="B288" s="81" t="s">
        <v>3766</v>
      </c>
      <c r="C288" s="81" t="s">
        <v>16</v>
      </c>
      <c r="D288" s="81" t="s">
        <v>1066</v>
      </c>
      <c r="E288" s="81" t="s">
        <v>371</v>
      </c>
      <c r="F288" s="81" t="s">
        <v>1074</v>
      </c>
      <c r="G288" s="81" t="s">
        <v>3749</v>
      </c>
    </row>
    <row r="289" spans="1:7" x14ac:dyDescent="0.3">
      <c r="A289" s="81" t="s">
        <v>1073</v>
      </c>
      <c r="B289" s="81" t="s">
        <v>3766</v>
      </c>
      <c r="C289" s="81" t="s">
        <v>16</v>
      </c>
      <c r="D289" s="81" t="s">
        <v>1066</v>
      </c>
      <c r="E289" s="81" t="s">
        <v>376</v>
      </c>
      <c r="F289" s="81" t="s">
        <v>1074</v>
      </c>
      <c r="G289" s="81" t="s">
        <v>3750</v>
      </c>
    </row>
    <row r="290" spans="1:7" x14ac:dyDescent="0.3">
      <c r="A290" s="81" t="s">
        <v>1073</v>
      </c>
      <c r="B290" s="81" t="s">
        <v>3766</v>
      </c>
      <c r="C290" s="81" t="s">
        <v>16</v>
      </c>
      <c r="D290" s="81" t="s">
        <v>1066</v>
      </c>
      <c r="E290" s="81" t="s">
        <v>377</v>
      </c>
      <c r="F290" s="81" t="s">
        <v>1074</v>
      </c>
      <c r="G290" s="81" t="s">
        <v>3751</v>
      </c>
    </row>
    <row r="291" spans="1:7" x14ac:dyDescent="0.3">
      <c r="A291" s="81" t="s">
        <v>1073</v>
      </c>
      <c r="B291" s="81" t="s">
        <v>3766</v>
      </c>
      <c r="C291" s="81" t="s">
        <v>16</v>
      </c>
      <c r="D291" s="81" t="s">
        <v>1066</v>
      </c>
      <c r="E291" s="81" t="s">
        <v>381</v>
      </c>
      <c r="F291" s="81" t="s">
        <v>1074</v>
      </c>
      <c r="G291" s="81" t="s">
        <v>3752</v>
      </c>
    </row>
    <row r="292" spans="1:7" x14ac:dyDescent="0.3">
      <c r="A292" s="81" t="s">
        <v>1073</v>
      </c>
      <c r="B292" s="81" t="s">
        <v>3766</v>
      </c>
      <c r="C292" s="81" t="s">
        <v>16</v>
      </c>
      <c r="D292" s="81" t="s">
        <v>1066</v>
      </c>
      <c r="E292" s="81" t="s">
        <v>379</v>
      </c>
      <c r="F292" s="81" t="s">
        <v>1074</v>
      </c>
      <c r="G292" s="81" t="s">
        <v>3753</v>
      </c>
    </row>
    <row r="293" spans="1:7" x14ac:dyDescent="0.3">
      <c r="A293" s="81" t="s">
        <v>1073</v>
      </c>
      <c r="B293" s="81" t="s">
        <v>3766</v>
      </c>
      <c r="C293" s="81" t="s">
        <v>16</v>
      </c>
      <c r="D293" s="81" t="s">
        <v>1066</v>
      </c>
      <c r="E293" s="81" t="s">
        <v>374</v>
      </c>
      <c r="F293" s="81" t="s">
        <v>1074</v>
      </c>
      <c r="G293" s="81" t="s">
        <v>3754</v>
      </c>
    </row>
    <row r="294" spans="1:7" x14ac:dyDescent="0.3">
      <c r="A294" s="81" t="s">
        <v>1073</v>
      </c>
      <c r="B294" s="81" t="s">
        <v>3766</v>
      </c>
      <c r="C294" s="81" t="s">
        <v>16</v>
      </c>
      <c r="D294" s="81" t="s">
        <v>1066</v>
      </c>
      <c r="E294" s="81" t="s">
        <v>383</v>
      </c>
      <c r="F294" s="81" t="s">
        <v>1074</v>
      </c>
      <c r="G294" s="81" t="s">
        <v>3755</v>
      </c>
    </row>
    <row r="295" spans="1:7" x14ac:dyDescent="0.3">
      <c r="A295" s="81" t="s">
        <v>1073</v>
      </c>
      <c r="B295" s="81" t="s">
        <v>3766</v>
      </c>
      <c r="C295" s="81" t="s">
        <v>16</v>
      </c>
      <c r="D295" s="81" t="s">
        <v>1066</v>
      </c>
      <c r="E295" s="81" t="s">
        <v>373</v>
      </c>
      <c r="F295" s="81" t="s">
        <v>1074</v>
      </c>
      <c r="G295" s="81" t="s">
        <v>3756</v>
      </c>
    </row>
    <row r="296" spans="1:7" x14ac:dyDescent="0.3">
      <c r="A296" s="81" t="s">
        <v>1073</v>
      </c>
      <c r="B296" s="81" t="s">
        <v>3766</v>
      </c>
      <c r="C296" s="81" t="s">
        <v>16</v>
      </c>
      <c r="D296" s="81" t="s">
        <v>1066</v>
      </c>
      <c r="E296" s="81" t="s">
        <v>368</v>
      </c>
      <c r="F296" s="81" t="s">
        <v>1074</v>
      </c>
      <c r="G296" s="81" t="s">
        <v>3757</v>
      </c>
    </row>
    <row r="297" spans="1:7" x14ac:dyDescent="0.3">
      <c r="A297" s="81" t="s">
        <v>1073</v>
      </c>
      <c r="B297" s="81" t="s">
        <v>3766</v>
      </c>
      <c r="C297" s="81" t="s">
        <v>16</v>
      </c>
      <c r="D297" s="81" t="s">
        <v>1066</v>
      </c>
      <c r="E297" s="81" t="s">
        <v>372</v>
      </c>
      <c r="F297" s="81" t="s">
        <v>1074</v>
      </c>
      <c r="G297" s="81" t="s">
        <v>3758</v>
      </c>
    </row>
    <row r="298" spans="1:7" x14ac:dyDescent="0.3">
      <c r="A298" s="81" t="s">
        <v>1073</v>
      </c>
      <c r="B298" s="81" t="s">
        <v>3766</v>
      </c>
      <c r="C298" s="81" t="s">
        <v>16</v>
      </c>
      <c r="D298" s="81" t="s">
        <v>1066</v>
      </c>
      <c r="E298" s="81" t="s">
        <v>375</v>
      </c>
      <c r="F298" s="81" t="s">
        <v>1074</v>
      </c>
      <c r="G298" s="81" t="s">
        <v>3759</v>
      </c>
    </row>
    <row r="299" spans="1:7" x14ac:dyDescent="0.3">
      <c r="A299" s="81" t="s">
        <v>1073</v>
      </c>
      <c r="B299" s="81" t="s">
        <v>3766</v>
      </c>
      <c r="C299" s="81" t="s">
        <v>16</v>
      </c>
      <c r="D299" s="81" t="s">
        <v>1066</v>
      </c>
      <c r="E299" s="81" t="s">
        <v>380</v>
      </c>
      <c r="F299" s="81" t="s">
        <v>1074</v>
      </c>
      <c r="G299" s="81" t="s">
        <v>3760</v>
      </c>
    </row>
    <row r="300" spans="1:7" x14ac:dyDescent="0.3">
      <c r="A300" s="81" t="s">
        <v>1081</v>
      </c>
      <c r="B300" s="81" t="s">
        <v>7428</v>
      </c>
      <c r="C300" s="81" t="s">
        <v>20</v>
      </c>
      <c r="D300" s="81" t="s">
        <v>16</v>
      </c>
      <c r="E300" s="81" t="s">
        <v>15</v>
      </c>
      <c r="F300" s="81" t="s">
        <v>3782</v>
      </c>
      <c r="G300" s="81" t="s">
        <v>1033</v>
      </c>
    </row>
    <row r="301" spans="1:7" x14ac:dyDescent="0.3">
      <c r="A301" s="81" t="s">
        <v>1081</v>
      </c>
      <c r="B301" s="81" t="s">
        <v>7428</v>
      </c>
      <c r="C301" s="81" t="s">
        <v>16</v>
      </c>
      <c r="D301" s="81" t="s">
        <v>404</v>
      </c>
      <c r="E301" s="81" t="s">
        <v>369</v>
      </c>
      <c r="F301" s="81" t="s">
        <v>3782</v>
      </c>
      <c r="G301" s="81" t="s">
        <v>3729</v>
      </c>
    </row>
    <row r="302" spans="1:7" x14ac:dyDescent="0.3">
      <c r="A302" s="81" t="s">
        <v>1081</v>
      </c>
      <c r="B302" s="81" t="s">
        <v>7428</v>
      </c>
      <c r="C302" s="81" t="s">
        <v>16</v>
      </c>
      <c r="D302" s="81" t="s">
        <v>404</v>
      </c>
      <c r="E302" s="81" t="s">
        <v>382</v>
      </c>
      <c r="F302" s="81" t="s">
        <v>3782</v>
      </c>
      <c r="G302" s="81" t="s">
        <v>3730</v>
      </c>
    </row>
    <row r="303" spans="1:7" x14ac:dyDescent="0.3">
      <c r="A303" s="81" t="s">
        <v>1081</v>
      </c>
      <c r="B303" s="81" t="s">
        <v>7428</v>
      </c>
      <c r="C303" s="81" t="s">
        <v>16</v>
      </c>
      <c r="D303" s="81" t="s">
        <v>404</v>
      </c>
      <c r="E303" s="81" t="s">
        <v>370</v>
      </c>
      <c r="F303" s="81" t="s">
        <v>3782</v>
      </c>
      <c r="G303" s="81" t="s">
        <v>3731</v>
      </c>
    </row>
    <row r="304" spans="1:7" x14ac:dyDescent="0.3">
      <c r="A304" s="81" t="s">
        <v>1081</v>
      </c>
      <c r="B304" s="81" t="s">
        <v>7428</v>
      </c>
      <c r="C304" s="81" t="s">
        <v>16</v>
      </c>
      <c r="D304" s="81" t="s">
        <v>404</v>
      </c>
      <c r="E304" s="81" t="s">
        <v>378</v>
      </c>
      <c r="F304" s="81" t="s">
        <v>3782</v>
      </c>
      <c r="G304" s="81" t="s">
        <v>3732</v>
      </c>
    </row>
    <row r="305" spans="1:7" x14ac:dyDescent="0.3">
      <c r="A305" s="81" t="s">
        <v>1081</v>
      </c>
      <c r="B305" s="81" t="s">
        <v>7428</v>
      </c>
      <c r="C305" s="81" t="s">
        <v>16</v>
      </c>
      <c r="D305" s="81" t="s">
        <v>404</v>
      </c>
      <c r="E305" s="81" t="s">
        <v>371</v>
      </c>
      <c r="F305" s="81" t="s">
        <v>3782</v>
      </c>
      <c r="G305" s="81" t="s">
        <v>3733</v>
      </c>
    </row>
    <row r="306" spans="1:7" x14ac:dyDescent="0.3">
      <c r="A306" s="81" t="s">
        <v>1081</v>
      </c>
      <c r="B306" s="81" t="s">
        <v>7428</v>
      </c>
      <c r="C306" s="81" t="s">
        <v>16</v>
      </c>
      <c r="D306" s="81" t="s">
        <v>404</v>
      </c>
      <c r="E306" s="81" t="s">
        <v>376</v>
      </c>
      <c r="F306" s="81" t="s">
        <v>3782</v>
      </c>
      <c r="G306" s="81" t="s">
        <v>3734</v>
      </c>
    </row>
    <row r="307" spans="1:7" x14ac:dyDescent="0.3">
      <c r="A307" s="81" t="s">
        <v>1081</v>
      </c>
      <c r="B307" s="81" t="s">
        <v>7428</v>
      </c>
      <c r="C307" s="81" t="s">
        <v>16</v>
      </c>
      <c r="D307" s="81" t="s">
        <v>404</v>
      </c>
      <c r="E307" s="81" t="s">
        <v>377</v>
      </c>
      <c r="F307" s="81" t="s">
        <v>3782</v>
      </c>
      <c r="G307" s="81" t="s">
        <v>3735</v>
      </c>
    </row>
    <row r="308" spans="1:7" x14ac:dyDescent="0.3">
      <c r="A308" s="81" t="s">
        <v>1081</v>
      </c>
      <c r="B308" s="81" t="s">
        <v>7428</v>
      </c>
      <c r="C308" s="81" t="s">
        <v>16</v>
      </c>
      <c r="D308" s="81" t="s">
        <v>404</v>
      </c>
      <c r="E308" s="81" t="s">
        <v>381</v>
      </c>
      <c r="F308" s="81" t="s">
        <v>3782</v>
      </c>
      <c r="G308" s="81" t="s">
        <v>3736</v>
      </c>
    </row>
    <row r="309" spans="1:7" x14ac:dyDescent="0.3">
      <c r="A309" s="81" t="s">
        <v>1081</v>
      </c>
      <c r="B309" s="81" t="s">
        <v>7428</v>
      </c>
      <c r="C309" s="81" t="s">
        <v>16</v>
      </c>
      <c r="D309" s="81" t="s">
        <v>404</v>
      </c>
      <c r="E309" s="81" t="s">
        <v>379</v>
      </c>
      <c r="F309" s="81" t="s">
        <v>3782</v>
      </c>
      <c r="G309" s="81" t="s">
        <v>3737</v>
      </c>
    </row>
    <row r="310" spans="1:7" x14ac:dyDescent="0.3">
      <c r="A310" s="81" t="s">
        <v>1081</v>
      </c>
      <c r="B310" s="81" t="s">
        <v>7428</v>
      </c>
      <c r="C310" s="81" t="s">
        <v>16</v>
      </c>
      <c r="D310" s="81" t="s">
        <v>404</v>
      </c>
      <c r="E310" s="81" t="s">
        <v>374</v>
      </c>
      <c r="F310" s="81" t="s">
        <v>3782</v>
      </c>
      <c r="G310" s="81" t="s">
        <v>3738</v>
      </c>
    </row>
    <row r="311" spans="1:7" x14ac:dyDescent="0.3">
      <c r="A311" s="81" t="s">
        <v>1081</v>
      </c>
      <c r="B311" s="81" t="s">
        <v>7428</v>
      </c>
      <c r="C311" s="81" t="s">
        <v>16</v>
      </c>
      <c r="D311" s="81" t="s">
        <v>404</v>
      </c>
      <c r="E311" s="81" t="s">
        <v>383</v>
      </c>
      <c r="F311" s="81" t="s">
        <v>3782</v>
      </c>
      <c r="G311" s="81" t="s">
        <v>3739</v>
      </c>
    </row>
    <row r="312" spans="1:7" x14ac:dyDescent="0.3">
      <c r="A312" s="81" t="s">
        <v>1081</v>
      </c>
      <c r="B312" s="81" t="s">
        <v>7428</v>
      </c>
      <c r="C312" s="81" t="s">
        <v>16</v>
      </c>
      <c r="D312" s="81" t="s">
        <v>404</v>
      </c>
      <c r="E312" s="81" t="s">
        <v>373</v>
      </c>
      <c r="F312" s="81" t="s">
        <v>3782</v>
      </c>
      <c r="G312" s="81" t="s">
        <v>3740</v>
      </c>
    </row>
    <row r="313" spans="1:7" x14ac:dyDescent="0.3">
      <c r="A313" s="81" t="s">
        <v>1081</v>
      </c>
      <c r="B313" s="81" t="s">
        <v>7428</v>
      </c>
      <c r="C313" s="81" t="s">
        <v>16</v>
      </c>
      <c r="D313" s="81" t="s">
        <v>404</v>
      </c>
      <c r="E313" s="81" t="s">
        <v>368</v>
      </c>
      <c r="F313" s="81" t="s">
        <v>3782</v>
      </c>
      <c r="G313" s="81" t="s">
        <v>3741</v>
      </c>
    </row>
    <row r="314" spans="1:7" x14ac:dyDescent="0.3">
      <c r="A314" s="81" t="s">
        <v>1081</v>
      </c>
      <c r="B314" s="81" t="s">
        <v>7428</v>
      </c>
      <c r="C314" s="81" t="s">
        <v>16</v>
      </c>
      <c r="D314" s="81" t="s">
        <v>404</v>
      </c>
      <c r="E314" s="81" t="s">
        <v>372</v>
      </c>
      <c r="F314" s="81" t="s">
        <v>3782</v>
      </c>
      <c r="G314" s="81" t="s">
        <v>3742</v>
      </c>
    </row>
    <row r="315" spans="1:7" x14ac:dyDescent="0.3">
      <c r="A315" s="81" t="s">
        <v>1081</v>
      </c>
      <c r="B315" s="81" t="s">
        <v>7428</v>
      </c>
      <c r="C315" s="81" t="s">
        <v>16</v>
      </c>
      <c r="D315" s="81" t="s">
        <v>404</v>
      </c>
      <c r="E315" s="81" t="s">
        <v>375</v>
      </c>
      <c r="F315" s="81" t="s">
        <v>3782</v>
      </c>
      <c r="G315" s="81" t="s">
        <v>3743</v>
      </c>
    </row>
    <row r="316" spans="1:7" x14ac:dyDescent="0.3">
      <c r="A316" s="81" t="s">
        <v>1081</v>
      </c>
      <c r="B316" s="81" t="s">
        <v>7428</v>
      </c>
      <c r="C316" s="81" t="s">
        <v>16</v>
      </c>
      <c r="D316" s="81" t="s">
        <v>404</v>
      </c>
      <c r="E316" s="81" t="s">
        <v>380</v>
      </c>
      <c r="F316" s="81" t="s">
        <v>3782</v>
      </c>
      <c r="G316" s="81" t="s">
        <v>3744</v>
      </c>
    </row>
    <row r="317" spans="1:7" x14ac:dyDescent="0.3">
      <c r="A317" s="81" t="s">
        <v>1458</v>
      </c>
      <c r="B317" s="81" t="s">
        <v>3793</v>
      </c>
      <c r="C317" s="81" t="s">
        <v>20</v>
      </c>
      <c r="D317" s="81" t="s">
        <v>16</v>
      </c>
      <c r="E317" s="81" t="s">
        <v>15</v>
      </c>
      <c r="F317" s="81" t="s">
        <v>1457</v>
      </c>
      <c r="G317" s="81">
        <v>0</v>
      </c>
    </row>
    <row r="318" spans="1:7" x14ac:dyDescent="0.3">
      <c r="A318" s="81" t="s">
        <v>1460</v>
      </c>
      <c r="B318" s="81" t="s">
        <v>3767</v>
      </c>
      <c r="C318" s="81" t="s">
        <v>20</v>
      </c>
      <c r="D318" s="81" t="s">
        <v>18</v>
      </c>
      <c r="E318" s="81" t="s">
        <v>15</v>
      </c>
      <c r="F318" s="81" t="s">
        <v>1463</v>
      </c>
      <c r="G318" s="81" t="s">
        <v>1033</v>
      </c>
    </row>
    <row r="319" spans="1:7" x14ac:dyDescent="0.3">
      <c r="A319" s="81" t="s">
        <v>1460</v>
      </c>
      <c r="B319" s="81" t="s">
        <v>3767</v>
      </c>
      <c r="C319" s="81" t="s">
        <v>16</v>
      </c>
      <c r="D319" s="81" t="s">
        <v>18</v>
      </c>
      <c r="E319" s="81" t="s">
        <v>369</v>
      </c>
      <c r="F319" s="81" t="s">
        <v>1463</v>
      </c>
      <c r="G319" s="81" t="s">
        <v>3729</v>
      </c>
    </row>
    <row r="320" spans="1:7" x14ac:dyDescent="0.3">
      <c r="A320" s="81" t="s">
        <v>1460</v>
      </c>
      <c r="B320" s="81" t="s">
        <v>3767</v>
      </c>
      <c r="C320" s="81" t="s">
        <v>16</v>
      </c>
      <c r="D320" s="81" t="s">
        <v>18</v>
      </c>
      <c r="E320" s="81" t="s">
        <v>382</v>
      </c>
      <c r="F320" s="81" t="s">
        <v>1463</v>
      </c>
      <c r="G320" s="81" t="s">
        <v>3730</v>
      </c>
    </row>
    <row r="321" spans="1:7" x14ac:dyDescent="0.3">
      <c r="A321" s="81" t="s">
        <v>1460</v>
      </c>
      <c r="B321" s="81" t="s">
        <v>3767</v>
      </c>
      <c r="C321" s="81" t="s">
        <v>16</v>
      </c>
      <c r="D321" s="81" t="s">
        <v>18</v>
      </c>
      <c r="E321" s="81" t="s">
        <v>370</v>
      </c>
      <c r="F321" s="81" t="s">
        <v>1463</v>
      </c>
      <c r="G321" s="81" t="s">
        <v>3731</v>
      </c>
    </row>
    <row r="322" spans="1:7" x14ac:dyDescent="0.3">
      <c r="A322" s="81" t="s">
        <v>1460</v>
      </c>
      <c r="B322" s="81" t="s">
        <v>3767</v>
      </c>
      <c r="C322" s="81" t="s">
        <v>16</v>
      </c>
      <c r="D322" s="81" t="s">
        <v>18</v>
      </c>
      <c r="E322" s="81" t="s">
        <v>378</v>
      </c>
      <c r="F322" s="81" t="s">
        <v>1463</v>
      </c>
      <c r="G322" s="81" t="s">
        <v>3732</v>
      </c>
    </row>
    <row r="323" spans="1:7" x14ac:dyDescent="0.3">
      <c r="A323" s="81" t="s">
        <v>1460</v>
      </c>
      <c r="B323" s="81" t="s">
        <v>3767</v>
      </c>
      <c r="C323" s="81" t="s">
        <v>16</v>
      </c>
      <c r="D323" s="81" t="s">
        <v>18</v>
      </c>
      <c r="E323" s="81" t="s">
        <v>371</v>
      </c>
      <c r="F323" s="81" t="s">
        <v>1463</v>
      </c>
      <c r="G323" s="81" t="s">
        <v>3733</v>
      </c>
    </row>
    <row r="324" spans="1:7" x14ac:dyDescent="0.3">
      <c r="A324" s="81" t="s">
        <v>1460</v>
      </c>
      <c r="B324" s="81" t="s">
        <v>3767</v>
      </c>
      <c r="C324" s="81" t="s">
        <v>16</v>
      </c>
      <c r="D324" s="81" t="s">
        <v>18</v>
      </c>
      <c r="E324" s="81" t="s">
        <v>376</v>
      </c>
      <c r="F324" s="81" t="s">
        <v>1463</v>
      </c>
      <c r="G324" s="81" t="s">
        <v>3734</v>
      </c>
    </row>
    <row r="325" spans="1:7" x14ac:dyDescent="0.3">
      <c r="A325" s="81" t="s">
        <v>1460</v>
      </c>
      <c r="B325" s="81" t="s">
        <v>3767</v>
      </c>
      <c r="C325" s="81" t="s">
        <v>16</v>
      </c>
      <c r="D325" s="81" t="s">
        <v>18</v>
      </c>
      <c r="E325" s="81" t="s">
        <v>377</v>
      </c>
      <c r="F325" s="81" t="s">
        <v>1463</v>
      </c>
      <c r="G325" s="81" t="s">
        <v>3735</v>
      </c>
    </row>
    <row r="326" spans="1:7" x14ac:dyDescent="0.3">
      <c r="A326" s="81" t="s">
        <v>1460</v>
      </c>
      <c r="B326" s="81" t="s">
        <v>3767</v>
      </c>
      <c r="C326" s="81" t="s">
        <v>16</v>
      </c>
      <c r="D326" s="81" t="s">
        <v>18</v>
      </c>
      <c r="E326" s="81" t="s">
        <v>381</v>
      </c>
      <c r="F326" s="81" t="s">
        <v>1463</v>
      </c>
      <c r="G326" s="81" t="s">
        <v>3736</v>
      </c>
    </row>
    <row r="327" spans="1:7" x14ac:dyDescent="0.3">
      <c r="A327" s="81" t="s">
        <v>1460</v>
      </c>
      <c r="B327" s="81" t="s">
        <v>3767</v>
      </c>
      <c r="C327" s="81" t="s">
        <v>16</v>
      </c>
      <c r="D327" s="81" t="s">
        <v>18</v>
      </c>
      <c r="E327" s="81" t="s">
        <v>379</v>
      </c>
      <c r="F327" s="81" t="s">
        <v>1463</v>
      </c>
      <c r="G327" s="81" t="s">
        <v>3737</v>
      </c>
    </row>
    <row r="328" spans="1:7" x14ac:dyDescent="0.3">
      <c r="A328" s="81" t="s">
        <v>1460</v>
      </c>
      <c r="B328" s="81" t="s">
        <v>3767</v>
      </c>
      <c r="C328" s="81" t="s">
        <v>16</v>
      </c>
      <c r="D328" s="81" t="s">
        <v>18</v>
      </c>
      <c r="E328" s="81" t="s">
        <v>374</v>
      </c>
      <c r="F328" s="81" t="s">
        <v>1463</v>
      </c>
      <c r="G328" s="81" t="s">
        <v>3738</v>
      </c>
    </row>
    <row r="329" spans="1:7" x14ac:dyDescent="0.3">
      <c r="A329" s="81" t="s">
        <v>1460</v>
      </c>
      <c r="B329" s="81" t="s">
        <v>3767</v>
      </c>
      <c r="C329" s="81" t="s">
        <v>16</v>
      </c>
      <c r="D329" s="81" t="s">
        <v>18</v>
      </c>
      <c r="E329" s="81" t="s">
        <v>383</v>
      </c>
      <c r="F329" s="81" t="s">
        <v>1463</v>
      </c>
      <c r="G329" s="81" t="s">
        <v>3739</v>
      </c>
    </row>
    <row r="330" spans="1:7" x14ac:dyDescent="0.3">
      <c r="A330" s="81" t="s">
        <v>1460</v>
      </c>
      <c r="B330" s="81" t="s">
        <v>3767</v>
      </c>
      <c r="C330" s="81" t="s">
        <v>16</v>
      </c>
      <c r="D330" s="81" t="s">
        <v>18</v>
      </c>
      <c r="E330" s="81" t="s">
        <v>373</v>
      </c>
      <c r="F330" s="81" t="s">
        <v>1463</v>
      </c>
      <c r="G330" s="81" t="s">
        <v>3740</v>
      </c>
    </row>
    <row r="331" spans="1:7" x14ac:dyDescent="0.3">
      <c r="A331" s="81" t="s">
        <v>1460</v>
      </c>
      <c r="B331" s="81" t="s">
        <v>3767</v>
      </c>
      <c r="C331" s="81" t="s">
        <v>16</v>
      </c>
      <c r="D331" s="81" t="s">
        <v>18</v>
      </c>
      <c r="E331" s="81" t="s">
        <v>368</v>
      </c>
      <c r="F331" s="81" t="s">
        <v>1463</v>
      </c>
      <c r="G331" s="81" t="s">
        <v>3741</v>
      </c>
    </row>
    <row r="332" spans="1:7" x14ac:dyDescent="0.3">
      <c r="A332" s="81" t="s">
        <v>1460</v>
      </c>
      <c r="B332" s="81" t="s">
        <v>3767</v>
      </c>
      <c r="C332" s="81" t="s">
        <v>16</v>
      </c>
      <c r="D332" s="81" t="s">
        <v>18</v>
      </c>
      <c r="E332" s="81" t="s">
        <v>372</v>
      </c>
      <c r="F332" s="81" t="s">
        <v>1463</v>
      </c>
      <c r="G332" s="81" t="s">
        <v>3742</v>
      </c>
    </row>
    <row r="333" spans="1:7" x14ac:dyDescent="0.3">
      <c r="A333" s="81" t="s">
        <v>1460</v>
      </c>
      <c r="B333" s="81" t="s">
        <v>3767</v>
      </c>
      <c r="C333" s="81" t="s">
        <v>16</v>
      </c>
      <c r="D333" s="81" t="s">
        <v>18</v>
      </c>
      <c r="E333" s="81" t="s">
        <v>375</v>
      </c>
      <c r="F333" s="81" t="s">
        <v>1463</v>
      </c>
      <c r="G333" s="81" t="s">
        <v>3743</v>
      </c>
    </row>
    <row r="334" spans="1:7" x14ac:dyDescent="0.3">
      <c r="A334" s="81" t="s">
        <v>1460</v>
      </c>
      <c r="B334" s="81" t="s">
        <v>3767</v>
      </c>
      <c r="C334" s="81" t="s">
        <v>16</v>
      </c>
      <c r="D334" s="81" t="s">
        <v>18</v>
      </c>
      <c r="E334" s="81" t="s">
        <v>380</v>
      </c>
      <c r="F334" s="81" t="s">
        <v>1463</v>
      </c>
      <c r="G334" s="81" t="s">
        <v>3744</v>
      </c>
    </row>
    <row r="335" spans="1:7" x14ac:dyDescent="0.3">
      <c r="A335" s="81" t="s">
        <v>1464</v>
      </c>
      <c r="B335" s="81" t="s">
        <v>3767</v>
      </c>
      <c r="C335" s="81" t="s">
        <v>20</v>
      </c>
      <c r="D335" s="81" t="s">
        <v>18</v>
      </c>
      <c r="E335" s="81" t="s">
        <v>15</v>
      </c>
      <c r="F335" s="81" t="s">
        <v>1465</v>
      </c>
      <c r="G335" s="81" t="s">
        <v>1033</v>
      </c>
    </row>
    <row r="336" spans="1:7" x14ac:dyDescent="0.3">
      <c r="A336" s="81" t="s">
        <v>1464</v>
      </c>
      <c r="B336" s="81" t="s">
        <v>3767</v>
      </c>
      <c r="C336" s="81" t="s">
        <v>16</v>
      </c>
      <c r="D336" s="81" t="s">
        <v>18</v>
      </c>
      <c r="E336" s="81" t="s">
        <v>369</v>
      </c>
      <c r="F336" s="81" t="s">
        <v>1465</v>
      </c>
      <c r="G336" s="81" t="s">
        <v>3729</v>
      </c>
    </row>
    <row r="337" spans="1:7" x14ac:dyDescent="0.3">
      <c r="A337" s="81" t="s">
        <v>1464</v>
      </c>
      <c r="B337" s="81" t="s">
        <v>3767</v>
      </c>
      <c r="C337" s="81" t="s">
        <v>16</v>
      </c>
      <c r="D337" s="81" t="s">
        <v>18</v>
      </c>
      <c r="E337" s="81" t="s">
        <v>382</v>
      </c>
      <c r="F337" s="81" t="s">
        <v>1465</v>
      </c>
      <c r="G337" s="81" t="s">
        <v>3730</v>
      </c>
    </row>
    <row r="338" spans="1:7" x14ac:dyDescent="0.3">
      <c r="A338" s="81" t="s">
        <v>1464</v>
      </c>
      <c r="B338" s="81" t="s">
        <v>3767</v>
      </c>
      <c r="C338" s="81" t="s">
        <v>16</v>
      </c>
      <c r="D338" s="81" t="s">
        <v>18</v>
      </c>
      <c r="E338" s="81" t="s">
        <v>370</v>
      </c>
      <c r="F338" s="81" t="s">
        <v>1465</v>
      </c>
      <c r="G338" s="81" t="s">
        <v>3731</v>
      </c>
    </row>
    <row r="339" spans="1:7" x14ac:dyDescent="0.3">
      <c r="A339" s="81" t="s">
        <v>1464</v>
      </c>
      <c r="B339" s="81" t="s">
        <v>3767</v>
      </c>
      <c r="C339" s="81" t="s">
        <v>16</v>
      </c>
      <c r="D339" s="81" t="s">
        <v>18</v>
      </c>
      <c r="E339" s="81" t="s">
        <v>378</v>
      </c>
      <c r="F339" s="81" t="s">
        <v>1465</v>
      </c>
      <c r="G339" s="81" t="s">
        <v>3732</v>
      </c>
    </row>
    <row r="340" spans="1:7" x14ac:dyDescent="0.3">
      <c r="A340" s="81" t="s">
        <v>1464</v>
      </c>
      <c r="B340" s="81" t="s">
        <v>3767</v>
      </c>
      <c r="C340" s="81" t="s">
        <v>16</v>
      </c>
      <c r="D340" s="81" t="s">
        <v>18</v>
      </c>
      <c r="E340" s="81" t="s">
        <v>371</v>
      </c>
      <c r="F340" s="81" t="s">
        <v>1465</v>
      </c>
      <c r="G340" s="81" t="s">
        <v>3733</v>
      </c>
    </row>
    <row r="341" spans="1:7" x14ac:dyDescent="0.3">
      <c r="A341" s="81" t="s">
        <v>1464</v>
      </c>
      <c r="B341" s="81" t="s">
        <v>3767</v>
      </c>
      <c r="C341" s="81" t="s">
        <v>16</v>
      </c>
      <c r="D341" s="81" t="s">
        <v>18</v>
      </c>
      <c r="E341" s="81" t="s">
        <v>376</v>
      </c>
      <c r="F341" s="81" t="s">
        <v>1465</v>
      </c>
      <c r="G341" s="81" t="s">
        <v>3734</v>
      </c>
    </row>
    <row r="342" spans="1:7" x14ac:dyDescent="0.3">
      <c r="A342" s="81" t="s">
        <v>1464</v>
      </c>
      <c r="B342" s="81" t="s">
        <v>3767</v>
      </c>
      <c r="C342" s="81" t="s">
        <v>16</v>
      </c>
      <c r="D342" s="81" t="s">
        <v>18</v>
      </c>
      <c r="E342" s="81" t="s">
        <v>377</v>
      </c>
      <c r="F342" s="81" t="s">
        <v>1465</v>
      </c>
      <c r="G342" s="81" t="s">
        <v>3735</v>
      </c>
    </row>
    <row r="343" spans="1:7" x14ac:dyDescent="0.3">
      <c r="A343" s="81" t="s">
        <v>1464</v>
      </c>
      <c r="B343" s="81" t="s">
        <v>3767</v>
      </c>
      <c r="C343" s="81" t="s">
        <v>16</v>
      </c>
      <c r="D343" s="81" t="s">
        <v>18</v>
      </c>
      <c r="E343" s="81" t="s">
        <v>381</v>
      </c>
      <c r="F343" s="81" t="s">
        <v>1465</v>
      </c>
      <c r="G343" s="81" t="s">
        <v>3736</v>
      </c>
    </row>
    <row r="344" spans="1:7" x14ac:dyDescent="0.3">
      <c r="A344" s="81" t="s">
        <v>1464</v>
      </c>
      <c r="B344" s="81" t="s">
        <v>3767</v>
      </c>
      <c r="C344" s="81" t="s">
        <v>16</v>
      </c>
      <c r="D344" s="81" t="s">
        <v>18</v>
      </c>
      <c r="E344" s="81" t="s">
        <v>379</v>
      </c>
      <c r="F344" s="81" t="s">
        <v>1465</v>
      </c>
      <c r="G344" s="81" t="s">
        <v>3737</v>
      </c>
    </row>
    <row r="345" spans="1:7" x14ac:dyDescent="0.3">
      <c r="A345" s="81" t="s">
        <v>1464</v>
      </c>
      <c r="B345" s="81" t="s">
        <v>3767</v>
      </c>
      <c r="C345" s="81" t="s">
        <v>16</v>
      </c>
      <c r="D345" s="81" t="s">
        <v>18</v>
      </c>
      <c r="E345" s="81" t="s">
        <v>374</v>
      </c>
      <c r="F345" s="81" t="s">
        <v>1465</v>
      </c>
      <c r="G345" s="81" t="s">
        <v>3738</v>
      </c>
    </row>
    <row r="346" spans="1:7" x14ac:dyDescent="0.3">
      <c r="A346" s="81" t="s">
        <v>1464</v>
      </c>
      <c r="B346" s="81" t="s">
        <v>3767</v>
      </c>
      <c r="C346" s="81" t="s">
        <v>16</v>
      </c>
      <c r="D346" s="81" t="s">
        <v>18</v>
      </c>
      <c r="E346" s="81" t="s">
        <v>383</v>
      </c>
      <c r="F346" s="81" t="s">
        <v>1465</v>
      </c>
      <c r="G346" s="81" t="s">
        <v>3739</v>
      </c>
    </row>
    <row r="347" spans="1:7" x14ac:dyDescent="0.3">
      <c r="A347" s="81" t="s">
        <v>1464</v>
      </c>
      <c r="B347" s="81" t="s">
        <v>3767</v>
      </c>
      <c r="C347" s="81" t="s">
        <v>16</v>
      </c>
      <c r="D347" s="81" t="s">
        <v>18</v>
      </c>
      <c r="E347" s="81" t="s">
        <v>373</v>
      </c>
      <c r="F347" s="81" t="s">
        <v>1465</v>
      </c>
      <c r="G347" s="81" t="s">
        <v>3740</v>
      </c>
    </row>
    <row r="348" spans="1:7" x14ac:dyDescent="0.3">
      <c r="A348" s="81" t="s">
        <v>1464</v>
      </c>
      <c r="B348" s="81" t="s">
        <v>3767</v>
      </c>
      <c r="C348" s="81" t="s">
        <v>16</v>
      </c>
      <c r="D348" s="81" t="s">
        <v>18</v>
      </c>
      <c r="E348" s="81" t="s">
        <v>368</v>
      </c>
      <c r="F348" s="81" t="s">
        <v>1465</v>
      </c>
      <c r="G348" s="81" t="s">
        <v>3741</v>
      </c>
    </row>
    <row r="349" spans="1:7" x14ac:dyDescent="0.3">
      <c r="A349" s="81" t="s">
        <v>1464</v>
      </c>
      <c r="B349" s="81" t="s">
        <v>3767</v>
      </c>
      <c r="C349" s="81" t="s">
        <v>16</v>
      </c>
      <c r="D349" s="81" t="s">
        <v>18</v>
      </c>
      <c r="E349" s="81" t="s">
        <v>372</v>
      </c>
      <c r="F349" s="81" t="s">
        <v>1465</v>
      </c>
      <c r="G349" s="81" t="s">
        <v>3742</v>
      </c>
    </row>
    <row r="350" spans="1:7" x14ac:dyDescent="0.3">
      <c r="A350" s="81" t="s">
        <v>1464</v>
      </c>
      <c r="B350" s="81" t="s">
        <v>3767</v>
      </c>
      <c r="C350" s="81" t="s">
        <v>16</v>
      </c>
      <c r="D350" s="81" t="s">
        <v>18</v>
      </c>
      <c r="E350" s="81" t="s">
        <v>375</v>
      </c>
      <c r="F350" s="81" t="s">
        <v>1465</v>
      </c>
      <c r="G350" s="81" t="s">
        <v>3743</v>
      </c>
    </row>
    <row r="351" spans="1:7" x14ac:dyDescent="0.3">
      <c r="A351" s="81" t="s">
        <v>1464</v>
      </c>
      <c r="B351" s="81" t="s">
        <v>3767</v>
      </c>
      <c r="C351" s="81" t="s">
        <v>16</v>
      </c>
      <c r="D351" s="81" t="s">
        <v>18</v>
      </c>
      <c r="E351" s="81" t="s">
        <v>380</v>
      </c>
      <c r="F351" s="81" t="s">
        <v>1465</v>
      </c>
      <c r="G351" s="81" t="s">
        <v>3744</v>
      </c>
    </row>
    <row r="352" spans="1:7" x14ac:dyDescent="0.3">
      <c r="A352" s="81" t="s">
        <v>1468</v>
      </c>
      <c r="B352" s="81" t="s">
        <v>4685</v>
      </c>
      <c r="C352" s="81" t="s">
        <v>20</v>
      </c>
      <c r="D352" s="81" t="s">
        <v>16</v>
      </c>
      <c r="E352" s="81" t="s">
        <v>15</v>
      </c>
      <c r="F352" s="81" t="s">
        <v>1472</v>
      </c>
      <c r="G352" s="81" t="s">
        <v>855</v>
      </c>
    </row>
    <row r="353" spans="1:7" x14ac:dyDescent="0.3">
      <c r="A353" s="81" t="s">
        <v>1468</v>
      </c>
      <c r="B353" s="81" t="s">
        <v>4685</v>
      </c>
      <c r="C353" s="81" t="s">
        <v>20</v>
      </c>
      <c r="D353" s="81" t="s">
        <v>16</v>
      </c>
      <c r="E353" s="81" t="s">
        <v>15</v>
      </c>
      <c r="F353" s="81" t="s">
        <v>3930</v>
      </c>
      <c r="G353" s="81" t="s">
        <v>855</v>
      </c>
    </row>
    <row r="354" spans="1:7" x14ac:dyDescent="0.3">
      <c r="A354" s="81" t="s">
        <v>1468</v>
      </c>
      <c r="B354" s="81" t="s">
        <v>4685</v>
      </c>
      <c r="C354" s="81" t="s">
        <v>20</v>
      </c>
      <c r="D354" s="81" t="s">
        <v>3950</v>
      </c>
      <c r="E354" s="81" t="s">
        <v>15</v>
      </c>
      <c r="F354" s="81" t="s">
        <v>3971</v>
      </c>
      <c r="G354" s="81" t="s">
        <v>1033</v>
      </c>
    </row>
    <row r="355" spans="1:7" x14ac:dyDescent="0.3">
      <c r="A355" s="81" t="s">
        <v>1468</v>
      </c>
      <c r="B355" s="81" t="s">
        <v>4685</v>
      </c>
      <c r="C355" s="81" t="s">
        <v>16</v>
      </c>
      <c r="D355" s="81" t="s">
        <v>404</v>
      </c>
      <c r="E355" s="81" t="s">
        <v>369</v>
      </c>
      <c r="F355" s="81" t="s">
        <v>1472</v>
      </c>
      <c r="G355" s="81" t="s">
        <v>3745</v>
      </c>
    </row>
    <row r="356" spans="1:7" x14ac:dyDescent="0.3">
      <c r="A356" s="81" t="s">
        <v>1468</v>
      </c>
      <c r="B356" s="81" t="s">
        <v>4685</v>
      </c>
      <c r="C356" s="81" t="s">
        <v>16</v>
      </c>
      <c r="D356" s="81" t="s">
        <v>404</v>
      </c>
      <c r="E356" s="81" t="s">
        <v>369</v>
      </c>
      <c r="F356" s="81" t="s">
        <v>3930</v>
      </c>
      <c r="G356" s="81" t="s">
        <v>3745</v>
      </c>
    </row>
    <row r="357" spans="1:7" x14ac:dyDescent="0.3">
      <c r="A357" s="81" t="s">
        <v>1468</v>
      </c>
      <c r="B357" s="81" t="s">
        <v>4685</v>
      </c>
      <c r="C357" s="81" t="s">
        <v>16</v>
      </c>
      <c r="D357" s="81" t="s">
        <v>404</v>
      </c>
      <c r="E357" s="81" t="s">
        <v>382</v>
      </c>
      <c r="F357" s="81" t="s">
        <v>1472</v>
      </c>
      <c r="G357" s="81" t="s">
        <v>3746</v>
      </c>
    </row>
    <row r="358" spans="1:7" x14ac:dyDescent="0.3">
      <c r="A358" s="81" t="s">
        <v>1468</v>
      </c>
      <c r="B358" s="81" t="s">
        <v>4685</v>
      </c>
      <c r="C358" s="81" t="s">
        <v>16</v>
      </c>
      <c r="D358" s="81" t="s">
        <v>404</v>
      </c>
      <c r="E358" s="81" t="s">
        <v>382</v>
      </c>
      <c r="F358" s="81" t="s">
        <v>3930</v>
      </c>
      <c r="G358" s="81" t="s">
        <v>3746</v>
      </c>
    </row>
    <row r="359" spans="1:7" x14ac:dyDescent="0.3">
      <c r="A359" s="81" t="s">
        <v>1468</v>
      </c>
      <c r="B359" s="81" t="s">
        <v>4685</v>
      </c>
      <c r="C359" s="81" t="s">
        <v>16</v>
      </c>
      <c r="D359" s="81" t="s">
        <v>404</v>
      </c>
      <c r="E359" s="81" t="s">
        <v>370</v>
      </c>
      <c r="F359" s="81" t="s">
        <v>1472</v>
      </c>
      <c r="G359" s="81" t="s">
        <v>3747</v>
      </c>
    </row>
    <row r="360" spans="1:7" x14ac:dyDescent="0.3">
      <c r="A360" s="81" t="s">
        <v>1468</v>
      </c>
      <c r="B360" s="81" t="s">
        <v>4685</v>
      </c>
      <c r="C360" s="81" t="s">
        <v>16</v>
      </c>
      <c r="D360" s="81" t="s">
        <v>404</v>
      </c>
      <c r="E360" s="81" t="s">
        <v>370</v>
      </c>
      <c r="F360" s="81" t="s">
        <v>3930</v>
      </c>
      <c r="G360" s="81" t="s">
        <v>3747</v>
      </c>
    </row>
    <row r="361" spans="1:7" x14ac:dyDescent="0.3">
      <c r="A361" s="81" t="s">
        <v>1468</v>
      </c>
      <c r="B361" s="81" t="s">
        <v>4685</v>
      </c>
      <c r="C361" s="81" t="s">
        <v>16</v>
      </c>
      <c r="D361" s="81" t="s">
        <v>404</v>
      </c>
      <c r="E361" s="81" t="s">
        <v>378</v>
      </c>
      <c r="F361" s="81" t="s">
        <v>1472</v>
      </c>
      <c r="G361" s="81" t="s">
        <v>3748</v>
      </c>
    </row>
    <row r="362" spans="1:7" x14ac:dyDescent="0.3">
      <c r="A362" s="81" t="s">
        <v>1468</v>
      </c>
      <c r="B362" s="81" t="s">
        <v>4685</v>
      </c>
      <c r="C362" s="81" t="s">
        <v>16</v>
      </c>
      <c r="D362" s="81" t="s">
        <v>404</v>
      </c>
      <c r="E362" s="81" t="s">
        <v>378</v>
      </c>
      <c r="F362" s="81" t="s">
        <v>3930</v>
      </c>
      <c r="G362" s="81" t="s">
        <v>3748</v>
      </c>
    </row>
    <row r="363" spans="1:7" x14ac:dyDescent="0.3">
      <c r="A363" s="81" t="s">
        <v>1468</v>
      </c>
      <c r="B363" s="81" t="s">
        <v>4685</v>
      </c>
      <c r="C363" s="81" t="s">
        <v>16</v>
      </c>
      <c r="D363" s="81" t="s">
        <v>404</v>
      </c>
      <c r="E363" s="81" t="s">
        <v>371</v>
      </c>
      <c r="F363" s="81" t="s">
        <v>1472</v>
      </c>
      <c r="G363" s="81" t="s">
        <v>3749</v>
      </c>
    </row>
    <row r="364" spans="1:7" x14ac:dyDescent="0.3">
      <c r="A364" s="81" t="s">
        <v>1468</v>
      </c>
      <c r="B364" s="81" t="s">
        <v>4685</v>
      </c>
      <c r="C364" s="81" t="s">
        <v>16</v>
      </c>
      <c r="D364" s="81" t="s">
        <v>404</v>
      </c>
      <c r="E364" s="81" t="s">
        <v>371</v>
      </c>
      <c r="F364" s="81" t="s">
        <v>3930</v>
      </c>
      <c r="G364" s="81" t="s">
        <v>3749</v>
      </c>
    </row>
    <row r="365" spans="1:7" x14ac:dyDescent="0.3">
      <c r="A365" s="81" t="s">
        <v>1468</v>
      </c>
      <c r="B365" s="81" t="s">
        <v>4685</v>
      </c>
      <c r="C365" s="81" t="s">
        <v>16</v>
      </c>
      <c r="D365" s="81" t="s">
        <v>404</v>
      </c>
      <c r="E365" s="81" t="s">
        <v>376</v>
      </c>
      <c r="F365" s="81" t="s">
        <v>1472</v>
      </c>
      <c r="G365" s="81" t="s">
        <v>3750</v>
      </c>
    </row>
    <row r="366" spans="1:7" x14ac:dyDescent="0.3">
      <c r="A366" s="81" t="s">
        <v>1468</v>
      </c>
      <c r="B366" s="81" t="s">
        <v>4685</v>
      </c>
      <c r="C366" s="81" t="s">
        <v>16</v>
      </c>
      <c r="D366" s="81" t="s">
        <v>404</v>
      </c>
      <c r="E366" s="81" t="s">
        <v>376</v>
      </c>
      <c r="F366" s="81" t="s">
        <v>3930</v>
      </c>
      <c r="G366" s="81" t="s">
        <v>3750</v>
      </c>
    </row>
    <row r="367" spans="1:7" x14ac:dyDescent="0.3">
      <c r="A367" s="81" t="s">
        <v>1468</v>
      </c>
      <c r="B367" s="81" t="s">
        <v>4685</v>
      </c>
      <c r="C367" s="81" t="s">
        <v>16</v>
      </c>
      <c r="D367" s="81" t="s">
        <v>404</v>
      </c>
      <c r="E367" s="81" t="s">
        <v>377</v>
      </c>
      <c r="F367" s="81" t="s">
        <v>1472</v>
      </c>
      <c r="G367" s="81" t="s">
        <v>3751</v>
      </c>
    </row>
    <row r="368" spans="1:7" x14ac:dyDescent="0.3">
      <c r="A368" s="81" t="s">
        <v>1468</v>
      </c>
      <c r="B368" s="81" t="s">
        <v>4685</v>
      </c>
      <c r="C368" s="81" t="s">
        <v>16</v>
      </c>
      <c r="D368" s="81" t="s">
        <v>404</v>
      </c>
      <c r="E368" s="81" t="s">
        <v>377</v>
      </c>
      <c r="F368" s="81" t="s">
        <v>3930</v>
      </c>
      <c r="G368" s="81" t="s">
        <v>3751</v>
      </c>
    </row>
    <row r="369" spans="1:7" x14ac:dyDescent="0.3">
      <c r="A369" s="81" t="s">
        <v>1468</v>
      </c>
      <c r="B369" s="81" t="s">
        <v>4685</v>
      </c>
      <c r="C369" s="81" t="s">
        <v>16</v>
      </c>
      <c r="D369" s="81" t="s">
        <v>404</v>
      </c>
      <c r="E369" s="81" t="s">
        <v>381</v>
      </c>
      <c r="F369" s="81" t="s">
        <v>1472</v>
      </c>
      <c r="G369" s="81" t="s">
        <v>3752</v>
      </c>
    </row>
    <row r="370" spans="1:7" x14ac:dyDescent="0.3">
      <c r="A370" s="81" t="s">
        <v>1468</v>
      </c>
      <c r="B370" s="81" t="s">
        <v>4685</v>
      </c>
      <c r="C370" s="81" t="s">
        <v>16</v>
      </c>
      <c r="D370" s="81" t="s">
        <v>404</v>
      </c>
      <c r="E370" s="81" t="s">
        <v>381</v>
      </c>
      <c r="F370" s="81" t="s">
        <v>3930</v>
      </c>
      <c r="G370" s="81" t="s">
        <v>3752</v>
      </c>
    </row>
    <row r="371" spans="1:7" x14ac:dyDescent="0.3">
      <c r="A371" s="81" t="s">
        <v>1468</v>
      </c>
      <c r="B371" s="81" t="s">
        <v>4685</v>
      </c>
      <c r="C371" s="81" t="s">
        <v>16</v>
      </c>
      <c r="D371" s="81" t="s">
        <v>404</v>
      </c>
      <c r="E371" s="81" t="s">
        <v>379</v>
      </c>
      <c r="F371" s="81" t="s">
        <v>1472</v>
      </c>
      <c r="G371" s="81" t="s">
        <v>3753</v>
      </c>
    </row>
    <row r="372" spans="1:7" x14ac:dyDescent="0.3">
      <c r="A372" s="81" t="s">
        <v>1468</v>
      </c>
      <c r="B372" s="81" t="s">
        <v>4685</v>
      </c>
      <c r="C372" s="81" t="s">
        <v>16</v>
      </c>
      <c r="D372" s="81" t="s">
        <v>404</v>
      </c>
      <c r="E372" s="81" t="s">
        <v>379</v>
      </c>
      <c r="F372" s="81" t="s">
        <v>3930</v>
      </c>
      <c r="G372" s="81" t="s">
        <v>3753</v>
      </c>
    </row>
    <row r="373" spans="1:7" x14ac:dyDescent="0.3">
      <c r="A373" s="81" t="s">
        <v>1468</v>
      </c>
      <c r="B373" s="81" t="s">
        <v>4685</v>
      </c>
      <c r="C373" s="81" t="s">
        <v>16</v>
      </c>
      <c r="D373" s="81" t="s">
        <v>404</v>
      </c>
      <c r="E373" s="81" t="s">
        <v>374</v>
      </c>
      <c r="F373" s="81" t="s">
        <v>1472</v>
      </c>
      <c r="G373" s="81" t="s">
        <v>3754</v>
      </c>
    </row>
    <row r="374" spans="1:7" x14ac:dyDescent="0.3">
      <c r="A374" s="81" t="s">
        <v>1468</v>
      </c>
      <c r="B374" s="81" t="s">
        <v>4685</v>
      </c>
      <c r="C374" s="81" t="s">
        <v>16</v>
      </c>
      <c r="D374" s="81" t="s">
        <v>404</v>
      </c>
      <c r="E374" s="81" t="s">
        <v>374</v>
      </c>
      <c r="F374" s="81" t="s">
        <v>3930</v>
      </c>
      <c r="G374" s="81" t="s">
        <v>3754</v>
      </c>
    </row>
    <row r="375" spans="1:7" x14ac:dyDescent="0.3">
      <c r="A375" s="81" t="s">
        <v>1468</v>
      </c>
      <c r="B375" s="81" t="s">
        <v>4685</v>
      </c>
      <c r="C375" s="81" t="s">
        <v>16</v>
      </c>
      <c r="D375" s="81" t="s">
        <v>404</v>
      </c>
      <c r="E375" s="81" t="s">
        <v>383</v>
      </c>
      <c r="F375" s="81" t="s">
        <v>1472</v>
      </c>
      <c r="G375" s="81" t="s">
        <v>3755</v>
      </c>
    </row>
    <row r="376" spans="1:7" x14ac:dyDescent="0.3">
      <c r="A376" s="81" t="s">
        <v>1468</v>
      </c>
      <c r="B376" s="81" t="s">
        <v>4685</v>
      </c>
      <c r="C376" s="81" t="s">
        <v>16</v>
      </c>
      <c r="D376" s="81" t="s">
        <v>404</v>
      </c>
      <c r="E376" s="81" t="s">
        <v>383</v>
      </c>
      <c r="F376" s="81" t="s">
        <v>3930</v>
      </c>
      <c r="G376" s="81" t="s">
        <v>3755</v>
      </c>
    </row>
    <row r="377" spans="1:7" x14ac:dyDescent="0.3">
      <c r="A377" s="81" t="s">
        <v>1468</v>
      </c>
      <c r="B377" s="81" t="s">
        <v>4685</v>
      </c>
      <c r="C377" s="81" t="s">
        <v>16</v>
      </c>
      <c r="D377" s="81" t="s">
        <v>404</v>
      </c>
      <c r="E377" s="81" t="s">
        <v>373</v>
      </c>
      <c r="F377" s="81" t="s">
        <v>1472</v>
      </c>
      <c r="G377" s="81" t="s">
        <v>3756</v>
      </c>
    </row>
    <row r="378" spans="1:7" x14ac:dyDescent="0.3">
      <c r="A378" s="81" t="s">
        <v>1468</v>
      </c>
      <c r="B378" s="81" t="s">
        <v>4685</v>
      </c>
      <c r="C378" s="81" t="s">
        <v>16</v>
      </c>
      <c r="D378" s="81" t="s">
        <v>404</v>
      </c>
      <c r="E378" s="81" t="s">
        <v>373</v>
      </c>
      <c r="F378" s="81" t="s">
        <v>3930</v>
      </c>
      <c r="G378" s="81" t="s">
        <v>3756</v>
      </c>
    </row>
    <row r="379" spans="1:7" x14ac:dyDescent="0.3">
      <c r="A379" s="81" t="s">
        <v>1468</v>
      </c>
      <c r="B379" s="81" t="s">
        <v>4685</v>
      </c>
      <c r="C379" s="81" t="s">
        <v>16</v>
      </c>
      <c r="D379" s="81" t="s">
        <v>404</v>
      </c>
      <c r="E379" s="81" t="s">
        <v>368</v>
      </c>
      <c r="F379" s="81" t="s">
        <v>1472</v>
      </c>
      <c r="G379" s="81" t="s">
        <v>3757</v>
      </c>
    </row>
    <row r="380" spans="1:7" x14ac:dyDescent="0.3">
      <c r="A380" s="81" t="s">
        <v>1468</v>
      </c>
      <c r="B380" s="81" t="s">
        <v>4685</v>
      </c>
      <c r="C380" s="81" t="s">
        <v>16</v>
      </c>
      <c r="D380" s="81" t="s">
        <v>404</v>
      </c>
      <c r="E380" s="81" t="s">
        <v>368</v>
      </c>
      <c r="F380" s="81" t="s">
        <v>3930</v>
      </c>
      <c r="G380" s="81" t="s">
        <v>3757</v>
      </c>
    </row>
    <row r="381" spans="1:7" x14ac:dyDescent="0.3">
      <c r="A381" s="81" t="s">
        <v>1468</v>
      </c>
      <c r="B381" s="81" t="s">
        <v>4685</v>
      </c>
      <c r="C381" s="81" t="s">
        <v>16</v>
      </c>
      <c r="D381" s="81" t="s">
        <v>404</v>
      </c>
      <c r="E381" s="81" t="s">
        <v>372</v>
      </c>
      <c r="F381" s="81" t="s">
        <v>1472</v>
      </c>
      <c r="G381" s="81" t="s">
        <v>3758</v>
      </c>
    </row>
    <row r="382" spans="1:7" x14ac:dyDescent="0.3">
      <c r="A382" s="81" t="s">
        <v>1468</v>
      </c>
      <c r="B382" s="81" t="s">
        <v>4685</v>
      </c>
      <c r="C382" s="81" t="s">
        <v>16</v>
      </c>
      <c r="D382" s="81" t="s">
        <v>404</v>
      </c>
      <c r="E382" s="81" t="s">
        <v>372</v>
      </c>
      <c r="F382" s="81" t="s">
        <v>3930</v>
      </c>
      <c r="G382" s="81" t="s">
        <v>3758</v>
      </c>
    </row>
    <row r="383" spans="1:7" x14ac:dyDescent="0.3">
      <c r="A383" s="81" t="s">
        <v>1468</v>
      </c>
      <c r="B383" s="81" t="s">
        <v>4685</v>
      </c>
      <c r="C383" s="81" t="s">
        <v>16</v>
      </c>
      <c r="D383" s="81" t="s">
        <v>404</v>
      </c>
      <c r="E383" s="81" t="s">
        <v>375</v>
      </c>
      <c r="F383" s="81" t="s">
        <v>1472</v>
      </c>
      <c r="G383" s="81" t="s">
        <v>3759</v>
      </c>
    </row>
    <row r="384" spans="1:7" x14ac:dyDescent="0.3">
      <c r="A384" s="81" t="s">
        <v>1468</v>
      </c>
      <c r="B384" s="81" t="s">
        <v>4685</v>
      </c>
      <c r="C384" s="81" t="s">
        <v>16</v>
      </c>
      <c r="D384" s="81" t="s">
        <v>404</v>
      </c>
      <c r="E384" s="81" t="s">
        <v>375</v>
      </c>
      <c r="F384" s="81" t="s">
        <v>3930</v>
      </c>
      <c r="G384" s="81" t="s">
        <v>3759</v>
      </c>
    </row>
    <row r="385" spans="1:7" x14ac:dyDescent="0.3">
      <c r="A385" s="81" t="s">
        <v>1468</v>
      </c>
      <c r="B385" s="81" t="s">
        <v>4685</v>
      </c>
      <c r="C385" s="81" t="s">
        <v>16</v>
      </c>
      <c r="D385" s="81" t="s">
        <v>404</v>
      </c>
      <c r="E385" s="81" t="s">
        <v>380</v>
      </c>
      <c r="F385" s="81" t="s">
        <v>1472</v>
      </c>
      <c r="G385" s="81" t="s">
        <v>3760</v>
      </c>
    </row>
    <row r="386" spans="1:7" x14ac:dyDescent="0.3">
      <c r="A386" s="81" t="s">
        <v>1468</v>
      </c>
      <c r="B386" s="81" t="s">
        <v>4685</v>
      </c>
      <c r="C386" s="81" t="s">
        <v>16</v>
      </c>
      <c r="D386" s="81" t="s">
        <v>404</v>
      </c>
      <c r="E386" s="81" t="s">
        <v>380</v>
      </c>
      <c r="F386" s="81" t="s">
        <v>3930</v>
      </c>
      <c r="G386" s="81" t="s">
        <v>3760</v>
      </c>
    </row>
    <row r="387" spans="1:7" x14ac:dyDescent="0.3">
      <c r="A387" s="81" t="s">
        <v>1468</v>
      </c>
      <c r="B387" s="81" t="s">
        <v>4685</v>
      </c>
      <c r="C387" s="81" t="s">
        <v>16</v>
      </c>
      <c r="D387" s="81" t="s">
        <v>3974</v>
      </c>
      <c r="E387" s="81" t="s">
        <v>369</v>
      </c>
      <c r="F387" s="81" t="s">
        <v>3971</v>
      </c>
      <c r="G387" s="81" t="s">
        <v>3729</v>
      </c>
    </row>
    <row r="388" spans="1:7" x14ac:dyDescent="0.3">
      <c r="A388" s="81" t="s">
        <v>1468</v>
      </c>
      <c r="B388" s="81" t="s">
        <v>4685</v>
      </c>
      <c r="C388" s="81" t="s">
        <v>16</v>
      </c>
      <c r="D388" s="81" t="s">
        <v>3974</v>
      </c>
      <c r="E388" s="81" t="s">
        <v>382</v>
      </c>
      <c r="F388" s="81" t="s">
        <v>3971</v>
      </c>
      <c r="G388" s="81" t="s">
        <v>3730</v>
      </c>
    </row>
    <row r="389" spans="1:7" x14ac:dyDescent="0.3">
      <c r="A389" s="81" t="s">
        <v>1468</v>
      </c>
      <c r="B389" s="81" t="s">
        <v>4685</v>
      </c>
      <c r="C389" s="81" t="s">
        <v>16</v>
      </c>
      <c r="D389" s="81" t="s">
        <v>3974</v>
      </c>
      <c r="E389" s="81" t="s">
        <v>370</v>
      </c>
      <c r="F389" s="81" t="s">
        <v>3971</v>
      </c>
      <c r="G389" s="81" t="s">
        <v>3731</v>
      </c>
    </row>
    <row r="390" spans="1:7" x14ac:dyDescent="0.3">
      <c r="A390" s="81" t="s">
        <v>1468</v>
      </c>
      <c r="B390" s="81" t="s">
        <v>4685</v>
      </c>
      <c r="C390" s="81" t="s">
        <v>16</v>
      </c>
      <c r="D390" s="81" t="s">
        <v>3974</v>
      </c>
      <c r="E390" s="81" t="s">
        <v>378</v>
      </c>
      <c r="F390" s="81" t="s">
        <v>3971</v>
      </c>
      <c r="G390" s="81" t="s">
        <v>3732</v>
      </c>
    </row>
    <row r="391" spans="1:7" x14ac:dyDescent="0.3">
      <c r="A391" s="81" t="s">
        <v>1468</v>
      </c>
      <c r="B391" s="81" t="s">
        <v>4685</v>
      </c>
      <c r="C391" s="81" t="s">
        <v>16</v>
      </c>
      <c r="D391" s="81" t="s">
        <v>3974</v>
      </c>
      <c r="E391" s="81" t="s">
        <v>371</v>
      </c>
      <c r="F391" s="81" t="s">
        <v>3971</v>
      </c>
      <c r="G391" s="81" t="s">
        <v>3733</v>
      </c>
    </row>
    <row r="392" spans="1:7" x14ac:dyDescent="0.3">
      <c r="A392" s="81" t="s">
        <v>1468</v>
      </c>
      <c r="B392" s="81" t="s">
        <v>4685</v>
      </c>
      <c r="C392" s="81" t="s">
        <v>16</v>
      </c>
      <c r="D392" s="81" t="s">
        <v>3974</v>
      </c>
      <c r="E392" s="81" t="s">
        <v>376</v>
      </c>
      <c r="F392" s="81" t="s">
        <v>3971</v>
      </c>
      <c r="G392" s="81" t="s">
        <v>3734</v>
      </c>
    </row>
    <row r="393" spans="1:7" x14ac:dyDescent="0.3">
      <c r="A393" s="81" t="s">
        <v>1468</v>
      </c>
      <c r="B393" s="81" t="s">
        <v>4685</v>
      </c>
      <c r="C393" s="81" t="s">
        <v>16</v>
      </c>
      <c r="D393" s="81" t="s">
        <v>3974</v>
      </c>
      <c r="E393" s="81" t="s">
        <v>377</v>
      </c>
      <c r="F393" s="81" t="s">
        <v>3971</v>
      </c>
      <c r="G393" s="81" t="s">
        <v>3735</v>
      </c>
    </row>
    <row r="394" spans="1:7" x14ac:dyDescent="0.3">
      <c r="A394" s="81" t="s">
        <v>1468</v>
      </c>
      <c r="B394" s="81" t="s">
        <v>4685</v>
      </c>
      <c r="C394" s="81" t="s">
        <v>16</v>
      </c>
      <c r="D394" s="81" t="s">
        <v>3974</v>
      </c>
      <c r="E394" s="81" t="s">
        <v>381</v>
      </c>
      <c r="F394" s="81" t="s">
        <v>3971</v>
      </c>
      <c r="G394" s="81" t="s">
        <v>3736</v>
      </c>
    </row>
    <row r="395" spans="1:7" x14ac:dyDescent="0.3">
      <c r="A395" s="81" t="s">
        <v>1468</v>
      </c>
      <c r="B395" s="81" t="s">
        <v>4685</v>
      </c>
      <c r="C395" s="81" t="s">
        <v>16</v>
      </c>
      <c r="D395" s="81" t="s">
        <v>3974</v>
      </c>
      <c r="E395" s="81" t="s">
        <v>379</v>
      </c>
      <c r="F395" s="81" t="s">
        <v>3971</v>
      </c>
      <c r="G395" s="81" t="s">
        <v>3737</v>
      </c>
    </row>
    <row r="396" spans="1:7" x14ac:dyDescent="0.3">
      <c r="A396" s="81" t="s">
        <v>1468</v>
      </c>
      <c r="B396" s="81" t="s">
        <v>4685</v>
      </c>
      <c r="C396" s="81" t="s">
        <v>16</v>
      </c>
      <c r="D396" s="81" t="s">
        <v>3974</v>
      </c>
      <c r="E396" s="81" t="s">
        <v>374</v>
      </c>
      <c r="F396" s="81" t="s">
        <v>3971</v>
      </c>
      <c r="G396" s="81" t="s">
        <v>3738</v>
      </c>
    </row>
    <row r="397" spans="1:7" x14ac:dyDescent="0.3">
      <c r="A397" s="81" t="s">
        <v>1468</v>
      </c>
      <c r="B397" s="81" t="s">
        <v>4685</v>
      </c>
      <c r="C397" s="81" t="s">
        <v>16</v>
      </c>
      <c r="D397" s="81" t="s">
        <v>3974</v>
      </c>
      <c r="E397" s="81" t="s">
        <v>383</v>
      </c>
      <c r="F397" s="81" t="s">
        <v>3971</v>
      </c>
      <c r="G397" s="81" t="s">
        <v>3739</v>
      </c>
    </row>
    <row r="398" spans="1:7" x14ac:dyDescent="0.3">
      <c r="A398" s="81" t="s">
        <v>1468</v>
      </c>
      <c r="B398" s="81" t="s">
        <v>4685</v>
      </c>
      <c r="C398" s="81" t="s">
        <v>16</v>
      </c>
      <c r="D398" s="81" t="s">
        <v>3974</v>
      </c>
      <c r="E398" s="81" t="s">
        <v>373</v>
      </c>
      <c r="F398" s="81" t="s">
        <v>3971</v>
      </c>
      <c r="G398" s="81" t="s">
        <v>3740</v>
      </c>
    </row>
    <row r="399" spans="1:7" x14ac:dyDescent="0.3">
      <c r="A399" s="81" t="s">
        <v>1468</v>
      </c>
      <c r="B399" s="81" t="s">
        <v>4685</v>
      </c>
      <c r="C399" s="81" t="s">
        <v>16</v>
      </c>
      <c r="D399" s="81" t="s">
        <v>3974</v>
      </c>
      <c r="E399" s="81" t="s">
        <v>368</v>
      </c>
      <c r="F399" s="81" t="s">
        <v>3971</v>
      </c>
      <c r="G399" s="81" t="s">
        <v>3741</v>
      </c>
    </row>
    <row r="400" spans="1:7" x14ac:dyDescent="0.3">
      <c r="A400" s="81" t="s">
        <v>1468</v>
      </c>
      <c r="B400" s="81" t="s">
        <v>4685</v>
      </c>
      <c r="C400" s="81" t="s">
        <v>16</v>
      </c>
      <c r="D400" s="81" t="s">
        <v>3974</v>
      </c>
      <c r="E400" s="81" t="s">
        <v>372</v>
      </c>
      <c r="F400" s="81" t="s">
        <v>3971</v>
      </c>
      <c r="G400" s="81" t="s">
        <v>3742</v>
      </c>
    </row>
    <row r="401" spans="1:7" x14ac:dyDescent="0.3">
      <c r="A401" s="81" t="s">
        <v>1468</v>
      </c>
      <c r="B401" s="81" t="s">
        <v>4685</v>
      </c>
      <c r="C401" s="81" t="s">
        <v>16</v>
      </c>
      <c r="D401" s="81" t="s">
        <v>3974</v>
      </c>
      <c r="E401" s="81" t="s">
        <v>375</v>
      </c>
      <c r="F401" s="81" t="s">
        <v>3971</v>
      </c>
      <c r="G401" s="81" t="s">
        <v>3743</v>
      </c>
    </row>
    <row r="402" spans="1:7" x14ac:dyDescent="0.3">
      <c r="A402" s="81" t="s">
        <v>1468</v>
      </c>
      <c r="B402" s="81" t="s">
        <v>4685</v>
      </c>
      <c r="C402" s="81" t="s">
        <v>16</v>
      </c>
      <c r="D402" s="81" t="s">
        <v>3974</v>
      </c>
      <c r="E402" s="81" t="s">
        <v>380</v>
      </c>
      <c r="F402" s="81" t="s">
        <v>3971</v>
      </c>
      <c r="G402" s="81" t="s">
        <v>3744</v>
      </c>
    </row>
    <row r="403" spans="1:7" x14ac:dyDescent="0.3">
      <c r="A403" s="81" t="s">
        <v>1480</v>
      </c>
      <c r="B403" s="81" t="s">
        <v>3768</v>
      </c>
      <c r="C403" s="81" t="s">
        <v>20</v>
      </c>
      <c r="D403" s="81" t="s">
        <v>404</v>
      </c>
      <c r="E403" s="81" t="s">
        <v>15</v>
      </c>
      <c r="F403" s="81" t="s">
        <v>1476</v>
      </c>
      <c r="G403" s="81">
        <v>0</v>
      </c>
    </row>
    <row r="404" spans="1:7" x14ac:dyDescent="0.3">
      <c r="A404" s="81" t="s">
        <v>1480</v>
      </c>
      <c r="B404" s="81" t="s">
        <v>3768</v>
      </c>
      <c r="C404" s="81" t="s">
        <v>20</v>
      </c>
      <c r="D404" s="81" t="s">
        <v>404</v>
      </c>
      <c r="E404" s="81" t="s">
        <v>15</v>
      </c>
      <c r="F404" s="81" t="s">
        <v>1479</v>
      </c>
      <c r="G404" s="81">
        <v>0</v>
      </c>
    </row>
    <row r="405" spans="1:7" x14ac:dyDescent="0.3">
      <c r="A405" s="81" t="s">
        <v>1480</v>
      </c>
      <c r="B405" s="81" t="s">
        <v>3768</v>
      </c>
      <c r="C405" s="81" t="s">
        <v>20</v>
      </c>
      <c r="D405" s="81" t="s">
        <v>404</v>
      </c>
      <c r="E405" s="81" t="s">
        <v>15</v>
      </c>
      <c r="F405" s="81" t="s">
        <v>1483</v>
      </c>
      <c r="G405" s="81">
        <v>0</v>
      </c>
    </row>
    <row r="406" spans="1:7" x14ac:dyDescent="0.3">
      <c r="A406" s="81" t="s">
        <v>1480</v>
      </c>
      <c r="B406" s="81" t="s">
        <v>3768</v>
      </c>
      <c r="C406" s="81" t="s">
        <v>20</v>
      </c>
      <c r="D406" s="81" t="s">
        <v>404</v>
      </c>
      <c r="E406" s="81" t="s">
        <v>15</v>
      </c>
      <c r="F406" s="81" t="s">
        <v>1488</v>
      </c>
      <c r="G406" s="81">
        <v>0</v>
      </c>
    </row>
    <row r="407" spans="1:7" x14ac:dyDescent="0.3">
      <c r="A407" s="81" t="s">
        <v>1492</v>
      </c>
      <c r="B407" s="81" t="s">
        <v>1601</v>
      </c>
      <c r="C407" s="81" t="s">
        <v>20</v>
      </c>
      <c r="D407" s="81" t="s">
        <v>1493</v>
      </c>
      <c r="E407" s="81" t="s">
        <v>15</v>
      </c>
      <c r="F407" s="81" t="s">
        <v>1494</v>
      </c>
      <c r="G407" s="81">
        <v>0</v>
      </c>
    </row>
    <row r="408" spans="1:7" x14ac:dyDescent="0.3">
      <c r="A408" s="81" t="s">
        <v>1495</v>
      </c>
      <c r="B408" s="81" t="s">
        <v>1601</v>
      </c>
      <c r="C408" s="81" t="s">
        <v>20</v>
      </c>
      <c r="D408" s="81" t="s">
        <v>16</v>
      </c>
      <c r="E408" s="81" t="s">
        <v>15</v>
      </c>
      <c r="F408" s="81" t="s">
        <v>1497</v>
      </c>
      <c r="G408" s="81" t="s">
        <v>855</v>
      </c>
    </row>
    <row r="409" spans="1:7" x14ac:dyDescent="0.3">
      <c r="A409" s="81" t="s">
        <v>1495</v>
      </c>
      <c r="B409" s="81" t="s">
        <v>1601</v>
      </c>
      <c r="C409" s="81" t="s">
        <v>16</v>
      </c>
      <c r="D409" s="81" t="s">
        <v>404</v>
      </c>
      <c r="E409" s="81" t="s">
        <v>369</v>
      </c>
      <c r="F409" s="81" t="s">
        <v>1497</v>
      </c>
      <c r="G409" s="81" t="s">
        <v>3745</v>
      </c>
    </row>
    <row r="410" spans="1:7" x14ac:dyDescent="0.3">
      <c r="A410" s="81" t="s">
        <v>1495</v>
      </c>
      <c r="B410" s="81" t="s">
        <v>1601</v>
      </c>
      <c r="C410" s="81" t="s">
        <v>16</v>
      </c>
      <c r="D410" s="81" t="s">
        <v>404</v>
      </c>
      <c r="E410" s="81" t="s">
        <v>382</v>
      </c>
      <c r="F410" s="81" t="s">
        <v>1497</v>
      </c>
      <c r="G410" s="81" t="s">
        <v>3746</v>
      </c>
    </row>
    <row r="411" spans="1:7" x14ac:dyDescent="0.3">
      <c r="A411" s="81" t="s">
        <v>1495</v>
      </c>
      <c r="B411" s="81" t="s">
        <v>1601</v>
      </c>
      <c r="C411" s="81" t="s">
        <v>16</v>
      </c>
      <c r="D411" s="81" t="s">
        <v>404</v>
      </c>
      <c r="E411" s="81" t="s">
        <v>370</v>
      </c>
      <c r="F411" s="81" t="s">
        <v>1497</v>
      </c>
      <c r="G411" s="81" t="s">
        <v>3747</v>
      </c>
    </row>
    <row r="412" spans="1:7" x14ac:dyDescent="0.3">
      <c r="A412" s="81" t="s">
        <v>1495</v>
      </c>
      <c r="B412" s="81" t="s">
        <v>1601</v>
      </c>
      <c r="C412" s="81" t="s">
        <v>16</v>
      </c>
      <c r="D412" s="81" t="s">
        <v>404</v>
      </c>
      <c r="E412" s="81" t="s">
        <v>378</v>
      </c>
      <c r="F412" s="81" t="s">
        <v>1497</v>
      </c>
      <c r="G412" s="81" t="s">
        <v>3748</v>
      </c>
    </row>
    <row r="413" spans="1:7" x14ac:dyDescent="0.3">
      <c r="A413" s="81" t="s">
        <v>1495</v>
      </c>
      <c r="B413" s="81" t="s">
        <v>1601</v>
      </c>
      <c r="C413" s="81" t="s">
        <v>16</v>
      </c>
      <c r="D413" s="81" t="s">
        <v>404</v>
      </c>
      <c r="E413" s="81" t="s">
        <v>371</v>
      </c>
      <c r="F413" s="81" t="s">
        <v>1497</v>
      </c>
      <c r="G413" s="81" t="s">
        <v>3749</v>
      </c>
    </row>
    <row r="414" spans="1:7" x14ac:dyDescent="0.3">
      <c r="A414" s="81" t="s">
        <v>1495</v>
      </c>
      <c r="B414" s="81" t="s">
        <v>1601</v>
      </c>
      <c r="C414" s="81" t="s">
        <v>16</v>
      </c>
      <c r="D414" s="81" t="s">
        <v>404</v>
      </c>
      <c r="E414" s="81" t="s">
        <v>376</v>
      </c>
      <c r="F414" s="81" t="s">
        <v>1497</v>
      </c>
      <c r="G414" s="81" t="s">
        <v>3750</v>
      </c>
    </row>
    <row r="415" spans="1:7" x14ac:dyDescent="0.3">
      <c r="A415" s="81" t="s">
        <v>1495</v>
      </c>
      <c r="B415" s="81" t="s">
        <v>1601</v>
      </c>
      <c r="C415" s="81" t="s">
        <v>16</v>
      </c>
      <c r="D415" s="81" t="s">
        <v>404</v>
      </c>
      <c r="E415" s="81" t="s">
        <v>377</v>
      </c>
      <c r="F415" s="81" t="s">
        <v>1497</v>
      </c>
      <c r="G415" s="81" t="s">
        <v>3751</v>
      </c>
    </row>
    <row r="416" spans="1:7" x14ac:dyDescent="0.3">
      <c r="A416" s="81" t="s">
        <v>1495</v>
      </c>
      <c r="B416" s="81" t="s">
        <v>1601</v>
      </c>
      <c r="C416" s="81" t="s">
        <v>16</v>
      </c>
      <c r="D416" s="81" t="s">
        <v>404</v>
      </c>
      <c r="E416" s="81" t="s">
        <v>381</v>
      </c>
      <c r="F416" s="81" t="s">
        <v>1497</v>
      </c>
      <c r="G416" s="81" t="s">
        <v>3752</v>
      </c>
    </row>
    <row r="417" spans="1:7" x14ac:dyDescent="0.3">
      <c r="A417" s="81" t="s">
        <v>1495</v>
      </c>
      <c r="B417" s="81" t="s">
        <v>1601</v>
      </c>
      <c r="C417" s="81" t="s">
        <v>16</v>
      </c>
      <c r="D417" s="81" t="s">
        <v>404</v>
      </c>
      <c r="E417" s="81" t="s">
        <v>379</v>
      </c>
      <c r="F417" s="81" t="s">
        <v>1497</v>
      </c>
      <c r="G417" s="81" t="s">
        <v>3753</v>
      </c>
    </row>
    <row r="418" spans="1:7" x14ac:dyDescent="0.3">
      <c r="A418" s="81" t="s">
        <v>1495</v>
      </c>
      <c r="B418" s="81" t="s">
        <v>1601</v>
      </c>
      <c r="C418" s="81" t="s">
        <v>16</v>
      </c>
      <c r="D418" s="81" t="s">
        <v>404</v>
      </c>
      <c r="E418" s="81" t="s">
        <v>374</v>
      </c>
      <c r="F418" s="81" t="s">
        <v>1497</v>
      </c>
      <c r="G418" s="81" t="s">
        <v>3754</v>
      </c>
    </row>
    <row r="419" spans="1:7" x14ac:dyDescent="0.3">
      <c r="A419" s="81" t="s">
        <v>1495</v>
      </c>
      <c r="B419" s="81" t="s">
        <v>1601</v>
      </c>
      <c r="C419" s="81" t="s">
        <v>16</v>
      </c>
      <c r="D419" s="81" t="s">
        <v>404</v>
      </c>
      <c r="E419" s="81" t="s">
        <v>383</v>
      </c>
      <c r="F419" s="81" t="s">
        <v>1497</v>
      </c>
      <c r="G419" s="81" t="s">
        <v>3755</v>
      </c>
    </row>
    <row r="420" spans="1:7" x14ac:dyDescent="0.3">
      <c r="A420" s="81" t="s">
        <v>1495</v>
      </c>
      <c r="B420" s="81" t="s">
        <v>1601</v>
      </c>
      <c r="C420" s="81" t="s">
        <v>16</v>
      </c>
      <c r="D420" s="81" t="s">
        <v>404</v>
      </c>
      <c r="E420" s="81" t="s">
        <v>373</v>
      </c>
      <c r="F420" s="81" t="s">
        <v>1497</v>
      </c>
      <c r="G420" s="81" t="s">
        <v>3756</v>
      </c>
    </row>
    <row r="421" spans="1:7" x14ac:dyDescent="0.3">
      <c r="A421" s="81" t="s">
        <v>1495</v>
      </c>
      <c r="B421" s="81" t="s">
        <v>1601</v>
      </c>
      <c r="C421" s="81" t="s">
        <v>16</v>
      </c>
      <c r="D421" s="81" t="s">
        <v>404</v>
      </c>
      <c r="E421" s="81" t="s">
        <v>368</v>
      </c>
      <c r="F421" s="81" t="s">
        <v>1497</v>
      </c>
      <c r="G421" s="81" t="s">
        <v>3757</v>
      </c>
    </row>
    <row r="422" spans="1:7" x14ac:dyDescent="0.3">
      <c r="A422" s="81" t="s">
        <v>1495</v>
      </c>
      <c r="B422" s="81" t="s">
        <v>1601</v>
      </c>
      <c r="C422" s="81" t="s">
        <v>16</v>
      </c>
      <c r="D422" s="81" t="s">
        <v>404</v>
      </c>
      <c r="E422" s="81" t="s">
        <v>372</v>
      </c>
      <c r="F422" s="81" t="s">
        <v>1497</v>
      </c>
      <c r="G422" s="81" t="s">
        <v>3758</v>
      </c>
    </row>
    <row r="423" spans="1:7" x14ac:dyDescent="0.3">
      <c r="A423" s="81" t="s">
        <v>1495</v>
      </c>
      <c r="B423" s="81" t="s">
        <v>1601</v>
      </c>
      <c r="C423" s="81" t="s">
        <v>16</v>
      </c>
      <c r="D423" s="81" t="s">
        <v>404</v>
      </c>
      <c r="E423" s="81" t="s">
        <v>375</v>
      </c>
      <c r="F423" s="81" t="s">
        <v>1497</v>
      </c>
      <c r="G423" s="81" t="s">
        <v>3759</v>
      </c>
    </row>
    <row r="424" spans="1:7" x14ac:dyDescent="0.3">
      <c r="A424" s="81" t="s">
        <v>1495</v>
      </c>
      <c r="B424" s="81" t="s">
        <v>1601</v>
      </c>
      <c r="C424" s="81" t="s">
        <v>16</v>
      </c>
      <c r="D424" s="81" t="s">
        <v>404</v>
      </c>
      <c r="E424" s="81" t="s">
        <v>380</v>
      </c>
      <c r="F424" s="81" t="s">
        <v>1497</v>
      </c>
      <c r="G424" s="81" t="s">
        <v>3760</v>
      </c>
    </row>
    <row r="425" spans="1:7" x14ac:dyDescent="0.3">
      <c r="A425" s="81" t="s">
        <v>1566</v>
      </c>
      <c r="B425" s="81" t="s">
        <v>3786</v>
      </c>
      <c r="C425" s="81" t="s">
        <v>20</v>
      </c>
      <c r="D425" s="81" t="s">
        <v>1565</v>
      </c>
      <c r="E425" s="81" t="s">
        <v>15</v>
      </c>
      <c r="F425" s="81" t="s">
        <v>1567</v>
      </c>
      <c r="G425" s="81">
        <v>0</v>
      </c>
    </row>
    <row r="426" spans="1:7" x14ac:dyDescent="0.3">
      <c r="A426" s="81" t="s">
        <v>1590</v>
      </c>
      <c r="B426" s="81" t="s">
        <v>1601</v>
      </c>
      <c r="C426" s="81" t="s">
        <v>20</v>
      </c>
      <c r="D426" s="81" t="s">
        <v>16</v>
      </c>
      <c r="E426" s="81" t="s">
        <v>15</v>
      </c>
      <c r="F426" s="81" t="s">
        <v>1591</v>
      </c>
      <c r="G426" s="81" t="s">
        <v>855</v>
      </c>
    </row>
    <row r="427" spans="1:7" x14ac:dyDescent="0.3">
      <c r="A427" s="81" t="s">
        <v>1590</v>
      </c>
      <c r="B427" s="81" t="s">
        <v>1601</v>
      </c>
      <c r="C427" s="81" t="s">
        <v>20</v>
      </c>
      <c r="D427" s="81" t="s">
        <v>16</v>
      </c>
      <c r="E427" s="81" t="s">
        <v>15</v>
      </c>
      <c r="F427" s="81" t="s">
        <v>1630</v>
      </c>
      <c r="G427" s="81" t="s">
        <v>855</v>
      </c>
    </row>
    <row r="428" spans="1:7" x14ac:dyDescent="0.3">
      <c r="A428" s="81" t="s">
        <v>1590</v>
      </c>
      <c r="B428" s="81" t="s">
        <v>1601</v>
      </c>
      <c r="C428" s="81" t="s">
        <v>16</v>
      </c>
      <c r="D428" s="81" t="s">
        <v>404</v>
      </c>
      <c r="E428" s="81" t="s">
        <v>369</v>
      </c>
      <c r="F428" s="81" t="s">
        <v>1591</v>
      </c>
      <c r="G428" s="81" t="s">
        <v>3745</v>
      </c>
    </row>
    <row r="429" spans="1:7" x14ac:dyDescent="0.3">
      <c r="A429" s="81" t="s">
        <v>1590</v>
      </c>
      <c r="B429" s="81" t="s">
        <v>1601</v>
      </c>
      <c r="C429" s="81" t="s">
        <v>16</v>
      </c>
      <c r="D429" s="81" t="s">
        <v>404</v>
      </c>
      <c r="E429" s="81" t="s">
        <v>369</v>
      </c>
      <c r="F429" s="81" t="s">
        <v>1630</v>
      </c>
      <c r="G429" s="81" t="s">
        <v>3745</v>
      </c>
    </row>
    <row r="430" spans="1:7" x14ac:dyDescent="0.3">
      <c r="A430" s="81" t="s">
        <v>1590</v>
      </c>
      <c r="B430" s="81" t="s">
        <v>1601</v>
      </c>
      <c r="C430" s="81" t="s">
        <v>16</v>
      </c>
      <c r="D430" s="81" t="s">
        <v>404</v>
      </c>
      <c r="E430" s="81" t="s">
        <v>382</v>
      </c>
      <c r="F430" s="81" t="s">
        <v>1591</v>
      </c>
      <c r="G430" s="81" t="s">
        <v>3746</v>
      </c>
    </row>
    <row r="431" spans="1:7" x14ac:dyDescent="0.3">
      <c r="A431" s="81" t="s">
        <v>1590</v>
      </c>
      <c r="B431" s="81" t="s">
        <v>1601</v>
      </c>
      <c r="C431" s="81" t="s">
        <v>16</v>
      </c>
      <c r="D431" s="81" t="s">
        <v>404</v>
      </c>
      <c r="E431" s="81" t="s">
        <v>382</v>
      </c>
      <c r="F431" s="81" t="s">
        <v>1630</v>
      </c>
      <c r="G431" s="81" t="s">
        <v>3746</v>
      </c>
    </row>
    <row r="432" spans="1:7" x14ac:dyDescent="0.3">
      <c r="A432" s="81" t="s">
        <v>1590</v>
      </c>
      <c r="B432" s="81" t="s">
        <v>1601</v>
      </c>
      <c r="C432" s="81" t="s">
        <v>16</v>
      </c>
      <c r="D432" s="81" t="s">
        <v>404</v>
      </c>
      <c r="E432" s="81" t="s">
        <v>370</v>
      </c>
      <c r="F432" s="81" t="s">
        <v>1591</v>
      </c>
      <c r="G432" s="81" t="s">
        <v>3747</v>
      </c>
    </row>
    <row r="433" spans="1:7" x14ac:dyDescent="0.3">
      <c r="A433" s="81" t="s">
        <v>1590</v>
      </c>
      <c r="B433" s="81" t="s">
        <v>1601</v>
      </c>
      <c r="C433" s="81" t="s">
        <v>16</v>
      </c>
      <c r="D433" s="81" t="s">
        <v>404</v>
      </c>
      <c r="E433" s="81" t="s">
        <v>370</v>
      </c>
      <c r="F433" s="81" t="s">
        <v>1630</v>
      </c>
      <c r="G433" s="81" t="s">
        <v>3747</v>
      </c>
    </row>
    <row r="434" spans="1:7" x14ac:dyDescent="0.3">
      <c r="A434" s="81" t="s">
        <v>1590</v>
      </c>
      <c r="B434" s="81" t="s">
        <v>1601</v>
      </c>
      <c r="C434" s="81" t="s">
        <v>16</v>
      </c>
      <c r="D434" s="81" t="s">
        <v>404</v>
      </c>
      <c r="E434" s="81" t="s">
        <v>378</v>
      </c>
      <c r="F434" s="81" t="s">
        <v>1591</v>
      </c>
      <c r="G434" s="81" t="s">
        <v>3748</v>
      </c>
    </row>
    <row r="435" spans="1:7" x14ac:dyDescent="0.3">
      <c r="A435" s="81" t="s">
        <v>1590</v>
      </c>
      <c r="B435" s="81" t="s">
        <v>1601</v>
      </c>
      <c r="C435" s="81" t="s">
        <v>16</v>
      </c>
      <c r="D435" s="81" t="s">
        <v>404</v>
      </c>
      <c r="E435" s="81" t="s">
        <v>378</v>
      </c>
      <c r="F435" s="81" t="s">
        <v>1630</v>
      </c>
      <c r="G435" s="81" t="s">
        <v>3748</v>
      </c>
    </row>
    <row r="436" spans="1:7" x14ac:dyDescent="0.3">
      <c r="A436" s="81" t="s">
        <v>1590</v>
      </c>
      <c r="B436" s="81" t="s">
        <v>1601</v>
      </c>
      <c r="C436" s="81" t="s">
        <v>16</v>
      </c>
      <c r="D436" s="81" t="s">
        <v>404</v>
      </c>
      <c r="E436" s="81" t="s">
        <v>371</v>
      </c>
      <c r="F436" s="81" t="s">
        <v>1591</v>
      </c>
      <c r="G436" s="81" t="s">
        <v>3749</v>
      </c>
    </row>
    <row r="437" spans="1:7" x14ac:dyDescent="0.3">
      <c r="A437" s="81" t="s">
        <v>1590</v>
      </c>
      <c r="B437" s="81" t="s">
        <v>1601</v>
      </c>
      <c r="C437" s="81" t="s">
        <v>16</v>
      </c>
      <c r="D437" s="81" t="s">
        <v>404</v>
      </c>
      <c r="E437" s="81" t="s">
        <v>371</v>
      </c>
      <c r="F437" s="81" t="s">
        <v>1630</v>
      </c>
      <c r="G437" s="81" t="s">
        <v>3749</v>
      </c>
    </row>
    <row r="438" spans="1:7" x14ac:dyDescent="0.3">
      <c r="A438" s="81" t="s">
        <v>1590</v>
      </c>
      <c r="B438" s="81" t="s">
        <v>1601</v>
      </c>
      <c r="C438" s="81" t="s">
        <v>16</v>
      </c>
      <c r="D438" s="81" t="s">
        <v>404</v>
      </c>
      <c r="E438" s="81" t="s">
        <v>376</v>
      </c>
      <c r="F438" s="81" t="s">
        <v>1591</v>
      </c>
      <c r="G438" s="81" t="s">
        <v>3750</v>
      </c>
    </row>
    <row r="439" spans="1:7" x14ac:dyDescent="0.3">
      <c r="A439" s="81" t="s">
        <v>1590</v>
      </c>
      <c r="B439" s="81" t="s">
        <v>1601</v>
      </c>
      <c r="C439" s="81" t="s">
        <v>16</v>
      </c>
      <c r="D439" s="81" t="s">
        <v>404</v>
      </c>
      <c r="E439" s="81" t="s">
        <v>376</v>
      </c>
      <c r="F439" s="81" t="s">
        <v>1630</v>
      </c>
      <c r="G439" s="81" t="s">
        <v>3750</v>
      </c>
    </row>
    <row r="440" spans="1:7" x14ac:dyDescent="0.3">
      <c r="A440" s="81" t="s">
        <v>1590</v>
      </c>
      <c r="B440" s="81" t="s">
        <v>1601</v>
      </c>
      <c r="C440" s="81" t="s">
        <v>16</v>
      </c>
      <c r="D440" s="81" t="s">
        <v>404</v>
      </c>
      <c r="E440" s="81" t="s">
        <v>377</v>
      </c>
      <c r="F440" s="81" t="s">
        <v>1591</v>
      </c>
      <c r="G440" s="81" t="s">
        <v>3751</v>
      </c>
    </row>
    <row r="441" spans="1:7" x14ac:dyDescent="0.3">
      <c r="A441" s="81" t="s">
        <v>1590</v>
      </c>
      <c r="B441" s="81" t="s">
        <v>1601</v>
      </c>
      <c r="C441" s="81" t="s">
        <v>16</v>
      </c>
      <c r="D441" s="81" t="s">
        <v>404</v>
      </c>
      <c r="E441" s="81" t="s">
        <v>377</v>
      </c>
      <c r="F441" s="81" t="s">
        <v>1630</v>
      </c>
      <c r="G441" s="81" t="s">
        <v>3751</v>
      </c>
    </row>
    <row r="442" spans="1:7" x14ac:dyDescent="0.3">
      <c r="A442" s="81" t="s">
        <v>1590</v>
      </c>
      <c r="B442" s="81" t="s">
        <v>1601</v>
      </c>
      <c r="C442" s="81" t="s">
        <v>16</v>
      </c>
      <c r="D442" s="81" t="s">
        <v>404</v>
      </c>
      <c r="E442" s="81" t="s">
        <v>381</v>
      </c>
      <c r="F442" s="81" t="s">
        <v>1591</v>
      </c>
      <c r="G442" s="81" t="s">
        <v>3752</v>
      </c>
    </row>
    <row r="443" spans="1:7" x14ac:dyDescent="0.3">
      <c r="A443" s="81" t="s">
        <v>1590</v>
      </c>
      <c r="B443" s="81" t="s">
        <v>1601</v>
      </c>
      <c r="C443" s="81" t="s">
        <v>16</v>
      </c>
      <c r="D443" s="81" t="s">
        <v>404</v>
      </c>
      <c r="E443" s="81" t="s">
        <v>381</v>
      </c>
      <c r="F443" s="81" t="s">
        <v>1630</v>
      </c>
      <c r="G443" s="81" t="s">
        <v>3752</v>
      </c>
    </row>
    <row r="444" spans="1:7" x14ac:dyDescent="0.3">
      <c r="A444" s="81" t="s">
        <v>1590</v>
      </c>
      <c r="B444" s="81" t="s">
        <v>1601</v>
      </c>
      <c r="C444" s="81" t="s">
        <v>16</v>
      </c>
      <c r="D444" s="81" t="s">
        <v>404</v>
      </c>
      <c r="E444" s="81" t="s">
        <v>379</v>
      </c>
      <c r="F444" s="81" t="s">
        <v>1591</v>
      </c>
      <c r="G444" s="81" t="s">
        <v>3753</v>
      </c>
    </row>
    <row r="445" spans="1:7" x14ac:dyDescent="0.3">
      <c r="A445" s="81" t="s">
        <v>1590</v>
      </c>
      <c r="B445" s="81" t="s">
        <v>1601</v>
      </c>
      <c r="C445" s="81" t="s">
        <v>16</v>
      </c>
      <c r="D445" s="81" t="s">
        <v>404</v>
      </c>
      <c r="E445" s="81" t="s">
        <v>379</v>
      </c>
      <c r="F445" s="81" t="s">
        <v>1630</v>
      </c>
      <c r="G445" s="81" t="s">
        <v>3753</v>
      </c>
    </row>
    <row r="446" spans="1:7" x14ac:dyDescent="0.3">
      <c r="A446" s="81" t="s">
        <v>1590</v>
      </c>
      <c r="B446" s="81" t="s">
        <v>1601</v>
      </c>
      <c r="C446" s="81" t="s">
        <v>16</v>
      </c>
      <c r="D446" s="81" t="s">
        <v>404</v>
      </c>
      <c r="E446" s="81" t="s">
        <v>374</v>
      </c>
      <c r="F446" s="81" t="s">
        <v>1591</v>
      </c>
      <c r="G446" s="81" t="s">
        <v>3754</v>
      </c>
    </row>
    <row r="447" spans="1:7" x14ac:dyDescent="0.3">
      <c r="A447" s="81" t="s">
        <v>1590</v>
      </c>
      <c r="B447" s="81" t="s">
        <v>1601</v>
      </c>
      <c r="C447" s="81" t="s">
        <v>16</v>
      </c>
      <c r="D447" s="81" t="s">
        <v>404</v>
      </c>
      <c r="E447" s="81" t="s">
        <v>374</v>
      </c>
      <c r="F447" s="81" t="s">
        <v>1630</v>
      </c>
      <c r="G447" s="81" t="s">
        <v>3754</v>
      </c>
    </row>
    <row r="448" spans="1:7" x14ac:dyDescent="0.3">
      <c r="A448" s="81" t="s">
        <v>1590</v>
      </c>
      <c r="B448" s="81" t="s">
        <v>1601</v>
      </c>
      <c r="C448" s="81" t="s">
        <v>16</v>
      </c>
      <c r="D448" s="81" t="s">
        <v>404</v>
      </c>
      <c r="E448" s="81" t="s">
        <v>383</v>
      </c>
      <c r="F448" s="81" t="s">
        <v>1591</v>
      </c>
      <c r="G448" s="81" t="s">
        <v>3755</v>
      </c>
    </row>
    <row r="449" spans="1:7" x14ac:dyDescent="0.3">
      <c r="A449" s="81" t="s">
        <v>1590</v>
      </c>
      <c r="B449" s="81" t="s">
        <v>1601</v>
      </c>
      <c r="C449" s="81" t="s">
        <v>16</v>
      </c>
      <c r="D449" s="81" t="s">
        <v>404</v>
      </c>
      <c r="E449" s="81" t="s">
        <v>383</v>
      </c>
      <c r="F449" s="81" t="s">
        <v>1630</v>
      </c>
      <c r="G449" s="81" t="s">
        <v>3755</v>
      </c>
    </row>
    <row r="450" spans="1:7" x14ac:dyDescent="0.3">
      <c r="A450" s="81" t="s">
        <v>1590</v>
      </c>
      <c r="B450" s="81" t="s">
        <v>1601</v>
      </c>
      <c r="C450" s="81" t="s">
        <v>16</v>
      </c>
      <c r="D450" s="81" t="s">
        <v>404</v>
      </c>
      <c r="E450" s="81" t="s">
        <v>373</v>
      </c>
      <c r="F450" s="81" t="s">
        <v>1591</v>
      </c>
      <c r="G450" s="81" t="s">
        <v>3756</v>
      </c>
    </row>
    <row r="451" spans="1:7" x14ac:dyDescent="0.3">
      <c r="A451" s="81" t="s">
        <v>1590</v>
      </c>
      <c r="B451" s="81" t="s">
        <v>1601</v>
      </c>
      <c r="C451" s="81" t="s">
        <v>16</v>
      </c>
      <c r="D451" s="81" t="s">
        <v>404</v>
      </c>
      <c r="E451" s="81" t="s">
        <v>373</v>
      </c>
      <c r="F451" s="81" t="s">
        <v>1630</v>
      </c>
      <c r="G451" s="81" t="s">
        <v>3756</v>
      </c>
    </row>
    <row r="452" spans="1:7" x14ac:dyDescent="0.3">
      <c r="A452" s="81" t="s">
        <v>1590</v>
      </c>
      <c r="B452" s="81" t="s">
        <v>1601</v>
      </c>
      <c r="C452" s="81" t="s">
        <v>16</v>
      </c>
      <c r="D452" s="81" t="s">
        <v>404</v>
      </c>
      <c r="E452" s="81" t="s">
        <v>368</v>
      </c>
      <c r="F452" s="81" t="s">
        <v>1591</v>
      </c>
      <c r="G452" s="81" t="s">
        <v>3757</v>
      </c>
    </row>
    <row r="453" spans="1:7" x14ac:dyDescent="0.3">
      <c r="A453" s="81" t="s">
        <v>1590</v>
      </c>
      <c r="B453" s="81" t="s">
        <v>1601</v>
      </c>
      <c r="C453" s="81" t="s">
        <v>16</v>
      </c>
      <c r="D453" s="81" t="s">
        <v>404</v>
      </c>
      <c r="E453" s="81" t="s">
        <v>368</v>
      </c>
      <c r="F453" s="81" t="s">
        <v>1630</v>
      </c>
      <c r="G453" s="81" t="s">
        <v>3757</v>
      </c>
    </row>
    <row r="454" spans="1:7" x14ac:dyDescent="0.3">
      <c r="A454" s="81" t="s">
        <v>1590</v>
      </c>
      <c r="B454" s="81" t="s">
        <v>1601</v>
      </c>
      <c r="C454" s="81" t="s">
        <v>16</v>
      </c>
      <c r="D454" s="81" t="s">
        <v>404</v>
      </c>
      <c r="E454" s="81" t="s">
        <v>372</v>
      </c>
      <c r="F454" s="81" t="s">
        <v>1591</v>
      </c>
      <c r="G454" s="81" t="s">
        <v>3758</v>
      </c>
    </row>
    <row r="455" spans="1:7" x14ac:dyDescent="0.3">
      <c r="A455" s="81" t="s">
        <v>1590</v>
      </c>
      <c r="B455" s="81" t="s">
        <v>1601</v>
      </c>
      <c r="C455" s="81" t="s">
        <v>16</v>
      </c>
      <c r="D455" s="81" t="s">
        <v>404</v>
      </c>
      <c r="E455" s="81" t="s">
        <v>372</v>
      </c>
      <c r="F455" s="81" t="s">
        <v>1630</v>
      </c>
      <c r="G455" s="81" t="s">
        <v>3758</v>
      </c>
    </row>
    <row r="456" spans="1:7" x14ac:dyDescent="0.3">
      <c r="A456" s="81" t="s">
        <v>1590</v>
      </c>
      <c r="B456" s="81" t="s">
        <v>1601</v>
      </c>
      <c r="C456" s="81" t="s">
        <v>16</v>
      </c>
      <c r="D456" s="81" t="s">
        <v>404</v>
      </c>
      <c r="E456" s="81" t="s">
        <v>375</v>
      </c>
      <c r="F456" s="81" t="s">
        <v>1591</v>
      </c>
      <c r="G456" s="81" t="s">
        <v>3759</v>
      </c>
    </row>
    <row r="457" spans="1:7" x14ac:dyDescent="0.3">
      <c r="A457" s="81" t="s">
        <v>1590</v>
      </c>
      <c r="B457" s="81" t="s">
        <v>1601</v>
      </c>
      <c r="C457" s="81" t="s">
        <v>16</v>
      </c>
      <c r="D457" s="81" t="s">
        <v>404</v>
      </c>
      <c r="E457" s="81" t="s">
        <v>375</v>
      </c>
      <c r="F457" s="81" t="s">
        <v>1630</v>
      </c>
      <c r="G457" s="81" t="s">
        <v>3759</v>
      </c>
    </row>
    <row r="458" spans="1:7" x14ac:dyDescent="0.3">
      <c r="A458" s="81" t="s">
        <v>1590</v>
      </c>
      <c r="B458" s="81" t="s">
        <v>1601</v>
      </c>
      <c r="C458" s="81" t="s">
        <v>16</v>
      </c>
      <c r="D458" s="81" t="s">
        <v>404</v>
      </c>
      <c r="E458" s="81" t="s">
        <v>380</v>
      </c>
      <c r="F458" s="81" t="s">
        <v>1591</v>
      </c>
      <c r="G458" s="81" t="s">
        <v>3760</v>
      </c>
    </row>
    <row r="459" spans="1:7" x14ac:dyDescent="0.3">
      <c r="A459" s="81" t="s">
        <v>1590</v>
      </c>
      <c r="B459" s="81" t="s">
        <v>1601</v>
      </c>
      <c r="C459" s="81" t="s">
        <v>16</v>
      </c>
      <c r="D459" s="81" t="s">
        <v>404</v>
      </c>
      <c r="E459" s="81" t="s">
        <v>380</v>
      </c>
      <c r="F459" s="81" t="s">
        <v>1630</v>
      </c>
      <c r="G459" s="81" t="s">
        <v>3760</v>
      </c>
    </row>
    <row r="460" spans="1:7" x14ac:dyDescent="0.3">
      <c r="A460" s="81" t="s">
        <v>1596</v>
      </c>
      <c r="B460" s="81" t="s">
        <v>1601</v>
      </c>
      <c r="C460" s="81" t="s">
        <v>20</v>
      </c>
      <c r="D460" s="81" t="s">
        <v>16</v>
      </c>
      <c r="E460" s="81" t="s">
        <v>15</v>
      </c>
      <c r="F460" s="81" t="s">
        <v>1595</v>
      </c>
      <c r="G460" s="81" t="s">
        <v>855</v>
      </c>
    </row>
    <row r="461" spans="1:7" x14ac:dyDescent="0.3">
      <c r="A461" s="81" t="s">
        <v>1596</v>
      </c>
      <c r="B461" s="81" t="s">
        <v>1601</v>
      </c>
      <c r="C461" s="81" t="s">
        <v>16</v>
      </c>
      <c r="D461" s="81" t="s">
        <v>404</v>
      </c>
      <c r="E461" s="81" t="s">
        <v>369</v>
      </c>
      <c r="F461" s="81" t="s">
        <v>1595</v>
      </c>
      <c r="G461" s="81" t="s">
        <v>3745</v>
      </c>
    </row>
    <row r="462" spans="1:7" x14ac:dyDescent="0.3">
      <c r="A462" s="81" t="s">
        <v>1596</v>
      </c>
      <c r="B462" s="81" t="s">
        <v>1601</v>
      </c>
      <c r="C462" s="81" t="s">
        <v>16</v>
      </c>
      <c r="D462" s="81" t="s">
        <v>404</v>
      </c>
      <c r="E462" s="81" t="s">
        <v>382</v>
      </c>
      <c r="F462" s="81" t="s">
        <v>1595</v>
      </c>
      <c r="G462" s="81" t="s">
        <v>3746</v>
      </c>
    </row>
    <row r="463" spans="1:7" x14ac:dyDescent="0.3">
      <c r="A463" s="81" t="s">
        <v>1596</v>
      </c>
      <c r="B463" s="81" t="s">
        <v>1601</v>
      </c>
      <c r="C463" s="81" t="s">
        <v>16</v>
      </c>
      <c r="D463" s="81" t="s">
        <v>404</v>
      </c>
      <c r="E463" s="81" t="s">
        <v>370</v>
      </c>
      <c r="F463" s="81" t="s">
        <v>1595</v>
      </c>
      <c r="G463" s="81" t="s">
        <v>3747</v>
      </c>
    </row>
    <row r="464" spans="1:7" x14ac:dyDescent="0.3">
      <c r="A464" s="81" t="s">
        <v>1596</v>
      </c>
      <c r="B464" s="81" t="s">
        <v>1601</v>
      </c>
      <c r="C464" s="81" t="s">
        <v>16</v>
      </c>
      <c r="D464" s="81" t="s">
        <v>404</v>
      </c>
      <c r="E464" s="81" t="s">
        <v>378</v>
      </c>
      <c r="F464" s="81" t="s">
        <v>1595</v>
      </c>
      <c r="G464" s="81" t="s">
        <v>3748</v>
      </c>
    </row>
    <row r="465" spans="1:7" x14ac:dyDescent="0.3">
      <c r="A465" s="81" t="s">
        <v>1596</v>
      </c>
      <c r="B465" s="81" t="s">
        <v>1601</v>
      </c>
      <c r="C465" s="81" t="s">
        <v>16</v>
      </c>
      <c r="D465" s="81" t="s">
        <v>404</v>
      </c>
      <c r="E465" s="81" t="s">
        <v>371</v>
      </c>
      <c r="F465" s="81" t="s">
        <v>1595</v>
      </c>
      <c r="G465" s="81" t="s">
        <v>3749</v>
      </c>
    </row>
    <row r="466" spans="1:7" x14ac:dyDescent="0.3">
      <c r="A466" s="81" t="s">
        <v>1596</v>
      </c>
      <c r="B466" s="81" t="s">
        <v>1601</v>
      </c>
      <c r="C466" s="81" t="s">
        <v>16</v>
      </c>
      <c r="D466" s="81" t="s">
        <v>404</v>
      </c>
      <c r="E466" s="81" t="s">
        <v>376</v>
      </c>
      <c r="F466" s="81" t="s">
        <v>1595</v>
      </c>
      <c r="G466" s="81" t="s">
        <v>3750</v>
      </c>
    </row>
    <row r="467" spans="1:7" x14ac:dyDescent="0.3">
      <c r="A467" s="81" t="s">
        <v>1596</v>
      </c>
      <c r="B467" s="81" t="s">
        <v>1601</v>
      </c>
      <c r="C467" s="81" t="s">
        <v>16</v>
      </c>
      <c r="D467" s="81" t="s">
        <v>404</v>
      </c>
      <c r="E467" s="81" t="s">
        <v>377</v>
      </c>
      <c r="F467" s="81" t="s">
        <v>1595</v>
      </c>
      <c r="G467" s="81" t="s">
        <v>3751</v>
      </c>
    </row>
    <row r="468" spans="1:7" x14ac:dyDescent="0.3">
      <c r="A468" s="81" t="s">
        <v>1596</v>
      </c>
      <c r="B468" s="81" t="s">
        <v>1601</v>
      </c>
      <c r="C468" s="81" t="s">
        <v>16</v>
      </c>
      <c r="D468" s="81" t="s">
        <v>404</v>
      </c>
      <c r="E468" s="81" t="s">
        <v>381</v>
      </c>
      <c r="F468" s="81" t="s">
        <v>1595</v>
      </c>
      <c r="G468" s="81" t="s">
        <v>3752</v>
      </c>
    </row>
    <row r="469" spans="1:7" x14ac:dyDescent="0.3">
      <c r="A469" s="81" t="s">
        <v>1596</v>
      </c>
      <c r="B469" s="81" t="s">
        <v>1601</v>
      </c>
      <c r="C469" s="81" t="s">
        <v>16</v>
      </c>
      <c r="D469" s="81" t="s">
        <v>404</v>
      </c>
      <c r="E469" s="81" t="s">
        <v>379</v>
      </c>
      <c r="F469" s="81" t="s">
        <v>1595</v>
      </c>
      <c r="G469" s="81" t="s">
        <v>3753</v>
      </c>
    </row>
    <row r="470" spans="1:7" x14ac:dyDescent="0.3">
      <c r="A470" s="81" t="s">
        <v>1596</v>
      </c>
      <c r="B470" s="81" t="s">
        <v>1601</v>
      </c>
      <c r="C470" s="81" t="s">
        <v>16</v>
      </c>
      <c r="D470" s="81" t="s">
        <v>404</v>
      </c>
      <c r="E470" s="81" t="s">
        <v>374</v>
      </c>
      <c r="F470" s="81" t="s">
        <v>1595</v>
      </c>
      <c r="G470" s="81" t="s">
        <v>3754</v>
      </c>
    </row>
    <row r="471" spans="1:7" x14ac:dyDescent="0.3">
      <c r="A471" s="81" t="s">
        <v>1596</v>
      </c>
      <c r="B471" s="81" t="s">
        <v>1601</v>
      </c>
      <c r="C471" s="81" t="s">
        <v>16</v>
      </c>
      <c r="D471" s="81" t="s">
        <v>404</v>
      </c>
      <c r="E471" s="81" t="s">
        <v>383</v>
      </c>
      <c r="F471" s="81" t="s">
        <v>1595</v>
      </c>
      <c r="G471" s="81" t="s">
        <v>3755</v>
      </c>
    </row>
    <row r="472" spans="1:7" x14ac:dyDescent="0.3">
      <c r="A472" s="81" t="s">
        <v>1596</v>
      </c>
      <c r="B472" s="81" t="s">
        <v>1601</v>
      </c>
      <c r="C472" s="81" t="s">
        <v>16</v>
      </c>
      <c r="D472" s="81" t="s">
        <v>404</v>
      </c>
      <c r="E472" s="81" t="s">
        <v>373</v>
      </c>
      <c r="F472" s="81" t="s">
        <v>1595</v>
      </c>
      <c r="G472" s="81" t="s">
        <v>3756</v>
      </c>
    </row>
    <row r="473" spans="1:7" x14ac:dyDescent="0.3">
      <c r="A473" s="81" t="s">
        <v>1596</v>
      </c>
      <c r="B473" s="81" t="s">
        <v>1601</v>
      </c>
      <c r="C473" s="81" t="s">
        <v>16</v>
      </c>
      <c r="D473" s="81" t="s">
        <v>404</v>
      </c>
      <c r="E473" s="81" t="s">
        <v>368</v>
      </c>
      <c r="F473" s="81" t="s">
        <v>1595</v>
      </c>
      <c r="G473" s="81" t="s">
        <v>3757</v>
      </c>
    </row>
    <row r="474" spans="1:7" x14ac:dyDescent="0.3">
      <c r="A474" s="81" t="s">
        <v>1596</v>
      </c>
      <c r="B474" s="81" t="s">
        <v>1601</v>
      </c>
      <c r="C474" s="81" t="s">
        <v>16</v>
      </c>
      <c r="D474" s="81" t="s">
        <v>404</v>
      </c>
      <c r="E474" s="81" t="s">
        <v>372</v>
      </c>
      <c r="F474" s="81" t="s">
        <v>1595</v>
      </c>
      <c r="G474" s="81" t="s">
        <v>3758</v>
      </c>
    </row>
    <row r="475" spans="1:7" x14ac:dyDescent="0.3">
      <c r="A475" s="81" t="s">
        <v>1596</v>
      </c>
      <c r="B475" s="81" t="s">
        <v>1601</v>
      </c>
      <c r="C475" s="81" t="s">
        <v>16</v>
      </c>
      <c r="D475" s="81" t="s">
        <v>404</v>
      </c>
      <c r="E475" s="81" t="s">
        <v>375</v>
      </c>
      <c r="F475" s="81" t="s">
        <v>1595</v>
      </c>
      <c r="G475" s="81" t="s">
        <v>3759</v>
      </c>
    </row>
    <row r="476" spans="1:7" x14ac:dyDescent="0.3">
      <c r="A476" s="81" t="s">
        <v>1596</v>
      </c>
      <c r="B476" s="81" t="s">
        <v>1601</v>
      </c>
      <c r="C476" s="81" t="s">
        <v>16</v>
      </c>
      <c r="D476" s="81" t="s">
        <v>404</v>
      </c>
      <c r="E476" s="81" t="s">
        <v>380</v>
      </c>
      <c r="F476" s="81" t="s">
        <v>1595</v>
      </c>
      <c r="G476" s="81" t="s">
        <v>3760</v>
      </c>
    </row>
    <row r="477" spans="1:7" x14ac:dyDescent="0.3">
      <c r="A477" s="81" t="s">
        <v>1602</v>
      </c>
      <c r="B477" s="81" t="s">
        <v>1601</v>
      </c>
      <c r="C477" s="81" t="s">
        <v>20</v>
      </c>
      <c r="D477" s="81" t="s">
        <v>16</v>
      </c>
      <c r="E477" s="81" t="s">
        <v>15</v>
      </c>
      <c r="F477" s="81" t="s">
        <v>1600</v>
      </c>
      <c r="G477" s="81" t="s">
        <v>855</v>
      </c>
    </row>
    <row r="478" spans="1:7" x14ac:dyDescent="0.3">
      <c r="A478" s="81" t="s">
        <v>1602</v>
      </c>
      <c r="B478" s="81" t="s">
        <v>1601</v>
      </c>
      <c r="C478" s="81" t="s">
        <v>16</v>
      </c>
      <c r="D478" s="81" t="s">
        <v>404</v>
      </c>
      <c r="E478" s="81" t="s">
        <v>369</v>
      </c>
      <c r="F478" s="81" t="s">
        <v>1600</v>
      </c>
      <c r="G478" s="81" t="s">
        <v>3745</v>
      </c>
    </row>
    <row r="479" spans="1:7" x14ac:dyDescent="0.3">
      <c r="A479" s="81" t="s">
        <v>1602</v>
      </c>
      <c r="B479" s="81" t="s">
        <v>1601</v>
      </c>
      <c r="C479" s="81" t="s">
        <v>16</v>
      </c>
      <c r="D479" s="81" t="s">
        <v>404</v>
      </c>
      <c r="E479" s="81" t="s">
        <v>382</v>
      </c>
      <c r="F479" s="81" t="s">
        <v>1600</v>
      </c>
      <c r="G479" s="81" t="s">
        <v>3746</v>
      </c>
    </row>
    <row r="480" spans="1:7" x14ac:dyDescent="0.3">
      <c r="A480" s="81" t="s">
        <v>1602</v>
      </c>
      <c r="B480" s="81" t="s">
        <v>1601</v>
      </c>
      <c r="C480" s="81" t="s">
        <v>16</v>
      </c>
      <c r="D480" s="81" t="s">
        <v>404</v>
      </c>
      <c r="E480" s="81" t="s">
        <v>370</v>
      </c>
      <c r="F480" s="81" t="s">
        <v>1600</v>
      </c>
      <c r="G480" s="81" t="s">
        <v>3747</v>
      </c>
    </row>
    <row r="481" spans="1:7" x14ac:dyDescent="0.3">
      <c r="A481" s="81" t="s">
        <v>1602</v>
      </c>
      <c r="B481" s="81" t="s">
        <v>1601</v>
      </c>
      <c r="C481" s="81" t="s">
        <v>16</v>
      </c>
      <c r="D481" s="81" t="s">
        <v>404</v>
      </c>
      <c r="E481" s="81" t="s">
        <v>378</v>
      </c>
      <c r="F481" s="81" t="s">
        <v>1600</v>
      </c>
      <c r="G481" s="81" t="s">
        <v>3748</v>
      </c>
    </row>
    <row r="482" spans="1:7" x14ac:dyDescent="0.3">
      <c r="A482" s="81" t="s">
        <v>1602</v>
      </c>
      <c r="B482" s="81" t="s">
        <v>1601</v>
      </c>
      <c r="C482" s="81" t="s">
        <v>16</v>
      </c>
      <c r="D482" s="81" t="s">
        <v>404</v>
      </c>
      <c r="E482" s="81" t="s">
        <v>371</v>
      </c>
      <c r="F482" s="81" t="s">
        <v>1600</v>
      </c>
      <c r="G482" s="81" t="s">
        <v>3749</v>
      </c>
    </row>
    <row r="483" spans="1:7" x14ac:dyDescent="0.3">
      <c r="A483" s="81" t="s">
        <v>1602</v>
      </c>
      <c r="B483" s="81" t="s">
        <v>1601</v>
      </c>
      <c r="C483" s="81" t="s">
        <v>16</v>
      </c>
      <c r="D483" s="81" t="s">
        <v>404</v>
      </c>
      <c r="E483" s="81" t="s">
        <v>376</v>
      </c>
      <c r="F483" s="81" t="s">
        <v>1600</v>
      </c>
      <c r="G483" s="81" t="s">
        <v>3750</v>
      </c>
    </row>
    <row r="484" spans="1:7" x14ac:dyDescent="0.3">
      <c r="A484" s="81" t="s">
        <v>1602</v>
      </c>
      <c r="B484" s="81" t="s">
        <v>1601</v>
      </c>
      <c r="C484" s="81" t="s">
        <v>16</v>
      </c>
      <c r="D484" s="81" t="s">
        <v>404</v>
      </c>
      <c r="E484" s="81" t="s">
        <v>377</v>
      </c>
      <c r="F484" s="81" t="s">
        <v>1600</v>
      </c>
      <c r="G484" s="81" t="s">
        <v>3751</v>
      </c>
    </row>
    <row r="485" spans="1:7" x14ac:dyDescent="0.3">
      <c r="A485" s="81" t="s">
        <v>1602</v>
      </c>
      <c r="B485" s="81" t="s">
        <v>1601</v>
      </c>
      <c r="C485" s="81" t="s">
        <v>16</v>
      </c>
      <c r="D485" s="81" t="s">
        <v>404</v>
      </c>
      <c r="E485" s="81" t="s">
        <v>381</v>
      </c>
      <c r="F485" s="81" t="s">
        <v>1600</v>
      </c>
      <c r="G485" s="81" t="s">
        <v>3752</v>
      </c>
    </row>
    <row r="486" spans="1:7" x14ac:dyDescent="0.3">
      <c r="A486" s="81" t="s">
        <v>1602</v>
      </c>
      <c r="B486" s="81" t="s">
        <v>1601</v>
      </c>
      <c r="C486" s="81" t="s">
        <v>16</v>
      </c>
      <c r="D486" s="81" t="s">
        <v>404</v>
      </c>
      <c r="E486" s="81" t="s">
        <v>379</v>
      </c>
      <c r="F486" s="81" t="s">
        <v>1600</v>
      </c>
      <c r="G486" s="81" t="s">
        <v>3753</v>
      </c>
    </row>
    <row r="487" spans="1:7" x14ac:dyDescent="0.3">
      <c r="A487" s="81" t="s">
        <v>1602</v>
      </c>
      <c r="B487" s="81" t="s">
        <v>1601</v>
      </c>
      <c r="C487" s="81" t="s">
        <v>16</v>
      </c>
      <c r="D487" s="81" t="s">
        <v>404</v>
      </c>
      <c r="E487" s="81" t="s">
        <v>374</v>
      </c>
      <c r="F487" s="81" t="s">
        <v>1600</v>
      </c>
      <c r="G487" s="81" t="s">
        <v>3754</v>
      </c>
    </row>
    <row r="488" spans="1:7" x14ac:dyDescent="0.3">
      <c r="A488" s="81" t="s">
        <v>1602</v>
      </c>
      <c r="B488" s="81" t="s">
        <v>1601</v>
      </c>
      <c r="C488" s="81" t="s">
        <v>16</v>
      </c>
      <c r="D488" s="81" t="s">
        <v>404</v>
      </c>
      <c r="E488" s="81" t="s">
        <v>383</v>
      </c>
      <c r="F488" s="81" t="s">
        <v>1600</v>
      </c>
      <c r="G488" s="81" t="s">
        <v>3755</v>
      </c>
    </row>
    <row r="489" spans="1:7" x14ac:dyDescent="0.3">
      <c r="A489" s="81" t="s">
        <v>1602</v>
      </c>
      <c r="B489" s="81" t="s">
        <v>1601</v>
      </c>
      <c r="C489" s="81" t="s">
        <v>16</v>
      </c>
      <c r="D489" s="81" t="s">
        <v>404</v>
      </c>
      <c r="E489" s="81" t="s">
        <v>373</v>
      </c>
      <c r="F489" s="81" t="s">
        <v>1600</v>
      </c>
      <c r="G489" s="81" t="s">
        <v>3756</v>
      </c>
    </row>
    <row r="490" spans="1:7" x14ac:dyDescent="0.3">
      <c r="A490" s="81" t="s">
        <v>1602</v>
      </c>
      <c r="B490" s="81" t="s">
        <v>1601</v>
      </c>
      <c r="C490" s="81" t="s">
        <v>16</v>
      </c>
      <c r="D490" s="81" t="s">
        <v>404</v>
      </c>
      <c r="E490" s="81" t="s">
        <v>368</v>
      </c>
      <c r="F490" s="81" t="s">
        <v>1600</v>
      </c>
      <c r="G490" s="81" t="s">
        <v>3757</v>
      </c>
    </row>
    <row r="491" spans="1:7" x14ac:dyDescent="0.3">
      <c r="A491" s="81" t="s">
        <v>1602</v>
      </c>
      <c r="B491" s="81" t="s">
        <v>1601</v>
      </c>
      <c r="C491" s="81" t="s">
        <v>16</v>
      </c>
      <c r="D491" s="81" t="s">
        <v>404</v>
      </c>
      <c r="E491" s="81" t="s">
        <v>372</v>
      </c>
      <c r="F491" s="81" t="s">
        <v>1600</v>
      </c>
      <c r="G491" s="81" t="s">
        <v>3758</v>
      </c>
    </row>
    <row r="492" spans="1:7" x14ac:dyDescent="0.3">
      <c r="A492" s="81" t="s">
        <v>1602</v>
      </c>
      <c r="B492" s="81" t="s">
        <v>1601</v>
      </c>
      <c r="C492" s="81" t="s">
        <v>16</v>
      </c>
      <c r="D492" s="81" t="s">
        <v>404</v>
      </c>
      <c r="E492" s="81" t="s">
        <v>375</v>
      </c>
      <c r="F492" s="81" t="s">
        <v>1600</v>
      </c>
      <c r="G492" s="81" t="s">
        <v>3759</v>
      </c>
    </row>
    <row r="493" spans="1:7" x14ac:dyDescent="0.3">
      <c r="A493" s="81" t="s">
        <v>1602</v>
      </c>
      <c r="B493" s="81" t="s">
        <v>1601</v>
      </c>
      <c r="C493" s="81" t="s">
        <v>16</v>
      </c>
      <c r="D493" s="81" t="s">
        <v>404</v>
      </c>
      <c r="E493" s="81" t="s">
        <v>380</v>
      </c>
      <c r="F493" s="81" t="s">
        <v>1600</v>
      </c>
      <c r="G493" s="81" t="s">
        <v>3760</v>
      </c>
    </row>
    <row r="494" spans="1:7" x14ac:dyDescent="0.3">
      <c r="A494" s="81" t="s">
        <v>1604</v>
      </c>
      <c r="B494" s="81" t="s">
        <v>3784</v>
      </c>
      <c r="C494" s="81" t="s">
        <v>20</v>
      </c>
      <c r="D494" s="81" t="s">
        <v>16</v>
      </c>
      <c r="E494" s="81" t="s">
        <v>15</v>
      </c>
      <c r="F494" s="81" t="s">
        <v>7080</v>
      </c>
      <c r="G494" s="81" t="s">
        <v>855</v>
      </c>
    </row>
    <row r="495" spans="1:7" x14ac:dyDescent="0.3">
      <c r="A495" s="81" t="s">
        <v>1604</v>
      </c>
      <c r="B495" s="81" t="s">
        <v>3784</v>
      </c>
      <c r="C495" s="81" t="s">
        <v>20</v>
      </c>
      <c r="D495" s="81" t="s">
        <v>404</v>
      </c>
      <c r="E495" s="81" t="s">
        <v>15</v>
      </c>
      <c r="F495" s="81" t="s">
        <v>7080</v>
      </c>
      <c r="G495" s="81" t="s">
        <v>855</v>
      </c>
    </row>
    <row r="496" spans="1:7" x14ac:dyDescent="0.3">
      <c r="A496" s="81" t="s">
        <v>1604</v>
      </c>
      <c r="B496" s="81" t="s">
        <v>3784</v>
      </c>
      <c r="C496" s="81" t="s">
        <v>20</v>
      </c>
      <c r="D496" s="81" t="s">
        <v>404</v>
      </c>
      <c r="E496" s="81" t="s">
        <v>15</v>
      </c>
      <c r="F496" s="81" t="s">
        <v>7080</v>
      </c>
      <c r="G496" s="81">
        <v>0</v>
      </c>
    </row>
    <row r="497" spans="1:7" x14ac:dyDescent="0.3">
      <c r="A497" s="81" t="s">
        <v>1604</v>
      </c>
      <c r="B497" s="81" t="s">
        <v>3784</v>
      </c>
      <c r="C497" s="81" t="s">
        <v>20</v>
      </c>
      <c r="D497" s="81" t="s">
        <v>1606</v>
      </c>
      <c r="E497" s="81" t="s">
        <v>15</v>
      </c>
      <c r="F497" s="81" t="s">
        <v>1605</v>
      </c>
      <c r="G497" s="81">
        <v>0</v>
      </c>
    </row>
    <row r="498" spans="1:7" x14ac:dyDescent="0.3">
      <c r="A498" s="81" t="s">
        <v>1604</v>
      </c>
      <c r="B498" s="81" t="s">
        <v>3784</v>
      </c>
      <c r="C498" s="81" t="s">
        <v>20</v>
      </c>
      <c r="D498" s="81" t="s">
        <v>3823</v>
      </c>
      <c r="E498" s="81" t="s">
        <v>15</v>
      </c>
      <c r="F498" s="81" t="s">
        <v>7080</v>
      </c>
      <c r="G498" s="81" t="s">
        <v>855</v>
      </c>
    </row>
    <row r="499" spans="1:7" x14ac:dyDescent="0.3">
      <c r="A499" s="81" t="s">
        <v>1604</v>
      </c>
      <c r="B499" s="81" t="s">
        <v>3784</v>
      </c>
      <c r="C499" s="81" t="s">
        <v>20</v>
      </c>
      <c r="D499" s="81" t="s">
        <v>5301</v>
      </c>
      <c r="E499" s="81" t="s">
        <v>15</v>
      </c>
      <c r="F499" s="81" t="s">
        <v>7080</v>
      </c>
      <c r="G499" s="81" t="s">
        <v>1033</v>
      </c>
    </row>
    <row r="500" spans="1:7" x14ac:dyDescent="0.3">
      <c r="A500" s="81" t="s">
        <v>1604</v>
      </c>
      <c r="B500" s="81" t="s">
        <v>3784</v>
      </c>
      <c r="C500" s="81" t="s">
        <v>16</v>
      </c>
      <c r="D500" s="81" t="s">
        <v>404</v>
      </c>
      <c r="E500" s="81" t="s">
        <v>369</v>
      </c>
      <c r="F500" s="81" t="s">
        <v>7080</v>
      </c>
      <c r="G500" s="81" t="s">
        <v>3745</v>
      </c>
    </row>
    <row r="501" spans="1:7" x14ac:dyDescent="0.3">
      <c r="A501" s="81" t="s">
        <v>1604</v>
      </c>
      <c r="B501" s="81" t="s">
        <v>3784</v>
      </c>
      <c r="C501" s="81" t="s">
        <v>16</v>
      </c>
      <c r="D501" s="81" t="s">
        <v>404</v>
      </c>
      <c r="E501" s="81" t="s">
        <v>382</v>
      </c>
      <c r="F501" s="81" t="s">
        <v>7080</v>
      </c>
      <c r="G501" s="81" t="s">
        <v>3746</v>
      </c>
    </row>
    <row r="502" spans="1:7" x14ac:dyDescent="0.3">
      <c r="A502" s="81" t="s">
        <v>1604</v>
      </c>
      <c r="B502" s="81" t="s">
        <v>3784</v>
      </c>
      <c r="C502" s="81" t="s">
        <v>16</v>
      </c>
      <c r="D502" s="81" t="s">
        <v>404</v>
      </c>
      <c r="E502" s="81" t="s">
        <v>370</v>
      </c>
      <c r="F502" s="81" t="s">
        <v>7080</v>
      </c>
      <c r="G502" s="81" t="s">
        <v>3747</v>
      </c>
    </row>
    <row r="503" spans="1:7" x14ac:dyDescent="0.3">
      <c r="A503" s="81" t="s">
        <v>1604</v>
      </c>
      <c r="B503" s="81" t="s">
        <v>3784</v>
      </c>
      <c r="C503" s="81" t="s">
        <v>16</v>
      </c>
      <c r="D503" s="81" t="s">
        <v>404</v>
      </c>
      <c r="E503" s="81" t="s">
        <v>378</v>
      </c>
      <c r="F503" s="81" t="s">
        <v>7080</v>
      </c>
      <c r="G503" s="81" t="s">
        <v>3748</v>
      </c>
    </row>
    <row r="504" spans="1:7" x14ac:dyDescent="0.3">
      <c r="A504" s="81" t="s">
        <v>1604</v>
      </c>
      <c r="B504" s="81" t="s">
        <v>3784</v>
      </c>
      <c r="C504" s="81" t="s">
        <v>16</v>
      </c>
      <c r="D504" s="81" t="s">
        <v>404</v>
      </c>
      <c r="E504" s="81" t="s">
        <v>371</v>
      </c>
      <c r="F504" s="81" t="s">
        <v>7080</v>
      </c>
      <c r="G504" s="81" t="s">
        <v>3749</v>
      </c>
    </row>
    <row r="505" spans="1:7" x14ac:dyDescent="0.3">
      <c r="A505" s="81" t="s">
        <v>1604</v>
      </c>
      <c r="B505" s="81" t="s">
        <v>3784</v>
      </c>
      <c r="C505" s="81" t="s">
        <v>16</v>
      </c>
      <c r="D505" s="81" t="s">
        <v>404</v>
      </c>
      <c r="E505" s="81" t="s">
        <v>376</v>
      </c>
      <c r="F505" s="81" t="s">
        <v>7080</v>
      </c>
      <c r="G505" s="81" t="s">
        <v>3750</v>
      </c>
    </row>
    <row r="506" spans="1:7" x14ac:dyDescent="0.3">
      <c r="A506" s="81" t="s">
        <v>1604</v>
      </c>
      <c r="B506" s="81" t="s">
        <v>3784</v>
      </c>
      <c r="C506" s="81" t="s">
        <v>16</v>
      </c>
      <c r="D506" s="81" t="s">
        <v>404</v>
      </c>
      <c r="E506" s="81" t="s">
        <v>377</v>
      </c>
      <c r="F506" s="81" t="s">
        <v>7080</v>
      </c>
      <c r="G506" s="81" t="s">
        <v>3751</v>
      </c>
    </row>
    <row r="507" spans="1:7" x14ac:dyDescent="0.3">
      <c r="A507" s="81" t="s">
        <v>1604</v>
      </c>
      <c r="B507" s="81" t="s">
        <v>3784</v>
      </c>
      <c r="C507" s="81" t="s">
        <v>16</v>
      </c>
      <c r="D507" s="81" t="s">
        <v>404</v>
      </c>
      <c r="E507" s="81" t="s">
        <v>381</v>
      </c>
      <c r="F507" s="81" t="s">
        <v>7080</v>
      </c>
      <c r="G507" s="81" t="s">
        <v>3752</v>
      </c>
    </row>
    <row r="508" spans="1:7" x14ac:dyDescent="0.3">
      <c r="A508" s="81" t="s">
        <v>1604</v>
      </c>
      <c r="B508" s="81" t="s">
        <v>3784</v>
      </c>
      <c r="C508" s="81" t="s">
        <v>16</v>
      </c>
      <c r="D508" s="81" t="s">
        <v>404</v>
      </c>
      <c r="E508" s="81" t="s">
        <v>379</v>
      </c>
      <c r="F508" s="81" t="s">
        <v>7080</v>
      </c>
      <c r="G508" s="81" t="s">
        <v>3753</v>
      </c>
    </row>
    <row r="509" spans="1:7" x14ac:dyDescent="0.3">
      <c r="A509" s="81" t="s">
        <v>1604</v>
      </c>
      <c r="B509" s="81" t="s">
        <v>3784</v>
      </c>
      <c r="C509" s="81" t="s">
        <v>16</v>
      </c>
      <c r="D509" s="81" t="s">
        <v>404</v>
      </c>
      <c r="E509" s="81" t="s">
        <v>374</v>
      </c>
      <c r="F509" s="81" t="s">
        <v>7080</v>
      </c>
      <c r="G509" s="81" t="s">
        <v>3754</v>
      </c>
    </row>
    <row r="510" spans="1:7" x14ac:dyDescent="0.3">
      <c r="A510" s="81" t="s">
        <v>1604</v>
      </c>
      <c r="B510" s="81" t="s">
        <v>3784</v>
      </c>
      <c r="C510" s="81" t="s">
        <v>16</v>
      </c>
      <c r="D510" s="81" t="s">
        <v>404</v>
      </c>
      <c r="E510" s="81" t="s">
        <v>383</v>
      </c>
      <c r="F510" s="81" t="s">
        <v>7080</v>
      </c>
      <c r="G510" s="81" t="s">
        <v>3755</v>
      </c>
    </row>
    <row r="511" spans="1:7" x14ac:dyDescent="0.3">
      <c r="A511" s="81" t="s">
        <v>1604</v>
      </c>
      <c r="B511" s="81" t="s">
        <v>3784</v>
      </c>
      <c r="C511" s="81" t="s">
        <v>16</v>
      </c>
      <c r="D511" s="81" t="s">
        <v>404</v>
      </c>
      <c r="E511" s="81" t="s">
        <v>373</v>
      </c>
      <c r="F511" s="81" t="s">
        <v>7080</v>
      </c>
      <c r="G511" s="81" t="s">
        <v>3756</v>
      </c>
    </row>
    <row r="512" spans="1:7" x14ac:dyDescent="0.3">
      <c r="A512" s="81" t="s">
        <v>1604</v>
      </c>
      <c r="B512" s="81" t="s">
        <v>3784</v>
      </c>
      <c r="C512" s="81" t="s">
        <v>16</v>
      </c>
      <c r="D512" s="81" t="s">
        <v>404</v>
      </c>
      <c r="E512" s="81" t="s">
        <v>368</v>
      </c>
      <c r="F512" s="81" t="s">
        <v>7080</v>
      </c>
      <c r="G512" s="81" t="s">
        <v>3757</v>
      </c>
    </row>
    <row r="513" spans="1:7" x14ac:dyDescent="0.3">
      <c r="A513" s="81" t="s">
        <v>1604</v>
      </c>
      <c r="B513" s="81" t="s">
        <v>3784</v>
      </c>
      <c r="C513" s="81" t="s">
        <v>16</v>
      </c>
      <c r="D513" s="81" t="s">
        <v>404</v>
      </c>
      <c r="E513" s="81" t="s">
        <v>372</v>
      </c>
      <c r="F513" s="81" t="s">
        <v>7080</v>
      </c>
      <c r="G513" s="81" t="s">
        <v>3758</v>
      </c>
    </row>
    <row r="514" spans="1:7" x14ac:dyDescent="0.3">
      <c r="A514" s="81" t="s">
        <v>1604</v>
      </c>
      <c r="B514" s="81" t="s">
        <v>3784</v>
      </c>
      <c r="C514" s="81" t="s">
        <v>16</v>
      </c>
      <c r="D514" s="81" t="s">
        <v>404</v>
      </c>
      <c r="E514" s="81" t="s">
        <v>375</v>
      </c>
      <c r="F514" s="81" t="s">
        <v>7080</v>
      </c>
      <c r="G514" s="81" t="s">
        <v>3759</v>
      </c>
    </row>
    <row r="515" spans="1:7" x14ac:dyDescent="0.3">
      <c r="A515" s="81" t="s">
        <v>1604</v>
      </c>
      <c r="B515" s="81" t="s">
        <v>3784</v>
      </c>
      <c r="C515" s="81" t="s">
        <v>16</v>
      </c>
      <c r="D515" s="81" t="s">
        <v>404</v>
      </c>
      <c r="E515" s="81" t="s">
        <v>380</v>
      </c>
      <c r="F515" s="81" t="s">
        <v>7080</v>
      </c>
      <c r="G515" s="81" t="s">
        <v>3760</v>
      </c>
    </row>
    <row r="516" spans="1:7" x14ac:dyDescent="0.3">
      <c r="A516" s="81" t="s">
        <v>1604</v>
      </c>
      <c r="B516" s="81" t="s">
        <v>3784</v>
      </c>
      <c r="C516" s="81" t="s">
        <v>16</v>
      </c>
      <c r="D516" s="81" t="s">
        <v>1606</v>
      </c>
      <c r="E516" s="81" t="s">
        <v>369</v>
      </c>
      <c r="F516" s="81" t="s">
        <v>7080</v>
      </c>
      <c r="G516" s="81" t="s">
        <v>3745</v>
      </c>
    </row>
    <row r="517" spans="1:7" x14ac:dyDescent="0.3">
      <c r="A517" s="81" t="s">
        <v>1604</v>
      </c>
      <c r="B517" s="81" t="s">
        <v>3784</v>
      </c>
      <c r="C517" s="81" t="s">
        <v>16</v>
      </c>
      <c r="D517" s="81" t="s">
        <v>1606</v>
      </c>
      <c r="E517" s="81" t="s">
        <v>382</v>
      </c>
      <c r="F517" s="81" t="s">
        <v>7080</v>
      </c>
      <c r="G517" s="81" t="s">
        <v>3746</v>
      </c>
    </row>
    <row r="518" spans="1:7" x14ac:dyDescent="0.3">
      <c r="A518" s="81" t="s">
        <v>1604</v>
      </c>
      <c r="B518" s="81" t="s">
        <v>3784</v>
      </c>
      <c r="C518" s="81" t="s">
        <v>16</v>
      </c>
      <c r="D518" s="81" t="s">
        <v>1606</v>
      </c>
      <c r="E518" s="81" t="s">
        <v>370</v>
      </c>
      <c r="F518" s="81" t="s">
        <v>7080</v>
      </c>
      <c r="G518" s="81" t="s">
        <v>3747</v>
      </c>
    </row>
    <row r="519" spans="1:7" x14ac:dyDescent="0.3">
      <c r="A519" s="81" t="s">
        <v>1604</v>
      </c>
      <c r="B519" s="81" t="s">
        <v>3784</v>
      </c>
      <c r="C519" s="81" t="s">
        <v>16</v>
      </c>
      <c r="D519" s="81" t="s">
        <v>1606</v>
      </c>
      <c r="E519" s="81" t="s">
        <v>378</v>
      </c>
      <c r="F519" s="81" t="s">
        <v>7080</v>
      </c>
      <c r="G519" s="81" t="s">
        <v>3748</v>
      </c>
    </row>
    <row r="520" spans="1:7" x14ac:dyDescent="0.3">
      <c r="A520" s="81" t="s">
        <v>1604</v>
      </c>
      <c r="B520" s="81" t="s">
        <v>3784</v>
      </c>
      <c r="C520" s="81" t="s">
        <v>16</v>
      </c>
      <c r="D520" s="81" t="s">
        <v>1606</v>
      </c>
      <c r="E520" s="81" t="s">
        <v>371</v>
      </c>
      <c r="F520" s="81" t="s">
        <v>7080</v>
      </c>
      <c r="G520" s="81" t="s">
        <v>3749</v>
      </c>
    </row>
    <row r="521" spans="1:7" x14ac:dyDescent="0.3">
      <c r="A521" s="81" t="s">
        <v>1604</v>
      </c>
      <c r="B521" s="81" t="s">
        <v>3784</v>
      </c>
      <c r="C521" s="81" t="s">
        <v>16</v>
      </c>
      <c r="D521" s="81" t="s">
        <v>1606</v>
      </c>
      <c r="E521" s="81" t="s">
        <v>376</v>
      </c>
      <c r="F521" s="81" t="s">
        <v>7080</v>
      </c>
      <c r="G521" s="81" t="s">
        <v>3750</v>
      </c>
    </row>
    <row r="522" spans="1:7" x14ac:dyDescent="0.3">
      <c r="A522" s="81" t="s">
        <v>1604</v>
      </c>
      <c r="B522" s="81" t="s">
        <v>3784</v>
      </c>
      <c r="C522" s="81" t="s">
        <v>16</v>
      </c>
      <c r="D522" s="81" t="s">
        <v>1606</v>
      </c>
      <c r="E522" s="81" t="s">
        <v>377</v>
      </c>
      <c r="F522" s="81" t="s">
        <v>7080</v>
      </c>
      <c r="G522" s="81" t="s">
        <v>3751</v>
      </c>
    </row>
    <row r="523" spans="1:7" x14ac:dyDescent="0.3">
      <c r="A523" s="81" t="s">
        <v>1604</v>
      </c>
      <c r="B523" s="81" t="s">
        <v>3784</v>
      </c>
      <c r="C523" s="81" t="s">
        <v>16</v>
      </c>
      <c r="D523" s="81" t="s">
        <v>1606</v>
      </c>
      <c r="E523" s="81" t="s">
        <v>381</v>
      </c>
      <c r="F523" s="81" t="s">
        <v>7080</v>
      </c>
      <c r="G523" s="81" t="s">
        <v>3752</v>
      </c>
    </row>
    <row r="524" spans="1:7" x14ac:dyDescent="0.3">
      <c r="A524" s="81" t="s">
        <v>1604</v>
      </c>
      <c r="B524" s="81" t="s">
        <v>3784</v>
      </c>
      <c r="C524" s="81" t="s">
        <v>16</v>
      </c>
      <c r="D524" s="81" t="s">
        <v>1606</v>
      </c>
      <c r="E524" s="81" t="s">
        <v>379</v>
      </c>
      <c r="F524" s="81" t="s">
        <v>7080</v>
      </c>
      <c r="G524" s="81" t="s">
        <v>3753</v>
      </c>
    </row>
    <row r="525" spans="1:7" x14ac:dyDescent="0.3">
      <c r="A525" s="81" t="s">
        <v>1604</v>
      </c>
      <c r="B525" s="81" t="s">
        <v>3784</v>
      </c>
      <c r="C525" s="81" t="s">
        <v>16</v>
      </c>
      <c r="D525" s="81" t="s">
        <v>1606</v>
      </c>
      <c r="E525" s="81" t="s">
        <v>374</v>
      </c>
      <c r="F525" s="81" t="s">
        <v>7080</v>
      </c>
      <c r="G525" s="81" t="s">
        <v>3754</v>
      </c>
    </row>
    <row r="526" spans="1:7" x14ac:dyDescent="0.3">
      <c r="A526" s="81" t="s">
        <v>1604</v>
      </c>
      <c r="B526" s="81" t="s">
        <v>3784</v>
      </c>
      <c r="C526" s="81" t="s">
        <v>16</v>
      </c>
      <c r="D526" s="81" t="s">
        <v>1606</v>
      </c>
      <c r="E526" s="81" t="s">
        <v>383</v>
      </c>
      <c r="F526" s="81" t="s">
        <v>7080</v>
      </c>
      <c r="G526" s="81" t="s">
        <v>3755</v>
      </c>
    </row>
    <row r="527" spans="1:7" x14ac:dyDescent="0.3">
      <c r="A527" s="81" t="s">
        <v>1604</v>
      </c>
      <c r="B527" s="81" t="s">
        <v>3784</v>
      </c>
      <c r="C527" s="81" t="s">
        <v>16</v>
      </c>
      <c r="D527" s="81" t="s">
        <v>1606</v>
      </c>
      <c r="E527" s="81" t="s">
        <v>373</v>
      </c>
      <c r="F527" s="81" t="s">
        <v>7080</v>
      </c>
      <c r="G527" s="81" t="s">
        <v>3756</v>
      </c>
    </row>
    <row r="528" spans="1:7" x14ac:dyDescent="0.3">
      <c r="A528" s="81" t="s">
        <v>1604</v>
      </c>
      <c r="B528" s="81" t="s">
        <v>3784</v>
      </c>
      <c r="C528" s="81" t="s">
        <v>16</v>
      </c>
      <c r="D528" s="81" t="s">
        <v>1606</v>
      </c>
      <c r="E528" s="81" t="s">
        <v>368</v>
      </c>
      <c r="F528" s="81" t="s">
        <v>7080</v>
      </c>
      <c r="G528" s="81" t="s">
        <v>3757</v>
      </c>
    </row>
    <row r="529" spans="1:7" x14ac:dyDescent="0.3">
      <c r="A529" s="81" t="s">
        <v>1604</v>
      </c>
      <c r="B529" s="81" t="s">
        <v>3784</v>
      </c>
      <c r="C529" s="81" t="s">
        <v>16</v>
      </c>
      <c r="D529" s="81" t="s">
        <v>1606</v>
      </c>
      <c r="E529" s="81" t="s">
        <v>372</v>
      </c>
      <c r="F529" s="81" t="s">
        <v>7080</v>
      </c>
      <c r="G529" s="81" t="s">
        <v>3758</v>
      </c>
    </row>
    <row r="530" spans="1:7" x14ac:dyDescent="0.3">
      <c r="A530" s="81" t="s">
        <v>1604</v>
      </c>
      <c r="B530" s="81" t="s">
        <v>3784</v>
      </c>
      <c r="C530" s="81" t="s">
        <v>16</v>
      </c>
      <c r="D530" s="81" t="s">
        <v>1606</v>
      </c>
      <c r="E530" s="81" t="s">
        <v>375</v>
      </c>
      <c r="F530" s="81" t="s">
        <v>7080</v>
      </c>
      <c r="G530" s="81" t="s">
        <v>3759</v>
      </c>
    </row>
    <row r="531" spans="1:7" x14ac:dyDescent="0.3">
      <c r="A531" s="81" t="s">
        <v>1604</v>
      </c>
      <c r="B531" s="81" t="s">
        <v>3784</v>
      </c>
      <c r="C531" s="81" t="s">
        <v>16</v>
      </c>
      <c r="D531" s="81" t="s">
        <v>1606</v>
      </c>
      <c r="E531" s="81" t="s">
        <v>380</v>
      </c>
      <c r="F531" s="81" t="s">
        <v>7080</v>
      </c>
      <c r="G531" s="81" t="s">
        <v>3760</v>
      </c>
    </row>
    <row r="532" spans="1:7" x14ac:dyDescent="0.3">
      <c r="A532" s="81" t="s">
        <v>1604</v>
      </c>
      <c r="B532" s="81" t="s">
        <v>3784</v>
      </c>
      <c r="C532" s="81" t="s">
        <v>16</v>
      </c>
      <c r="D532" s="81" t="s">
        <v>1637</v>
      </c>
      <c r="E532" s="81" t="s">
        <v>369</v>
      </c>
      <c r="F532" s="81" t="s">
        <v>7080</v>
      </c>
      <c r="G532" s="81" t="s">
        <v>3729</v>
      </c>
    </row>
    <row r="533" spans="1:7" x14ac:dyDescent="0.3">
      <c r="A533" s="81" t="s">
        <v>1604</v>
      </c>
      <c r="B533" s="81" t="s">
        <v>3784</v>
      </c>
      <c r="C533" s="81" t="s">
        <v>16</v>
      </c>
      <c r="D533" s="81" t="s">
        <v>1637</v>
      </c>
      <c r="E533" s="81" t="s">
        <v>382</v>
      </c>
      <c r="F533" s="81" t="s">
        <v>7080</v>
      </c>
      <c r="G533" s="81" t="s">
        <v>3730</v>
      </c>
    </row>
    <row r="534" spans="1:7" x14ac:dyDescent="0.3">
      <c r="A534" s="81" t="s">
        <v>1604</v>
      </c>
      <c r="B534" s="81" t="s">
        <v>3784</v>
      </c>
      <c r="C534" s="81" t="s">
        <v>16</v>
      </c>
      <c r="D534" s="81" t="s">
        <v>1637</v>
      </c>
      <c r="E534" s="81" t="s">
        <v>370</v>
      </c>
      <c r="F534" s="81" t="s">
        <v>7080</v>
      </c>
      <c r="G534" s="81" t="s">
        <v>3731</v>
      </c>
    </row>
    <row r="535" spans="1:7" x14ac:dyDescent="0.3">
      <c r="A535" s="81" t="s">
        <v>1604</v>
      </c>
      <c r="B535" s="81" t="s">
        <v>3784</v>
      </c>
      <c r="C535" s="81" t="s">
        <v>16</v>
      </c>
      <c r="D535" s="81" t="s">
        <v>1637</v>
      </c>
      <c r="E535" s="81" t="s">
        <v>378</v>
      </c>
      <c r="F535" s="81" t="s">
        <v>7080</v>
      </c>
      <c r="G535" s="81" t="s">
        <v>3732</v>
      </c>
    </row>
    <row r="536" spans="1:7" x14ac:dyDescent="0.3">
      <c r="A536" s="81" t="s">
        <v>1604</v>
      </c>
      <c r="B536" s="81" t="s">
        <v>3784</v>
      </c>
      <c r="C536" s="81" t="s">
        <v>16</v>
      </c>
      <c r="D536" s="81" t="s">
        <v>1637</v>
      </c>
      <c r="E536" s="81" t="s">
        <v>371</v>
      </c>
      <c r="F536" s="81" t="s">
        <v>7080</v>
      </c>
      <c r="G536" s="81" t="s">
        <v>3733</v>
      </c>
    </row>
    <row r="537" spans="1:7" x14ac:dyDescent="0.3">
      <c r="A537" s="81" t="s">
        <v>1604</v>
      </c>
      <c r="B537" s="81" t="s">
        <v>3784</v>
      </c>
      <c r="C537" s="81" t="s">
        <v>16</v>
      </c>
      <c r="D537" s="81" t="s">
        <v>1637</v>
      </c>
      <c r="E537" s="81" t="s">
        <v>376</v>
      </c>
      <c r="F537" s="81" t="s">
        <v>7080</v>
      </c>
      <c r="G537" s="81" t="s">
        <v>3734</v>
      </c>
    </row>
    <row r="538" spans="1:7" x14ac:dyDescent="0.3">
      <c r="A538" s="81" t="s">
        <v>1604</v>
      </c>
      <c r="B538" s="81" t="s">
        <v>3784</v>
      </c>
      <c r="C538" s="81" t="s">
        <v>16</v>
      </c>
      <c r="D538" s="81" t="s">
        <v>1637</v>
      </c>
      <c r="E538" s="81" t="s">
        <v>377</v>
      </c>
      <c r="F538" s="81" t="s">
        <v>7080</v>
      </c>
      <c r="G538" s="81" t="s">
        <v>3735</v>
      </c>
    </row>
    <row r="539" spans="1:7" x14ac:dyDescent="0.3">
      <c r="A539" s="81" t="s">
        <v>1604</v>
      </c>
      <c r="B539" s="81" t="s">
        <v>3784</v>
      </c>
      <c r="C539" s="81" t="s">
        <v>16</v>
      </c>
      <c r="D539" s="81" t="s">
        <v>1637</v>
      </c>
      <c r="E539" s="81" t="s">
        <v>381</v>
      </c>
      <c r="F539" s="81" t="s">
        <v>7080</v>
      </c>
      <c r="G539" s="81" t="s">
        <v>3736</v>
      </c>
    </row>
    <row r="540" spans="1:7" x14ac:dyDescent="0.3">
      <c r="A540" s="81" t="s">
        <v>1604</v>
      </c>
      <c r="B540" s="81" t="s">
        <v>3784</v>
      </c>
      <c r="C540" s="81" t="s">
        <v>16</v>
      </c>
      <c r="D540" s="81" t="s">
        <v>1637</v>
      </c>
      <c r="E540" s="81" t="s">
        <v>379</v>
      </c>
      <c r="F540" s="81" t="s">
        <v>7080</v>
      </c>
      <c r="G540" s="81" t="s">
        <v>3737</v>
      </c>
    </row>
    <row r="541" spans="1:7" x14ac:dyDescent="0.3">
      <c r="A541" s="81" t="s">
        <v>1604</v>
      </c>
      <c r="B541" s="81" t="s">
        <v>3784</v>
      </c>
      <c r="C541" s="81" t="s">
        <v>16</v>
      </c>
      <c r="D541" s="81" t="s">
        <v>1637</v>
      </c>
      <c r="E541" s="81" t="s">
        <v>374</v>
      </c>
      <c r="F541" s="81" t="s">
        <v>7080</v>
      </c>
      <c r="G541" s="81" t="s">
        <v>3738</v>
      </c>
    </row>
    <row r="542" spans="1:7" x14ac:dyDescent="0.3">
      <c r="A542" s="81" t="s">
        <v>1604</v>
      </c>
      <c r="B542" s="81" t="s">
        <v>3784</v>
      </c>
      <c r="C542" s="81" t="s">
        <v>16</v>
      </c>
      <c r="D542" s="81" t="s">
        <v>1637</v>
      </c>
      <c r="E542" s="81" t="s">
        <v>383</v>
      </c>
      <c r="F542" s="81" t="s">
        <v>7080</v>
      </c>
      <c r="G542" s="81" t="s">
        <v>3739</v>
      </c>
    </row>
    <row r="543" spans="1:7" x14ac:dyDescent="0.3">
      <c r="A543" s="81" t="s">
        <v>1604</v>
      </c>
      <c r="B543" s="81" t="s">
        <v>3784</v>
      </c>
      <c r="C543" s="81" t="s">
        <v>16</v>
      </c>
      <c r="D543" s="81" t="s">
        <v>1637</v>
      </c>
      <c r="E543" s="81" t="s">
        <v>373</v>
      </c>
      <c r="F543" s="81" t="s">
        <v>7080</v>
      </c>
      <c r="G543" s="81" t="s">
        <v>3740</v>
      </c>
    </row>
    <row r="544" spans="1:7" x14ac:dyDescent="0.3">
      <c r="A544" s="81" t="s">
        <v>1604</v>
      </c>
      <c r="B544" s="81" t="s">
        <v>3784</v>
      </c>
      <c r="C544" s="81" t="s">
        <v>16</v>
      </c>
      <c r="D544" s="81" t="s">
        <v>1637</v>
      </c>
      <c r="E544" s="81" t="s">
        <v>368</v>
      </c>
      <c r="F544" s="81" t="s">
        <v>7080</v>
      </c>
      <c r="G544" s="81" t="s">
        <v>3741</v>
      </c>
    </row>
    <row r="545" spans="1:7" x14ac:dyDescent="0.3">
      <c r="A545" s="81" t="s">
        <v>1604</v>
      </c>
      <c r="B545" s="81" t="s">
        <v>3784</v>
      </c>
      <c r="C545" s="81" t="s">
        <v>16</v>
      </c>
      <c r="D545" s="81" t="s">
        <v>1637</v>
      </c>
      <c r="E545" s="81" t="s">
        <v>372</v>
      </c>
      <c r="F545" s="81" t="s">
        <v>7080</v>
      </c>
      <c r="G545" s="81" t="s">
        <v>3742</v>
      </c>
    </row>
    <row r="546" spans="1:7" x14ac:dyDescent="0.3">
      <c r="A546" s="81" t="s">
        <v>1604</v>
      </c>
      <c r="B546" s="81" t="s">
        <v>3784</v>
      </c>
      <c r="C546" s="81" t="s">
        <v>16</v>
      </c>
      <c r="D546" s="81" t="s">
        <v>1637</v>
      </c>
      <c r="E546" s="81" t="s">
        <v>375</v>
      </c>
      <c r="F546" s="81" t="s">
        <v>7080</v>
      </c>
      <c r="G546" s="81" t="s">
        <v>3743</v>
      </c>
    </row>
    <row r="547" spans="1:7" x14ac:dyDescent="0.3">
      <c r="A547" s="81" t="s">
        <v>1604</v>
      </c>
      <c r="B547" s="81" t="s">
        <v>3784</v>
      </c>
      <c r="C547" s="81" t="s">
        <v>16</v>
      </c>
      <c r="D547" s="81" t="s">
        <v>1637</v>
      </c>
      <c r="E547" s="81" t="s">
        <v>380</v>
      </c>
      <c r="F547" s="81" t="s">
        <v>7080</v>
      </c>
      <c r="G547" s="81" t="s">
        <v>3744</v>
      </c>
    </row>
    <row r="548" spans="1:7" x14ac:dyDescent="0.3">
      <c r="A548" s="81" t="s">
        <v>1614</v>
      </c>
      <c r="B548" s="81" t="s">
        <v>3768</v>
      </c>
      <c r="C548" s="81" t="s">
        <v>20</v>
      </c>
      <c r="D548" s="81" t="s">
        <v>404</v>
      </c>
      <c r="E548" s="81" t="s">
        <v>15</v>
      </c>
      <c r="F548" s="81" t="s">
        <v>1618</v>
      </c>
      <c r="G548" s="81">
        <v>0</v>
      </c>
    </row>
    <row r="549" spans="1:7" x14ac:dyDescent="0.3">
      <c r="A549" s="81" t="s">
        <v>1615</v>
      </c>
      <c r="B549" s="81" t="s">
        <v>3768</v>
      </c>
      <c r="C549" s="81" t="s">
        <v>20</v>
      </c>
      <c r="D549" s="81" t="s">
        <v>404</v>
      </c>
      <c r="E549" s="81" t="s">
        <v>15</v>
      </c>
      <c r="F549" s="81" t="s">
        <v>1619</v>
      </c>
      <c r="G549" s="81">
        <v>0</v>
      </c>
    </row>
    <row r="550" spans="1:7" x14ac:dyDescent="0.3">
      <c r="A550" s="81" t="s">
        <v>1615</v>
      </c>
      <c r="B550" s="81" t="s">
        <v>3768</v>
      </c>
      <c r="C550" s="81" t="s">
        <v>20</v>
      </c>
      <c r="D550" s="81" t="s">
        <v>404</v>
      </c>
      <c r="E550" s="81" t="s">
        <v>15</v>
      </c>
      <c r="F550" s="81" t="s">
        <v>1638</v>
      </c>
      <c r="G550" s="81">
        <v>0</v>
      </c>
    </row>
    <row r="551" spans="1:7" x14ac:dyDescent="0.3">
      <c r="A551" s="81" t="s">
        <v>1623</v>
      </c>
      <c r="B551" s="81" t="s">
        <v>3768</v>
      </c>
      <c r="C551" s="81" t="s">
        <v>20</v>
      </c>
      <c r="D551" s="81" t="s">
        <v>404</v>
      </c>
      <c r="E551" s="81" t="s">
        <v>15</v>
      </c>
      <c r="F551" s="81" t="s">
        <v>1622</v>
      </c>
      <c r="G551" s="81">
        <v>0</v>
      </c>
    </row>
    <row r="552" spans="1:7" x14ac:dyDescent="0.3">
      <c r="A552" s="81" t="s">
        <v>1624</v>
      </c>
      <c r="B552" s="81" t="s">
        <v>3768</v>
      </c>
      <c r="C552" s="81" t="s">
        <v>20</v>
      </c>
      <c r="D552" s="81" t="s">
        <v>404</v>
      </c>
      <c r="E552" s="81" t="s">
        <v>15</v>
      </c>
      <c r="F552" s="81" t="s">
        <v>1626</v>
      </c>
      <c r="G552" s="81">
        <v>0</v>
      </c>
    </row>
    <row r="553" spans="1:7" x14ac:dyDescent="0.3">
      <c r="A553" s="81" t="s">
        <v>1663</v>
      </c>
      <c r="B553" s="81" t="s">
        <v>1653</v>
      </c>
      <c r="C553" s="81" t="s">
        <v>20</v>
      </c>
      <c r="D553" s="81" t="s">
        <v>1032</v>
      </c>
      <c r="E553" s="81" t="s">
        <v>15</v>
      </c>
      <c r="F553" s="81" t="s">
        <v>1657</v>
      </c>
      <c r="G553" s="81" t="s">
        <v>1033</v>
      </c>
    </row>
    <row r="554" spans="1:7" x14ac:dyDescent="0.3">
      <c r="A554" s="81" t="s">
        <v>1663</v>
      </c>
      <c r="B554" s="81" t="s">
        <v>1653</v>
      </c>
      <c r="C554" s="81" t="s">
        <v>16</v>
      </c>
      <c r="D554" s="81" t="s">
        <v>18</v>
      </c>
      <c r="E554" s="81" t="s">
        <v>369</v>
      </c>
      <c r="F554" s="81" t="s">
        <v>1657</v>
      </c>
      <c r="G554" s="81" t="s">
        <v>3729</v>
      </c>
    </row>
    <row r="555" spans="1:7" x14ac:dyDescent="0.3">
      <c r="A555" s="81" t="s">
        <v>1663</v>
      </c>
      <c r="B555" s="81" t="s">
        <v>1653</v>
      </c>
      <c r="C555" s="81" t="s">
        <v>16</v>
      </c>
      <c r="D555" s="81" t="s">
        <v>18</v>
      </c>
      <c r="E555" s="81" t="s">
        <v>382</v>
      </c>
      <c r="F555" s="81" t="s">
        <v>1657</v>
      </c>
      <c r="G555" s="81" t="s">
        <v>3730</v>
      </c>
    </row>
    <row r="556" spans="1:7" x14ac:dyDescent="0.3">
      <c r="A556" s="81" t="s">
        <v>1663</v>
      </c>
      <c r="B556" s="81" t="s">
        <v>1653</v>
      </c>
      <c r="C556" s="81" t="s">
        <v>16</v>
      </c>
      <c r="D556" s="81" t="s">
        <v>18</v>
      </c>
      <c r="E556" s="81" t="s">
        <v>370</v>
      </c>
      <c r="F556" s="81" t="s">
        <v>1657</v>
      </c>
      <c r="G556" s="81" t="s">
        <v>3731</v>
      </c>
    </row>
    <row r="557" spans="1:7" x14ac:dyDescent="0.3">
      <c r="A557" s="81" t="s">
        <v>1663</v>
      </c>
      <c r="B557" s="81" t="s">
        <v>1653</v>
      </c>
      <c r="C557" s="81" t="s">
        <v>16</v>
      </c>
      <c r="D557" s="81" t="s">
        <v>18</v>
      </c>
      <c r="E557" s="81" t="s">
        <v>378</v>
      </c>
      <c r="F557" s="81" t="s">
        <v>1657</v>
      </c>
      <c r="G557" s="81" t="s">
        <v>3732</v>
      </c>
    </row>
    <row r="558" spans="1:7" x14ac:dyDescent="0.3">
      <c r="A558" s="81" t="s">
        <v>1663</v>
      </c>
      <c r="B558" s="81" t="s">
        <v>1653</v>
      </c>
      <c r="C558" s="81" t="s">
        <v>16</v>
      </c>
      <c r="D558" s="81" t="s">
        <v>18</v>
      </c>
      <c r="E558" s="81" t="s">
        <v>371</v>
      </c>
      <c r="F558" s="81" t="s">
        <v>1657</v>
      </c>
      <c r="G558" s="81" t="s">
        <v>3733</v>
      </c>
    </row>
    <row r="559" spans="1:7" x14ac:dyDescent="0.3">
      <c r="A559" s="81" t="s">
        <v>1663</v>
      </c>
      <c r="B559" s="81" t="s">
        <v>1653</v>
      </c>
      <c r="C559" s="81" t="s">
        <v>16</v>
      </c>
      <c r="D559" s="81" t="s">
        <v>18</v>
      </c>
      <c r="E559" s="81" t="s">
        <v>376</v>
      </c>
      <c r="F559" s="81" t="s">
        <v>1657</v>
      </c>
      <c r="G559" s="81" t="s">
        <v>3734</v>
      </c>
    </row>
    <row r="560" spans="1:7" x14ac:dyDescent="0.3">
      <c r="A560" s="81" t="s">
        <v>1663</v>
      </c>
      <c r="B560" s="81" t="s">
        <v>1653</v>
      </c>
      <c r="C560" s="81" t="s">
        <v>16</v>
      </c>
      <c r="D560" s="81" t="s">
        <v>18</v>
      </c>
      <c r="E560" s="81" t="s">
        <v>377</v>
      </c>
      <c r="F560" s="81" t="s">
        <v>1657</v>
      </c>
      <c r="G560" s="81" t="s">
        <v>3735</v>
      </c>
    </row>
    <row r="561" spans="1:7" x14ac:dyDescent="0.3">
      <c r="A561" s="81" t="s">
        <v>1663</v>
      </c>
      <c r="B561" s="81" t="s">
        <v>1653</v>
      </c>
      <c r="C561" s="81" t="s">
        <v>16</v>
      </c>
      <c r="D561" s="81" t="s">
        <v>18</v>
      </c>
      <c r="E561" s="81" t="s">
        <v>381</v>
      </c>
      <c r="F561" s="81" t="s">
        <v>1657</v>
      </c>
      <c r="G561" s="81" t="s">
        <v>3736</v>
      </c>
    </row>
    <row r="562" spans="1:7" x14ac:dyDescent="0.3">
      <c r="A562" s="81" t="s">
        <v>1663</v>
      </c>
      <c r="B562" s="81" t="s">
        <v>1653</v>
      </c>
      <c r="C562" s="81" t="s">
        <v>16</v>
      </c>
      <c r="D562" s="81" t="s">
        <v>18</v>
      </c>
      <c r="E562" s="81" t="s">
        <v>379</v>
      </c>
      <c r="F562" s="81" t="s">
        <v>1657</v>
      </c>
      <c r="G562" s="81" t="s">
        <v>3737</v>
      </c>
    </row>
    <row r="563" spans="1:7" x14ac:dyDescent="0.3">
      <c r="A563" s="81" t="s">
        <v>1663</v>
      </c>
      <c r="B563" s="81" t="s">
        <v>1653</v>
      </c>
      <c r="C563" s="81" t="s">
        <v>16</v>
      </c>
      <c r="D563" s="81" t="s">
        <v>18</v>
      </c>
      <c r="E563" s="81" t="s">
        <v>374</v>
      </c>
      <c r="F563" s="81" t="s">
        <v>1657</v>
      </c>
      <c r="G563" s="81" t="s">
        <v>3738</v>
      </c>
    </row>
    <row r="564" spans="1:7" x14ac:dyDescent="0.3">
      <c r="A564" s="81" t="s">
        <v>1663</v>
      </c>
      <c r="B564" s="81" t="s">
        <v>1653</v>
      </c>
      <c r="C564" s="81" t="s">
        <v>16</v>
      </c>
      <c r="D564" s="81" t="s">
        <v>18</v>
      </c>
      <c r="E564" s="81" t="s">
        <v>383</v>
      </c>
      <c r="F564" s="81" t="s">
        <v>1657</v>
      </c>
      <c r="G564" s="81" t="s">
        <v>3739</v>
      </c>
    </row>
    <row r="565" spans="1:7" x14ac:dyDescent="0.3">
      <c r="A565" s="81" t="s">
        <v>1663</v>
      </c>
      <c r="B565" s="81" t="s">
        <v>1653</v>
      </c>
      <c r="C565" s="81" t="s">
        <v>16</v>
      </c>
      <c r="D565" s="81" t="s">
        <v>18</v>
      </c>
      <c r="E565" s="81" t="s">
        <v>373</v>
      </c>
      <c r="F565" s="81" t="s">
        <v>1657</v>
      </c>
      <c r="G565" s="81" t="s">
        <v>3740</v>
      </c>
    </row>
    <row r="566" spans="1:7" x14ac:dyDescent="0.3">
      <c r="A566" s="81" t="s">
        <v>1663</v>
      </c>
      <c r="B566" s="81" t="s">
        <v>1653</v>
      </c>
      <c r="C566" s="81" t="s">
        <v>16</v>
      </c>
      <c r="D566" s="81" t="s">
        <v>18</v>
      </c>
      <c r="E566" s="81" t="s">
        <v>368</v>
      </c>
      <c r="F566" s="81" t="s">
        <v>1657</v>
      </c>
      <c r="G566" s="81" t="s">
        <v>3741</v>
      </c>
    </row>
    <row r="567" spans="1:7" x14ac:dyDescent="0.3">
      <c r="A567" s="81" t="s">
        <v>1663</v>
      </c>
      <c r="B567" s="81" t="s">
        <v>1653</v>
      </c>
      <c r="C567" s="81" t="s">
        <v>16</v>
      </c>
      <c r="D567" s="81" t="s">
        <v>18</v>
      </c>
      <c r="E567" s="81" t="s">
        <v>372</v>
      </c>
      <c r="F567" s="81" t="s">
        <v>1657</v>
      </c>
      <c r="G567" s="81" t="s">
        <v>3742</v>
      </c>
    </row>
    <row r="568" spans="1:7" x14ac:dyDescent="0.3">
      <c r="A568" s="81" t="s">
        <v>1663</v>
      </c>
      <c r="B568" s="81" t="s">
        <v>1653</v>
      </c>
      <c r="C568" s="81" t="s">
        <v>16</v>
      </c>
      <c r="D568" s="81" t="s">
        <v>18</v>
      </c>
      <c r="E568" s="81" t="s">
        <v>375</v>
      </c>
      <c r="F568" s="81" t="s">
        <v>1657</v>
      </c>
      <c r="G568" s="81" t="s">
        <v>3743</v>
      </c>
    </row>
    <row r="569" spans="1:7" x14ac:dyDescent="0.3">
      <c r="A569" s="81" t="s">
        <v>1663</v>
      </c>
      <c r="B569" s="81" t="s">
        <v>1653</v>
      </c>
      <c r="C569" s="81" t="s">
        <v>16</v>
      </c>
      <c r="D569" s="81" t="s">
        <v>18</v>
      </c>
      <c r="E569" s="81" t="s">
        <v>380</v>
      </c>
      <c r="F569" s="81" t="s">
        <v>1657</v>
      </c>
      <c r="G569" s="81" t="s">
        <v>3744</v>
      </c>
    </row>
    <row r="570" spans="1:7" x14ac:dyDescent="0.3">
      <c r="A570" s="81" t="s">
        <v>1664</v>
      </c>
      <c r="B570" s="81" t="s">
        <v>1653</v>
      </c>
      <c r="C570" s="81" t="s">
        <v>20</v>
      </c>
      <c r="D570" s="81" t="s">
        <v>1032</v>
      </c>
      <c r="E570" s="81" t="s">
        <v>15</v>
      </c>
      <c r="F570" s="81" t="s">
        <v>1662</v>
      </c>
      <c r="G570" s="81" t="s">
        <v>1033</v>
      </c>
    </row>
    <row r="571" spans="1:7" x14ac:dyDescent="0.3">
      <c r="A571" s="81" t="s">
        <v>1664</v>
      </c>
      <c r="B571" s="81" t="s">
        <v>1653</v>
      </c>
      <c r="C571" s="81" t="s">
        <v>16</v>
      </c>
      <c r="D571" s="81" t="s">
        <v>18</v>
      </c>
      <c r="E571" s="81" t="s">
        <v>369</v>
      </c>
      <c r="F571" s="81" t="s">
        <v>1662</v>
      </c>
      <c r="G571" s="81" t="s">
        <v>3729</v>
      </c>
    </row>
    <row r="572" spans="1:7" x14ac:dyDescent="0.3">
      <c r="A572" s="81" t="s">
        <v>1664</v>
      </c>
      <c r="B572" s="81" t="s">
        <v>1653</v>
      </c>
      <c r="C572" s="81" t="s">
        <v>16</v>
      </c>
      <c r="D572" s="81" t="s">
        <v>18</v>
      </c>
      <c r="E572" s="81" t="s">
        <v>382</v>
      </c>
      <c r="F572" s="81" t="s">
        <v>1662</v>
      </c>
      <c r="G572" s="81" t="s">
        <v>3730</v>
      </c>
    </row>
    <row r="573" spans="1:7" x14ac:dyDescent="0.3">
      <c r="A573" s="81" t="s">
        <v>1664</v>
      </c>
      <c r="B573" s="81" t="s">
        <v>1653</v>
      </c>
      <c r="C573" s="81" t="s">
        <v>16</v>
      </c>
      <c r="D573" s="81" t="s">
        <v>18</v>
      </c>
      <c r="E573" s="81" t="s">
        <v>370</v>
      </c>
      <c r="F573" s="81" t="s">
        <v>1662</v>
      </c>
      <c r="G573" s="81" t="s">
        <v>3731</v>
      </c>
    </row>
    <row r="574" spans="1:7" x14ac:dyDescent="0.3">
      <c r="A574" s="81" t="s">
        <v>1664</v>
      </c>
      <c r="B574" s="81" t="s">
        <v>1653</v>
      </c>
      <c r="C574" s="81" t="s">
        <v>16</v>
      </c>
      <c r="D574" s="81" t="s">
        <v>18</v>
      </c>
      <c r="E574" s="81" t="s">
        <v>378</v>
      </c>
      <c r="F574" s="81" t="s">
        <v>1662</v>
      </c>
      <c r="G574" s="81" t="s">
        <v>3732</v>
      </c>
    </row>
    <row r="575" spans="1:7" x14ac:dyDescent="0.3">
      <c r="A575" s="81" t="s">
        <v>1664</v>
      </c>
      <c r="B575" s="81" t="s">
        <v>1653</v>
      </c>
      <c r="C575" s="81" t="s">
        <v>16</v>
      </c>
      <c r="D575" s="81" t="s">
        <v>18</v>
      </c>
      <c r="E575" s="81" t="s">
        <v>371</v>
      </c>
      <c r="F575" s="81" t="s">
        <v>1662</v>
      </c>
      <c r="G575" s="81" t="s">
        <v>3733</v>
      </c>
    </row>
    <row r="576" spans="1:7" x14ac:dyDescent="0.3">
      <c r="A576" s="81" t="s">
        <v>1664</v>
      </c>
      <c r="B576" s="81" t="s">
        <v>1653</v>
      </c>
      <c r="C576" s="81" t="s">
        <v>16</v>
      </c>
      <c r="D576" s="81" t="s">
        <v>18</v>
      </c>
      <c r="E576" s="81" t="s">
        <v>376</v>
      </c>
      <c r="F576" s="81" t="s">
        <v>1662</v>
      </c>
      <c r="G576" s="81" t="s">
        <v>3734</v>
      </c>
    </row>
    <row r="577" spans="1:7" x14ac:dyDescent="0.3">
      <c r="A577" s="81" t="s">
        <v>1664</v>
      </c>
      <c r="B577" s="81" t="s">
        <v>1653</v>
      </c>
      <c r="C577" s="81" t="s">
        <v>16</v>
      </c>
      <c r="D577" s="81" t="s">
        <v>18</v>
      </c>
      <c r="E577" s="81" t="s">
        <v>377</v>
      </c>
      <c r="F577" s="81" t="s">
        <v>1662</v>
      </c>
      <c r="G577" s="81" t="s">
        <v>3735</v>
      </c>
    </row>
    <row r="578" spans="1:7" x14ac:dyDescent="0.3">
      <c r="A578" s="81" t="s">
        <v>1664</v>
      </c>
      <c r="B578" s="81" t="s">
        <v>1653</v>
      </c>
      <c r="C578" s="81" t="s">
        <v>16</v>
      </c>
      <c r="D578" s="81" t="s">
        <v>18</v>
      </c>
      <c r="E578" s="81" t="s">
        <v>381</v>
      </c>
      <c r="F578" s="81" t="s">
        <v>1662</v>
      </c>
      <c r="G578" s="81" t="s">
        <v>3736</v>
      </c>
    </row>
    <row r="579" spans="1:7" x14ac:dyDescent="0.3">
      <c r="A579" s="81" t="s">
        <v>1664</v>
      </c>
      <c r="B579" s="81" t="s">
        <v>1653</v>
      </c>
      <c r="C579" s="81" t="s">
        <v>16</v>
      </c>
      <c r="D579" s="81" t="s">
        <v>18</v>
      </c>
      <c r="E579" s="81" t="s">
        <v>379</v>
      </c>
      <c r="F579" s="81" t="s">
        <v>1662</v>
      </c>
      <c r="G579" s="81" t="s">
        <v>3737</v>
      </c>
    </row>
    <row r="580" spans="1:7" x14ac:dyDescent="0.3">
      <c r="A580" s="81" t="s">
        <v>1664</v>
      </c>
      <c r="B580" s="81" t="s">
        <v>1653</v>
      </c>
      <c r="C580" s="81" t="s">
        <v>16</v>
      </c>
      <c r="D580" s="81" t="s">
        <v>18</v>
      </c>
      <c r="E580" s="81" t="s">
        <v>374</v>
      </c>
      <c r="F580" s="81" t="s">
        <v>1662</v>
      </c>
      <c r="G580" s="81" t="s">
        <v>3738</v>
      </c>
    </row>
    <row r="581" spans="1:7" x14ac:dyDescent="0.3">
      <c r="A581" s="81" t="s">
        <v>1664</v>
      </c>
      <c r="B581" s="81" t="s">
        <v>1653</v>
      </c>
      <c r="C581" s="81" t="s">
        <v>16</v>
      </c>
      <c r="D581" s="81" t="s">
        <v>18</v>
      </c>
      <c r="E581" s="81" t="s">
        <v>383</v>
      </c>
      <c r="F581" s="81" t="s">
        <v>1662</v>
      </c>
      <c r="G581" s="81" t="s">
        <v>3739</v>
      </c>
    </row>
    <row r="582" spans="1:7" x14ac:dyDescent="0.3">
      <c r="A582" s="81" t="s">
        <v>1664</v>
      </c>
      <c r="B582" s="81" t="s">
        <v>1653</v>
      </c>
      <c r="C582" s="81" t="s">
        <v>16</v>
      </c>
      <c r="D582" s="81" t="s">
        <v>18</v>
      </c>
      <c r="E582" s="81" t="s">
        <v>373</v>
      </c>
      <c r="F582" s="81" t="s">
        <v>1662</v>
      </c>
      <c r="G582" s="81" t="s">
        <v>3740</v>
      </c>
    </row>
    <row r="583" spans="1:7" x14ac:dyDescent="0.3">
      <c r="A583" s="81" t="s">
        <v>1664</v>
      </c>
      <c r="B583" s="81" t="s">
        <v>1653</v>
      </c>
      <c r="C583" s="81" t="s">
        <v>16</v>
      </c>
      <c r="D583" s="81" t="s">
        <v>18</v>
      </c>
      <c r="E583" s="81" t="s">
        <v>368</v>
      </c>
      <c r="F583" s="81" t="s">
        <v>1662</v>
      </c>
      <c r="G583" s="81" t="s">
        <v>3741</v>
      </c>
    </row>
    <row r="584" spans="1:7" x14ac:dyDescent="0.3">
      <c r="A584" s="81" t="s">
        <v>1664</v>
      </c>
      <c r="B584" s="81" t="s">
        <v>1653</v>
      </c>
      <c r="C584" s="81" t="s">
        <v>16</v>
      </c>
      <c r="D584" s="81" t="s">
        <v>18</v>
      </c>
      <c r="E584" s="81" t="s">
        <v>372</v>
      </c>
      <c r="F584" s="81" t="s">
        <v>1662</v>
      </c>
      <c r="G584" s="81" t="s">
        <v>3742</v>
      </c>
    </row>
    <row r="585" spans="1:7" x14ac:dyDescent="0.3">
      <c r="A585" s="81" t="s">
        <v>1664</v>
      </c>
      <c r="B585" s="81" t="s">
        <v>1653</v>
      </c>
      <c r="C585" s="81" t="s">
        <v>16</v>
      </c>
      <c r="D585" s="81" t="s">
        <v>18</v>
      </c>
      <c r="E585" s="81" t="s">
        <v>375</v>
      </c>
      <c r="F585" s="81" t="s">
        <v>1662</v>
      </c>
      <c r="G585" s="81" t="s">
        <v>3743</v>
      </c>
    </row>
    <row r="586" spans="1:7" x14ac:dyDescent="0.3">
      <c r="A586" s="81" t="s">
        <v>1664</v>
      </c>
      <c r="B586" s="81" t="s">
        <v>1653</v>
      </c>
      <c r="C586" s="81" t="s">
        <v>16</v>
      </c>
      <c r="D586" s="81" t="s">
        <v>18</v>
      </c>
      <c r="E586" s="81" t="s">
        <v>380</v>
      </c>
      <c r="F586" s="81" t="s">
        <v>1662</v>
      </c>
      <c r="G586" s="81" t="s">
        <v>3744</v>
      </c>
    </row>
    <row r="587" spans="1:7" x14ac:dyDescent="0.3">
      <c r="A587" s="81" t="s">
        <v>1669</v>
      </c>
      <c r="B587" s="81" t="s">
        <v>1601</v>
      </c>
      <c r="C587" s="81" t="s">
        <v>20</v>
      </c>
      <c r="D587" s="81" t="s">
        <v>1032</v>
      </c>
      <c r="E587" s="81" t="s">
        <v>15</v>
      </c>
      <c r="F587" s="81" t="s">
        <v>1672</v>
      </c>
      <c r="G587" s="81" t="s">
        <v>1033</v>
      </c>
    </row>
    <row r="588" spans="1:7" x14ac:dyDescent="0.3">
      <c r="A588" s="81" t="s">
        <v>1669</v>
      </c>
      <c r="B588" s="81" t="s">
        <v>1601</v>
      </c>
      <c r="C588" s="81" t="s">
        <v>16</v>
      </c>
      <c r="D588" s="81" t="s">
        <v>18</v>
      </c>
      <c r="E588" s="81" t="s">
        <v>369</v>
      </c>
      <c r="F588" s="81" t="s">
        <v>1662</v>
      </c>
      <c r="G588" s="81" t="s">
        <v>3729</v>
      </c>
    </row>
    <row r="589" spans="1:7" x14ac:dyDescent="0.3">
      <c r="A589" s="81" t="s">
        <v>1669</v>
      </c>
      <c r="B589" s="81" t="s">
        <v>1601</v>
      </c>
      <c r="C589" s="81" t="s">
        <v>16</v>
      </c>
      <c r="D589" s="81" t="s">
        <v>18</v>
      </c>
      <c r="E589" s="81" t="s">
        <v>382</v>
      </c>
      <c r="F589" s="81" t="s">
        <v>1662</v>
      </c>
      <c r="G589" s="81" t="s">
        <v>3730</v>
      </c>
    </row>
    <row r="590" spans="1:7" x14ac:dyDescent="0.3">
      <c r="A590" s="81" t="s">
        <v>1669</v>
      </c>
      <c r="B590" s="81" t="s">
        <v>1601</v>
      </c>
      <c r="C590" s="81" t="s">
        <v>16</v>
      </c>
      <c r="D590" s="81" t="s">
        <v>18</v>
      </c>
      <c r="E590" s="81" t="s">
        <v>370</v>
      </c>
      <c r="F590" s="81" t="s">
        <v>1662</v>
      </c>
      <c r="G590" s="81" t="s">
        <v>3731</v>
      </c>
    </row>
    <row r="591" spans="1:7" x14ac:dyDescent="0.3">
      <c r="A591" s="81" t="s">
        <v>1669</v>
      </c>
      <c r="B591" s="81" t="s">
        <v>1601</v>
      </c>
      <c r="C591" s="81" t="s">
        <v>16</v>
      </c>
      <c r="D591" s="81" t="s">
        <v>18</v>
      </c>
      <c r="E591" s="81" t="s">
        <v>378</v>
      </c>
      <c r="F591" s="81" t="s">
        <v>1662</v>
      </c>
      <c r="G591" s="81" t="s">
        <v>3732</v>
      </c>
    </row>
    <row r="592" spans="1:7" x14ac:dyDescent="0.3">
      <c r="A592" s="81" t="s">
        <v>1669</v>
      </c>
      <c r="B592" s="81" t="s">
        <v>1601</v>
      </c>
      <c r="C592" s="81" t="s">
        <v>16</v>
      </c>
      <c r="D592" s="81" t="s">
        <v>18</v>
      </c>
      <c r="E592" s="81" t="s">
        <v>371</v>
      </c>
      <c r="F592" s="81" t="s">
        <v>1662</v>
      </c>
      <c r="G592" s="81" t="s">
        <v>3733</v>
      </c>
    </row>
    <row r="593" spans="1:7" x14ac:dyDescent="0.3">
      <c r="A593" s="81" t="s">
        <v>1669</v>
      </c>
      <c r="B593" s="81" t="s">
        <v>1601</v>
      </c>
      <c r="C593" s="81" t="s">
        <v>16</v>
      </c>
      <c r="D593" s="81" t="s">
        <v>18</v>
      </c>
      <c r="E593" s="81" t="s">
        <v>376</v>
      </c>
      <c r="F593" s="81" t="s">
        <v>1662</v>
      </c>
      <c r="G593" s="81" t="s">
        <v>3734</v>
      </c>
    </row>
    <row r="594" spans="1:7" x14ac:dyDescent="0.3">
      <c r="A594" s="81" t="s">
        <v>1669</v>
      </c>
      <c r="B594" s="81" t="s">
        <v>1601</v>
      </c>
      <c r="C594" s="81" t="s">
        <v>16</v>
      </c>
      <c r="D594" s="81" t="s">
        <v>18</v>
      </c>
      <c r="E594" s="81" t="s">
        <v>377</v>
      </c>
      <c r="F594" s="81" t="s">
        <v>1662</v>
      </c>
      <c r="G594" s="81" t="s">
        <v>3735</v>
      </c>
    </row>
    <row r="595" spans="1:7" x14ac:dyDescent="0.3">
      <c r="A595" s="81" t="s">
        <v>1669</v>
      </c>
      <c r="B595" s="81" t="s">
        <v>1601</v>
      </c>
      <c r="C595" s="81" t="s">
        <v>16</v>
      </c>
      <c r="D595" s="81" t="s">
        <v>18</v>
      </c>
      <c r="E595" s="81" t="s">
        <v>381</v>
      </c>
      <c r="F595" s="81" t="s">
        <v>1662</v>
      </c>
      <c r="G595" s="81" t="s">
        <v>3736</v>
      </c>
    </row>
    <row r="596" spans="1:7" x14ac:dyDescent="0.3">
      <c r="A596" s="81" t="s">
        <v>1669</v>
      </c>
      <c r="B596" s="81" t="s">
        <v>1601</v>
      </c>
      <c r="C596" s="81" t="s">
        <v>16</v>
      </c>
      <c r="D596" s="81" t="s">
        <v>18</v>
      </c>
      <c r="E596" s="81" t="s">
        <v>379</v>
      </c>
      <c r="F596" s="81" t="s">
        <v>1662</v>
      </c>
      <c r="G596" s="81" t="s">
        <v>3737</v>
      </c>
    </row>
    <row r="597" spans="1:7" x14ac:dyDescent="0.3">
      <c r="A597" s="81" t="s">
        <v>1669</v>
      </c>
      <c r="B597" s="81" t="s">
        <v>1601</v>
      </c>
      <c r="C597" s="81" t="s">
        <v>16</v>
      </c>
      <c r="D597" s="81" t="s">
        <v>18</v>
      </c>
      <c r="E597" s="81" t="s">
        <v>374</v>
      </c>
      <c r="F597" s="81" t="s">
        <v>1662</v>
      </c>
      <c r="G597" s="81" t="s">
        <v>3738</v>
      </c>
    </row>
    <row r="598" spans="1:7" x14ac:dyDescent="0.3">
      <c r="A598" s="81" t="s">
        <v>1669</v>
      </c>
      <c r="B598" s="81" t="s">
        <v>1601</v>
      </c>
      <c r="C598" s="81" t="s">
        <v>16</v>
      </c>
      <c r="D598" s="81" t="s">
        <v>18</v>
      </c>
      <c r="E598" s="81" t="s">
        <v>383</v>
      </c>
      <c r="F598" s="81" t="s">
        <v>1662</v>
      </c>
      <c r="G598" s="81" t="s">
        <v>3739</v>
      </c>
    </row>
    <row r="599" spans="1:7" x14ac:dyDescent="0.3">
      <c r="A599" s="81" t="s">
        <v>1669</v>
      </c>
      <c r="B599" s="81" t="s">
        <v>1601</v>
      </c>
      <c r="C599" s="81" t="s">
        <v>16</v>
      </c>
      <c r="D599" s="81" t="s">
        <v>18</v>
      </c>
      <c r="E599" s="81" t="s">
        <v>373</v>
      </c>
      <c r="F599" s="81" t="s">
        <v>1662</v>
      </c>
      <c r="G599" s="81" t="s">
        <v>3740</v>
      </c>
    </row>
    <row r="600" spans="1:7" x14ac:dyDescent="0.3">
      <c r="A600" s="81" t="s">
        <v>1669</v>
      </c>
      <c r="B600" s="81" t="s">
        <v>1601</v>
      </c>
      <c r="C600" s="81" t="s">
        <v>16</v>
      </c>
      <c r="D600" s="81" t="s">
        <v>18</v>
      </c>
      <c r="E600" s="81" t="s">
        <v>368</v>
      </c>
      <c r="F600" s="81" t="s">
        <v>1662</v>
      </c>
      <c r="G600" s="81" t="s">
        <v>3741</v>
      </c>
    </row>
    <row r="601" spans="1:7" x14ac:dyDescent="0.3">
      <c r="A601" s="81" t="s">
        <v>1669</v>
      </c>
      <c r="B601" s="81" t="s">
        <v>1601</v>
      </c>
      <c r="C601" s="81" t="s">
        <v>16</v>
      </c>
      <c r="D601" s="81" t="s">
        <v>18</v>
      </c>
      <c r="E601" s="81" t="s">
        <v>372</v>
      </c>
      <c r="F601" s="81" t="s">
        <v>1662</v>
      </c>
      <c r="G601" s="81" t="s">
        <v>3742</v>
      </c>
    </row>
    <row r="602" spans="1:7" x14ac:dyDescent="0.3">
      <c r="A602" s="81" t="s">
        <v>1669</v>
      </c>
      <c r="B602" s="81" t="s">
        <v>1601</v>
      </c>
      <c r="C602" s="81" t="s">
        <v>16</v>
      </c>
      <c r="D602" s="81" t="s">
        <v>18</v>
      </c>
      <c r="E602" s="81" t="s">
        <v>375</v>
      </c>
      <c r="F602" s="81" t="s">
        <v>1662</v>
      </c>
      <c r="G602" s="81" t="s">
        <v>3743</v>
      </c>
    </row>
    <row r="603" spans="1:7" x14ac:dyDescent="0.3">
      <c r="A603" s="81" t="s">
        <v>1669</v>
      </c>
      <c r="B603" s="81" t="s">
        <v>1601</v>
      </c>
      <c r="C603" s="81" t="s">
        <v>16</v>
      </c>
      <c r="D603" s="81" t="s">
        <v>18</v>
      </c>
      <c r="E603" s="81" t="s">
        <v>380</v>
      </c>
      <c r="F603" s="81" t="s">
        <v>1662</v>
      </c>
      <c r="G603" s="81" t="s">
        <v>3744</v>
      </c>
    </row>
    <row r="604" spans="1:7" x14ac:dyDescent="0.3">
      <c r="A604" s="81" t="s">
        <v>1670</v>
      </c>
      <c r="B604" s="81" t="s">
        <v>1601</v>
      </c>
      <c r="C604" s="81" t="s">
        <v>20</v>
      </c>
      <c r="D604" s="81" t="s">
        <v>1032</v>
      </c>
      <c r="E604" s="81" t="s">
        <v>15</v>
      </c>
      <c r="F604" s="81" t="s">
        <v>1673</v>
      </c>
      <c r="G604" s="81" t="s">
        <v>1033</v>
      </c>
    </row>
    <row r="605" spans="1:7" x14ac:dyDescent="0.3">
      <c r="A605" s="81" t="s">
        <v>1670</v>
      </c>
      <c r="B605" s="81" t="s">
        <v>1601</v>
      </c>
      <c r="C605" s="81" t="s">
        <v>16</v>
      </c>
      <c r="D605" s="81" t="s">
        <v>18</v>
      </c>
      <c r="E605" s="81" t="s">
        <v>369</v>
      </c>
      <c r="F605" s="81" t="s">
        <v>1673</v>
      </c>
      <c r="G605" s="81" t="s">
        <v>3729</v>
      </c>
    </row>
    <row r="606" spans="1:7" x14ac:dyDescent="0.3">
      <c r="A606" s="81" t="s">
        <v>1670</v>
      </c>
      <c r="B606" s="81" t="s">
        <v>1601</v>
      </c>
      <c r="C606" s="81" t="s">
        <v>16</v>
      </c>
      <c r="D606" s="81" t="s">
        <v>18</v>
      </c>
      <c r="E606" s="81" t="s">
        <v>382</v>
      </c>
      <c r="F606" s="81" t="s">
        <v>1673</v>
      </c>
      <c r="G606" s="81" t="s">
        <v>3730</v>
      </c>
    </row>
    <row r="607" spans="1:7" x14ac:dyDescent="0.3">
      <c r="A607" s="81" t="s">
        <v>1670</v>
      </c>
      <c r="B607" s="81" t="s">
        <v>1601</v>
      </c>
      <c r="C607" s="81" t="s">
        <v>16</v>
      </c>
      <c r="D607" s="81" t="s">
        <v>18</v>
      </c>
      <c r="E607" s="81" t="s">
        <v>370</v>
      </c>
      <c r="F607" s="81" t="s">
        <v>1673</v>
      </c>
      <c r="G607" s="81" t="s">
        <v>3731</v>
      </c>
    </row>
    <row r="608" spans="1:7" x14ac:dyDescent="0.3">
      <c r="A608" s="81" t="s">
        <v>1670</v>
      </c>
      <c r="B608" s="81" t="s">
        <v>1601</v>
      </c>
      <c r="C608" s="81" t="s">
        <v>16</v>
      </c>
      <c r="D608" s="81" t="s">
        <v>18</v>
      </c>
      <c r="E608" s="81" t="s">
        <v>378</v>
      </c>
      <c r="F608" s="81" t="s">
        <v>1673</v>
      </c>
      <c r="G608" s="81" t="s">
        <v>3732</v>
      </c>
    </row>
    <row r="609" spans="1:7" x14ac:dyDescent="0.3">
      <c r="A609" s="81" t="s">
        <v>1670</v>
      </c>
      <c r="B609" s="81" t="s">
        <v>1601</v>
      </c>
      <c r="C609" s="81" t="s">
        <v>16</v>
      </c>
      <c r="D609" s="81" t="s">
        <v>18</v>
      </c>
      <c r="E609" s="81" t="s">
        <v>371</v>
      </c>
      <c r="F609" s="81" t="s">
        <v>1673</v>
      </c>
      <c r="G609" s="81" t="s">
        <v>3733</v>
      </c>
    </row>
    <row r="610" spans="1:7" x14ac:dyDescent="0.3">
      <c r="A610" s="81" t="s">
        <v>1670</v>
      </c>
      <c r="B610" s="81" t="s">
        <v>1601</v>
      </c>
      <c r="C610" s="81" t="s">
        <v>16</v>
      </c>
      <c r="D610" s="81" t="s">
        <v>18</v>
      </c>
      <c r="E610" s="81" t="s">
        <v>376</v>
      </c>
      <c r="F610" s="81" t="s">
        <v>1673</v>
      </c>
      <c r="G610" s="81" t="s">
        <v>3734</v>
      </c>
    </row>
    <row r="611" spans="1:7" x14ac:dyDescent="0.3">
      <c r="A611" s="81" t="s">
        <v>1670</v>
      </c>
      <c r="B611" s="81" t="s">
        <v>1601</v>
      </c>
      <c r="C611" s="81" t="s">
        <v>16</v>
      </c>
      <c r="D611" s="81" t="s">
        <v>18</v>
      </c>
      <c r="E611" s="81" t="s">
        <v>377</v>
      </c>
      <c r="F611" s="81" t="s">
        <v>1673</v>
      </c>
      <c r="G611" s="81" t="s">
        <v>3735</v>
      </c>
    </row>
    <row r="612" spans="1:7" x14ac:dyDescent="0.3">
      <c r="A612" s="81" t="s">
        <v>1670</v>
      </c>
      <c r="B612" s="81" t="s">
        <v>1601</v>
      </c>
      <c r="C612" s="81" t="s">
        <v>16</v>
      </c>
      <c r="D612" s="81" t="s">
        <v>18</v>
      </c>
      <c r="E612" s="81" t="s">
        <v>381</v>
      </c>
      <c r="F612" s="81" t="s">
        <v>1673</v>
      </c>
      <c r="G612" s="81" t="s">
        <v>3736</v>
      </c>
    </row>
    <row r="613" spans="1:7" x14ac:dyDescent="0.3">
      <c r="A613" s="81" t="s">
        <v>1670</v>
      </c>
      <c r="B613" s="81" t="s">
        <v>1601</v>
      </c>
      <c r="C613" s="81" t="s">
        <v>16</v>
      </c>
      <c r="D613" s="81" t="s">
        <v>18</v>
      </c>
      <c r="E613" s="81" t="s">
        <v>379</v>
      </c>
      <c r="F613" s="81" t="s">
        <v>1673</v>
      </c>
      <c r="G613" s="81" t="s">
        <v>3737</v>
      </c>
    </row>
    <row r="614" spans="1:7" x14ac:dyDescent="0.3">
      <c r="A614" s="81" t="s">
        <v>1670</v>
      </c>
      <c r="B614" s="81" t="s">
        <v>1601</v>
      </c>
      <c r="C614" s="81" t="s">
        <v>16</v>
      </c>
      <c r="D614" s="81" t="s">
        <v>18</v>
      </c>
      <c r="E614" s="81" t="s">
        <v>374</v>
      </c>
      <c r="F614" s="81" t="s">
        <v>1673</v>
      </c>
      <c r="G614" s="81" t="s">
        <v>3738</v>
      </c>
    </row>
    <row r="615" spans="1:7" x14ac:dyDescent="0.3">
      <c r="A615" s="81" t="s">
        <v>1670</v>
      </c>
      <c r="B615" s="81" t="s">
        <v>1601</v>
      </c>
      <c r="C615" s="81" t="s">
        <v>16</v>
      </c>
      <c r="D615" s="81" t="s">
        <v>18</v>
      </c>
      <c r="E615" s="81" t="s">
        <v>383</v>
      </c>
      <c r="F615" s="81" t="s">
        <v>1673</v>
      </c>
      <c r="G615" s="81" t="s">
        <v>3739</v>
      </c>
    </row>
    <row r="616" spans="1:7" x14ac:dyDescent="0.3">
      <c r="A616" s="81" t="s">
        <v>1670</v>
      </c>
      <c r="B616" s="81" t="s">
        <v>1601</v>
      </c>
      <c r="C616" s="81" t="s">
        <v>16</v>
      </c>
      <c r="D616" s="81" t="s">
        <v>18</v>
      </c>
      <c r="E616" s="81" t="s">
        <v>373</v>
      </c>
      <c r="F616" s="81" t="s">
        <v>1673</v>
      </c>
      <c r="G616" s="81" t="s">
        <v>3740</v>
      </c>
    </row>
    <row r="617" spans="1:7" x14ac:dyDescent="0.3">
      <c r="A617" s="81" t="s">
        <v>1670</v>
      </c>
      <c r="B617" s="81" t="s">
        <v>1601</v>
      </c>
      <c r="C617" s="81" t="s">
        <v>16</v>
      </c>
      <c r="D617" s="81" t="s">
        <v>18</v>
      </c>
      <c r="E617" s="81" t="s">
        <v>368</v>
      </c>
      <c r="F617" s="81" t="s">
        <v>1673</v>
      </c>
      <c r="G617" s="81" t="s">
        <v>3741</v>
      </c>
    </row>
    <row r="618" spans="1:7" x14ac:dyDescent="0.3">
      <c r="A618" s="81" t="s">
        <v>1670</v>
      </c>
      <c r="B618" s="81" t="s">
        <v>1601</v>
      </c>
      <c r="C618" s="81" t="s">
        <v>16</v>
      </c>
      <c r="D618" s="81" t="s">
        <v>18</v>
      </c>
      <c r="E618" s="81" t="s">
        <v>372</v>
      </c>
      <c r="F618" s="81" t="s">
        <v>1673</v>
      </c>
      <c r="G618" s="81" t="s">
        <v>3742</v>
      </c>
    </row>
    <row r="619" spans="1:7" x14ac:dyDescent="0.3">
      <c r="A619" s="81" t="s">
        <v>1670</v>
      </c>
      <c r="B619" s="81" t="s">
        <v>1601</v>
      </c>
      <c r="C619" s="81" t="s">
        <v>16</v>
      </c>
      <c r="D619" s="81" t="s">
        <v>18</v>
      </c>
      <c r="E619" s="81" t="s">
        <v>375</v>
      </c>
      <c r="F619" s="81" t="s">
        <v>1673</v>
      </c>
      <c r="G619" s="81" t="s">
        <v>3743</v>
      </c>
    </row>
    <row r="620" spans="1:7" x14ac:dyDescent="0.3">
      <c r="A620" s="81" t="s">
        <v>1670</v>
      </c>
      <c r="B620" s="81" t="s">
        <v>1601</v>
      </c>
      <c r="C620" s="81" t="s">
        <v>16</v>
      </c>
      <c r="D620" s="81" t="s">
        <v>18</v>
      </c>
      <c r="E620" s="81" t="s">
        <v>380</v>
      </c>
      <c r="F620" s="81" t="s">
        <v>1673</v>
      </c>
      <c r="G620" s="81" t="s">
        <v>3744</v>
      </c>
    </row>
    <row r="621" spans="1:7" x14ac:dyDescent="0.3">
      <c r="A621" s="81" t="s">
        <v>1684</v>
      </c>
      <c r="B621" s="81" t="s">
        <v>3781</v>
      </c>
      <c r="C621" s="81" t="s">
        <v>20</v>
      </c>
      <c r="D621" s="81" t="s">
        <v>18</v>
      </c>
      <c r="E621" s="81" t="s">
        <v>15</v>
      </c>
      <c r="F621" s="81" t="s">
        <v>850</v>
      </c>
      <c r="G621" s="81" t="s">
        <v>1033</v>
      </c>
    </row>
    <row r="622" spans="1:7" x14ac:dyDescent="0.3">
      <c r="A622" s="81" t="s">
        <v>1684</v>
      </c>
      <c r="B622" s="81" t="s">
        <v>3781</v>
      </c>
      <c r="C622" s="81" t="s">
        <v>20</v>
      </c>
      <c r="D622" s="81" t="s">
        <v>16</v>
      </c>
      <c r="E622" s="81" t="s">
        <v>15</v>
      </c>
      <c r="F622" s="81" t="s">
        <v>850</v>
      </c>
      <c r="G622" s="81" t="s">
        <v>1033</v>
      </c>
    </row>
    <row r="623" spans="1:7" x14ac:dyDescent="0.3">
      <c r="A623" s="81" t="s">
        <v>1684</v>
      </c>
      <c r="B623" s="81" t="s">
        <v>3781</v>
      </c>
      <c r="C623" s="81" t="s">
        <v>16</v>
      </c>
      <c r="D623" s="81" t="s">
        <v>18</v>
      </c>
      <c r="E623" s="81" t="s">
        <v>369</v>
      </c>
      <c r="F623" s="81" t="s">
        <v>850</v>
      </c>
      <c r="G623" s="81" t="s">
        <v>3729</v>
      </c>
    </row>
    <row r="624" spans="1:7" x14ac:dyDescent="0.3">
      <c r="A624" s="81" t="s">
        <v>1684</v>
      </c>
      <c r="B624" s="81" t="s">
        <v>3781</v>
      </c>
      <c r="C624" s="81" t="s">
        <v>16</v>
      </c>
      <c r="D624" s="81" t="s">
        <v>18</v>
      </c>
      <c r="E624" s="81" t="s">
        <v>382</v>
      </c>
      <c r="F624" s="81" t="s">
        <v>850</v>
      </c>
      <c r="G624" s="81" t="s">
        <v>3730</v>
      </c>
    </row>
    <row r="625" spans="1:7" x14ac:dyDescent="0.3">
      <c r="A625" s="81" t="s">
        <v>1684</v>
      </c>
      <c r="B625" s="81" t="s">
        <v>3781</v>
      </c>
      <c r="C625" s="81" t="s">
        <v>16</v>
      </c>
      <c r="D625" s="81" t="s">
        <v>18</v>
      </c>
      <c r="E625" s="81" t="s">
        <v>370</v>
      </c>
      <c r="F625" s="81" t="s">
        <v>850</v>
      </c>
      <c r="G625" s="81" t="s">
        <v>3731</v>
      </c>
    </row>
    <row r="626" spans="1:7" x14ac:dyDescent="0.3">
      <c r="A626" s="81" t="s">
        <v>1684</v>
      </c>
      <c r="B626" s="81" t="s">
        <v>3781</v>
      </c>
      <c r="C626" s="81" t="s">
        <v>16</v>
      </c>
      <c r="D626" s="81" t="s">
        <v>18</v>
      </c>
      <c r="E626" s="81" t="s">
        <v>378</v>
      </c>
      <c r="F626" s="81" t="s">
        <v>850</v>
      </c>
      <c r="G626" s="81" t="s">
        <v>3732</v>
      </c>
    </row>
    <row r="627" spans="1:7" x14ac:dyDescent="0.3">
      <c r="A627" s="81" t="s">
        <v>1684</v>
      </c>
      <c r="B627" s="81" t="s">
        <v>3781</v>
      </c>
      <c r="C627" s="81" t="s">
        <v>16</v>
      </c>
      <c r="D627" s="81" t="s">
        <v>18</v>
      </c>
      <c r="E627" s="81" t="s">
        <v>371</v>
      </c>
      <c r="F627" s="81" t="s">
        <v>850</v>
      </c>
      <c r="G627" s="81" t="s">
        <v>3733</v>
      </c>
    </row>
    <row r="628" spans="1:7" x14ac:dyDescent="0.3">
      <c r="A628" s="81" t="s">
        <v>1684</v>
      </c>
      <c r="B628" s="81" t="s">
        <v>3781</v>
      </c>
      <c r="C628" s="81" t="s">
        <v>16</v>
      </c>
      <c r="D628" s="81" t="s">
        <v>18</v>
      </c>
      <c r="E628" s="81" t="s">
        <v>376</v>
      </c>
      <c r="F628" s="81" t="s">
        <v>850</v>
      </c>
      <c r="G628" s="81" t="s">
        <v>3734</v>
      </c>
    </row>
    <row r="629" spans="1:7" x14ac:dyDescent="0.3">
      <c r="A629" s="81" t="s">
        <v>1684</v>
      </c>
      <c r="B629" s="81" t="s">
        <v>3781</v>
      </c>
      <c r="C629" s="81" t="s">
        <v>16</v>
      </c>
      <c r="D629" s="81" t="s">
        <v>18</v>
      </c>
      <c r="E629" s="81" t="s">
        <v>377</v>
      </c>
      <c r="F629" s="81" t="s">
        <v>850</v>
      </c>
      <c r="G629" s="81" t="s">
        <v>3735</v>
      </c>
    </row>
    <row r="630" spans="1:7" x14ac:dyDescent="0.3">
      <c r="A630" s="81" t="s">
        <v>1684</v>
      </c>
      <c r="B630" s="81" t="s">
        <v>3781</v>
      </c>
      <c r="C630" s="81" t="s">
        <v>16</v>
      </c>
      <c r="D630" s="81" t="s">
        <v>18</v>
      </c>
      <c r="E630" s="81" t="s">
        <v>381</v>
      </c>
      <c r="F630" s="81" t="s">
        <v>850</v>
      </c>
      <c r="G630" s="81" t="s">
        <v>3736</v>
      </c>
    </row>
    <row r="631" spans="1:7" x14ac:dyDescent="0.3">
      <c r="A631" s="81" t="s">
        <v>1684</v>
      </c>
      <c r="B631" s="81" t="s">
        <v>3781</v>
      </c>
      <c r="C631" s="81" t="s">
        <v>16</v>
      </c>
      <c r="D631" s="81" t="s">
        <v>18</v>
      </c>
      <c r="E631" s="81" t="s">
        <v>379</v>
      </c>
      <c r="F631" s="81" t="s">
        <v>850</v>
      </c>
      <c r="G631" s="81" t="s">
        <v>3737</v>
      </c>
    </row>
    <row r="632" spans="1:7" x14ac:dyDescent="0.3">
      <c r="A632" s="81" t="s">
        <v>1684</v>
      </c>
      <c r="B632" s="81" t="s">
        <v>3781</v>
      </c>
      <c r="C632" s="81" t="s">
        <v>16</v>
      </c>
      <c r="D632" s="81" t="s">
        <v>18</v>
      </c>
      <c r="E632" s="81" t="s">
        <v>374</v>
      </c>
      <c r="F632" s="81" t="s">
        <v>850</v>
      </c>
      <c r="G632" s="81" t="s">
        <v>3738</v>
      </c>
    </row>
    <row r="633" spans="1:7" x14ac:dyDescent="0.3">
      <c r="A633" s="81" t="s">
        <v>1684</v>
      </c>
      <c r="B633" s="81" t="s">
        <v>3781</v>
      </c>
      <c r="C633" s="81" t="s">
        <v>16</v>
      </c>
      <c r="D633" s="81" t="s">
        <v>18</v>
      </c>
      <c r="E633" s="81" t="s">
        <v>383</v>
      </c>
      <c r="F633" s="81" t="s">
        <v>850</v>
      </c>
      <c r="G633" s="81" t="s">
        <v>3739</v>
      </c>
    </row>
    <row r="634" spans="1:7" x14ac:dyDescent="0.3">
      <c r="A634" s="81" t="s">
        <v>1684</v>
      </c>
      <c r="B634" s="81" t="s">
        <v>3781</v>
      </c>
      <c r="C634" s="81" t="s">
        <v>16</v>
      </c>
      <c r="D634" s="81" t="s">
        <v>18</v>
      </c>
      <c r="E634" s="81" t="s">
        <v>373</v>
      </c>
      <c r="F634" s="81" t="s">
        <v>850</v>
      </c>
      <c r="G634" s="81" t="s">
        <v>3740</v>
      </c>
    </row>
    <row r="635" spans="1:7" x14ac:dyDescent="0.3">
      <c r="A635" s="81" t="s">
        <v>1684</v>
      </c>
      <c r="B635" s="81" t="s">
        <v>3781</v>
      </c>
      <c r="C635" s="81" t="s">
        <v>16</v>
      </c>
      <c r="D635" s="81" t="s">
        <v>18</v>
      </c>
      <c r="E635" s="81" t="s">
        <v>368</v>
      </c>
      <c r="F635" s="81" t="s">
        <v>850</v>
      </c>
      <c r="G635" s="81" t="s">
        <v>3741</v>
      </c>
    </row>
    <row r="636" spans="1:7" x14ac:dyDescent="0.3">
      <c r="A636" s="81" t="s">
        <v>1684</v>
      </c>
      <c r="B636" s="81" t="s">
        <v>3781</v>
      </c>
      <c r="C636" s="81" t="s">
        <v>16</v>
      </c>
      <c r="D636" s="81" t="s">
        <v>18</v>
      </c>
      <c r="E636" s="81" t="s">
        <v>372</v>
      </c>
      <c r="F636" s="81" t="s">
        <v>850</v>
      </c>
      <c r="G636" s="81" t="s">
        <v>3742</v>
      </c>
    </row>
    <row r="637" spans="1:7" x14ac:dyDescent="0.3">
      <c r="A637" s="81" t="s">
        <v>1684</v>
      </c>
      <c r="B637" s="81" t="s">
        <v>3781</v>
      </c>
      <c r="C637" s="81" t="s">
        <v>16</v>
      </c>
      <c r="D637" s="81" t="s">
        <v>18</v>
      </c>
      <c r="E637" s="81" t="s">
        <v>375</v>
      </c>
      <c r="F637" s="81" t="s">
        <v>850</v>
      </c>
      <c r="G637" s="81" t="s">
        <v>3743</v>
      </c>
    </row>
    <row r="638" spans="1:7" x14ac:dyDescent="0.3">
      <c r="A638" s="81" t="s">
        <v>1684</v>
      </c>
      <c r="B638" s="81" t="s">
        <v>3781</v>
      </c>
      <c r="C638" s="81" t="s">
        <v>16</v>
      </c>
      <c r="D638" s="81" t="s">
        <v>18</v>
      </c>
      <c r="E638" s="81" t="s">
        <v>380</v>
      </c>
      <c r="F638" s="81" t="s">
        <v>850</v>
      </c>
      <c r="G638" s="81" t="s">
        <v>3744</v>
      </c>
    </row>
    <row r="639" spans="1:7" x14ac:dyDescent="0.3">
      <c r="A639" s="81" t="s">
        <v>1684</v>
      </c>
      <c r="B639" s="81" t="s">
        <v>3781</v>
      </c>
      <c r="C639" s="81" t="s">
        <v>16</v>
      </c>
      <c r="D639" s="81" t="s">
        <v>404</v>
      </c>
      <c r="E639" s="81" t="s">
        <v>369</v>
      </c>
      <c r="F639" s="81" t="s">
        <v>850</v>
      </c>
      <c r="G639" s="81" t="s">
        <v>3729</v>
      </c>
    </row>
    <row r="640" spans="1:7" x14ac:dyDescent="0.3">
      <c r="A640" s="81" t="s">
        <v>1684</v>
      </c>
      <c r="B640" s="81" t="s">
        <v>3781</v>
      </c>
      <c r="C640" s="81" t="s">
        <v>16</v>
      </c>
      <c r="D640" s="81" t="s">
        <v>404</v>
      </c>
      <c r="E640" s="81" t="s">
        <v>382</v>
      </c>
      <c r="F640" s="81" t="s">
        <v>850</v>
      </c>
      <c r="G640" s="81" t="s">
        <v>3730</v>
      </c>
    </row>
    <row r="641" spans="1:7" x14ac:dyDescent="0.3">
      <c r="A641" s="81" t="s">
        <v>1684</v>
      </c>
      <c r="B641" s="81" t="s">
        <v>3781</v>
      </c>
      <c r="C641" s="81" t="s">
        <v>16</v>
      </c>
      <c r="D641" s="81" t="s">
        <v>404</v>
      </c>
      <c r="E641" s="81" t="s">
        <v>370</v>
      </c>
      <c r="F641" s="81" t="s">
        <v>850</v>
      </c>
      <c r="G641" s="81" t="s">
        <v>3731</v>
      </c>
    </row>
    <row r="642" spans="1:7" x14ac:dyDescent="0.3">
      <c r="A642" s="81" t="s">
        <v>1684</v>
      </c>
      <c r="B642" s="81" t="s">
        <v>3781</v>
      </c>
      <c r="C642" s="81" t="s">
        <v>16</v>
      </c>
      <c r="D642" s="81" t="s">
        <v>404</v>
      </c>
      <c r="E642" s="81" t="s">
        <v>378</v>
      </c>
      <c r="F642" s="81" t="s">
        <v>850</v>
      </c>
      <c r="G642" s="81" t="s">
        <v>3732</v>
      </c>
    </row>
    <row r="643" spans="1:7" x14ac:dyDescent="0.3">
      <c r="A643" s="81" t="s">
        <v>1684</v>
      </c>
      <c r="B643" s="81" t="s">
        <v>3781</v>
      </c>
      <c r="C643" s="81" t="s">
        <v>16</v>
      </c>
      <c r="D643" s="81" t="s">
        <v>404</v>
      </c>
      <c r="E643" s="81" t="s">
        <v>371</v>
      </c>
      <c r="F643" s="81" t="s">
        <v>850</v>
      </c>
      <c r="G643" s="81" t="s">
        <v>3733</v>
      </c>
    </row>
    <row r="644" spans="1:7" x14ac:dyDescent="0.3">
      <c r="A644" s="81" t="s">
        <v>1684</v>
      </c>
      <c r="B644" s="81" t="s">
        <v>3781</v>
      </c>
      <c r="C644" s="81" t="s">
        <v>16</v>
      </c>
      <c r="D644" s="81" t="s">
        <v>404</v>
      </c>
      <c r="E644" s="81" t="s">
        <v>376</v>
      </c>
      <c r="F644" s="81" t="s">
        <v>850</v>
      </c>
      <c r="G644" s="81" t="s">
        <v>3734</v>
      </c>
    </row>
    <row r="645" spans="1:7" x14ac:dyDescent="0.3">
      <c r="A645" s="81" t="s">
        <v>1684</v>
      </c>
      <c r="B645" s="81" t="s">
        <v>3781</v>
      </c>
      <c r="C645" s="81" t="s">
        <v>16</v>
      </c>
      <c r="D645" s="81" t="s">
        <v>404</v>
      </c>
      <c r="E645" s="81" t="s">
        <v>377</v>
      </c>
      <c r="F645" s="81" t="s">
        <v>850</v>
      </c>
      <c r="G645" s="81" t="s">
        <v>3735</v>
      </c>
    </row>
    <row r="646" spans="1:7" x14ac:dyDescent="0.3">
      <c r="A646" s="81" t="s">
        <v>1684</v>
      </c>
      <c r="B646" s="81" t="s">
        <v>3781</v>
      </c>
      <c r="C646" s="81" t="s">
        <v>16</v>
      </c>
      <c r="D646" s="81" t="s">
        <v>404</v>
      </c>
      <c r="E646" s="81" t="s">
        <v>381</v>
      </c>
      <c r="F646" s="81" t="s">
        <v>850</v>
      </c>
      <c r="G646" s="81" t="s">
        <v>3736</v>
      </c>
    </row>
    <row r="647" spans="1:7" x14ac:dyDescent="0.3">
      <c r="A647" s="81" t="s">
        <v>1684</v>
      </c>
      <c r="B647" s="81" t="s">
        <v>3781</v>
      </c>
      <c r="C647" s="81" t="s">
        <v>16</v>
      </c>
      <c r="D647" s="81" t="s">
        <v>404</v>
      </c>
      <c r="E647" s="81" t="s">
        <v>379</v>
      </c>
      <c r="F647" s="81" t="s">
        <v>850</v>
      </c>
      <c r="G647" s="81" t="s">
        <v>3737</v>
      </c>
    </row>
    <row r="648" spans="1:7" x14ac:dyDescent="0.3">
      <c r="A648" s="81" t="s">
        <v>1684</v>
      </c>
      <c r="B648" s="81" t="s">
        <v>3781</v>
      </c>
      <c r="C648" s="81" t="s">
        <v>16</v>
      </c>
      <c r="D648" s="81" t="s">
        <v>404</v>
      </c>
      <c r="E648" s="81" t="s">
        <v>374</v>
      </c>
      <c r="F648" s="81" t="s">
        <v>850</v>
      </c>
      <c r="G648" s="81" t="s">
        <v>3738</v>
      </c>
    </row>
    <row r="649" spans="1:7" x14ac:dyDescent="0.3">
      <c r="A649" s="81" t="s">
        <v>1684</v>
      </c>
      <c r="B649" s="81" t="s">
        <v>3781</v>
      </c>
      <c r="C649" s="81" t="s">
        <v>16</v>
      </c>
      <c r="D649" s="81" t="s">
        <v>404</v>
      </c>
      <c r="E649" s="81" t="s">
        <v>383</v>
      </c>
      <c r="F649" s="81" t="s">
        <v>850</v>
      </c>
      <c r="G649" s="81" t="s">
        <v>3739</v>
      </c>
    </row>
    <row r="650" spans="1:7" x14ac:dyDescent="0.3">
      <c r="A650" s="81" t="s">
        <v>1684</v>
      </c>
      <c r="B650" s="81" t="s">
        <v>3781</v>
      </c>
      <c r="C650" s="81" t="s">
        <v>16</v>
      </c>
      <c r="D650" s="81" t="s">
        <v>404</v>
      </c>
      <c r="E650" s="81" t="s">
        <v>373</v>
      </c>
      <c r="F650" s="81" t="s">
        <v>850</v>
      </c>
      <c r="G650" s="81" t="s">
        <v>3740</v>
      </c>
    </row>
    <row r="651" spans="1:7" x14ac:dyDescent="0.3">
      <c r="A651" s="81" t="s">
        <v>1684</v>
      </c>
      <c r="B651" s="81" t="s">
        <v>3781</v>
      </c>
      <c r="C651" s="81" t="s">
        <v>16</v>
      </c>
      <c r="D651" s="81" t="s">
        <v>404</v>
      </c>
      <c r="E651" s="81" t="s">
        <v>368</v>
      </c>
      <c r="F651" s="81" t="s">
        <v>850</v>
      </c>
      <c r="G651" s="81" t="s">
        <v>3741</v>
      </c>
    </row>
    <row r="652" spans="1:7" x14ac:dyDescent="0.3">
      <c r="A652" s="81" t="s">
        <v>1684</v>
      </c>
      <c r="B652" s="81" t="s">
        <v>3781</v>
      </c>
      <c r="C652" s="81" t="s">
        <v>16</v>
      </c>
      <c r="D652" s="81" t="s">
        <v>404</v>
      </c>
      <c r="E652" s="81" t="s">
        <v>372</v>
      </c>
      <c r="F652" s="81" t="s">
        <v>850</v>
      </c>
      <c r="G652" s="81" t="s">
        <v>3742</v>
      </c>
    </row>
    <row r="653" spans="1:7" x14ac:dyDescent="0.3">
      <c r="A653" s="81" t="s">
        <v>1684</v>
      </c>
      <c r="B653" s="81" t="s">
        <v>3781</v>
      </c>
      <c r="C653" s="81" t="s">
        <v>16</v>
      </c>
      <c r="D653" s="81" t="s">
        <v>404</v>
      </c>
      <c r="E653" s="81" t="s">
        <v>375</v>
      </c>
      <c r="F653" s="81" t="s">
        <v>850</v>
      </c>
      <c r="G653" s="81" t="s">
        <v>3743</v>
      </c>
    </row>
    <row r="654" spans="1:7" x14ac:dyDescent="0.3">
      <c r="A654" s="81" t="s">
        <v>1684</v>
      </c>
      <c r="B654" s="81" t="s">
        <v>3781</v>
      </c>
      <c r="C654" s="81" t="s">
        <v>16</v>
      </c>
      <c r="D654" s="81" t="s">
        <v>404</v>
      </c>
      <c r="E654" s="81" t="s">
        <v>380</v>
      </c>
      <c r="F654" s="81" t="s">
        <v>850</v>
      </c>
      <c r="G654" s="81" t="s">
        <v>3744</v>
      </c>
    </row>
    <row r="655" spans="1:7" x14ac:dyDescent="0.3">
      <c r="A655" s="81" t="s">
        <v>1687</v>
      </c>
      <c r="B655" s="81" t="s">
        <v>3781</v>
      </c>
      <c r="C655" s="81" t="s">
        <v>20</v>
      </c>
      <c r="D655" s="81" t="s">
        <v>18</v>
      </c>
      <c r="E655" s="81" t="s">
        <v>15</v>
      </c>
      <c r="F655" s="81" t="s">
        <v>1689</v>
      </c>
      <c r="G655" s="81" t="s">
        <v>1033</v>
      </c>
    </row>
    <row r="656" spans="1:7" x14ac:dyDescent="0.3">
      <c r="A656" s="81" t="s">
        <v>1687</v>
      </c>
      <c r="B656" s="81" t="s">
        <v>3781</v>
      </c>
      <c r="C656" s="81" t="s">
        <v>16</v>
      </c>
      <c r="D656" s="81" t="s">
        <v>18</v>
      </c>
      <c r="E656" s="81" t="s">
        <v>369</v>
      </c>
      <c r="F656" s="81" t="s">
        <v>1689</v>
      </c>
      <c r="G656" s="81" t="s">
        <v>3729</v>
      </c>
    </row>
    <row r="657" spans="1:7" x14ac:dyDescent="0.3">
      <c r="A657" s="81" t="s">
        <v>1687</v>
      </c>
      <c r="B657" s="81" t="s">
        <v>3781</v>
      </c>
      <c r="C657" s="81" t="s">
        <v>16</v>
      </c>
      <c r="D657" s="81" t="s">
        <v>18</v>
      </c>
      <c r="E657" s="81" t="s">
        <v>382</v>
      </c>
      <c r="F657" s="81" t="s">
        <v>1689</v>
      </c>
      <c r="G657" s="81" t="s">
        <v>3730</v>
      </c>
    </row>
    <row r="658" spans="1:7" x14ac:dyDescent="0.3">
      <c r="A658" s="81" t="s">
        <v>1687</v>
      </c>
      <c r="B658" s="81" t="s">
        <v>3781</v>
      </c>
      <c r="C658" s="81" t="s">
        <v>16</v>
      </c>
      <c r="D658" s="81" t="s">
        <v>18</v>
      </c>
      <c r="E658" s="81" t="s">
        <v>370</v>
      </c>
      <c r="F658" s="81" t="s">
        <v>1689</v>
      </c>
      <c r="G658" s="81" t="s">
        <v>3731</v>
      </c>
    </row>
    <row r="659" spans="1:7" x14ac:dyDescent="0.3">
      <c r="A659" s="81" t="s">
        <v>1687</v>
      </c>
      <c r="B659" s="81" t="s">
        <v>3781</v>
      </c>
      <c r="C659" s="81" t="s">
        <v>16</v>
      </c>
      <c r="D659" s="81" t="s">
        <v>18</v>
      </c>
      <c r="E659" s="81" t="s">
        <v>378</v>
      </c>
      <c r="F659" s="81" t="s">
        <v>1689</v>
      </c>
      <c r="G659" s="81" t="s">
        <v>3732</v>
      </c>
    </row>
    <row r="660" spans="1:7" x14ac:dyDescent="0.3">
      <c r="A660" s="81" t="s">
        <v>1687</v>
      </c>
      <c r="B660" s="81" t="s">
        <v>3781</v>
      </c>
      <c r="C660" s="81" t="s">
        <v>16</v>
      </c>
      <c r="D660" s="81" t="s">
        <v>18</v>
      </c>
      <c r="E660" s="81" t="s">
        <v>371</v>
      </c>
      <c r="F660" s="81" t="s">
        <v>1689</v>
      </c>
      <c r="G660" s="81" t="s">
        <v>3733</v>
      </c>
    </row>
    <row r="661" spans="1:7" x14ac:dyDescent="0.3">
      <c r="A661" s="81" t="s">
        <v>1687</v>
      </c>
      <c r="B661" s="81" t="s">
        <v>3781</v>
      </c>
      <c r="C661" s="81" t="s">
        <v>16</v>
      </c>
      <c r="D661" s="81" t="s">
        <v>18</v>
      </c>
      <c r="E661" s="81" t="s">
        <v>376</v>
      </c>
      <c r="F661" s="81" t="s">
        <v>1689</v>
      </c>
      <c r="G661" s="81" t="s">
        <v>3734</v>
      </c>
    </row>
    <row r="662" spans="1:7" x14ac:dyDescent="0.3">
      <c r="A662" s="81" t="s">
        <v>1687</v>
      </c>
      <c r="B662" s="81" t="s">
        <v>3781</v>
      </c>
      <c r="C662" s="81" t="s">
        <v>16</v>
      </c>
      <c r="D662" s="81" t="s">
        <v>18</v>
      </c>
      <c r="E662" s="81" t="s">
        <v>377</v>
      </c>
      <c r="F662" s="81" t="s">
        <v>1689</v>
      </c>
      <c r="G662" s="81" t="s">
        <v>3735</v>
      </c>
    </row>
    <row r="663" spans="1:7" x14ac:dyDescent="0.3">
      <c r="A663" s="81" t="s">
        <v>1687</v>
      </c>
      <c r="B663" s="81" t="s">
        <v>3781</v>
      </c>
      <c r="C663" s="81" t="s">
        <v>16</v>
      </c>
      <c r="D663" s="81" t="s">
        <v>18</v>
      </c>
      <c r="E663" s="81" t="s">
        <v>381</v>
      </c>
      <c r="F663" s="81" t="s">
        <v>1689</v>
      </c>
      <c r="G663" s="81" t="s">
        <v>3736</v>
      </c>
    </row>
    <row r="664" spans="1:7" x14ac:dyDescent="0.3">
      <c r="A664" s="81" t="s">
        <v>1687</v>
      </c>
      <c r="B664" s="81" t="s">
        <v>3781</v>
      </c>
      <c r="C664" s="81" t="s">
        <v>16</v>
      </c>
      <c r="D664" s="81" t="s">
        <v>18</v>
      </c>
      <c r="E664" s="81" t="s">
        <v>379</v>
      </c>
      <c r="F664" s="81" t="s">
        <v>1689</v>
      </c>
      <c r="G664" s="81" t="s">
        <v>3737</v>
      </c>
    </row>
    <row r="665" spans="1:7" x14ac:dyDescent="0.3">
      <c r="A665" s="81" t="s">
        <v>1687</v>
      </c>
      <c r="B665" s="81" t="s">
        <v>3781</v>
      </c>
      <c r="C665" s="81" t="s">
        <v>16</v>
      </c>
      <c r="D665" s="81" t="s">
        <v>18</v>
      </c>
      <c r="E665" s="81" t="s">
        <v>374</v>
      </c>
      <c r="F665" s="81" t="s">
        <v>1689</v>
      </c>
      <c r="G665" s="81" t="s">
        <v>3738</v>
      </c>
    </row>
    <row r="666" spans="1:7" x14ac:dyDescent="0.3">
      <c r="A666" s="81" t="s">
        <v>1687</v>
      </c>
      <c r="B666" s="81" t="s">
        <v>3781</v>
      </c>
      <c r="C666" s="81" t="s">
        <v>16</v>
      </c>
      <c r="D666" s="81" t="s">
        <v>18</v>
      </c>
      <c r="E666" s="81" t="s">
        <v>383</v>
      </c>
      <c r="F666" s="81" t="s">
        <v>1689</v>
      </c>
      <c r="G666" s="81" t="s">
        <v>3739</v>
      </c>
    </row>
    <row r="667" spans="1:7" x14ac:dyDescent="0.3">
      <c r="A667" s="81" t="s">
        <v>1687</v>
      </c>
      <c r="B667" s="81" t="s">
        <v>3781</v>
      </c>
      <c r="C667" s="81" t="s">
        <v>16</v>
      </c>
      <c r="D667" s="81" t="s">
        <v>18</v>
      </c>
      <c r="E667" s="81" t="s">
        <v>373</v>
      </c>
      <c r="F667" s="81" t="s">
        <v>1689</v>
      </c>
      <c r="G667" s="81" t="s">
        <v>3740</v>
      </c>
    </row>
    <row r="668" spans="1:7" x14ac:dyDescent="0.3">
      <c r="A668" s="81" t="s">
        <v>1687</v>
      </c>
      <c r="B668" s="81" t="s">
        <v>3781</v>
      </c>
      <c r="C668" s="81" t="s">
        <v>16</v>
      </c>
      <c r="D668" s="81" t="s">
        <v>18</v>
      </c>
      <c r="E668" s="81" t="s">
        <v>368</v>
      </c>
      <c r="F668" s="81" t="s">
        <v>1689</v>
      </c>
      <c r="G668" s="81" t="s">
        <v>3741</v>
      </c>
    </row>
    <row r="669" spans="1:7" x14ac:dyDescent="0.3">
      <c r="A669" s="81" t="s">
        <v>1687</v>
      </c>
      <c r="B669" s="81" t="s">
        <v>3781</v>
      </c>
      <c r="C669" s="81" t="s">
        <v>16</v>
      </c>
      <c r="D669" s="81" t="s">
        <v>18</v>
      </c>
      <c r="E669" s="81" t="s">
        <v>372</v>
      </c>
      <c r="F669" s="81" t="s">
        <v>1689</v>
      </c>
      <c r="G669" s="81" t="s">
        <v>3742</v>
      </c>
    </row>
    <row r="670" spans="1:7" x14ac:dyDescent="0.3">
      <c r="A670" s="81" t="s">
        <v>1687</v>
      </c>
      <c r="B670" s="81" t="s">
        <v>3781</v>
      </c>
      <c r="C670" s="81" t="s">
        <v>16</v>
      </c>
      <c r="D670" s="81" t="s">
        <v>18</v>
      </c>
      <c r="E670" s="81" t="s">
        <v>375</v>
      </c>
      <c r="F670" s="81" t="s">
        <v>1689</v>
      </c>
      <c r="G670" s="81" t="s">
        <v>3743</v>
      </c>
    </row>
    <row r="671" spans="1:7" x14ac:dyDescent="0.3">
      <c r="A671" s="81" t="s">
        <v>1687</v>
      </c>
      <c r="B671" s="81" t="s">
        <v>3781</v>
      </c>
      <c r="C671" s="81" t="s">
        <v>16</v>
      </c>
      <c r="D671" s="81" t="s">
        <v>18</v>
      </c>
      <c r="E671" s="81" t="s">
        <v>380</v>
      </c>
      <c r="F671" s="81" t="s">
        <v>1689</v>
      </c>
      <c r="G671" s="81" t="s">
        <v>3744</v>
      </c>
    </row>
    <row r="672" spans="1:7" x14ac:dyDescent="0.3">
      <c r="A672" s="81" t="s">
        <v>1694</v>
      </c>
      <c r="B672" s="81" t="s">
        <v>3781</v>
      </c>
      <c r="C672" s="81" t="s">
        <v>20</v>
      </c>
      <c r="D672" s="81" t="s">
        <v>18</v>
      </c>
      <c r="E672" s="81" t="s">
        <v>15</v>
      </c>
      <c r="F672" s="81" t="s">
        <v>850</v>
      </c>
      <c r="G672" s="81" t="s">
        <v>1033</v>
      </c>
    </row>
    <row r="673" spans="1:7" x14ac:dyDescent="0.3">
      <c r="A673" s="81" t="s">
        <v>1694</v>
      </c>
      <c r="B673" s="81" t="s">
        <v>3781</v>
      </c>
      <c r="C673" s="81" t="s">
        <v>16</v>
      </c>
      <c r="D673" s="81" t="s">
        <v>18</v>
      </c>
      <c r="E673" s="81" t="s">
        <v>369</v>
      </c>
      <c r="F673" s="81" t="s">
        <v>850</v>
      </c>
      <c r="G673" s="81" t="s">
        <v>3729</v>
      </c>
    </row>
    <row r="674" spans="1:7" x14ac:dyDescent="0.3">
      <c r="A674" s="81" t="s">
        <v>1694</v>
      </c>
      <c r="B674" s="81" t="s">
        <v>3781</v>
      </c>
      <c r="C674" s="81" t="s">
        <v>16</v>
      </c>
      <c r="D674" s="81" t="s">
        <v>18</v>
      </c>
      <c r="E674" s="81" t="s">
        <v>382</v>
      </c>
      <c r="F674" s="81" t="s">
        <v>850</v>
      </c>
      <c r="G674" s="81" t="s">
        <v>3730</v>
      </c>
    </row>
    <row r="675" spans="1:7" x14ac:dyDescent="0.3">
      <c r="A675" s="81" t="s">
        <v>1694</v>
      </c>
      <c r="B675" s="81" t="s">
        <v>3781</v>
      </c>
      <c r="C675" s="81" t="s">
        <v>16</v>
      </c>
      <c r="D675" s="81" t="s">
        <v>18</v>
      </c>
      <c r="E675" s="81" t="s">
        <v>370</v>
      </c>
      <c r="F675" s="81" t="s">
        <v>850</v>
      </c>
      <c r="G675" s="81" t="s">
        <v>3731</v>
      </c>
    </row>
    <row r="676" spans="1:7" x14ac:dyDescent="0.3">
      <c r="A676" s="81" t="s">
        <v>1694</v>
      </c>
      <c r="B676" s="81" t="s">
        <v>3781</v>
      </c>
      <c r="C676" s="81" t="s">
        <v>16</v>
      </c>
      <c r="D676" s="81" t="s">
        <v>18</v>
      </c>
      <c r="E676" s="81" t="s">
        <v>378</v>
      </c>
      <c r="F676" s="81" t="s">
        <v>850</v>
      </c>
      <c r="G676" s="81" t="s">
        <v>3732</v>
      </c>
    </row>
    <row r="677" spans="1:7" x14ac:dyDescent="0.3">
      <c r="A677" s="81" t="s">
        <v>1694</v>
      </c>
      <c r="B677" s="81" t="s">
        <v>3781</v>
      </c>
      <c r="C677" s="81" t="s">
        <v>16</v>
      </c>
      <c r="D677" s="81" t="s">
        <v>18</v>
      </c>
      <c r="E677" s="81" t="s">
        <v>371</v>
      </c>
      <c r="F677" s="81" t="s">
        <v>850</v>
      </c>
      <c r="G677" s="81" t="s">
        <v>3733</v>
      </c>
    </row>
    <row r="678" spans="1:7" x14ac:dyDescent="0.3">
      <c r="A678" s="81" t="s">
        <v>1694</v>
      </c>
      <c r="B678" s="81" t="s">
        <v>3781</v>
      </c>
      <c r="C678" s="81" t="s">
        <v>16</v>
      </c>
      <c r="D678" s="81" t="s">
        <v>18</v>
      </c>
      <c r="E678" s="81" t="s">
        <v>376</v>
      </c>
      <c r="F678" s="81" t="s">
        <v>850</v>
      </c>
      <c r="G678" s="81" t="s">
        <v>3734</v>
      </c>
    </row>
    <row r="679" spans="1:7" x14ac:dyDescent="0.3">
      <c r="A679" s="81" t="s">
        <v>1694</v>
      </c>
      <c r="B679" s="81" t="s">
        <v>3781</v>
      </c>
      <c r="C679" s="81" t="s">
        <v>16</v>
      </c>
      <c r="D679" s="81" t="s">
        <v>18</v>
      </c>
      <c r="E679" s="81" t="s">
        <v>377</v>
      </c>
      <c r="F679" s="81" t="s">
        <v>850</v>
      </c>
      <c r="G679" s="81" t="s">
        <v>3735</v>
      </c>
    </row>
    <row r="680" spans="1:7" x14ac:dyDescent="0.3">
      <c r="A680" s="81" t="s">
        <v>1694</v>
      </c>
      <c r="B680" s="81" t="s">
        <v>3781</v>
      </c>
      <c r="C680" s="81" t="s">
        <v>16</v>
      </c>
      <c r="D680" s="81" t="s">
        <v>18</v>
      </c>
      <c r="E680" s="81" t="s">
        <v>381</v>
      </c>
      <c r="F680" s="81" t="s">
        <v>850</v>
      </c>
      <c r="G680" s="81" t="s">
        <v>3736</v>
      </c>
    </row>
    <row r="681" spans="1:7" x14ac:dyDescent="0.3">
      <c r="A681" s="81" t="s">
        <v>1694</v>
      </c>
      <c r="B681" s="81" t="s">
        <v>3781</v>
      </c>
      <c r="C681" s="81" t="s">
        <v>16</v>
      </c>
      <c r="D681" s="81" t="s">
        <v>18</v>
      </c>
      <c r="E681" s="81" t="s">
        <v>379</v>
      </c>
      <c r="F681" s="81" t="s">
        <v>850</v>
      </c>
      <c r="G681" s="81" t="s">
        <v>3737</v>
      </c>
    </row>
    <row r="682" spans="1:7" x14ac:dyDescent="0.3">
      <c r="A682" s="81" t="s">
        <v>1694</v>
      </c>
      <c r="B682" s="81" t="s">
        <v>3781</v>
      </c>
      <c r="C682" s="81" t="s">
        <v>16</v>
      </c>
      <c r="D682" s="81" t="s">
        <v>18</v>
      </c>
      <c r="E682" s="81" t="s">
        <v>374</v>
      </c>
      <c r="F682" s="81" t="s">
        <v>850</v>
      </c>
      <c r="G682" s="81" t="s">
        <v>3738</v>
      </c>
    </row>
    <row r="683" spans="1:7" x14ac:dyDescent="0.3">
      <c r="A683" s="81" t="s">
        <v>1694</v>
      </c>
      <c r="B683" s="81" t="s">
        <v>3781</v>
      </c>
      <c r="C683" s="81" t="s">
        <v>16</v>
      </c>
      <c r="D683" s="81" t="s">
        <v>18</v>
      </c>
      <c r="E683" s="81" t="s">
        <v>383</v>
      </c>
      <c r="F683" s="81" t="s">
        <v>850</v>
      </c>
      <c r="G683" s="81" t="s">
        <v>3739</v>
      </c>
    </row>
    <row r="684" spans="1:7" x14ac:dyDescent="0.3">
      <c r="A684" s="81" t="s">
        <v>1694</v>
      </c>
      <c r="B684" s="81" t="s">
        <v>3781</v>
      </c>
      <c r="C684" s="81" t="s">
        <v>16</v>
      </c>
      <c r="D684" s="81" t="s">
        <v>18</v>
      </c>
      <c r="E684" s="81" t="s">
        <v>373</v>
      </c>
      <c r="F684" s="81" t="s">
        <v>850</v>
      </c>
      <c r="G684" s="81" t="s">
        <v>3740</v>
      </c>
    </row>
    <row r="685" spans="1:7" x14ac:dyDescent="0.3">
      <c r="A685" s="81" t="s">
        <v>1694</v>
      </c>
      <c r="B685" s="81" t="s">
        <v>3781</v>
      </c>
      <c r="C685" s="81" t="s">
        <v>16</v>
      </c>
      <c r="D685" s="81" t="s">
        <v>18</v>
      </c>
      <c r="E685" s="81" t="s">
        <v>368</v>
      </c>
      <c r="F685" s="81" t="s">
        <v>850</v>
      </c>
      <c r="G685" s="81" t="s">
        <v>3741</v>
      </c>
    </row>
    <row r="686" spans="1:7" x14ac:dyDescent="0.3">
      <c r="A686" s="81" t="s">
        <v>1694</v>
      </c>
      <c r="B686" s="81" t="s">
        <v>3781</v>
      </c>
      <c r="C686" s="81" t="s">
        <v>16</v>
      </c>
      <c r="D686" s="81" t="s">
        <v>18</v>
      </c>
      <c r="E686" s="81" t="s">
        <v>372</v>
      </c>
      <c r="F686" s="81" t="s">
        <v>850</v>
      </c>
      <c r="G686" s="81" t="s">
        <v>3742</v>
      </c>
    </row>
    <row r="687" spans="1:7" x14ac:dyDescent="0.3">
      <c r="A687" s="81" t="s">
        <v>1694</v>
      </c>
      <c r="B687" s="81" t="s">
        <v>3781</v>
      </c>
      <c r="C687" s="81" t="s">
        <v>16</v>
      </c>
      <c r="D687" s="81" t="s">
        <v>18</v>
      </c>
      <c r="E687" s="81" t="s">
        <v>375</v>
      </c>
      <c r="F687" s="81" t="s">
        <v>850</v>
      </c>
      <c r="G687" s="81" t="s">
        <v>3743</v>
      </c>
    </row>
    <row r="688" spans="1:7" x14ac:dyDescent="0.3">
      <c r="A688" s="81" t="s">
        <v>1694</v>
      </c>
      <c r="B688" s="81" t="s">
        <v>3781</v>
      </c>
      <c r="C688" s="81" t="s">
        <v>16</v>
      </c>
      <c r="D688" s="81" t="s">
        <v>18</v>
      </c>
      <c r="E688" s="81" t="s">
        <v>380</v>
      </c>
      <c r="F688" s="81" t="s">
        <v>850</v>
      </c>
      <c r="G688" s="81" t="s">
        <v>3744</v>
      </c>
    </row>
    <row r="689" spans="1:7" x14ac:dyDescent="0.3">
      <c r="A689" s="81" t="s">
        <v>1695</v>
      </c>
      <c r="B689" s="81" t="s">
        <v>3781</v>
      </c>
      <c r="C689" s="81" t="s">
        <v>20</v>
      </c>
      <c r="D689" s="81" t="s">
        <v>1032</v>
      </c>
      <c r="E689" s="81" t="s">
        <v>15</v>
      </c>
      <c r="F689" s="81" t="s">
        <v>1696</v>
      </c>
      <c r="G689" s="81" t="s">
        <v>1033</v>
      </c>
    </row>
    <row r="690" spans="1:7" x14ac:dyDescent="0.3">
      <c r="A690" s="81" t="s">
        <v>1695</v>
      </c>
      <c r="B690" s="81" t="s">
        <v>3781</v>
      </c>
      <c r="C690" s="81" t="s">
        <v>16</v>
      </c>
      <c r="D690" s="81" t="s">
        <v>18</v>
      </c>
      <c r="E690" s="81" t="s">
        <v>369</v>
      </c>
      <c r="F690" s="81" t="s">
        <v>1696</v>
      </c>
      <c r="G690" s="81" t="s">
        <v>3729</v>
      </c>
    </row>
    <row r="691" spans="1:7" x14ac:dyDescent="0.3">
      <c r="A691" s="81" t="s">
        <v>1695</v>
      </c>
      <c r="B691" s="81" t="s">
        <v>3781</v>
      </c>
      <c r="C691" s="81" t="s">
        <v>16</v>
      </c>
      <c r="D691" s="81" t="s">
        <v>18</v>
      </c>
      <c r="E691" s="81" t="s">
        <v>382</v>
      </c>
      <c r="F691" s="81" t="s">
        <v>1696</v>
      </c>
      <c r="G691" s="81" t="s">
        <v>3730</v>
      </c>
    </row>
    <row r="692" spans="1:7" x14ac:dyDescent="0.3">
      <c r="A692" s="81" t="s">
        <v>1695</v>
      </c>
      <c r="B692" s="81" t="s">
        <v>3781</v>
      </c>
      <c r="C692" s="81" t="s">
        <v>16</v>
      </c>
      <c r="D692" s="81" t="s">
        <v>18</v>
      </c>
      <c r="E692" s="81" t="s">
        <v>370</v>
      </c>
      <c r="F692" s="81" t="s">
        <v>1696</v>
      </c>
      <c r="G692" s="81" t="s">
        <v>3731</v>
      </c>
    </row>
    <row r="693" spans="1:7" x14ac:dyDescent="0.3">
      <c r="A693" s="81" t="s">
        <v>1695</v>
      </c>
      <c r="B693" s="81" t="s">
        <v>3781</v>
      </c>
      <c r="C693" s="81" t="s">
        <v>16</v>
      </c>
      <c r="D693" s="81" t="s">
        <v>18</v>
      </c>
      <c r="E693" s="81" t="s">
        <v>378</v>
      </c>
      <c r="F693" s="81" t="s">
        <v>1696</v>
      </c>
      <c r="G693" s="81" t="s">
        <v>3732</v>
      </c>
    </row>
    <row r="694" spans="1:7" x14ac:dyDescent="0.3">
      <c r="A694" s="81" t="s">
        <v>1695</v>
      </c>
      <c r="B694" s="81" t="s">
        <v>3781</v>
      </c>
      <c r="C694" s="81" t="s">
        <v>16</v>
      </c>
      <c r="D694" s="81" t="s">
        <v>18</v>
      </c>
      <c r="E694" s="81" t="s">
        <v>371</v>
      </c>
      <c r="F694" s="81" t="s">
        <v>1696</v>
      </c>
      <c r="G694" s="81" t="s">
        <v>3733</v>
      </c>
    </row>
    <row r="695" spans="1:7" x14ac:dyDescent="0.3">
      <c r="A695" s="81" t="s">
        <v>1695</v>
      </c>
      <c r="B695" s="81" t="s">
        <v>3781</v>
      </c>
      <c r="C695" s="81" t="s">
        <v>16</v>
      </c>
      <c r="D695" s="81" t="s">
        <v>18</v>
      </c>
      <c r="E695" s="81" t="s">
        <v>376</v>
      </c>
      <c r="F695" s="81" t="s">
        <v>1696</v>
      </c>
      <c r="G695" s="81" t="s">
        <v>3734</v>
      </c>
    </row>
    <row r="696" spans="1:7" x14ac:dyDescent="0.3">
      <c r="A696" s="81" t="s">
        <v>1695</v>
      </c>
      <c r="B696" s="81" t="s">
        <v>3781</v>
      </c>
      <c r="C696" s="81" t="s">
        <v>16</v>
      </c>
      <c r="D696" s="81" t="s">
        <v>18</v>
      </c>
      <c r="E696" s="81" t="s">
        <v>377</v>
      </c>
      <c r="F696" s="81" t="s">
        <v>1696</v>
      </c>
      <c r="G696" s="81" t="s">
        <v>3735</v>
      </c>
    </row>
    <row r="697" spans="1:7" x14ac:dyDescent="0.3">
      <c r="A697" s="81" t="s">
        <v>1695</v>
      </c>
      <c r="B697" s="81" t="s">
        <v>3781</v>
      </c>
      <c r="C697" s="81" t="s">
        <v>16</v>
      </c>
      <c r="D697" s="81" t="s">
        <v>18</v>
      </c>
      <c r="E697" s="81" t="s">
        <v>381</v>
      </c>
      <c r="F697" s="81" t="s">
        <v>1696</v>
      </c>
      <c r="G697" s="81" t="s">
        <v>3736</v>
      </c>
    </row>
    <row r="698" spans="1:7" x14ac:dyDescent="0.3">
      <c r="A698" s="81" t="s">
        <v>1695</v>
      </c>
      <c r="B698" s="81" t="s">
        <v>3781</v>
      </c>
      <c r="C698" s="81" t="s">
        <v>16</v>
      </c>
      <c r="D698" s="81" t="s">
        <v>18</v>
      </c>
      <c r="E698" s="81" t="s">
        <v>379</v>
      </c>
      <c r="F698" s="81" t="s">
        <v>1696</v>
      </c>
      <c r="G698" s="81" t="s">
        <v>3737</v>
      </c>
    </row>
    <row r="699" spans="1:7" x14ac:dyDescent="0.3">
      <c r="A699" s="81" t="s">
        <v>1695</v>
      </c>
      <c r="B699" s="81" t="s">
        <v>3781</v>
      </c>
      <c r="C699" s="81" t="s">
        <v>16</v>
      </c>
      <c r="D699" s="81" t="s">
        <v>18</v>
      </c>
      <c r="E699" s="81" t="s">
        <v>374</v>
      </c>
      <c r="F699" s="81" t="s">
        <v>1696</v>
      </c>
      <c r="G699" s="81" t="s">
        <v>3738</v>
      </c>
    </row>
    <row r="700" spans="1:7" x14ac:dyDescent="0.3">
      <c r="A700" s="81" t="s">
        <v>1695</v>
      </c>
      <c r="B700" s="81" t="s">
        <v>3781</v>
      </c>
      <c r="C700" s="81" t="s">
        <v>16</v>
      </c>
      <c r="D700" s="81" t="s">
        <v>18</v>
      </c>
      <c r="E700" s="81" t="s">
        <v>383</v>
      </c>
      <c r="F700" s="81" t="s">
        <v>1696</v>
      </c>
      <c r="G700" s="81" t="s">
        <v>3739</v>
      </c>
    </row>
    <row r="701" spans="1:7" x14ac:dyDescent="0.3">
      <c r="A701" s="81" t="s">
        <v>1695</v>
      </c>
      <c r="B701" s="81" t="s">
        <v>3781</v>
      </c>
      <c r="C701" s="81" t="s">
        <v>16</v>
      </c>
      <c r="D701" s="81" t="s">
        <v>18</v>
      </c>
      <c r="E701" s="81" t="s">
        <v>373</v>
      </c>
      <c r="F701" s="81" t="s">
        <v>1696</v>
      </c>
      <c r="G701" s="81" t="s">
        <v>3740</v>
      </c>
    </row>
    <row r="702" spans="1:7" x14ac:dyDescent="0.3">
      <c r="A702" s="81" t="s">
        <v>1695</v>
      </c>
      <c r="B702" s="81" t="s">
        <v>3781</v>
      </c>
      <c r="C702" s="81" t="s">
        <v>16</v>
      </c>
      <c r="D702" s="81" t="s">
        <v>18</v>
      </c>
      <c r="E702" s="81" t="s">
        <v>368</v>
      </c>
      <c r="F702" s="81" t="s">
        <v>1696</v>
      </c>
      <c r="G702" s="81" t="s">
        <v>3741</v>
      </c>
    </row>
    <row r="703" spans="1:7" x14ac:dyDescent="0.3">
      <c r="A703" s="81" t="s">
        <v>1695</v>
      </c>
      <c r="B703" s="81" t="s">
        <v>3781</v>
      </c>
      <c r="C703" s="81" t="s">
        <v>16</v>
      </c>
      <c r="D703" s="81" t="s">
        <v>18</v>
      </c>
      <c r="E703" s="81" t="s">
        <v>372</v>
      </c>
      <c r="F703" s="81" t="s">
        <v>1696</v>
      </c>
      <c r="G703" s="81" t="s">
        <v>3742</v>
      </c>
    </row>
    <row r="704" spans="1:7" x14ac:dyDescent="0.3">
      <c r="A704" s="81" t="s">
        <v>1695</v>
      </c>
      <c r="B704" s="81" t="s">
        <v>3781</v>
      </c>
      <c r="C704" s="81" t="s">
        <v>16</v>
      </c>
      <c r="D704" s="81" t="s">
        <v>18</v>
      </c>
      <c r="E704" s="81" t="s">
        <v>375</v>
      </c>
      <c r="F704" s="81" t="s">
        <v>1696</v>
      </c>
      <c r="G704" s="81" t="s">
        <v>3743</v>
      </c>
    </row>
    <row r="705" spans="1:7" x14ac:dyDescent="0.3">
      <c r="A705" s="81" t="s">
        <v>1695</v>
      </c>
      <c r="B705" s="81" t="s">
        <v>3781</v>
      </c>
      <c r="C705" s="81" t="s">
        <v>16</v>
      </c>
      <c r="D705" s="81" t="s">
        <v>18</v>
      </c>
      <c r="E705" s="81" t="s">
        <v>380</v>
      </c>
      <c r="F705" s="81" t="s">
        <v>1696</v>
      </c>
      <c r="G705" s="81" t="s">
        <v>3744</v>
      </c>
    </row>
    <row r="706" spans="1:7" x14ac:dyDescent="0.3">
      <c r="A706" s="81" t="s">
        <v>463</v>
      </c>
      <c r="B706" s="81" t="s">
        <v>3762</v>
      </c>
      <c r="C706" s="81" t="s">
        <v>20</v>
      </c>
      <c r="D706" s="81" t="s">
        <v>1032</v>
      </c>
      <c r="E706" s="81" t="s">
        <v>15</v>
      </c>
      <c r="F706" s="81" t="s">
        <v>839</v>
      </c>
      <c r="G706" s="81" t="s">
        <v>1033</v>
      </c>
    </row>
    <row r="707" spans="1:7" x14ac:dyDescent="0.3">
      <c r="A707" s="81" t="s">
        <v>463</v>
      </c>
      <c r="B707" s="81" t="s">
        <v>3762</v>
      </c>
      <c r="C707" s="81" t="s">
        <v>16</v>
      </c>
      <c r="D707" s="81" t="s">
        <v>1032</v>
      </c>
      <c r="E707" s="81" t="s">
        <v>369</v>
      </c>
      <c r="F707" s="81" t="s">
        <v>839</v>
      </c>
      <c r="G707" s="81" t="s">
        <v>3729</v>
      </c>
    </row>
    <row r="708" spans="1:7" x14ac:dyDescent="0.3">
      <c r="A708" s="81" t="s">
        <v>463</v>
      </c>
      <c r="B708" s="81" t="s">
        <v>3762</v>
      </c>
      <c r="C708" s="81" t="s">
        <v>16</v>
      </c>
      <c r="D708" s="81" t="s">
        <v>1032</v>
      </c>
      <c r="E708" s="81" t="s">
        <v>382</v>
      </c>
      <c r="F708" s="81" t="s">
        <v>839</v>
      </c>
      <c r="G708" s="81" t="s">
        <v>3730</v>
      </c>
    </row>
    <row r="709" spans="1:7" x14ac:dyDescent="0.3">
      <c r="A709" s="81" t="s">
        <v>463</v>
      </c>
      <c r="B709" s="81" t="s">
        <v>3762</v>
      </c>
      <c r="C709" s="81" t="s">
        <v>16</v>
      </c>
      <c r="D709" s="81" t="s">
        <v>1032</v>
      </c>
      <c r="E709" s="81" t="s">
        <v>370</v>
      </c>
      <c r="F709" s="81" t="s">
        <v>839</v>
      </c>
      <c r="G709" s="81" t="s">
        <v>3731</v>
      </c>
    </row>
    <row r="710" spans="1:7" x14ac:dyDescent="0.3">
      <c r="A710" s="81" t="s">
        <v>463</v>
      </c>
      <c r="B710" s="81" t="s">
        <v>3762</v>
      </c>
      <c r="C710" s="81" t="s">
        <v>16</v>
      </c>
      <c r="D710" s="81" t="s">
        <v>1032</v>
      </c>
      <c r="E710" s="81" t="s">
        <v>378</v>
      </c>
      <c r="F710" s="81" t="s">
        <v>839</v>
      </c>
      <c r="G710" s="81" t="s">
        <v>3732</v>
      </c>
    </row>
    <row r="711" spans="1:7" x14ac:dyDescent="0.3">
      <c r="A711" s="81" t="s">
        <v>463</v>
      </c>
      <c r="B711" s="81" t="s">
        <v>3762</v>
      </c>
      <c r="C711" s="81" t="s">
        <v>16</v>
      </c>
      <c r="D711" s="81" t="s">
        <v>1032</v>
      </c>
      <c r="E711" s="81" t="s">
        <v>371</v>
      </c>
      <c r="F711" s="81" t="s">
        <v>839</v>
      </c>
      <c r="G711" s="81" t="s">
        <v>3733</v>
      </c>
    </row>
    <row r="712" spans="1:7" x14ac:dyDescent="0.3">
      <c r="A712" s="81" t="s">
        <v>463</v>
      </c>
      <c r="B712" s="81" t="s">
        <v>3762</v>
      </c>
      <c r="C712" s="81" t="s">
        <v>16</v>
      </c>
      <c r="D712" s="81" t="s">
        <v>1032</v>
      </c>
      <c r="E712" s="81" t="s">
        <v>376</v>
      </c>
      <c r="F712" s="81" t="s">
        <v>839</v>
      </c>
      <c r="G712" s="81" t="s">
        <v>3734</v>
      </c>
    </row>
    <row r="713" spans="1:7" x14ac:dyDescent="0.3">
      <c r="A713" s="81" t="s">
        <v>463</v>
      </c>
      <c r="B713" s="81" t="s">
        <v>3762</v>
      </c>
      <c r="C713" s="81" t="s">
        <v>16</v>
      </c>
      <c r="D713" s="81" t="s">
        <v>1032</v>
      </c>
      <c r="E713" s="81" t="s">
        <v>377</v>
      </c>
      <c r="F713" s="81" t="s">
        <v>839</v>
      </c>
      <c r="G713" s="81" t="s">
        <v>3735</v>
      </c>
    </row>
    <row r="714" spans="1:7" x14ac:dyDescent="0.3">
      <c r="A714" s="81" t="s">
        <v>463</v>
      </c>
      <c r="B714" s="81" t="s">
        <v>3762</v>
      </c>
      <c r="C714" s="81" t="s">
        <v>16</v>
      </c>
      <c r="D714" s="81" t="s">
        <v>1032</v>
      </c>
      <c r="E714" s="81" t="s">
        <v>381</v>
      </c>
      <c r="F714" s="81" t="s">
        <v>839</v>
      </c>
      <c r="G714" s="81" t="s">
        <v>3736</v>
      </c>
    </row>
    <row r="715" spans="1:7" x14ac:dyDescent="0.3">
      <c r="A715" s="81" t="s">
        <v>463</v>
      </c>
      <c r="B715" s="81" t="s">
        <v>3762</v>
      </c>
      <c r="C715" s="81" t="s">
        <v>16</v>
      </c>
      <c r="D715" s="81" t="s">
        <v>1032</v>
      </c>
      <c r="E715" s="81" t="s">
        <v>379</v>
      </c>
      <c r="F715" s="81" t="s">
        <v>839</v>
      </c>
      <c r="G715" s="81" t="s">
        <v>3737</v>
      </c>
    </row>
    <row r="716" spans="1:7" x14ac:dyDescent="0.3">
      <c r="A716" s="81" t="s">
        <v>463</v>
      </c>
      <c r="B716" s="81" t="s">
        <v>3762</v>
      </c>
      <c r="C716" s="81" t="s">
        <v>16</v>
      </c>
      <c r="D716" s="81" t="s">
        <v>1032</v>
      </c>
      <c r="E716" s="81" t="s">
        <v>374</v>
      </c>
      <c r="F716" s="81" t="s">
        <v>839</v>
      </c>
      <c r="G716" s="81" t="s">
        <v>3738</v>
      </c>
    </row>
    <row r="717" spans="1:7" x14ac:dyDescent="0.3">
      <c r="A717" s="81" t="s">
        <v>463</v>
      </c>
      <c r="B717" s="81" t="s">
        <v>3762</v>
      </c>
      <c r="C717" s="81" t="s">
        <v>16</v>
      </c>
      <c r="D717" s="81" t="s">
        <v>1032</v>
      </c>
      <c r="E717" s="81" t="s">
        <v>383</v>
      </c>
      <c r="F717" s="81" t="s">
        <v>839</v>
      </c>
      <c r="G717" s="81" t="s">
        <v>3739</v>
      </c>
    </row>
    <row r="718" spans="1:7" x14ac:dyDescent="0.3">
      <c r="A718" s="81" t="s">
        <v>463</v>
      </c>
      <c r="B718" s="81" t="s">
        <v>3762</v>
      </c>
      <c r="C718" s="81" t="s">
        <v>16</v>
      </c>
      <c r="D718" s="81" t="s">
        <v>1032</v>
      </c>
      <c r="E718" s="81" t="s">
        <v>373</v>
      </c>
      <c r="F718" s="81" t="s">
        <v>839</v>
      </c>
      <c r="G718" s="81" t="s">
        <v>3740</v>
      </c>
    </row>
    <row r="719" spans="1:7" x14ac:dyDescent="0.3">
      <c r="A719" s="81" t="s">
        <v>463</v>
      </c>
      <c r="B719" s="81" t="s">
        <v>3762</v>
      </c>
      <c r="C719" s="81" t="s">
        <v>16</v>
      </c>
      <c r="D719" s="81" t="s">
        <v>1032</v>
      </c>
      <c r="E719" s="81" t="s">
        <v>368</v>
      </c>
      <c r="F719" s="81" t="s">
        <v>839</v>
      </c>
      <c r="G719" s="81" t="s">
        <v>3741</v>
      </c>
    </row>
    <row r="720" spans="1:7" x14ac:dyDescent="0.3">
      <c r="A720" s="81" t="s">
        <v>463</v>
      </c>
      <c r="B720" s="81" t="s">
        <v>3762</v>
      </c>
      <c r="C720" s="81" t="s">
        <v>16</v>
      </c>
      <c r="D720" s="81" t="s">
        <v>1032</v>
      </c>
      <c r="E720" s="81" t="s">
        <v>372</v>
      </c>
      <c r="F720" s="81" t="s">
        <v>839</v>
      </c>
      <c r="G720" s="81" t="s">
        <v>3742</v>
      </c>
    </row>
    <row r="721" spans="1:7" x14ac:dyDescent="0.3">
      <c r="A721" s="81" t="s">
        <v>463</v>
      </c>
      <c r="B721" s="81" t="s">
        <v>3762</v>
      </c>
      <c r="C721" s="81" t="s">
        <v>16</v>
      </c>
      <c r="D721" s="81" t="s">
        <v>1032</v>
      </c>
      <c r="E721" s="81" t="s">
        <v>375</v>
      </c>
      <c r="F721" s="81" t="s">
        <v>839</v>
      </c>
      <c r="G721" s="81" t="s">
        <v>3743</v>
      </c>
    </row>
    <row r="722" spans="1:7" x14ac:dyDescent="0.3">
      <c r="A722" s="81" t="s">
        <v>463</v>
      </c>
      <c r="B722" s="81" t="s">
        <v>3762</v>
      </c>
      <c r="C722" s="81" t="s">
        <v>16</v>
      </c>
      <c r="D722" s="81" t="s">
        <v>1032</v>
      </c>
      <c r="E722" s="81" t="s">
        <v>380</v>
      </c>
      <c r="F722" s="81" t="s">
        <v>839</v>
      </c>
      <c r="G722" s="81" t="s">
        <v>3744</v>
      </c>
    </row>
    <row r="723" spans="1:7" x14ac:dyDescent="0.3">
      <c r="A723" s="81" t="s">
        <v>2367</v>
      </c>
      <c r="B723" s="81" t="s">
        <v>3761</v>
      </c>
      <c r="C723" s="81" t="s">
        <v>20</v>
      </c>
      <c r="D723" s="81" t="s">
        <v>16</v>
      </c>
      <c r="E723" s="81" t="s">
        <v>15</v>
      </c>
      <c r="F723" s="81" t="s">
        <v>837</v>
      </c>
      <c r="G723" s="81" t="s">
        <v>1033</v>
      </c>
    </row>
    <row r="724" spans="1:7" x14ac:dyDescent="0.3">
      <c r="A724" s="81" t="s">
        <v>2367</v>
      </c>
      <c r="B724" s="81" t="s">
        <v>3761</v>
      </c>
      <c r="C724" s="81" t="s">
        <v>16</v>
      </c>
      <c r="D724" s="81" t="s">
        <v>16</v>
      </c>
      <c r="E724" s="81" t="s">
        <v>369</v>
      </c>
      <c r="F724" s="81" t="s">
        <v>837</v>
      </c>
      <c r="G724" s="81" t="s">
        <v>3729</v>
      </c>
    </row>
    <row r="725" spans="1:7" x14ac:dyDescent="0.3">
      <c r="A725" s="81" t="s">
        <v>2367</v>
      </c>
      <c r="B725" s="81" t="s">
        <v>3761</v>
      </c>
      <c r="C725" s="81" t="s">
        <v>16</v>
      </c>
      <c r="D725" s="81" t="s">
        <v>16</v>
      </c>
      <c r="E725" s="81" t="s">
        <v>382</v>
      </c>
      <c r="F725" s="81" t="s">
        <v>837</v>
      </c>
      <c r="G725" s="81" t="s">
        <v>3730</v>
      </c>
    </row>
    <row r="726" spans="1:7" x14ac:dyDescent="0.3">
      <c r="A726" s="81" t="s">
        <v>2367</v>
      </c>
      <c r="B726" s="81" t="s">
        <v>3761</v>
      </c>
      <c r="C726" s="81" t="s">
        <v>16</v>
      </c>
      <c r="D726" s="81" t="s">
        <v>16</v>
      </c>
      <c r="E726" s="81" t="s">
        <v>370</v>
      </c>
      <c r="F726" s="81" t="s">
        <v>837</v>
      </c>
      <c r="G726" s="81" t="s">
        <v>3731</v>
      </c>
    </row>
    <row r="727" spans="1:7" x14ac:dyDescent="0.3">
      <c r="A727" s="81" t="s">
        <v>2367</v>
      </c>
      <c r="B727" s="81" t="s">
        <v>3761</v>
      </c>
      <c r="C727" s="81" t="s">
        <v>16</v>
      </c>
      <c r="D727" s="81" t="s">
        <v>16</v>
      </c>
      <c r="E727" s="81" t="s">
        <v>378</v>
      </c>
      <c r="F727" s="81" t="s">
        <v>837</v>
      </c>
      <c r="G727" s="81" t="s">
        <v>3732</v>
      </c>
    </row>
    <row r="728" spans="1:7" x14ac:dyDescent="0.3">
      <c r="A728" s="81" t="s">
        <v>2367</v>
      </c>
      <c r="B728" s="81" t="s">
        <v>3761</v>
      </c>
      <c r="C728" s="81" t="s">
        <v>16</v>
      </c>
      <c r="D728" s="81" t="s">
        <v>16</v>
      </c>
      <c r="E728" s="81" t="s">
        <v>371</v>
      </c>
      <c r="F728" s="81" t="s">
        <v>837</v>
      </c>
      <c r="G728" s="81" t="s">
        <v>3733</v>
      </c>
    </row>
    <row r="729" spans="1:7" x14ac:dyDescent="0.3">
      <c r="A729" s="81" t="s">
        <v>2367</v>
      </c>
      <c r="B729" s="81" t="s">
        <v>3761</v>
      </c>
      <c r="C729" s="81" t="s">
        <v>16</v>
      </c>
      <c r="D729" s="81" t="s">
        <v>16</v>
      </c>
      <c r="E729" s="81" t="s">
        <v>376</v>
      </c>
      <c r="F729" s="81" t="s">
        <v>837</v>
      </c>
      <c r="G729" s="81" t="s">
        <v>3734</v>
      </c>
    </row>
    <row r="730" spans="1:7" x14ac:dyDescent="0.3">
      <c r="A730" s="81" t="s">
        <v>2367</v>
      </c>
      <c r="B730" s="81" t="s">
        <v>3761</v>
      </c>
      <c r="C730" s="81" t="s">
        <v>16</v>
      </c>
      <c r="D730" s="81" t="s">
        <v>16</v>
      </c>
      <c r="E730" s="81" t="s">
        <v>377</v>
      </c>
      <c r="F730" s="81" t="s">
        <v>837</v>
      </c>
      <c r="G730" s="81" t="s">
        <v>3735</v>
      </c>
    </row>
    <row r="731" spans="1:7" x14ac:dyDescent="0.3">
      <c r="A731" s="81" t="s">
        <v>2367</v>
      </c>
      <c r="B731" s="81" t="s">
        <v>3761</v>
      </c>
      <c r="C731" s="81" t="s">
        <v>16</v>
      </c>
      <c r="D731" s="81" t="s">
        <v>16</v>
      </c>
      <c r="E731" s="81" t="s">
        <v>381</v>
      </c>
      <c r="F731" s="81" t="s">
        <v>837</v>
      </c>
      <c r="G731" s="81" t="s">
        <v>3736</v>
      </c>
    </row>
    <row r="732" spans="1:7" x14ac:dyDescent="0.3">
      <c r="A732" s="81" t="s">
        <v>2367</v>
      </c>
      <c r="B732" s="81" t="s">
        <v>3761</v>
      </c>
      <c r="C732" s="81" t="s">
        <v>16</v>
      </c>
      <c r="D732" s="81" t="s">
        <v>16</v>
      </c>
      <c r="E732" s="81" t="s">
        <v>379</v>
      </c>
      <c r="F732" s="81" t="s">
        <v>837</v>
      </c>
      <c r="G732" s="81" t="s">
        <v>3737</v>
      </c>
    </row>
    <row r="733" spans="1:7" x14ac:dyDescent="0.3">
      <c r="A733" s="81" t="s">
        <v>2367</v>
      </c>
      <c r="B733" s="81" t="s">
        <v>3761</v>
      </c>
      <c r="C733" s="81" t="s">
        <v>16</v>
      </c>
      <c r="D733" s="81" t="s">
        <v>16</v>
      </c>
      <c r="E733" s="81" t="s">
        <v>374</v>
      </c>
      <c r="F733" s="81" t="s">
        <v>837</v>
      </c>
      <c r="G733" s="81" t="s">
        <v>3738</v>
      </c>
    </row>
    <row r="734" spans="1:7" x14ac:dyDescent="0.3">
      <c r="A734" s="81" t="s">
        <v>2367</v>
      </c>
      <c r="B734" s="81" t="s">
        <v>3761</v>
      </c>
      <c r="C734" s="81" t="s">
        <v>16</v>
      </c>
      <c r="D734" s="81" t="s">
        <v>16</v>
      </c>
      <c r="E734" s="81" t="s">
        <v>383</v>
      </c>
      <c r="F734" s="81" t="s">
        <v>837</v>
      </c>
      <c r="G734" s="81" t="s">
        <v>3739</v>
      </c>
    </row>
    <row r="735" spans="1:7" x14ac:dyDescent="0.3">
      <c r="A735" s="81" t="s">
        <v>2367</v>
      </c>
      <c r="B735" s="81" t="s">
        <v>3761</v>
      </c>
      <c r="C735" s="81" t="s">
        <v>16</v>
      </c>
      <c r="D735" s="81" t="s">
        <v>16</v>
      </c>
      <c r="E735" s="81" t="s">
        <v>373</v>
      </c>
      <c r="F735" s="81" t="s">
        <v>837</v>
      </c>
      <c r="G735" s="81" t="s">
        <v>3740</v>
      </c>
    </row>
    <row r="736" spans="1:7" x14ac:dyDescent="0.3">
      <c r="A736" s="81" t="s">
        <v>2367</v>
      </c>
      <c r="B736" s="81" t="s">
        <v>3761</v>
      </c>
      <c r="C736" s="81" t="s">
        <v>16</v>
      </c>
      <c r="D736" s="81" t="s">
        <v>16</v>
      </c>
      <c r="E736" s="81" t="s">
        <v>368</v>
      </c>
      <c r="F736" s="81" t="s">
        <v>837</v>
      </c>
      <c r="G736" s="81" t="s">
        <v>3741</v>
      </c>
    </row>
    <row r="737" spans="1:7" x14ac:dyDescent="0.3">
      <c r="A737" s="81" t="s">
        <v>2367</v>
      </c>
      <c r="B737" s="81" t="s">
        <v>3761</v>
      </c>
      <c r="C737" s="81" t="s">
        <v>16</v>
      </c>
      <c r="D737" s="81" t="s">
        <v>16</v>
      </c>
      <c r="E737" s="81" t="s">
        <v>372</v>
      </c>
      <c r="F737" s="81" t="s">
        <v>837</v>
      </c>
      <c r="G737" s="81" t="s">
        <v>3742</v>
      </c>
    </row>
    <row r="738" spans="1:7" x14ac:dyDescent="0.3">
      <c r="A738" s="81" t="s">
        <v>2367</v>
      </c>
      <c r="B738" s="81" t="s">
        <v>3761</v>
      </c>
      <c r="C738" s="81" t="s">
        <v>16</v>
      </c>
      <c r="D738" s="81" t="s">
        <v>16</v>
      </c>
      <c r="E738" s="81" t="s">
        <v>375</v>
      </c>
      <c r="F738" s="81" t="s">
        <v>837</v>
      </c>
      <c r="G738" s="81" t="s">
        <v>3743</v>
      </c>
    </row>
    <row r="739" spans="1:7" x14ac:dyDescent="0.3">
      <c r="A739" s="81" t="s">
        <v>2367</v>
      </c>
      <c r="B739" s="81" t="s">
        <v>3761</v>
      </c>
      <c r="C739" s="81" t="s">
        <v>16</v>
      </c>
      <c r="D739" s="81" t="s">
        <v>16</v>
      </c>
      <c r="E739" s="81" t="s">
        <v>380</v>
      </c>
      <c r="F739" s="81" t="s">
        <v>837</v>
      </c>
      <c r="G739" s="81" t="s">
        <v>3744</v>
      </c>
    </row>
    <row r="740" spans="1:7" x14ac:dyDescent="0.3">
      <c r="A740" s="81" t="s">
        <v>819</v>
      </c>
      <c r="B740" s="81" t="s">
        <v>575</v>
      </c>
      <c r="C740" s="81" t="s">
        <v>20</v>
      </c>
      <c r="D740" s="81" t="s">
        <v>18</v>
      </c>
      <c r="E740" s="81" t="s">
        <v>15</v>
      </c>
      <c r="F740" s="81" t="s">
        <v>841</v>
      </c>
      <c r="G740" s="81" t="s">
        <v>1033</v>
      </c>
    </row>
    <row r="741" spans="1:7" x14ac:dyDescent="0.3">
      <c r="A741" s="81" t="s">
        <v>819</v>
      </c>
      <c r="B741" s="81" t="s">
        <v>575</v>
      </c>
      <c r="C741" s="81" t="s">
        <v>20</v>
      </c>
      <c r="D741" s="81" t="s">
        <v>1032</v>
      </c>
      <c r="E741" s="81" t="s">
        <v>15</v>
      </c>
      <c r="F741" s="81" t="s">
        <v>1571</v>
      </c>
      <c r="G741" s="81" t="s">
        <v>1033</v>
      </c>
    </row>
    <row r="742" spans="1:7" x14ac:dyDescent="0.3">
      <c r="A742" s="81" t="s">
        <v>819</v>
      </c>
      <c r="B742" s="81" t="s">
        <v>575</v>
      </c>
      <c r="C742" s="81" t="s">
        <v>16</v>
      </c>
      <c r="D742" s="81" t="s">
        <v>18</v>
      </c>
      <c r="E742" s="81" t="s">
        <v>369</v>
      </c>
      <c r="F742" s="81" t="s">
        <v>841</v>
      </c>
      <c r="G742" s="81" t="s">
        <v>3729</v>
      </c>
    </row>
    <row r="743" spans="1:7" x14ac:dyDescent="0.3">
      <c r="A743" s="81" t="s">
        <v>819</v>
      </c>
      <c r="B743" s="81" t="s">
        <v>575</v>
      </c>
      <c r="C743" s="81" t="s">
        <v>16</v>
      </c>
      <c r="D743" s="81" t="s">
        <v>18</v>
      </c>
      <c r="E743" s="81" t="s">
        <v>369</v>
      </c>
      <c r="F743" s="81" t="s">
        <v>1571</v>
      </c>
      <c r="G743" s="81" t="s">
        <v>3729</v>
      </c>
    </row>
    <row r="744" spans="1:7" x14ac:dyDescent="0.3">
      <c r="A744" s="81" t="s">
        <v>819</v>
      </c>
      <c r="B744" s="81" t="s">
        <v>575</v>
      </c>
      <c r="C744" s="81" t="s">
        <v>16</v>
      </c>
      <c r="D744" s="81" t="s">
        <v>18</v>
      </c>
      <c r="E744" s="81" t="s">
        <v>382</v>
      </c>
      <c r="F744" s="81" t="s">
        <v>841</v>
      </c>
      <c r="G744" s="81" t="s">
        <v>3730</v>
      </c>
    </row>
    <row r="745" spans="1:7" x14ac:dyDescent="0.3">
      <c r="A745" s="81" t="s">
        <v>819</v>
      </c>
      <c r="B745" s="81" t="s">
        <v>575</v>
      </c>
      <c r="C745" s="81" t="s">
        <v>16</v>
      </c>
      <c r="D745" s="81" t="s">
        <v>18</v>
      </c>
      <c r="E745" s="81" t="s">
        <v>382</v>
      </c>
      <c r="F745" s="81" t="s">
        <v>1571</v>
      </c>
      <c r="G745" s="81" t="s">
        <v>3730</v>
      </c>
    </row>
    <row r="746" spans="1:7" x14ac:dyDescent="0.3">
      <c r="A746" s="81" t="s">
        <v>819</v>
      </c>
      <c r="B746" s="81" t="s">
        <v>575</v>
      </c>
      <c r="C746" s="81" t="s">
        <v>16</v>
      </c>
      <c r="D746" s="81" t="s">
        <v>18</v>
      </c>
      <c r="E746" s="81" t="s">
        <v>370</v>
      </c>
      <c r="F746" s="81" t="s">
        <v>841</v>
      </c>
      <c r="G746" s="81" t="s">
        <v>3731</v>
      </c>
    </row>
    <row r="747" spans="1:7" x14ac:dyDescent="0.3">
      <c r="A747" s="81" t="s">
        <v>819</v>
      </c>
      <c r="B747" s="81" t="s">
        <v>575</v>
      </c>
      <c r="C747" s="81" t="s">
        <v>16</v>
      </c>
      <c r="D747" s="81" t="s">
        <v>18</v>
      </c>
      <c r="E747" s="81" t="s">
        <v>370</v>
      </c>
      <c r="F747" s="81" t="s">
        <v>1571</v>
      </c>
      <c r="G747" s="81" t="s">
        <v>3731</v>
      </c>
    </row>
    <row r="748" spans="1:7" x14ac:dyDescent="0.3">
      <c r="A748" s="81" t="s">
        <v>819</v>
      </c>
      <c r="B748" s="81" t="s">
        <v>575</v>
      </c>
      <c r="C748" s="81" t="s">
        <v>16</v>
      </c>
      <c r="D748" s="81" t="s">
        <v>18</v>
      </c>
      <c r="E748" s="81" t="s">
        <v>378</v>
      </c>
      <c r="F748" s="81" t="s">
        <v>841</v>
      </c>
      <c r="G748" s="81" t="s">
        <v>3732</v>
      </c>
    </row>
    <row r="749" spans="1:7" x14ac:dyDescent="0.3">
      <c r="A749" s="81" t="s">
        <v>819</v>
      </c>
      <c r="B749" s="81" t="s">
        <v>575</v>
      </c>
      <c r="C749" s="81" t="s">
        <v>16</v>
      </c>
      <c r="D749" s="81" t="s">
        <v>18</v>
      </c>
      <c r="E749" s="81" t="s">
        <v>378</v>
      </c>
      <c r="F749" s="81" t="s">
        <v>1571</v>
      </c>
      <c r="G749" s="81" t="s">
        <v>3732</v>
      </c>
    </row>
    <row r="750" spans="1:7" x14ac:dyDescent="0.3">
      <c r="A750" s="81" t="s">
        <v>819</v>
      </c>
      <c r="B750" s="81" t="s">
        <v>575</v>
      </c>
      <c r="C750" s="81" t="s">
        <v>16</v>
      </c>
      <c r="D750" s="81" t="s">
        <v>18</v>
      </c>
      <c r="E750" s="81" t="s">
        <v>371</v>
      </c>
      <c r="F750" s="81" t="s">
        <v>841</v>
      </c>
      <c r="G750" s="81" t="s">
        <v>3733</v>
      </c>
    </row>
    <row r="751" spans="1:7" x14ac:dyDescent="0.3">
      <c r="A751" s="81" t="s">
        <v>819</v>
      </c>
      <c r="B751" s="81" t="s">
        <v>575</v>
      </c>
      <c r="C751" s="81" t="s">
        <v>16</v>
      </c>
      <c r="D751" s="81" t="s">
        <v>18</v>
      </c>
      <c r="E751" s="81" t="s">
        <v>371</v>
      </c>
      <c r="F751" s="81" t="s">
        <v>1571</v>
      </c>
      <c r="G751" s="81" t="s">
        <v>3733</v>
      </c>
    </row>
    <row r="752" spans="1:7" x14ac:dyDescent="0.3">
      <c r="A752" s="81" t="s">
        <v>819</v>
      </c>
      <c r="B752" s="81" t="s">
        <v>575</v>
      </c>
      <c r="C752" s="81" t="s">
        <v>16</v>
      </c>
      <c r="D752" s="81" t="s">
        <v>18</v>
      </c>
      <c r="E752" s="81" t="s">
        <v>376</v>
      </c>
      <c r="F752" s="81" t="s">
        <v>841</v>
      </c>
      <c r="G752" s="81" t="s">
        <v>3734</v>
      </c>
    </row>
    <row r="753" spans="1:7" x14ac:dyDescent="0.3">
      <c r="A753" s="81" t="s">
        <v>819</v>
      </c>
      <c r="B753" s="81" t="s">
        <v>575</v>
      </c>
      <c r="C753" s="81" t="s">
        <v>16</v>
      </c>
      <c r="D753" s="81" t="s">
        <v>18</v>
      </c>
      <c r="E753" s="81" t="s">
        <v>376</v>
      </c>
      <c r="F753" s="81" t="s">
        <v>1571</v>
      </c>
      <c r="G753" s="81" t="s">
        <v>3734</v>
      </c>
    </row>
    <row r="754" spans="1:7" x14ac:dyDescent="0.3">
      <c r="A754" s="81" t="s">
        <v>819</v>
      </c>
      <c r="B754" s="81" t="s">
        <v>575</v>
      </c>
      <c r="C754" s="81" t="s">
        <v>16</v>
      </c>
      <c r="D754" s="81" t="s">
        <v>18</v>
      </c>
      <c r="E754" s="81" t="s">
        <v>377</v>
      </c>
      <c r="F754" s="81" t="s">
        <v>841</v>
      </c>
      <c r="G754" s="81" t="s">
        <v>3735</v>
      </c>
    </row>
    <row r="755" spans="1:7" x14ac:dyDescent="0.3">
      <c r="A755" s="81" t="s">
        <v>819</v>
      </c>
      <c r="B755" s="81" t="s">
        <v>575</v>
      </c>
      <c r="C755" s="81" t="s">
        <v>16</v>
      </c>
      <c r="D755" s="81" t="s">
        <v>18</v>
      </c>
      <c r="E755" s="81" t="s">
        <v>377</v>
      </c>
      <c r="F755" s="81" t="s">
        <v>1571</v>
      </c>
      <c r="G755" s="81" t="s">
        <v>3735</v>
      </c>
    </row>
    <row r="756" spans="1:7" x14ac:dyDescent="0.3">
      <c r="A756" s="81" t="s">
        <v>819</v>
      </c>
      <c r="B756" s="81" t="s">
        <v>575</v>
      </c>
      <c r="C756" s="81" t="s">
        <v>16</v>
      </c>
      <c r="D756" s="81" t="s">
        <v>18</v>
      </c>
      <c r="E756" s="81" t="s">
        <v>381</v>
      </c>
      <c r="F756" s="81" t="s">
        <v>841</v>
      </c>
      <c r="G756" s="81" t="s">
        <v>3736</v>
      </c>
    </row>
    <row r="757" spans="1:7" x14ac:dyDescent="0.3">
      <c r="A757" s="81" t="s">
        <v>819</v>
      </c>
      <c r="B757" s="81" t="s">
        <v>575</v>
      </c>
      <c r="C757" s="81" t="s">
        <v>16</v>
      </c>
      <c r="D757" s="81" t="s">
        <v>18</v>
      </c>
      <c r="E757" s="81" t="s">
        <v>381</v>
      </c>
      <c r="F757" s="81" t="s">
        <v>1571</v>
      </c>
      <c r="G757" s="81" t="s">
        <v>3736</v>
      </c>
    </row>
    <row r="758" spans="1:7" x14ac:dyDescent="0.3">
      <c r="A758" s="81" t="s">
        <v>819</v>
      </c>
      <c r="B758" s="81" t="s">
        <v>575</v>
      </c>
      <c r="C758" s="81" t="s">
        <v>16</v>
      </c>
      <c r="D758" s="81" t="s">
        <v>18</v>
      </c>
      <c r="E758" s="81" t="s">
        <v>379</v>
      </c>
      <c r="F758" s="81" t="s">
        <v>841</v>
      </c>
      <c r="G758" s="81" t="s">
        <v>3737</v>
      </c>
    </row>
    <row r="759" spans="1:7" x14ac:dyDescent="0.3">
      <c r="A759" s="81" t="s">
        <v>819</v>
      </c>
      <c r="B759" s="81" t="s">
        <v>575</v>
      </c>
      <c r="C759" s="81" t="s">
        <v>16</v>
      </c>
      <c r="D759" s="81" t="s">
        <v>18</v>
      </c>
      <c r="E759" s="81" t="s">
        <v>379</v>
      </c>
      <c r="F759" s="81" t="s">
        <v>1571</v>
      </c>
      <c r="G759" s="81" t="s">
        <v>3737</v>
      </c>
    </row>
    <row r="760" spans="1:7" x14ac:dyDescent="0.3">
      <c r="A760" s="81" t="s">
        <v>819</v>
      </c>
      <c r="B760" s="81" t="s">
        <v>575</v>
      </c>
      <c r="C760" s="81" t="s">
        <v>16</v>
      </c>
      <c r="D760" s="81" t="s">
        <v>18</v>
      </c>
      <c r="E760" s="81" t="s">
        <v>374</v>
      </c>
      <c r="F760" s="81" t="s">
        <v>841</v>
      </c>
      <c r="G760" s="81" t="s">
        <v>3738</v>
      </c>
    </row>
    <row r="761" spans="1:7" x14ac:dyDescent="0.3">
      <c r="A761" s="81" t="s">
        <v>819</v>
      </c>
      <c r="B761" s="81" t="s">
        <v>575</v>
      </c>
      <c r="C761" s="81" t="s">
        <v>16</v>
      </c>
      <c r="D761" s="81" t="s">
        <v>18</v>
      </c>
      <c r="E761" s="81" t="s">
        <v>374</v>
      </c>
      <c r="F761" s="81" t="s">
        <v>1571</v>
      </c>
      <c r="G761" s="81" t="s">
        <v>3738</v>
      </c>
    </row>
    <row r="762" spans="1:7" x14ac:dyDescent="0.3">
      <c r="A762" s="81" t="s">
        <v>819</v>
      </c>
      <c r="B762" s="81" t="s">
        <v>575</v>
      </c>
      <c r="C762" s="81" t="s">
        <v>16</v>
      </c>
      <c r="D762" s="81" t="s">
        <v>18</v>
      </c>
      <c r="E762" s="81" t="s">
        <v>383</v>
      </c>
      <c r="F762" s="81" t="s">
        <v>841</v>
      </c>
      <c r="G762" s="81" t="s">
        <v>3739</v>
      </c>
    </row>
    <row r="763" spans="1:7" x14ac:dyDescent="0.3">
      <c r="A763" s="81" t="s">
        <v>819</v>
      </c>
      <c r="B763" s="81" t="s">
        <v>575</v>
      </c>
      <c r="C763" s="81" t="s">
        <v>16</v>
      </c>
      <c r="D763" s="81" t="s">
        <v>18</v>
      </c>
      <c r="E763" s="81" t="s">
        <v>383</v>
      </c>
      <c r="F763" s="81" t="s">
        <v>1571</v>
      </c>
      <c r="G763" s="81" t="s">
        <v>3739</v>
      </c>
    </row>
    <row r="764" spans="1:7" x14ac:dyDescent="0.3">
      <c r="A764" s="81" t="s">
        <v>819</v>
      </c>
      <c r="B764" s="81" t="s">
        <v>575</v>
      </c>
      <c r="C764" s="81" t="s">
        <v>16</v>
      </c>
      <c r="D764" s="81" t="s">
        <v>18</v>
      </c>
      <c r="E764" s="81" t="s">
        <v>373</v>
      </c>
      <c r="F764" s="81" t="s">
        <v>841</v>
      </c>
      <c r="G764" s="81" t="s">
        <v>3740</v>
      </c>
    </row>
    <row r="765" spans="1:7" x14ac:dyDescent="0.3">
      <c r="A765" s="81" t="s">
        <v>819</v>
      </c>
      <c r="B765" s="81" t="s">
        <v>575</v>
      </c>
      <c r="C765" s="81" t="s">
        <v>16</v>
      </c>
      <c r="D765" s="81" t="s">
        <v>18</v>
      </c>
      <c r="E765" s="81" t="s">
        <v>373</v>
      </c>
      <c r="F765" s="81" t="s">
        <v>1571</v>
      </c>
      <c r="G765" s="81" t="s">
        <v>3740</v>
      </c>
    </row>
    <row r="766" spans="1:7" x14ac:dyDescent="0.3">
      <c r="A766" s="81" t="s">
        <v>819</v>
      </c>
      <c r="B766" s="81" t="s">
        <v>575</v>
      </c>
      <c r="C766" s="81" t="s">
        <v>16</v>
      </c>
      <c r="D766" s="81" t="s">
        <v>18</v>
      </c>
      <c r="E766" s="81" t="s">
        <v>368</v>
      </c>
      <c r="F766" s="81" t="s">
        <v>841</v>
      </c>
      <c r="G766" s="81" t="s">
        <v>3741</v>
      </c>
    </row>
    <row r="767" spans="1:7" x14ac:dyDescent="0.3">
      <c r="A767" s="81" t="s">
        <v>819</v>
      </c>
      <c r="B767" s="81" t="s">
        <v>575</v>
      </c>
      <c r="C767" s="81" t="s">
        <v>16</v>
      </c>
      <c r="D767" s="81" t="s">
        <v>18</v>
      </c>
      <c r="E767" s="81" t="s">
        <v>368</v>
      </c>
      <c r="F767" s="81" t="s">
        <v>1571</v>
      </c>
      <c r="G767" s="81" t="s">
        <v>3741</v>
      </c>
    </row>
    <row r="768" spans="1:7" x14ac:dyDescent="0.3">
      <c r="A768" s="81" t="s">
        <v>819</v>
      </c>
      <c r="B768" s="81" t="s">
        <v>575</v>
      </c>
      <c r="C768" s="81" t="s">
        <v>16</v>
      </c>
      <c r="D768" s="81" t="s">
        <v>18</v>
      </c>
      <c r="E768" s="81" t="s">
        <v>372</v>
      </c>
      <c r="F768" s="81" t="s">
        <v>841</v>
      </c>
      <c r="G768" s="81" t="s">
        <v>3742</v>
      </c>
    </row>
    <row r="769" spans="1:7" x14ac:dyDescent="0.3">
      <c r="A769" s="81" t="s">
        <v>819</v>
      </c>
      <c r="B769" s="81" t="s">
        <v>575</v>
      </c>
      <c r="C769" s="81" t="s">
        <v>16</v>
      </c>
      <c r="D769" s="81" t="s">
        <v>18</v>
      </c>
      <c r="E769" s="81" t="s">
        <v>372</v>
      </c>
      <c r="F769" s="81" t="s">
        <v>1571</v>
      </c>
      <c r="G769" s="81" t="s">
        <v>3742</v>
      </c>
    </row>
    <row r="770" spans="1:7" x14ac:dyDescent="0.3">
      <c r="A770" s="81" t="s">
        <v>819</v>
      </c>
      <c r="B770" s="81" t="s">
        <v>575</v>
      </c>
      <c r="C770" s="81" t="s">
        <v>16</v>
      </c>
      <c r="D770" s="81" t="s">
        <v>18</v>
      </c>
      <c r="E770" s="81" t="s">
        <v>375</v>
      </c>
      <c r="F770" s="81" t="s">
        <v>841</v>
      </c>
      <c r="G770" s="81" t="s">
        <v>3743</v>
      </c>
    </row>
    <row r="771" spans="1:7" x14ac:dyDescent="0.3">
      <c r="A771" s="81" t="s">
        <v>819</v>
      </c>
      <c r="B771" s="81" t="s">
        <v>575</v>
      </c>
      <c r="C771" s="81" t="s">
        <v>16</v>
      </c>
      <c r="D771" s="81" t="s">
        <v>18</v>
      </c>
      <c r="E771" s="81" t="s">
        <v>375</v>
      </c>
      <c r="F771" s="81" t="s">
        <v>1571</v>
      </c>
      <c r="G771" s="81" t="s">
        <v>3743</v>
      </c>
    </row>
    <row r="772" spans="1:7" x14ac:dyDescent="0.3">
      <c r="A772" s="81" t="s">
        <v>819</v>
      </c>
      <c r="B772" s="81" t="s">
        <v>575</v>
      </c>
      <c r="C772" s="81" t="s">
        <v>16</v>
      </c>
      <c r="D772" s="81" t="s">
        <v>18</v>
      </c>
      <c r="E772" s="81" t="s">
        <v>380</v>
      </c>
      <c r="F772" s="81" t="s">
        <v>841</v>
      </c>
      <c r="G772" s="81" t="s">
        <v>3744</v>
      </c>
    </row>
    <row r="773" spans="1:7" x14ac:dyDescent="0.3">
      <c r="A773" s="81" t="s">
        <v>819</v>
      </c>
      <c r="B773" s="81" t="s">
        <v>575</v>
      </c>
      <c r="C773" s="81" t="s">
        <v>16</v>
      </c>
      <c r="D773" s="81" t="s">
        <v>18</v>
      </c>
      <c r="E773" s="81" t="s">
        <v>380</v>
      </c>
      <c r="F773" s="81" t="s">
        <v>1571</v>
      </c>
      <c r="G773" s="81" t="s">
        <v>3744</v>
      </c>
    </row>
    <row r="774" spans="1:7" x14ac:dyDescent="0.3">
      <c r="A774" s="81" t="s">
        <v>579</v>
      </c>
      <c r="B774" s="81" t="s">
        <v>3763</v>
      </c>
      <c r="C774" s="81" t="s">
        <v>20</v>
      </c>
      <c r="D774" s="81" t="s">
        <v>18</v>
      </c>
      <c r="E774" s="81" t="s">
        <v>15</v>
      </c>
      <c r="F774" s="81" t="s">
        <v>860</v>
      </c>
      <c r="G774" s="81" t="s">
        <v>1033</v>
      </c>
    </row>
    <row r="775" spans="1:7" x14ac:dyDescent="0.3">
      <c r="A775" s="81" t="s">
        <v>579</v>
      </c>
      <c r="B775" s="81" t="s">
        <v>3763</v>
      </c>
      <c r="C775" s="81" t="s">
        <v>20</v>
      </c>
      <c r="D775" s="81" t="s">
        <v>16</v>
      </c>
      <c r="E775" s="81" t="s">
        <v>15</v>
      </c>
      <c r="F775" s="81" t="s">
        <v>842</v>
      </c>
      <c r="G775" s="81">
        <v>0</v>
      </c>
    </row>
    <row r="776" spans="1:7" x14ac:dyDescent="0.3">
      <c r="A776" s="81" t="s">
        <v>579</v>
      </c>
      <c r="B776" s="81" t="s">
        <v>3763</v>
      </c>
      <c r="C776" s="81" t="s">
        <v>20</v>
      </c>
      <c r="D776" s="81" t="s">
        <v>16</v>
      </c>
      <c r="E776" s="81" t="s">
        <v>15</v>
      </c>
      <c r="F776" s="81" t="s">
        <v>929</v>
      </c>
      <c r="G776" s="81" t="s">
        <v>855</v>
      </c>
    </row>
    <row r="777" spans="1:7" x14ac:dyDescent="0.3">
      <c r="A777" s="81" t="s">
        <v>579</v>
      </c>
      <c r="B777" s="81" t="s">
        <v>3763</v>
      </c>
      <c r="C777" s="81" t="s">
        <v>20</v>
      </c>
      <c r="D777" s="81" t="s">
        <v>404</v>
      </c>
      <c r="E777" s="81" t="s">
        <v>15</v>
      </c>
      <c r="F777" s="81" t="s">
        <v>843</v>
      </c>
      <c r="G777" s="81">
        <v>0</v>
      </c>
    </row>
    <row r="778" spans="1:7" x14ac:dyDescent="0.3">
      <c r="A778" s="81" t="s">
        <v>579</v>
      </c>
      <c r="B778" s="81" t="s">
        <v>3763</v>
      </c>
      <c r="C778" s="81" t="s">
        <v>20</v>
      </c>
      <c r="D778" s="81" t="s">
        <v>404</v>
      </c>
      <c r="E778" s="81" t="s">
        <v>15</v>
      </c>
      <c r="F778" s="81" t="s">
        <v>931</v>
      </c>
      <c r="G778" s="81">
        <v>0</v>
      </c>
    </row>
    <row r="779" spans="1:7" x14ac:dyDescent="0.3">
      <c r="A779" s="81" t="s">
        <v>579</v>
      </c>
      <c r="B779" s="81" t="s">
        <v>3763</v>
      </c>
      <c r="C779" s="81" t="s">
        <v>16</v>
      </c>
      <c r="D779" s="81" t="s">
        <v>18</v>
      </c>
      <c r="E779" s="81" t="s">
        <v>369</v>
      </c>
      <c r="F779" s="81" t="s">
        <v>860</v>
      </c>
      <c r="G779" s="81" t="s">
        <v>3729</v>
      </c>
    </row>
    <row r="780" spans="1:7" x14ac:dyDescent="0.3">
      <c r="A780" s="81" t="s">
        <v>579</v>
      </c>
      <c r="B780" s="81" t="s">
        <v>3763</v>
      </c>
      <c r="C780" s="81" t="s">
        <v>16</v>
      </c>
      <c r="D780" s="81" t="s">
        <v>18</v>
      </c>
      <c r="E780" s="81" t="s">
        <v>382</v>
      </c>
      <c r="F780" s="81" t="s">
        <v>860</v>
      </c>
      <c r="G780" s="81" t="s">
        <v>3730</v>
      </c>
    </row>
    <row r="781" spans="1:7" x14ac:dyDescent="0.3">
      <c r="A781" s="81" t="s">
        <v>579</v>
      </c>
      <c r="B781" s="81" t="s">
        <v>3763</v>
      </c>
      <c r="C781" s="81" t="s">
        <v>16</v>
      </c>
      <c r="D781" s="81" t="s">
        <v>18</v>
      </c>
      <c r="E781" s="81" t="s">
        <v>370</v>
      </c>
      <c r="F781" s="81" t="s">
        <v>860</v>
      </c>
      <c r="G781" s="81" t="s">
        <v>3731</v>
      </c>
    </row>
    <row r="782" spans="1:7" x14ac:dyDescent="0.3">
      <c r="A782" s="81" t="s">
        <v>579</v>
      </c>
      <c r="B782" s="81" t="s">
        <v>3763</v>
      </c>
      <c r="C782" s="81" t="s">
        <v>16</v>
      </c>
      <c r="D782" s="81" t="s">
        <v>18</v>
      </c>
      <c r="E782" s="81" t="s">
        <v>378</v>
      </c>
      <c r="F782" s="81" t="s">
        <v>860</v>
      </c>
      <c r="G782" s="81" t="s">
        <v>3732</v>
      </c>
    </row>
    <row r="783" spans="1:7" x14ac:dyDescent="0.3">
      <c r="A783" s="81" t="s">
        <v>579</v>
      </c>
      <c r="B783" s="81" t="s">
        <v>3763</v>
      </c>
      <c r="C783" s="81" t="s">
        <v>16</v>
      </c>
      <c r="D783" s="81" t="s">
        <v>18</v>
      </c>
      <c r="E783" s="81" t="s">
        <v>371</v>
      </c>
      <c r="F783" s="81" t="s">
        <v>860</v>
      </c>
      <c r="G783" s="81" t="s">
        <v>3733</v>
      </c>
    </row>
    <row r="784" spans="1:7" x14ac:dyDescent="0.3">
      <c r="A784" s="81" t="s">
        <v>579</v>
      </c>
      <c r="B784" s="81" t="s">
        <v>3763</v>
      </c>
      <c r="C784" s="81" t="s">
        <v>16</v>
      </c>
      <c r="D784" s="81" t="s">
        <v>18</v>
      </c>
      <c r="E784" s="81" t="s">
        <v>376</v>
      </c>
      <c r="F784" s="81" t="s">
        <v>860</v>
      </c>
      <c r="G784" s="81" t="s">
        <v>3734</v>
      </c>
    </row>
    <row r="785" spans="1:7" x14ac:dyDescent="0.3">
      <c r="A785" s="81" t="s">
        <v>579</v>
      </c>
      <c r="B785" s="81" t="s">
        <v>3763</v>
      </c>
      <c r="C785" s="81" t="s">
        <v>16</v>
      </c>
      <c r="D785" s="81" t="s">
        <v>18</v>
      </c>
      <c r="E785" s="81" t="s">
        <v>377</v>
      </c>
      <c r="F785" s="81" t="s">
        <v>860</v>
      </c>
      <c r="G785" s="81" t="s">
        <v>3735</v>
      </c>
    </row>
    <row r="786" spans="1:7" x14ac:dyDescent="0.3">
      <c r="A786" s="81" t="s">
        <v>579</v>
      </c>
      <c r="B786" s="81" t="s">
        <v>3763</v>
      </c>
      <c r="C786" s="81" t="s">
        <v>16</v>
      </c>
      <c r="D786" s="81" t="s">
        <v>18</v>
      </c>
      <c r="E786" s="81" t="s">
        <v>381</v>
      </c>
      <c r="F786" s="81" t="s">
        <v>860</v>
      </c>
      <c r="G786" s="81" t="s">
        <v>3736</v>
      </c>
    </row>
    <row r="787" spans="1:7" x14ac:dyDescent="0.3">
      <c r="A787" s="81" t="s">
        <v>579</v>
      </c>
      <c r="B787" s="81" t="s">
        <v>3763</v>
      </c>
      <c r="C787" s="81" t="s">
        <v>16</v>
      </c>
      <c r="D787" s="81" t="s">
        <v>18</v>
      </c>
      <c r="E787" s="81" t="s">
        <v>379</v>
      </c>
      <c r="F787" s="81" t="s">
        <v>860</v>
      </c>
      <c r="G787" s="81" t="s">
        <v>3737</v>
      </c>
    </row>
    <row r="788" spans="1:7" x14ac:dyDescent="0.3">
      <c r="A788" s="81" t="s">
        <v>579</v>
      </c>
      <c r="B788" s="81" t="s">
        <v>3763</v>
      </c>
      <c r="C788" s="81" t="s">
        <v>16</v>
      </c>
      <c r="D788" s="81" t="s">
        <v>18</v>
      </c>
      <c r="E788" s="81" t="s">
        <v>374</v>
      </c>
      <c r="F788" s="81" t="s">
        <v>860</v>
      </c>
      <c r="G788" s="81" t="s">
        <v>3738</v>
      </c>
    </row>
    <row r="789" spans="1:7" x14ac:dyDescent="0.3">
      <c r="A789" s="81" t="s">
        <v>579</v>
      </c>
      <c r="B789" s="81" t="s">
        <v>3763</v>
      </c>
      <c r="C789" s="81" t="s">
        <v>16</v>
      </c>
      <c r="D789" s="81" t="s">
        <v>18</v>
      </c>
      <c r="E789" s="81" t="s">
        <v>383</v>
      </c>
      <c r="F789" s="81" t="s">
        <v>860</v>
      </c>
      <c r="G789" s="81" t="s">
        <v>3739</v>
      </c>
    </row>
    <row r="790" spans="1:7" x14ac:dyDescent="0.3">
      <c r="A790" s="81" t="s">
        <v>579</v>
      </c>
      <c r="B790" s="81" t="s">
        <v>3763</v>
      </c>
      <c r="C790" s="81" t="s">
        <v>16</v>
      </c>
      <c r="D790" s="81" t="s">
        <v>18</v>
      </c>
      <c r="E790" s="81" t="s">
        <v>373</v>
      </c>
      <c r="F790" s="81" t="s">
        <v>860</v>
      </c>
      <c r="G790" s="81" t="s">
        <v>3740</v>
      </c>
    </row>
    <row r="791" spans="1:7" x14ac:dyDescent="0.3">
      <c r="A791" s="81" t="s">
        <v>579</v>
      </c>
      <c r="B791" s="81" t="s">
        <v>3763</v>
      </c>
      <c r="C791" s="81" t="s">
        <v>16</v>
      </c>
      <c r="D791" s="81" t="s">
        <v>18</v>
      </c>
      <c r="E791" s="81" t="s">
        <v>368</v>
      </c>
      <c r="F791" s="81" t="s">
        <v>860</v>
      </c>
      <c r="G791" s="81" t="s">
        <v>3741</v>
      </c>
    </row>
    <row r="792" spans="1:7" x14ac:dyDescent="0.3">
      <c r="A792" s="81" t="s">
        <v>579</v>
      </c>
      <c r="B792" s="81" t="s">
        <v>3763</v>
      </c>
      <c r="C792" s="81" t="s">
        <v>16</v>
      </c>
      <c r="D792" s="81" t="s">
        <v>18</v>
      </c>
      <c r="E792" s="81" t="s">
        <v>372</v>
      </c>
      <c r="F792" s="81" t="s">
        <v>860</v>
      </c>
      <c r="G792" s="81" t="s">
        <v>3742</v>
      </c>
    </row>
    <row r="793" spans="1:7" x14ac:dyDescent="0.3">
      <c r="A793" s="81" t="s">
        <v>579</v>
      </c>
      <c r="B793" s="81" t="s">
        <v>3763</v>
      </c>
      <c r="C793" s="81" t="s">
        <v>16</v>
      </c>
      <c r="D793" s="81" t="s">
        <v>18</v>
      </c>
      <c r="E793" s="81" t="s">
        <v>375</v>
      </c>
      <c r="F793" s="81" t="s">
        <v>860</v>
      </c>
      <c r="G793" s="81" t="s">
        <v>3743</v>
      </c>
    </row>
    <row r="794" spans="1:7" x14ac:dyDescent="0.3">
      <c r="A794" s="81" t="s">
        <v>579</v>
      </c>
      <c r="B794" s="81" t="s">
        <v>3763</v>
      </c>
      <c r="C794" s="81" t="s">
        <v>16</v>
      </c>
      <c r="D794" s="81" t="s">
        <v>18</v>
      </c>
      <c r="E794" s="81" t="s">
        <v>380</v>
      </c>
      <c r="F794" s="81" t="s">
        <v>860</v>
      </c>
      <c r="G794" s="81" t="s">
        <v>3744</v>
      </c>
    </row>
    <row r="795" spans="1:7" x14ac:dyDescent="0.3">
      <c r="A795" s="81" t="s">
        <v>579</v>
      </c>
      <c r="B795" s="81" t="s">
        <v>3763</v>
      </c>
      <c r="C795" s="81" t="s">
        <v>16</v>
      </c>
      <c r="D795" s="81" t="s">
        <v>404</v>
      </c>
      <c r="E795" s="81" t="s">
        <v>369</v>
      </c>
      <c r="F795" s="81" t="s">
        <v>929</v>
      </c>
      <c r="G795" s="81" t="s">
        <v>3745</v>
      </c>
    </row>
    <row r="796" spans="1:7" x14ac:dyDescent="0.3">
      <c r="A796" s="81" t="s">
        <v>579</v>
      </c>
      <c r="B796" s="81" t="s">
        <v>3763</v>
      </c>
      <c r="C796" s="81" t="s">
        <v>16</v>
      </c>
      <c r="D796" s="81" t="s">
        <v>404</v>
      </c>
      <c r="E796" s="81" t="s">
        <v>382</v>
      </c>
      <c r="F796" s="81" t="s">
        <v>929</v>
      </c>
      <c r="G796" s="81" t="s">
        <v>3746</v>
      </c>
    </row>
    <row r="797" spans="1:7" x14ac:dyDescent="0.3">
      <c r="A797" s="81" t="s">
        <v>579</v>
      </c>
      <c r="B797" s="81" t="s">
        <v>3763</v>
      </c>
      <c r="C797" s="81" t="s">
        <v>16</v>
      </c>
      <c r="D797" s="81" t="s">
        <v>404</v>
      </c>
      <c r="E797" s="81" t="s">
        <v>370</v>
      </c>
      <c r="F797" s="81" t="s">
        <v>929</v>
      </c>
      <c r="G797" s="81" t="s">
        <v>3747</v>
      </c>
    </row>
    <row r="798" spans="1:7" x14ac:dyDescent="0.3">
      <c r="A798" s="81" t="s">
        <v>579</v>
      </c>
      <c r="B798" s="81" t="s">
        <v>3763</v>
      </c>
      <c r="C798" s="81" t="s">
        <v>16</v>
      </c>
      <c r="D798" s="81" t="s">
        <v>404</v>
      </c>
      <c r="E798" s="81" t="s">
        <v>378</v>
      </c>
      <c r="F798" s="81" t="s">
        <v>929</v>
      </c>
      <c r="G798" s="81" t="s">
        <v>3748</v>
      </c>
    </row>
    <row r="799" spans="1:7" x14ac:dyDescent="0.3">
      <c r="A799" s="81" t="s">
        <v>579</v>
      </c>
      <c r="B799" s="81" t="s">
        <v>3763</v>
      </c>
      <c r="C799" s="81" t="s">
        <v>16</v>
      </c>
      <c r="D799" s="81" t="s">
        <v>404</v>
      </c>
      <c r="E799" s="81" t="s">
        <v>371</v>
      </c>
      <c r="F799" s="81" t="s">
        <v>929</v>
      </c>
      <c r="G799" s="81" t="s">
        <v>3749</v>
      </c>
    </row>
    <row r="800" spans="1:7" x14ac:dyDescent="0.3">
      <c r="A800" s="81" t="s">
        <v>579</v>
      </c>
      <c r="B800" s="81" t="s">
        <v>3763</v>
      </c>
      <c r="C800" s="81" t="s">
        <v>16</v>
      </c>
      <c r="D800" s="81" t="s">
        <v>404</v>
      </c>
      <c r="E800" s="81" t="s">
        <v>376</v>
      </c>
      <c r="F800" s="81" t="s">
        <v>929</v>
      </c>
      <c r="G800" s="81" t="s">
        <v>3750</v>
      </c>
    </row>
    <row r="801" spans="1:7" x14ac:dyDescent="0.3">
      <c r="A801" s="81" t="s">
        <v>579</v>
      </c>
      <c r="B801" s="81" t="s">
        <v>3763</v>
      </c>
      <c r="C801" s="81" t="s">
        <v>16</v>
      </c>
      <c r="D801" s="81" t="s">
        <v>404</v>
      </c>
      <c r="E801" s="81" t="s">
        <v>377</v>
      </c>
      <c r="F801" s="81" t="s">
        <v>929</v>
      </c>
      <c r="G801" s="81" t="s">
        <v>3751</v>
      </c>
    </row>
    <row r="802" spans="1:7" x14ac:dyDescent="0.3">
      <c r="A802" s="81" t="s">
        <v>579</v>
      </c>
      <c r="B802" s="81" t="s">
        <v>3763</v>
      </c>
      <c r="C802" s="81" t="s">
        <v>16</v>
      </c>
      <c r="D802" s="81" t="s">
        <v>404</v>
      </c>
      <c r="E802" s="81" t="s">
        <v>381</v>
      </c>
      <c r="F802" s="81" t="s">
        <v>929</v>
      </c>
      <c r="G802" s="81" t="s">
        <v>3752</v>
      </c>
    </row>
    <row r="803" spans="1:7" x14ac:dyDescent="0.3">
      <c r="A803" s="81" t="s">
        <v>579</v>
      </c>
      <c r="B803" s="81" t="s">
        <v>3763</v>
      </c>
      <c r="C803" s="81" t="s">
        <v>16</v>
      </c>
      <c r="D803" s="81" t="s">
        <v>404</v>
      </c>
      <c r="E803" s="81" t="s">
        <v>379</v>
      </c>
      <c r="F803" s="81" t="s">
        <v>929</v>
      </c>
      <c r="G803" s="81" t="s">
        <v>3753</v>
      </c>
    </row>
    <row r="804" spans="1:7" x14ac:dyDescent="0.3">
      <c r="A804" s="81" t="s">
        <v>579</v>
      </c>
      <c r="B804" s="81" t="s">
        <v>3763</v>
      </c>
      <c r="C804" s="81" t="s">
        <v>16</v>
      </c>
      <c r="D804" s="81" t="s">
        <v>404</v>
      </c>
      <c r="E804" s="81" t="s">
        <v>374</v>
      </c>
      <c r="F804" s="81" t="s">
        <v>929</v>
      </c>
      <c r="G804" s="81" t="s">
        <v>3754</v>
      </c>
    </row>
    <row r="805" spans="1:7" x14ac:dyDescent="0.3">
      <c r="A805" s="81" t="s">
        <v>579</v>
      </c>
      <c r="B805" s="81" t="s">
        <v>3763</v>
      </c>
      <c r="C805" s="81" t="s">
        <v>16</v>
      </c>
      <c r="D805" s="81" t="s">
        <v>404</v>
      </c>
      <c r="E805" s="81" t="s">
        <v>383</v>
      </c>
      <c r="F805" s="81" t="s">
        <v>929</v>
      </c>
      <c r="G805" s="81" t="s">
        <v>3755</v>
      </c>
    </row>
    <row r="806" spans="1:7" x14ac:dyDescent="0.3">
      <c r="A806" s="81" t="s">
        <v>579</v>
      </c>
      <c r="B806" s="81" t="s">
        <v>3763</v>
      </c>
      <c r="C806" s="81" t="s">
        <v>16</v>
      </c>
      <c r="D806" s="81" t="s">
        <v>404</v>
      </c>
      <c r="E806" s="81" t="s">
        <v>373</v>
      </c>
      <c r="F806" s="81" t="s">
        <v>929</v>
      </c>
      <c r="G806" s="81" t="s">
        <v>3756</v>
      </c>
    </row>
    <row r="807" spans="1:7" x14ac:dyDescent="0.3">
      <c r="A807" s="81" t="s">
        <v>579</v>
      </c>
      <c r="B807" s="81" t="s">
        <v>3763</v>
      </c>
      <c r="C807" s="81" t="s">
        <v>16</v>
      </c>
      <c r="D807" s="81" t="s">
        <v>404</v>
      </c>
      <c r="E807" s="81" t="s">
        <v>368</v>
      </c>
      <c r="F807" s="81" t="s">
        <v>929</v>
      </c>
      <c r="G807" s="81" t="s">
        <v>3757</v>
      </c>
    </row>
    <row r="808" spans="1:7" x14ac:dyDescent="0.3">
      <c r="A808" s="81" t="s">
        <v>579</v>
      </c>
      <c r="B808" s="81" t="s">
        <v>3763</v>
      </c>
      <c r="C808" s="81" t="s">
        <v>16</v>
      </c>
      <c r="D808" s="81" t="s">
        <v>404</v>
      </c>
      <c r="E808" s="81" t="s">
        <v>372</v>
      </c>
      <c r="F808" s="81" t="s">
        <v>929</v>
      </c>
      <c r="G808" s="81" t="s">
        <v>3758</v>
      </c>
    </row>
    <row r="809" spans="1:7" x14ac:dyDescent="0.3">
      <c r="A809" s="81" t="s">
        <v>579</v>
      </c>
      <c r="B809" s="81" t="s">
        <v>3763</v>
      </c>
      <c r="C809" s="81" t="s">
        <v>16</v>
      </c>
      <c r="D809" s="81" t="s">
        <v>404</v>
      </c>
      <c r="E809" s="81" t="s">
        <v>375</v>
      </c>
      <c r="F809" s="81" t="s">
        <v>929</v>
      </c>
      <c r="G809" s="81" t="s">
        <v>3759</v>
      </c>
    </row>
    <row r="810" spans="1:7" x14ac:dyDescent="0.3">
      <c r="A810" s="81" t="s">
        <v>579</v>
      </c>
      <c r="B810" s="81" t="s">
        <v>3763</v>
      </c>
      <c r="C810" s="81" t="s">
        <v>16</v>
      </c>
      <c r="D810" s="81" t="s">
        <v>404</v>
      </c>
      <c r="E810" s="81" t="s">
        <v>380</v>
      </c>
      <c r="F810" s="81" t="s">
        <v>929</v>
      </c>
      <c r="G810" s="81" t="s">
        <v>3760</v>
      </c>
    </row>
    <row r="811" spans="1:7" x14ac:dyDescent="0.3">
      <c r="A811" s="81" t="s">
        <v>579</v>
      </c>
      <c r="B811" s="81" t="s">
        <v>4099</v>
      </c>
      <c r="C811" s="81" t="s">
        <v>20</v>
      </c>
      <c r="D811" s="81" t="s">
        <v>16</v>
      </c>
      <c r="E811" s="81" t="s">
        <v>15</v>
      </c>
      <c r="F811" s="81" t="s">
        <v>4135</v>
      </c>
      <c r="G811" s="81" t="s">
        <v>855</v>
      </c>
    </row>
    <row r="812" spans="1:7" x14ac:dyDescent="0.3">
      <c r="A812" s="81" t="s">
        <v>579</v>
      </c>
      <c r="B812" s="81" t="s">
        <v>4099</v>
      </c>
      <c r="C812" s="81" t="s">
        <v>20</v>
      </c>
      <c r="D812" s="81" t="s">
        <v>16</v>
      </c>
      <c r="E812" s="81" t="s">
        <v>15</v>
      </c>
      <c r="F812" s="81" t="s">
        <v>4154</v>
      </c>
      <c r="G812" s="81" t="s">
        <v>855</v>
      </c>
    </row>
    <row r="813" spans="1:7" x14ac:dyDescent="0.3">
      <c r="A813" s="81" t="s">
        <v>579</v>
      </c>
      <c r="B813" s="81" t="s">
        <v>4099</v>
      </c>
      <c r="C813" s="81" t="s">
        <v>20</v>
      </c>
      <c r="D813" s="81" t="s">
        <v>4100</v>
      </c>
      <c r="E813" s="81" t="s">
        <v>15</v>
      </c>
      <c r="F813" s="81" t="s">
        <v>4101</v>
      </c>
      <c r="G813" s="81">
        <v>0</v>
      </c>
    </row>
    <row r="814" spans="1:7" x14ac:dyDescent="0.3">
      <c r="A814" s="81" t="s">
        <v>579</v>
      </c>
      <c r="B814" s="81" t="s">
        <v>4099</v>
      </c>
      <c r="C814" s="81" t="s">
        <v>20</v>
      </c>
      <c r="D814" s="81" t="s">
        <v>4100</v>
      </c>
      <c r="E814" s="81" t="s">
        <v>15</v>
      </c>
      <c r="F814" s="81" t="s">
        <v>5761</v>
      </c>
      <c r="G814" s="81">
        <v>0</v>
      </c>
    </row>
    <row r="815" spans="1:7" x14ac:dyDescent="0.3">
      <c r="A815" s="81" t="s">
        <v>579</v>
      </c>
      <c r="B815" s="81" t="s">
        <v>4099</v>
      </c>
      <c r="C815" s="81" t="s">
        <v>20</v>
      </c>
      <c r="D815" s="81" t="s">
        <v>4106</v>
      </c>
      <c r="E815" s="81" t="s">
        <v>15</v>
      </c>
      <c r="F815" s="81" t="s">
        <v>4107</v>
      </c>
      <c r="G815" s="81">
        <v>0</v>
      </c>
    </row>
    <row r="816" spans="1:7" x14ac:dyDescent="0.3">
      <c r="A816" s="81" t="s">
        <v>579</v>
      </c>
      <c r="B816" s="81" t="s">
        <v>4099</v>
      </c>
      <c r="C816" s="81" t="s">
        <v>20</v>
      </c>
      <c r="D816" s="81" t="s">
        <v>20</v>
      </c>
      <c r="E816" s="81" t="s">
        <v>15</v>
      </c>
      <c r="F816" s="81" t="s">
        <v>5752</v>
      </c>
      <c r="G816" s="81">
        <v>0</v>
      </c>
    </row>
    <row r="817" spans="1:7" x14ac:dyDescent="0.3">
      <c r="A817" s="81" t="s">
        <v>579</v>
      </c>
      <c r="B817" s="81" t="s">
        <v>4099</v>
      </c>
      <c r="C817" s="81" t="s">
        <v>16</v>
      </c>
      <c r="D817" s="81" t="s">
        <v>404</v>
      </c>
      <c r="E817" s="81" t="s">
        <v>369</v>
      </c>
      <c r="F817" s="81" t="s">
        <v>4135</v>
      </c>
      <c r="G817" s="81" t="s">
        <v>3745</v>
      </c>
    </row>
    <row r="818" spans="1:7" x14ac:dyDescent="0.3">
      <c r="A818" s="81" t="s">
        <v>579</v>
      </c>
      <c r="B818" s="81" t="s">
        <v>4099</v>
      </c>
      <c r="C818" s="81" t="s">
        <v>16</v>
      </c>
      <c r="D818" s="81" t="s">
        <v>404</v>
      </c>
      <c r="E818" s="81" t="s">
        <v>382</v>
      </c>
      <c r="F818" s="81" t="s">
        <v>4135</v>
      </c>
      <c r="G818" s="81" t="s">
        <v>3746</v>
      </c>
    </row>
    <row r="819" spans="1:7" x14ac:dyDescent="0.3">
      <c r="A819" s="81" t="s">
        <v>579</v>
      </c>
      <c r="B819" s="81" t="s">
        <v>4099</v>
      </c>
      <c r="C819" s="81" t="s">
        <v>16</v>
      </c>
      <c r="D819" s="81" t="s">
        <v>404</v>
      </c>
      <c r="E819" s="81" t="s">
        <v>370</v>
      </c>
      <c r="F819" s="81" t="s">
        <v>4135</v>
      </c>
      <c r="G819" s="81" t="s">
        <v>3747</v>
      </c>
    </row>
    <row r="820" spans="1:7" x14ac:dyDescent="0.3">
      <c r="A820" s="81" t="s">
        <v>579</v>
      </c>
      <c r="B820" s="81" t="s">
        <v>4099</v>
      </c>
      <c r="C820" s="81" t="s">
        <v>16</v>
      </c>
      <c r="D820" s="81" t="s">
        <v>404</v>
      </c>
      <c r="E820" s="81" t="s">
        <v>378</v>
      </c>
      <c r="F820" s="81" t="s">
        <v>4135</v>
      </c>
      <c r="G820" s="81" t="s">
        <v>3748</v>
      </c>
    </row>
    <row r="821" spans="1:7" x14ac:dyDescent="0.3">
      <c r="A821" s="81" t="s">
        <v>579</v>
      </c>
      <c r="B821" s="81" t="s">
        <v>4099</v>
      </c>
      <c r="C821" s="81" t="s">
        <v>16</v>
      </c>
      <c r="D821" s="81" t="s">
        <v>404</v>
      </c>
      <c r="E821" s="81" t="s">
        <v>371</v>
      </c>
      <c r="F821" s="81" t="s">
        <v>4135</v>
      </c>
      <c r="G821" s="81" t="s">
        <v>3749</v>
      </c>
    </row>
    <row r="822" spans="1:7" x14ac:dyDescent="0.3">
      <c r="A822" s="81" t="s">
        <v>579</v>
      </c>
      <c r="B822" s="81" t="s">
        <v>4099</v>
      </c>
      <c r="C822" s="81" t="s">
        <v>16</v>
      </c>
      <c r="D822" s="81" t="s">
        <v>404</v>
      </c>
      <c r="E822" s="81" t="s">
        <v>376</v>
      </c>
      <c r="F822" s="81" t="s">
        <v>4135</v>
      </c>
      <c r="G822" s="81" t="s">
        <v>3750</v>
      </c>
    </row>
    <row r="823" spans="1:7" x14ac:dyDescent="0.3">
      <c r="A823" s="81" t="s">
        <v>579</v>
      </c>
      <c r="B823" s="81" t="s">
        <v>4099</v>
      </c>
      <c r="C823" s="81" t="s">
        <v>16</v>
      </c>
      <c r="D823" s="81" t="s">
        <v>404</v>
      </c>
      <c r="E823" s="81" t="s">
        <v>377</v>
      </c>
      <c r="F823" s="81" t="s">
        <v>4135</v>
      </c>
      <c r="G823" s="81" t="s">
        <v>3751</v>
      </c>
    </row>
    <row r="824" spans="1:7" x14ac:dyDescent="0.3">
      <c r="A824" s="81" t="s">
        <v>579</v>
      </c>
      <c r="B824" s="81" t="s">
        <v>4099</v>
      </c>
      <c r="C824" s="81" t="s">
        <v>16</v>
      </c>
      <c r="D824" s="81" t="s">
        <v>404</v>
      </c>
      <c r="E824" s="81" t="s">
        <v>381</v>
      </c>
      <c r="F824" s="81" t="s">
        <v>4135</v>
      </c>
      <c r="G824" s="81" t="s">
        <v>3752</v>
      </c>
    </row>
    <row r="825" spans="1:7" x14ac:dyDescent="0.3">
      <c r="A825" s="81" t="s">
        <v>579</v>
      </c>
      <c r="B825" s="81" t="s">
        <v>4099</v>
      </c>
      <c r="C825" s="81" t="s">
        <v>16</v>
      </c>
      <c r="D825" s="81" t="s">
        <v>404</v>
      </c>
      <c r="E825" s="81" t="s">
        <v>379</v>
      </c>
      <c r="F825" s="81" t="s">
        <v>4135</v>
      </c>
      <c r="G825" s="81" t="s">
        <v>3753</v>
      </c>
    </row>
    <row r="826" spans="1:7" x14ac:dyDescent="0.3">
      <c r="A826" s="81" t="s">
        <v>579</v>
      </c>
      <c r="B826" s="81" t="s">
        <v>4099</v>
      </c>
      <c r="C826" s="81" t="s">
        <v>16</v>
      </c>
      <c r="D826" s="81" t="s">
        <v>404</v>
      </c>
      <c r="E826" s="81" t="s">
        <v>374</v>
      </c>
      <c r="F826" s="81" t="s">
        <v>4135</v>
      </c>
      <c r="G826" s="81" t="s">
        <v>3754</v>
      </c>
    </row>
    <row r="827" spans="1:7" x14ac:dyDescent="0.3">
      <c r="A827" s="81" t="s">
        <v>579</v>
      </c>
      <c r="B827" s="81" t="s">
        <v>4099</v>
      </c>
      <c r="C827" s="81" t="s">
        <v>16</v>
      </c>
      <c r="D827" s="81" t="s">
        <v>404</v>
      </c>
      <c r="E827" s="81" t="s">
        <v>373</v>
      </c>
      <c r="F827" s="81" t="s">
        <v>4135</v>
      </c>
      <c r="G827" s="81" t="s">
        <v>3756</v>
      </c>
    </row>
    <row r="828" spans="1:7" x14ac:dyDescent="0.3">
      <c r="A828" s="81" t="s">
        <v>579</v>
      </c>
      <c r="B828" s="81" t="s">
        <v>4099</v>
      </c>
      <c r="C828" s="81" t="s">
        <v>16</v>
      </c>
      <c r="D828" s="81" t="s">
        <v>404</v>
      </c>
      <c r="E828" s="81" t="s">
        <v>368</v>
      </c>
      <c r="F828" s="81" t="s">
        <v>4135</v>
      </c>
      <c r="G828" s="81" t="s">
        <v>3757</v>
      </c>
    </row>
    <row r="829" spans="1:7" x14ac:dyDescent="0.3">
      <c r="A829" s="81" t="s">
        <v>579</v>
      </c>
      <c r="B829" s="81" t="s">
        <v>4099</v>
      </c>
      <c r="C829" s="81" t="s">
        <v>16</v>
      </c>
      <c r="D829" s="81" t="s">
        <v>404</v>
      </c>
      <c r="E829" s="81" t="s">
        <v>372</v>
      </c>
      <c r="F829" s="81" t="s">
        <v>4135</v>
      </c>
      <c r="G829" s="81" t="s">
        <v>3758</v>
      </c>
    </row>
    <row r="830" spans="1:7" x14ac:dyDescent="0.3">
      <c r="A830" s="81" t="s">
        <v>579</v>
      </c>
      <c r="B830" s="81" t="s">
        <v>4099</v>
      </c>
      <c r="C830" s="81" t="s">
        <v>16</v>
      </c>
      <c r="D830" s="81" t="s">
        <v>404</v>
      </c>
      <c r="E830" s="81" t="s">
        <v>375</v>
      </c>
      <c r="F830" s="81" t="s">
        <v>4135</v>
      </c>
      <c r="G830" s="81" t="s">
        <v>3759</v>
      </c>
    </row>
    <row r="831" spans="1:7" x14ac:dyDescent="0.3">
      <c r="A831" s="81" t="s">
        <v>579</v>
      </c>
      <c r="B831" s="81" t="s">
        <v>4099</v>
      </c>
      <c r="C831" s="81" t="s">
        <v>16</v>
      </c>
      <c r="D831" s="81" t="s">
        <v>404</v>
      </c>
      <c r="E831" s="81" t="s">
        <v>380</v>
      </c>
      <c r="F831" s="81" t="s">
        <v>4135</v>
      </c>
      <c r="G831" s="81" t="s">
        <v>3760</v>
      </c>
    </row>
    <row r="832" spans="1:7" x14ac:dyDescent="0.3">
      <c r="A832" s="81" t="s">
        <v>586</v>
      </c>
      <c r="B832" s="81" t="s">
        <v>3762</v>
      </c>
      <c r="C832" s="81" t="s">
        <v>20</v>
      </c>
      <c r="D832" s="81" t="s">
        <v>16</v>
      </c>
      <c r="E832" s="81" t="s">
        <v>15</v>
      </c>
      <c r="F832" s="81" t="s">
        <v>844</v>
      </c>
      <c r="G832" s="81" t="s">
        <v>855</v>
      </c>
    </row>
    <row r="833" spans="1:7" x14ac:dyDescent="0.3">
      <c r="A833" s="81" t="s">
        <v>586</v>
      </c>
      <c r="B833" s="81" t="s">
        <v>3762</v>
      </c>
      <c r="C833" s="81" t="s">
        <v>16</v>
      </c>
      <c r="D833" s="81" t="s">
        <v>404</v>
      </c>
      <c r="E833" s="81" t="s">
        <v>369</v>
      </c>
      <c r="F833" s="81" t="s">
        <v>844</v>
      </c>
      <c r="G833" s="81" t="s">
        <v>3745</v>
      </c>
    </row>
    <row r="834" spans="1:7" x14ac:dyDescent="0.3">
      <c r="A834" s="81" t="s">
        <v>586</v>
      </c>
      <c r="B834" s="81" t="s">
        <v>3762</v>
      </c>
      <c r="C834" s="81" t="s">
        <v>16</v>
      </c>
      <c r="D834" s="81" t="s">
        <v>404</v>
      </c>
      <c r="E834" s="81" t="s">
        <v>382</v>
      </c>
      <c r="F834" s="81" t="s">
        <v>844</v>
      </c>
      <c r="G834" s="81" t="s">
        <v>3746</v>
      </c>
    </row>
    <row r="835" spans="1:7" x14ac:dyDescent="0.3">
      <c r="A835" s="81" t="s">
        <v>586</v>
      </c>
      <c r="B835" s="81" t="s">
        <v>3762</v>
      </c>
      <c r="C835" s="81" t="s">
        <v>16</v>
      </c>
      <c r="D835" s="81" t="s">
        <v>404</v>
      </c>
      <c r="E835" s="81" t="s">
        <v>370</v>
      </c>
      <c r="F835" s="81" t="s">
        <v>844</v>
      </c>
      <c r="G835" s="81" t="s">
        <v>3747</v>
      </c>
    </row>
    <row r="836" spans="1:7" x14ac:dyDescent="0.3">
      <c r="A836" s="81" t="s">
        <v>586</v>
      </c>
      <c r="B836" s="81" t="s">
        <v>3762</v>
      </c>
      <c r="C836" s="81" t="s">
        <v>16</v>
      </c>
      <c r="D836" s="81" t="s">
        <v>404</v>
      </c>
      <c r="E836" s="81" t="s">
        <v>378</v>
      </c>
      <c r="F836" s="81" t="s">
        <v>844</v>
      </c>
      <c r="G836" s="81" t="s">
        <v>3748</v>
      </c>
    </row>
    <row r="837" spans="1:7" x14ac:dyDescent="0.3">
      <c r="A837" s="81" t="s">
        <v>586</v>
      </c>
      <c r="B837" s="81" t="s">
        <v>3762</v>
      </c>
      <c r="C837" s="81" t="s">
        <v>16</v>
      </c>
      <c r="D837" s="81" t="s">
        <v>404</v>
      </c>
      <c r="E837" s="81" t="s">
        <v>371</v>
      </c>
      <c r="F837" s="81" t="s">
        <v>844</v>
      </c>
      <c r="G837" s="81" t="s">
        <v>3749</v>
      </c>
    </row>
    <row r="838" spans="1:7" x14ac:dyDescent="0.3">
      <c r="A838" s="81" t="s">
        <v>586</v>
      </c>
      <c r="B838" s="81" t="s">
        <v>3762</v>
      </c>
      <c r="C838" s="81" t="s">
        <v>16</v>
      </c>
      <c r="D838" s="81" t="s">
        <v>404</v>
      </c>
      <c r="E838" s="81" t="s">
        <v>376</v>
      </c>
      <c r="F838" s="81" t="s">
        <v>844</v>
      </c>
      <c r="G838" s="81" t="s">
        <v>3750</v>
      </c>
    </row>
    <row r="839" spans="1:7" x14ac:dyDescent="0.3">
      <c r="A839" s="81" t="s">
        <v>586</v>
      </c>
      <c r="B839" s="81" t="s">
        <v>3762</v>
      </c>
      <c r="C839" s="81" t="s">
        <v>16</v>
      </c>
      <c r="D839" s="81" t="s">
        <v>404</v>
      </c>
      <c r="E839" s="81" t="s">
        <v>377</v>
      </c>
      <c r="F839" s="81" t="s">
        <v>844</v>
      </c>
      <c r="G839" s="81" t="s">
        <v>3751</v>
      </c>
    </row>
    <row r="840" spans="1:7" x14ac:dyDescent="0.3">
      <c r="A840" s="81" t="s">
        <v>586</v>
      </c>
      <c r="B840" s="81" t="s">
        <v>3762</v>
      </c>
      <c r="C840" s="81" t="s">
        <v>16</v>
      </c>
      <c r="D840" s="81" t="s">
        <v>404</v>
      </c>
      <c r="E840" s="81" t="s">
        <v>381</v>
      </c>
      <c r="F840" s="81" t="s">
        <v>844</v>
      </c>
      <c r="G840" s="81" t="s">
        <v>3752</v>
      </c>
    </row>
    <row r="841" spans="1:7" x14ac:dyDescent="0.3">
      <c r="A841" s="81" t="s">
        <v>586</v>
      </c>
      <c r="B841" s="81" t="s">
        <v>3762</v>
      </c>
      <c r="C841" s="81" t="s">
        <v>16</v>
      </c>
      <c r="D841" s="81" t="s">
        <v>404</v>
      </c>
      <c r="E841" s="81" t="s">
        <v>379</v>
      </c>
      <c r="F841" s="81" t="s">
        <v>844</v>
      </c>
      <c r="G841" s="81" t="s">
        <v>3753</v>
      </c>
    </row>
    <row r="842" spans="1:7" x14ac:dyDescent="0.3">
      <c r="A842" s="81" t="s">
        <v>586</v>
      </c>
      <c r="B842" s="81" t="s">
        <v>3762</v>
      </c>
      <c r="C842" s="81" t="s">
        <v>16</v>
      </c>
      <c r="D842" s="81" t="s">
        <v>404</v>
      </c>
      <c r="E842" s="81" t="s">
        <v>374</v>
      </c>
      <c r="F842" s="81" t="s">
        <v>844</v>
      </c>
      <c r="G842" s="81" t="s">
        <v>3754</v>
      </c>
    </row>
    <row r="843" spans="1:7" x14ac:dyDescent="0.3">
      <c r="A843" s="81" t="s">
        <v>586</v>
      </c>
      <c r="B843" s="81" t="s">
        <v>3762</v>
      </c>
      <c r="C843" s="81" t="s">
        <v>16</v>
      </c>
      <c r="D843" s="81" t="s">
        <v>404</v>
      </c>
      <c r="E843" s="81" t="s">
        <v>383</v>
      </c>
      <c r="F843" s="81" t="s">
        <v>844</v>
      </c>
      <c r="G843" s="81" t="s">
        <v>3755</v>
      </c>
    </row>
    <row r="844" spans="1:7" x14ac:dyDescent="0.3">
      <c r="A844" s="81" t="s">
        <v>586</v>
      </c>
      <c r="B844" s="81" t="s">
        <v>3762</v>
      </c>
      <c r="C844" s="81" t="s">
        <v>16</v>
      </c>
      <c r="D844" s="81" t="s">
        <v>404</v>
      </c>
      <c r="E844" s="81" t="s">
        <v>373</v>
      </c>
      <c r="F844" s="81" t="s">
        <v>844</v>
      </c>
      <c r="G844" s="81" t="s">
        <v>3756</v>
      </c>
    </row>
    <row r="845" spans="1:7" x14ac:dyDescent="0.3">
      <c r="A845" s="81" t="s">
        <v>586</v>
      </c>
      <c r="B845" s="81" t="s">
        <v>3762</v>
      </c>
      <c r="C845" s="81" t="s">
        <v>16</v>
      </c>
      <c r="D845" s="81" t="s">
        <v>404</v>
      </c>
      <c r="E845" s="81" t="s">
        <v>368</v>
      </c>
      <c r="F845" s="81" t="s">
        <v>844</v>
      </c>
      <c r="G845" s="81" t="s">
        <v>3757</v>
      </c>
    </row>
    <row r="846" spans="1:7" x14ac:dyDescent="0.3">
      <c r="A846" s="81" t="s">
        <v>586</v>
      </c>
      <c r="B846" s="81" t="s">
        <v>3762</v>
      </c>
      <c r="C846" s="81" t="s">
        <v>16</v>
      </c>
      <c r="D846" s="81" t="s">
        <v>404</v>
      </c>
      <c r="E846" s="81" t="s">
        <v>372</v>
      </c>
      <c r="F846" s="81" t="s">
        <v>844</v>
      </c>
      <c r="G846" s="81" t="s">
        <v>3758</v>
      </c>
    </row>
    <row r="847" spans="1:7" x14ac:dyDescent="0.3">
      <c r="A847" s="81" t="s">
        <v>586</v>
      </c>
      <c r="B847" s="81" t="s">
        <v>3762</v>
      </c>
      <c r="C847" s="81" t="s">
        <v>16</v>
      </c>
      <c r="D847" s="81" t="s">
        <v>404</v>
      </c>
      <c r="E847" s="81" t="s">
        <v>375</v>
      </c>
      <c r="F847" s="81" t="s">
        <v>844</v>
      </c>
      <c r="G847" s="81" t="s">
        <v>3759</v>
      </c>
    </row>
    <row r="848" spans="1:7" x14ac:dyDescent="0.3">
      <c r="A848" s="81" t="s">
        <v>586</v>
      </c>
      <c r="B848" s="81" t="s">
        <v>3762</v>
      </c>
      <c r="C848" s="81" t="s">
        <v>16</v>
      </c>
      <c r="D848" s="81" t="s">
        <v>404</v>
      </c>
      <c r="E848" s="81" t="s">
        <v>380</v>
      </c>
      <c r="F848" s="81" t="s">
        <v>844</v>
      </c>
      <c r="G848" s="81" t="s">
        <v>3760</v>
      </c>
    </row>
    <row r="849" spans="1:7" x14ac:dyDescent="0.3">
      <c r="A849" s="81" t="s">
        <v>616</v>
      </c>
      <c r="B849" s="81" t="s">
        <v>3763</v>
      </c>
      <c r="C849" s="81" t="s">
        <v>20</v>
      </c>
      <c r="D849" s="81" t="s">
        <v>617</v>
      </c>
      <c r="E849" s="81" t="s">
        <v>15</v>
      </c>
      <c r="F849" s="81" t="s">
        <v>848</v>
      </c>
      <c r="G849" s="81" t="s">
        <v>855</v>
      </c>
    </row>
    <row r="850" spans="1:7" x14ac:dyDescent="0.3">
      <c r="A850" s="81" t="s">
        <v>616</v>
      </c>
      <c r="B850" s="81" t="s">
        <v>3763</v>
      </c>
      <c r="C850" s="81" t="s">
        <v>20</v>
      </c>
      <c r="D850" s="81" t="s">
        <v>618</v>
      </c>
      <c r="E850" s="81" t="s">
        <v>15</v>
      </c>
      <c r="F850" s="81" t="s">
        <v>849</v>
      </c>
      <c r="G850" s="81" t="s">
        <v>855</v>
      </c>
    </row>
    <row r="851" spans="1:7" x14ac:dyDescent="0.3">
      <c r="A851" s="81" t="s">
        <v>616</v>
      </c>
      <c r="B851" s="81" t="s">
        <v>3763</v>
      </c>
      <c r="C851" s="81" t="s">
        <v>16</v>
      </c>
      <c r="D851" s="81" t="s">
        <v>617</v>
      </c>
      <c r="E851" s="81" t="s">
        <v>382</v>
      </c>
      <c r="F851" s="81" t="s">
        <v>1034</v>
      </c>
      <c r="G851" s="81" t="s">
        <v>3746</v>
      </c>
    </row>
    <row r="852" spans="1:7" x14ac:dyDescent="0.3">
      <c r="A852" s="81" t="s">
        <v>616</v>
      </c>
      <c r="B852" s="81" t="s">
        <v>3763</v>
      </c>
      <c r="C852" s="81" t="s">
        <v>16</v>
      </c>
      <c r="D852" s="81" t="s">
        <v>617</v>
      </c>
      <c r="E852" s="81" t="s">
        <v>371</v>
      </c>
      <c r="F852" s="81" t="s">
        <v>1034</v>
      </c>
      <c r="G852" s="81" t="s">
        <v>3749</v>
      </c>
    </row>
    <row r="853" spans="1:7" x14ac:dyDescent="0.3">
      <c r="A853" s="81" t="s">
        <v>616</v>
      </c>
      <c r="B853" s="81" t="s">
        <v>3763</v>
      </c>
      <c r="C853" s="81" t="s">
        <v>16</v>
      </c>
      <c r="D853" s="81" t="s">
        <v>617</v>
      </c>
      <c r="E853" s="81" t="s">
        <v>376</v>
      </c>
      <c r="F853" s="81" t="s">
        <v>1034</v>
      </c>
      <c r="G853" s="81" t="s">
        <v>3750</v>
      </c>
    </row>
    <row r="854" spans="1:7" x14ac:dyDescent="0.3">
      <c r="A854" s="81" t="s">
        <v>616</v>
      </c>
      <c r="B854" s="81" t="s">
        <v>3763</v>
      </c>
      <c r="C854" s="81" t="s">
        <v>16</v>
      </c>
      <c r="D854" s="81" t="s">
        <v>617</v>
      </c>
      <c r="E854" s="81" t="s">
        <v>377</v>
      </c>
      <c r="F854" s="81" t="s">
        <v>1034</v>
      </c>
      <c r="G854" s="81" t="s">
        <v>3751</v>
      </c>
    </row>
    <row r="855" spans="1:7" x14ac:dyDescent="0.3">
      <c r="A855" s="81" t="s">
        <v>616</v>
      </c>
      <c r="B855" s="81" t="s">
        <v>3763</v>
      </c>
      <c r="C855" s="81" t="s">
        <v>16</v>
      </c>
      <c r="D855" s="81" t="s">
        <v>617</v>
      </c>
      <c r="E855" s="81" t="s">
        <v>374</v>
      </c>
      <c r="F855" s="81" t="s">
        <v>1034</v>
      </c>
      <c r="G855" s="81" t="s">
        <v>3754</v>
      </c>
    </row>
    <row r="856" spans="1:7" x14ac:dyDescent="0.3">
      <c r="A856" s="81" t="s">
        <v>616</v>
      </c>
      <c r="B856" s="81" t="s">
        <v>3763</v>
      </c>
      <c r="C856" s="81" t="s">
        <v>16</v>
      </c>
      <c r="D856" s="81" t="s">
        <v>617</v>
      </c>
      <c r="E856" s="81" t="s">
        <v>383</v>
      </c>
      <c r="F856" s="81" t="s">
        <v>1034</v>
      </c>
      <c r="G856" s="81" t="s">
        <v>3755</v>
      </c>
    </row>
    <row r="857" spans="1:7" x14ac:dyDescent="0.3">
      <c r="A857" s="81" t="s">
        <v>616</v>
      </c>
      <c r="B857" s="81" t="s">
        <v>3763</v>
      </c>
      <c r="C857" s="81" t="s">
        <v>16</v>
      </c>
      <c r="D857" s="81" t="s">
        <v>617</v>
      </c>
      <c r="E857" s="81" t="s">
        <v>372</v>
      </c>
      <c r="F857" s="81" t="s">
        <v>1034</v>
      </c>
      <c r="G857" s="81" t="s">
        <v>3758</v>
      </c>
    </row>
    <row r="858" spans="1:7" x14ac:dyDescent="0.3">
      <c r="A858" s="81" t="s">
        <v>616</v>
      </c>
      <c r="B858" s="81" t="s">
        <v>3763</v>
      </c>
      <c r="C858" s="81" t="s">
        <v>16</v>
      </c>
      <c r="D858" s="81" t="s">
        <v>617</v>
      </c>
      <c r="E858" s="81" t="s">
        <v>375</v>
      </c>
      <c r="F858" s="81" t="s">
        <v>1034</v>
      </c>
      <c r="G858" s="81" t="s">
        <v>3759</v>
      </c>
    </row>
    <row r="859" spans="1:7" x14ac:dyDescent="0.3">
      <c r="A859" s="81" t="s">
        <v>616</v>
      </c>
      <c r="B859" s="81" t="s">
        <v>3763</v>
      </c>
      <c r="C859" s="81" t="s">
        <v>16</v>
      </c>
      <c r="D859" s="81" t="s">
        <v>617</v>
      </c>
      <c r="E859" s="81" t="s">
        <v>380</v>
      </c>
      <c r="F859" s="81" t="s">
        <v>1034</v>
      </c>
      <c r="G859" s="81" t="s">
        <v>3760</v>
      </c>
    </row>
    <row r="860" spans="1:7" x14ac:dyDescent="0.3">
      <c r="A860" s="81" t="s">
        <v>616</v>
      </c>
      <c r="B860" s="81" t="s">
        <v>3763</v>
      </c>
      <c r="C860" s="81" t="s">
        <v>16</v>
      </c>
      <c r="D860" s="81" t="s">
        <v>618</v>
      </c>
      <c r="E860" s="81" t="s">
        <v>382</v>
      </c>
      <c r="F860" s="81" t="s">
        <v>849</v>
      </c>
      <c r="G860" s="81" t="s">
        <v>3746</v>
      </c>
    </row>
    <row r="861" spans="1:7" x14ac:dyDescent="0.3">
      <c r="A861" s="81" t="s">
        <v>616</v>
      </c>
      <c r="B861" s="81" t="s">
        <v>3763</v>
      </c>
      <c r="C861" s="81" t="s">
        <v>16</v>
      </c>
      <c r="D861" s="81" t="s">
        <v>618</v>
      </c>
      <c r="E861" s="81" t="s">
        <v>371</v>
      </c>
      <c r="F861" s="81" t="s">
        <v>849</v>
      </c>
      <c r="G861" s="81" t="s">
        <v>3749</v>
      </c>
    </row>
    <row r="862" spans="1:7" x14ac:dyDescent="0.3">
      <c r="A862" s="81" t="s">
        <v>616</v>
      </c>
      <c r="B862" s="81" t="s">
        <v>3763</v>
      </c>
      <c r="C862" s="81" t="s">
        <v>16</v>
      </c>
      <c r="D862" s="81" t="s">
        <v>618</v>
      </c>
      <c r="E862" s="81" t="s">
        <v>376</v>
      </c>
      <c r="F862" s="81" t="s">
        <v>849</v>
      </c>
      <c r="G862" s="81" t="s">
        <v>3750</v>
      </c>
    </row>
    <row r="863" spans="1:7" x14ac:dyDescent="0.3">
      <c r="A863" s="81" t="s">
        <v>616</v>
      </c>
      <c r="B863" s="81" t="s">
        <v>3763</v>
      </c>
      <c r="C863" s="81" t="s">
        <v>16</v>
      </c>
      <c r="D863" s="81" t="s">
        <v>618</v>
      </c>
      <c r="E863" s="81" t="s">
        <v>377</v>
      </c>
      <c r="F863" s="81" t="s">
        <v>849</v>
      </c>
      <c r="G863" s="81" t="s">
        <v>3751</v>
      </c>
    </row>
    <row r="864" spans="1:7" x14ac:dyDescent="0.3">
      <c r="A864" s="81" t="s">
        <v>616</v>
      </c>
      <c r="B864" s="81" t="s">
        <v>3763</v>
      </c>
      <c r="C864" s="81" t="s">
        <v>16</v>
      </c>
      <c r="D864" s="81" t="s">
        <v>618</v>
      </c>
      <c r="E864" s="81" t="s">
        <v>374</v>
      </c>
      <c r="F864" s="81" t="s">
        <v>849</v>
      </c>
      <c r="G864" s="81" t="s">
        <v>3754</v>
      </c>
    </row>
    <row r="865" spans="1:7" x14ac:dyDescent="0.3">
      <c r="A865" s="81" t="s">
        <v>616</v>
      </c>
      <c r="B865" s="81" t="s">
        <v>3763</v>
      </c>
      <c r="C865" s="81" t="s">
        <v>16</v>
      </c>
      <c r="D865" s="81" t="s">
        <v>618</v>
      </c>
      <c r="E865" s="81" t="s">
        <v>383</v>
      </c>
      <c r="F865" s="81" t="s">
        <v>849</v>
      </c>
      <c r="G865" s="81" t="s">
        <v>3755</v>
      </c>
    </row>
    <row r="866" spans="1:7" x14ac:dyDescent="0.3">
      <c r="A866" s="81" t="s">
        <v>616</v>
      </c>
      <c r="B866" s="81" t="s">
        <v>3763</v>
      </c>
      <c r="C866" s="81" t="s">
        <v>16</v>
      </c>
      <c r="D866" s="81" t="s">
        <v>618</v>
      </c>
      <c r="E866" s="81" t="s">
        <v>372</v>
      </c>
      <c r="F866" s="81" t="s">
        <v>849</v>
      </c>
      <c r="G866" s="81" t="s">
        <v>3758</v>
      </c>
    </row>
    <row r="867" spans="1:7" x14ac:dyDescent="0.3">
      <c r="A867" s="81" t="s">
        <v>616</v>
      </c>
      <c r="B867" s="81" t="s">
        <v>3763</v>
      </c>
      <c r="C867" s="81" t="s">
        <v>16</v>
      </c>
      <c r="D867" s="81" t="s">
        <v>618</v>
      </c>
      <c r="E867" s="81" t="s">
        <v>375</v>
      </c>
      <c r="F867" s="81" t="s">
        <v>849</v>
      </c>
      <c r="G867" s="81" t="s">
        <v>3759</v>
      </c>
    </row>
    <row r="868" spans="1:7" x14ac:dyDescent="0.3">
      <c r="A868" s="81" t="s">
        <v>616</v>
      </c>
      <c r="B868" s="81" t="s">
        <v>3763</v>
      </c>
      <c r="C868" s="81" t="s">
        <v>16</v>
      </c>
      <c r="D868" s="81" t="s">
        <v>618</v>
      </c>
      <c r="E868" s="81" t="s">
        <v>380</v>
      </c>
      <c r="F868" s="81" t="s">
        <v>849</v>
      </c>
      <c r="G868" s="81" t="s">
        <v>3760</v>
      </c>
    </row>
    <row r="869" spans="1:7" x14ac:dyDescent="0.3">
      <c r="A869" s="81" t="s">
        <v>823</v>
      </c>
      <c r="B869" s="81" t="s">
        <v>3762</v>
      </c>
      <c r="C869" s="81" t="s">
        <v>20</v>
      </c>
      <c r="D869" s="81" t="s">
        <v>16</v>
      </c>
      <c r="E869" s="81" t="s">
        <v>15</v>
      </c>
      <c r="F869" s="81" t="s">
        <v>854</v>
      </c>
      <c r="G869" s="81" t="s">
        <v>855</v>
      </c>
    </row>
    <row r="870" spans="1:7" x14ac:dyDescent="0.3">
      <c r="A870" s="81" t="s">
        <v>823</v>
      </c>
      <c r="B870" s="81" t="s">
        <v>3762</v>
      </c>
      <c r="C870" s="81" t="s">
        <v>20</v>
      </c>
      <c r="D870" s="81" t="s">
        <v>16</v>
      </c>
      <c r="E870" s="81" t="s">
        <v>15</v>
      </c>
      <c r="F870" s="81" t="s">
        <v>853</v>
      </c>
      <c r="G870" s="81" t="s">
        <v>1033</v>
      </c>
    </row>
    <row r="871" spans="1:7" x14ac:dyDescent="0.3">
      <c r="A871" s="81" t="s">
        <v>823</v>
      </c>
      <c r="B871" s="81" t="s">
        <v>3762</v>
      </c>
      <c r="C871" s="81" t="s">
        <v>20</v>
      </c>
      <c r="D871" s="81" t="s">
        <v>404</v>
      </c>
      <c r="E871" s="81" t="s">
        <v>15</v>
      </c>
      <c r="F871" s="81" t="s">
        <v>828</v>
      </c>
      <c r="G871" s="81">
        <v>0</v>
      </c>
    </row>
    <row r="872" spans="1:7" x14ac:dyDescent="0.3">
      <c r="A872" s="81" t="s">
        <v>823</v>
      </c>
      <c r="B872" s="81" t="s">
        <v>3762</v>
      </c>
      <c r="C872" s="81" t="s">
        <v>16</v>
      </c>
      <c r="D872" s="81" t="s">
        <v>404</v>
      </c>
      <c r="E872" s="81" t="s">
        <v>369</v>
      </c>
      <c r="F872" s="81" t="s">
        <v>854</v>
      </c>
      <c r="G872" s="81" t="s">
        <v>3745</v>
      </c>
    </row>
    <row r="873" spans="1:7" x14ac:dyDescent="0.3">
      <c r="A873" s="81" t="s">
        <v>823</v>
      </c>
      <c r="B873" s="81" t="s">
        <v>3762</v>
      </c>
      <c r="C873" s="81" t="s">
        <v>16</v>
      </c>
      <c r="D873" s="81" t="s">
        <v>404</v>
      </c>
      <c r="E873" s="81" t="s">
        <v>369</v>
      </c>
      <c r="F873" s="81" t="s">
        <v>853</v>
      </c>
      <c r="G873" s="81" t="s">
        <v>3729</v>
      </c>
    </row>
    <row r="874" spans="1:7" x14ac:dyDescent="0.3">
      <c r="A874" s="81" t="s">
        <v>823</v>
      </c>
      <c r="B874" s="81" t="s">
        <v>3762</v>
      </c>
      <c r="C874" s="81" t="s">
        <v>16</v>
      </c>
      <c r="D874" s="81" t="s">
        <v>404</v>
      </c>
      <c r="E874" s="81" t="s">
        <v>382</v>
      </c>
      <c r="F874" s="81" t="s">
        <v>854</v>
      </c>
      <c r="G874" s="81" t="s">
        <v>3746</v>
      </c>
    </row>
    <row r="875" spans="1:7" x14ac:dyDescent="0.3">
      <c r="A875" s="81" t="s">
        <v>823</v>
      </c>
      <c r="B875" s="81" t="s">
        <v>3762</v>
      </c>
      <c r="C875" s="81" t="s">
        <v>16</v>
      </c>
      <c r="D875" s="81" t="s">
        <v>404</v>
      </c>
      <c r="E875" s="81" t="s">
        <v>382</v>
      </c>
      <c r="F875" s="81" t="s">
        <v>853</v>
      </c>
      <c r="G875" s="81" t="s">
        <v>3730</v>
      </c>
    </row>
    <row r="876" spans="1:7" x14ac:dyDescent="0.3">
      <c r="A876" s="81" t="s">
        <v>823</v>
      </c>
      <c r="B876" s="81" t="s">
        <v>3762</v>
      </c>
      <c r="C876" s="81" t="s">
        <v>16</v>
      </c>
      <c r="D876" s="81" t="s">
        <v>404</v>
      </c>
      <c r="E876" s="81" t="s">
        <v>370</v>
      </c>
      <c r="F876" s="81" t="s">
        <v>854</v>
      </c>
      <c r="G876" s="81" t="s">
        <v>3747</v>
      </c>
    </row>
    <row r="877" spans="1:7" x14ac:dyDescent="0.3">
      <c r="A877" s="81" t="s">
        <v>823</v>
      </c>
      <c r="B877" s="81" t="s">
        <v>3762</v>
      </c>
      <c r="C877" s="81" t="s">
        <v>16</v>
      </c>
      <c r="D877" s="81" t="s">
        <v>404</v>
      </c>
      <c r="E877" s="81" t="s">
        <v>370</v>
      </c>
      <c r="F877" s="81" t="s">
        <v>853</v>
      </c>
      <c r="G877" s="81" t="s">
        <v>3731</v>
      </c>
    </row>
    <row r="878" spans="1:7" x14ac:dyDescent="0.3">
      <c r="A878" s="81" t="s">
        <v>823</v>
      </c>
      <c r="B878" s="81" t="s">
        <v>3762</v>
      </c>
      <c r="C878" s="81" t="s">
        <v>16</v>
      </c>
      <c r="D878" s="81" t="s">
        <v>404</v>
      </c>
      <c r="E878" s="81" t="s">
        <v>378</v>
      </c>
      <c r="F878" s="81" t="s">
        <v>854</v>
      </c>
      <c r="G878" s="81" t="s">
        <v>3748</v>
      </c>
    </row>
    <row r="879" spans="1:7" x14ac:dyDescent="0.3">
      <c r="A879" s="81" t="s">
        <v>823</v>
      </c>
      <c r="B879" s="81" t="s">
        <v>3762</v>
      </c>
      <c r="C879" s="81" t="s">
        <v>16</v>
      </c>
      <c r="D879" s="81" t="s">
        <v>404</v>
      </c>
      <c r="E879" s="81" t="s">
        <v>378</v>
      </c>
      <c r="F879" s="81" t="s">
        <v>853</v>
      </c>
      <c r="G879" s="81" t="s">
        <v>3732</v>
      </c>
    </row>
    <row r="880" spans="1:7" x14ac:dyDescent="0.3">
      <c r="A880" s="81" t="s">
        <v>823</v>
      </c>
      <c r="B880" s="81" t="s">
        <v>3762</v>
      </c>
      <c r="C880" s="81" t="s">
        <v>16</v>
      </c>
      <c r="D880" s="81" t="s">
        <v>404</v>
      </c>
      <c r="E880" s="81" t="s">
        <v>371</v>
      </c>
      <c r="F880" s="81" t="s">
        <v>854</v>
      </c>
      <c r="G880" s="81" t="s">
        <v>3749</v>
      </c>
    </row>
    <row r="881" spans="1:7" x14ac:dyDescent="0.3">
      <c r="A881" s="81" t="s">
        <v>823</v>
      </c>
      <c r="B881" s="81" t="s">
        <v>3762</v>
      </c>
      <c r="C881" s="81" t="s">
        <v>16</v>
      </c>
      <c r="D881" s="81" t="s">
        <v>404</v>
      </c>
      <c r="E881" s="81" t="s">
        <v>371</v>
      </c>
      <c r="F881" s="81" t="s">
        <v>853</v>
      </c>
      <c r="G881" s="81" t="s">
        <v>3733</v>
      </c>
    </row>
    <row r="882" spans="1:7" x14ac:dyDescent="0.3">
      <c r="A882" s="81" t="s">
        <v>823</v>
      </c>
      <c r="B882" s="81" t="s">
        <v>3762</v>
      </c>
      <c r="C882" s="81" t="s">
        <v>16</v>
      </c>
      <c r="D882" s="81" t="s">
        <v>404</v>
      </c>
      <c r="E882" s="81" t="s">
        <v>376</v>
      </c>
      <c r="F882" s="81" t="s">
        <v>854</v>
      </c>
      <c r="G882" s="81" t="s">
        <v>3750</v>
      </c>
    </row>
    <row r="883" spans="1:7" x14ac:dyDescent="0.3">
      <c r="A883" s="81" t="s">
        <v>823</v>
      </c>
      <c r="B883" s="81" t="s">
        <v>3762</v>
      </c>
      <c r="C883" s="81" t="s">
        <v>16</v>
      </c>
      <c r="D883" s="81" t="s">
        <v>404</v>
      </c>
      <c r="E883" s="81" t="s">
        <v>376</v>
      </c>
      <c r="F883" s="81" t="s">
        <v>853</v>
      </c>
      <c r="G883" s="81" t="s">
        <v>3734</v>
      </c>
    </row>
    <row r="884" spans="1:7" x14ac:dyDescent="0.3">
      <c r="A884" s="81" t="s">
        <v>823</v>
      </c>
      <c r="B884" s="81" t="s">
        <v>3762</v>
      </c>
      <c r="C884" s="81" t="s">
        <v>16</v>
      </c>
      <c r="D884" s="81" t="s">
        <v>404</v>
      </c>
      <c r="E884" s="81" t="s">
        <v>377</v>
      </c>
      <c r="F884" s="81" t="s">
        <v>854</v>
      </c>
      <c r="G884" s="81" t="s">
        <v>3751</v>
      </c>
    </row>
    <row r="885" spans="1:7" x14ac:dyDescent="0.3">
      <c r="A885" s="81" t="s">
        <v>823</v>
      </c>
      <c r="B885" s="81" t="s">
        <v>3762</v>
      </c>
      <c r="C885" s="81" t="s">
        <v>16</v>
      </c>
      <c r="D885" s="81" t="s">
        <v>404</v>
      </c>
      <c r="E885" s="81" t="s">
        <v>377</v>
      </c>
      <c r="F885" s="81" t="s">
        <v>853</v>
      </c>
      <c r="G885" s="81" t="s">
        <v>3735</v>
      </c>
    </row>
    <row r="886" spans="1:7" x14ac:dyDescent="0.3">
      <c r="A886" s="81" t="s">
        <v>823</v>
      </c>
      <c r="B886" s="81" t="s">
        <v>3762</v>
      </c>
      <c r="C886" s="81" t="s">
        <v>16</v>
      </c>
      <c r="D886" s="81" t="s">
        <v>404</v>
      </c>
      <c r="E886" s="81" t="s">
        <v>381</v>
      </c>
      <c r="F886" s="81" t="s">
        <v>854</v>
      </c>
      <c r="G886" s="81" t="s">
        <v>3752</v>
      </c>
    </row>
    <row r="887" spans="1:7" x14ac:dyDescent="0.3">
      <c r="A887" s="81" t="s">
        <v>823</v>
      </c>
      <c r="B887" s="81" t="s">
        <v>3762</v>
      </c>
      <c r="C887" s="81" t="s">
        <v>16</v>
      </c>
      <c r="D887" s="81" t="s">
        <v>404</v>
      </c>
      <c r="E887" s="81" t="s">
        <v>381</v>
      </c>
      <c r="F887" s="81" t="s">
        <v>853</v>
      </c>
      <c r="G887" s="81" t="s">
        <v>3736</v>
      </c>
    </row>
    <row r="888" spans="1:7" x14ac:dyDescent="0.3">
      <c r="A888" s="81" t="s">
        <v>823</v>
      </c>
      <c r="B888" s="81" t="s">
        <v>3762</v>
      </c>
      <c r="C888" s="81" t="s">
        <v>16</v>
      </c>
      <c r="D888" s="81" t="s">
        <v>404</v>
      </c>
      <c r="E888" s="81" t="s">
        <v>379</v>
      </c>
      <c r="F888" s="81" t="s">
        <v>854</v>
      </c>
      <c r="G888" s="81" t="s">
        <v>3753</v>
      </c>
    </row>
    <row r="889" spans="1:7" x14ac:dyDescent="0.3">
      <c r="A889" s="81" t="s">
        <v>823</v>
      </c>
      <c r="B889" s="81" t="s">
        <v>3762</v>
      </c>
      <c r="C889" s="81" t="s">
        <v>16</v>
      </c>
      <c r="D889" s="81" t="s">
        <v>404</v>
      </c>
      <c r="E889" s="81" t="s">
        <v>379</v>
      </c>
      <c r="F889" s="81" t="s">
        <v>853</v>
      </c>
      <c r="G889" s="81" t="s">
        <v>3737</v>
      </c>
    </row>
    <row r="890" spans="1:7" x14ac:dyDescent="0.3">
      <c r="A890" s="81" t="s">
        <v>823</v>
      </c>
      <c r="B890" s="81" t="s">
        <v>3762</v>
      </c>
      <c r="C890" s="81" t="s">
        <v>16</v>
      </c>
      <c r="D890" s="81" t="s">
        <v>404</v>
      </c>
      <c r="E890" s="81" t="s">
        <v>374</v>
      </c>
      <c r="F890" s="81" t="s">
        <v>854</v>
      </c>
      <c r="G890" s="81" t="s">
        <v>3754</v>
      </c>
    </row>
    <row r="891" spans="1:7" x14ac:dyDescent="0.3">
      <c r="A891" s="81" t="s">
        <v>823</v>
      </c>
      <c r="B891" s="81" t="s">
        <v>3762</v>
      </c>
      <c r="C891" s="81" t="s">
        <v>16</v>
      </c>
      <c r="D891" s="81" t="s">
        <v>404</v>
      </c>
      <c r="E891" s="81" t="s">
        <v>374</v>
      </c>
      <c r="F891" s="81" t="s">
        <v>853</v>
      </c>
      <c r="G891" s="81" t="s">
        <v>3738</v>
      </c>
    </row>
    <row r="892" spans="1:7" x14ac:dyDescent="0.3">
      <c r="A892" s="81" t="s">
        <v>823</v>
      </c>
      <c r="B892" s="81" t="s">
        <v>3762</v>
      </c>
      <c r="C892" s="81" t="s">
        <v>16</v>
      </c>
      <c r="D892" s="81" t="s">
        <v>404</v>
      </c>
      <c r="E892" s="81" t="s">
        <v>383</v>
      </c>
      <c r="F892" s="81" t="s">
        <v>854</v>
      </c>
      <c r="G892" s="81" t="s">
        <v>3755</v>
      </c>
    </row>
    <row r="893" spans="1:7" x14ac:dyDescent="0.3">
      <c r="A893" s="81" t="s">
        <v>823</v>
      </c>
      <c r="B893" s="81" t="s">
        <v>3762</v>
      </c>
      <c r="C893" s="81" t="s">
        <v>16</v>
      </c>
      <c r="D893" s="81" t="s">
        <v>404</v>
      </c>
      <c r="E893" s="81" t="s">
        <v>383</v>
      </c>
      <c r="F893" s="81" t="s">
        <v>853</v>
      </c>
      <c r="G893" s="81" t="s">
        <v>3739</v>
      </c>
    </row>
    <row r="894" spans="1:7" x14ac:dyDescent="0.3">
      <c r="A894" s="81" t="s">
        <v>823</v>
      </c>
      <c r="B894" s="81" t="s">
        <v>3762</v>
      </c>
      <c r="C894" s="81" t="s">
        <v>16</v>
      </c>
      <c r="D894" s="81" t="s">
        <v>404</v>
      </c>
      <c r="E894" s="81" t="s">
        <v>373</v>
      </c>
      <c r="F894" s="81" t="s">
        <v>854</v>
      </c>
      <c r="G894" s="81" t="s">
        <v>3756</v>
      </c>
    </row>
    <row r="895" spans="1:7" x14ac:dyDescent="0.3">
      <c r="A895" s="81" t="s">
        <v>823</v>
      </c>
      <c r="B895" s="81" t="s">
        <v>3762</v>
      </c>
      <c r="C895" s="81" t="s">
        <v>16</v>
      </c>
      <c r="D895" s="81" t="s">
        <v>404</v>
      </c>
      <c r="E895" s="81" t="s">
        <v>373</v>
      </c>
      <c r="F895" s="81" t="s">
        <v>853</v>
      </c>
      <c r="G895" s="81" t="s">
        <v>3740</v>
      </c>
    </row>
    <row r="896" spans="1:7" x14ac:dyDescent="0.3">
      <c r="A896" s="81" t="s">
        <v>823</v>
      </c>
      <c r="B896" s="81" t="s">
        <v>3762</v>
      </c>
      <c r="C896" s="81" t="s">
        <v>16</v>
      </c>
      <c r="D896" s="81" t="s">
        <v>404</v>
      </c>
      <c r="E896" s="81" t="s">
        <v>368</v>
      </c>
      <c r="F896" s="81" t="s">
        <v>854</v>
      </c>
      <c r="G896" s="81" t="s">
        <v>3757</v>
      </c>
    </row>
    <row r="897" spans="1:7" x14ac:dyDescent="0.3">
      <c r="A897" s="81" t="s">
        <v>823</v>
      </c>
      <c r="B897" s="81" t="s">
        <v>3762</v>
      </c>
      <c r="C897" s="81" t="s">
        <v>16</v>
      </c>
      <c r="D897" s="81" t="s">
        <v>404</v>
      </c>
      <c r="E897" s="81" t="s">
        <v>368</v>
      </c>
      <c r="F897" s="81" t="s">
        <v>853</v>
      </c>
      <c r="G897" s="81" t="s">
        <v>3741</v>
      </c>
    </row>
    <row r="898" spans="1:7" x14ac:dyDescent="0.3">
      <c r="A898" s="81" t="s">
        <v>823</v>
      </c>
      <c r="B898" s="81" t="s">
        <v>3762</v>
      </c>
      <c r="C898" s="81" t="s">
        <v>16</v>
      </c>
      <c r="D898" s="81" t="s">
        <v>404</v>
      </c>
      <c r="E898" s="81" t="s">
        <v>372</v>
      </c>
      <c r="F898" s="81" t="s">
        <v>854</v>
      </c>
      <c r="G898" s="81" t="s">
        <v>3758</v>
      </c>
    </row>
    <row r="899" spans="1:7" x14ac:dyDescent="0.3">
      <c r="A899" s="81" t="s">
        <v>823</v>
      </c>
      <c r="B899" s="81" t="s">
        <v>3762</v>
      </c>
      <c r="C899" s="81" t="s">
        <v>16</v>
      </c>
      <c r="D899" s="81" t="s">
        <v>404</v>
      </c>
      <c r="E899" s="81" t="s">
        <v>372</v>
      </c>
      <c r="F899" s="81" t="s">
        <v>853</v>
      </c>
      <c r="G899" s="81" t="s">
        <v>3742</v>
      </c>
    </row>
    <row r="900" spans="1:7" x14ac:dyDescent="0.3">
      <c r="A900" s="81" t="s">
        <v>823</v>
      </c>
      <c r="B900" s="81" t="s">
        <v>3762</v>
      </c>
      <c r="C900" s="81" t="s">
        <v>16</v>
      </c>
      <c r="D900" s="81" t="s">
        <v>404</v>
      </c>
      <c r="E900" s="81" t="s">
        <v>375</v>
      </c>
      <c r="F900" s="81" t="s">
        <v>854</v>
      </c>
      <c r="G900" s="81" t="s">
        <v>3759</v>
      </c>
    </row>
    <row r="901" spans="1:7" x14ac:dyDescent="0.3">
      <c r="A901" s="81" t="s">
        <v>823</v>
      </c>
      <c r="B901" s="81" t="s">
        <v>3762</v>
      </c>
      <c r="C901" s="81" t="s">
        <v>16</v>
      </c>
      <c r="D901" s="81" t="s">
        <v>404</v>
      </c>
      <c r="E901" s="81" t="s">
        <v>375</v>
      </c>
      <c r="F901" s="81" t="s">
        <v>853</v>
      </c>
      <c r="G901" s="81" t="s">
        <v>3743</v>
      </c>
    </row>
    <row r="902" spans="1:7" x14ac:dyDescent="0.3">
      <c r="A902" s="81" t="s">
        <v>823</v>
      </c>
      <c r="B902" s="81" t="s">
        <v>3762</v>
      </c>
      <c r="C902" s="81" t="s">
        <v>16</v>
      </c>
      <c r="D902" s="81" t="s">
        <v>404</v>
      </c>
      <c r="E902" s="81" t="s">
        <v>380</v>
      </c>
      <c r="F902" s="81" t="s">
        <v>854</v>
      </c>
      <c r="G902" s="81" t="s">
        <v>3760</v>
      </c>
    </row>
    <row r="903" spans="1:7" x14ac:dyDescent="0.3">
      <c r="A903" s="81" t="s">
        <v>823</v>
      </c>
      <c r="B903" s="81" t="s">
        <v>3762</v>
      </c>
      <c r="C903" s="81" t="s">
        <v>16</v>
      </c>
      <c r="D903" s="81" t="s">
        <v>404</v>
      </c>
      <c r="E903" s="81" t="s">
        <v>380</v>
      </c>
      <c r="F903" s="81" t="s">
        <v>853</v>
      </c>
      <c r="G903" s="81" t="s">
        <v>3744</v>
      </c>
    </row>
    <row r="904" spans="1:7" x14ac:dyDescent="0.3">
      <c r="A904" s="81" t="s">
        <v>832</v>
      </c>
      <c r="B904" s="81" t="s">
        <v>3763</v>
      </c>
      <c r="C904" s="81" t="s">
        <v>20</v>
      </c>
      <c r="D904" s="81" t="s">
        <v>16</v>
      </c>
      <c r="E904" s="81" t="s">
        <v>15</v>
      </c>
      <c r="F904" s="81" t="s">
        <v>1009</v>
      </c>
      <c r="G904" s="81" t="s">
        <v>855</v>
      </c>
    </row>
    <row r="905" spans="1:7" x14ac:dyDescent="0.3">
      <c r="A905" s="81" t="s">
        <v>832</v>
      </c>
      <c r="B905" s="81" t="s">
        <v>3763</v>
      </c>
      <c r="C905" s="81" t="s">
        <v>20</v>
      </c>
      <c r="D905" s="81" t="s">
        <v>404</v>
      </c>
      <c r="E905" s="81" t="s">
        <v>15</v>
      </c>
      <c r="F905" s="81" t="s">
        <v>856</v>
      </c>
      <c r="G905" s="81">
        <v>0</v>
      </c>
    </row>
    <row r="906" spans="1:7" x14ac:dyDescent="0.3">
      <c r="A906" s="81" t="s">
        <v>832</v>
      </c>
      <c r="B906" s="81" t="s">
        <v>3763</v>
      </c>
      <c r="C906" s="81" t="s">
        <v>16</v>
      </c>
      <c r="D906" s="81" t="s">
        <v>404</v>
      </c>
      <c r="E906" s="81" t="s">
        <v>369</v>
      </c>
      <c r="F906" s="81" t="s">
        <v>1009</v>
      </c>
      <c r="G906" s="81" t="s">
        <v>3745</v>
      </c>
    </row>
    <row r="907" spans="1:7" x14ac:dyDescent="0.3">
      <c r="A907" s="81" t="s">
        <v>832</v>
      </c>
      <c r="B907" s="81" t="s">
        <v>3763</v>
      </c>
      <c r="C907" s="81" t="s">
        <v>16</v>
      </c>
      <c r="D907" s="81" t="s">
        <v>404</v>
      </c>
      <c r="E907" s="81" t="s">
        <v>382</v>
      </c>
      <c r="F907" s="81" t="s">
        <v>1009</v>
      </c>
      <c r="G907" s="81" t="s">
        <v>3746</v>
      </c>
    </row>
    <row r="908" spans="1:7" x14ac:dyDescent="0.3">
      <c r="A908" s="81" t="s">
        <v>832</v>
      </c>
      <c r="B908" s="81" t="s">
        <v>3763</v>
      </c>
      <c r="C908" s="81" t="s">
        <v>16</v>
      </c>
      <c r="D908" s="81" t="s">
        <v>404</v>
      </c>
      <c r="E908" s="81" t="s">
        <v>370</v>
      </c>
      <c r="F908" s="81" t="s">
        <v>1009</v>
      </c>
      <c r="G908" s="81" t="s">
        <v>3747</v>
      </c>
    </row>
    <row r="909" spans="1:7" x14ac:dyDescent="0.3">
      <c r="A909" s="81" t="s">
        <v>832</v>
      </c>
      <c r="B909" s="81" t="s">
        <v>3763</v>
      </c>
      <c r="C909" s="81" t="s">
        <v>16</v>
      </c>
      <c r="D909" s="81" t="s">
        <v>404</v>
      </c>
      <c r="E909" s="81" t="s">
        <v>378</v>
      </c>
      <c r="F909" s="81" t="s">
        <v>1009</v>
      </c>
      <c r="G909" s="81" t="s">
        <v>3748</v>
      </c>
    </row>
    <row r="910" spans="1:7" x14ac:dyDescent="0.3">
      <c r="A910" s="81" t="s">
        <v>832</v>
      </c>
      <c r="B910" s="81" t="s">
        <v>3763</v>
      </c>
      <c r="C910" s="81" t="s">
        <v>16</v>
      </c>
      <c r="D910" s="81" t="s">
        <v>404</v>
      </c>
      <c r="E910" s="81" t="s">
        <v>371</v>
      </c>
      <c r="F910" s="81" t="s">
        <v>1009</v>
      </c>
      <c r="G910" s="81" t="s">
        <v>3749</v>
      </c>
    </row>
    <row r="911" spans="1:7" x14ac:dyDescent="0.3">
      <c r="A911" s="81" t="s">
        <v>832</v>
      </c>
      <c r="B911" s="81" t="s">
        <v>3763</v>
      </c>
      <c r="C911" s="81" t="s">
        <v>16</v>
      </c>
      <c r="D911" s="81" t="s">
        <v>404</v>
      </c>
      <c r="E911" s="81" t="s">
        <v>376</v>
      </c>
      <c r="F911" s="81" t="s">
        <v>1009</v>
      </c>
      <c r="G911" s="81" t="s">
        <v>3750</v>
      </c>
    </row>
    <row r="912" spans="1:7" x14ac:dyDescent="0.3">
      <c r="A912" s="81" t="s">
        <v>832</v>
      </c>
      <c r="B912" s="81" t="s">
        <v>3763</v>
      </c>
      <c r="C912" s="81" t="s">
        <v>16</v>
      </c>
      <c r="D912" s="81" t="s">
        <v>404</v>
      </c>
      <c r="E912" s="81" t="s">
        <v>377</v>
      </c>
      <c r="F912" s="81" t="s">
        <v>1009</v>
      </c>
      <c r="G912" s="81" t="s">
        <v>3751</v>
      </c>
    </row>
    <row r="913" spans="1:7" x14ac:dyDescent="0.3">
      <c r="A913" s="81" t="s">
        <v>832</v>
      </c>
      <c r="B913" s="81" t="s">
        <v>3763</v>
      </c>
      <c r="C913" s="81" t="s">
        <v>16</v>
      </c>
      <c r="D913" s="81" t="s">
        <v>404</v>
      </c>
      <c r="E913" s="81" t="s">
        <v>381</v>
      </c>
      <c r="F913" s="81" t="s">
        <v>1009</v>
      </c>
      <c r="G913" s="81" t="s">
        <v>3752</v>
      </c>
    </row>
    <row r="914" spans="1:7" x14ac:dyDescent="0.3">
      <c r="A914" s="81" t="s">
        <v>832</v>
      </c>
      <c r="B914" s="81" t="s">
        <v>3763</v>
      </c>
      <c r="C914" s="81" t="s">
        <v>16</v>
      </c>
      <c r="D914" s="81" t="s">
        <v>404</v>
      </c>
      <c r="E914" s="81" t="s">
        <v>379</v>
      </c>
      <c r="F914" s="81" t="s">
        <v>1009</v>
      </c>
      <c r="G914" s="81" t="s">
        <v>3753</v>
      </c>
    </row>
    <row r="915" spans="1:7" x14ac:dyDescent="0.3">
      <c r="A915" s="81" t="s">
        <v>832</v>
      </c>
      <c r="B915" s="81" t="s">
        <v>3763</v>
      </c>
      <c r="C915" s="81" t="s">
        <v>16</v>
      </c>
      <c r="D915" s="81" t="s">
        <v>404</v>
      </c>
      <c r="E915" s="81" t="s">
        <v>374</v>
      </c>
      <c r="F915" s="81" t="s">
        <v>1009</v>
      </c>
      <c r="G915" s="81" t="s">
        <v>3754</v>
      </c>
    </row>
    <row r="916" spans="1:7" x14ac:dyDescent="0.3">
      <c r="A916" s="81" t="s">
        <v>832</v>
      </c>
      <c r="B916" s="81" t="s">
        <v>3763</v>
      </c>
      <c r="C916" s="81" t="s">
        <v>16</v>
      </c>
      <c r="D916" s="81" t="s">
        <v>404</v>
      </c>
      <c r="E916" s="81" t="s">
        <v>383</v>
      </c>
      <c r="F916" s="81" t="s">
        <v>1009</v>
      </c>
      <c r="G916" s="81" t="s">
        <v>3755</v>
      </c>
    </row>
    <row r="917" spans="1:7" x14ac:dyDescent="0.3">
      <c r="A917" s="81" t="s">
        <v>832</v>
      </c>
      <c r="B917" s="81" t="s">
        <v>3763</v>
      </c>
      <c r="C917" s="81" t="s">
        <v>16</v>
      </c>
      <c r="D917" s="81" t="s">
        <v>404</v>
      </c>
      <c r="E917" s="81" t="s">
        <v>373</v>
      </c>
      <c r="F917" s="81" t="s">
        <v>1009</v>
      </c>
      <c r="G917" s="81" t="s">
        <v>3756</v>
      </c>
    </row>
    <row r="918" spans="1:7" x14ac:dyDescent="0.3">
      <c r="A918" s="81" t="s">
        <v>832</v>
      </c>
      <c r="B918" s="81" t="s">
        <v>3763</v>
      </c>
      <c r="C918" s="81" t="s">
        <v>16</v>
      </c>
      <c r="D918" s="81" t="s">
        <v>404</v>
      </c>
      <c r="E918" s="81" t="s">
        <v>368</v>
      </c>
      <c r="F918" s="81" t="s">
        <v>1009</v>
      </c>
      <c r="G918" s="81" t="s">
        <v>3757</v>
      </c>
    </row>
    <row r="919" spans="1:7" x14ac:dyDescent="0.3">
      <c r="A919" s="81" t="s">
        <v>832</v>
      </c>
      <c r="B919" s="81" t="s">
        <v>3763</v>
      </c>
      <c r="C919" s="81" t="s">
        <v>16</v>
      </c>
      <c r="D919" s="81" t="s">
        <v>404</v>
      </c>
      <c r="E919" s="81" t="s">
        <v>372</v>
      </c>
      <c r="F919" s="81" t="s">
        <v>1009</v>
      </c>
      <c r="G919" s="81" t="s">
        <v>3758</v>
      </c>
    </row>
    <row r="920" spans="1:7" x14ac:dyDescent="0.3">
      <c r="A920" s="81" t="s">
        <v>832</v>
      </c>
      <c r="B920" s="81" t="s">
        <v>3763</v>
      </c>
      <c r="C920" s="81" t="s">
        <v>16</v>
      </c>
      <c r="D920" s="81" t="s">
        <v>404</v>
      </c>
      <c r="E920" s="81" t="s">
        <v>375</v>
      </c>
      <c r="F920" s="81" t="s">
        <v>1009</v>
      </c>
      <c r="G920" s="81" t="s">
        <v>3759</v>
      </c>
    </row>
    <row r="921" spans="1:7" x14ac:dyDescent="0.3">
      <c r="A921" s="81" t="s">
        <v>832</v>
      </c>
      <c r="B921" s="81" t="s">
        <v>3763</v>
      </c>
      <c r="C921" s="81" t="s">
        <v>16</v>
      </c>
      <c r="D921" s="81" t="s">
        <v>404</v>
      </c>
      <c r="E921" s="81" t="s">
        <v>380</v>
      </c>
      <c r="F921" s="81" t="s">
        <v>1009</v>
      </c>
      <c r="G921" s="81" t="s">
        <v>3760</v>
      </c>
    </row>
    <row r="922" spans="1:7" x14ac:dyDescent="0.3">
      <c r="A922" s="81" t="s">
        <v>868</v>
      </c>
      <c r="B922" s="81" t="s">
        <v>3763</v>
      </c>
      <c r="C922" s="81" t="s">
        <v>20</v>
      </c>
      <c r="D922" s="81" t="s">
        <v>404</v>
      </c>
      <c r="E922" s="81" t="s">
        <v>15</v>
      </c>
      <c r="F922" s="81" t="s">
        <v>864</v>
      </c>
      <c r="G922" s="81" t="s">
        <v>855</v>
      </c>
    </row>
    <row r="923" spans="1:7" x14ac:dyDescent="0.3">
      <c r="A923" s="81" t="s">
        <v>868</v>
      </c>
      <c r="B923" s="81" t="s">
        <v>3763</v>
      </c>
      <c r="C923" s="81" t="s">
        <v>16</v>
      </c>
      <c r="D923" s="81" t="s">
        <v>404</v>
      </c>
      <c r="E923" s="81" t="s">
        <v>382</v>
      </c>
      <c r="F923" s="81" t="s">
        <v>864</v>
      </c>
      <c r="G923" s="81" t="s">
        <v>3746</v>
      </c>
    </row>
    <row r="924" spans="1:7" x14ac:dyDescent="0.3">
      <c r="A924" s="81" t="s">
        <v>868</v>
      </c>
      <c r="B924" s="81" t="s">
        <v>3763</v>
      </c>
      <c r="C924" s="81" t="s">
        <v>16</v>
      </c>
      <c r="D924" s="81" t="s">
        <v>404</v>
      </c>
      <c r="E924" s="81" t="s">
        <v>370</v>
      </c>
      <c r="F924" s="81" t="s">
        <v>864</v>
      </c>
      <c r="G924" s="81" t="s">
        <v>3747</v>
      </c>
    </row>
    <row r="925" spans="1:7" x14ac:dyDescent="0.3">
      <c r="A925" s="81" t="s">
        <v>868</v>
      </c>
      <c r="B925" s="81" t="s">
        <v>3763</v>
      </c>
      <c r="C925" s="81" t="s">
        <v>16</v>
      </c>
      <c r="D925" s="81" t="s">
        <v>404</v>
      </c>
      <c r="E925" s="81" t="s">
        <v>371</v>
      </c>
      <c r="F925" s="81" t="s">
        <v>864</v>
      </c>
      <c r="G925" s="81" t="s">
        <v>3749</v>
      </c>
    </row>
    <row r="926" spans="1:7" x14ac:dyDescent="0.3">
      <c r="A926" s="81" t="s">
        <v>868</v>
      </c>
      <c r="B926" s="81" t="s">
        <v>3763</v>
      </c>
      <c r="C926" s="81" t="s">
        <v>16</v>
      </c>
      <c r="D926" s="81" t="s">
        <v>404</v>
      </c>
      <c r="E926" s="81" t="s">
        <v>376</v>
      </c>
      <c r="F926" s="81" t="s">
        <v>864</v>
      </c>
      <c r="G926" s="81" t="s">
        <v>3750</v>
      </c>
    </row>
    <row r="927" spans="1:7" x14ac:dyDescent="0.3">
      <c r="A927" s="81" t="s">
        <v>868</v>
      </c>
      <c r="B927" s="81" t="s">
        <v>3763</v>
      </c>
      <c r="C927" s="81" t="s">
        <v>16</v>
      </c>
      <c r="D927" s="81" t="s">
        <v>404</v>
      </c>
      <c r="E927" s="81" t="s">
        <v>374</v>
      </c>
      <c r="F927" s="81" t="s">
        <v>864</v>
      </c>
      <c r="G927" s="81" t="s">
        <v>3754</v>
      </c>
    </row>
    <row r="928" spans="1:7" x14ac:dyDescent="0.3">
      <c r="A928" s="81" t="s">
        <v>868</v>
      </c>
      <c r="B928" s="81" t="s">
        <v>3763</v>
      </c>
      <c r="C928" s="81" t="s">
        <v>16</v>
      </c>
      <c r="D928" s="81" t="s">
        <v>404</v>
      </c>
      <c r="E928" s="81" t="s">
        <v>383</v>
      </c>
      <c r="F928" s="81" t="s">
        <v>864</v>
      </c>
      <c r="G928" s="81" t="s">
        <v>3755</v>
      </c>
    </row>
    <row r="929" spans="1:7" x14ac:dyDescent="0.3">
      <c r="A929" s="81" t="s">
        <v>868</v>
      </c>
      <c r="B929" s="81" t="s">
        <v>3763</v>
      </c>
      <c r="C929" s="81" t="s">
        <v>16</v>
      </c>
      <c r="D929" s="81" t="s">
        <v>404</v>
      </c>
      <c r="E929" s="81" t="s">
        <v>373</v>
      </c>
      <c r="F929" s="81" t="s">
        <v>864</v>
      </c>
      <c r="G929" s="81" t="s">
        <v>3756</v>
      </c>
    </row>
    <row r="930" spans="1:7" x14ac:dyDescent="0.3">
      <c r="A930" s="81" t="s">
        <v>868</v>
      </c>
      <c r="B930" s="81" t="s">
        <v>3763</v>
      </c>
      <c r="C930" s="81" t="s">
        <v>16</v>
      </c>
      <c r="D930" s="81" t="s">
        <v>404</v>
      </c>
      <c r="E930" s="81" t="s">
        <v>372</v>
      </c>
      <c r="F930" s="81" t="s">
        <v>864</v>
      </c>
      <c r="G930" s="81" t="s">
        <v>3758</v>
      </c>
    </row>
    <row r="931" spans="1:7" x14ac:dyDescent="0.3">
      <c r="A931" s="81" t="s">
        <v>868</v>
      </c>
      <c r="B931" s="81" t="s">
        <v>3763</v>
      </c>
      <c r="C931" s="81" t="s">
        <v>16</v>
      </c>
      <c r="D931" s="81" t="s">
        <v>404</v>
      </c>
      <c r="E931" s="81" t="s">
        <v>375</v>
      </c>
      <c r="F931" s="81" t="s">
        <v>864</v>
      </c>
      <c r="G931" s="81" t="s">
        <v>3759</v>
      </c>
    </row>
    <row r="932" spans="1:7" x14ac:dyDescent="0.3">
      <c r="A932" s="81" t="s">
        <v>868</v>
      </c>
      <c r="B932" s="81" t="s">
        <v>3763</v>
      </c>
      <c r="C932" s="81" t="s">
        <v>16</v>
      </c>
      <c r="D932" s="81" t="s">
        <v>404</v>
      </c>
      <c r="E932" s="81" t="s">
        <v>380</v>
      </c>
      <c r="F932" s="81" t="s">
        <v>864</v>
      </c>
      <c r="G932" s="81" t="s">
        <v>3760</v>
      </c>
    </row>
    <row r="933" spans="1:7" x14ac:dyDescent="0.3">
      <c r="A933" s="81" t="s">
        <v>871</v>
      </c>
      <c r="B933" s="81" t="s">
        <v>3765</v>
      </c>
      <c r="C933" s="81" t="s">
        <v>20</v>
      </c>
      <c r="D933" s="81" t="s">
        <v>16</v>
      </c>
      <c r="E933" s="81" t="s">
        <v>15</v>
      </c>
      <c r="F933" s="81" t="s">
        <v>875</v>
      </c>
      <c r="G933" s="81">
        <v>0</v>
      </c>
    </row>
    <row r="934" spans="1:7" x14ac:dyDescent="0.3">
      <c r="A934" s="81" t="s">
        <v>871</v>
      </c>
      <c r="B934" s="81" t="s">
        <v>3765</v>
      </c>
      <c r="C934" s="81" t="s">
        <v>20</v>
      </c>
      <c r="D934" s="81" t="s">
        <v>16</v>
      </c>
      <c r="E934" s="81" t="s">
        <v>15</v>
      </c>
      <c r="F934" s="81" t="s">
        <v>1078</v>
      </c>
      <c r="G934" s="81">
        <v>0</v>
      </c>
    </row>
    <row r="935" spans="1:7" x14ac:dyDescent="0.3">
      <c r="A935" s="81" t="s">
        <v>882</v>
      </c>
      <c r="B935" s="81" t="s">
        <v>1601</v>
      </c>
      <c r="C935" s="81" t="s">
        <v>20</v>
      </c>
      <c r="D935" s="81" t="s">
        <v>16</v>
      </c>
      <c r="E935" s="81" t="s">
        <v>15</v>
      </c>
      <c r="F935" s="81" t="s">
        <v>884</v>
      </c>
      <c r="G935" s="81" t="s">
        <v>855</v>
      </c>
    </row>
    <row r="936" spans="1:7" x14ac:dyDescent="0.3">
      <c r="A936" s="81" t="s">
        <v>882</v>
      </c>
      <c r="B936" s="81" t="s">
        <v>1601</v>
      </c>
      <c r="C936" s="81" t="s">
        <v>16</v>
      </c>
      <c r="D936" s="81" t="s">
        <v>404</v>
      </c>
      <c r="E936" s="81" t="s">
        <v>369</v>
      </c>
      <c r="F936" s="81" t="s">
        <v>884</v>
      </c>
      <c r="G936" s="81" t="s">
        <v>3745</v>
      </c>
    </row>
    <row r="937" spans="1:7" x14ac:dyDescent="0.3">
      <c r="A937" s="81" t="s">
        <v>882</v>
      </c>
      <c r="B937" s="81" t="s">
        <v>1601</v>
      </c>
      <c r="C937" s="81" t="s">
        <v>16</v>
      </c>
      <c r="D937" s="81" t="s">
        <v>404</v>
      </c>
      <c r="E937" s="81" t="s">
        <v>382</v>
      </c>
      <c r="F937" s="81" t="s">
        <v>884</v>
      </c>
      <c r="G937" s="81" t="s">
        <v>3746</v>
      </c>
    </row>
    <row r="938" spans="1:7" x14ac:dyDescent="0.3">
      <c r="A938" s="81" t="s">
        <v>882</v>
      </c>
      <c r="B938" s="81" t="s">
        <v>1601</v>
      </c>
      <c r="C938" s="81" t="s">
        <v>16</v>
      </c>
      <c r="D938" s="81" t="s">
        <v>404</v>
      </c>
      <c r="E938" s="81" t="s">
        <v>370</v>
      </c>
      <c r="F938" s="81" t="s">
        <v>884</v>
      </c>
      <c r="G938" s="81" t="s">
        <v>3747</v>
      </c>
    </row>
    <row r="939" spans="1:7" x14ac:dyDescent="0.3">
      <c r="A939" s="81" t="s">
        <v>882</v>
      </c>
      <c r="B939" s="81" t="s">
        <v>1601</v>
      </c>
      <c r="C939" s="81" t="s">
        <v>16</v>
      </c>
      <c r="D939" s="81" t="s">
        <v>404</v>
      </c>
      <c r="E939" s="81" t="s">
        <v>378</v>
      </c>
      <c r="F939" s="81" t="s">
        <v>884</v>
      </c>
      <c r="G939" s="81" t="s">
        <v>3748</v>
      </c>
    </row>
    <row r="940" spans="1:7" x14ac:dyDescent="0.3">
      <c r="A940" s="81" t="s">
        <v>882</v>
      </c>
      <c r="B940" s="81" t="s">
        <v>1601</v>
      </c>
      <c r="C940" s="81" t="s">
        <v>16</v>
      </c>
      <c r="D940" s="81" t="s">
        <v>404</v>
      </c>
      <c r="E940" s="81" t="s">
        <v>371</v>
      </c>
      <c r="F940" s="81" t="s">
        <v>884</v>
      </c>
      <c r="G940" s="81" t="s">
        <v>3749</v>
      </c>
    </row>
    <row r="941" spans="1:7" x14ac:dyDescent="0.3">
      <c r="A941" s="81" t="s">
        <v>882</v>
      </c>
      <c r="B941" s="81" t="s">
        <v>1601</v>
      </c>
      <c r="C941" s="81" t="s">
        <v>16</v>
      </c>
      <c r="D941" s="81" t="s">
        <v>404</v>
      </c>
      <c r="E941" s="81" t="s">
        <v>376</v>
      </c>
      <c r="F941" s="81" t="s">
        <v>884</v>
      </c>
      <c r="G941" s="81" t="s">
        <v>3750</v>
      </c>
    </row>
    <row r="942" spans="1:7" x14ac:dyDescent="0.3">
      <c r="A942" s="81" t="s">
        <v>882</v>
      </c>
      <c r="B942" s="81" t="s">
        <v>1601</v>
      </c>
      <c r="C942" s="81" t="s">
        <v>16</v>
      </c>
      <c r="D942" s="81" t="s">
        <v>404</v>
      </c>
      <c r="E942" s="81" t="s">
        <v>377</v>
      </c>
      <c r="F942" s="81" t="s">
        <v>884</v>
      </c>
      <c r="G942" s="81" t="s">
        <v>3751</v>
      </c>
    </row>
    <row r="943" spans="1:7" x14ac:dyDescent="0.3">
      <c r="A943" s="81" t="s">
        <v>882</v>
      </c>
      <c r="B943" s="81" t="s">
        <v>1601</v>
      </c>
      <c r="C943" s="81" t="s">
        <v>16</v>
      </c>
      <c r="D943" s="81" t="s">
        <v>404</v>
      </c>
      <c r="E943" s="81" t="s">
        <v>381</v>
      </c>
      <c r="F943" s="81" t="s">
        <v>884</v>
      </c>
      <c r="G943" s="81" t="s">
        <v>3752</v>
      </c>
    </row>
    <row r="944" spans="1:7" x14ac:dyDescent="0.3">
      <c r="A944" s="81" t="s">
        <v>882</v>
      </c>
      <c r="B944" s="81" t="s">
        <v>1601</v>
      </c>
      <c r="C944" s="81" t="s">
        <v>16</v>
      </c>
      <c r="D944" s="81" t="s">
        <v>404</v>
      </c>
      <c r="E944" s="81" t="s">
        <v>379</v>
      </c>
      <c r="F944" s="81" t="s">
        <v>884</v>
      </c>
      <c r="G944" s="81" t="s">
        <v>3753</v>
      </c>
    </row>
    <row r="945" spans="1:7" x14ac:dyDescent="0.3">
      <c r="A945" s="81" t="s">
        <v>882</v>
      </c>
      <c r="B945" s="81" t="s">
        <v>1601</v>
      </c>
      <c r="C945" s="81" t="s">
        <v>16</v>
      </c>
      <c r="D945" s="81" t="s">
        <v>404</v>
      </c>
      <c r="E945" s="81" t="s">
        <v>374</v>
      </c>
      <c r="F945" s="81" t="s">
        <v>884</v>
      </c>
      <c r="G945" s="81" t="s">
        <v>3754</v>
      </c>
    </row>
    <row r="946" spans="1:7" x14ac:dyDescent="0.3">
      <c r="A946" s="81" t="s">
        <v>882</v>
      </c>
      <c r="B946" s="81" t="s">
        <v>1601</v>
      </c>
      <c r="C946" s="81" t="s">
        <v>16</v>
      </c>
      <c r="D946" s="81" t="s">
        <v>404</v>
      </c>
      <c r="E946" s="81" t="s">
        <v>383</v>
      </c>
      <c r="F946" s="81" t="s">
        <v>884</v>
      </c>
      <c r="G946" s="81" t="s">
        <v>3755</v>
      </c>
    </row>
    <row r="947" spans="1:7" x14ac:dyDescent="0.3">
      <c r="A947" s="81" t="s">
        <v>882</v>
      </c>
      <c r="B947" s="81" t="s">
        <v>1601</v>
      </c>
      <c r="C947" s="81" t="s">
        <v>16</v>
      </c>
      <c r="D947" s="81" t="s">
        <v>404</v>
      </c>
      <c r="E947" s="81" t="s">
        <v>373</v>
      </c>
      <c r="F947" s="81" t="s">
        <v>884</v>
      </c>
      <c r="G947" s="81" t="s">
        <v>3756</v>
      </c>
    </row>
    <row r="948" spans="1:7" x14ac:dyDescent="0.3">
      <c r="A948" s="81" t="s">
        <v>882</v>
      </c>
      <c r="B948" s="81" t="s">
        <v>1601</v>
      </c>
      <c r="C948" s="81" t="s">
        <v>16</v>
      </c>
      <c r="D948" s="81" t="s">
        <v>404</v>
      </c>
      <c r="E948" s="81" t="s">
        <v>368</v>
      </c>
      <c r="F948" s="81" t="s">
        <v>884</v>
      </c>
      <c r="G948" s="81" t="s">
        <v>3757</v>
      </c>
    </row>
    <row r="949" spans="1:7" x14ac:dyDescent="0.3">
      <c r="A949" s="81" t="s">
        <v>882</v>
      </c>
      <c r="B949" s="81" t="s">
        <v>1601</v>
      </c>
      <c r="C949" s="81" t="s">
        <v>16</v>
      </c>
      <c r="D949" s="81" t="s">
        <v>404</v>
      </c>
      <c r="E949" s="81" t="s">
        <v>372</v>
      </c>
      <c r="F949" s="81" t="s">
        <v>884</v>
      </c>
      <c r="G949" s="81" t="s">
        <v>3758</v>
      </c>
    </row>
    <row r="950" spans="1:7" x14ac:dyDescent="0.3">
      <c r="A950" s="81" t="s">
        <v>882</v>
      </c>
      <c r="B950" s="81" t="s">
        <v>1601</v>
      </c>
      <c r="C950" s="81" t="s">
        <v>16</v>
      </c>
      <c r="D950" s="81" t="s">
        <v>404</v>
      </c>
      <c r="E950" s="81" t="s">
        <v>375</v>
      </c>
      <c r="F950" s="81" t="s">
        <v>884</v>
      </c>
      <c r="G950" s="81" t="s">
        <v>3759</v>
      </c>
    </row>
    <row r="951" spans="1:7" x14ac:dyDescent="0.3">
      <c r="A951" s="81" t="s">
        <v>882</v>
      </c>
      <c r="B951" s="81" t="s">
        <v>1601</v>
      </c>
      <c r="C951" s="81" t="s">
        <v>16</v>
      </c>
      <c r="D951" s="81" t="s">
        <v>404</v>
      </c>
      <c r="E951" s="81" t="s">
        <v>380</v>
      </c>
      <c r="F951" s="81" t="s">
        <v>884</v>
      </c>
      <c r="G951" s="81" t="s">
        <v>3760</v>
      </c>
    </row>
    <row r="952" spans="1:7" x14ac:dyDescent="0.3">
      <c r="A952" s="81" t="s">
        <v>888</v>
      </c>
      <c r="B952" s="81" t="s">
        <v>3762</v>
      </c>
      <c r="C952" s="81" t="s">
        <v>20</v>
      </c>
      <c r="D952" s="81" t="s">
        <v>404</v>
      </c>
      <c r="E952" s="81" t="s">
        <v>15</v>
      </c>
      <c r="F952" s="81" t="s">
        <v>893</v>
      </c>
      <c r="G952" s="81">
        <v>0</v>
      </c>
    </row>
    <row r="953" spans="1:7" x14ac:dyDescent="0.3">
      <c r="A953" s="81" t="s">
        <v>888</v>
      </c>
      <c r="B953" s="81" t="s">
        <v>3762</v>
      </c>
      <c r="C953" s="81" t="s">
        <v>20</v>
      </c>
      <c r="D953" s="81" t="s">
        <v>404</v>
      </c>
      <c r="E953" s="81" t="s">
        <v>15</v>
      </c>
      <c r="F953" s="81" t="s">
        <v>898</v>
      </c>
      <c r="G953" s="81">
        <v>0</v>
      </c>
    </row>
    <row r="954" spans="1:7" x14ac:dyDescent="0.3">
      <c r="A954" s="81" t="s">
        <v>888</v>
      </c>
      <c r="B954" s="81" t="s">
        <v>3762</v>
      </c>
      <c r="C954" s="81" t="s">
        <v>20</v>
      </c>
      <c r="D954" s="81" t="s">
        <v>404</v>
      </c>
      <c r="E954" s="81" t="s">
        <v>15</v>
      </c>
      <c r="F954" s="81" t="s">
        <v>900</v>
      </c>
      <c r="G954" s="81">
        <v>0</v>
      </c>
    </row>
    <row r="955" spans="1:7" x14ac:dyDescent="0.3">
      <c r="A955" s="81" t="s">
        <v>888</v>
      </c>
      <c r="B955" s="81" t="s">
        <v>3762</v>
      </c>
      <c r="C955" s="81" t="s">
        <v>20</v>
      </c>
      <c r="D955" s="81" t="s">
        <v>404</v>
      </c>
      <c r="E955" s="81" t="s">
        <v>15</v>
      </c>
      <c r="F955" s="81" t="s">
        <v>905</v>
      </c>
      <c r="G955" s="81">
        <v>0</v>
      </c>
    </row>
    <row r="956" spans="1:7" x14ac:dyDescent="0.3">
      <c r="A956" s="81" t="s">
        <v>906</v>
      </c>
      <c r="B956" s="81" t="s">
        <v>3762</v>
      </c>
      <c r="C956" s="81" t="s">
        <v>20</v>
      </c>
      <c r="D956" s="81" t="s">
        <v>16</v>
      </c>
      <c r="E956" s="81" t="s">
        <v>15</v>
      </c>
      <c r="F956" s="81" t="s">
        <v>911</v>
      </c>
      <c r="G956" s="81" t="s">
        <v>855</v>
      </c>
    </row>
    <row r="957" spans="1:7" x14ac:dyDescent="0.3">
      <c r="A957" s="81" t="s">
        <v>906</v>
      </c>
      <c r="B957" s="81" t="s">
        <v>3762</v>
      </c>
      <c r="C957" s="81" t="s">
        <v>20</v>
      </c>
      <c r="D957" s="81" t="s">
        <v>16</v>
      </c>
      <c r="E957" s="81" t="s">
        <v>15</v>
      </c>
      <c r="F957" s="81" t="s">
        <v>3865</v>
      </c>
      <c r="G957" s="81" t="s">
        <v>855</v>
      </c>
    </row>
    <row r="958" spans="1:7" x14ac:dyDescent="0.3">
      <c r="A958" s="81" t="s">
        <v>906</v>
      </c>
      <c r="B958" s="81" t="s">
        <v>3762</v>
      </c>
      <c r="C958" s="81" t="s">
        <v>16</v>
      </c>
      <c r="D958" s="81" t="s">
        <v>404</v>
      </c>
      <c r="E958" s="81" t="s">
        <v>369</v>
      </c>
      <c r="F958" s="81" t="s">
        <v>911</v>
      </c>
      <c r="G958" s="81" t="s">
        <v>3745</v>
      </c>
    </row>
    <row r="959" spans="1:7" x14ac:dyDescent="0.3">
      <c r="A959" s="81" t="s">
        <v>906</v>
      </c>
      <c r="B959" s="81" t="s">
        <v>3762</v>
      </c>
      <c r="C959" s="81" t="s">
        <v>16</v>
      </c>
      <c r="D959" s="81" t="s">
        <v>404</v>
      </c>
      <c r="E959" s="81" t="s">
        <v>369</v>
      </c>
      <c r="F959" s="81" t="s">
        <v>3869</v>
      </c>
      <c r="G959" s="81" t="s">
        <v>3745</v>
      </c>
    </row>
    <row r="960" spans="1:7" x14ac:dyDescent="0.3">
      <c r="A960" s="81" t="s">
        <v>906</v>
      </c>
      <c r="B960" s="81" t="s">
        <v>3762</v>
      </c>
      <c r="C960" s="81" t="s">
        <v>16</v>
      </c>
      <c r="D960" s="81" t="s">
        <v>404</v>
      </c>
      <c r="E960" s="81" t="s">
        <v>382</v>
      </c>
      <c r="F960" s="81" t="s">
        <v>911</v>
      </c>
      <c r="G960" s="81" t="s">
        <v>3746</v>
      </c>
    </row>
    <row r="961" spans="1:7" x14ac:dyDescent="0.3">
      <c r="A961" s="81" t="s">
        <v>906</v>
      </c>
      <c r="B961" s="81" t="s">
        <v>3762</v>
      </c>
      <c r="C961" s="81" t="s">
        <v>16</v>
      </c>
      <c r="D961" s="81" t="s">
        <v>404</v>
      </c>
      <c r="E961" s="81" t="s">
        <v>382</v>
      </c>
      <c r="F961" s="81" t="s">
        <v>3869</v>
      </c>
      <c r="G961" s="81" t="s">
        <v>3746</v>
      </c>
    </row>
    <row r="962" spans="1:7" x14ac:dyDescent="0.3">
      <c r="A962" s="81" t="s">
        <v>906</v>
      </c>
      <c r="B962" s="81" t="s">
        <v>3762</v>
      </c>
      <c r="C962" s="81" t="s">
        <v>16</v>
      </c>
      <c r="D962" s="81" t="s">
        <v>404</v>
      </c>
      <c r="E962" s="81" t="s">
        <v>370</v>
      </c>
      <c r="F962" s="81" t="s">
        <v>911</v>
      </c>
      <c r="G962" s="81" t="s">
        <v>3747</v>
      </c>
    </row>
    <row r="963" spans="1:7" x14ac:dyDescent="0.3">
      <c r="A963" s="81" t="s">
        <v>906</v>
      </c>
      <c r="B963" s="81" t="s">
        <v>3762</v>
      </c>
      <c r="C963" s="81" t="s">
        <v>16</v>
      </c>
      <c r="D963" s="81" t="s">
        <v>404</v>
      </c>
      <c r="E963" s="81" t="s">
        <v>370</v>
      </c>
      <c r="F963" s="81" t="s">
        <v>3869</v>
      </c>
      <c r="G963" s="81" t="s">
        <v>3747</v>
      </c>
    </row>
    <row r="964" spans="1:7" x14ac:dyDescent="0.3">
      <c r="A964" s="81" t="s">
        <v>906</v>
      </c>
      <c r="B964" s="81" t="s">
        <v>3762</v>
      </c>
      <c r="C964" s="81" t="s">
        <v>16</v>
      </c>
      <c r="D964" s="81" t="s">
        <v>404</v>
      </c>
      <c r="E964" s="81" t="s">
        <v>378</v>
      </c>
      <c r="F964" s="81" t="s">
        <v>911</v>
      </c>
      <c r="G964" s="81" t="s">
        <v>3748</v>
      </c>
    </row>
    <row r="965" spans="1:7" x14ac:dyDescent="0.3">
      <c r="A965" s="81" t="s">
        <v>906</v>
      </c>
      <c r="B965" s="81" t="s">
        <v>3762</v>
      </c>
      <c r="C965" s="81" t="s">
        <v>16</v>
      </c>
      <c r="D965" s="81" t="s">
        <v>404</v>
      </c>
      <c r="E965" s="81" t="s">
        <v>378</v>
      </c>
      <c r="F965" s="81" t="s">
        <v>3869</v>
      </c>
      <c r="G965" s="81" t="s">
        <v>3748</v>
      </c>
    </row>
    <row r="966" spans="1:7" x14ac:dyDescent="0.3">
      <c r="A966" s="81" t="s">
        <v>906</v>
      </c>
      <c r="B966" s="81" t="s">
        <v>3762</v>
      </c>
      <c r="C966" s="81" t="s">
        <v>16</v>
      </c>
      <c r="D966" s="81" t="s">
        <v>404</v>
      </c>
      <c r="E966" s="81" t="s">
        <v>371</v>
      </c>
      <c r="F966" s="81" t="s">
        <v>911</v>
      </c>
      <c r="G966" s="81" t="s">
        <v>3749</v>
      </c>
    </row>
    <row r="967" spans="1:7" x14ac:dyDescent="0.3">
      <c r="A967" s="81" t="s">
        <v>906</v>
      </c>
      <c r="B967" s="81" t="s">
        <v>3762</v>
      </c>
      <c r="C967" s="81" t="s">
        <v>16</v>
      </c>
      <c r="D967" s="81" t="s">
        <v>404</v>
      </c>
      <c r="E967" s="81" t="s">
        <v>371</v>
      </c>
      <c r="F967" s="81" t="s">
        <v>3869</v>
      </c>
      <c r="G967" s="81" t="s">
        <v>3749</v>
      </c>
    </row>
    <row r="968" spans="1:7" x14ac:dyDescent="0.3">
      <c r="A968" s="81" t="s">
        <v>906</v>
      </c>
      <c r="B968" s="81" t="s">
        <v>3762</v>
      </c>
      <c r="C968" s="81" t="s">
        <v>16</v>
      </c>
      <c r="D968" s="81" t="s">
        <v>404</v>
      </c>
      <c r="E968" s="81" t="s">
        <v>376</v>
      </c>
      <c r="F968" s="81" t="s">
        <v>911</v>
      </c>
      <c r="G968" s="81" t="s">
        <v>3750</v>
      </c>
    </row>
    <row r="969" spans="1:7" x14ac:dyDescent="0.3">
      <c r="A969" s="81" t="s">
        <v>906</v>
      </c>
      <c r="B969" s="81" t="s">
        <v>3762</v>
      </c>
      <c r="C969" s="81" t="s">
        <v>16</v>
      </c>
      <c r="D969" s="81" t="s">
        <v>404</v>
      </c>
      <c r="E969" s="81" t="s">
        <v>376</v>
      </c>
      <c r="F969" s="81" t="s">
        <v>3869</v>
      </c>
      <c r="G969" s="81" t="s">
        <v>3750</v>
      </c>
    </row>
    <row r="970" spans="1:7" x14ac:dyDescent="0.3">
      <c r="A970" s="81" t="s">
        <v>906</v>
      </c>
      <c r="B970" s="81" t="s">
        <v>3762</v>
      </c>
      <c r="C970" s="81" t="s">
        <v>16</v>
      </c>
      <c r="D970" s="81" t="s">
        <v>404</v>
      </c>
      <c r="E970" s="81" t="s">
        <v>377</v>
      </c>
      <c r="F970" s="81" t="s">
        <v>911</v>
      </c>
      <c r="G970" s="81" t="s">
        <v>3751</v>
      </c>
    </row>
    <row r="971" spans="1:7" x14ac:dyDescent="0.3">
      <c r="A971" s="81" t="s">
        <v>906</v>
      </c>
      <c r="B971" s="81" t="s">
        <v>3762</v>
      </c>
      <c r="C971" s="81" t="s">
        <v>16</v>
      </c>
      <c r="D971" s="81" t="s">
        <v>404</v>
      </c>
      <c r="E971" s="81" t="s">
        <v>377</v>
      </c>
      <c r="F971" s="81" t="s">
        <v>3869</v>
      </c>
      <c r="G971" s="81" t="s">
        <v>3751</v>
      </c>
    </row>
    <row r="972" spans="1:7" x14ac:dyDescent="0.3">
      <c r="A972" s="81" t="s">
        <v>906</v>
      </c>
      <c r="B972" s="81" t="s">
        <v>3762</v>
      </c>
      <c r="C972" s="81" t="s">
        <v>16</v>
      </c>
      <c r="D972" s="81" t="s">
        <v>404</v>
      </c>
      <c r="E972" s="81" t="s">
        <v>381</v>
      </c>
      <c r="F972" s="81" t="s">
        <v>911</v>
      </c>
      <c r="G972" s="81" t="s">
        <v>3752</v>
      </c>
    </row>
    <row r="973" spans="1:7" x14ac:dyDescent="0.3">
      <c r="A973" s="81" t="s">
        <v>906</v>
      </c>
      <c r="B973" s="81" t="s">
        <v>3762</v>
      </c>
      <c r="C973" s="81" t="s">
        <v>16</v>
      </c>
      <c r="D973" s="81" t="s">
        <v>404</v>
      </c>
      <c r="E973" s="81" t="s">
        <v>381</v>
      </c>
      <c r="F973" s="81" t="s">
        <v>3869</v>
      </c>
      <c r="G973" s="81" t="s">
        <v>3752</v>
      </c>
    </row>
    <row r="974" spans="1:7" x14ac:dyDescent="0.3">
      <c r="A974" s="81" t="s">
        <v>906</v>
      </c>
      <c r="B974" s="81" t="s">
        <v>3762</v>
      </c>
      <c r="C974" s="81" t="s">
        <v>16</v>
      </c>
      <c r="D974" s="81" t="s">
        <v>404</v>
      </c>
      <c r="E974" s="81" t="s">
        <v>379</v>
      </c>
      <c r="F974" s="81" t="s">
        <v>911</v>
      </c>
      <c r="G974" s="81" t="s">
        <v>3753</v>
      </c>
    </row>
    <row r="975" spans="1:7" x14ac:dyDescent="0.3">
      <c r="A975" s="81" t="s">
        <v>906</v>
      </c>
      <c r="B975" s="81" t="s">
        <v>3762</v>
      </c>
      <c r="C975" s="81" t="s">
        <v>16</v>
      </c>
      <c r="D975" s="81" t="s">
        <v>404</v>
      </c>
      <c r="E975" s="81" t="s">
        <v>379</v>
      </c>
      <c r="F975" s="81" t="s">
        <v>3869</v>
      </c>
      <c r="G975" s="81" t="s">
        <v>3753</v>
      </c>
    </row>
    <row r="976" spans="1:7" x14ac:dyDescent="0.3">
      <c r="A976" s="81" t="s">
        <v>906</v>
      </c>
      <c r="B976" s="81" t="s">
        <v>3762</v>
      </c>
      <c r="C976" s="81" t="s">
        <v>16</v>
      </c>
      <c r="D976" s="81" t="s">
        <v>404</v>
      </c>
      <c r="E976" s="81" t="s">
        <v>374</v>
      </c>
      <c r="F976" s="81" t="s">
        <v>911</v>
      </c>
      <c r="G976" s="81" t="s">
        <v>3754</v>
      </c>
    </row>
    <row r="977" spans="1:7" x14ac:dyDescent="0.3">
      <c r="A977" s="81" t="s">
        <v>906</v>
      </c>
      <c r="B977" s="81" t="s">
        <v>3762</v>
      </c>
      <c r="C977" s="81" t="s">
        <v>16</v>
      </c>
      <c r="D977" s="81" t="s">
        <v>404</v>
      </c>
      <c r="E977" s="81" t="s">
        <v>374</v>
      </c>
      <c r="F977" s="81" t="s">
        <v>3869</v>
      </c>
      <c r="G977" s="81" t="s">
        <v>3754</v>
      </c>
    </row>
    <row r="978" spans="1:7" x14ac:dyDescent="0.3">
      <c r="A978" s="81" t="s">
        <v>906</v>
      </c>
      <c r="B978" s="81" t="s">
        <v>3762</v>
      </c>
      <c r="C978" s="81" t="s">
        <v>16</v>
      </c>
      <c r="D978" s="81" t="s">
        <v>404</v>
      </c>
      <c r="E978" s="81" t="s">
        <v>383</v>
      </c>
      <c r="F978" s="81" t="s">
        <v>911</v>
      </c>
      <c r="G978" s="81" t="s">
        <v>3755</v>
      </c>
    </row>
    <row r="979" spans="1:7" x14ac:dyDescent="0.3">
      <c r="A979" s="81" t="s">
        <v>906</v>
      </c>
      <c r="B979" s="81" t="s">
        <v>3762</v>
      </c>
      <c r="C979" s="81" t="s">
        <v>16</v>
      </c>
      <c r="D979" s="81" t="s">
        <v>404</v>
      </c>
      <c r="E979" s="81" t="s">
        <v>383</v>
      </c>
      <c r="F979" s="81" t="s">
        <v>3869</v>
      </c>
      <c r="G979" s="81" t="s">
        <v>3755</v>
      </c>
    </row>
    <row r="980" spans="1:7" x14ac:dyDescent="0.3">
      <c r="A980" s="81" t="s">
        <v>906</v>
      </c>
      <c r="B980" s="81" t="s">
        <v>3762</v>
      </c>
      <c r="C980" s="81" t="s">
        <v>16</v>
      </c>
      <c r="D980" s="81" t="s">
        <v>404</v>
      </c>
      <c r="E980" s="81" t="s">
        <v>373</v>
      </c>
      <c r="F980" s="81" t="s">
        <v>911</v>
      </c>
      <c r="G980" s="81" t="s">
        <v>3756</v>
      </c>
    </row>
    <row r="981" spans="1:7" x14ac:dyDescent="0.3">
      <c r="A981" s="81" t="s">
        <v>906</v>
      </c>
      <c r="B981" s="81" t="s">
        <v>3762</v>
      </c>
      <c r="C981" s="81" t="s">
        <v>16</v>
      </c>
      <c r="D981" s="81" t="s">
        <v>404</v>
      </c>
      <c r="E981" s="81" t="s">
        <v>373</v>
      </c>
      <c r="F981" s="81" t="s">
        <v>3869</v>
      </c>
      <c r="G981" s="81" t="s">
        <v>3756</v>
      </c>
    </row>
    <row r="982" spans="1:7" x14ac:dyDescent="0.3">
      <c r="A982" s="81" t="s">
        <v>906</v>
      </c>
      <c r="B982" s="81" t="s">
        <v>3762</v>
      </c>
      <c r="C982" s="81" t="s">
        <v>16</v>
      </c>
      <c r="D982" s="81" t="s">
        <v>404</v>
      </c>
      <c r="E982" s="81" t="s">
        <v>368</v>
      </c>
      <c r="F982" s="81" t="s">
        <v>911</v>
      </c>
      <c r="G982" s="81" t="s">
        <v>3757</v>
      </c>
    </row>
    <row r="983" spans="1:7" x14ac:dyDescent="0.3">
      <c r="A983" s="81" t="s">
        <v>906</v>
      </c>
      <c r="B983" s="81" t="s">
        <v>3762</v>
      </c>
      <c r="C983" s="81" t="s">
        <v>16</v>
      </c>
      <c r="D983" s="81" t="s">
        <v>404</v>
      </c>
      <c r="E983" s="81" t="s">
        <v>368</v>
      </c>
      <c r="F983" s="81" t="s">
        <v>3869</v>
      </c>
      <c r="G983" s="81" t="s">
        <v>3757</v>
      </c>
    </row>
    <row r="984" spans="1:7" x14ac:dyDescent="0.3">
      <c r="A984" s="81" t="s">
        <v>906</v>
      </c>
      <c r="B984" s="81" t="s">
        <v>3762</v>
      </c>
      <c r="C984" s="81" t="s">
        <v>16</v>
      </c>
      <c r="D984" s="81" t="s">
        <v>404</v>
      </c>
      <c r="E984" s="81" t="s">
        <v>372</v>
      </c>
      <c r="F984" s="81" t="s">
        <v>911</v>
      </c>
      <c r="G984" s="81" t="s">
        <v>3758</v>
      </c>
    </row>
    <row r="985" spans="1:7" x14ac:dyDescent="0.3">
      <c r="A985" s="81" t="s">
        <v>906</v>
      </c>
      <c r="B985" s="81" t="s">
        <v>3762</v>
      </c>
      <c r="C985" s="81" t="s">
        <v>16</v>
      </c>
      <c r="D985" s="81" t="s">
        <v>404</v>
      </c>
      <c r="E985" s="81" t="s">
        <v>372</v>
      </c>
      <c r="F985" s="81" t="s">
        <v>3869</v>
      </c>
      <c r="G985" s="81" t="s">
        <v>3758</v>
      </c>
    </row>
    <row r="986" spans="1:7" x14ac:dyDescent="0.3">
      <c r="A986" s="81" t="s">
        <v>906</v>
      </c>
      <c r="B986" s="81" t="s">
        <v>3762</v>
      </c>
      <c r="C986" s="81" t="s">
        <v>16</v>
      </c>
      <c r="D986" s="81" t="s">
        <v>404</v>
      </c>
      <c r="E986" s="81" t="s">
        <v>375</v>
      </c>
      <c r="F986" s="81" t="s">
        <v>911</v>
      </c>
      <c r="G986" s="81" t="s">
        <v>3759</v>
      </c>
    </row>
    <row r="987" spans="1:7" x14ac:dyDescent="0.3">
      <c r="A987" s="81" t="s">
        <v>906</v>
      </c>
      <c r="B987" s="81" t="s">
        <v>3762</v>
      </c>
      <c r="C987" s="81" t="s">
        <v>16</v>
      </c>
      <c r="D987" s="81" t="s">
        <v>404</v>
      </c>
      <c r="E987" s="81" t="s">
        <v>375</v>
      </c>
      <c r="F987" s="81" t="s">
        <v>3869</v>
      </c>
      <c r="G987" s="81" t="s">
        <v>3759</v>
      </c>
    </row>
    <row r="988" spans="1:7" x14ac:dyDescent="0.3">
      <c r="A988" s="81" t="s">
        <v>906</v>
      </c>
      <c r="B988" s="81" t="s">
        <v>3762</v>
      </c>
      <c r="C988" s="81" t="s">
        <v>16</v>
      </c>
      <c r="D988" s="81" t="s">
        <v>404</v>
      </c>
      <c r="E988" s="81" t="s">
        <v>380</v>
      </c>
      <c r="F988" s="81" t="s">
        <v>911</v>
      </c>
      <c r="G988" s="81" t="s">
        <v>3760</v>
      </c>
    </row>
    <row r="989" spans="1:7" x14ac:dyDescent="0.3">
      <c r="A989" s="81" t="s">
        <v>906</v>
      </c>
      <c r="B989" s="81" t="s">
        <v>3762</v>
      </c>
      <c r="C989" s="81" t="s">
        <v>16</v>
      </c>
      <c r="D989" s="81" t="s">
        <v>404</v>
      </c>
      <c r="E989" s="81" t="s">
        <v>380</v>
      </c>
      <c r="F989" s="81" t="s">
        <v>3869</v>
      </c>
      <c r="G989" s="81" t="s">
        <v>3760</v>
      </c>
    </row>
    <row r="990" spans="1:7" x14ac:dyDescent="0.3">
      <c r="A990" s="81" t="s">
        <v>1521</v>
      </c>
      <c r="B990" s="81" t="s">
        <v>933</v>
      </c>
      <c r="C990" s="81" t="s">
        <v>20</v>
      </c>
      <c r="D990" s="81" t="s">
        <v>16</v>
      </c>
      <c r="E990" s="81" t="s">
        <v>15</v>
      </c>
      <c r="F990" s="81" t="s">
        <v>936</v>
      </c>
      <c r="G990" s="81" t="s">
        <v>855</v>
      </c>
    </row>
    <row r="991" spans="1:7" x14ac:dyDescent="0.3">
      <c r="A991" s="81" t="s">
        <v>1521</v>
      </c>
      <c r="B991" s="81" t="s">
        <v>933</v>
      </c>
      <c r="C991" s="81" t="s">
        <v>20</v>
      </c>
      <c r="D991" s="81" t="s">
        <v>404</v>
      </c>
      <c r="E991" s="81" t="s">
        <v>15</v>
      </c>
      <c r="F991" s="81" t="s">
        <v>936</v>
      </c>
      <c r="G991" s="81">
        <v>0</v>
      </c>
    </row>
    <row r="992" spans="1:7" x14ac:dyDescent="0.3">
      <c r="A992" s="81" t="s">
        <v>1521</v>
      </c>
      <c r="B992" s="81" t="s">
        <v>933</v>
      </c>
      <c r="C992" s="81" t="s">
        <v>20</v>
      </c>
      <c r="D992" s="81" t="s">
        <v>404</v>
      </c>
      <c r="E992" s="81" t="s">
        <v>15</v>
      </c>
      <c r="F992" s="81" t="s">
        <v>4011</v>
      </c>
      <c r="G992" s="81" t="s">
        <v>855</v>
      </c>
    </row>
    <row r="993" spans="1:7" x14ac:dyDescent="0.3">
      <c r="A993" s="81" t="s">
        <v>1521</v>
      </c>
      <c r="B993" s="81" t="s">
        <v>933</v>
      </c>
      <c r="C993" s="81" t="s">
        <v>16</v>
      </c>
      <c r="D993" s="81" t="s">
        <v>404</v>
      </c>
      <c r="E993" s="81" t="s">
        <v>369</v>
      </c>
      <c r="F993" s="81" t="s">
        <v>936</v>
      </c>
      <c r="G993" s="81" t="s">
        <v>3745</v>
      </c>
    </row>
    <row r="994" spans="1:7" x14ac:dyDescent="0.3">
      <c r="A994" s="81" t="s">
        <v>1521</v>
      </c>
      <c r="B994" s="81" t="s">
        <v>933</v>
      </c>
      <c r="C994" s="81" t="s">
        <v>16</v>
      </c>
      <c r="D994" s="81" t="s">
        <v>404</v>
      </c>
      <c r="E994" s="81" t="s">
        <v>369</v>
      </c>
      <c r="F994" s="81" t="s">
        <v>4011</v>
      </c>
      <c r="G994" s="81" t="s">
        <v>3745</v>
      </c>
    </row>
    <row r="995" spans="1:7" x14ac:dyDescent="0.3">
      <c r="A995" s="81" t="s">
        <v>1521</v>
      </c>
      <c r="B995" s="81" t="s">
        <v>933</v>
      </c>
      <c r="C995" s="81" t="s">
        <v>16</v>
      </c>
      <c r="D995" s="81" t="s">
        <v>404</v>
      </c>
      <c r="E995" s="81" t="s">
        <v>382</v>
      </c>
      <c r="F995" s="81" t="s">
        <v>936</v>
      </c>
      <c r="G995" s="81" t="s">
        <v>3746</v>
      </c>
    </row>
    <row r="996" spans="1:7" x14ac:dyDescent="0.3">
      <c r="A996" s="81" t="s">
        <v>1521</v>
      </c>
      <c r="B996" s="81" t="s">
        <v>933</v>
      </c>
      <c r="C996" s="81" t="s">
        <v>16</v>
      </c>
      <c r="D996" s="81" t="s">
        <v>404</v>
      </c>
      <c r="E996" s="81" t="s">
        <v>382</v>
      </c>
      <c r="F996" s="81" t="s">
        <v>4011</v>
      </c>
      <c r="G996" s="81" t="s">
        <v>3746</v>
      </c>
    </row>
    <row r="997" spans="1:7" x14ac:dyDescent="0.3">
      <c r="A997" s="81" t="s">
        <v>1521</v>
      </c>
      <c r="B997" s="81" t="s">
        <v>933</v>
      </c>
      <c r="C997" s="81" t="s">
        <v>16</v>
      </c>
      <c r="D997" s="81" t="s">
        <v>404</v>
      </c>
      <c r="E997" s="81" t="s">
        <v>370</v>
      </c>
      <c r="F997" s="81" t="s">
        <v>936</v>
      </c>
      <c r="G997" s="81" t="s">
        <v>3747</v>
      </c>
    </row>
    <row r="998" spans="1:7" x14ac:dyDescent="0.3">
      <c r="A998" s="81" t="s">
        <v>1521</v>
      </c>
      <c r="B998" s="81" t="s">
        <v>933</v>
      </c>
      <c r="C998" s="81" t="s">
        <v>16</v>
      </c>
      <c r="D998" s="81" t="s">
        <v>404</v>
      </c>
      <c r="E998" s="81" t="s">
        <v>370</v>
      </c>
      <c r="F998" s="81" t="s">
        <v>4011</v>
      </c>
      <c r="G998" s="81" t="s">
        <v>3747</v>
      </c>
    </row>
    <row r="999" spans="1:7" x14ac:dyDescent="0.3">
      <c r="A999" s="81" t="s">
        <v>1521</v>
      </c>
      <c r="B999" s="81" t="s">
        <v>933</v>
      </c>
      <c r="C999" s="81" t="s">
        <v>16</v>
      </c>
      <c r="D999" s="81" t="s">
        <v>404</v>
      </c>
      <c r="E999" s="81" t="s">
        <v>378</v>
      </c>
      <c r="F999" s="81" t="s">
        <v>936</v>
      </c>
      <c r="G999" s="81" t="s">
        <v>3748</v>
      </c>
    </row>
    <row r="1000" spans="1:7" x14ac:dyDescent="0.3">
      <c r="A1000" s="81" t="s">
        <v>1521</v>
      </c>
      <c r="B1000" s="81" t="s">
        <v>933</v>
      </c>
      <c r="C1000" s="81" t="s">
        <v>16</v>
      </c>
      <c r="D1000" s="81" t="s">
        <v>404</v>
      </c>
      <c r="E1000" s="81" t="s">
        <v>378</v>
      </c>
      <c r="F1000" s="81" t="s">
        <v>4011</v>
      </c>
      <c r="G1000" s="81" t="s">
        <v>3748</v>
      </c>
    </row>
    <row r="1001" spans="1:7" x14ac:dyDescent="0.3">
      <c r="A1001" s="81" t="s">
        <v>1521</v>
      </c>
      <c r="B1001" s="81" t="s">
        <v>933</v>
      </c>
      <c r="C1001" s="81" t="s">
        <v>16</v>
      </c>
      <c r="D1001" s="81" t="s">
        <v>404</v>
      </c>
      <c r="E1001" s="81" t="s">
        <v>371</v>
      </c>
      <c r="F1001" s="81" t="s">
        <v>936</v>
      </c>
      <c r="G1001" s="81" t="s">
        <v>3749</v>
      </c>
    </row>
    <row r="1002" spans="1:7" x14ac:dyDescent="0.3">
      <c r="A1002" s="81" t="s">
        <v>1521</v>
      </c>
      <c r="B1002" s="81" t="s">
        <v>933</v>
      </c>
      <c r="C1002" s="81" t="s">
        <v>16</v>
      </c>
      <c r="D1002" s="81" t="s">
        <v>404</v>
      </c>
      <c r="E1002" s="81" t="s">
        <v>371</v>
      </c>
      <c r="F1002" s="81" t="s">
        <v>4011</v>
      </c>
      <c r="G1002" s="81" t="s">
        <v>3749</v>
      </c>
    </row>
    <row r="1003" spans="1:7" x14ac:dyDescent="0.3">
      <c r="A1003" s="81" t="s">
        <v>1521</v>
      </c>
      <c r="B1003" s="81" t="s">
        <v>933</v>
      </c>
      <c r="C1003" s="81" t="s">
        <v>16</v>
      </c>
      <c r="D1003" s="81" t="s">
        <v>404</v>
      </c>
      <c r="E1003" s="81" t="s">
        <v>376</v>
      </c>
      <c r="F1003" s="81" t="s">
        <v>936</v>
      </c>
      <c r="G1003" s="81" t="s">
        <v>3750</v>
      </c>
    </row>
    <row r="1004" spans="1:7" x14ac:dyDescent="0.3">
      <c r="A1004" s="81" t="s">
        <v>1521</v>
      </c>
      <c r="B1004" s="81" t="s">
        <v>933</v>
      </c>
      <c r="C1004" s="81" t="s">
        <v>16</v>
      </c>
      <c r="D1004" s="81" t="s">
        <v>404</v>
      </c>
      <c r="E1004" s="81" t="s">
        <v>376</v>
      </c>
      <c r="F1004" s="81" t="s">
        <v>4011</v>
      </c>
      <c r="G1004" s="81" t="s">
        <v>3750</v>
      </c>
    </row>
    <row r="1005" spans="1:7" x14ac:dyDescent="0.3">
      <c r="A1005" s="81" t="s">
        <v>1521</v>
      </c>
      <c r="B1005" s="81" t="s">
        <v>933</v>
      </c>
      <c r="C1005" s="81" t="s">
        <v>16</v>
      </c>
      <c r="D1005" s="81" t="s">
        <v>404</v>
      </c>
      <c r="E1005" s="81" t="s">
        <v>377</v>
      </c>
      <c r="F1005" s="81" t="s">
        <v>936</v>
      </c>
      <c r="G1005" s="81" t="s">
        <v>3751</v>
      </c>
    </row>
    <row r="1006" spans="1:7" x14ac:dyDescent="0.3">
      <c r="A1006" s="81" t="s">
        <v>1521</v>
      </c>
      <c r="B1006" s="81" t="s">
        <v>933</v>
      </c>
      <c r="C1006" s="81" t="s">
        <v>16</v>
      </c>
      <c r="D1006" s="81" t="s">
        <v>404</v>
      </c>
      <c r="E1006" s="81" t="s">
        <v>377</v>
      </c>
      <c r="F1006" s="81" t="s">
        <v>4011</v>
      </c>
      <c r="G1006" s="81" t="s">
        <v>3751</v>
      </c>
    </row>
    <row r="1007" spans="1:7" x14ac:dyDescent="0.3">
      <c r="A1007" s="81" t="s">
        <v>1521</v>
      </c>
      <c r="B1007" s="81" t="s">
        <v>933</v>
      </c>
      <c r="C1007" s="81" t="s">
        <v>16</v>
      </c>
      <c r="D1007" s="81" t="s">
        <v>404</v>
      </c>
      <c r="E1007" s="81" t="s">
        <v>381</v>
      </c>
      <c r="F1007" s="81" t="s">
        <v>936</v>
      </c>
      <c r="G1007" s="81" t="s">
        <v>3752</v>
      </c>
    </row>
    <row r="1008" spans="1:7" x14ac:dyDescent="0.3">
      <c r="A1008" s="81" t="s">
        <v>1521</v>
      </c>
      <c r="B1008" s="81" t="s">
        <v>933</v>
      </c>
      <c r="C1008" s="81" t="s">
        <v>16</v>
      </c>
      <c r="D1008" s="81" t="s">
        <v>404</v>
      </c>
      <c r="E1008" s="81" t="s">
        <v>381</v>
      </c>
      <c r="F1008" s="81" t="s">
        <v>4011</v>
      </c>
      <c r="G1008" s="81" t="s">
        <v>3752</v>
      </c>
    </row>
    <row r="1009" spans="1:7" x14ac:dyDescent="0.3">
      <c r="A1009" s="81" t="s">
        <v>1521</v>
      </c>
      <c r="B1009" s="81" t="s">
        <v>933</v>
      </c>
      <c r="C1009" s="81" t="s">
        <v>16</v>
      </c>
      <c r="D1009" s="81" t="s">
        <v>404</v>
      </c>
      <c r="E1009" s="81" t="s">
        <v>379</v>
      </c>
      <c r="F1009" s="81" t="s">
        <v>936</v>
      </c>
      <c r="G1009" s="81" t="s">
        <v>3753</v>
      </c>
    </row>
    <row r="1010" spans="1:7" x14ac:dyDescent="0.3">
      <c r="A1010" s="81" t="s">
        <v>1521</v>
      </c>
      <c r="B1010" s="81" t="s">
        <v>933</v>
      </c>
      <c r="C1010" s="81" t="s">
        <v>16</v>
      </c>
      <c r="D1010" s="81" t="s">
        <v>404</v>
      </c>
      <c r="E1010" s="81" t="s">
        <v>379</v>
      </c>
      <c r="F1010" s="81" t="s">
        <v>4011</v>
      </c>
      <c r="G1010" s="81" t="s">
        <v>3753</v>
      </c>
    </row>
    <row r="1011" spans="1:7" x14ac:dyDescent="0.3">
      <c r="A1011" s="81" t="s">
        <v>1521</v>
      </c>
      <c r="B1011" s="81" t="s">
        <v>933</v>
      </c>
      <c r="C1011" s="81" t="s">
        <v>16</v>
      </c>
      <c r="D1011" s="81" t="s">
        <v>404</v>
      </c>
      <c r="E1011" s="81" t="s">
        <v>374</v>
      </c>
      <c r="F1011" s="81" t="s">
        <v>936</v>
      </c>
      <c r="G1011" s="81" t="s">
        <v>3754</v>
      </c>
    </row>
    <row r="1012" spans="1:7" x14ac:dyDescent="0.3">
      <c r="A1012" s="81" t="s">
        <v>1521</v>
      </c>
      <c r="B1012" s="81" t="s">
        <v>933</v>
      </c>
      <c r="C1012" s="81" t="s">
        <v>16</v>
      </c>
      <c r="D1012" s="81" t="s">
        <v>404</v>
      </c>
      <c r="E1012" s="81" t="s">
        <v>374</v>
      </c>
      <c r="F1012" s="81" t="s">
        <v>4011</v>
      </c>
      <c r="G1012" s="81" t="s">
        <v>3754</v>
      </c>
    </row>
    <row r="1013" spans="1:7" x14ac:dyDescent="0.3">
      <c r="A1013" s="81" t="s">
        <v>1521</v>
      </c>
      <c r="B1013" s="81" t="s">
        <v>933</v>
      </c>
      <c r="C1013" s="81" t="s">
        <v>16</v>
      </c>
      <c r="D1013" s="81" t="s">
        <v>404</v>
      </c>
      <c r="E1013" s="81" t="s">
        <v>383</v>
      </c>
      <c r="F1013" s="81" t="s">
        <v>936</v>
      </c>
      <c r="G1013" s="81" t="s">
        <v>3755</v>
      </c>
    </row>
    <row r="1014" spans="1:7" x14ac:dyDescent="0.3">
      <c r="A1014" s="81" t="s">
        <v>1521</v>
      </c>
      <c r="B1014" s="81" t="s">
        <v>933</v>
      </c>
      <c r="C1014" s="81" t="s">
        <v>16</v>
      </c>
      <c r="D1014" s="81" t="s">
        <v>404</v>
      </c>
      <c r="E1014" s="81" t="s">
        <v>383</v>
      </c>
      <c r="F1014" s="81" t="s">
        <v>4011</v>
      </c>
      <c r="G1014" s="81" t="s">
        <v>3755</v>
      </c>
    </row>
    <row r="1015" spans="1:7" x14ac:dyDescent="0.3">
      <c r="A1015" s="81" t="s">
        <v>1521</v>
      </c>
      <c r="B1015" s="81" t="s">
        <v>933</v>
      </c>
      <c r="C1015" s="81" t="s">
        <v>16</v>
      </c>
      <c r="D1015" s="81" t="s">
        <v>404</v>
      </c>
      <c r="E1015" s="81" t="s">
        <v>373</v>
      </c>
      <c r="F1015" s="81" t="s">
        <v>936</v>
      </c>
      <c r="G1015" s="81" t="s">
        <v>3756</v>
      </c>
    </row>
    <row r="1016" spans="1:7" x14ac:dyDescent="0.3">
      <c r="A1016" s="81" t="s">
        <v>1521</v>
      </c>
      <c r="B1016" s="81" t="s">
        <v>933</v>
      </c>
      <c r="C1016" s="81" t="s">
        <v>16</v>
      </c>
      <c r="D1016" s="81" t="s">
        <v>404</v>
      </c>
      <c r="E1016" s="81" t="s">
        <v>373</v>
      </c>
      <c r="F1016" s="81" t="s">
        <v>4011</v>
      </c>
      <c r="G1016" s="81" t="s">
        <v>3756</v>
      </c>
    </row>
    <row r="1017" spans="1:7" x14ac:dyDescent="0.3">
      <c r="A1017" s="81" t="s">
        <v>1521</v>
      </c>
      <c r="B1017" s="81" t="s">
        <v>933</v>
      </c>
      <c r="C1017" s="81" t="s">
        <v>16</v>
      </c>
      <c r="D1017" s="81" t="s">
        <v>404</v>
      </c>
      <c r="E1017" s="81" t="s">
        <v>368</v>
      </c>
      <c r="F1017" s="81" t="s">
        <v>936</v>
      </c>
      <c r="G1017" s="81" t="s">
        <v>3757</v>
      </c>
    </row>
    <row r="1018" spans="1:7" x14ac:dyDescent="0.3">
      <c r="A1018" s="81" t="s">
        <v>1521</v>
      </c>
      <c r="B1018" s="81" t="s">
        <v>933</v>
      </c>
      <c r="C1018" s="81" t="s">
        <v>16</v>
      </c>
      <c r="D1018" s="81" t="s">
        <v>404</v>
      </c>
      <c r="E1018" s="81" t="s">
        <v>368</v>
      </c>
      <c r="F1018" s="81" t="s">
        <v>4011</v>
      </c>
      <c r="G1018" s="81" t="s">
        <v>3757</v>
      </c>
    </row>
    <row r="1019" spans="1:7" x14ac:dyDescent="0.3">
      <c r="A1019" s="81" t="s">
        <v>1521</v>
      </c>
      <c r="B1019" s="81" t="s">
        <v>933</v>
      </c>
      <c r="C1019" s="81" t="s">
        <v>16</v>
      </c>
      <c r="D1019" s="81" t="s">
        <v>404</v>
      </c>
      <c r="E1019" s="81" t="s">
        <v>372</v>
      </c>
      <c r="F1019" s="81" t="s">
        <v>936</v>
      </c>
      <c r="G1019" s="81" t="s">
        <v>3758</v>
      </c>
    </row>
    <row r="1020" spans="1:7" x14ac:dyDescent="0.3">
      <c r="A1020" s="81" t="s">
        <v>1521</v>
      </c>
      <c r="B1020" s="81" t="s">
        <v>933</v>
      </c>
      <c r="C1020" s="81" t="s">
        <v>16</v>
      </c>
      <c r="D1020" s="81" t="s">
        <v>404</v>
      </c>
      <c r="E1020" s="81" t="s">
        <v>372</v>
      </c>
      <c r="F1020" s="81" t="s">
        <v>4011</v>
      </c>
      <c r="G1020" s="81" t="s">
        <v>3758</v>
      </c>
    </row>
    <row r="1021" spans="1:7" x14ac:dyDescent="0.3">
      <c r="A1021" s="81" t="s">
        <v>1521</v>
      </c>
      <c r="B1021" s="81" t="s">
        <v>933</v>
      </c>
      <c r="C1021" s="81" t="s">
        <v>16</v>
      </c>
      <c r="D1021" s="81" t="s">
        <v>404</v>
      </c>
      <c r="E1021" s="81" t="s">
        <v>375</v>
      </c>
      <c r="F1021" s="81" t="s">
        <v>936</v>
      </c>
      <c r="G1021" s="81" t="s">
        <v>3759</v>
      </c>
    </row>
    <row r="1022" spans="1:7" x14ac:dyDescent="0.3">
      <c r="A1022" s="81" t="s">
        <v>1521</v>
      </c>
      <c r="B1022" s="81" t="s">
        <v>933</v>
      </c>
      <c r="C1022" s="81" t="s">
        <v>16</v>
      </c>
      <c r="D1022" s="81" t="s">
        <v>404</v>
      </c>
      <c r="E1022" s="81" t="s">
        <v>375</v>
      </c>
      <c r="F1022" s="81" t="s">
        <v>4011</v>
      </c>
      <c r="G1022" s="81" t="s">
        <v>3759</v>
      </c>
    </row>
    <row r="1023" spans="1:7" x14ac:dyDescent="0.3">
      <c r="A1023" s="81" t="s">
        <v>1521</v>
      </c>
      <c r="B1023" s="81" t="s">
        <v>933</v>
      </c>
      <c r="C1023" s="81" t="s">
        <v>16</v>
      </c>
      <c r="D1023" s="81" t="s">
        <v>404</v>
      </c>
      <c r="E1023" s="81" t="s">
        <v>380</v>
      </c>
      <c r="F1023" s="81" t="s">
        <v>936</v>
      </c>
      <c r="G1023" s="81" t="s">
        <v>3760</v>
      </c>
    </row>
    <row r="1024" spans="1:7" x14ac:dyDescent="0.3">
      <c r="A1024" s="81" t="s">
        <v>1521</v>
      </c>
      <c r="B1024" s="81" t="s">
        <v>933</v>
      </c>
      <c r="C1024" s="81" t="s">
        <v>16</v>
      </c>
      <c r="D1024" s="81" t="s">
        <v>404</v>
      </c>
      <c r="E1024" s="81" t="s">
        <v>380</v>
      </c>
      <c r="F1024" s="81" t="s">
        <v>4011</v>
      </c>
      <c r="G1024" s="81" t="s">
        <v>3760</v>
      </c>
    </row>
    <row r="1025" spans="1:7" x14ac:dyDescent="0.3">
      <c r="A1025" s="81" t="s">
        <v>1010</v>
      </c>
      <c r="B1025" s="81" t="s">
        <v>3763</v>
      </c>
      <c r="C1025" s="81" t="s">
        <v>20</v>
      </c>
      <c r="D1025" s="81" t="s">
        <v>404</v>
      </c>
      <c r="E1025" s="81" t="s">
        <v>15</v>
      </c>
      <c r="F1025" s="81" t="s">
        <v>1011</v>
      </c>
      <c r="G1025" s="81">
        <v>0</v>
      </c>
    </row>
    <row r="1026" spans="1:7" x14ac:dyDescent="0.3">
      <c r="A1026" s="81" t="s">
        <v>1010</v>
      </c>
      <c r="B1026" s="81" t="s">
        <v>4099</v>
      </c>
      <c r="C1026" s="81" t="s">
        <v>20</v>
      </c>
      <c r="D1026" s="81" t="s">
        <v>16</v>
      </c>
      <c r="E1026" s="81" t="s">
        <v>15</v>
      </c>
      <c r="F1026" s="81" t="s">
        <v>4116</v>
      </c>
      <c r="G1026" s="81" t="s">
        <v>855</v>
      </c>
    </row>
    <row r="1027" spans="1:7" x14ac:dyDescent="0.3">
      <c r="A1027" s="81" t="s">
        <v>1010</v>
      </c>
      <c r="B1027" s="81" t="s">
        <v>4099</v>
      </c>
      <c r="C1027" s="81" t="s">
        <v>20</v>
      </c>
      <c r="D1027" s="81" t="s">
        <v>404</v>
      </c>
      <c r="E1027" s="81" t="s">
        <v>15</v>
      </c>
      <c r="F1027" s="81" t="s">
        <v>4112</v>
      </c>
      <c r="G1027" s="81">
        <v>0</v>
      </c>
    </row>
    <row r="1028" spans="1:7" x14ac:dyDescent="0.3">
      <c r="A1028" s="81" t="s">
        <v>1010</v>
      </c>
      <c r="B1028" s="81" t="s">
        <v>4099</v>
      </c>
      <c r="C1028" s="81" t="s">
        <v>20</v>
      </c>
      <c r="D1028" s="81" t="s">
        <v>404</v>
      </c>
      <c r="E1028" s="81" t="s">
        <v>15</v>
      </c>
      <c r="F1028" s="81" t="s">
        <v>5757</v>
      </c>
      <c r="G1028" s="81">
        <v>0</v>
      </c>
    </row>
    <row r="1029" spans="1:7" x14ac:dyDescent="0.3">
      <c r="A1029" s="81" t="s">
        <v>1010</v>
      </c>
      <c r="B1029" s="81" t="s">
        <v>4099</v>
      </c>
      <c r="C1029" s="81" t="s">
        <v>20</v>
      </c>
      <c r="D1029" s="81" t="s">
        <v>5590</v>
      </c>
      <c r="E1029" s="81" t="s">
        <v>15</v>
      </c>
      <c r="F1029" s="81" t="s">
        <v>5743</v>
      </c>
      <c r="G1029" s="81">
        <v>0</v>
      </c>
    </row>
    <row r="1030" spans="1:7" x14ac:dyDescent="0.3">
      <c r="A1030" s="81" t="s">
        <v>1010</v>
      </c>
      <c r="B1030" s="81" t="s">
        <v>4099</v>
      </c>
      <c r="C1030" s="81" t="s">
        <v>16</v>
      </c>
      <c r="D1030" s="81" t="s">
        <v>404</v>
      </c>
      <c r="E1030" s="81" t="s">
        <v>369</v>
      </c>
      <c r="F1030" s="81" t="s">
        <v>4116</v>
      </c>
      <c r="G1030" s="81" t="s">
        <v>3745</v>
      </c>
    </row>
    <row r="1031" spans="1:7" x14ac:dyDescent="0.3">
      <c r="A1031" s="81" t="s">
        <v>1010</v>
      </c>
      <c r="B1031" s="81" t="s">
        <v>4099</v>
      </c>
      <c r="C1031" s="81" t="s">
        <v>16</v>
      </c>
      <c r="D1031" s="81" t="s">
        <v>404</v>
      </c>
      <c r="E1031" s="81" t="s">
        <v>382</v>
      </c>
      <c r="F1031" s="81" t="s">
        <v>4116</v>
      </c>
      <c r="G1031" s="81" t="s">
        <v>3746</v>
      </c>
    </row>
    <row r="1032" spans="1:7" x14ac:dyDescent="0.3">
      <c r="A1032" s="81" t="s">
        <v>1010</v>
      </c>
      <c r="B1032" s="81" t="s">
        <v>4099</v>
      </c>
      <c r="C1032" s="81" t="s">
        <v>16</v>
      </c>
      <c r="D1032" s="81" t="s">
        <v>404</v>
      </c>
      <c r="E1032" s="81" t="s">
        <v>370</v>
      </c>
      <c r="F1032" s="81" t="s">
        <v>4116</v>
      </c>
      <c r="G1032" s="81" t="s">
        <v>3747</v>
      </c>
    </row>
    <row r="1033" spans="1:7" x14ac:dyDescent="0.3">
      <c r="A1033" s="81" t="s">
        <v>1010</v>
      </c>
      <c r="B1033" s="81" t="s">
        <v>4099</v>
      </c>
      <c r="C1033" s="81" t="s">
        <v>16</v>
      </c>
      <c r="D1033" s="81" t="s">
        <v>404</v>
      </c>
      <c r="E1033" s="81" t="s">
        <v>378</v>
      </c>
      <c r="F1033" s="81" t="s">
        <v>4116</v>
      </c>
      <c r="G1033" s="81" t="s">
        <v>3748</v>
      </c>
    </row>
    <row r="1034" spans="1:7" x14ac:dyDescent="0.3">
      <c r="A1034" s="81" t="s">
        <v>1010</v>
      </c>
      <c r="B1034" s="81" t="s">
        <v>4099</v>
      </c>
      <c r="C1034" s="81" t="s">
        <v>16</v>
      </c>
      <c r="D1034" s="81" t="s">
        <v>404</v>
      </c>
      <c r="E1034" s="81" t="s">
        <v>371</v>
      </c>
      <c r="F1034" s="81" t="s">
        <v>4116</v>
      </c>
      <c r="G1034" s="81" t="s">
        <v>3749</v>
      </c>
    </row>
    <row r="1035" spans="1:7" x14ac:dyDescent="0.3">
      <c r="A1035" s="81" t="s">
        <v>1010</v>
      </c>
      <c r="B1035" s="81" t="s">
        <v>4099</v>
      </c>
      <c r="C1035" s="81" t="s">
        <v>16</v>
      </c>
      <c r="D1035" s="81" t="s">
        <v>404</v>
      </c>
      <c r="E1035" s="81" t="s">
        <v>376</v>
      </c>
      <c r="F1035" s="81" t="s">
        <v>4116</v>
      </c>
      <c r="G1035" s="81" t="s">
        <v>3750</v>
      </c>
    </row>
    <row r="1036" spans="1:7" x14ac:dyDescent="0.3">
      <c r="A1036" s="81" t="s">
        <v>1010</v>
      </c>
      <c r="B1036" s="81" t="s">
        <v>4099</v>
      </c>
      <c r="C1036" s="81" t="s">
        <v>16</v>
      </c>
      <c r="D1036" s="81" t="s">
        <v>404</v>
      </c>
      <c r="E1036" s="81" t="s">
        <v>377</v>
      </c>
      <c r="F1036" s="81" t="s">
        <v>4116</v>
      </c>
      <c r="G1036" s="81" t="s">
        <v>3751</v>
      </c>
    </row>
    <row r="1037" spans="1:7" x14ac:dyDescent="0.3">
      <c r="A1037" s="81" t="s">
        <v>1010</v>
      </c>
      <c r="B1037" s="81" t="s">
        <v>4099</v>
      </c>
      <c r="C1037" s="81" t="s">
        <v>16</v>
      </c>
      <c r="D1037" s="81" t="s">
        <v>404</v>
      </c>
      <c r="E1037" s="81" t="s">
        <v>381</v>
      </c>
      <c r="F1037" s="81" t="s">
        <v>4116</v>
      </c>
      <c r="G1037" s="81" t="s">
        <v>3752</v>
      </c>
    </row>
    <row r="1038" spans="1:7" x14ac:dyDescent="0.3">
      <c r="A1038" s="81" t="s">
        <v>1010</v>
      </c>
      <c r="B1038" s="81" t="s">
        <v>4099</v>
      </c>
      <c r="C1038" s="81" t="s">
        <v>16</v>
      </c>
      <c r="D1038" s="81" t="s">
        <v>404</v>
      </c>
      <c r="E1038" s="81" t="s">
        <v>379</v>
      </c>
      <c r="F1038" s="81" t="s">
        <v>4116</v>
      </c>
      <c r="G1038" s="81" t="s">
        <v>3753</v>
      </c>
    </row>
    <row r="1039" spans="1:7" x14ac:dyDescent="0.3">
      <c r="A1039" s="81" t="s">
        <v>1010</v>
      </c>
      <c r="B1039" s="81" t="s">
        <v>4099</v>
      </c>
      <c r="C1039" s="81" t="s">
        <v>16</v>
      </c>
      <c r="D1039" s="81" t="s">
        <v>404</v>
      </c>
      <c r="E1039" s="81" t="s">
        <v>374</v>
      </c>
      <c r="F1039" s="81" t="s">
        <v>4116</v>
      </c>
      <c r="G1039" s="81" t="s">
        <v>3754</v>
      </c>
    </row>
    <row r="1040" spans="1:7" x14ac:dyDescent="0.3">
      <c r="A1040" s="81" t="s">
        <v>1010</v>
      </c>
      <c r="B1040" s="81" t="s">
        <v>4099</v>
      </c>
      <c r="C1040" s="81" t="s">
        <v>16</v>
      </c>
      <c r="D1040" s="81" t="s">
        <v>404</v>
      </c>
      <c r="E1040" s="81" t="s">
        <v>373</v>
      </c>
      <c r="F1040" s="81" t="s">
        <v>4116</v>
      </c>
      <c r="G1040" s="81" t="s">
        <v>3756</v>
      </c>
    </row>
    <row r="1041" spans="1:7" x14ac:dyDescent="0.3">
      <c r="A1041" s="81" t="s">
        <v>1010</v>
      </c>
      <c r="B1041" s="81" t="s">
        <v>4099</v>
      </c>
      <c r="C1041" s="81" t="s">
        <v>16</v>
      </c>
      <c r="D1041" s="81" t="s">
        <v>404</v>
      </c>
      <c r="E1041" s="81" t="s">
        <v>368</v>
      </c>
      <c r="F1041" s="81" t="s">
        <v>4116</v>
      </c>
      <c r="G1041" s="81" t="s">
        <v>3757</v>
      </c>
    </row>
    <row r="1042" spans="1:7" x14ac:dyDescent="0.3">
      <c r="A1042" s="81" t="s">
        <v>1010</v>
      </c>
      <c r="B1042" s="81" t="s">
        <v>4099</v>
      </c>
      <c r="C1042" s="81" t="s">
        <v>16</v>
      </c>
      <c r="D1042" s="81" t="s">
        <v>404</v>
      </c>
      <c r="E1042" s="81" t="s">
        <v>372</v>
      </c>
      <c r="F1042" s="81" t="s">
        <v>4116</v>
      </c>
      <c r="G1042" s="81" t="s">
        <v>3758</v>
      </c>
    </row>
    <row r="1043" spans="1:7" x14ac:dyDescent="0.3">
      <c r="A1043" s="81" t="s">
        <v>1010</v>
      </c>
      <c r="B1043" s="81" t="s">
        <v>4099</v>
      </c>
      <c r="C1043" s="81" t="s">
        <v>16</v>
      </c>
      <c r="D1043" s="81" t="s">
        <v>404</v>
      </c>
      <c r="E1043" s="81" t="s">
        <v>375</v>
      </c>
      <c r="F1043" s="81" t="s">
        <v>4116</v>
      </c>
      <c r="G1043" s="81" t="s">
        <v>3759</v>
      </c>
    </row>
    <row r="1044" spans="1:7" x14ac:dyDescent="0.3">
      <c r="A1044" s="81" t="s">
        <v>1010</v>
      </c>
      <c r="B1044" s="81" t="s">
        <v>4099</v>
      </c>
      <c r="C1044" s="81" t="s">
        <v>16</v>
      </c>
      <c r="D1044" s="81" t="s">
        <v>404</v>
      </c>
      <c r="E1044" s="81" t="s">
        <v>380</v>
      </c>
      <c r="F1044" s="81" t="s">
        <v>4116</v>
      </c>
      <c r="G1044" s="81" t="s">
        <v>3760</v>
      </c>
    </row>
    <row r="1045" spans="1:7" x14ac:dyDescent="0.3">
      <c r="A1045" s="81" t="s">
        <v>1524</v>
      </c>
      <c r="B1045" s="81" t="s">
        <v>7427</v>
      </c>
      <c r="C1045" s="81" t="s">
        <v>20</v>
      </c>
      <c r="D1045" s="81" t="s">
        <v>16</v>
      </c>
      <c r="E1045" s="81" t="s">
        <v>15</v>
      </c>
      <c r="F1045" s="81" t="s">
        <v>1533</v>
      </c>
      <c r="G1045" s="81" t="s">
        <v>1033</v>
      </c>
    </row>
    <row r="1046" spans="1:7" x14ac:dyDescent="0.3">
      <c r="A1046" s="81" t="s">
        <v>1524</v>
      </c>
      <c r="B1046" s="81" t="s">
        <v>7427</v>
      </c>
      <c r="C1046" s="81" t="s">
        <v>20</v>
      </c>
      <c r="D1046" s="81" t="s">
        <v>1032</v>
      </c>
      <c r="E1046" s="81" t="s">
        <v>15</v>
      </c>
      <c r="F1046" s="81" t="s">
        <v>1530</v>
      </c>
      <c r="G1046" s="81" t="s">
        <v>1033</v>
      </c>
    </row>
    <row r="1047" spans="1:7" x14ac:dyDescent="0.3">
      <c r="A1047" s="81" t="s">
        <v>1524</v>
      </c>
      <c r="B1047" s="81" t="s">
        <v>7427</v>
      </c>
      <c r="C1047" s="81" t="s">
        <v>20</v>
      </c>
      <c r="D1047" s="81" t="s">
        <v>1032</v>
      </c>
      <c r="E1047" s="81" t="s">
        <v>15</v>
      </c>
      <c r="F1047" s="81" t="s">
        <v>1532</v>
      </c>
      <c r="G1047" s="81" t="s">
        <v>1033</v>
      </c>
    </row>
    <row r="1048" spans="1:7" x14ac:dyDescent="0.3">
      <c r="A1048" s="81" t="s">
        <v>1524</v>
      </c>
      <c r="B1048" s="81" t="s">
        <v>7427</v>
      </c>
      <c r="C1048" s="81" t="s">
        <v>20</v>
      </c>
      <c r="D1048" s="81" t="s">
        <v>1032</v>
      </c>
      <c r="E1048" s="81" t="s">
        <v>15</v>
      </c>
      <c r="F1048" s="81" t="s">
        <v>1574</v>
      </c>
      <c r="G1048" s="81" t="s">
        <v>1033</v>
      </c>
    </row>
    <row r="1049" spans="1:7" x14ac:dyDescent="0.3">
      <c r="A1049" s="81" t="s">
        <v>1524</v>
      </c>
      <c r="B1049" s="81" t="s">
        <v>7427</v>
      </c>
      <c r="C1049" s="81" t="s">
        <v>16</v>
      </c>
      <c r="D1049" s="81" t="s">
        <v>18</v>
      </c>
      <c r="E1049" s="81" t="s">
        <v>369</v>
      </c>
      <c r="F1049" s="81" t="s">
        <v>1530</v>
      </c>
      <c r="G1049" s="81" t="s">
        <v>3729</v>
      </c>
    </row>
    <row r="1050" spans="1:7" x14ac:dyDescent="0.3">
      <c r="A1050" s="81" t="s">
        <v>1524</v>
      </c>
      <c r="B1050" s="81" t="s">
        <v>7427</v>
      </c>
      <c r="C1050" s="81" t="s">
        <v>16</v>
      </c>
      <c r="D1050" s="81" t="s">
        <v>18</v>
      </c>
      <c r="E1050" s="81" t="s">
        <v>369</v>
      </c>
      <c r="F1050" s="81" t="s">
        <v>1532</v>
      </c>
      <c r="G1050" s="81" t="s">
        <v>3729</v>
      </c>
    </row>
    <row r="1051" spans="1:7" x14ac:dyDescent="0.3">
      <c r="A1051" s="81" t="s">
        <v>1524</v>
      </c>
      <c r="B1051" s="81" t="s">
        <v>7427</v>
      </c>
      <c r="C1051" s="81" t="s">
        <v>16</v>
      </c>
      <c r="D1051" s="81" t="s">
        <v>18</v>
      </c>
      <c r="E1051" s="81" t="s">
        <v>369</v>
      </c>
      <c r="F1051" s="81" t="s">
        <v>1574</v>
      </c>
      <c r="G1051" s="81" t="s">
        <v>3729</v>
      </c>
    </row>
    <row r="1052" spans="1:7" x14ac:dyDescent="0.3">
      <c r="A1052" s="81" t="s">
        <v>1524</v>
      </c>
      <c r="B1052" s="81" t="s">
        <v>7427</v>
      </c>
      <c r="C1052" s="81" t="s">
        <v>16</v>
      </c>
      <c r="D1052" s="81" t="s">
        <v>18</v>
      </c>
      <c r="E1052" s="81" t="s">
        <v>382</v>
      </c>
      <c r="F1052" s="81" t="s">
        <v>1530</v>
      </c>
      <c r="G1052" s="81" t="s">
        <v>3730</v>
      </c>
    </row>
    <row r="1053" spans="1:7" x14ac:dyDescent="0.3">
      <c r="A1053" s="81" t="s">
        <v>1524</v>
      </c>
      <c r="B1053" s="81" t="s">
        <v>7427</v>
      </c>
      <c r="C1053" s="81" t="s">
        <v>16</v>
      </c>
      <c r="D1053" s="81" t="s">
        <v>18</v>
      </c>
      <c r="E1053" s="81" t="s">
        <v>382</v>
      </c>
      <c r="F1053" s="81" t="s">
        <v>1532</v>
      </c>
      <c r="G1053" s="81" t="s">
        <v>3730</v>
      </c>
    </row>
    <row r="1054" spans="1:7" x14ac:dyDescent="0.3">
      <c r="A1054" s="81" t="s">
        <v>1524</v>
      </c>
      <c r="B1054" s="81" t="s">
        <v>7427</v>
      </c>
      <c r="C1054" s="81" t="s">
        <v>16</v>
      </c>
      <c r="D1054" s="81" t="s">
        <v>18</v>
      </c>
      <c r="E1054" s="81" t="s">
        <v>382</v>
      </c>
      <c r="F1054" s="81" t="s">
        <v>1574</v>
      </c>
      <c r="G1054" s="81" t="s">
        <v>3730</v>
      </c>
    </row>
    <row r="1055" spans="1:7" x14ac:dyDescent="0.3">
      <c r="A1055" s="81" t="s">
        <v>1524</v>
      </c>
      <c r="B1055" s="81" t="s">
        <v>7427</v>
      </c>
      <c r="C1055" s="81" t="s">
        <v>16</v>
      </c>
      <c r="D1055" s="81" t="s">
        <v>18</v>
      </c>
      <c r="E1055" s="81" t="s">
        <v>370</v>
      </c>
      <c r="F1055" s="81" t="s">
        <v>1530</v>
      </c>
      <c r="G1055" s="81" t="s">
        <v>3731</v>
      </c>
    </row>
    <row r="1056" spans="1:7" x14ac:dyDescent="0.3">
      <c r="A1056" s="81" t="s">
        <v>1524</v>
      </c>
      <c r="B1056" s="81" t="s">
        <v>7427</v>
      </c>
      <c r="C1056" s="81" t="s">
        <v>16</v>
      </c>
      <c r="D1056" s="81" t="s">
        <v>18</v>
      </c>
      <c r="E1056" s="81" t="s">
        <v>370</v>
      </c>
      <c r="F1056" s="81" t="s">
        <v>1532</v>
      </c>
      <c r="G1056" s="81" t="s">
        <v>3731</v>
      </c>
    </row>
    <row r="1057" spans="1:7" x14ac:dyDescent="0.3">
      <c r="A1057" s="81" t="s">
        <v>1524</v>
      </c>
      <c r="B1057" s="81" t="s">
        <v>7427</v>
      </c>
      <c r="C1057" s="81" t="s">
        <v>16</v>
      </c>
      <c r="D1057" s="81" t="s">
        <v>18</v>
      </c>
      <c r="E1057" s="81" t="s">
        <v>370</v>
      </c>
      <c r="F1057" s="81" t="s">
        <v>1574</v>
      </c>
      <c r="G1057" s="81" t="s">
        <v>3731</v>
      </c>
    </row>
    <row r="1058" spans="1:7" x14ac:dyDescent="0.3">
      <c r="A1058" s="81" t="s">
        <v>1524</v>
      </c>
      <c r="B1058" s="81" t="s">
        <v>7427</v>
      </c>
      <c r="C1058" s="81" t="s">
        <v>16</v>
      </c>
      <c r="D1058" s="81" t="s">
        <v>18</v>
      </c>
      <c r="E1058" s="81" t="s">
        <v>378</v>
      </c>
      <c r="F1058" s="81" t="s">
        <v>1530</v>
      </c>
      <c r="G1058" s="81" t="s">
        <v>3732</v>
      </c>
    </row>
    <row r="1059" spans="1:7" x14ac:dyDescent="0.3">
      <c r="A1059" s="81" t="s">
        <v>1524</v>
      </c>
      <c r="B1059" s="81" t="s">
        <v>7427</v>
      </c>
      <c r="C1059" s="81" t="s">
        <v>16</v>
      </c>
      <c r="D1059" s="81" t="s">
        <v>18</v>
      </c>
      <c r="E1059" s="81" t="s">
        <v>378</v>
      </c>
      <c r="F1059" s="81" t="s">
        <v>1532</v>
      </c>
      <c r="G1059" s="81" t="s">
        <v>3732</v>
      </c>
    </row>
    <row r="1060" spans="1:7" x14ac:dyDescent="0.3">
      <c r="A1060" s="81" t="s">
        <v>1524</v>
      </c>
      <c r="B1060" s="81" t="s">
        <v>7427</v>
      </c>
      <c r="C1060" s="81" t="s">
        <v>16</v>
      </c>
      <c r="D1060" s="81" t="s">
        <v>18</v>
      </c>
      <c r="E1060" s="81" t="s">
        <v>378</v>
      </c>
      <c r="F1060" s="81" t="s">
        <v>1574</v>
      </c>
      <c r="G1060" s="81" t="s">
        <v>3732</v>
      </c>
    </row>
    <row r="1061" spans="1:7" x14ac:dyDescent="0.3">
      <c r="A1061" s="81" t="s">
        <v>1524</v>
      </c>
      <c r="B1061" s="81" t="s">
        <v>7427</v>
      </c>
      <c r="C1061" s="81" t="s">
        <v>16</v>
      </c>
      <c r="D1061" s="81" t="s">
        <v>18</v>
      </c>
      <c r="E1061" s="81" t="s">
        <v>371</v>
      </c>
      <c r="F1061" s="81" t="s">
        <v>1530</v>
      </c>
      <c r="G1061" s="81" t="s">
        <v>3733</v>
      </c>
    </row>
    <row r="1062" spans="1:7" x14ac:dyDescent="0.3">
      <c r="A1062" s="81" t="s">
        <v>1524</v>
      </c>
      <c r="B1062" s="81" t="s">
        <v>7427</v>
      </c>
      <c r="C1062" s="81" t="s">
        <v>16</v>
      </c>
      <c r="D1062" s="81" t="s">
        <v>18</v>
      </c>
      <c r="E1062" s="81" t="s">
        <v>371</v>
      </c>
      <c r="F1062" s="81" t="s">
        <v>1532</v>
      </c>
      <c r="G1062" s="81" t="s">
        <v>3733</v>
      </c>
    </row>
    <row r="1063" spans="1:7" x14ac:dyDescent="0.3">
      <c r="A1063" s="81" t="s">
        <v>1524</v>
      </c>
      <c r="B1063" s="81" t="s">
        <v>7427</v>
      </c>
      <c r="C1063" s="81" t="s">
        <v>16</v>
      </c>
      <c r="D1063" s="81" t="s">
        <v>18</v>
      </c>
      <c r="E1063" s="81" t="s">
        <v>371</v>
      </c>
      <c r="F1063" s="81" t="s">
        <v>1574</v>
      </c>
      <c r="G1063" s="81" t="s">
        <v>3733</v>
      </c>
    </row>
    <row r="1064" spans="1:7" x14ac:dyDescent="0.3">
      <c r="A1064" s="81" t="s">
        <v>1524</v>
      </c>
      <c r="B1064" s="81" t="s">
        <v>7427</v>
      </c>
      <c r="C1064" s="81" t="s">
        <v>16</v>
      </c>
      <c r="D1064" s="81" t="s">
        <v>18</v>
      </c>
      <c r="E1064" s="81" t="s">
        <v>376</v>
      </c>
      <c r="F1064" s="81" t="s">
        <v>1530</v>
      </c>
      <c r="G1064" s="81" t="s">
        <v>3734</v>
      </c>
    </row>
    <row r="1065" spans="1:7" x14ac:dyDescent="0.3">
      <c r="A1065" s="81" t="s">
        <v>1524</v>
      </c>
      <c r="B1065" s="81" t="s">
        <v>7427</v>
      </c>
      <c r="C1065" s="81" t="s">
        <v>16</v>
      </c>
      <c r="D1065" s="81" t="s">
        <v>18</v>
      </c>
      <c r="E1065" s="81" t="s">
        <v>376</v>
      </c>
      <c r="F1065" s="81" t="s">
        <v>1532</v>
      </c>
      <c r="G1065" s="81" t="s">
        <v>3734</v>
      </c>
    </row>
    <row r="1066" spans="1:7" x14ac:dyDescent="0.3">
      <c r="A1066" s="81" t="s">
        <v>1524</v>
      </c>
      <c r="B1066" s="81" t="s">
        <v>7427</v>
      </c>
      <c r="C1066" s="81" t="s">
        <v>16</v>
      </c>
      <c r="D1066" s="81" t="s">
        <v>18</v>
      </c>
      <c r="E1066" s="81" t="s">
        <v>376</v>
      </c>
      <c r="F1066" s="81" t="s">
        <v>1574</v>
      </c>
      <c r="G1066" s="81" t="s">
        <v>3734</v>
      </c>
    </row>
    <row r="1067" spans="1:7" x14ac:dyDescent="0.3">
      <c r="A1067" s="81" t="s">
        <v>1524</v>
      </c>
      <c r="B1067" s="81" t="s">
        <v>7427</v>
      </c>
      <c r="C1067" s="81" t="s">
        <v>16</v>
      </c>
      <c r="D1067" s="81" t="s">
        <v>18</v>
      </c>
      <c r="E1067" s="81" t="s">
        <v>377</v>
      </c>
      <c r="F1067" s="81" t="s">
        <v>1530</v>
      </c>
      <c r="G1067" s="81" t="s">
        <v>3735</v>
      </c>
    </row>
    <row r="1068" spans="1:7" x14ac:dyDescent="0.3">
      <c r="A1068" s="81" t="s">
        <v>1524</v>
      </c>
      <c r="B1068" s="81" t="s">
        <v>7427</v>
      </c>
      <c r="C1068" s="81" t="s">
        <v>16</v>
      </c>
      <c r="D1068" s="81" t="s">
        <v>18</v>
      </c>
      <c r="E1068" s="81" t="s">
        <v>377</v>
      </c>
      <c r="F1068" s="81" t="s">
        <v>1532</v>
      </c>
      <c r="G1068" s="81" t="s">
        <v>3735</v>
      </c>
    </row>
    <row r="1069" spans="1:7" x14ac:dyDescent="0.3">
      <c r="A1069" s="81" t="s">
        <v>1524</v>
      </c>
      <c r="B1069" s="81" t="s">
        <v>7427</v>
      </c>
      <c r="C1069" s="81" t="s">
        <v>16</v>
      </c>
      <c r="D1069" s="81" t="s">
        <v>18</v>
      </c>
      <c r="E1069" s="81" t="s">
        <v>377</v>
      </c>
      <c r="F1069" s="81" t="s">
        <v>1574</v>
      </c>
      <c r="G1069" s="81" t="s">
        <v>3735</v>
      </c>
    </row>
    <row r="1070" spans="1:7" x14ac:dyDescent="0.3">
      <c r="A1070" s="81" t="s">
        <v>1524</v>
      </c>
      <c r="B1070" s="81" t="s">
        <v>7427</v>
      </c>
      <c r="C1070" s="81" t="s">
        <v>16</v>
      </c>
      <c r="D1070" s="81" t="s">
        <v>18</v>
      </c>
      <c r="E1070" s="81" t="s">
        <v>381</v>
      </c>
      <c r="F1070" s="81" t="s">
        <v>1530</v>
      </c>
      <c r="G1070" s="81" t="s">
        <v>3736</v>
      </c>
    </row>
    <row r="1071" spans="1:7" x14ac:dyDescent="0.3">
      <c r="A1071" s="81" t="s">
        <v>1524</v>
      </c>
      <c r="B1071" s="81" t="s">
        <v>7427</v>
      </c>
      <c r="C1071" s="81" t="s">
        <v>16</v>
      </c>
      <c r="D1071" s="81" t="s">
        <v>18</v>
      </c>
      <c r="E1071" s="81" t="s">
        <v>381</v>
      </c>
      <c r="F1071" s="81" t="s">
        <v>1532</v>
      </c>
      <c r="G1071" s="81" t="s">
        <v>3736</v>
      </c>
    </row>
    <row r="1072" spans="1:7" x14ac:dyDescent="0.3">
      <c r="A1072" s="81" t="s">
        <v>1524</v>
      </c>
      <c r="B1072" s="81" t="s">
        <v>7427</v>
      </c>
      <c r="C1072" s="81" t="s">
        <v>16</v>
      </c>
      <c r="D1072" s="81" t="s">
        <v>18</v>
      </c>
      <c r="E1072" s="81" t="s">
        <v>381</v>
      </c>
      <c r="F1072" s="81" t="s">
        <v>1574</v>
      </c>
      <c r="G1072" s="81" t="s">
        <v>3736</v>
      </c>
    </row>
    <row r="1073" spans="1:7" x14ac:dyDescent="0.3">
      <c r="A1073" s="81" t="s">
        <v>1524</v>
      </c>
      <c r="B1073" s="81" t="s">
        <v>7427</v>
      </c>
      <c r="C1073" s="81" t="s">
        <v>16</v>
      </c>
      <c r="D1073" s="81" t="s">
        <v>18</v>
      </c>
      <c r="E1073" s="81" t="s">
        <v>379</v>
      </c>
      <c r="F1073" s="81" t="s">
        <v>1530</v>
      </c>
      <c r="G1073" s="81" t="s">
        <v>3737</v>
      </c>
    </row>
    <row r="1074" spans="1:7" x14ac:dyDescent="0.3">
      <c r="A1074" s="81" t="s">
        <v>1524</v>
      </c>
      <c r="B1074" s="81" t="s">
        <v>7427</v>
      </c>
      <c r="C1074" s="81" t="s">
        <v>16</v>
      </c>
      <c r="D1074" s="81" t="s">
        <v>18</v>
      </c>
      <c r="E1074" s="81" t="s">
        <v>379</v>
      </c>
      <c r="F1074" s="81" t="s">
        <v>1532</v>
      </c>
      <c r="G1074" s="81" t="s">
        <v>3737</v>
      </c>
    </row>
    <row r="1075" spans="1:7" x14ac:dyDescent="0.3">
      <c r="A1075" s="81" t="s">
        <v>1524</v>
      </c>
      <c r="B1075" s="81" t="s">
        <v>7427</v>
      </c>
      <c r="C1075" s="81" t="s">
        <v>16</v>
      </c>
      <c r="D1075" s="81" t="s">
        <v>18</v>
      </c>
      <c r="E1075" s="81" t="s">
        <v>379</v>
      </c>
      <c r="F1075" s="81" t="s">
        <v>1574</v>
      </c>
      <c r="G1075" s="81" t="s">
        <v>3737</v>
      </c>
    </row>
    <row r="1076" spans="1:7" x14ac:dyDescent="0.3">
      <c r="A1076" s="81" t="s">
        <v>1524</v>
      </c>
      <c r="B1076" s="81" t="s">
        <v>7427</v>
      </c>
      <c r="C1076" s="81" t="s">
        <v>16</v>
      </c>
      <c r="D1076" s="81" t="s">
        <v>18</v>
      </c>
      <c r="E1076" s="81" t="s">
        <v>374</v>
      </c>
      <c r="F1076" s="81" t="s">
        <v>1530</v>
      </c>
      <c r="G1076" s="81" t="s">
        <v>3738</v>
      </c>
    </row>
    <row r="1077" spans="1:7" x14ac:dyDescent="0.3">
      <c r="A1077" s="81" t="s">
        <v>1524</v>
      </c>
      <c r="B1077" s="81" t="s">
        <v>7427</v>
      </c>
      <c r="C1077" s="81" t="s">
        <v>16</v>
      </c>
      <c r="D1077" s="81" t="s">
        <v>18</v>
      </c>
      <c r="E1077" s="81" t="s">
        <v>374</v>
      </c>
      <c r="F1077" s="81" t="s">
        <v>1532</v>
      </c>
      <c r="G1077" s="81" t="s">
        <v>3738</v>
      </c>
    </row>
    <row r="1078" spans="1:7" x14ac:dyDescent="0.3">
      <c r="A1078" s="81" t="s">
        <v>1524</v>
      </c>
      <c r="B1078" s="81" t="s">
        <v>7427</v>
      </c>
      <c r="C1078" s="81" t="s">
        <v>16</v>
      </c>
      <c r="D1078" s="81" t="s">
        <v>18</v>
      </c>
      <c r="E1078" s="81" t="s">
        <v>374</v>
      </c>
      <c r="F1078" s="81" t="s">
        <v>1574</v>
      </c>
      <c r="G1078" s="81" t="s">
        <v>3738</v>
      </c>
    </row>
    <row r="1079" spans="1:7" x14ac:dyDescent="0.3">
      <c r="A1079" s="81" t="s">
        <v>1524</v>
      </c>
      <c r="B1079" s="81" t="s">
        <v>7427</v>
      </c>
      <c r="C1079" s="81" t="s">
        <v>16</v>
      </c>
      <c r="D1079" s="81" t="s">
        <v>18</v>
      </c>
      <c r="E1079" s="81" t="s">
        <v>383</v>
      </c>
      <c r="F1079" s="81" t="s">
        <v>1530</v>
      </c>
      <c r="G1079" s="81" t="s">
        <v>3739</v>
      </c>
    </row>
    <row r="1080" spans="1:7" x14ac:dyDescent="0.3">
      <c r="A1080" s="81" t="s">
        <v>1524</v>
      </c>
      <c r="B1080" s="81" t="s">
        <v>7427</v>
      </c>
      <c r="C1080" s="81" t="s">
        <v>16</v>
      </c>
      <c r="D1080" s="81" t="s">
        <v>18</v>
      </c>
      <c r="E1080" s="81" t="s">
        <v>383</v>
      </c>
      <c r="F1080" s="81" t="s">
        <v>1532</v>
      </c>
      <c r="G1080" s="81" t="s">
        <v>3739</v>
      </c>
    </row>
    <row r="1081" spans="1:7" x14ac:dyDescent="0.3">
      <c r="A1081" s="81" t="s">
        <v>1524</v>
      </c>
      <c r="B1081" s="81" t="s">
        <v>7427</v>
      </c>
      <c r="C1081" s="81" t="s">
        <v>16</v>
      </c>
      <c r="D1081" s="81" t="s">
        <v>18</v>
      </c>
      <c r="E1081" s="81" t="s">
        <v>383</v>
      </c>
      <c r="F1081" s="81" t="s">
        <v>1574</v>
      </c>
      <c r="G1081" s="81" t="s">
        <v>3739</v>
      </c>
    </row>
    <row r="1082" spans="1:7" x14ac:dyDescent="0.3">
      <c r="A1082" s="81" t="s">
        <v>1524</v>
      </c>
      <c r="B1082" s="81" t="s">
        <v>7427</v>
      </c>
      <c r="C1082" s="81" t="s">
        <v>16</v>
      </c>
      <c r="D1082" s="81" t="s">
        <v>18</v>
      </c>
      <c r="E1082" s="81" t="s">
        <v>373</v>
      </c>
      <c r="F1082" s="81" t="s">
        <v>1530</v>
      </c>
      <c r="G1082" s="81" t="s">
        <v>3740</v>
      </c>
    </row>
    <row r="1083" spans="1:7" x14ac:dyDescent="0.3">
      <c r="A1083" s="81" t="s">
        <v>1524</v>
      </c>
      <c r="B1083" s="81" t="s">
        <v>7427</v>
      </c>
      <c r="C1083" s="81" t="s">
        <v>16</v>
      </c>
      <c r="D1083" s="81" t="s">
        <v>18</v>
      </c>
      <c r="E1083" s="81" t="s">
        <v>373</v>
      </c>
      <c r="F1083" s="81" t="s">
        <v>1532</v>
      </c>
      <c r="G1083" s="81" t="s">
        <v>3740</v>
      </c>
    </row>
    <row r="1084" spans="1:7" x14ac:dyDescent="0.3">
      <c r="A1084" s="81" t="s">
        <v>1524</v>
      </c>
      <c r="B1084" s="81" t="s">
        <v>7427</v>
      </c>
      <c r="C1084" s="81" t="s">
        <v>16</v>
      </c>
      <c r="D1084" s="81" t="s">
        <v>18</v>
      </c>
      <c r="E1084" s="81" t="s">
        <v>373</v>
      </c>
      <c r="F1084" s="81" t="s">
        <v>1574</v>
      </c>
      <c r="G1084" s="81" t="s">
        <v>3740</v>
      </c>
    </row>
    <row r="1085" spans="1:7" x14ac:dyDescent="0.3">
      <c r="A1085" s="81" t="s">
        <v>1524</v>
      </c>
      <c r="B1085" s="81" t="s">
        <v>7427</v>
      </c>
      <c r="C1085" s="81" t="s">
        <v>16</v>
      </c>
      <c r="D1085" s="81" t="s">
        <v>18</v>
      </c>
      <c r="E1085" s="81" t="s">
        <v>368</v>
      </c>
      <c r="F1085" s="81" t="s">
        <v>1530</v>
      </c>
      <c r="G1085" s="81" t="s">
        <v>3741</v>
      </c>
    </row>
    <row r="1086" spans="1:7" x14ac:dyDescent="0.3">
      <c r="A1086" s="81" t="s">
        <v>1524</v>
      </c>
      <c r="B1086" s="81" t="s">
        <v>7427</v>
      </c>
      <c r="C1086" s="81" t="s">
        <v>16</v>
      </c>
      <c r="D1086" s="81" t="s">
        <v>18</v>
      </c>
      <c r="E1086" s="81" t="s">
        <v>368</v>
      </c>
      <c r="F1086" s="81" t="s">
        <v>1532</v>
      </c>
      <c r="G1086" s="81" t="s">
        <v>3741</v>
      </c>
    </row>
    <row r="1087" spans="1:7" x14ac:dyDescent="0.3">
      <c r="A1087" s="81" t="s">
        <v>1524</v>
      </c>
      <c r="B1087" s="81" t="s">
        <v>7427</v>
      </c>
      <c r="C1087" s="81" t="s">
        <v>16</v>
      </c>
      <c r="D1087" s="81" t="s">
        <v>18</v>
      </c>
      <c r="E1087" s="81" t="s">
        <v>368</v>
      </c>
      <c r="F1087" s="81" t="s">
        <v>1574</v>
      </c>
      <c r="G1087" s="81" t="s">
        <v>3741</v>
      </c>
    </row>
    <row r="1088" spans="1:7" x14ac:dyDescent="0.3">
      <c r="A1088" s="81" t="s">
        <v>1524</v>
      </c>
      <c r="B1088" s="81" t="s">
        <v>7427</v>
      </c>
      <c r="C1088" s="81" t="s">
        <v>16</v>
      </c>
      <c r="D1088" s="81" t="s">
        <v>18</v>
      </c>
      <c r="E1088" s="81" t="s">
        <v>372</v>
      </c>
      <c r="F1088" s="81" t="s">
        <v>1530</v>
      </c>
      <c r="G1088" s="81" t="s">
        <v>3742</v>
      </c>
    </row>
    <row r="1089" spans="1:7" x14ac:dyDescent="0.3">
      <c r="A1089" s="81" t="s">
        <v>1524</v>
      </c>
      <c r="B1089" s="81" t="s">
        <v>7427</v>
      </c>
      <c r="C1089" s="81" t="s">
        <v>16</v>
      </c>
      <c r="D1089" s="81" t="s">
        <v>18</v>
      </c>
      <c r="E1089" s="81" t="s">
        <v>372</v>
      </c>
      <c r="F1089" s="81" t="s">
        <v>1532</v>
      </c>
      <c r="G1089" s="81" t="s">
        <v>3742</v>
      </c>
    </row>
    <row r="1090" spans="1:7" x14ac:dyDescent="0.3">
      <c r="A1090" s="81" t="s">
        <v>1524</v>
      </c>
      <c r="B1090" s="81" t="s">
        <v>7427</v>
      </c>
      <c r="C1090" s="81" t="s">
        <v>16</v>
      </c>
      <c r="D1090" s="81" t="s">
        <v>18</v>
      </c>
      <c r="E1090" s="81" t="s">
        <v>372</v>
      </c>
      <c r="F1090" s="81" t="s">
        <v>1574</v>
      </c>
      <c r="G1090" s="81" t="s">
        <v>3742</v>
      </c>
    </row>
    <row r="1091" spans="1:7" x14ac:dyDescent="0.3">
      <c r="A1091" s="81" t="s">
        <v>1524</v>
      </c>
      <c r="B1091" s="81" t="s">
        <v>7427</v>
      </c>
      <c r="C1091" s="81" t="s">
        <v>16</v>
      </c>
      <c r="D1091" s="81" t="s">
        <v>18</v>
      </c>
      <c r="E1091" s="81" t="s">
        <v>375</v>
      </c>
      <c r="F1091" s="81" t="s">
        <v>1530</v>
      </c>
      <c r="G1091" s="81" t="s">
        <v>3743</v>
      </c>
    </row>
    <row r="1092" spans="1:7" x14ac:dyDescent="0.3">
      <c r="A1092" s="81" t="s">
        <v>1524</v>
      </c>
      <c r="B1092" s="81" t="s">
        <v>7427</v>
      </c>
      <c r="C1092" s="81" t="s">
        <v>16</v>
      </c>
      <c r="D1092" s="81" t="s">
        <v>18</v>
      </c>
      <c r="E1092" s="81" t="s">
        <v>375</v>
      </c>
      <c r="F1092" s="81" t="s">
        <v>1532</v>
      </c>
      <c r="G1092" s="81" t="s">
        <v>3743</v>
      </c>
    </row>
    <row r="1093" spans="1:7" x14ac:dyDescent="0.3">
      <c r="A1093" s="81" t="s">
        <v>1524</v>
      </c>
      <c r="B1093" s="81" t="s">
        <v>7427</v>
      </c>
      <c r="C1093" s="81" t="s">
        <v>16</v>
      </c>
      <c r="D1093" s="81" t="s">
        <v>18</v>
      </c>
      <c r="E1093" s="81" t="s">
        <v>375</v>
      </c>
      <c r="F1093" s="81" t="s">
        <v>1574</v>
      </c>
      <c r="G1093" s="81" t="s">
        <v>3743</v>
      </c>
    </row>
    <row r="1094" spans="1:7" x14ac:dyDescent="0.3">
      <c r="A1094" s="81" t="s">
        <v>1524</v>
      </c>
      <c r="B1094" s="81" t="s">
        <v>7427</v>
      </c>
      <c r="C1094" s="81" t="s">
        <v>16</v>
      </c>
      <c r="D1094" s="81" t="s">
        <v>18</v>
      </c>
      <c r="E1094" s="81" t="s">
        <v>380</v>
      </c>
      <c r="F1094" s="81" t="s">
        <v>1530</v>
      </c>
      <c r="G1094" s="81" t="s">
        <v>3744</v>
      </c>
    </row>
    <row r="1095" spans="1:7" x14ac:dyDescent="0.3">
      <c r="A1095" s="81" t="s">
        <v>1524</v>
      </c>
      <c r="B1095" s="81" t="s">
        <v>7427</v>
      </c>
      <c r="C1095" s="81" t="s">
        <v>16</v>
      </c>
      <c r="D1095" s="81" t="s">
        <v>18</v>
      </c>
      <c r="E1095" s="81" t="s">
        <v>380</v>
      </c>
      <c r="F1095" s="81" t="s">
        <v>1532</v>
      </c>
      <c r="G1095" s="81" t="s">
        <v>3744</v>
      </c>
    </row>
    <row r="1096" spans="1:7" x14ac:dyDescent="0.3">
      <c r="A1096" s="81" t="s">
        <v>1524</v>
      </c>
      <c r="B1096" s="81" t="s">
        <v>7427</v>
      </c>
      <c r="C1096" s="81" t="s">
        <v>16</v>
      </c>
      <c r="D1096" s="81" t="s">
        <v>18</v>
      </c>
      <c r="E1096" s="81" t="s">
        <v>380</v>
      </c>
      <c r="F1096" s="81" t="s">
        <v>1574</v>
      </c>
      <c r="G1096" s="81" t="s">
        <v>3744</v>
      </c>
    </row>
    <row r="1097" spans="1:7" x14ac:dyDescent="0.3">
      <c r="A1097" s="81" t="s">
        <v>1524</v>
      </c>
      <c r="B1097" s="81" t="s">
        <v>7427</v>
      </c>
      <c r="C1097" s="81" t="s">
        <v>16</v>
      </c>
      <c r="D1097" s="81" t="s">
        <v>404</v>
      </c>
      <c r="E1097" s="81" t="s">
        <v>369</v>
      </c>
      <c r="F1097" s="81" t="s">
        <v>1533</v>
      </c>
      <c r="G1097" s="81" t="s">
        <v>3729</v>
      </c>
    </row>
    <row r="1098" spans="1:7" x14ac:dyDescent="0.3">
      <c r="A1098" s="81" t="s">
        <v>1524</v>
      </c>
      <c r="B1098" s="81" t="s">
        <v>7427</v>
      </c>
      <c r="C1098" s="81" t="s">
        <v>16</v>
      </c>
      <c r="D1098" s="81" t="s">
        <v>404</v>
      </c>
      <c r="E1098" s="81" t="s">
        <v>382</v>
      </c>
      <c r="F1098" s="81" t="s">
        <v>1533</v>
      </c>
      <c r="G1098" s="81" t="s">
        <v>3730</v>
      </c>
    </row>
    <row r="1099" spans="1:7" x14ac:dyDescent="0.3">
      <c r="A1099" s="81" t="s">
        <v>1524</v>
      </c>
      <c r="B1099" s="81" t="s">
        <v>7427</v>
      </c>
      <c r="C1099" s="81" t="s">
        <v>16</v>
      </c>
      <c r="D1099" s="81" t="s">
        <v>404</v>
      </c>
      <c r="E1099" s="81" t="s">
        <v>370</v>
      </c>
      <c r="F1099" s="81" t="s">
        <v>1533</v>
      </c>
      <c r="G1099" s="81" t="s">
        <v>3731</v>
      </c>
    </row>
    <row r="1100" spans="1:7" x14ac:dyDescent="0.3">
      <c r="A1100" s="81" t="s">
        <v>1524</v>
      </c>
      <c r="B1100" s="81" t="s">
        <v>7427</v>
      </c>
      <c r="C1100" s="81" t="s">
        <v>16</v>
      </c>
      <c r="D1100" s="81" t="s">
        <v>404</v>
      </c>
      <c r="E1100" s="81" t="s">
        <v>378</v>
      </c>
      <c r="F1100" s="81" t="s">
        <v>1533</v>
      </c>
      <c r="G1100" s="81" t="s">
        <v>3732</v>
      </c>
    </row>
    <row r="1101" spans="1:7" x14ac:dyDescent="0.3">
      <c r="A1101" s="81" t="s">
        <v>1524</v>
      </c>
      <c r="B1101" s="81" t="s">
        <v>7427</v>
      </c>
      <c r="C1101" s="81" t="s">
        <v>16</v>
      </c>
      <c r="D1101" s="81" t="s">
        <v>404</v>
      </c>
      <c r="E1101" s="81" t="s">
        <v>371</v>
      </c>
      <c r="F1101" s="81" t="s">
        <v>1533</v>
      </c>
      <c r="G1101" s="81" t="s">
        <v>3733</v>
      </c>
    </row>
    <row r="1102" spans="1:7" x14ac:dyDescent="0.3">
      <c r="A1102" s="81" t="s">
        <v>1524</v>
      </c>
      <c r="B1102" s="81" t="s">
        <v>7427</v>
      </c>
      <c r="C1102" s="81" t="s">
        <v>16</v>
      </c>
      <c r="D1102" s="81" t="s">
        <v>404</v>
      </c>
      <c r="E1102" s="81" t="s">
        <v>376</v>
      </c>
      <c r="F1102" s="81" t="s">
        <v>1533</v>
      </c>
      <c r="G1102" s="81" t="s">
        <v>3734</v>
      </c>
    </row>
    <row r="1103" spans="1:7" x14ac:dyDescent="0.3">
      <c r="A1103" s="81" t="s">
        <v>1524</v>
      </c>
      <c r="B1103" s="81" t="s">
        <v>7427</v>
      </c>
      <c r="C1103" s="81" t="s">
        <v>16</v>
      </c>
      <c r="D1103" s="81" t="s">
        <v>404</v>
      </c>
      <c r="E1103" s="81" t="s">
        <v>377</v>
      </c>
      <c r="F1103" s="81" t="s">
        <v>1533</v>
      </c>
      <c r="G1103" s="81" t="s">
        <v>3735</v>
      </c>
    </row>
    <row r="1104" spans="1:7" x14ac:dyDescent="0.3">
      <c r="A1104" s="81" t="s">
        <v>1524</v>
      </c>
      <c r="B1104" s="81" t="s">
        <v>7427</v>
      </c>
      <c r="C1104" s="81" t="s">
        <v>16</v>
      </c>
      <c r="D1104" s="81" t="s">
        <v>404</v>
      </c>
      <c r="E1104" s="81" t="s">
        <v>381</v>
      </c>
      <c r="F1104" s="81" t="s">
        <v>1533</v>
      </c>
      <c r="G1104" s="81" t="s">
        <v>3736</v>
      </c>
    </row>
    <row r="1105" spans="1:7" x14ac:dyDescent="0.3">
      <c r="A1105" s="81" t="s">
        <v>1524</v>
      </c>
      <c r="B1105" s="81" t="s">
        <v>7427</v>
      </c>
      <c r="C1105" s="81" t="s">
        <v>16</v>
      </c>
      <c r="D1105" s="81" t="s">
        <v>404</v>
      </c>
      <c r="E1105" s="81" t="s">
        <v>379</v>
      </c>
      <c r="F1105" s="81" t="s">
        <v>1533</v>
      </c>
      <c r="G1105" s="81" t="s">
        <v>3737</v>
      </c>
    </row>
    <row r="1106" spans="1:7" x14ac:dyDescent="0.3">
      <c r="A1106" s="81" t="s">
        <v>1524</v>
      </c>
      <c r="B1106" s="81" t="s">
        <v>7427</v>
      </c>
      <c r="C1106" s="81" t="s">
        <v>16</v>
      </c>
      <c r="D1106" s="81" t="s">
        <v>404</v>
      </c>
      <c r="E1106" s="81" t="s">
        <v>374</v>
      </c>
      <c r="F1106" s="81" t="s">
        <v>1533</v>
      </c>
      <c r="G1106" s="81" t="s">
        <v>3738</v>
      </c>
    </row>
    <row r="1107" spans="1:7" x14ac:dyDescent="0.3">
      <c r="A1107" s="81" t="s">
        <v>1524</v>
      </c>
      <c r="B1107" s="81" t="s">
        <v>7427</v>
      </c>
      <c r="C1107" s="81" t="s">
        <v>16</v>
      </c>
      <c r="D1107" s="81" t="s">
        <v>404</v>
      </c>
      <c r="E1107" s="81" t="s">
        <v>383</v>
      </c>
      <c r="F1107" s="81" t="s">
        <v>1533</v>
      </c>
      <c r="G1107" s="81" t="s">
        <v>3739</v>
      </c>
    </row>
    <row r="1108" spans="1:7" x14ac:dyDescent="0.3">
      <c r="A1108" s="81" t="s">
        <v>1524</v>
      </c>
      <c r="B1108" s="81" t="s">
        <v>7427</v>
      </c>
      <c r="C1108" s="81" t="s">
        <v>16</v>
      </c>
      <c r="D1108" s="81" t="s">
        <v>404</v>
      </c>
      <c r="E1108" s="81" t="s">
        <v>373</v>
      </c>
      <c r="F1108" s="81" t="s">
        <v>1533</v>
      </c>
      <c r="G1108" s="81" t="s">
        <v>3740</v>
      </c>
    </row>
    <row r="1109" spans="1:7" x14ac:dyDescent="0.3">
      <c r="A1109" s="81" t="s">
        <v>1524</v>
      </c>
      <c r="B1109" s="81" t="s">
        <v>7427</v>
      </c>
      <c r="C1109" s="81" t="s">
        <v>16</v>
      </c>
      <c r="D1109" s="81" t="s">
        <v>404</v>
      </c>
      <c r="E1109" s="81" t="s">
        <v>368</v>
      </c>
      <c r="F1109" s="81" t="s">
        <v>1533</v>
      </c>
      <c r="G1109" s="81" t="s">
        <v>3741</v>
      </c>
    </row>
    <row r="1110" spans="1:7" x14ac:dyDescent="0.3">
      <c r="A1110" s="81" t="s">
        <v>1524</v>
      </c>
      <c r="B1110" s="81" t="s">
        <v>7427</v>
      </c>
      <c r="C1110" s="81" t="s">
        <v>16</v>
      </c>
      <c r="D1110" s="81" t="s">
        <v>404</v>
      </c>
      <c r="E1110" s="81" t="s">
        <v>372</v>
      </c>
      <c r="F1110" s="81" t="s">
        <v>1533</v>
      </c>
      <c r="G1110" s="81" t="s">
        <v>3742</v>
      </c>
    </row>
    <row r="1111" spans="1:7" x14ac:dyDescent="0.3">
      <c r="A1111" s="81" t="s">
        <v>1524</v>
      </c>
      <c r="B1111" s="81" t="s">
        <v>7427</v>
      </c>
      <c r="C1111" s="81" t="s">
        <v>16</v>
      </c>
      <c r="D1111" s="81" t="s">
        <v>404</v>
      </c>
      <c r="E1111" s="81" t="s">
        <v>375</v>
      </c>
      <c r="F1111" s="81" t="s">
        <v>1533</v>
      </c>
      <c r="G1111" s="81" t="s">
        <v>3743</v>
      </c>
    </row>
    <row r="1112" spans="1:7" x14ac:dyDescent="0.3">
      <c r="A1112" s="81" t="s">
        <v>1524</v>
      </c>
      <c r="B1112" s="81" t="s">
        <v>7427</v>
      </c>
      <c r="C1112" s="81" t="s">
        <v>16</v>
      </c>
      <c r="D1112" s="81" t="s">
        <v>404</v>
      </c>
      <c r="E1112" s="81" t="s">
        <v>380</v>
      </c>
      <c r="F1112" s="81" t="s">
        <v>1533</v>
      </c>
      <c r="G1112" s="81" t="s">
        <v>3744</v>
      </c>
    </row>
    <row r="1113" spans="1:7" x14ac:dyDescent="0.3">
      <c r="A1113" s="81" t="s">
        <v>1541</v>
      </c>
      <c r="B1113" s="81" t="s">
        <v>3762</v>
      </c>
      <c r="C1113" s="81" t="s">
        <v>20</v>
      </c>
      <c r="D1113" s="81" t="s">
        <v>16</v>
      </c>
      <c r="E1113" s="81" t="s">
        <v>15</v>
      </c>
      <c r="F1113" s="81" t="s">
        <v>1542</v>
      </c>
      <c r="G1113" s="81" t="s">
        <v>855</v>
      </c>
    </row>
    <row r="1114" spans="1:7" x14ac:dyDescent="0.3">
      <c r="A1114" s="81" t="s">
        <v>1541</v>
      </c>
      <c r="B1114" s="81" t="s">
        <v>3762</v>
      </c>
      <c r="C1114" s="81" t="s">
        <v>20</v>
      </c>
      <c r="D1114" s="81" t="s">
        <v>16</v>
      </c>
      <c r="E1114" s="81" t="s">
        <v>15</v>
      </c>
      <c r="F1114" s="81" t="s">
        <v>1548</v>
      </c>
      <c r="G1114" s="81" t="s">
        <v>855</v>
      </c>
    </row>
    <row r="1115" spans="1:7" x14ac:dyDescent="0.3">
      <c r="A1115" s="81" t="s">
        <v>1541</v>
      </c>
      <c r="B1115" s="81" t="s">
        <v>3762</v>
      </c>
      <c r="C1115" s="81" t="s">
        <v>20</v>
      </c>
      <c r="D1115" s="81" t="s">
        <v>404</v>
      </c>
      <c r="E1115" s="81" t="s">
        <v>15</v>
      </c>
      <c r="F1115" s="81" t="s">
        <v>1550</v>
      </c>
      <c r="G1115" s="81">
        <v>0</v>
      </c>
    </row>
    <row r="1116" spans="1:7" x14ac:dyDescent="0.3">
      <c r="A1116" s="81" t="s">
        <v>1541</v>
      </c>
      <c r="B1116" s="81" t="s">
        <v>3762</v>
      </c>
      <c r="C1116" s="81" t="s">
        <v>20</v>
      </c>
      <c r="D1116" s="81" t="s">
        <v>5590</v>
      </c>
      <c r="E1116" s="81" t="s">
        <v>15</v>
      </c>
      <c r="F1116" s="81" t="s">
        <v>1550</v>
      </c>
      <c r="G1116" s="81">
        <v>0</v>
      </c>
    </row>
    <row r="1117" spans="1:7" x14ac:dyDescent="0.3">
      <c r="A1117" s="81" t="s">
        <v>1541</v>
      </c>
      <c r="B1117" s="81" t="s">
        <v>3762</v>
      </c>
      <c r="C1117" s="81" t="s">
        <v>16</v>
      </c>
      <c r="D1117" s="81" t="s">
        <v>16</v>
      </c>
      <c r="E1117" s="81" t="s">
        <v>369</v>
      </c>
      <c r="F1117" s="81" t="s">
        <v>1542</v>
      </c>
      <c r="G1117" s="81" t="s">
        <v>3745</v>
      </c>
    </row>
    <row r="1118" spans="1:7" x14ac:dyDescent="0.3">
      <c r="A1118" s="81" t="s">
        <v>1541</v>
      </c>
      <c r="B1118" s="81" t="s">
        <v>3762</v>
      </c>
      <c r="C1118" s="81" t="s">
        <v>16</v>
      </c>
      <c r="D1118" s="81" t="s">
        <v>16</v>
      </c>
      <c r="E1118" s="81" t="s">
        <v>382</v>
      </c>
      <c r="F1118" s="81" t="s">
        <v>1542</v>
      </c>
      <c r="G1118" s="81" t="s">
        <v>3746</v>
      </c>
    </row>
    <row r="1119" spans="1:7" x14ac:dyDescent="0.3">
      <c r="A1119" s="81" t="s">
        <v>1541</v>
      </c>
      <c r="B1119" s="81" t="s">
        <v>3762</v>
      </c>
      <c r="C1119" s="81" t="s">
        <v>16</v>
      </c>
      <c r="D1119" s="81" t="s">
        <v>16</v>
      </c>
      <c r="E1119" s="81" t="s">
        <v>370</v>
      </c>
      <c r="F1119" s="81" t="s">
        <v>1542</v>
      </c>
      <c r="G1119" s="81" t="s">
        <v>3747</v>
      </c>
    </row>
    <row r="1120" spans="1:7" x14ac:dyDescent="0.3">
      <c r="A1120" s="81" t="s">
        <v>1541</v>
      </c>
      <c r="B1120" s="81" t="s">
        <v>3762</v>
      </c>
      <c r="C1120" s="81" t="s">
        <v>16</v>
      </c>
      <c r="D1120" s="81" t="s">
        <v>16</v>
      </c>
      <c r="E1120" s="81" t="s">
        <v>378</v>
      </c>
      <c r="F1120" s="81" t="s">
        <v>1542</v>
      </c>
      <c r="G1120" s="81" t="s">
        <v>3748</v>
      </c>
    </row>
    <row r="1121" spans="1:7" x14ac:dyDescent="0.3">
      <c r="A1121" s="81" t="s">
        <v>1541</v>
      </c>
      <c r="B1121" s="81" t="s">
        <v>3762</v>
      </c>
      <c r="C1121" s="81" t="s">
        <v>16</v>
      </c>
      <c r="D1121" s="81" t="s">
        <v>16</v>
      </c>
      <c r="E1121" s="81" t="s">
        <v>371</v>
      </c>
      <c r="F1121" s="81" t="s">
        <v>1542</v>
      </c>
      <c r="G1121" s="81" t="s">
        <v>3749</v>
      </c>
    </row>
    <row r="1122" spans="1:7" x14ac:dyDescent="0.3">
      <c r="A1122" s="81" t="s">
        <v>1541</v>
      </c>
      <c r="B1122" s="81" t="s">
        <v>3762</v>
      </c>
      <c r="C1122" s="81" t="s">
        <v>16</v>
      </c>
      <c r="D1122" s="81" t="s">
        <v>16</v>
      </c>
      <c r="E1122" s="81" t="s">
        <v>376</v>
      </c>
      <c r="F1122" s="81" t="s">
        <v>1542</v>
      </c>
      <c r="G1122" s="81" t="s">
        <v>3750</v>
      </c>
    </row>
    <row r="1123" spans="1:7" x14ac:dyDescent="0.3">
      <c r="A1123" s="81" t="s">
        <v>1541</v>
      </c>
      <c r="B1123" s="81" t="s">
        <v>3762</v>
      </c>
      <c r="C1123" s="81" t="s">
        <v>16</v>
      </c>
      <c r="D1123" s="81" t="s">
        <v>16</v>
      </c>
      <c r="E1123" s="81" t="s">
        <v>377</v>
      </c>
      <c r="F1123" s="81" t="s">
        <v>1542</v>
      </c>
      <c r="G1123" s="81" t="s">
        <v>3751</v>
      </c>
    </row>
    <row r="1124" spans="1:7" x14ac:dyDescent="0.3">
      <c r="A1124" s="81" t="s">
        <v>1541</v>
      </c>
      <c r="B1124" s="81" t="s">
        <v>3762</v>
      </c>
      <c r="C1124" s="81" t="s">
        <v>16</v>
      </c>
      <c r="D1124" s="81" t="s">
        <v>16</v>
      </c>
      <c r="E1124" s="81" t="s">
        <v>381</v>
      </c>
      <c r="F1124" s="81" t="s">
        <v>1542</v>
      </c>
      <c r="G1124" s="81" t="s">
        <v>3752</v>
      </c>
    </row>
    <row r="1125" spans="1:7" x14ac:dyDescent="0.3">
      <c r="A1125" s="81" t="s">
        <v>1541</v>
      </c>
      <c r="B1125" s="81" t="s">
        <v>3762</v>
      </c>
      <c r="C1125" s="81" t="s">
        <v>16</v>
      </c>
      <c r="D1125" s="81" t="s">
        <v>16</v>
      </c>
      <c r="E1125" s="81" t="s">
        <v>379</v>
      </c>
      <c r="F1125" s="81" t="s">
        <v>1542</v>
      </c>
      <c r="G1125" s="81" t="s">
        <v>3753</v>
      </c>
    </row>
    <row r="1126" spans="1:7" x14ac:dyDescent="0.3">
      <c r="A1126" s="81" t="s">
        <v>1541</v>
      </c>
      <c r="B1126" s="81" t="s">
        <v>3762</v>
      </c>
      <c r="C1126" s="81" t="s">
        <v>16</v>
      </c>
      <c r="D1126" s="81" t="s">
        <v>16</v>
      </c>
      <c r="E1126" s="81" t="s">
        <v>374</v>
      </c>
      <c r="F1126" s="81" t="s">
        <v>1542</v>
      </c>
      <c r="G1126" s="81" t="s">
        <v>3754</v>
      </c>
    </row>
    <row r="1127" spans="1:7" x14ac:dyDescent="0.3">
      <c r="A1127" s="81" t="s">
        <v>1541</v>
      </c>
      <c r="B1127" s="81" t="s">
        <v>3762</v>
      </c>
      <c r="C1127" s="81" t="s">
        <v>16</v>
      </c>
      <c r="D1127" s="81" t="s">
        <v>16</v>
      </c>
      <c r="E1127" s="81" t="s">
        <v>383</v>
      </c>
      <c r="F1127" s="81" t="s">
        <v>1542</v>
      </c>
      <c r="G1127" s="81" t="s">
        <v>3755</v>
      </c>
    </row>
    <row r="1128" spans="1:7" x14ac:dyDescent="0.3">
      <c r="A1128" s="81" t="s">
        <v>1541</v>
      </c>
      <c r="B1128" s="81" t="s">
        <v>3762</v>
      </c>
      <c r="C1128" s="81" t="s">
        <v>16</v>
      </c>
      <c r="D1128" s="81" t="s">
        <v>16</v>
      </c>
      <c r="E1128" s="81" t="s">
        <v>373</v>
      </c>
      <c r="F1128" s="81" t="s">
        <v>1542</v>
      </c>
      <c r="G1128" s="81" t="s">
        <v>3756</v>
      </c>
    </row>
    <row r="1129" spans="1:7" x14ac:dyDescent="0.3">
      <c r="A1129" s="81" t="s">
        <v>1541</v>
      </c>
      <c r="B1129" s="81" t="s">
        <v>3762</v>
      </c>
      <c r="C1129" s="81" t="s">
        <v>16</v>
      </c>
      <c r="D1129" s="81" t="s">
        <v>16</v>
      </c>
      <c r="E1129" s="81" t="s">
        <v>368</v>
      </c>
      <c r="F1129" s="81" t="s">
        <v>1542</v>
      </c>
      <c r="G1129" s="81" t="s">
        <v>3757</v>
      </c>
    </row>
    <row r="1130" spans="1:7" x14ac:dyDescent="0.3">
      <c r="A1130" s="81" t="s">
        <v>1541</v>
      </c>
      <c r="B1130" s="81" t="s">
        <v>3762</v>
      </c>
      <c r="C1130" s="81" t="s">
        <v>16</v>
      </c>
      <c r="D1130" s="81" t="s">
        <v>16</v>
      </c>
      <c r="E1130" s="81" t="s">
        <v>372</v>
      </c>
      <c r="F1130" s="81" t="s">
        <v>1542</v>
      </c>
      <c r="G1130" s="81" t="s">
        <v>3758</v>
      </c>
    </row>
    <row r="1131" spans="1:7" x14ac:dyDescent="0.3">
      <c r="A1131" s="81" t="s">
        <v>1541</v>
      </c>
      <c r="B1131" s="81" t="s">
        <v>3762</v>
      </c>
      <c r="C1131" s="81" t="s">
        <v>16</v>
      </c>
      <c r="D1131" s="81" t="s">
        <v>16</v>
      </c>
      <c r="E1131" s="81" t="s">
        <v>375</v>
      </c>
      <c r="F1131" s="81" t="s">
        <v>1542</v>
      </c>
      <c r="G1131" s="81" t="s">
        <v>3759</v>
      </c>
    </row>
    <row r="1132" spans="1:7" x14ac:dyDescent="0.3">
      <c r="A1132" s="81" t="s">
        <v>1541</v>
      </c>
      <c r="B1132" s="81" t="s">
        <v>3762</v>
      </c>
      <c r="C1132" s="81" t="s">
        <v>16</v>
      </c>
      <c r="D1132" s="81" t="s">
        <v>16</v>
      </c>
      <c r="E1132" s="81" t="s">
        <v>380</v>
      </c>
      <c r="F1132" s="81" t="s">
        <v>1542</v>
      </c>
      <c r="G1132" s="81" t="s">
        <v>3760</v>
      </c>
    </row>
    <row r="1133" spans="1:7" x14ac:dyDescent="0.3">
      <c r="A1133" s="81" t="s">
        <v>1541</v>
      </c>
      <c r="B1133" s="81" t="s">
        <v>3762</v>
      </c>
      <c r="C1133" s="81" t="s">
        <v>16</v>
      </c>
      <c r="D1133" s="81" t="s">
        <v>404</v>
      </c>
      <c r="E1133" s="81" t="s">
        <v>369</v>
      </c>
      <c r="F1133" s="81" t="s">
        <v>1548</v>
      </c>
      <c r="G1133" s="81" t="s">
        <v>3745</v>
      </c>
    </row>
    <row r="1134" spans="1:7" x14ac:dyDescent="0.3">
      <c r="A1134" s="81" t="s">
        <v>1541</v>
      </c>
      <c r="B1134" s="81" t="s">
        <v>3762</v>
      </c>
      <c r="C1134" s="81" t="s">
        <v>16</v>
      </c>
      <c r="D1134" s="81" t="s">
        <v>404</v>
      </c>
      <c r="E1134" s="81" t="s">
        <v>382</v>
      </c>
      <c r="F1134" s="81" t="s">
        <v>1548</v>
      </c>
      <c r="G1134" s="81" t="s">
        <v>3746</v>
      </c>
    </row>
    <row r="1135" spans="1:7" x14ac:dyDescent="0.3">
      <c r="A1135" s="81" t="s">
        <v>1541</v>
      </c>
      <c r="B1135" s="81" t="s">
        <v>3762</v>
      </c>
      <c r="C1135" s="81" t="s">
        <v>16</v>
      </c>
      <c r="D1135" s="81" t="s">
        <v>404</v>
      </c>
      <c r="E1135" s="81" t="s">
        <v>370</v>
      </c>
      <c r="F1135" s="81" t="s">
        <v>1548</v>
      </c>
      <c r="G1135" s="81" t="s">
        <v>3747</v>
      </c>
    </row>
    <row r="1136" spans="1:7" x14ac:dyDescent="0.3">
      <c r="A1136" s="81" t="s">
        <v>1541</v>
      </c>
      <c r="B1136" s="81" t="s">
        <v>3762</v>
      </c>
      <c r="C1136" s="81" t="s">
        <v>16</v>
      </c>
      <c r="D1136" s="81" t="s">
        <v>404</v>
      </c>
      <c r="E1136" s="81" t="s">
        <v>378</v>
      </c>
      <c r="F1136" s="81" t="s">
        <v>1548</v>
      </c>
      <c r="G1136" s="81" t="s">
        <v>3748</v>
      </c>
    </row>
    <row r="1137" spans="1:7" x14ac:dyDescent="0.3">
      <c r="A1137" s="81" t="s">
        <v>1541</v>
      </c>
      <c r="B1137" s="81" t="s">
        <v>3762</v>
      </c>
      <c r="C1137" s="81" t="s">
        <v>16</v>
      </c>
      <c r="D1137" s="81" t="s">
        <v>404</v>
      </c>
      <c r="E1137" s="81" t="s">
        <v>371</v>
      </c>
      <c r="F1137" s="81" t="s">
        <v>1548</v>
      </c>
      <c r="G1137" s="81" t="s">
        <v>3749</v>
      </c>
    </row>
    <row r="1138" spans="1:7" x14ac:dyDescent="0.3">
      <c r="A1138" s="81" t="s">
        <v>1541</v>
      </c>
      <c r="B1138" s="81" t="s">
        <v>3762</v>
      </c>
      <c r="C1138" s="81" t="s">
        <v>16</v>
      </c>
      <c r="D1138" s="81" t="s">
        <v>404</v>
      </c>
      <c r="E1138" s="81" t="s">
        <v>376</v>
      </c>
      <c r="F1138" s="81" t="s">
        <v>1548</v>
      </c>
      <c r="G1138" s="81" t="s">
        <v>3750</v>
      </c>
    </row>
    <row r="1139" spans="1:7" x14ac:dyDescent="0.3">
      <c r="A1139" s="81" t="s">
        <v>1541</v>
      </c>
      <c r="B1139" s="81" t="s">
        <v>3762</v>
      </c>
      <c r="C1139" s="81" t="s">
        <v>16</v>
      </c>
      <c r="D1139" s="81" t="s">
        <v>404</v>
      </c>
      <c r="E1139" s="81" t="s">
        <v>377</v>
      </c>
      <c r="F1139" s="81" t="s">
        <v>1548</v>
      </c>
      <c r="G1139" s="81" t="s">
        <v>3751</v>
      </c>
    </row>
    <row r="1140" spans="1:7" x14ac:dyDescent="0.3">
      <c r="A1140" s="81" t="s">
        <v>1541</v>
      </c>
      <c r="B1140" s="81" t="s">
        <v>3762</v>
      </c>
      <c r="C1140" s="81" t="s">
        <v>16</v>
      </c>
      <c r="D1140" s="81" t="s">
        <v>404</v>
      </c>
      <c r="E1140" s="81" t="s">
        <v>381</v>
      </c>
      <c r="F1140" s="81" t="s">
        <v>1548</v>
      </c>
      <c r="G1140" s="81" t="s">
        <v>3752</v>
      </c>
    </row>
    <row r="1141" spans="1:7" x14ac:dyDescent="0.3">
      <c r="A1141" s="81" t="s">
        <v>1541</v>
      </c>
      <c r="B1141" s="81" t="s">
        <v>3762</v>
      </c>
      <c r="C1141" s="81" t="s">
        <v>16</v>
      </c>
      <c r="D1141" s="81" t="s">
        <v>404</v>
      </c>
      <c r="E1141" s="81" t="s">
        <v>379</v>
      </c>
      <c r="F1141" s="81" t="s">
        <v>1548</v>
      </c>
      <c r="G1141" s="81" t="s">
        <v>3753</v>
      </c>
    </row>
    <row r="1142" spans="1:7" x14ac:dyDescent="0.3">
      <c r="A1142" s="81" t="s">
        <v>1541</v>
      </c>
      <c r="B1142" s="81" t="s">
        <v>3762</v>
      </c>
      <c r="C1142" s="81" t="s">
        <v>16</v>
      </c>
      <c r="D1142" s="81" t="s">
        <v>404</v>
      </c>
      <c r="E1142" s="81" t="s">
        <v>374</v>
      </c>
      <c r="F1142" s="81" t="s">
        <v>1548</v>
      </c>
      <c r="G1142" s="81" t="s">
        <v>3754</v>
      </c>
    </row>
    <row r="1143" spans="1:7" x14ac:dyDescent="0.3">
      <c r="A1143" s="81" t="s">
        <v>1541</v>
      </c>
      <c r="B1143" s="81" t="s">
        <v>3762</v>
      </c>
      <c r="C1143" s="81" t="s">
        <v>16</v>
      </c>
      <c r="D1143" s="81" t="s">
        <v>404</v>
      </c>
      <c r="E1143" s="81" t="s">
        <v>383</v>
      </c>
      <c r="F1143" s="81" t="s">
        <v>1548</v>
      </c>
      <c r="G1143" s="81" t="s">
        <v>3755</v>
      </c>
    </row>
    <row r="1144" spans="1:7" x14ac:dyDescent="0.3">
      <c r="A1144" s="81" t="s">
        <v>1541</v>
      </c>
      <c r="B1144" s="81" t="s">
        <v>3762</v>
      </c>
      <c r="C1144" s="81" t="s">
        <v>16</v>
      </c>
      <c r="D1144" s="81" t="s">
        <v>404</v>
      </c>
      <c r="E1144" s="81" t="s">
        <v>373</v>
      </c>
      <c r="F1144" s="81" t="s">
        <v>1548</v>
      </c>
      <c r="G1144" s="81" t="s">
        <v>3756</v>
      </c>
    </row>
    <row r="1145" spans="1:7" x14ac:dyDescent="0.3">
      <c r="A1145" s="81" t="s">
        <v>1541</v>
      </c>
      <c r="B1145" s="81" t="s">
        <v>3762</v>
      </c>
      <c r="C1145" s="81" t="s">
        <v>16</v>
      </c>
      <c r="D1145" s="81" t="s">
        <v>404</v>
      </c>
      <c r="E1145" s="81" t="s">
        <v>368</v>
      </c>
      <c r="F1145" s="81" t="s">
        <v>1548</v>
      </c>
      <c r="G1145" s="81" t="s">
        <v>3757</v>
      </c>
    </row>
    <row r="1146" spans="1:7" x14ac:dyDescent="0.3">
      <c r="A1146" s="81" t="s">
        <v>1541</v>
      </c>
      <c r="B1146" s="81" t="s">
        <v>3762</v>
      </c>
      <c r="C1146" s="81" t="s">
        <v>16</v>
      </c>
      <c r="D1146" s="81" t="s">
        <v>404</v>
      </c>
      <c r="E1146" s="81" t="s">
        <v>372</v>
      </c>
      <c r="F1146" s="81" t="s">
        <v>1548</v>
      </c>
      <c r="G1146" s="81" t="s">
        <v>3758</v>
      </c>
    </row>
    <row r="1147" spans="1:7" x14ac:dyDescent="0.3">
      <c r="A1147" s="81" t="s">
        <v>1541</v>
      </c>
      <c r="B1147" s="81" t="s">
        <v>3762</v>
      </c>
      <c r="C1147" s="81" t="s">
        <v>16</v>
      </c>
      <c r="D1147" s="81" t="s">
        <v>404</v>
      </c>
      <c r="E1147" s="81" t="s">
        <v>375</v>
      </c>
      <c r="F1147" s="81" t="s">
        <v>1548</v>
      </c>
      <c r="G1147" s="81" t="s">
        <v>3759</v>
      </c>
    </row>
    <row r="1148" spans="1:7" x14ac:dyDescent="0.3">
      <c r="A1148" s="81" t="s">
        <v>1541</v>
      </c>
      <c r="B1148" s="81" t="s">
        <v>3762</v>
      </c>
      <c r="C1148" s="81" t="s">
        <v>16</v>
      </c>
      <c r="D1148" s="81" t="s">
        <v>404</v>
      </c>
      <c r="E1148" s="81" t="s">
        <v>380</v>
      </c>
      <c r="F1148" s="81" t="s">
        <v>1548</v>
      </c>
      <c r="G1148" s="81" t="s">
        <v>3760</v>
      </c>
    </row>
    <row r="1149" spans="1:7" x14ac:dyDescent="0.3">
      <c r="A1149" s="81" t="s">
        <v>1558</v>
      </c>
      <c r="B1149" s="81" t="s">
        <v>3770</v>
      </c>
      <c r="C1149" s="81" t="s">
        <v>20</v>
      </c>
      <c r="D1149" s="81" t="s">
        <v>404</v>
      </c>
      <c r="E1149" s="81" t="s">
        <v>15</v>
      </c>
      <c r="F1149" s="81" t="s">
        <v>1560</v>
      </c>
      <c r="G1149" s="81">
        <v>0</v>
      </c>
    </row>
    <row r="1150" spans="1:7" x14ac:dyDescent="0.3">
      <c r="A1150" s="81" t="s">
        <v>1641</v>
      </c>
      <c r="B1150" s="81" t="s">
        <v>3785</v>
      </c>
      <c r="C1150" s="81" t="s">
        <v>20</v>
      </c>
      <c r="D1150" s="81" t="s">
        <v>404</v>
      </c>
      <c r="E1150" s="81" t="s">
        <v>15</v>
      </c>
      <c r="F1150" s="81" t="s">
        <v>847</v>
      </c>
      <c r="G1150" s="81">
        <v>0</v>
      </c>
    </row>
    <row r="1151" spans="1:7" x14ac:dyDescent="0.3">
      <c r="A1151" s="81" t="s">
        <v>1641</v>
      </c>
      <c r="B1151" s="81" t="s">
        <v>3785</v>
      </c>
      <c r="C1151" s="81" t="s">
        <v>20</v>
      </c>
      <c r="D1151" s="81" t="s">
        <v>404</v>
      </c>
      <c r="E1151" s="81" t="s">
        <v>15</v>
      </c>
      <c r="F1151" s="81" t="s">
        <v>1645</v>
      </c>
      <c r="G1151" s="81" t="s">
        <v>1033</v>
      </c>
    </row>
    <row r="1152" spans="1:7" x14ac:dyDescent="0.3">
      <c r="A1152" s="81" t="s">
        <v>1641</v>
      </c>
      <c r="B1152" s="81" t="s">
        <v>3785</v>
      </c>
      <c r="C1152" s="81" t="s">
        <v>20</v>
      </c>
      <c r="D1152" s="81" t="s">
        <v>404</v>
      </c>
      <c r="E1152" s="81" t="s">
        <v>15</v>
      </c>
      <c r="F1152" s="81" t="s">
        <v>1649</v>
      </c>
      <c r="G1152" s="81" t="s">
        <v>855</v>
      </c>
    </row>
    <row r="1153" spans="1:7" x14ac:dyDescent="0.3">
      <c r="A1153" s="81" t="s">
        <v>1641</v>
      </c>
      <c r="B1153" s="81" t="s">
        <v>3785</v>
      </c>
      <c r="C1153" s="81" t="s">
        <v>16</v>
      </c>
      <c r="D1153" s="81" t="s">
        <v>404</v>
      </c>
      <c r="E1153" s="81" t="s">
        <v>369</v>
      </c>
      <c r="F1153" s="81" t="s">
        <v>1644</v>
      </c>
      <c r="G1153" s="81" t="s">
        <v>3729</v>
      </c>
    </row>
    <row r="1154" spans="1:7" x14ac:dyDescent="0.3">
      <c r="A1154" s="81" t="s">
        <v>1641</v>
      </c>
      <c r="B1154" s="81" t="s">
        <v>3785</v>
      </c>
      <c r="C1154" s="81" t="s">
        <v>16</v>
      </c>
      <c r="D1154" s="81" t="s">
        <v>404</v>
      </c>
      <c r="E1154" s="81" t="s">
        <v>369</v>
      </c>
      <c r="F1154" s="81" t="s">
        <v>1649</v>
      </c>
      <c r="G1154" s="81" t="s">
        <v>3745</v>
      </c>
    </row>
    <row r="1155" spans="1:7" x14ac:dyDescent="0.3">
      <c r="A1155" s="81" t="s">
        <v>1641</v>
      </c>
      <c r="B1155" s="81" t="s">
        <v>3785</v>
      </c>
      <c r="C1155" s="81" t="s">
        <v>16</v>
      </c>
      <c r="D1155" s="81" t="s">
        <v>404</v>
      </c>
      <c r="E1155" s="81" t="s">
        <v>382</v>
      </c>
      <c r="F1155" s="81" t="s">
        <v>1644</v>
      </c>
      <c r="G1155" s="81" t="s">
        <v>3730</v>
      </c>
    </row>
    <row r="1156" spans="1:7" x14ac:dyDescent="0.3">
      <c r="A1156" s="81" t="s">
        <v>1641</v>
      </c>
      <c r="B1156" s="81" t="s">
        <v>3785</v>
      </c>
      <c r="C1156" s="81" t="s">
        <v>16</v>
      </c>
      <c r="D1156" s="81" t="s">
        <v>404</v>
      </c>
      <c r="E1156" s="81" t="s">
        <v>382</v>
      </c>
      <c r="F1156" s="81" t="s">
        <v>1649</v>
      </c>
      <c r="G1156" s="81" t="s">
        <v>3746</v>
      </c>
    </row>
    <row r="1157" spans="1:7" x14ac:dyDescent="0.3">
      <c r="A1157" s="81" t="s">
        <v>1641</v>
      </c>
      <c r="B1157" s="81" t="s">
        <v>3785</v>
      </c>
      <c r="C1157" s="81" t="s">
        <v>16</v>
      </c>
      <c r="D1157" s="81" t="s">
        <v>404</v>
      </c>
      <c r="E1157" s="81" t="s">
        <v>370</v>
      </c>
      <c r="F1157" s="81" t="s">
        <v>1644</v>
      </c>
      <c r="G1157" s="81" t="s">
        <v>3731</v>
      </c>
    </row>
    <row r="1158" spans="1:7" x14ac:dyDescent="0.3">
      <c r="A1158" s="81" t="s">
        <v>1641</v>
      </c>
      <c r="B1158" s="81" t="s">
        <v>3785</v>
      </c>
      <c r="C1158" s="81" t="s">
        <v>16</v>
      </c>
      <c r="D1158" s="81" t="s">
        <v>404</v>
      </c>
      <c r="E1158" s="81" t="s">
        <v>370</v>
      </c>
      <c r="F1158" s="81" t="s">
        <v>1649</v>
      </c>
      <c r="G1158" s="81" t="s">
        <v>3747</v>
      </c>
    </row>
    <row r="1159" spans="1:7" x14ac:dyDescent="0.3">
      <c r="A1159" s="81" t="s">
        <v>1641</v>
      </c>
      <c r="B1159" s="81" t="s">
        <v>3785</v>
      </c>
      <c r="C1159" s="81" t="s">
        <v>16</v>
      </c>
      <c r="D1159" s="81" t="s">
        <v>404</v>
      </c>
      <c r="E1159" s="81" t="s">
        <v>378</v>
      </c>
      <c r="F1159" s="81" t="s">
        <v>1644</v>
      </c>
      <c r="G1159" s="81" t="s">
        <v>3732</v>
      </c>
    </row>
    <row r="1160" spans="1:7" x14ac:dyDescent="0.3">
      <c r="A1160" s="81" t="s">
        <v>1641</v>
      </c>
      <c r="B1160" s="81" t="s">
        <v>3785</v>
      </c>
      <c r="C1160" s="81" t="s">
        <v>16</v>
      </c>
      <c r="D1160" s="81" t="s">
        <v>404</v>
      </c>
      <c r="E1160" s="81" t="s">
        <v>378</v>
      </c>
      <c r="F1160" s="81" t="s">
        <v>1649</v>
      </c>
      <c r="G1160" s="81" t="s">
        <v>3748</v>
      </c>
    </row>
    <row r="1161" spans="1:7" x14ac:dyDescent="0.3">
      <c r="A1161" s="81" t="s">
        <v>1641</v>
      </c>
      <c r="B1161" s="81" t="s">
        <v>3785</v>
      </c>
      <c r="C1161" s="81" t="s">
        <v>16</v>
      </c>
      <c r="D1161" s="81" t="s">
        <v>404</v>
      </c>
      <c r="E1161" s="81" t="s">
        <v>371</v>
      </c>
      <c r="F1161" s="81" t="s">
        <v>1644</v>
      </c>
      <c r="G1161" s="81" t="s">
        <v>3733</v>
      </c>
    </row>
    <row r="1162" spans="1:7" x14ac:dyDescent="0.3">
      <c r="A1162" s="81" t="s">
        <v>1641</v>
      </c>
      <c r="B1162" s="81" t="s">
        <v>3785</v>
      </c>
      <c r="C1162" s="81" t="s">
        <v>16</v>
      </c>
      <c r="D1162" s="81" t="s">
        <v>404</v>
      </c>
      <c r="E1162" s="81" t="s">
        <v>371</v>
      </c>
      <c r="F1162" s="81" t="s">
        <v>1649</v>
      </c>
      <c r="G1162" s="81" t="s">
        <v>3749</v>
      </c>
    </row>
    <row r="1163" spans="1:7" x14ac:dyDescent="0.3">
      <c r="A1163" s="81" t="s">
        <v>1641</v>
      </c>
      <c r="B1163" s="81" t="s">
        <v>3785</v>
      </c>
      <c r="C1163" s="81" t="s">
        <v>16</v>
      </c>
      <c r="D1163" s="81" t="s">
        <v>404</v>
      </c>
      <c r="E1163" s="81" t="s">
        <v>376</v>
      </c>
      <c r="F1163" s="81" t="s">
        <v>1644</v>
      </c>
      <c r="G1163" s="81" t="s">
        <v>3734</v>
      </c>
    </row>
    <row r="1164" spans="1:7" x14ac:dyDescent="0.3">
      <c r="A1164" s="81" t="s">
        <v>1641</v>
      </c>
      <c r="B1164" s="81" t="s">
        <v>3785</v>
      </c>
      <c r="C1164" s="81" t="s">
        <v>16</v>
      </c>
      <c r="D1164" s="81" t="s">
        <v>404</v>
      </c>
      <c r="E1164" s="81" t="s">
        <v>376</v>
      </c>
      <c r="F1164" s="81" t="s">
        <v>1649</v>
      </c>
      <c r="G1164" s="81" t="s">
        <v>3750</v>
      </c>
    </row>
    <row r="1165" spans="1:7" x14ac:dyDescent="0.3">
      <c r="A1165" s="81" t="s">
        <v>1641</v>
      </c>
      <c r="B1165" s="81" t="s">
        <v>3785</v>
      </c>
      <c r="C1165" s="81" t="s">
        <v>16</v>
      </c>
      <c r="D1165" s="81" t="s">
        <v>404</v>
      </c>
      <c r="E1165" s="81" t="s">
        <v>377</v>
      </c>
      <c r="F1165" s="81" t="s">
        <v>1644</v>
      </c>
      <c r="G1165" s="81" t="s">
        <v>3735</v>
      </c>
    </row>
    <row r="1166" spans="1:7" x14ac:dyDescent="0.3">
      <c r="A1166" s="81" t="s">
        <v>1641</v>
      </c>
      <c r="B1166" s="81" t="s">
        <v>3785</v>
      </c>
      <c r="C1166" s="81" t="s">
        <v>16</v>
      </c>
      <c r="D1166" s="81" t="s">
        <v>404</v>
      </c>
      <c r="E1166" s="81" t="s">
        <v>377</v>
      </c>
      <c r="F1166" s="81" t="s">
        <v>1649</v>
      </c>
      <c r="G1166" s="81" t="s">
        <v>3751</v>
      </c>
    </row>
    <row r="1167" spans="1:7" x14ac:dyDescent="0.3">
      <c r="A1167" s="81" t="s">
        <v>1641</v>
      </c>
      <c r="B1167" s="81" t="s">
        <v>3785</v>
      </c>
      <c r="C1167" s="81" t="s">
        <v>16</v>
      </c>
      <c r="D1167" s="81" t="s">
        <v>404</v>
      </c>
      <c r="E1167" s="81" t="s">
        <v>381</v>
      </c>
      <c r="F1167" s="81" t="s">
        <v>1644</v>
      </c>
      <c r="G1167" s="81" t="s">
        <v>3736</v>
      </c>
    </row>
    <row r="1168" spans="1:7" x14ac:dyDescent="0.3">
      <c r="A1168" s="81" t="s">
        <v>1641</v>
      </c>
      <c r="B1168" s="81" t="s">
        <v>3785</v>
      </c>
      <c r="C1168" s="81" t="s">
        <v>16</v>
      </c>
      <c r="D1168" s="81" t="s">
        <v>404</v>
      </c>
      <c r="E1168" s="81" t="s">
        <v>381</v>
      </c>
      <c r="F1168" s="81" t="s">
        <v>1649</v>
      </c>
      <c r="G1168" s="81" t="s">
        <v>3752</v>
      </c>
    </row>
    <row r="1169" spans="1:7" x14ac:dyDescent="0.3">
      <c r="A1169" s="81" t="s">
        <v>1641</v>
      </c>
      <c r="B1169" s="81" t="s">
        <v>3785</v>
      </c>
      <c r="C1169" s="81" t="s">
        <v>16</v>
      </c>
      <c r="D1169" s="81" t="s">
        <v>404</v>
      </c>
      <c r="E1169" s="81" t="s">
        <v>379</v>
      </c>
      <c r="F1169" s="81" t="s">
        <v>1644</v>
      </c>
      <c r="G1169" s="81" t="s">
        <v>3737</v>
      </c>
    </row>
    <row r="1170" spans="1:7" x14ac:dyDescent="0.3">
      <c r="A1170" s="81" t="s">
        <v>1641</v>
      </c>
      <c r="B1170" s="81" t="s">
        <v>3785</v>
      </c>
      <c r="C1170" s="81" t="s">
        <v>16</v>
      </c>
      <c r="D1170" s="81" t="s">
        <v>404</v>
      </c>
      <c r="E1170" s="81" t="s">
        <v>379</v>
      </c>
      <c r="F1170" s="81" t="s">
        <v>1649</v>
      </c>
      <c r="G1170" s="81" t="s">
        <v>3753</v>
      </c>
    </row>
    <row r="1171" spans="1:7" x14ac:dyDescent="0.3">
      <c r="A1171" s="81" t="s">
        <v>1641</v>
      </c>
      <c r="B1171" s="81" t="s">
        <v>3785</v>
      </c>
      <c r="C1171" s="81" t="s">
        <v>16</v>
      </c>
      <c r="D1171" s="81" t="s">
        <v>404</v>
      </c>
      <c r="E1171" s="81" t="s">
        <v>374</v>
      </c>
      <c r="F1171" s="81" t="s">
        <v>1644</v>
      </c>
      <c r="G1171" s="81" t="s">
        <v>3738</v>
      </c>
    </row>
    <row r="1172" spans="1:7" x14ac:dyDescent="0.3">
      <c r="A1172" s="81" t="s">
        <v>1641</v>
      </c>
      <c r="B1172" s="81" t="s">
        <v>3785</v>
      </c>
      <c r="C1172" s="81" t="s">
        <v>16</v>
      </c>
      <c r="D1172" s="81" t="s">
        <v>404</v>
      </c>
      <c r="E1172" s="81" t="s">
        <v>374</v>
      </c>
      <c r="F1172" s="81" t="s">
        <v>1649</v>
      </c>
      <c r="G1172" s="81" t="s">
        <v>3754</v>
      </c>
    </row>
    <row r="1173" spans="1:7" x14ac:dyDescent="0.3">
      <c r="A1173" s="81" t="s">
        <v>1641</v>
      </c>
      <c r="B1173" s="81" t="s">
        <v>3785</v>
      </c>
      <c r="C1173" s="81" t="s">
        <v>16</v>
      </c>
      <c r="D1173" s="81" t="s">
        <v>404</v>
      </c>
      <c r="E1173" s="81" t="s">
        <v>383</v>
      </c>
      <c r="F1173" s="81" t="s">
        <v>1644</v>
      </c>
      <c r="G1173" s="81" t="s">
        <v>3739</v>
      </c>
    </row>
    <row r="1174" spans="1:7" x14ac:dyDescent="0.3">
      <c r="A1174" s="81" t="s">
        <v>1641</v>
      </c>
      <c r="B1174" s="81" t="s">
        <v>3785</v>
      </c>
      <c r="C1174" s="81" t="s">
        <v>16</v>
      </c>
      <c r="D1174" s="81" t="s">
        <v>404</v>
      </c>
      <c r="E1174" s="81" t="s">
        <v>383</v>
      </c>
      <c r="F1174" s="81" t="s">
        <v>1649</v>
      </c>
      <c r="G1174" s="81" t="s">
        <v>3755</v>
      </c>
    </row>
    <row r="1175" spans="1:7" x14ac:dyDescent="0.3">
      <c r="A1175" s="81" t="s">
        <v>1641</v>
      </c>
      <c r="B1175" s="81" t="s">
        <v>3785</v>
      </c>
      <c r="C1175" s="81" t="s">
        <v>16</v>
      </c>
      <c r="D1175" s="81" t="s">
        <v>404</v>
      </c>
      <c r="E1175" s="81" t="s">
        <v>373</v>
      </c>
      <c r="F1175" s="81" t="s">
        <v>1644</v>
      </c>
      <c r="G1175" s="81" t="s">
        <v>3740</v>
      </c>
    </row>
    <row r="1176" spans="1:7" x14ac:dyDescent="0.3">
      <c r="A1176" s="81" t="s">
        <v>1641</v>
      </c>
      <c r="B1176" s="81" t="s">
        <v>3785</v>
      </c>
      <c r="C1176" s="81" t="s">
        <v>16</v>
      </c>
      <c r="D1176" s="81" t="s">
        <v>404</v>
      </c>
      <c r="E1176" s="81" t="s">
        <v>373</v>
      </c>
      <c r="F1176" s="81" t="s">
        <v>1649</v>
      </c>
      <c r="G1176" s="81" t="s">
        <v>3756</v>
      </c>
    </row>
    <row r="1177" spans="1:7" x14ac:dyDescent="0.3">
      <c r="A1177" s="81" t="s">
        <v>1641</v>
      </c>
      <c r="B1177" s="81" t="s">
        <v>3785</v>
      </c>
      <c r="C1177" s="81" t="s">
        <v>16</v>
      </c>
      <c r="D1177" s="81" t="s">
        <v>404</v>
      </c>
      <c r="E1177" s="81" t="s">
        <v>368</v>
      </c>
      <c r="F1177" s="81" t="s">
        <v>1644</v>
      </c>
      <c r="G1177" s="81" t="s">
        <v>3741</v>
      </c>
    </row>
    <row r="1178" spans="1:7" x14ac:dyDescent="0.3">
      <c r="A1178" s="81" t="s">
        <v>1641</v>
      </c>
      <c r="B1178" s="81" t="s">
        <v>3785</v>
      </c>
      <c r="C1178" s="81" t="s">
        <v>16</v>
      </c>
      <c r="D1178" s="81" t="s">
        <v>404</v>
      </c>
      <c r="E1178" s="81" t="s">
        <v>368</v>
      </c>
      <c r="F1178" s="81" t="s">
        <v>1649</v>
      </c>
      <c r="G1178" s="81" t="s">
        <v>3757</v>
      </c>
    </row>
    <row r="1179" spans="1:7" x14ac:dyDescent="0.3">
      <c r="A1179" s="81" t="s">
        <v>1641</v>
      </c>
      <c r="B1179" s="81" t="s">
        <v>3785</v>
      </c>
      <c r="C1179" s="81" t="s">
        <v>16</v>
      </c>
      <c r="D1179" s="81" t="s">
        <v>404</v>
      </c>
      <c r="E1179" s="81" t="s">
        <v>372</v>
      </c>
      <c r="F1179" s="81" t="s">
        <v>1644</v>
      </c>
      <c r="G1179" s="81" t="s">
        <v>3742</v>
      </c>
    </row>
    <row r="1180" spans="1:7" x14ac:dyDescent="0.3">
      <c r="A1180" s="81" t="s">
        <v>1641</v>
      </c>
      <c r="B1180" s="81" t="s">
        <v>3785</v>
      </c>
      <c r="C1180" s="81" t="s">
        <v>16</v>
      </c>
      <c r="D1180" s="81" t="s">
        <v>404</v>
      </c>
      <c r="E1180" s="81" t="s">
        <v>372</v>
      </c>
      <c r="F1180" s="81" t="s">
        <v>1649</v>
      </c>
      <c r="G1180" s="81" t="s">
        <v>3758</v>
      </c>
    </row>
    <row r="1181" spans="1:7" x14ac:dyDescent="0.3">
      <c r="A1181" s="81" t="s">
        <v>1641</v>
      </c>
      <c r="B1181" s="81" t="s">
        <v>3785</v>
      </c>
      <c r="C1181" s="81" t="s">
        <v>16</v>
      </c>
      <c r="D1181" s="81" t="s">
        <v>404</v>
      </c>
      <c r="E1181" s="81" t="s">
        <v>375</v>
      </c>
      <c r="F1181" s="81" t="s">
        <v>1644</v>
      </c>
      <c r="G1181" s="81" t="s">
        <v>3743</v>
      </c>
    </row>
    <row r="1182" spans="1:7" x14ac:dyDescent="0.3">
      <c r="A1182" s="81" t="s">
        <v>1641</v>
      </c>
      <c r="B1182" s="81" t="s">
        <v>3785</v>
      </c>
      <c r="C1182" s="81" t="s">
        <v>16</v>
      </c>
      <c r="D1182" s="81" t="s">
        <v>404</v>
      </c>
      <c r="E1182" s="81" t="s">
        <v>375</v>
      </c>
      <c r="F1182" s="81" t="s">
        <v>1649</v>
      </c>
      <c r="G1182" s="81" t="s">
        <v>3759</v>
      </c>
    </row>
    <row r="1183" spans="1:7" x14ac:dyDescent="0.3">
      <c r="A1183" s="81" t="s">
        <v>1641</v>
      </c>
      <c r="B1183" s="81" t="s">
        <v>3785</v>
      </c>
      <c r="C1183" s="81" t="s">
        <v>16</v>
      </c>
      <c r="D1183" s="81" t="s">
        <v>404</v>
      </c>
      <c r="E1183" s="81" t="s">
        <v>380</v>
      </c>
      <c r="F1183" s="81" t="s">
        <v>1644</v>
      </c>
      <c r="G1183" s="81" t="s">
        <v>3744</v>
      </c>
    </row>
    <row r="1184" spans="1:7" x14ac:dyDescent="0.3">
      <c r="A1184" s="81" t="s">
        <v>1641</v>
      </c>
      <c r="B1184" s="81" t="s">
        <v>3785</v>
      </c>
      <c r="C1184" s="81" t="s">
        <v>16</v>
      </c>
      <c r="D1184" s="81" t="s">
        <v>404</v>
      </c>
      <c r="E1184" s="81" t="s">
        <v>380</v>
      </c>
      <c r="F1184" s="81" t="s">
        <v>1649</v>
      </c>
      <c r="G1184" s="81" t="s">
        <v>3760</v>
      </c>
    </row>
    <row r="1185" spans="1:7" x14ac:dyDescent="0.3">
      <c r="A1185" s="81" t="s">
        <v>3802</v>
      </c>
      <c r="B1185" s="81" t="s">
        <v>3802</v>
      </c>
      <c r="C1185" s="81" t="s">
        <v>20</v>
      </c>
      <c r="D1185" s="81" t="s">
        <v>16</v>
      </c>
      <c r="E1185" s="81" t="s">
        <v>15</v>
      </c>
      <c r="F1185" s="81" t="s">
        <v>3803</v>
      </c>
      <c r="G1185" s="81" t="s">
        <v>855</v>
      </c>
    </row>
    <row r="1186" spans="1:7" x14ac:dyDescent="0.3">
      <c r="A1186" s="81" t="s">
        <v>3802</v>
      </c>
      <c r="B1186" s="81" t="s">
        <v>3802</v>
      </c>
      <c r="C1186" s="81" t="s">
        <v>20</v>
      </c>
      <c r="D1186" s="81" t="s">
        <v>16</v>
      </c>
      <c r="E1186" s="81" t="s">
        <v>15</v>
      </c>
      <c r="F1186" s="81" t="s">
        <v>3824</v>
      </c>
      <c r="G1186" s="81" t="s">
        <v>855</v>
      </c>
    </row>
    <row r="1187" spans="1:7" x14ac:dyDescent="0.3">
      <c r="A1187" s="81" t="s">
        <v>3802</v>
      </c>
      <c r="B1187" s="81" t="s">
        <v>3802</v>
      </c>
      <c r="C1187" s="81" t="s">
        <v>20</v>
      </c>
      <c r="D1187" s="81" t="s">
        <v>3823</v>
      </c>
      <c r="E1187" s="81" t="s">
        <v>15</v>
      </c>
      <c r="F1187" s="81" t="s">
        <v>3824</v>
      </c>
      <c r="G1187" s="81" t="s">
        <v>1033</v>
      </c>
    </row>
    <row r="1188" spans="1:7" x14ac:dyDescent="0.3">
      <c r="A1188" s="81" t="s">
        <v>3802</v>
      </c>
      <c r="B1188" s="81" t="s">
        <v>3802</v>
      </c>
      <c r="C1188" s="81" t="s">
        <v>16</v>
      </c>
      <c r="D1188" s="81" t="s">
        <v>404</v>
      </c>
      <c r="E1188" s="81" t="s">
        <v>369</v>
      </c>
      <c r="F1188" s="81" t="s">
        <v>3803</v>
      </c>
      <c r="G1188" s="81" t="s">
        <v>3745</v>
      </c>
    </row>
    <row r="1189" spans="1:7" x14ac:dyDescent="0.3">
      <c r="A1189" s="81" t="s">
        <v>3802</v>
      </c>
      <c r="B1189" s="81" t="s">
        <v>3802</v>
      </c>
      <c r="C1189" s="81" t="s">
        <v>16</v>
      </c>
      <c r="D1189" s="81" t="s">
        <v>404</v>
      </c>
      <c r="E1189" s="81" t="s">
        <v>369</v>
      </c>
      <c r="F1189" s="81" t="s">
        <v>3824</v>
      </c>
      <c r="G1189" s="81" t="s">
        <v>3745</v>
      </c>
    </row>
    <row r="1190" spans="1:7" x14ac:dyDescent="0.3">
      <c r="A1190" s="81" t="s">
        <v>3802</v>
      </c>
      <c r="B1190" s="81" t="s">
        <v>3802</v>
      </c>
      <c r="C1190" s="81" t="s">
        <v>16</v>
      </c>
      <c r="D1190" s="81" t="s">
        <v>404</v>
      </c>
      <c r="E1190" s="81" t="s">
        <v>382</v>
      </c>
      <c r="F1190" s="81" t="s">
        <v>3803</v>
      </c>
      <c r="G1190" s="81" t="s">
        <v>3746</v>
      </c>
    </row>
    <row r="1191" spans="1:7" x14ac:dyDescent="0.3">
      <c r="A1191" s="81" t="s">
        <v>3802</v>
      </c>
      <c r="B1191" s="81" t="s">
        <v>3802</v>
      </c>
      <c r="C1191" s="81" t="s">
        <v>16</v>
      </c>
      <c r="D1191" s="81" t="s">
        <v>404</v>
      </c>
      <c r="E1191" s="81" t="s">
        <v>382</v>
      </c>
      <c r="F1191" s="81" t="s">
        <v>3824</v>
      </c>
      <c r="G1191" s="81" t="s">
        <v>3746</v>
      </c>
    </row>
    <row r="1192" spans="1:7" x14ac:dyDescent="0.3">
      <c r="A1192" s="81" t="s">
        <v>3802</v>
      </c>
      <c r="B1192" s="81" t="s">
        <v>3802</v>
      </c>
      <c r="C1192" s="81" t="s">
        <v>16</v>
      </c>
      <c r="D1192" s="81" t="s">
        <v>404</v>
      </c>
      <c r="E1192" s="81" t="s">
        <v>370</v>
      </c>
      <c r="F1192" s="81" t="s">
        <v>3803</v>
      </c>
      <c r="G1192" s="81" t="s">
        <v>3747</v>
      </c>
    </row>
    <row r="1193" spans="1:7" x14ac:dyDescent="0.3">
      <c r="A1193" s="81" t="s">
        <v>3802</v>
      </c>
      <c r="B1193" s="81" t="s">
        <v>3802</v>
      </c>
      <c r="C1193" s="81" t="s">
        <v>16</v>
      </c>
      <c r="D1193" s="81" t="s">
        <v>404</v>
      </c>
      <c r="E1193" s="81" t="s">
        <v>370</v>
      </c>
      <c r="F1193" s="81" t="s">
        <v>3824</v>
      </c>
      <c r="G1193" s="81" t="s">
        <v>3747</v>
      </c>
    </row>
    <row r="1194" spans="1:7" x14ac:dyDescent="0.3">
      <c r="A1194" s="81" t="s">
        <v>3802</v>
      </c>
      <c r="B1194" s="81" t="s">
        <v>3802</v>
      </c>
      <c r="C1194" s="81" t="s">
        <v>16</v>
      </c>
      <c r="D1194" s="81" t="s">
        <v>404</v>
      </c>
      <c r="E1194" s="81" t="s">
        <v>378</v>
      </c>
      <c r="F1194" s="81" t="s">
        <v>3803</v>
      </c>
      <c r="G1194" s="81" t="s">
        <v>3748</v>
      </c>
    </row>
    <row r="1195" spans="1:7" x14ac:dyDescent="0.3">
      <c r="A1195" s="81" t="s">
        <v>3802</v>
      </c>
      <c r="B1195" s="81" t="s">
        <v>3802</v>
      </c>
      <c r="C1195" s="81" t="s">
        <v>16</v>
      </c>
      <c r="D1195" s="81" t="s">
        <v>404</v>
      </c>
      <c r="E1195" s="81" t="s">
        <v>378</v>
      </c>
      <c r="F1195" s="81" t="s">
        <v>3824</v>
      </c>
      <c r="G1195" s="81" t="s">
        <v>3748</v>
      </c>
    </row>
    <row r="1196" spans="1:7" x14ac:dyDescent="0.3">
      <c r="A1196" s="81" t="s">
        <v>3802</v>
      </c>
      <c r="B1196" s="81" t="s">
        <v>3802</v>
      </c>
      <c r="C1196" s="81" t="s">
        <v>16</v>
      </c>
      <c r="D1196" s="81" t="s">
        <v>404</v>
      </c>
      <c r="E1196" s="81" t="s">
        <v>371</v>
      </c>
      <c r="F1196" s="81" t="s">
        <v>3803</v>
      </c>
      <c r="G1196" s="81" t="s">
        <v>3749</v>
      </c>
    </row>
    <row r="1197" spans="1:7" x14ac:dyDescent="0.3">
      <c r="A1197" s="81" t="s">
        <v>3802</v>
      </c>
      <c r="B1197" s="81" t="s">
        <v>3802</v>
      </c>
      <c r="C1197" s="81" t="s">
        <v>16</v>
      </c>
      <c r="D1197" s="81" t="s">
        <v>404</v>
      </c>
      <c r="E1197" s="81" t="s">
        <v>371</v>
      </c>
      <c r="F1197" s="81" t="s">
        <v>3824</v>
      </c>
      <c r="G1197" s="81" t="s">
        <v>3749</v>
      </c>
    </row>
    <row r="1198" spans="1:7" x14ac:dyDescent="0.3">
      <c r="A1198" s="81" t="s">
        <v>3802</v>
      </c>
      <c r="B1198" s="81" t="s">
        <v>3802</v>
      </c>
      <c r="C1198" s="81" t="s">
        <v>16</v>
      </c>
      <c r="D1198" s="81" t="s">
        <v>404</v>
      </c>
      <c r="E1198" s="81" t="s">
        <v>376</v>
      </c>
      <c r="F1198" s="81" t="s">
        <v>3803</v>
      </c>
      <c r="G1198" s="81" t="s">
        <v>3750</v>
      </c>
    </row>
    <row r="1199" spans="1:7" x14ac:dyDescent="0.3">
      <c r="A1199" s="81" t="s">
        <v>3802</v>
      </c>
      <c r="B1199" s="81" t="s">
        <v>3802</v>
      </c>
      <c r="C1199" s="81" t="s">
        <v>16</v>
      </c>
      <c r="D1199" s="81" t="s">
        <v>404</v>
      </c>
      <c r="E1199" s="81" t="s">
        <v>376</v>
      </c>
      <c r="F1199" s="81" t="s">
        <v>3824</v>
      </c>
      <c r="G1199" s="81" t="s">
        <v>3750</v>
      </c>
    </row>
    <row r="1200" spans="1:7" x14ac:dyDescent="0.3">
      <c r="A1200" s="81" t="s">
        <v>3802</v>
      </c>
      <c r="B1200" s="81" t="s">
        <v>3802</v>
      </c>
      <c r="C1200" s="81" t="s">
        <v>16</v>
      </c>
      <c r="D1200" s="81" t="s">
        <v>404</v>
      </c>
      <c r="E1200" s="81" t="s">
        <v>377</v>
      </c>
      <c r="F1200" s="81" t="s">
        <v>3803</v>
      </c>
      <c r="G1200" s="81" t="s">
        <v>3751</v>
      </c>
    </row>
    <row r="1201" spans="1:7" x14ac:dyDescent="0.3">
      <c r="A1201" s="81" t="s">
        <v>3802</v>
      </c>
      <c r="B1201" s="81" t="s">
        <v>3802</v>
      </c>
      <c r="C1201" s="81" t="s">
        <v>16</v>
      </c>
      <c r="D1201" s="81" t="s">
        <v>404</v>
      </c>
      <c r="E1201" s="81" t="s">
        <v>377</v>
      </c>
      <c r="F1201" s="81" t="s">
        <v>3824</v>
      </c>
      <c r="G1201" s="81" t="s">
        <v>3751</v>
      </c>
    </row>
    <row r="1202" spans="1:7" x14ac:dyDescent="0.3">
      <c r="A1202" s="81" t="s">
        <v>3802</v>
      </c>
      <c r="B1202" s="81" t="s">
        <v>3802</v>
      </c>
      <c r="C1202" s="81" t="s">
        <v>16</v>
      </c>
      <c r="D1202" s="81" t="s">
        <v>404</v>
      </c>
      <c r="E1202" s="81" t="s">
        <v>381</v>
      </c>
      <c r="F1202" s="81" t="s">
        <v>3803</v>
      </c>
      <c r="G1202" s="81" t="s">
        <v>3752</v>
      </c>
    </row>
    <row r="1203" spans="1:7" x14ac:dyDescent="0.3">
      <c r="A1203" s="81" t="s">
        <v>3802</v>
      </c>
      <c r="B1203" s="81" t="s">
        <v>3802</v>
      </c>
      <c r="C1203" s="81" t="s">
        <v>16</v>
      </c>
      <c r="D1203" s="81" t="s">
        <v>404</v>
      </c>
      <c r="E1203" s="81" t="s">
        <v>381</v>
      </c>
      <c r="F1203" s="81" t="s">
        <v>3824</v>
      </c>
      <c r="G1203" s="81" t="s">
        <v>3752</v>
      </c>
    </row>
    <row r="1204" spans="1:7" x14ac:dyDescent="0.3">
      <c r="A1204" s="81" t="s">
        <v>3802</v>
      </c>
      <c r="B1204" s="81" t="s">
        <v>3802</v>
      </c>
      <c r="C1204" s="81" t="s">
        <v>16</v>
      </c>
      <c r="D1204" s="81" t="s">
        <v>404</v>
      </c>
      <c r="E1204" s="81" t="s">
        <v>379</v>
      </c>
      <c r="F1204" s="81" t="s">
        <v>3803</v>
      </c>
      <c r="G1204" s="81" t="s">
        <v>3753</v>
      </c>
    </row>
    <row r="1205" spans="1:7" x14ac:dyDescent="0.3">
      <c r="A1205" s="81" t="s">
        <v>3802</v>
      </c>
      <c r="B1205" s="81" t="s">
        <v>3802</v>
      </c>
      <c r="C1205" s="81" t="s">
        <v>16</v>
      </c>
      <c r="D1205" s="81" t="s">
        <v>404</v>
      </c>
      <c r="E1205" s="81" t="s">
        <v>379</v>
      </c>
      <c r="F1205" s="81" t="s">
        <v>3824</v>
      </c>
      <c r="G1205" s="81" t="s">
        <v>3753</v>
      </c>
    </row>
    <row r="1206" spans="1:7" x14ac:dyDescent="0.3">
      <c r="A1206" s="81" t="s">
        <v>3802</v>
      </c>
      <c r="B1206" s="81" t="s">
        <v>3802</v>
      </c>
      <c r="C1206" s="81" t="s">
        <v>16</v>
      </c>
      <c r="D1206" s="81" t="s">
        <v>404</v>
      </c>
      <c r="E1206" s="81" t="s">
        <v>374</v>
      </c>
      <c r="F1206" s="81" t="s">
        <v>3803</v>
      </c>
      <c r="G1206" s="81" t="s">
        <v>3754</v>
      </c>
    </row>
    <row r="1207" spans="1:7" x14ac:dyDescent="0.3">
      <c r="A1207" s="81" t="s">
        <v>3802</v>
      </c>
      <c r="B1207" s="81" t="s">
        <v>3802</v>
      </c>
      <c r="C1207" s="81" t="s">
        <v>16</v>
      </c>
      <c r="D1207" s="81" t="s">
        <v>404</v>
      </c>
      <c r="E1207" s="81" t="s">
        <v>374</v>
      </c>
      <c r="F1207" s="81" t="s">
        <v>3824</v>
      </c>
      <c r="G1207" s="81" t="s">
        <v>3754</v>
      </c>
    </row>
    <row r="1208" spans="1:7" x14ac:dyDescent="0.3">
      <c r="A1208" s="81" t="s">
        <v>3802</v>
      </c>
      <c r="B1208" s="81" t="s">
        <v>3802</v>
      </c>
      <c r="C1208" s="81" t="s">
        <v>16</v>
      </c>
      <c r="D1208" s="81" t="s">
        <v>404</v>
      </c>
      <c r="E1208" s="81" t="s">
        <v>383</v>
      </c>
      <c r="F1208" s="81" t="s">
        <v>3803</v>
      </c>
      <c r="G1208" s="81" t="s">
        <v>3755</v>
      </c>
    </row>
    <row r="1209" spans="1:7" x14ac:dyDescent="0.3">
      <c r="A1209" s="81" t="s">
        <v>3802</v>
      </c>
      <c r="B1209" s="81" t="s">
        <v>3802</v>
      </c>
      <c r="C1209" s="81" t="s">
        <v>16</v>
      </c>
      <c r="D1209" s="81" t="s">
        <v>404</v>
      </c>
      <c r="E1209" s="81" t="s">
        <v>383</v>
      </c>
      <c r="F1209" s="81" t="s">
        <v>3824</v>
      </c>
      <c r="G1209" s="81" t="s">
        <v>3755</v>
      </c>
    </row>
    <row r="1210" spans="1:7" x14ac:dyDescent="0.3">
      <c r="A1210" s="81" t="s">
        <v>3802</v>
      </c>
      <c r="B1210" s="81" t="s">
        <v>3802</v>
      </c>
      <c r="C1210" s="81" t="s">
        <v>16</v>
      </c>
      <c r="D1210" s="81" t="s">
        <v>404</v>
      </c>
      <c r="E1210" s="81" t="s">
        <v>373</v>
      </c>
      <c r="F1210" s="81" t="s">
        <v>3803</v>
      </c>
      <c r="G1210" s="81" t="s">
        <v>3756</v>
      </c>
    </row>
    <row r="1211" spans="1:7" x14ac:dyDescent="0.3">
      <c r="A1211" s="81" t="s">
        <v>3802</v>
      </c>
      <c r="B1211" s="81" t="s">
        <v>3802</v>
      </c>
      <c r="C1211" s="81" t="s">
        <v>16</v>
      </c>
      <c r="D1211" s="81" t="s">
        <v>404</v>
      </c>
      <c r="E1211" s="81" t="s">
        <v>373</v>
      </c>
      <c r="F1211" s="81" t="s">
        <v>3824</v>
      </c>
      <c r="G1211" s="81" t="s">
        <v>3756</v>
      </c>
    </row>
    <row r="1212" spans="1:7" x14ac:dyDescent="0.3">
      <c r="A1212" s="81" t="s">
        <v>3802</v>
      </c>
      <c r="B1212" s="81" t="s">
        <v>3802</v>
      </c>
      <c r="C1212" s="81" t="s">
        <v>16</v>
      </c>
      <c r="D1212" s="81" t="s">
        <v>404</v>
      </c>
      <c r="E1212" s="81" t="s">
        <v>368</v>
      </c>
      <c r="F1212" s="81" t="s">
        <v>3803</v>
      </c>
      <c r="G1212" s="81" t="s">
        <v>3757</v>
      </c>
    </row>
    <row r="1213" spans="1:7" x14ac:dyDescent="0.3">
      <c r="A1213" s="81" t="s">
        <v>3802</v>
      </c>
      <c r="B1213" s="81" t="s">
        <v>3802</v>
      </c>
      <c r="C1213" s="81" t="s">
        <v>16</v>
      </c>
      <c r="D1213" s="81" t="s">
        <v>404</v>
      </c>
      <c r="E1213" s="81" t="s">
        <v>368</v>
      </c>
      <c r="F1213" s="81" t="s">
        <v>3824</v>
      </c>
      <c r="G1213" s="81" t="s">
        <v>3757</v>
      </c>
    </row>
    <row r="1214" spans="1:7" x14ac:dyDescent="0.3">
      <c r="A1214" s="81" t="s">
        <v>3802</v>
      </c>
      <c r="B1214" s="81" t="s">
        <v>3802</v>
      </c>
      <c r="C1214" s="81" t="s">
        <v>16</v>
      </c>
      <c r="D1214" s="81" t="s">
        <v>404</v>
      </c>
      <c r="E1214" s="81" t="s">
        <v>372</v>
      </c>
      <c r="F1214" s="81" t="s">
        <v>3803</v>
      </c>
      <c r="G1214" s="81" t="s">
        <v>3758</v>
      </c>
    </row>
    <row r="1215" spans="1:7" x14ac:dyDescent="0.3">
      <c r="A1215" s="81" t="s">
        <v>3802</v>
      </c>
      <c r="B1215" s="81" t="s">
        <v>3802</v>
      </c>
      <c r="C1215" s="81" t="s">
        <v>16</v>
      </c>
      <c r="D1215" s="81" t="s">
        <v>404</v>
      </c>
      <c r="E1215" s="81" t="s">
        <v>372</v>
      </c>
      <c r="F1215" s="81" t="s">
        <v>3824</v>
      </c>
      <c r="G1215" s="81" t="s">
        <v>3758</v>
      </c>
    </row>
    <row r="1216" spans="1:7" x14ac:dyDescent="0.3">
      <c r="A1216" s="81" t="s">
        <v>3802</v>
      </c>
      <c r="B1216" s="81" t="s">
        <v>3802</v>
      </c>
      <c r="C1216" s="81" t="s">
        <v>16</v>
      </c>
      <c r="D1216" s="81" t="s">
        <v>404</v>
      </c>
      <c r="E1216" s="81" t="s">
        <v>375</v>
      </c>
      <c r="F1216" s="81" t="s">
        <v>3803</v>
      </c>
      <c r="G1216" s="81" t="s">
        <v>3759</v>
      </c>
    </row>
    <row r="1217" spans="1:7" x14ac:dyDescent="0.3">
      <c r="A1217" s="81" t="s">
        <v>3802</v>
      </c>
      <c r="B1217" s="81" t="s">
        <v>3802</v>
      </c>
      <c r="C1217" s="81" t="s">
        <v>16</v>
      </c>
      <c r="D1217" s="81" t="s">
        <v>404</v>
      </c>
      <c r="E1217" s="81" t="s">
        <v>375</v>
      </c>
      <c r="F1217" s="81" t="s">
        <v>3824</v>
      </c>
      <c r="G1217" s="81" t="s">
        <v>3759</v>
      </c>
    </row>
    <row r="1218" spans="1:7" x14ac:dyDescent="0.3">
      <c r="A1218" s="81" t="s">
        <v>3802</v>
      </c>
      <c r="B1218" s="81" t="s">
        <v>3802</v>
      </c>
      <c r="C1218" s="81" t="s">
        <v>16</v>
      </c>
      <c r="D1218" s="81" t="s">
        <v>404</v>
      </c>
      <c r="E1218" s="81" t="s">
        <v>380</v>
      </c>
      <c r="F1218" s="81" t="s">
        <v>3803</v>
      </c>
      <c r="G1218" s="81" t="s">
        <v>3760</v>
      </c>
    </row>
    <row r="1219" spans="1:7" x14ac:dyDescent="0.3">
      <c r="A1219" s="81" t="s">
        <v>3802</v>
      </c>
      <c r="B1219" s="81" t="s">
        <v>3802</v>
      </c>
      <c r="C1219" s="81" t="s">
        <v>16</v>
      </c>
      <c r="D1219" s="81" t="s">
        <v>404</v>
      </c>
      <c r="E1219" s="81" t="s">
        <v>380</v>
      </c>
      <c r="F1219" s="81" t="s">
        <v>3824</v>
      </c>
      <c r="G1219" s="81" t="s">
        <v>3760</v>
      </c>
    </row>
    <row r="1220" spans="1:7" x14ac:dyDescent="0.3">
      <c r="A1220" s="81" t="s">
        <v>3802</v>
      </c>
      <c r="B1220" s="81" t="s">
        <v>3802</v>
      </c>
      <c r="C1220" s="81" t="s">
        <v>16</v>
      </c>
      <c r="D1220" s="81" t="s">
        <v>1606</v>
      </c>
      <c r="E1220" s="81" t="s">
        <v>369</v>
      </c>
      <c r="F1220" s="81" t="s">
        <v>3824</v>
      </c>
      <c r="G1220" s="81" t="s">
        <v>3729</v>
      </c>
    </row>
    <row r="1221" spans="1:7" x14ac:dyDescent="0.3">
      <c r="A1221" s="81" t="s">
        <v>3802</v>
      </c>
      <c r="B1221" s="81" t="s">
        <v>3802</v>
      </c>
      <c r="C1221" s="81" t="s">
        <v>16</v>
      </c>
      <c r="D1221" s="81" t="s">
        <v>1606</v>
      </c>
      <c r="E1221" s="81" t="s">
        <v>382</v>
      </c>
      <c r="F1221" s="81" t="s">
        <v>3824</v>
      </c>
      <c r="G1221" s="81" t="s">
        <v>3730</v>
      </c>
    </row>
    <row r="1222" spans="1:7" x14ac:dyDescent="0.3">
      <c r="A1222" s="81" t="s">
        <v>3802</v>
      </c>
      <c r="B1222" s="81" t="s">
        <v>3802</v>
      </c>
      <c r="C1222" s="81" t="s">
        <v>16</v>
      </c>
      <c r="D1222" s="81" t="s">
        <v>1606</v>
      </c>
      <c r="E1222" s="81" t="s">
        <v>370</v>
      </c>
      <c r="F1222" s="81" t="s">
        <v>3824</v>
      </c>
      <c r="G1222" s="81" t="s">
        <v>3731</v>
      </c>
    </row>
    <row r="1223" spans="1:7" x14ac:dyDescent="0.3">
      <c r="A1223" s="81" t="s">
        <v>3802</v>
      </c>
      <c r="B1223" s="81" t="s">
        <v>3802</v>
      </c>
      <c r="C1223" s="81" t="s">
        <v>16</v>
      </c>
      <c r="D1223" s="81" t="s">
        <v>1606</v>
      </c>
      <c r="E1223" s="81" t="s">
        <v>378</v>
      </c>
      <c r="F1223" s="81" t="s">
        <v>3824</v>
      </c>
      <c r="G1223" s="81" t="s">
        <v>3732</v>
      </c>
    </row>
    <row r="1224" spans="1:7" x14ac:dyDescent="0.3">
      <c r="A1224" s="81" t="s">
        <v>3802</v>
      </c>
      <c r="B1224" s="81" t="s">
        <v>3802</v>
      </c>
      <c r="C1224" s="81" t="s">
        <v>16</v>
      </c>
      <c r="D1224" s="81" t="s">
        <v>1606</v>
      </c>
      <c r="E1224" s="81" t="s">
        <v>371</v>
      </c>
      <c r="F1224" s="81" t="s">
        <v>3824</v>
      </c>
      <c r="G1224" s="81" t="s">
        <v>3733</v>
      </c>
    </row>
    <row r="1225" spans="1:7" x14ac:dyDescent="0.3">
      <c r="A1225" s="81" t="s">
        <v>3802</v>
      </c>
      <c r="B1225" s="81" t="s">
        <v>3802</v>
      </c>
      <c r="C1225" s="81" t="s">
        <v>16</v>
      </c>
      <c r="D1225" s="81" t="s">
        <v>1606</v>
      </c>
      <c r="E1225" s="81" t="s">
        <v>376</v>
      </c>
      <c r="F1225" s="81" t="s">
        <v>3824</v>
      </c>
      <c r="G1225" s="81" t="s">
        <v>3734</v>
      </c>
    </row>
    <row r="1226" spans="1:7" x14ac:dyDescent="0.3">
      <c r="A1226" s="81" t="s">
        <v>3802</v>
      </c>
      <c r="B1226" s="81" t="s">
        <v>3802</v>
      </c>
      <c r="C1226" s="81" t="s">
        <v>16</v>
      </c>
      <c r="D1226" s="81" t="s">
        <v>1606</v>
      </c>
      <c r="E1226" s="81" t="s">
        <v>377</v>
      </c>
      <c r="F1226" s="81" t="s">
        <v>3824</v>
      </c>
      <c r="G1226" s="81" t="s">
        <v>3735</v>
      </c>
    </row>
    <row r="1227" spans="1:7" x14ac:dyDescent="0.3">
      <c r="A1227" s="81" t="s">
        <v>3802</v>
      </c>
      <c r="B1227" s="81" t="s">
        <v>3802</v>
      </c>
      <c r="C1227" s="81" t="s">
        <v>16</v>
      </c>
      <c r="D1227" s="81" t="s">
        <v>1606</v>
      </c>
      <c r="E1227" s="81" t="s">
        <v>381</v>
      </c>
      <c r="F1227" s="81" t="s">
        <v>3824</v>
      </c>
      <c r="G1227" s="81" t="s">
        <v>3736</v>
      </c>
    </row>
    <row r="1228" spans="1:7" x14ac:dyDescent="0.3">
      <c r="A1228" s="81" t="s">
        <v>3802</v>
      </c>
      <c r="B1228" s="81" t="s">
        <v>3802</v>
      </c>
      <c r="C1228" s="81" t="s">
        <v>16</v>
      </c>
      <c r="D1228" s="81" t="s">
        <v>1606</v>
      </c>
      <c r="E1228" s="81" t="s">
        <v>379</v>
      </c>
      <c r="F1228" s="81" t="s">
        <v>3824</v>
      </c>
      <c r="G1228" s="81" t="s">
        <v>3737</v>
      </c>
    </row>
    <row r="1229" spans="1:7" x14ac:dyDescent="0.3">
      <c r="A1229" s="81" t="s">
        <v>3802</v>
      </c>
      <c r="B1229" s="81" t="s">
        <v>3802</v>
      </c>
      <c r="C1229" s="81" t="s">
        <v>16</v>
      </c>
      <c r="D1229" s="81" t="s">
        <v>1606</v>
      </c>
      <c r="E1229" s="81" t="s">
        <v>374</v>
      </c>
      <c r="F1229" s="81" t="s">
        <v>3824</v>
      </c>
      <c r="G1229" s="81" t="s">
        <v>3738</v>
      </c>
    </row>
    <row r="1230" spans="1:7" x14ac:dyDescent="0.3">
      <c r="A1230" s="81" t="s">
        <v>3802</v>
      </c>
      <c r="B1230" s="81" t="s">
        <v>3802</v>
      </c>
      <c r="C1230" s="81" t="s">
        <v>16</v>
      </c>
      <c r="D1230" s="81" t="s">
        <v>1606</v>
      </c>
      <c r="E1230" s="81" t="s">
        <v>383</v>
      </c>
      <c r="F1230" s="81" t="s">
        <v>3824</v>
      </c>
      <c r="G1230" s="81" t="s">
        <v>3739</v>
      </c>
    </row>
    <row r="1231" spans="1:7" x14ac:dyDescent="0.3">
      <c r="A1231" s="81" t="s">
        <v>3802</v>
      </c>
      <c r="B1231" s="81" t="s">
        <v>3802</v>
      </c>
      <c r="C1231" s="81" t="s">
        <v>16</v>
      </c>
      <c r="D1231" s="81" t="s">
        <v>1606</v>
      </c>
      <c r="E1231" s="81" t="s">
        <v>373</v>
      </c>
      <c r="F1231" s="81" t="s">
        <v>3824</v>
      </c>
      <c r="G1231" s="81" t="s">
        <v>3740</v>
      </c>
    </row>
    <row r="1232" spans="1:7" x14ac:dyDescent="0.3">
      <c r="A1232" s="81" t="s">
        <v>3802</v>
      </c>
      <c r="B1232" s="81" t="s">
        <v>3802</v>
      </c>
      <c r="C1232" s="81" t="s">
        <v>16</v>
      </c>
      <c r="D1232" s="81" t="s">
        <v>1606</v>
      </c>
      <c r="E1232" s="81" t="s">
        <v>368</v>
      </c>
      <c r="F1232" s="81" t="s">
        <v>3824</v>
      </c>
      <c r="G1232" s="81" t="s">
        <v>3741</v>
      </c>
    </row>
    <row r="1233" spans="1:7" x14ac:dyDescent="0.3">
      <c r="A1233" s="81" t="s">
        <v>3802</v>
      </c>
      <c r="B1233" s="81" t="s">
        <v>3802</v>
      </c>
      <c r="C1233" s="81" t="s">
        <v>16</v>
      </c>
      <c r="D1233" s="81" t="s">
        <v>1606</v>
      </c>
      <c r="E1233" s="81" t="s">
        <v>372</v>
      </c>
      <c r="F1233" s="81" t="s">
        <v>3824</v>
      </c>
      <c r="G1233" s="81" t="s">
        <v>3742</v>
      </c>
    </row>
    <row r="1234" spans="1:7" x14ac:dyDescent="0.3">
      <c r="A1234" s="81" t="s">
        <v>3802</v>
      </c>
      <c r="B1234" s="81" t="s">
        <v>3802</v>
      </c>
      <c r="C1234" s="81" t="s">
        <v>16</v>
      </c>
      <c r="D1234" s="81" t="s">
        <v>1606</v>
      </c>
      <c r="E1234" s="81" t="s">
        <v>375</v>
      </c>
      <c r="F1234" s="81" t="s">
        <v>3824</v>
      </c>
      <c r="G1234" s="81" t="s">
        <v>3743</v>
      </c>
    </row>
    <row r="1235" spans="1:7" x14ac:dyDescent="0.3">
      <c r="A1235" s="81" t="s">
        <v>3802</v>
      </c>
      <c r="B1235" s="81" t="s">
        <v>3802</v>
      </c>
      <c r="C1235" s="81" t="s">
        <v>16</v>
      </c>
      <c r="D1235" s="81" t="s">
        <v>1606</v>
      </c>
      <c r="E1235" s="81" t="s">
        <v>380</v>
      </c>
      <c r="F1235" s="81" t="s">
        <v>3824</v>
      </c>
      <c r="G1235" s="81" t="s">
        <v>3744</v>
      </c>
    </row>
    <row r="1236" spans="1:7" x14ac:dyDescent="0.3">
      <c r="A1236" s="81" t="s">
        <v>3906</v>
      </c>
      <c r="B1236" s="81" t="s">
        <v>4685</v>
      </c>
      <c r="C1236" s="81" t="s">
        <v>20</v>
      </c>
      <c r="D1236" s="81" t="s">
        <v>16</v>
      </c>
      <c r="E1236" s="81" t="s">
        <v>15</v>
      </c>
      <c r="F1236" s="81" t="s">
        <v>3908</v>
      </c>
      <c r="G1236" s="81" t="s">
        <v>855</v>
      </c>
    </row>
    <row r="1237" spans="1:7" x14ac:dyDescent="0.3">
      <c r="A1237" s="81" t="s">
        <v>3906</v>
      </c>
      <c r="B1237" s="81" t="s">
        <v>4685</v>
      </c>
      <c r="C1237" s="81" t="s">
        <v>16</v>
      </c>
      <c r="D1237" s="81" t="s">
        <v>404</v>
      </c>
      <c r="E1237" s="81" t="s">
        <v>369</v>
      </c>
      <c r="F1237" s="81" t="s">
        <v>3908</v>
      </c>
      <c r="G1237" s="81" t="s">
        <v>3745</v>
      </c>
    </row>
    <row r="1238" spans="1:7" x14ac:dyDescent="0.3">
      <c r="A1238" s="81" t="s">
        <v>3906</v>
      </c>
      <c r="B1238" s="81" t="s">
        <v>4685</v>
      </c>
      <c r="C1238" s="81" t="s">
        <v>16</v>
      </c>
      <c r="D1238" s="81" t="s">
        <v>404</v>
      </c>
      <c r="E1238" s="81" t="s">
        <v>382</v>
      </c>
      <c r="F1238" s="81" t="s">
        <v>3908</v>
      </c>
      <c r="G1238" s="81" t="s">
        <v>3746</v>
      </c>
    </row>
    <row r="1239" spans="1:7" x14ac:dyDescent="0.3">
      <c r="A1239" s="81" t="s">
        <v>3906</v>
      </c>
      <c r="B1239" s="81" t="s">
        <v>4685</v>
      </c>
      <c r="C1239" s="81" t="s">
        <v>16</v>
      </c>
      <c r="D1239" s="81" t="s">
        <v>404</v>
      </c>
      <c r="E1239" s="81" t="s">
        <v>370</v>
      </c>
      <c r="F1239" s="81" t="s">
        <v>3908</v>
      </c>
      <c r="G1239" s="81" t="s">
        <v>3747</v>
      </c>
    </row>
    <row r="1240" spans="1:7" x14ac:dyDescent="0.3">
      <c r="A1240" s="81" t="s">
        <v>3906</v>
      </c>
      <c r="B1240" s="81" t="s">
        <v>4685</v>
      </c>
      <c r="C1240" s="81" t="s">
        <v>16</v>
      </c>
      <c r="D1240" s="81" t="s">
        <v>404</v>
      </c>
      <c r="E1240" s="81" t="s">
        <v>378</v>
      </c>
      <c r="F1240" s="81" t="s">
        <v>3908</v>
      </c>
      <c r="G1240" s="81" t="s">
        <v>3748</v>
      </c>
    </row>
    <row r="1241" spans="1:7" x14ac:dyDescent="0.3">
      <c r="A1241" s="81" t="s">
        <v>3906</v>
      </c>
      <c r="B1241" s="81" t="s">
        <v>4685</v>
      </c>
      <c r="C1241" s="81" t="s">
        <v>16</v>
      </c>
      <c r="D1241" s="81" t="s">
        <v>404</v>
      </c>
      <c r="E1241" s="81" t="s">
        <v>371</v>
      </c>
      <c r="F1241" s="81" t="s">
        <v>3908</v>
      </c>
      <c r="G1241" s="81" t="s">
        <v>3749</v>
      </c>
    </row>
    <row r="1242" spans="1:7" x14ac:dyDescent="0.3">
      <c r="A1242" s="81" t="s">
        <v>3906</v>
      </c>
      <c r="B1242" s="81" t="s">
        <v>4685</v>
      </c>
      <c r="C1242" s="81" t="s">
        <v>16</v>
      </c>
      <c r="D1242" s="81" t="s">
        <v>404</v>
      </c>
      <c r="E1242" s="81" t="s">
        <v>376</v>
      </c>
      <c r="F1242" s="81" t="s">
        <v>3908</v>
      </c>
      <c r="G1242" s="81" t="s">
        <v>3750</v>
      </c>
    </row>
    <row r="1243" spans="1:7" x14ac:dyDescent="0.3">
      <c r="A1243" s="81" t="s">
        <v>3906</v>
      </c>
      <c r="B1243" s="81" t="s">
        <v>4685</v>
      </c>
      <c r="C1243" s="81" t="s">
        <v>16</v>
      </c>
      <c r="D1243" s="81" t="s">
        <v>404</v>
      </c>
      <c r="E1243" s="81" t="s">
        <v>377</v>
      </c>
      <c r="F1243" s="81" t="s">
        <v>3908</v>
      </c>
      <c r="G1243" s="81" t="s">
        <v>3751</v>
      </c>
    </row>
    <row r="1244" spans="1:7" x14ac:dyDescent="0.3">
      <c r="A1244" s="81" t="s">
        <v>3906</v>
      </c>
      <c r="B1244" s="81" t="s">
        <v>4685</v>
      </c>
      <c r="C1244" s="81" t="s">
        <v>16</v>
      </c>
      <c r="D1244" s="81" t="s">
        <v>404</v>
      </c>
      <c r="E1244" s="81" t="s">
        <v>381</v>
      </c>
      <c r="F1244" s="81" t="s">
        <v>3908</v>
      </c>
      <c r="G1244" s="81" t="s">
        <v>3752</v>
      </c>
    </row>
    <row r="1245" spans="1:7" x14ac:dyDescent="0.3">
      <c r="A1245" s="81" t="s">
        <v>3906</v>
      </c>
      <c r="B1245" s="81" t="s">
        <v>4685</v>
      </c>
      <c r="C1245" s="81" t="s">
        <v>16</v>
      </c>
      <c r="D1245" s="81" t="s">
        <v>404</v>
      </c>
      <c r="E1245" s="81" t="s">
        <v>379</v>
      </c>
      <c r="F1245" s="81" t="s">
        <v>3908</v>
      </c>
      <c r="G1245" s="81" t="s">
        <v>3753</v>
      </c>
    </row>
    <row r="1246" spans="1:7" x14ac:dyDescent="0.3">
      <c r="A1246" s="81" t="s">
        <v>3906</v>
      </c>
      <c r="B1246" s="81" t="s">
        <v>4685</v>
      </c>
      <c r="C1246" s="81" t="s">
        <v>16</v>
      </c>
      <c r="D1246" s="81" t="s">
        <v>404</v>
      </c>
      <c r="E1246" s="81" t="s">
        <v>374</v>
      </c>
      <c r="F1246" s="81" t="s">
        <v>3908</v>
      </c>
      <c r="G1246" s="81" t="s">
        <v>3754</v>
      </c>
    </row>
    <row r="1247" spans="1:7" x14ac:dyDescent="0.3">
      <c r="A1247" s="81" t="s">
        <v>3906</v>
      </c>
      <c r="B1247" s="81" t="s">
        <v>4685</v>
      </c>
      <c r="C1247" s="81" t="s">
        <v>16</v>
      </c>
      <c r="D1247" s="81" t="s">
        <v>404</v>
      </c>
      <c r="E1247" s="81" t="s">
        <v>383</v>
      </c>
      <c r="F1247" s="81" t="s">
        <v>3908</v>
      </c>
      <c r="G1247" s="81" t="s">
        <v>3755</v>
      </c>
    </row>
    <row r="1248" spans="1:7" x14ac:dyDescent="0.3">
      <c r="A1248" s="81" t="s">
        <v>3906</v>
      </c>
      <c r="B1248" s="81" t="s">
        <v>4685</v>
      </c>
      <c r="C1248" s="81" t="s">
        <v>16</v>
      </c>
      <c r="D1248" s="81" t="s">
        <v>404</v>
      </c>
      <c r="E1248" s="81" t="s">
        <v>373</v>
      </c>
      <c r="F1248" s="81" t="s">
        <v>3908</v>
      </c>
      <c r="G1248" s="81" t="s">
        <v>3756</v>
      </c>
    </row>
    <row r="1249" spans="1:7" x14ac:dyDescent="0.3">
      <c r="A1249" s="81" t="s">
        <v>3906</v>
      </c>
      <c r="B1249" s="81" t="s">
        <v>4685</v>
      </c>
      <c r="C1249" s="81" t="s">
        <v>16</v>
      </c>
      <c r="D1249" s="81" t="s">
        <v>404</v>
      </c>
      <c r="E1249" s="81" t="s">
        <v>368</v>
      </c>
      <c r="F1249" s="81" t="s">
        <v>3908</v>
      </c>
      <c r="G1249" s="81" t="s">
        <v>3757</v>
      </c>
    </row>
    <row r="1250" spans="1:7" x14ac:dyDescent="0.3">
      <c r="A1250" s="81" t="s">
        <v>3906</v>
      </c>
      <c r="B1250" s="81" t="s">
        <v>4685</v>
      </c>
      <c r="C1250" s="81" t="s">
        <v>16</v>
      </c>
      <c r="D1250" s="81" t="s">
        <v>404</v>
      </c>
      <c r="E1250" s="81" t="s">
        <v>372</v>
      </c>
      <c r="F1250" s="81" t="s">
        <v>3908</v>
      </c>
      <c r="G1250" s="81" t="s">
        <v>3758</v>
      </c>
    </row>
    <row r="1251" spans="1:7" x14ac:dyDescent="0.3">
      <c r="A1251" s="81" t="s">
        <v>3906</v>
      </c>
      <c r="B1251" s="81" t="s">
        <v>4685</v>
      </c>
      <c r="C1251" s="81" t="s">
        <v>16</v>
      </c>
      <c r="D1251" s="81" t="s">
        <v>404</v>
      </c>
      <c r="E1251" s="81" t="s">
        <v>375</v>
      </c>
      <c r="F1251" s="81" t="s">
        <v>3908</v>
      </c>
      <c r="G1251" s="81" t="s">
        <v>3759</v>
      </c>
    </row>
    <row r="1252" spans="1:7" x14ac:dyDescent="0.3">
      <c r="A1252" s="81" t="s">
        <v>3906</v>
      </c>
      <c r="B1252" s="81" t="s">
        <v>4685</v>
      </c>
      <c r="C1252" s="81" t="s">
        <v>16</v>
      </c>
      <c r="D1252" s="81" t="s">
        <v>404</v>
      </c>
      <c r="E1252" s="81" t="s">
        <v>380</v>
      </c>
      <c r="F1252" s="81" t="s">
        <v>3908</v>
      </c>
      <c r="G1252" s="81" t="s">
        <v>3760</v>
      </c>
    </row>
    <row r="1253" spans="1:7" x14ac:dyDescent="0.3">
      <c r="A1253" s="81" t="s">
        <v>3907</v>
      </c>
      <c r="B1253" s="81" t="s">
        <v>4685</v>
      </c>
      <c r="C1253" s="81" t="s">
        <v>20</v>
      </c>
      <c r="D1253" s="81" t="s">
        <v>1032</v>
      </c>
      <c r="E1253" s="81" t="s">
        <v>15</v>
      </c>
      <c r="F1253" s="81" t="s">
        <v>5294</v>
      </c>
      <c r="G1253" s="81" t="s">
        <v>1033</v>
      </c>
    </row>
    <row r="1254" spans="1:7" x14ac:dyDescent="0.3">
      <c r="A1254" s="81" t="s">
        <v>3907</v>
      </c>
      <c r="B1254" s="81" t="s">
        <v>4685</v>
      </c>
      <c r="C1254" s="81" t="s">
        <v>20</v>
      </c>
      <c r="D1254" s="81" t="s">
        <v>3950</v>
      </c>
      <c r="E1254" s="81" t="s">
        <v>15</v>
      </c>
      <c r="F1254" s="81" t="s">
        <v>3951</v>
      </c>
      <c r="G1254" s="81" t="s">
        <v>1033</v>
      </c>
    </row>
    <row r="1255" spans="1:7" x14ac:dyDescent="0.3">
      <c r="A1255" s="81" t="s">
        <v>3907</v>
      </c>
      <c r="B1255" s="81" t="s">
        <v>4685</v>
      </c>
      <c r="C1255" s="81" t="s">
        <v>16</v>
      </c>
      <c r="D1255" s="81" t="s">
        <v>16</v>
      </c>
      <c r="E1255" s="81" t="s">
        <v>369</v>
      </c>
      <c r="F1255" s="81" t="s">
        <v>3951</v>
      </c>
      <c r="G1255" s="81" t="s">
        <v>3729</v>
      </c>
    </row>
    <row r="1256" spans="1:7" x14ac:dyDescent="0.3">
      <c r="A1256" s="81" t="s">
        <v>3907</v>
      </c>
      <c r="B1256" s="81" t="s">
        <v>4685</v>
      </c>
      <c r="C1256" s="81" t="s">
        <v>16</v>
      </c>
      <c r="D1256" s="81" t="s">
        <v>16</v>
      </c>
      <c r="E1256" s="81" t="s">
        <v>369</v>
      </c>
      <c r="F1256" s="81" t="s">
        <v>5294</v>
      </c>
      <c r="G1256" s="81" t="s">
        <v>3729</v>
      </c>
    </row>
    <row r="1257" spans="1:7" x14ac:dyDescent="0.3">
      <c r="A1257" s="81" t="s">
        <v>3907</v>
      </c>
      <c r="B1257" s="81" t="s">
        <v>4685</v>
      </c>
      <c r="C1257" s="81" t="s">
        <v>16</v>
      </c>
      <c r="D1257" s="81" t="s">
        <v>16</v>
      </c>
      <c r="E1257" s="81" t="s">
        <v>382</v>
      </c>
      <c r="F1257" s="81" t="s">
        <v>3951</v>
      </c>
      <c r="G1257" s="81" t="s">
        <v>3730</v>
      </c>
    </row>
    <row r="1258" spans="1:7" x14ac:dyDescent="0.3">
      <c r="A1258" s="81" t="s">
        <v>3907</v>
      </c>
      <c r="B1258" s="81" t="s">
        <v>4685</v>
      </c>
      <c r="C1258" s="81" t="s">
        <v>16</v>
      </c>
      <c r="D1258" s="81" t="s">
        <v>16</v>
      </c>
      <c r="E1258" s="81" t="s">
        <v>382</v>
      </c>
      <c r="F1258" s="81" t="s">
        <v>5294</v>
      </c>
      <c r="G1258" s="81" t="s">
        <v>3730</v>
      </c>
    </row>
    <row r="1259" spans="1:7" x14ac:dyDescent="0.3">
      <c r="A1259" s="81" t="s">
        <v>3907</v>
      </c>
      <c r="B1259" s="81" t="s">
        <v>4685</v>
      </c>
      <c r="C1259" s="81" t="s">
        <v>16</v>
      </c>
      <c r="D1259" s="81" t="s">
        <v>16</v>
      </c>
      <c r="E1259" s="81" t="s">
        <v>370</v>
      </c>
      <c r="F1259" s="81" t="s">
        <v>3951</v>
      </c>
      <c r="G1259" s="81" t="s">
        <v>3731</v>
      </c>
    </row>
    <row r="1260" spans="1:7" x14ac:dyDescent="0.3">
      <c r="A1260" s="81" t="s">
        <v>3907</v>
      </c>
      <c r="B1260" s="81" t="s">
        <v>4685</v>
      </c>
      <c r="C1260" s="81" t="s">
        <v>16</v>
      </c>
      <c r="D1260" s="81" t="s">
        <v>16</v>
      </c>
      <c r="E1260" s="81" t="s">
        <v>370</v>
      </c>
      <c r="F1260" s="81" t="s">
        <v>5294</v>
      </c>
      <c r="G1260" s="81" t="s">
        <v>3731</v>
      </c>
    </row>
    <row r="1261" spans="1:7" x14ac:dyDescent="0.3">
      <c r="A1261" s="81" t="s">
        <v>3907</v>
      </c>
      <c r="B1261" s="81" t="s">
        <v>4685</v>
      </c>
      <c r="C1261" s="81" t="s">
        <v>16</v>
      </c>
      <c r="D1261" s="81" t="s">
        <v>16</v>
      </c>
      <c r="E1261" s="81" t="s">
        <v>378</v>
      </c>
      <c r="F1261" s="81" t="s">
        <v>3951</v>
      </c>
      <c r="G1261" s="81" t="s">
        <v>3732</v>
      </c>
    </row>
    <row r="1262" spans="1:7" x14ac:dyDescent="0.3">
      <c r="A1262" s="81" t="s">
        <v>3907</v>
      </c>
      <c r="B1262" s="81" t="s">
        <v>4685</v>
      </c>
      <c r="C1262" s="81" t="s">
        <v>16</v>
      </c>
      <c r="D1262" s="81" t="s">
        <v>16</v>
      </c>
      <c r="E1262" s="81" t="s">
        <v>378</v>
      </c>
      <c r="F1262" s="81" t="s">
        <v>5294</v>
      </c>
      <c r="G1262" s="81" t="s">
        <v>3732</v>
      </c>
    </row>
    <row r="1263" spans="1:7" x14ac:dyDescent="0.3">
      <c r="A1263" s="81" t="s">
        <v>3907</v>
      </c>
      <c r="B1263" s="81" t="s">
        <v>4685</v>
      </c>
      <c r="C1263" s="81" t="s">
        <v>16</v>
      </c>
      <c r="D1263" s="81" t="s">
        <v>16</v>
      </c>
      <c r="E1263" s="81" t="s">
        <v>371</v>
      </c>
      <c r="F1263" s="81" t="s">
        <v>3951</v>
      </c>
      <c r="G1263" s="81" t="s">
        <v>3733</v>
      </c>
    </row>
    <row r="1264" spans="1:7" x14ac:dyDescent="0.3">
      <c r="A1264" s="81" t="s">
        <v>3907</v>
      </c>
      <c r="B1264" s="81" t="s">
        <v>4685</v>
      </c>
      <c r="C1264" s="81" t="s">
        <v>16</v>
      </c>
      <c r="D1264" s="81" t="s">
        <v>16</v>
      </c>
      <c r="E1264" s="81" t="s">
        <v>371</v>
      </c>
      <c r="F1264" s="81" t="s">
        <v>5294</v>
      </c>
      <c r="G1264" s="81" t="s">
        <v>3733</v>
      </c>
    </row>
    <row r="1265" spans="1:7" x14ac:dyDescent="0.3">
      <c r="A1265" s="81" t="s">
        <v>3907</v>
      </c>
      <c r="B1265" s="81" t="s">
        <v>4685</v>
      </c>
      <c r="C1265" s="81" t="s">
        <v>16</v>
      </c>
      <c r="D1265" s="81" t="s">
        <v>16</v>
      </c>
      <c r="E1265" s="81" t="s">
        <v>376</v>
      </c>
      <c r="F1265" s="81" t="s">
        <v>3951</v>
      </c>
      <c r="G1265" s="81" t="s">
        <v>3734</v>
      </c>
    </row>
    <row r="1266" spans="1:7" x14ac:dyDescent="0.3">
      <c r="A1266" s="81" t="s">
        <v>3907</v>
      </c>
      <c r="B1266" s="81" t="s">
        <v>4685</v>
      </c>
      <c r="C1266" s="81" t="s">
        <v>16</v>
      </c>
      <c r="D1266" s="81" t="s">
        <v>16</v>
      </c>
      <c r="E1266" s="81" t="s">
        <v>376</v>
      </c>
      <c r="F1266" s="81" t="s">
        <v>5294</v>
      </c>
      <c r="G1266" s="81" t="s">
        <v>3734</v>
      </c>
    </row>
    <row r="1267" spans="1:7" x14ac:dyDescent="0.3">
      <c r="A1267" s="81" t="s">
        <v>3907</v>
      </c>
      <c r="B1267" s="81" t="s">
        <v>4685</v>
      </c>
      <c r="C1267" s="81" t="s">
        <v>16</v>
      </c>
      <c r="D1267" s="81" t="s">
        <v>16</v>
      </c>
      <c r="E1267" s="81" t="s">
        <v>377</v>
      </c>
      <c r="F1267" s="81" t="s">
        <v>3951</v>
      </c>
      <c r="G1267" s="81" t="s">
        <v>3735</v>
      </c>
    </row>
    <row r="1268" spans="1:7" x14ac:dyDescent="0.3">
      <c r="A1268" s="81" t="s">
        <v>3907</v>
      </c>
      <c r="B1268" s="81" t="s">
        <v>4685</v>
      </c>
      <c r="C1268" s="81" t="s">
        <v>16</v>
      </c>
      <c r="D1268" s="81" t="s">
        <v>16</v>
      </c>
      <c r="E1268" s="81" t="s">
        <v>377</v>
      </c>
      <c r="F1268" s="81" t="s">
        <v>5294</v>
      </c>
      <c r="G1268" s="81" t="s">
        <v>3735</v>
      </c>
    </row>
    <row r="1269" spans="1:7" x14ac:dyDescent="0.3">
      <c r="A1269" s="81" t="s">
        <v>3907</v>
      </c>
      <c r="B1269" s="81" t="s">
        <v>4685</v>
      </c>
      <c r="C1269" s="81" t="s">
        <v>16</v>
      </c>
      <c r="D1269" s="81" t="s">
        <v>16</v>
      </c>
      <c r="E1269" s="81" t="s">
        <v>381</v>
      </c>
      <c r="F1269" s="81" t="s">
        <v>3951</v>
      </c>
      <c r="G1269" s="81" t="s">
        <v>3736</v>
      </c>
    </row>
    <row r="1270" spans="1:7" x14ac:dyDescent="0.3">
      <c r="A1270" s="81" t="s">
        <v>3907</v>
      </c>
      <c r="B1270" s="81" t="s">
        <v>4685</v>
      </c>
      <c r="C1270" s="81" t="s">
        <v>16</v>
      </c>
      <c r="D1270" s="81" t="s">
        <v>16</v>
      </c>
      <c r="E1270" s="81" t="s">
        <v>381</v>
      </c>
      <c r="F1270" s="81" t="s">
        <v>5294</v>
      </c>
      <c r="G1270" s="81" t="s">
        <v>3736</v>
      </c>
    </row>
    <row r="1271" spans="1:7" x14ac:dyDescent="0.3">
      <c r="A1271" s="81" t="s">
        <v>3907</v>
      </c>
      <c r="B1271" s="81" t="s">
        <v>4685</v>
      </c>
      <c r="C1271" s="81" t="s">
        <v>16</v>
      </c>
      <c r="D1271" s="81" t="s">
        <v>16</v>
      </c>
      <c r="E1271" s="81" t="s">
        <v>379</v>
      </c>
      <c r="F1271" s="81" t="s">
        <v>3951</v>
      </c>
      <c r="G1271" s="81" t="s">
        <v>3737</v>
      </c>
    </row>
    <row r="1272" spans="1:7" x14ac:dyDescent="0.3">
      <c r="A1272" s="81" t="s">
        <v>3907</v>
      </c>
      <c r="B1272" s="81" t="s">
        <v>4685</v>
      </c>
      <c r="C1272" s="81" t="s">
        <v>16</v>
      </c>
      <c r="D1272" s="81" t="s">
        <v>16</v>
      </c>
      <c r="E1272" s="81" t="s">
        <v>379</v>
      </c>
      <c r="F1272" s="81" t="s">
        <v>5294</v>
      </c>
      <c r="G1272" s="81" t="s">
        <v>3737</v>
      </c>
    </row>
    <row r="1273" spans="1:7" x14ac:dyDescent="0.3">
      <c r="A1273" s="81" t="s">
        <v>3907</v>
      </c>
      <c r="B1273" s="81" t="s">
        <v>4685</v>
      </c>
      <c r="C1273" s="81" t="s">
        <v>16</v>
      </c>
      <c r="D1273" s="81" t="s">
        <v>16</v>
      </c>
      <c r="E1273" s="81" t="s">
        <v>374</v>
      </c>
      <c r="F1273" s="81" t="s">
        <v>3951</v>
      </c>
      <c r="G1273" s="81" t="s">
        <v>3738</v>
      </c>
    </row>
    <row r="1274" spans="1:7" x14ac:dyDescent="0.3">
      <c r="A1274" s="81" t="s">
        <v>3907</v>
      </c>
      <c r="B1274" s="81" t="s">
        <v>4685</v>
      </c>
      <c r="C1274" s="81" t="s">
        <v>16</v>
      </c>
      <c r="D1274" s="81" t="s">
        <v>16</v>
      </c>
      <c r="E1274" s="81" t="s">
        <v>374</v>
      </c>
      <c r="F1274" s="81" t="s">
        <v>5294</v>
      </c>
      <c r="G1274" s="81" t="s">
        <v>3738</v>
      </c>
    </row>
    <row r="1275" spans="1:7" x14ac:dyDescent="0.3">
      <c r="A1275" s="81" t="s">
        <v>3907</v>
      </c>
      <c r="B1275" s="81" t="s">
        <v>4685</v>
      </c>
      <c r="C1275" s="81" t="s">
        <v>16</v>
      </c>
      <c r="D1275" s="81" t="s">
        <v>16</v>
      </c>
      <c r="E1275" s="81" t="s">
        <v>383</v>
      </c>
      <c r="F1275" s="81" t="s">
        <v>3951</v>
      </c>
      <c r="G1275" s="81" t="s">
        <v>3739</v>
      </c>
    </row>
    <row r="1276" spans="1:7" x14ac:dyDescent="0.3">
      <c r="A1276" s="81" t="s">
        <v>3907</v>
      </c>
      <c r="B1276" s="81" t="s">
        <v>4685</v>
      </c>
      <c r="C1276" s="81" t="s">
        <v>16</v>
      </c>
      <c r="D1276" s="81" t="s">
        <v>16</v>
      </c>
      <c r="E1276" s="81" t="s">
        <v>383</v>
      </c>
      <c r="F1276" s="81" t="s">
        <v>5294</v>
      </c>
      <c r="G1276" s="81" t="s">
        <v>3739</v>
      </c>
    </row>
    <row r="1277" spans="1:7" x14ac:dyDescent="0.3">
      <c r="A1277" s="81" t="s">
        <v>3907</v>
      </c>
      <c r="B1277" s="81" t="s">
        <v>4685</v>
      </c>
      <c r="C1277" s="81" t="s">
        <v>16</v>
      </c>
      <c r="D1277" s="81" t="s">
        <v>16</v>
      </c>
      <c r="E1277" s="81" t="s">
        <v>373</v>
      </c>
      <c r="F1277" s="81" t="s">
        <v>3951</v>
      </c>
      <c r="G1277" s="81" t="s">
        <v>3740</v>
      </c>
    </row>
    <row r="1278" spans="1:7" x14ac:dyDescent="0.3">
      <c r="A1278" s="81" t="s">
        <v>3907</v>
      </c>
      <c r="B1278" s="81" t="s">
        <v>4685</v>
      </c>
      <c r="C1278" s="81" t="s">
        <v>16</v>
      </c>
      <c r="D1278" s="81" t="s">
        <v>16</v>
      </c>
      <c r="E1278" s="81" t="s">
        <v>373</v>
      </c>
      <c r="F1278" s="81" t="s">
        <v>5294</v>
      </c>
      <c r="G1278" s="81" t="s">
        <v>3740</v>
      </c>
    </row>
    <row r="1279" spans="1:7" x14ac:dyDescent="0.3">
      <c r="A1279" s="81" t="s">
        <v>3907</v>
      </c>
      <c r="B1279" s="81" t="s">
        <v>4685</v>
      </c>
      <c r="C1279" s="81" t="s">
        <v>16</v>
      </c>
      <c r="D1279" s="81" t="s">
        <v>16</v>
      </c>
      <c r="E1279" s="81" t="s">
        <v>368</v>
      </c>
      <c r="F1279" s="81" t="s">
        <v>3951</v>
      </c>
      <c r="G1279" s="81" t="s">
        <v>3741</v>
      </c>
    </row>
    <row r="1280" spans="1:7" x14ac:dyDescent="0.3">
      <c r="A1280" s="81" t="s">
        <v>3907</v>
      </c>
      <c r="B1280" s="81" t="s">
        <v>4685</v>
      </c>
      <c r="C1280" s="81" t="s">
        <v>16</v>
      </c>
      <c r="D1280" s="81" t="s">
        <v>16</v>
      </c>
      <c r="E1280" s="81" t="s">
        <v>368</v>
      </c>
      <c r="F1280" s="81" t="s">
        <v>5294</v>
      </c>
      <c r="G1280" s="81" t="s">
        <v>3741</v>
      </c>
    </row>
    <row r="1281" spans="1:7" x14ac:dyDescent="0.3">
      <c r="A1281" s="81" t="s">
        <v>3907</v>
      </c>
      <c r="B1281" s="81" t="s">
        <v>4685</v>
      </c>
      <c r="C1281" s="81" t="s">
        <v>16</v>
      </c>
      <c r="D1281" s="81" t="s">
        <v>16</v>
      </c>
      <c r="E1281" s="81" t="s">
        <v>372</v>
      </c>
      <c r="F1281" s="81" t="s">
        <v>3951</v>
      </c>
      <c r="G1281" s="81" t="s">
        <v>3742</v>
      </c>
    </row>
    <row r="1282" spans="1:7" x14ac:dyDescent="0.3">
      <c r="A1282" s="81" t="s">
        <v>3907</v>
      </c>
      <c r="B1282" s="81" t="s">
        <v>4685</v>
      </c>
      <c r="C1282" s="81" t="s">
        <v>16</v>
      </c>
      <c r="D1282" s="81" t="s">
        <v>16</v>
      </c>
      <c r="E1282" s="81" t="s">
        <v>372</v>
      </c>
      <c r="F1282" s="81" t="s">
        <v>5294</v>
      </c>
      <c r="G1282" s="81" t="s">
        <v>3742</v>
      </c>
    </row>
    <row r="1283" spans="1:7" x14ac:dyDescent="0.3">
      <c r="A1283" s="81" t="s">
        <v>3907</v>
      </c>
      <c r="B1283" s="81" t="s">
        <v>4685</v>
      </c>
      <c r="C1283" s="81" t="s">
        <v>16</v>
      </c>
      <c r="D1283" s="81" t="s">
        <v>16</v>
      </c>
      <c r="E1283" s="81" t="s">
        <v>375</v>
      </c>
      <c r="F1283" s="81" t="s">
        <v>3951</v>
      </c>
      <c r="G1283" s="81" t="s">
        <v>3743</v>
      </c>
    </row>
    <row r="1284" spans="1:7" x14ac:dyDescent="0.3">
      <c r="A1284" s="81" t="s">
        <v>3907</v>
      </c>
      <c r="B1284" s="81" t="s">
        <v>4685</v>
      </c>
      <c r="C1284" s="81" t="s">
        <v>16</v>
      </c>
      <c r="D1284" s="81" t="s">
        <v>16</v>
      </c>
      <c r="E1284" s="81" t="s">
        <v>375</v>
      </c>
      <c r="F1284" s="81" t="s">
        <v>5294</v>
      </c>
      <c r="G1284" s="81" t="s">
        <v>3743</v>
      </c>
    </row>
    <row r="1285" spans="1:7" x14ac:dyDescent="0.3">
      <c r="A1285" s="81" t="s">
        <v>3907</v>
      </c>
      <c r="B1285" s="81" t="s">
        <v>4685</v>
      </c>
      <c r="C1285" s="81" t="s">
        <v>16</v>
      </c>
      <c r="D1285" s="81" t="s">
        <v>16</v>
      </c>
      <c r="E1285" s="81" t="s">
        <v>380</v>
      </c>
      <c r="F1285" s="81" t="s">
        <v>3951</v>
      </c>
      <c r="G1285" s="81" t="s">
        <v>3744</v>
      </c>
    </row>
    <row r="1286" spans="1:7" x14ac:dyDescent="0.3">
      <c r="A1286" s="81" t="s">
        <v>3907</v>
      </c>
      <c r="B1286" s="81" t="s">
        <v>4685</v>
      </c>
      <c r="C1286" s="81" t="s">
        <v>16</v>
      </c>
      <c r="D1286" s="81" t="s">
        <v>16</v>
      </c>
      <c r="E1286" s="81" t="s">
        <v>380</v>
      </c>
      <c r="F1286" s="81" t="s">
        <v>5294</v>
      </c>
      <c r="G1286" s="81" t="s">
        <v>3744</v>
      </c>
    </row>
    <row r="1287" spans="1:7" x14ac:dyDescent="0.3">
      <c r="A1287" s="81" t="s">
        <v>4040</v>
      </c>
      <c r="B1287" s="81" t="s">
        <v>933</v>
      </c>
      <c r="C1287" s="81" t="s">
        <v>20</v>
      </c>
      <c r="D1287" s="81" t="s">
        <v>1032</v>
      </c>
      <c r="E1287" s="81" t="s">
        <v>15</v>
      </c>
      <c r="F1287" s="81" t="s">
        <v>4035</v>
      </c>
      <c r="G1287" s="81" t="s">
        <v>1033</v>
      </c>
    </row>
    <row r="1288" spans="1:7" x14ac:dyDescent="0.3">
      <c r="A1288" s="81" t="s">
        <v>4040</v>
      </c>
      <c r="B1288" s="81" t="s">
        <v>933</v>
      </c>
      <c r="C1288" s="81" t="s">
        <v>16</v>
      </c>
      <c r="D1288" s="81" t="s">
        <v>18</v>
      </c>
      <c r="E1288" s="81" t="s">
        <v>369</v>
      </c>
      <c r="F1288" s="81" t="s">
        <v>4035</v>
      </c>
      <c r="G1288" s="81" t="s">
        <v>3729</v>
      </c>
    </row>
    <row r="1289" spans="1:7" x14ac:dyDescent="0.3">
      <c r="A1289" s="81" t="s">
        <v>4040</v>
      </c>
      <c r="B1289" s="81" t="s">
        <v>933</v>
      </c>
      <c r="C1289" s="81" t="s">
        <v>16</v>
      </c>
      <c r="D1289" s="81" t="s">
        <v>18</v>
      </c>
      <c r="E1289" s="81" t="s">
        <v>382</v>
      </c>
      <c r="F1289" s="81" t="s">
        <v>4035</v>
      </c>
      <c r="G1289" s="81" t="s">
        <v>3730</v>
      </c>
    </row>
    <row r="1290" spans="1:7" x14ac:dyDescent="0.3">
      <c r="A1290" s="81" t="s">
        <v>4040</v>
      </c>
      <c r="B1290" s="81" t="s">
        <v>933</v>
      </c>
      <c r="C1290" s="81" t="s">
        <v>16</v>
      </c>
      <c r="D1290" s="81" t="s">
        <v>18</v>
      </c>
      <c r="E1290" s="81" t="s">
        <v>370</v>
      </c>
      <c r="F1290" s="81" t="s">
        <v>4035</v>
      </c>
      <c r="G1290" s="81" t="s">
        <v>3731</v>
      </c>
    </row>
    <row r="1291" spans="1:7" x14ac:dyDescent="0.3">
      <c r="A1291" s="81" t="s">
        <v>4040</v>
      </c>
      <c r="B1291" s="81" t="s">
        <v>933</v>
      </c>
      <c r="C1291" s="81" t="s">
        <v>16</v>
      </c>
      <c r="D1291" s="81" t="s">
        <v>18</v>
      </c>
      <c r="E1291" s="81" t="s">
        <v>378</v>
      </c>
      <c r="F1291" s="81" t="s">
        <v>4035</v>
      </c>
      <c r="G1291" s="81" t="s">
        <v>3732</v>
      </c>
    </row>
    <row r="1292" spans="1:7" x14ac:dyDescent="0.3">
      <c r="A1292" s="81" t="s">
        <v>4040</v>
      </c>
      <c r="B1292" s="81" t="s">
        <v>933</v>
      </c>
      <c r="C1292" s="81" t="s">
        <v>16</v>
      </c>
      <c r="D1292" s="81" t="s">
        <v>18</v>
      </c>
      <c r="E1292" s="81" t="s">
        <v>371</v>
      </c>
      <c r="F1292" s="81" t="s">
        <v>4035</v>
      </c>
      <c r="G1292" s="81" t="s">
        <v>3733</v>
      </c>
    </row>
    <row r="1293" spans="1:7" x14ac:dyDescent="0.3">
      <c r="A1293" s="81" t="s">
        <v>4040</v>
      </c>
      <c r="B1293" s="81" t="s">
        <v>933</v>
      </c>
      <c r="C1293" s="81" t="s">
        <v>16</v>
      </c>
      <c r="D1293" s="81" t="s">
        <v>18</v>
      </c>
      <c r="E1293" s="81" t="s">
        <v>376</v>
      </c>
      <c r="F1293" s="81" t="s">
        <v>4035</v>
      </c>
      <c r="G1293" s="81" t="s">
        <v>3734</v>
      </c>
    </row>
    <row r="1294" spans="1:7" x14ac:dyDescent="0.3">
      <c r="A1294" s="81" t="s">
        <v>4040</v>
      </c>
      <c r="B1294" s="81" t="s">
        <v>933</v>
      </c>
      <c r="C1294" s="81" t="s">
        <v>16</v>
      </c>
      <c r="D1294" s="81" t="s">
        <v>18</v>
      </c>
      <c r="E1294" s="81" t="s">
        <v>377</v>
      </c>
      <c r="F1294" s="81" t="s">
        <v>4035</v>
      </c>
      <c r="G1294" s="81" t="s">
        <v>3735</v>
      </c>
    </row>
    <row r="1295" spans="1:7" x14ac:dyDescent="0.3">
      <c r="A1295" s="81" t="s">
        <v>4040</v>
      </c>
      <c r="B1295" s="81" t="s">
        <v>933</v>
      </c>
      <c r="C1295" s="81" t="s">
        <v>16</v>
      </c>
      <c r="D1295" s="81" t="s">
        <v>18</v>
      </c>
      <c r="E1295" s="81" t="s">
        <v>381</v>
      </c>
      <c r="F1295" s="81" t="s">
        <v>4035</v>
      </c>
      <c r="G1295" s="81" t="s">
        <v>3736</v>
      </c>
    </row>
    <row r="1296" spans="1:7" x14ac:dyDescent="0.3">
      <c r="A1296" s="81" t="s">
        <v>4040</v>
      </c>
      <c r="B1296" s="81" t="s">
        <v>933</v>
      </c>
      <c r="C1296" s="81" t="s">
        <v>16</v>
      </c>
      <c r="D1296" s="81" t="s">
        <v>18</v>
      </c>
      <c r="E1296" s="81" t="s">
        <v>379</v>
      </c>
      <c r="F1296" s="81" t="s">
        <v>4035</v>
      </c>
      <c r="G1296" s="81" t="s">
        <v>3737</v>
      </c>
    </row>
    <row r="1297" spans="1:7" x14ac:dyDescent="0.3">
      <c r="A1297" s="81" t="s">
        <v>4040</v>
      </c>
      <c r="B1297" s="81" t="s">
        <v>933</v>
      </c>
      <c r="C1297" s="81" t="s">
        <v>16</v>
      </c>
      <c r="D1297" s="81" t="s">
        <v>18</v>
      </c>
      <c r="E1297" s="81" t="s">
        <v>374</v>
      </c>
      <c r="F1297" s="81" t="s">
        <v>4035</v>
      </c>
      <c r="G1297" s="81" t="s">
        <v>3738</v>
      </c>
    </row>
    <row r="1298" spans="1:7" x14ac:dyDescent="0.3">
      <c r="A1298" s="81" t="s">
        <v>4040</v>
      </c>
      <c r="B1298" s="81" t="s">
        <v>933</v>
      </c>
      <c r="C1298" s="81" t="s">
        <v>16</v>
      </c>
      <c r="D1298" s="81" t="s">
        <v>18</v>
      </c>
      <c r="E1298" s="81" t="s">
        <v>383</v>
      </c>
      <c r="F1298" s="81" t="s">
        <v>4035</v>
      </c>
      <c r="G1298" s="81" t="s">
        <v>3739</v>
      </c>
    </row>
    <row r="1299" spans="1:7" x14ac:dyDescent="0.3">
      <c r="A1299" s="81" t="s">
        <v>4040</v>
      </c>
      <c r="B1299" s="81" t="s">
        <v>933</v>
      </c>
      <c r="C1299" s="81" t="s">
        <v>16</v>
      </c>
      <c r="D1299" s="81" t="s">
        <v>18</v>
      </c>
      <c r="E1299" s="81" t="s">
        <v>373</v>
      </c>
      <c r="F1299" s="81" t="s">
        <v>4035</v>
      </c>
      <c r="G1299" s="81" t="s">
        <v>3740</v>
      </c>
    </row>
    <row r="1300" spans="1:7" x14ac:dyDescent="0.3">
      <c r="A1300" s="81" t="s">
        <v>4040</v>
      </c>
      <c r="B1300" s="81" t="s">
        <v>933</v>
      </c>
      <c r="C1300" s="81" t="s">
        <v>16</v>
      </c>
      <c r="D1300" s="81" t="s">
        <v>18</v>
      </c>
      <c r="E1300" s="81" t="s">
        <v>368</v>
      </c>
      <c r="F1300" s="81" t="s">
        <v>4035</v>
      </c>
      <c r="G1300" s="81" t="s">
        <v>3741</v>
      </c>
    </row>
    <row r="1301" spans="1:7" x14ac:dyDescent="0.3">
      <c r="A1301" s="81" t="s">
        <v>4040</v>
      </c>
      <c r="B1301" s="81" t="s">
        <v>933</v>
      </c>
      <c r="C1301" s="81" t="s">
        <v>16</v>
      </c>
      <c r="D1301" s="81" t="s">
        <v>18</v>
      </c>
      <c r="E1301" s="81" t="s">
        <v>372</v>
      </c>
      <c r="F1301" s="81" t="s">
        <v>4035</v>
      </c>
      <c r="G1301" s="81" t="s">
        <v>3742</v>
      </c>
    </row>
    <row r="1302" spans="1:7" x14ac:dyDescent="0.3">
      <c r="A1302" s="81" t="s">
        <v>4040</v>
      </c>
      <c r="B1302" s="81" t="s">
        <v>933</v>
      </c>
      <c r="C1302" s="81" t="s">
        <v>16</v>
      </c>
      <c r="D1302" s="81" t="s">
        <v>18</v>
      </c>
      <c r="E1302" s="81" t="s">
        <v>375</v>
      </c>
      <c r="F1302" s="81" t="s">
        <v>4035</v>
      </c>
      <c r="G1302" s="81" t="s">
        <v>3743</v>
      </c>
    </row>
    <row r="1303" spans="1:7" x14ac:dyDescent="0.3">
      <c r="A1303" s="81" t="s">
        <v>4040</v>
      </c>
      <c r="B1303" s="81" t="s">
        <v>933</v>
      </c>
      <c r="C1303" s="81" t="s">
        <v>16</v>
      </c>
      <c r="D1303" s="81" t="s">
        <v>18</v>
      </c>
      <c r="E1303" s="81" t="s">
        <v>380</v>
      </c>
      <c r="F1303" s="81" t="s">
        <v>4035</v>
      </c>
      <c r="G1303" s="81" t="s">
        <v>3744</v>
      </c>
    </row>
    <row r="1304" spans="1:7" x14ac:dyDescent="0.3">
      <c r="A1304" s="81" t="s">
        <v>4064</v>
      </c>
      <c r="B1304" s="81" t="s">
        <v>3802</v>
      </c>
      <c r="C1304" s="81" t="s">
        <v>20</v>
      </c>
      <c r="D1304" s="81" t="s">
        <v>16</v>
      </c>
      <c r="E1304" s="81" t="s">
        <v>15</v>
      </c>
      <c r="F1304" s="81" t="s">
        <v>4071</v>
      </c>
      <c r="G1304" s="81">
        <v>0</v>
      </c>
    </row>
    <row r="1305" spans="1:7" x14ac:dyDescent="0.3">
      <c r="A1305" s="81" t="s">
        <v>4064</v>
      </c>
      <c r="B1305" s="81" t="s">
        <v>3802</v>
      </c>
      <c r="C1305" s="81" t="s">
        <v>20</v>
      </c>
      <c r="D1305" s="81" t="s">
        <v>16</v>
      </c>
      <c r="E1305" s="81" t="s">
        <v>15</v>
      </c>
      <c r="F1305" s="81" t="s">
        <v>4095</v>
      </c>
      <c r="G1305" s="81">
        <v>0</v>
      </c>
    </row>
    <row r="1306" spans="1:7" x14ac:dyDescent="0.3">
      <c r="A1306" s="81" t="s">
        <v>4064</v>
      </c>
      <c r="B1306" s="81" t="s">
        <v>3802</v>
      </c>
      <c r="C1306" s="81" t="s">
        <v>20</v>
      </c>
      <c r="D1306" s="81" t="s">
        <v>404</v>
      </c>
      <c r="E1306" s="81" t="s">
        <v>15</v>
      </c>
      <c r="F1306" s="81" t="s">
        <v>4065</v>
      </c>
      <c r="G1306" s="81">
        <v>0</v>
      </c>
    </row>
    <row r="1307" spans="1:7" x14ac:dyDescent="0.3">
      <c r="A1307" s="81" t="s">
        <v>4064</v>
      </c>
      <c r="B1307" s="81" t="s">
        <v>3802</v>
      </c>
      <c r="C1307" s="81" t="s">
        <v>20</v>
      </c>
      <c r="D1307" s="81" t="s">
        <v>1032</v>
      </c>
      <c r="E1307" s="81" t="s">
        <v>15</v>
      </c>
      <c r="F1307" s="81" t="s">
        <v>4075</v>
      </c>
      <c r="G1307" s="81" t="s">
        <v>1033</v>
      </c>
    </row>
    <row r="1308" spans="1:7" x14ac:dyDescent="0.3">
      <c r="A1308" s="81" t="s">
        <v>4064</v>
      </c>
      <c r="B1308" s="81" t="s">
        <v>3802</v>
      </c>
      <c r="C1308" s="81" t="s">
        <v>16</v>
      </c>
      <c r="D1308" s="81" t="s">
        <v>16</v>
      </c>
      <c r="E1308" s="81" t="s">
        <v>369</v>
      </c>
      <c r="F1308" s="81" t="s">
        <v>4075</v>
      </c>
      <c r="G1308" s="81" t="s">
        <v>3729</v>
      </c>
    </row>
    <row r="1309" spans="1:7" x14ac:dyDescent="0.3">
      <c r="A1309" s="81" t="s">
        <v>4064</v>
      </c>
      <c r="B1309" s="81" t="s">
        <v>3802</v>
      </c>
      <c r="C1309" s="81" t="s">
        <v>16</v>
      </c>
      <c r="D1309" s="81" t="s">
        <v>16</v>
      </c>
      <c r="E1309" s="81" t="s">
        <v>382</v>
      </c>
      <c r="F1309" s="81" t="s">
        <v>4075</v>
      </c>
      <c r="G1309" s="81" t="s">
        <v>3730</v>
      </c>
    </row>
    <row r="1310" spans="1:7" x14ac:dyDescent="0.3">
      <c r="A1310" s="81" t="s">
        <v>4064</v>
      </c>
      <c r="B1310" s="81" t="s">
        <v>3802</v>
      </c>
      <c r="C1310" s="81" t="s">
        <v>16</v>
      </c>
      <c r="D1310" s="81" t="s">
        <v>16</v>
      </c>
      <c r="E1310" s="81" t="s">
        <v>370</v>
      </c>
      <c r="F1310" s="81" t="s">
        <v>4075</v>
      </c>
      <c r="G1310" s="81" t="s">
        <v>3731</v>
      </c>
    </row>
    <row r="1311" spans="1:7" x14ac:dyDescent="0.3">
      <c r="A1311" s="81" t="s">
        <v>4064</v>
      </c>
      <c r="B1311" s="81" t="s">
        <v>3802</v>
      </c>
      <c r="C1311" s="81" t="s">
        <v>16</v>
      </c>
      <c r="D1311" s="81" t="s">
        <v>16</v>
      </c>
      <c r="E1311" s="81" t="s">
        <v>378</v>
      </c>
      <c r="F1311" s="81" t="s">
        <v>4075</v>
      </c>
      <c r="G1311" s="81" t="s">
        <v>3732</v>
      </c>
    </row>
    <row r="1312" spans="1:7" x14ac:dyDescent="0.3">
      <c r="A1312" s="81" t="s">
        <v>4064</v>
      </c>
      <c r="B1312" s="81" t="s">
        <v>3802</v>
      </c>
      <c r="C1312" s="81" t="s">
        <v>16</v>
      </c>
      <c r="D1312" s="81" t="s">
        <v>16</v>
      </c>
      <c r="E1312" s="81" t="s">
        <v>371</v>
      </c>
      <c r="F1312" s="81" t="s">
        <v>4075</v>
      </c>
      <c r="G1312" s="81" t="s">
        <v>3733</v>
      </c>
    </row>
    <row r="1313" spans="1:7" x14ac:dyDescent="0.3">
      <c r="A1313" s="81" t="s">
        <v>4064</v>
      </c>
      <c r="B1313" s="81" t="s">
        <v>3802</v>
      </c>
      <c r="C1313" s="81" t="s">
        <v>16</v>
      </c>
      <c r="D1313" s="81" t="s">
        <v>16</v>
      </c>
      <c r="E1313" s="81" t="s">
        <v>376</v>
      </c>
      <c r="F1313" s="81" t="s">
        <v>4075</v>
      </c>
      <c r="G1313" s="81" t="s">
        <v>3734</v>
      </c>
    </row>
    <row r="1314" spans="1:7" x14ac:dyDescent="0.3">
      <c r="A1314" s="81" t="s">
        <v>4064</v>
      </c>
      <c r="B1314" s="81" t="s">
        <v>3802</v>
      </c>
      <c r="C1314" s="81" t="s">
        <v>16</v>
      </c>
      <c r="D1314" s="81" t="s">
        <v>16</v>
      </c>
      <c r="E1314" s="81" t="s">
        <v>377</v>
      </c>
      <c r="F1314" s="81" t="s">
        <v>4075</v>
      </c>
      <c r="G1314" s="81" t="s">
        <v>3735</v>
      </c>
    </row>
    <row r="1315" spans="1:7" x14ac:dyDescent="0.3">
      <c r="A1315" s="81" t="s">
        <v>4064</v>
      </c>
      <c r="B1315" s="81" t="s">
        <v>3802</v>
      </c>
      <c r="C1315" s="81" t="s">
        <v>16</v>
      </c>
      <c r="D1315" s="81" t="s">
        <v>16</v>
      </c>
      <c r="E1315" s="81" t="s">
        <v>381</v>
      </c>
      <c r="F1315" s="81" t="s">
        <v>4075</v>
      </c>
      <c r="G1315" s="81" t="s">
        <v>3736</v>
      </c>
    </row>
    <row r="1316" spans="1:7" x14ac:dyDescent="0.3">
      <c r="A1316" s="81" t="s">
        <v>4064</v>
      </c>
      <c r="B1316" s="81" t="s">
        <v>3802</v>
      </c>
      <c r="C1316" s="81" t="s">
        <v>16</v>
      </c>
      <c r="D1316" s="81" t="s">
        <v>16</v>
      </c>
      <c r="E1316" s="81" t="s">
        <v>379</v>
      </c>
      <c r="F1316" s="81" t="s">
        <v>4075</v>
      </c>
      <c r="G1316" s="81" t="s">
        <v>3737</v>
      </c>
    </row>
    <row r="1317" spans="1:7" x14ac:dyDescent="0.3">
      <c r="A1317" s="81" t="s">
        <v>4064</v>
      </c>
      <c r="B1317" s="81" t="s">
        <v>3802</v>
      </c>
      <c r="C1317" s="81" t="s">
        <v>16</v>
      </c>
      <c r="D1317" s="81" t="s">
        <v>16</v>
      </c>
      <c r="E1317" s="81" t="s">
        <v>374</v>
      </c>
      <c r="F1317" s="81" t="s">
        <v>4075</v>
      </c>
      <c r="G1317" s="81" t="s">
        <v>3738</v>
      </c>
    </row>
    <row r="1318" spans="1:7" x14ac:dyDescent="0.3">
      <c r="A1318" s="81" t="s">
        <v>4064</v>
      </c>
      <c r="B1318" s="81" t="s">
        <v>3802</v>
      </c>
      <c r="C1318" s="81" t="s">
        <v>16</v>
      </c>
      <c r="D1318" s="81" t="s">
        <v>16</v>
      </c>
      <c r="E1318" s="81" t="s">
        <v>383</v>
      </c>
      <c r="F1318" s="81" t="s">
        <v>4075</v>
      </c>
      <c r="G1318" s="81" t="s">
        <v>3739</v>
      </c>
    </row>
    <row r="1319" spans="1:7" x14ac:dyDescent="0.3">
      <c r="A1319" s="81" t="s">
        <v>4064</v>
      </c>
      <c r="B1319" s="81" t="s">
        <v>3802</v>
      </c>
      <c r="C1319" s="81" t="s">
        <v>16</v>
      </c>
      <c r="D1319" s="81" t="s">
        <v>16</v>
      </c>
      <c r="E1319" s="81" t="s">
        <v>373</v>
      </c>
      <c r="F1319" s="81" t="s">
        <v>4075</v>
      </c>
      <c r="G1319" s="81" t="s">
        <v>3740</v>
      </c>
    </row>
    <row r="1320" spans="1:7" x14ac:dyDescent="0.3">
      <c r="A1320" s="81" t="s">
        <v>4064</v>
      </c>
      <c r="B1320" s="81" t="s">
        <v>3802</v>
      </c>
      <c r="C1320" s="81" t="s">
        <v>16</v>
      </c>
      <c r="D1320" s="81" t="s">
        <v>16</v>
      </c>
      <c r="E1320" s="81" t="s">
        <v>368</v>
      </c>
      <c r="F1320" s="81" t="s">
        <v>4075</v>
      </c>
      <c r="G1320" s="81" t="s">
        <v>3741</v>
      </c>
    </row>
    <row r="1321" spans="1:7" x14ac:dyDescent="0.3">
      <c r="A1321" s="81" t="s">
        <v>4064</v>
      </c>
      <c r="B1321" s="81" t="s">
        <v>3802</v>
      </c>
      <c r="C1321" s="81" t="s">
        <v>16</v>
      </c>
      <c r="D1321" s="81" t="s">
        <v>16</v>
      </c>
      <c r="E1321" s="81" t="s">
        <v>372</v>
      </c>
      <c r="F1321" s="81" t="s">
        <v>4075</v>
      </c>
      <c r="G1321" s="81" t="s">
        <v>3742</v>
      </c>
    </row>
    <row r="1322" spans="1:7" x14ac:dyDescent="0.3">
      <c r="A1322" s="81" t="s">
        <v>4064</v>
      </c>
      <c r="B1322" s="81" t="s">
        <v>3802</v>
      </c>
      <c r="C1322" s="81" t="s">
        <v>16</v>
      </c>
      <c r="D1322" s="81" t="s">
        <v>16</v>
      </c>
      <c r="E1322" s="81" t="s">
        <v>375</v>
      </c>
      <c r="F1322" s="81" t="s">
        <v>4075</v>
      </c>
      <c r="G1322" s="81" t="s">
        <v>3743</v>
      </c>
    </row>
    <row r="1323" spans="1:7" x14ac:dyDescent="0.3">
      <c r="A1323" s="81" t="s">
        <v>4064</v>
      </c>
      <c r="B1323" s="81" t="s">
        <v>3802</v>
      </c>
      <c r="C1323" s="81" t="s">
        <v>16</v>
      </c>
      <c r="D1323" s="81" t="s">
        <v>16</v>
      </c>
      <c r="E1323" s="81" t="s">
        <v>380</v>
      </c>
      <c r="F1323" s="81" t="s">
        <v>4075</v>
      </c>
      <c r="G1323" s="81" t="s">
        <v>3744</v>
      </c>
    </row>
    <row r="1324" spans="1:7" x14ac:dyDescent="0.3">
      <c r="A1324" s="81" t="s">
        <v>4158</v>
      </c>
      <c r="B1324" s="81" t="s">
        <v>4099</v>
      </c>
      <c r="C1324" s="81" t="s">
        <v>20</v>
      </c>
      <c r="D1324" s="81" t="s">
        <v>16</v>
      </c>
      <c r="E1324" s="81" t="s">
        <v>15</v>
      </c>
      <c r="F1324" s="81" t="s">
        <v>4159</v>
      </c>
      <c r="G1324" s="81" t="s">
        <v>855</v>
      </c>
    </row>
    <row r="1325" spans="1:7" x14ac:dyDescent="0.3">
      <c r="A1325" s="81" t="s">
        <v>4158</v>
      </c>
      <c r="B1325" s="81" t="s">
        <v>4099</v>
      </c>
      <c r="C1325" s="81" t="s">
        <v>16</v>
      </c>
      <c r="D1325" s="81" t="s">
        <v>404</v>
      </c>
      <c r="E1325" s="81" t="s">
        <v>369</v>
      </c>
      <c r="F1325" s="81" t="s">
        <v>4159</v>
      </c>
      <c r="G1325" s="81" t="s">
        <v>3745</v>
      </c>
    </row>
    <row r="1326" spans="1:7" x14ac:dyDescent="0.3">
      <c r="A1326" s="81" t="s">
        <v>4158</v>
      </c>
      <c r="B1326" s="81" t="s">
        <v>4099</v>
      </c>
      <c r="C1326" s="81" t="s">
        <v>16</v>
      </c>
      <c r="D1326" s="81" t="s">
        <v>404</v>
      </c>
      <c r="E1326" s="81" t="s">
        <v>382</v>
      </c>
      <c r="F1326" s="81" t="s">
        <v>4159</v>
      </c>
      <c r="G1326" s="81" t="s">
        <v>3746</v>
      </c>
    </row>
    <row r="1327" spans="1:7" x14ac:dyDescent="0.3">
      <c r="A1327" s="81" t="s">
        <v>4158</v>
      </c>
      <c r="B1327" s="81" t="s">
        <v>4099</v>
      </c>
      <c r="C1327" s="81" t="s">
        <v>16</v>
      </c>
      <c r="D1327" s="81" t="s">
        <v>404</v>
      </c>
      <c r="E1327" s="81" t="s">
        <v>370</v>
      </c>
      <c r="F1327" s="81" t="s">
        <v>4159</v>
      </c>
      <c r="G1327" s="81" t="s">
        <v>3747</v>
      </c>
    </row>
    <row r="1328" spans="1:7" x14ac:dyDescent="0.3">
      <c r="A1328" s="81" t="s">
        <v>4158</v>
      </c>
      <c r="B1328" s="81" t="s">
        <v>4099</v>
      </c>
      <c r="C1328" s="81" t="s">
        <v>16</v>
      </c>
      <c r="D1328" s="81" t="s">
        <v>404</v>
      </c>
      <c r="E1328" s="81" t="s">
        <v>378</v>
      </c>
      <c r="F1328" s="81" t="s">
        <v>4159</v>
      </c>
      <c r="G1328" s="81" t="s">
        <v>3748</v>
      </c>
    </row>
    <row r="1329" spans="1:7" x14ac:dyDescent="0.3">
      <c r="A1329" s="81" t="s">
        <v>4158</v>
      </c>
      <c r="B1329" s="81" t="s">
        <v>4099</v>
      </c>
      <c r="C1329" s="81" t="s">
        <v>16</v>
      </c>
      <c r="D1329" s="81" t="s">
        <v>404</v>
      </c>
      <c r="E1329" s="81" t="s">
        <v>371</v>
      </c>
      <c r="F1329" s="81" t="s">
        <v>4159</v>
      </c>
      <c r="G1329" s="81" t="s">
        <v>3749</v>
      </c>
    </row>
    <row r="1330" spans="1:7" x14ac:dyDescent="0.3">
      <c r="A1330" s="81" t="s">
        <v>4158</v>
      </c>
      <c r="B1330" s="81" t="s">
        <v>4099</v>
      </c>
      <c r="C1330" s="81" t="s">
        <v>16</v>
      </c>
      <c r="D1330" s="81" t="s">
        <v>404</v>
      </c>
      <c r="E1330" s="81" t="s">
        <v>376</v>
      </c>
      <c r="F1330" s="81" t="s">
        <v>4159</v>
      </c>
      <c r="G1330" s="81" t="s">
        <v>3750</v>
      </c>
    </row>
    <row r="1331" spans="1:7" x14ac:dyDescent="0.3">
      <c r="A1331" s="81" t="s">
        <v>4158</v>
      </c>
      <c r="B1331" s="81" t="s">
        <v>4099</v>
      </c>
      <c r="C1331" s="81" t="s">
        <v>16</v>
      </c>
      <c r="D1331" s="81" t="s">
        <v>404</v>
      </c>
      <c r="E1331" s="81" t="s">
        <v>377</v>
      </c>
      <c r="F1331" s="81" t="s">
        <v>4159</v>
      </c>
      <c r="G1331" s="81" t="s">
        <v>3751</v>
      </c>
    </row>
    <row r="1332" spans="1:7" x14ac:dyDescent="0.3">
      <c r="A1332" s="81" t="s">
        <v>4158</v>
      </c>
      <c r="B1332" s="81" t="s">
        <v>4099</v>
      </c>
      <c r="C1332" s="81" t="s">
        <v>16</v>
      </c>
      <c r="D1332" s="81" t="s">
        <v>404</v>
      </c>
      <c r="E1332" s="81" t="s">
        <v>381</v>
      </c>
      <c r="F1332" s="81" t="s">
        <v>4159</v>
      </c>
      <c r="G1332" s="81" t="s">
        <v>3752</v>
      </c>
    </row>
    <row r="1333" spans="1:7" x14ac:dyDescent="0.3">
      <c r="A1333" s="81" t="s">
        <v>4158</v>
      </c>
      <c r="B1333" s="81" t="s">
        <v>4099</v>
      </c>
      <c r="C1333" s="81" t="s">
        <v>16</v>
      </c>
      <c r="D1333" s="81" t="s">
        <v>404</v>
      </c>
      <c r="E1333" s="81" t="s">
        <v>379</v>
      </c>
      <c r="F1333" s="81" t="s">
        <v>4159</v>
      </c>
      <c r="G1333" s="81" t="s">
        <v>3753</v>
      </c>
    </row>
    <row r="1334" spans="1:7" x14ac:dyDescent="0.3">
      <c r="A1334" s="81" t="s">
        <v>4158</v>
      </c>
      <c r="B1334" s="81" t="s">
        <v>4099</v>
      </c>
      <c r="C1334" s="81" t="s">
        <v>16</v>
      </c>
      <c r="D1334" s="81" t="s">
        <v>404</v>
      </c>
      <c r="E1334" s="81" t="s">
        <v>374</v>
      </c>
      <c r="F1334" s="81" t="s">
        <v>4159</v>
      </c>
      <c r="G1334" s="81" t="s">
        <v>3754</v>
      </c>
    </row>
    <row r="1335" spans="1:7" x14ac:dyDescent="0.3">
      <c r="A1335" s="81" t="s">
        <v>4158</v>
      </c>
      <c r="B1335" s="81" t="s">
        <v>4099</v>
      </c>
      <c r="C1335" s="81" t="s">
        <v>16</v>
      </c>
      <c r="D1335" s="81" t="s">
        <v>404</v>
      </c>
      <c r="E1335" s="81" t="s">
        <v>373</v>
      </c>
      <c r="F1335" s="81" t="s">
        <v>4159</v>
      </c>
      <c r="G1335" s="81" t="s">
        <v>3756</v>
      </c>
    </row>
    <row r="1336" spans="1:7" x14ac:dyDescent="0.3">
      <c r="A1336" s="81" t="s">
        <v>4158</v>
      </c>
      <c r="B1336" s="81" t="s">
        <v>4099</v>
      </c>
      <c r="C1336" s="81" t="s">
        <v>16</v>
      </c>
      <c r="D1336" s="81" t="s">
        <v>404</v>
      </c>
      <c r="E1336" s="81" t="s">
        <v>368</v>
      </c>
      <c r="F1336" s="81" t="s">
        <v>4159</v>
      </c>
      <c r="G1336" s="81" t="s">
        <v>3757</v>
      </c>
    </row>
    <row r="1337" spans="1:7" x14ac:dyDescent="0.3">
      <c r="A1337" s="81" t="s">
        <v>4158</v>
      </c>
      <c r="B1337" s="81" t="s">
        <v>4099</v>
      </c>
      <c r="C1337" s="81" t="s">
        <v>16</v>
      </c>
      <c r="D1337" s="81" t="s">
        <v>404</v>
      </c>
      <c r="E1337" s="81" t="s">
        <v>372</v>
      </c>
      <c r="F1337" s="81" t="s">
        <v>4159</v>
      </c>
      <c r="G1337" s="81" t="s">
        <v>3758</v>
      </c>
    </row>
    <row r="1338" spans="1:7" x14ac:dyDescent="0.3">
      <c r="A1338" s="81" t="s">
        <v>4158</v>
      </c>
      <c r="B1338" s="81" t="s">
        <v>4099</v>
      </c>
      <c r="C1338" s="81" t="s">
        <v>16</v>
      </c>
      <c r="D1338" s="81" t="s">
        <v>404</v>
      </c>
      <c r="E1338" s="81" t="s">
        <v>375</v>
      </c>
      <c r="F1338" s="81" t="s">
        <v>4159</v>
      </c>
      <c r="G1338" s="81" t="s">
        <v>3759</v>
      </c>
    </row>
    <row r="1339" spans="1:7" x14ac:dyDescent="0.3">
      <c r="A1339" s="81" t="s">
        <v>4158</v>
      </c>
      <c r="B1339" s="81" t="s">
        <v>4099</v>
      </c>
      <c r="C1339" s="81" t="s">
        <v>16</v>
      </c>
      <c r="D1339" s="81" t="s">
        <v>404</v>
      </c>
      <c r="E1339" s="81" t="s">
        <v>380</v>
      </c>
      <c r="F1339" s="81" t="s">
        <v>4159</v>
      </c>
      <c r="G1339" s="81" t="s">
        <v>3760</v>
      </c>
    </row>
    <row r="1340" spans="1:7" x14ac:dyDescent="0.3">
      <c r="A1340" s="81" t="s">
        <v>4179</v>
      </c>
      <c r="B1340" s="81" t="s">
        <v>3795</v>
      </c>
      <c r="C1340" s="81" t="s">
        <v>20</v>
      </c>
      <c r="D1340" s="81" t="s">
        <v>1032</v>
      </c>
      <c r="E1340" s="81" t="s">
        <v>15</v>
      </c>
      <c r="F1340" s="81" t="s">
        <v>4180</v>
      </c>
      <c r="G1340" s="81" t="s">
        <v>1033</v>
      </c>
    </row>
    <row r="1341" spans="1:7" x14ac:dyDescent="0.3">
      <c r="A1341" s="81" t="s">
        <v>4179</v>
      </c>
      <c r="B1341" s="81" t="s">
        <v>3795</v>
      </c>
      <c r="C1341" s="81" t="s">
        <v>20</v>
      </c>
      <c r="D1341" s="81" t="s">
        <v>1032</v>
      </c>
      <c r="E1341" s="81" t="s">
        <v>15</v>
      </c>
      <c r="F1341" s="81" t="s">
        <v>5702</v>
      </c>
      <c r="G1341" s="81" t="s">
        <v>1033</v>
      </c>
    </row>
    <row r="1342" spans="1:7" x14ac:dyDescent="0.3">
      <c r="A1342" s="81" t="s">
        <v>4179</v>
      </c>
      <c r="B1342" s="81" t="s">
        <v>3795</v>
      </c>
      <c r="C1342" s="81" t="s">
        <v>16</v>
      </c>
      <c r="D1342" s="81" t="s">
        <v>18</v>
      </c>
      <c r="E1342" s="81" t="s">
        <v>369</v>
      </c>
      <c r="F1342" s="81" t="s">
        <v>4180</v>
      </c>
      <c r="G1342" s="81" t="s">
        <v>3729</v>
      </c>
    </row>
    <row r="1343" spans="1:7" x14ac:dyDescent="0.3">
      <c r="A1343" s="81" t="s">
        <v>4179</v>
      </c>
      <c r="B1343" s="81" t="s">
        <v>3795</v>
      </c>
      <c r="C1343" s="81" t="s">
        <v>16</v>
      </c>
      <c r="D1343" s="81" t="s">
        <v>18</v>
      </c>
      <c r="E1343" s="81" t="s">
        <v>369</v>
      </c>
      <c r="F1343" s="81" t="s">
        <v>5702</v>
      </c>
      <c r="G1343" s="81" t="s">
        <v>3729</v>
      </c>
    </row>
    <row r="1344" spans="1:7" x14ac:dyDescent="0.3">
      <c r="A1344" s="81" t="s">
        <v>4179</v>
      </c>
      <c r="B1344" s="81" t="s">
        <v>3795</v>
      </c>
      <c r="C1344" s="81" t="s">
        <v>16</v>
      </c>
      <c r="D1344" s="81" t="s">
        <v>18</v>
      </c>
      <c r="E1344" s="81" t="s">
        <v>382</v>
      </c>
      <c r="F1344" s="81" t="s">
        <v>4180</v>
      </c>
      <c r="G1344" s="81" t="s">
        <v>3730</v>
      </c>
    </row>
    <row r="1345" spans="1:7" x14ac:dyDescent="0.3">
      <c r="A1345" s="81" t="s">
        <v>4179</v>
      </c>
      <c r="B1345" s="81" t="s">
        <v>3795</v>
      </c>
      <c r="C1345" s="81" t="s">
        <v>16</v>
      </c>
      <c r="D1345" s="81" t="s">
        <v>18</v>
      </c>
      <c r="E1345" s="81" t="s">
        <v>382</v>
      </c>
      <c r="F1345" s="81" t="s">
        <v>5702</v>
      </c>
      <c r="G1345" s="81" t="s">
        <v>3730</v>
      </c>
    </row>
    <row r="1346" spans="1:7" x14ac:dyDescent="0.3">
      <c r="A1346" s="81" t="s">
        <v>4179</v>
      </c>
      <c r="B1346" s="81" t="s">
        <v>3795</v>
      </c>
      <c r="C1346" s="81" t="s">
        <v>16</v>
      </c>
      <c r="D1346" s="81" t="s">
        <v>18</v>
      </c>
      <c r="E1346" s="81" t="s">
        <v>370</v>
      </c>
      <c r="F1346" s="81" t="s">
        <v>4180</v>
      </c>
      <c r="G1346" s="81" t="s">
        <v>3731</v>
      </c>
    </row>
    <row r="1347" spans="1:7" x14ac:dyDescent="0.3">
      <c r="A1347" s="81" t="s">
        <v>4179</v>
      </c>
      <c r="B1347" s="81" t="s">
        <v>3795</v>
      </c>
      <c r="C1347" s="81" t="s">
        <v>16</v>
      </c>
      <c r="D1347" s="81" t="s">
        <v>18</v>
      </c>
      <c r="E1347" s="81" t="s">
        <v>370</v>
      </c>
      <c r="F1347" s="81" t="s">
        <v>5702</v>
      </c>
      <c r="G1347" s="81" t="s">
        <v>3731</v>
      </c>
    </row>
    <row r="1348" spans="1:7" x14ac:dyDescent="0.3">
      <c r="A1348" s="81" t="s">
        <v>4179</v>
      </c>
      <c r="B1348" s="81" t="s">
        <v>3795</v>
      </c>
      <c r="C1348" s="81" t="s">
        <v>16</v>
      </c>
      <c r="D1348" s="81" t="s">
        <v>18</v>
      </c>
      <c r="E1348" s="81" t="s">
        <v>378</v>
      </c>
      <c r="F1348" s="81" t="s">
        <v>4180</v>
      </c>
      <c r="G1348" s="81" t="s">
        <v>3732</v>
      </c>
    </row>
    <row r="1349" spans="1:7" x14ac:dyDescent="0.3">
      <c r="A1349" s="81" t="s">
        <v>4179</v>
      </c>
      <c r="B1349" s="81" t="s">
        <v>3795</v>
      </c>
      <c r="C1349" s="81" t="s">
        <v>16</v>
      </c>
      <c r="D1349" s="81" t="s">
        <v>18</v>
      </c>
      <c r="E1349" s="81" t="s">
        <v>378</v>
      </c>
      <c r="F1349" s="81" t="s">
        <v>5702</v>
      </c>
      <c r="G1349" s="81" t="s">
        <v>3732</v>
      </c>
    </row>
    <row r="1350" spans="1:7" x14ac:dyDescent="0.3">
      <c r="A1350" s="81" t="s">
        <v>4179</v>
      </c>
      <c r="B1350" s="81" t="s">
        <v>3795</v>
      </c>
      <c r="C1350" s="81" t="s">
        <v>16</v>
      </c>
      <c r="D1350" s="81" t="s">
        <v>18</v>
      </c>
      <c r="E1350" s="81" t="s">
        <v>371</v>
      </c>
      <c r="F1350" s="81" t="s">
        <v>4180</v>
      </c>
      <c r="G1350" s="81" t="s">
        <v>3733</v>
      </c>
    </row>
    <row r="1351" spans="1:7" x14ac:dyDescent="0.3">
      <c r="A1351" s="81" t="s">
        <v>4179</v>
      </c>
      <c r="B1351" s="81" t="s">
        <v>3795</v>
      </c>
      <c r="C1351" s="81" t="s">
        <v>16</v>
      </c>
      <c r="D1351" s="81" t="s">
        <v>18</v>
      </c>
      <c r="E1351" s="81" t="s">
        <v>371</v>
      </c>
      <c r="F1351" s="81" t="s">
        <v>5702</v>
      </c>
      <c r="G1351" s="81" t="s">
        <v>3733</v>
      </c>
    </row>
    <row r="1352" spans="1:7" x14ac:dyDescent="0.3">
      <c r="A1352" s="81" t="s">
        <v>4179</v>
      </c>
      <c r="B1352" s="81" t="s">
        <v>3795</v>
      </c>
      <c r="C1352" s="81" t="s">
        <v>16</v>
      </c>
      <c r="D1352" s="81" t="s">
        <v>18</v>
      </c>
      <c r="E1352" s="81" t="s">
        <v>376</v>
      </c>
      <c r="F1352" s="81" t="s">
        <v>4180</v>
      </c>
      <c r="G1352" s="81" t="s">
        <v>3734</v>
      </c>
    </row>
    <row r="1353" spans="1:7" x14ac:dyDescent="0.3">
      <c r="A1353" s="81" t="s">
        <v>4179</v>
      </c>
      <c r="B1353" s="81" t="s">
        <v>3795</v>
      </c>
      <c r="C1353" s="81" t="s">
        <v>16</v>
      </c>
      <c r="D1353" s="81" t="s">
        <v>18</v>
      </c>
      <c r="E1353" s="81" t="s">
        <v>376</v>
      </c>
      <c r="F1353" s="81" t="s">
        <v>5702</v>
      </c>
      <c r="G1353" s="81" t="s">
        <v>3734</v>
      </c>
    </row>
    <row r="1354" spans="1:7" x14ac:dyDescent="0.3">
      <c r="A1354" s="81" t="s">
        <v>4179</v>
      </c>
      <c r="B1354" s="81" t="s">
        <v>3795</v>
      </c>
      <c r="C1354" s="81" t="s">
        <v>16</v>
      </c>
      <c r="D1354" s="81" t="s">
        <v>18</v>
      </c>
      <c r="E1354" s="81" t="s">
        <v>377</v>
      </c>
      <c r="F1354" s="81" t="s">
        <v>4180</v>
      </c>
      <c r="G1354" s="81" t="s">
        <v>3735</v>
      </c>
    </row>
    <row r="1355" spans="1:7" x14ac:dyDescent="0.3">
      <c r="A1355" s="81" t="s">
        <v>4179</v>
      </c>
      <c r="B1355" s="81" t="s">
        <v>3795</v>
      </c>
      <c r="C1355" s="81" t="s">
        <v>16</v>
      </c>
      <c r="D1355" s="81" t="s">
        <v>18</v>
      </c>
      <c r="E1355" s="81" t="s">
        <v>377</v>
      </c>
      <c r="F1355" s="81" t="s">
        <v>5702</v>
      </c>
      <c r="G1355" s="81" t="s">
        <v>3735</v>
      </c>
    </row>
    <row r="1356" spans="1:7" x14ac:dyDescent="0.3">
      <c r="A1356" s="81" t="s">
        <v>4179</v>
      </c>
      <c r="B1356" s="81" t="s">
        <v>3795</v>
      </c>
      <c r="C1356" s="81" t="s">
        <v>16</v>
      </c>
      <c r="D1356" s="81" t="s">
        <v>18</v>
      </c>
      <c r="E1356" s="81" t="s">
        <v>381</v>
      </c>
      <c r="F1356" s="81" t="s">
        <v>4180</v>
      </c>
      <c r="G1356" s="81" t="s">
        <v>3736</v>
      </c>
    </row>
    <row r="1357" spans="1:7" x14ac:dyDescent="0.3">
      <c r="A1357" s="81" t="s">
        <v>4179</v>
      </c>
      <c r="B1357" s="81" t="s">
        <v>3795</v>
      </c>
      <c r="C1357" s="81" t="s">
        <v>16</v>
      </c>
      <c r="D1357" s="81" t="s">
        <v>18</v>
      </c>
      <c r="E1357" s="81" t="s">
        <v>381</v>
      </c>
      <c r="F1357" s="81" t="s">
        <v>5702</v>
      </c>
      <c r="G1357" s="81" t="s">
        <v>3736</v>
      </c>
    </row>
    <row r="1358" spans="1:7" x14ac:dyDescent="0.3">
      <c r="A1358" s="81" t="s">
        <v>4179</v>
      </c>
      <c r="B1358" s="81" t="s">
        <v>3795</v>
      </c>
      <c r="C1358" s="81" t="s">
        <v>16</v>
      </c>
      <c r="D1358" s="81" t="s">
        <v>18</v>
      </c>
      <c r="E1358" s="81" t="s">
        <v>379</v>
      </c>
      <c r="F1358" s="81" t="s">
        <v>4180</v>
      </c>
      <c r="G1358" s="81" t="s">
        <v>3737</v>
      </c>
    </row>
    <row r="1359" spans="1:7" x14ac:dyDescent="0.3">
      <c r="A1359" s="81" t="s">
        <v>4179</v>
      </c>
      <c r="B1359" s="81" t="s">
        <v>3795</v>
      </c>
      <c r="C1359" s="81" t="s">
        <v>16</v>
      </c>
      <c r="D1359" s="81" t="s">
        <v>18</v>
      </c>
      <c r="E1359" s="81" t="s">
        <v>379</v>
      </c>
      <c r="F1359" s="81" t="s">
        <v>5702</v>
      </c>
      <c r="G1359" s="81" t="s">
        <v>3737</v>
      </c>
    </row>
    <row r="1360" spans="1:7" x14ac:dyDescent="0.3">
      <c r="A1360" s="81" t="s">
        <v>4179</v>
      </c>
      <c r="B1360" s="81" t="s">
        <v>3795</v>
      </c>
      <c r="C1360" s="81" t="s">
        <v>16</v>
      </c>
      <c r="D1360" s="81" t="s">
        <v>18</v>
      </c>
      <c r="E1360" s="81" t="s">
        <v>374</v>
      </c>
      <c r="F1360" s="81" t="s">
        <v>4180</v>
      </c>
      <c r="G1360" s="81" t="s">
        <v>3738</v>
      </c>
    </row>
    <row r="1361" spans="1:7" x14ac:dyDescent="0.3">
      <c r="A1361" s="81" t="s">
        <v>4179</v>
      </c>
      <c r="B1361" s="81" t="s">
        <v>3795</v>
      </c>
      <c r="C1361" s="81" t="s">
        <v>16</v>
      </c>
      <c r="D1361" s="81" t="s">
        <v>18</v>
      </c>
      <c r="E1361" s="81" t="s">
        <v>374</v>
      </c>
      <c r="F1361" s="81" t="s">
        <v>5702</v>
      </c>
      <c r="G1361" s="81" t="s">
        <v>3738</v>
      </c>
    </row>
    <row r="1362" spans="1:7" x14ac:dyDescent="0.3">
      <c r="A1362" s="81" t="s">
        <v>4179</v>
      </c>
      <c r="B1362" s="81" t="s">
        <v>3795</v>
      </c>
      <c r="C1362" s="81" t="s">
        <v>16</v>
      </c>
      <c r="D1362" s="81" t="s">
        <v>18</v>
      </c>
      <c r="E1362" s="81" t="s">
        <v>383</v>
      </c>
      <c r="F1362" s="81" t="s">
        <v>4180</v>
      </c>
      <c r="G1362" s="81" t="s">
        <v>3739</v>
      </c>
    </row>
    <row r="1363" spans="1:7" x14ac:dyDescent="0.3">
      <c r="A1363" s="81" t="s">
        <v>4179</v>
      </c>
      <c r="B1363" s="81" t="s">
        <v>3795</v>
      </c>
      <c r="C1363" s="81" t="s">
        <v>16</v>
      </c>
      <c r="D1363" s="81" t="s">
        <v>18</v>
      </c>
      <c r="E1363" s="81" t="s">
        <v>383</v>
      </c>
      <c r="F1363" s="81" t="s">
        <v>5702</v>
      </c>
      <c r="G1363" s="81" t="s">
        <v>3739</v>
      </c>
    </row>
    <row r="1364" spans="1:7" x14ac:dyDescent="0.3">
      <c r="A1364" s="81" t="s">
        <v>4179</v>
      </c>
      <c r="B1364" s="81" t="s">
        <v>3795</v>
      </c>
      <c r="C1364" s="81" t="s">
        <v>16</v>
      </c>
      <c r="D1364" s="81" t="s">
        <v>18</v>
      </c>
      <c r="E1364" s="81" t="s">
        <v>373</v>
      </c>
      <c r="F1364" s="81" t="s">
        <v>4180</v>
      </c>
      <c r="G1364" s="81" t="s">
        <v>3740</v>
      </c>
    </row>
    <row r="1365" spans="1:7" x14ac:dyDescent="0.3">
      <c r="A1365" s="81" t="s">
        <v>4179</v>
      </c>
      <c r="B1365" s="81" t="s">
        <v>3795</v>
      </c>
      <c r="C1365" s="81" t="s">
        <v>16</v>
      </c>
      <c r="D1365" s="81" t="s">
        <v>18</v>
      </c>
      <c r="E1365" s="81" t="s">
        <v>373</v>
      </c>
      <c r="F1365" s="81" t="s">
        <v>5702</v>
      </c>
      <c r="G1365" s="81" t="s">
        <v>3740</v>
      </c>
    </row>
    <row r="1366" spans="1:7" x14ac:dyDescent="0.3">
      <c r="A1366" s="81" t="s">
        <v>4179</v>
      </c>
      <c r="B1366" s="81" t="s">
        <v>3795</v>
      </c>
      <c r="C1366" s="81" t="s">
        <v>16</v>
      </c>
      <c r="D1366" s="81" t="s">
        <v>18</v>
      </c>
      <c r="E1366" s="81" t="s">
        <v>368</v>
      </c>
      <c r="F1366" s="81" t="s">
        <v>4180</v>
      </c>
      <c r="G1366" s="81" t="s">
        <v>3741</v>
      </c>
    </row>
    <row r="1367" spans="1:7" x14ac:dyDescent="0.3">
      <c r="A1367" s="81" t="s">
        <v>4179</v>
      </c>
      <c r="B1367" s="81" t="s">
        <v>3795</v>
      </c>
      <c r="C1367" s="81" t="s">
        <v>16</v>
      </c>
      <c r="D1367" s="81" t="s">
        <v>18</v>
      </c>
      <c r="E1367" s="81" t="s">
        <v>368</v>
      </c>
      <c r="F1367" s="81" t="s">
        <v>5702</v>
      </c>
      <c r="G1367" s="81" t="s">
        <v>3741</v>
      </c>
    </row>
    <row r="1368" spans="1:7" x14ac:dyDescent="0.3">
      <c r="A1368" s="81" t="s">
        <v>4179</v>
      </c>
      <c r="B1368" s="81" t="s">
        <v>3795</v>
      </c>
      <c r="C1368" s="81" t="s">
        <v>16</v>
      </c>
      <c r="D1368" s="81" t="s">
        <v>18</v>
      </c>
      <c r="E1368" s="81" t="s">
        <v>372</v>
      </c>
      <c r="F1368" s="81" t="s">
        <v>4180</v>
      </c>
      <c r="G1368" s="81" t="s">
        <v>3742</v>
      </c>
    </row>
    <row r="1369" spans="1:7" x14ac:dyDescent="0.3">
      <c r="A1369" s="81" t="s">
        <v>4179</v>
      </c>
      <c r="B1369" s="81" t="s">
        <v>3795</v>
      </c>
      <c r="C1369" s="81" t="s">
        <v>16</v>
      </c>
      <c r="D1369" s="81" t="s">
        <v>18</v>
      </c>
      <c r="E1369" s="81" t="s">
        <v>372</v>
      </c>
      <c r="F1369" s="81" t="s">
        <v>5702</v>
      </c>
      <c r="G1369" s="81" t="s">
        <v>3742</v>
      </c>
    </row>
    <row r="1370" spans="1:7" x14ac:dyDescent="0.3">
      <c r="A1370" s="81" t="s">
        <v>4179</v>
      </c>
      <c r="B1370" s="81" t="s">
        <v>3795</v>
      </c>
      <c r="C1370" s="81" t="s">
        <v>16</v>
      </c>
      <c r="D1370" s="81" t="s">
        <v>18</v>
      </c>
      <c r="E1370" s="81" t="s">
        <v>375</v>
      </c>
      <c r="F1370" s="81" t="s">
        <v>4180</v>
      </c>
      <c r="G1370" s="81" t="s">
        <v>3743</v>
      </c>
    </row>
    <row r="1371" spans="1:7" x14ac:dyDescent="0.3">
      <c r="A1371" s="81" t="s">
        <v>4179</v>
      </c>
      <c r="B1371" s="81" t="s">
        <v>3795</v>
      </c>
      <c r="C1371" s="81" t="s">
        <v>16</v>
      </c>
      <c r="D1371" s="81" t="s">
        <v>18</v>
      </c>
      <c r="E1371" s="81" t="s">
        <v>375</v>
      </c>
      <c r="F1371" s="81" t="s">
        <v>5702</v>
      </c>
      <c r="G1371" s="81" t="s">
        <v>3743</v>
      </c>
    </row>
    <row r="1372" spans="1:7" x14ac:dyDescent="0.3">
      <c r="A1372" s="81" t="s">
        <v>4179</v>
      </c>
      <c r="B1372" s="81" t="s">
        <v>3795</v>
      </c>
      <c r="C1372" s="81" t="s">
        <v>16</v>
      </c>
      <c r="D1372" s="81" t="s">
        <v>18</v>
      </c>
      <c r="E1372" s="81" t="s">
        <v>380</v>
      </c>
      <c r="F1372" s="81" t="s">
        <v>4180</v>
      </c>
      <c r="G1372" s="81" t="s">
        <v>3744</v>
      </c>
    </row>
    <row r="1373" spans="1:7" x14ac:dyDescent="0.3">
      <c r="A1373" s="81" t="s">
        <v>4179</v>
      </c>
      <c r="B1373" s="81" t="s">
        <v>3795</v>
      </c>
      <c r="C1373" s="81" t="s">
        <v>16</v>
      </c>
      <c r="D1373" s="81" t="s">
        <v>18</v>
      </c>
      <c r="E1373" s="81" t="s">
        <v>380</v>
      </c>
      <c r="F1373" s="81" t="s">
        <v>5702</v>
      </c>
      <c r="G1373" s="81" t="s">
        <v>3744</v>
      </c>
    </row>
    <row r="1374" spans="1:7" x14ac:dyDescent="0.3">
      <c r="A1374" s="81" t="s">
        <v>4201</v>
      </c>
      <c r="B1374" s="81" t="s">
        <v>3795</v>
      </c>
      <c r="C1374" s="81" t="s">
        <v>20</v>
      </c>
      <c r="D1374" s="81" t="s">
        <v>1032</v>
      </c>
      <c r="E1374" s="81" t="s">
        <v>15</v>
      </c>
      <c r="F1374" s="81" t="s">
        <v>4202</v>
      </c>
      <c r="G1374" s="81" t="s">
        <v>1033</v>
      </c>
    </row>
    <row r="1375" spans="1:7" x14ac:dyDescent="0.3">
      <c r="A1375" s="81" t="s">
        <v>4201</v>
      </c>
      <c r="B1375" s="81" t="s">
        <v>3795</v>
      </c>
      <c r="C1375" s="81" t="s">
        <v>20</v>
      </c>
      <c r="D1375" s="81" t="s">
        <v>1032</v>
      </c>
      <c r="E1375" s="81" t="s">
        <v>15</v>
      </c>
      <c r="F1375" s="81" t="s">
        <v>5723</v>
      </c>
      <c r="G1375" s="81" t="s">
        <v>1033</v>
      </c>
    </row>
    <row r="1376" spans="1:7" x14ac:dyDescent="0.3">
      <c r="A1376" s="81" t="s">
        <v>4201</v>
      </c>
      <c r="B1376" s="81" t="s">
        <v>3795</v>
      </c>
      <c r="C1376" s="81" t="s">
        <v>16</v>
      </c>
      <c r="D1376" s="81" t="s">
        <v>18</v>
      </c>
      <c r="E1376" s="81" t="s">
        <v>369</v>
      </c>
      <c r="F1376" s="81" t="s">
        <v>4202</v>
      </c>
      <c r="G1376" s="81" t="s">
        <v>3729</v>
      </c>
    </row>
    <row r="1377" spans="1:7" x14ac:dyDescent="0.3">
      <c r="A1377" s="81" t="s">
        <v>4201</v>
      </c>
      <c r="B1377" s="81" t="s">
        <v>3795</v>
      </c>
      <c r="C1377" s="81" t="s">
        <v>16</v>
      </c>
      <c r="D1377" s="81" t="s">
        <v>18</v>
      </c>
      <c r="E1377" s="81" t="s">
        <v>369</v>
      </c>
      <c r="F1377" s="81" t="s">
        <v>5723</v>
      </c>
      <c r="G1377" s="81" t="s">
        <v>3729</v>
      </c>
    </row>
    <row r="1378" spans="1:7" x14ac:dyDescent="0.3">
      <c r="A1378" s="81" t="s">
        <v>4201</v>
      </c>
      <c r="B1378" s="81" t="s">
        <v>3795</v>
      </c>
      <c r="C1378" s="81" t="s">
        <v>16</v>
      </c>
      <c r="D1378" s="81" t="s">
        <v>18</v>
      </c>
      <c r="E1378" s="81" t="s">
        <v>382</v>
      </c>
      <c r="F1378" s="81" t="s">
        <v>4202</v>
      </c>
      <c r="G1378" s="81" t="s">
        <v>3730</v>
      </c>
    </row>
    <row r="1379" spans="1:7" x14ac:dyDescent="0.3">
      <c r="A1379" s="81" t="s">
        <v>4201</v>
      </c>
      <c r="B1379" s="81" t="s">
        <v>3795</v>
      </c>
      <c r="C1379" s="81" t="s">
        <v>16</v>
      </c>
      <c r="D1379" s="81" t="s">
        <v>18</v>
      </c>
      <c r="E1379" s="81" t="s">
        <v>382</v>
      </c>
      <c r="F1379" s="81" t="s">
        <v>5723</v>
      </c>
      <c r="G1379" s="81" t="s">
        <v>3730</v>
      </c>
    </row>
    <row r="1380" spans="1:7" x14ac:dyDescent="0.3">
      <c r="A1380" s="81" t="s">
        <v>4201</v>
      </c>
      <c r="B1380" s="81" t="s">
        <v>3795</v>
      </c>
      <c r="C1380" s="81" t="s">
        <v>16</v>
      </c>
      <c r="D1380" s="81" t="s">
        <v>18</v>
      </c>
      <c r="E1380" s="81" t="s">
        <v>370</v>
      </c>
      <c r="F1380" s="81" t="s">
        <v>4202</v>
      </c>
      <c r="G1380" s="81" t="s">
        <v>3731</v>
      </c>
    </row>
    <row r="1381" spans="1:7" x14ac:dyDescent="0.3">
      <c r="A1381" s="81" t="s">
        <v>4201</v>
      </c>
      <c r="B1381" s="81" t="s">
        <v>3795</v>
      </c>
      <c r="C1381" s="81" t="s">
        <v>16</v>
      </c>
      <c r="D1381" s="81" t="s">
        <v>18</v>
      </c>
      <c r="E1381" s="81" t="s">
        <v>370</v>
      </c>
      <c r="F1381" s="81" t="s">
        <v>5723</v>
      </c>
      <c r="G1381" s="81" t="s">
        <v>3731</v>
      </c>
    </row>
    <row r="1382" spans="1:7" x14ac:dyDescent="0.3">
      <c r="A1382" s="81" t="s">
        <v>4201</v>
      </c>
      <c r="B1382" s="81" t="s">
        <v>3795</v>
      </c>
      <c r="C1382" s="81" t="s">
        <v>16</v>
      </c>
      <c r="D1382" s="81" t="s">
        <v>18</v>
      </c>
      <c r="E1382" s="81" t="s">
        <v>378</v>
      </c>
      <c r="F1382" s="81" t="s">
        <v>4202</v>
      </c>
      <c r="G1382" s="81" t="s">
        <v>3732</v>
      </c>
    </row>
    <row r="1383" spans="1:7" x14ac:dyDescent="0.3">
      <c r="A1383" s="81" t="s">
        <v>4201</v>
      </c>
      <c r="B1383" s="81" t="s">
        <v>3795</v>
      </c>
      <c r="C1383" s="81" t="s">
        <v>16</v>
      </c>
      <c r="D1383" s="81" t="s">
        <v>18</v>
      </c>
      <c r="E1383" s="81" t="s">
        <v>378</v>
      </c>
      <c r="F1383" s="81" t="s">
        <v>5723</v>
      </c>
      <c r="G1383" s="81" t="s">
        <v>3732</v>
      </c>
    </row>
    <row r="1384" spans="1:7" x14ac:dyDescent="0.3">
      <c r="A1384" s="81" t="s">
        <v>4201</v>
      </c>
      <c r="B1384" s="81" t="s">
        <v>3795</v>
      </c>
      <c r="C1384" s="81" t="s">
        <v>16</v>
      </c>
      <c r="D1384" s="81" t="s">
        <v>18</v>
      </c>
      <c r="E1384" s="81" t="s">
        <v>371</v>
      </c>
      <c r="F1384" s="81" t="s">
        <v>4202</v>
      </c>
      <c r="G1384" s="81" t="s">
        <v>3733</v>
      </c>
    </row>
    <row r="1385" spans="1:7" x14ac:dyDescent="0.3">
      <c r="A1385" s="81" t="s">
        <v>4201</v>
      </c>
      <c r="B1385" s="81" t="s">
        <v>3795</v>
      </c>
      <c r="C1385" s="81" t="s">
        <v>16</v>
      </c>
      <c r="D1385" s="81" t="s">
        <v>18</v>
      </c>
      <c r="E1385" s="81" t="s">
        <v>371</v>
      </c>
      <c r="F1385" s="81" t="s">
        <v>5723</v>
      </c>
      <c r="G1385" s="81" t="s">
        <v>3733</v>
      </c>
    </row>
    <row r="1386" spans="1:7" x14ac:dyDescent="0.3">
      <c r="A1386" s="81" t="s">
        <v>4201</v>
      </c>
      <c r="B1386" s="81" t="s">
        <v>3795</v>
      </c>
      <c r="C1386" s="81" t="s">
        <v>16</v>
      </c>
      <c r="D1386" s="81" t="s">
        <v>18</v>
      </c>
      <c r="E1386" s="81" t="s">
        <v>376</v>
      </c>
      <c r="F1386" s="81" t="s">
        <v>4202</v>
      </c>
      <c r="G1386" s="81" t="s">
        <v>3734</v>
      </c>
    </row>
    <row r="1387" spans="1:7" x14ac:dyDescent="0.3">
      <c r="A1387" s="81" t="s">
        <v>4201</v>
      </c>
      <c r="B1387" s="81" t="s">
        <v>3795</v>
      </c>
      <c r="C1387" s="81" t="s">
        <v>16</v>
      </c>
      <c r="D1387" s="81" t="s">
        <v>18</v>
      </c>
      <c r="E1387" s="81" t="s">
        <v>376</v>
      </c>
      <c r="F1387" s="81" t="s">
        <v>5723</v>
      </c>
      <c r="G1387" s="81" t="s">
        <v>3734</v>
      </c>
    </row>
    <row r="1388" spans="1:7" x14ac:dyDescent="0.3">
      <c r="A1388" s="81" t="s">
        <v>4201</v>
      </c>
      <c r="B1388" s="81" t="s">
        <v>3795</v>
      </c>
      <c r="C1388" s="81" t="s">
        <v>16</v>
      </c>
      <c r="D1388" s="81" t="s">
        <v>18</v>
      </c>
      <c r="E1388" s="81" t="s">
        <v>377</v>
      </c>
      <c r="F1388" s="81" t="s">
        <v>4202</v>
      </c>
      <c r="G1388" s="81" t="s">
        <v>3735</v>
      </c>
    </row>
    <row r="1389" spans="1:7" x14ac:dyDescent="0.3">
      <c r="A1389" s="81" t="s">
        <v>4201</v>
      </c>
      <c r="B1389" s="81" t="s">
        <v>3795</v>
      </c>
      <c r="C1389" s="81" t="s">
        <v>16</v>
      </c>
      <c r="D1389" s="81" t="s">
        <v>18</v>
      </c>
      <c r="E1389" s="81" t="s">
        <v>377</v>
      </c>
      <c r="F1389" s="81" t="s">
        <v>5723</v>
      </c>
      <c r="G1389" s="81" t="s">
        <v>3735</v>
      </c>
    </row>
    <row r="1390" spans="1:7" x14ac:dyDescent="0.3">
      <c r="A1390" s="81" t="s">
        <v>4201</v>
      </c>
      <c r="B1390" s="81" t="s">
        <v>3795</v>
      </c>
      <c r="C1390" s="81" t="s">
        <v>16</v>
      </c>
      <c r="D1390" s="81" t="s">
        <v>18</v>
      </c>
      <c r="E1390" s="81" t="s">
        <v>381</v>
      </c>
      <c r="F1390" s="81" t="s">
        <v>4202</v>
      </c>
      <c r="G1390" s="81" t="s">
        <v>3736</v>
      </c>
    </row>
    <row r="1391" spans="1:7" x14ac:dyDescent="0.3">
      <c r="A1391" s="81" t="s">
        <v>4201</v>
      </c>
      <c r="B1391" s="81" t="s">
        <v>3795</v>
      </c>
      <c r="C1391" s="81" t="s">
        <v>16</v>
      </c>
      <c r="D1391" s="81" t="s">
        <v>18</v>
      </c>
      <c r="E1391" s="81" t="s">
        <v>381</v>
      </c>
      <c r="F1391" s="81" t="s">
        <v>5723</v>
      </c>
      <c r="G1391" s="81" t="s">
        <v>3736</v>
      </c>
    </row>
    <row r="1392" spans="1:7" x14ac:dyDescent="0.3">
      <c r="A1392" s="81" t="s">
        <v>4201</v>
      </c>
      <c r="B1392" s="81" t="s">
        <v>3795</v>
      </c>
      <c r="C1392" s="81" t="s">
        <v>16</v>
      </c>
      <c r="D1392" s="81" t="s">
        <v>18</v>
      </c>
      <c r="E1392" s="81" t="s">
        <v>379</v>
      </c>
      <c r="F1392" s="81" t="s">
        <v>4202</v>
      </c>
      <c r="G1392" s="81" t="s">
        <v>3737</v>
      </c>
    </row>
    <row r="1393" spans="1:7" x14ac:dyDescent="0.3">
      <c r="A1393" s="81" t="s">
        <v>4201</v>
      </c>
      <c r="B1393" s="81" t="s">
        <v>3795</v>
      </c>
      <c r="C1393" s="81" t="s">
        <v>16</v>
      </c>
      <c r="D1393" s="81" t="s">
        <v>18</v>
      </c>
      <c r="E1393" s="81" t="s">
        <v>379</v>
      </c>
      <c r="F1393" s="81" t="s">
        <v>5723</v>
      </c>
      <c r="G1393" s="81" t="s">
        <v>3737</v>
      </c>
    </row>
    <row r="1394" spans="1:7" x14ac:dyDescent="0.3">
      <c r="A1394" s="81" t="s">
        <v>4201</v>
      </c>
      <c r="B1394" s="81" t="s">
        <v>3795</v>
      </c>
      <c r="C1394" s="81" t="s">
        <v>16</v>
      </c>
      <c r="D1394" s="81" t="s">
        <v>18</v>
      </c>
      <c r="E1394" s="81" t="s">
        <v>374</v>
      </c>
      <c r="F1394" s="81" t="s">
        <v>4202</v>
      </c>
      <c r="G1394" s="81" t="s">
        <v>3738</v>
      </c>
    </row>
    <row r="1395" spans="1:7" x14ac:dyDescent="0.3">
      <c r="A1395" s="81" t="s">
        <v>4201</v>
      </c>
      <c r="B1395" s="81" t="s">
        <v>3795</v>
      </c>
      <c r="C1395" s="81" t="s">
        <v>16</v>
      </c>
      <c r="D1395" s="81" t="s">
        <v>18</v>
      </c>
      <c r="E1395" s="81" t="s">
        <v>374</v>
      </c>
      <c r="F1395" s="81" t="s">
        <v>5723</v>
      </c>
      <c r="G1395" s="81" t="s">
        <v>3738</v>
      </c>
    </row>
    <row r="1396" spans="1:7" x14ac:dyDescent="0.3">
      <c r="A1396" s="81" t="s">
        <v>4201</v>
      </c>
      <c r="B1396" s="81" t="s">
        <v>3795</v>
      </c>
      <c r="C1396" s="81" t="s">
        <v>16</v>
      </c>
      <c r="D1396" s="81" t="s">
        <v>18</v>
      </c>
      <c r="E1396" s="81" t="s">
        <v>383</v>
      </c>
      <c r="F1396" s="81" t="s">
        <v>4202</v>
      </c>
      <c r="G1396" s="81" t="s">
        <v>3739</v>
      </c>
    </row>
    <row r="1397" spans="1:7" x14ac:dyDescent="0.3">
      <c r="A1397" s="81" t="s">
        <v>4201</v>
      </c>
      <c r="B1397" s="81" t="s">
        <v>3795</v>
      </c>
      <c r="C1397" s="81" t="s">
        <v>16</v>
      </c>
      <c r="D1397" s="81" t="s">
        <v>18</v>
      </c>
      <c r="E1397" s="81" t="s">
        <v>383</v>
      </c>
      <c r="F1397" s="81" t="s">
        <v>5723</v>
      </c>
      <c r="G1397" s="81" t="s">
        <v>3739</v>
      </c>
    </row>
    <row r="1398" spans="1:7" x14ac:dyDescent="0.3">
      <c r="A1398" s="81" t="s">
        <v>4201</v>
      </c>
      <c r="B1398" s="81" t="s">
        <v>3795</v>
      </c>
      <c r="C1398" s="81" t="s">
        <v>16</v>
      </c>
      <c r="D1398" s="81" t="s">
        <v>18</v>
      </c>
      <c r="E1398" s="81" t="s">
        <v>373</v>
      </c>
      <c r="F1398" s="81" t="s">
        <v>4202</v>
      </c>
      <c r="G1398" s="81" t="s">
        <v>3740</v>
      </c>
    </row>
    <row r="1399" spans="1:7" x14ac:dyDescent="0.3">
      <c r="A1399" s="81" t="s">
        <v>4201</v>
      </c>
      <c r="B1399" s="81" t="s">
        <v>3795</v>
      </c>
      <c r="C1399" s="81" t="s">
        <v>16</v>
      </c>
      <c r="D1399" s="81" t="s">
        <v>18</v>
      </c>
      <c r="E1399" s="81" t="s">
        <v>373</v>
      </c>
      <c r="F1399" s="81" t="s">
        <v>5723</v>
      </c>
      <c r="G1399" s="81" t="s">
        <v>3740</v>
      </c>
    </row>
    <row r="1400" spans="1:7" x14ac:dyDescent="0.3">
      <c r="A1400" s="81" t="s">
        <v>4201</v>
      </c>
      <c r="B1400" s="81" t="s">
        <v>3795</v>
      </c>
      <c r="C1400" s="81" t="s">
        <v>16</v>
      </c>
      <c r="D1400" s="81" t="s">
        <v>18</v>
      </c>
      <c r="E1400" s="81" t="s">
        <v>368</v>
      </c>
      <c r="F1400" s="81" t="s">
        <v>4202</v>
      </c>
      <c r="G1400" s="81" t="s">
        <v>3741</v>
      </c>
    </row>
    <row r="1401" spans="1:7" x14ac:dyDescent="0.3">
      <c r="A1401" s="81" t="s">
        <v>4201</v>
      </c>
      <c r="B1401" s="81" t="s">
        <v>3795</v>
      </c>
      <c r="C1401" s="81" t="s">
        <v>16</v>
      </c>
      <c r="D1401" s="81" t="s">
        <v>18</v>
      </c>
      <c r="E1401" s="81" t="s">
        <v>368</v>
      </c>
      <c r="F1401" s="81" t="s">
        <v>5723</v>
      </c>
      <c r="G1401" s="81" t="s">
        <v>3741</v>
      </c>
    </row>
    <row r="1402" spans="1:7" x14ac:dyDescent="0.3">
      <c r="A1402" s="81" t="s">
        <v>4201</v>
      </c>
      <c r="B1402" s="81" t="s">
        <v>3795</v>
      </c>
      <c r="C1402" s="81" t="s">
        <v>16</v>
      </c>
      <c r="D1402" s="81" t="s">
        <v>18</v>
      </c>
      <c r="E1402" s="81" t="s">
        <v>372</v>
      </c>
      <c r="F1402" s="81" t="s">
        <v>4202</v>
      </c>
      <c r="G1402" s="81" t="s">
        <v>3742</v>
      </c>
    </row>
    <row r="1403" spans="1:7" x14ac:dyDescent="0.3">
      <c r="A1403" s="81" t="s">
        <v>4201</v>
      </c>
      <c r="B1403" s="81" t="s">
        <v>3795</v>
      </c>
      <c r="C1403" s="81" t="s">
        <v>16</v>
      </c>
      <c r="D1403" s="81" t="s">
        <v>18</v>
      </c>
      <c r="E1403" s="81" t="s">
        <v>372</v>
      </c>
      <c r="F1403" s="81" t="s">
        <v>5723</v>
      </c>
      <c r="G1403" s="81" t="s">
        <v>3742</v>
      </c>
    </row>
    <row r="1404" spans="1:7" x14ac:dyDescent="0.3">
      <c r="A1404" s="81" t="s">
        <v>4201</v>
      </c>
      <c r="B1404" s="81" t="s">
        <v>3795</v>
      </c>
      <c r="C1404" s="81" t="s">
        <v>16</v>
      </c>
      <c r="D1404" s="81" t="s">
        <v>18</v>
      </c>
      <c r="E1404" s="81" t="s">
        <v>375</v>
      </c>
      <c r="F1404" s="81" t="s">
        <v>4202</v>
      </c>
      <c r="G1404" s="81" t="s">
        <v>3743</v>
      </c>
    </row>
    <row r="1405" spans="1:7" x14ac:dyDescent="0.3">
      <c r="A1405" s="81" t="s">
        <v>4201</v>
      </c>
      <c r="B1405" s="81" t="s">
        <v>3795</v>
      </c>
      <c r="C1405" s="81" t="s">
        <v>16</v>
      </c>
      <c r="D1405" s="81" t="s">
        <v>18</v>
      </c>
      <c r="E1405" s="81" t="s">
        <v>375</v>
      </c>
      <c r="F1405" s="81" t="s">
        <v>5723</v>
      </c>
      <c r="G1405" s="81" t="s">
        <v>3743</v>
      </c>
    </row>
    <row r="1406" spans="1:7" x14ac:dyDescent="0.3">
      <c r="A1406" s="81" t="s">
        <v>4201</v>
      </c>
      <c r="B1406" s="81" t="s">
        <v>3795</v>
      </c>
      <c r="C1406" s="81" t="s">
        <v>16</v>
      </c>
      <c r="D1406" s="81" t="s">
        <v>18</v>
      </c>
      <c r="E1406" s="81" t="s">
        <v>380</v>
      </c>
      <c r="F1406" s="81" t="s">
        <v>4202</v>
      </c>
      <c r="G1406" s="81" t="s">
        <v>3744</v>
      </c>
    </row>
    <row r="1407" spans="1:7" x14ac:dyDescent="0.3">
      <c r="A1407" s="81" t="s">
        <v>4201</v>
      </c>
      <c r="B1407" s="81" t="s">
        <v>3795</v>
      </c>
      <c r="C1407" s="81" t="s">
        <v>16</v>
      </c>
      <c r="D1407" s="81" t="s">
        <v>18</v>
      </c>
      <c r="E1407" s="81" t="s">
        <v>380</v>
      </c>
      <c r="F1407" s="81" t="s">
        <v>5723</v>
      </c>
      <c r="G1407" s="81" t="s">
        <v>3744</v>
      </c>
    </row>
    <row r="1408" spans="1:7" x14ac:dyDescent="0.3">
      <c r="A1408" s="81" t="s">
        <v>5298</v>
      </c>
      <c r="B1408" s="81" t="s">
        <v>3795</v>
      </c>
      <c r="C1408" s="81" t="s">
        <v>20</v>
      </c>
      <c r="D1408" s="81" t="s">
        <v>404</v>
      </c>
      <c r="E1408" s="81" t="s">
        <v>15</v>
      </c>
      <c r="F1408" s="81" t="s">
        <v>3799</v>
      </c>
      <c r="G1408" s="81">
        <v>0</v>
      </c>
    </row>
    <row r="1409" spans="1:7" x14ac:dyDescent="0.3">
      <c r="A1409" s="81" t="s">
        <v>5298</v>
      </c>
      <c r="B1409" s="81" t="s">
        <v>3795</v>
      </c>
      <c r="C1409" s="81" t="s">
        <v>16</v>
      </c>
      <c r="D1409" s="81" t="s">
        <v>404</v>
      </c>
      <c r="E1409" s="81" t="s">
        <v>369</v>
      </c>
      <c r="F1409" s="81" t="s">
        <v>3799</v>
      </c>
      <c r="G1409" s="81" t="s">
        <v>3729</v>
      </c>
    </row>
    <row r="1410" spans="1:7" x14ac:dyDescent="0.3">
      <c r="A1410" s="81" t="s">
        <v>5298</v>
      </c>
      <c r="B1410" s="81" t="s">
        <v>3795</v>
      </c>
      <c r="C1410" s="81" t="s">
        <v>16</v>
      </c>
      <c r="D1410" s="81" t="s">
        <v>404</v>
      </c>
      <c r="E1410" s="81" t="s">
        <v>382</v>
      </c>
      <c r="F1410" s="81" t="s">
        <v>3799</v>
      </c>
      <c r="G1410" s="81" t="s">
        <v>3730</v>
      </c>
    </row>
    <row r="1411" spans="1:7" x14ac:dyDescent="0.3">
      <c r="A1411" s="81" t="s">
        <v>5298</v>
      </c>
      <c r="B1411" s="81" t="s">
        <v>3795</v>
      </c>
      <c r="C1411" s="81" t="s">
        <v>16</v>
      </c>
      <c r="D1411" s="81" t="s">
        <v>404</v>
      </c>
      <c r="E1411" s="81" t="s">
        <v>370</v>
      </c>
      <c r="F1411" s="81" t="s">
        <v>3799</v>
      </c>
      <c r="G1411" s="81" t="s">
        <v>3731</v>
      </c>
    </row>
    <row r="1412" spans="1:7" x14ac:dyDescent="0.3">
      <c r="A1412" s="81" t="s">
        <v>5298</v>
      </c>
      <c r="B1412" s="81" t="s">
        <v>3795</v>
      </c>
      <c r="C1412" s="81" t="s">
        <v>16</v>
      </c>
      <c r="D1412" s="81" t="s">
        <v>404</v>
      </c>
      <c r="E1412" s="81" t="s">
        <v>378</v>
      </c>
      <c r="F1412" s="81" t="s">
        <v>3799</v>
      </c>
      <c r="G1412" s="81" t="s">
        <v>3732</v>
      </c>
    </row>
    <row r="1413" spans="1:7" x14ac:dyDescent="0.3">
      <c r="A1413" s="81" t="s">
        <v>5298</v>
      </c>
      <c r="B1413" s="81" t="s">
        <v>3795</v>
      </c>
      <c r="C1413" s="81" t="s">
        <v>16</v>
      </c>
      <c r="D1413" s="81" t="s">
        <v>404</v>
      </c>
      <c r="E1413" s="81" t="s">
        <v>371</v>
      </c>
      <c r="F1413" s="81" t="s">
        <v>3799</v>
      </c>
      <c r="G1413" s="81" t="s">
        <v>3733</v>
      </c>
    </row>
    <row r="1414" spans="1:7" x14ac:dyDescent="0.3">
      <c r="A1414" s="81" t="s">
        <v>5298</v>
      </c>
      <c r="B1414" s="81" t="s">
        <v>3795</v>
      </c>
      <c r="C1414" s="81" t="s">
        <v>16</v>
      </c>
      <c r="D1414" s="81" t="s">
        <v>404</v>
      </c>
      <c r="E1414" s="81" t="s">
        <v>376</v>
      </c>
      <c r="F1414" s="81" t="s">
        <v>3799</v>
      </c>
      <c r="G1414" s="81" t="s">
        <v>3734</v>
      </c>
    </row>
    <row r="1415" spans="1:7" x14ac:dyDescent="0.3">
      <c r="A1415" s="81" t="s">
        <v>5298</v>
      </c>
      <c r="B1415" s="81" t="s">
        <v>3795</v>
      </c>
      <c r="C1415" s="81" t="s">
        <v>16</v>
      </c>
      <c r="D1415" s="81" t="s">
        <v>404</v>
      </c>
      <c r="E1415" s="81" t="s">
        <v>377</v>
      </c>
      <c r="F1415" s="81" t="s">
        <v>3799</v>
      </c>
      <c r="G1415" s="81" t="s">
        <v>3735</v>
      </c>
    </row>
    <row r="1416" spans="1:7" x14ac:dyDescent="0.3">
      <c r="A1416" s="81" t="s">
        <v>5298</v>
      </c>
      <c r="B1416" s="81" t="s">
        <v>3795</v>
      </c>
      <c r="C1416" s="81" t="s">
        <v>16</v>
      </c>
      <c r="D1416" s="81" t="s">
        <v>404</v>
      </c>
      <c r="E1416" s="81" t="s">
        <v>381</v>
      </c>
      <c r="F1416" s="81" t="s">
        <v>3799</v>
      </c>
      <c r="G1416" s="81" t="s">
        <v>3736</v>
      </c>
    </row>
    <row r="1417" spans="1:7" x14ac:dyDescent="0.3">
      <c r="A1417" s="81" t="s">
        <v>5298</v>
      </c>
      <c r="B1417" s="81" t="s">
        <v>3795</v>
      </c>
      <c r="C1417" s="81" t="s">
        <v>16</v>
      </c>
      <c r="D1417" s="81" t="s">
        <v>404</v>
      </c>
      <c r="E1417" s="81" t="s">
        <v>379</v>
      </c>
      <c r="F1417" s="81" t="s">
        <v>3799</v>
      </c>
      <c r="G1417" s="81" t="s">
        <v>3737</v>
      </c>
    </row>
    <row r="1418" spans="1:7" x14ac:dyDescent="0.3">
      <c r="A1418" s="81" t="s">
        <v>5298</v>
      </c>
      <c r="B1418" s="81" t="s">
        <v>3795</v>
      </c>
      <c r="C1418" s="81" t="s">
        <v>16</v>
      </c>
      <c r="D1418" s="81" t="s">
        <v>404</v>
      </c>
      <c r="E1418" s="81" t="s">
        <v>374</v>
      </c>
      <c r="F1418" s="81" t="s">
        <v>3799</v>
      </c>
      <c r="G1418" s="81" t="s">
        <v>3738</v>
      </c>
    </row>
    <row r="1419" spans="1:7" x14ac:dyDescent="0.3">
      <c r="A1419" s="81" t="s">
        <v>5298</v>
      </c>
      <c r="B1419" s="81" t="s">
        <v>3795</v>
      </c>
      <c r="C1419" s="81" t="s">
        <v>16</v>
      </c>
      <c r="D1419" s="81" t="s">
        <v>404</v>
      </c>
      <c r="E1419" s="81" t="s">
        <v>383</v>
      </c>
      <c r="F1419" s="81" t="s">
        <v>3799</v>
      </c>
      <c r="G1419" s="81" t="s">
        <v>3739</v>
      </c>
    </row>
    <row r="1420" spans="1:7" x14ac:dyDescent="0.3">
      <c r="A1420" s="81" t="s">
        <v>5298</v>
      </c>
      <c r="B1420" s="81" t="s">
        <v>3795</v>
      </c>
      <c r="C1420" s="81" t="s">
        <v>16</v>
      </c>
      <c r="D1420" s="81" t="s">
        <v>404</v>
      </c>
      <c r="E1420" s="81" t="s">
        <v>373</v>
      </c>
      <c r="F1420" s="81" t="s">
        <v>3799</v>
      </c>
      <c r="G1420" s="81" t="s">
        <v>3740</v>
      </c>
    </row>
    <row r="1421" spans="1:7" x14ac:dyDescent="0.3">
      <c r="A1421" s="81" t="s">
        <v>5298</v>
      </c>
      <c r="B1421" s="81" t="s">
        <v>3795</v>
      </c>
      <c r="C1421" s="81" t="s">
        <v>16</v>
      </c>
      <c r="D1421" s="81" t="s">
        <v>404</v>
      </c>
      <c r="E1421" s="81" t="s">
        <v>368</v>
      </c>
      <c r="F1421" s="81" t="s">
        <v>3799</v>
      </c>
      <c r="G1421" s="81" t="s">
        <v>3741</v>
      </c>
    </row>
    <row r="1422" spans="1:7" x14ac:dyDescent="0.3">
      <c r="A1422" s="81" t="s">
        <v>5298</v>
      </c>
      <c r="B1422" s="81" t="s">
        <v>3795</v>
      </c>
      <c r="C1422" s="81" t="s">
        <v>16</v>
      </c>
      <c r="D1422" s="81" t="s">
        <v>404</v>
      </c>
      <c r="E1422" s="81" t="s">
        <v>372</v>
      </c>
      <c r="F1422" s="81" t="s">
        <v>3799</v>
      </c>
      <c r="G1422" s="81" t="s">
        <v>3742</v>
      </c>
    </row>
    <row r="1423" spans="1:7" x14ac:dyDescent="0.3">
      <c r="A1423" s="81" t="s">
        <v>5298</v>
      </c>
      <c r="B1423" s="81" t="s">
        <v>3795</v>
      </c>
      <c r="C1423" s="81" t="s">
        <v>16</v>
      </c>
      <c r="D1423" s="81" t="s">
        <v>404</v>
      </c>
      <c r="E1423" s="81" t="s">
        <v>375</v>
      </c>
      <c r="F1423" s="81" t="s">
        <v>3799</v>
      </c>
      <c r="G1423" s="81" t="s">
        <v>3743</v>
      </c>
    </row>
    <row r="1424" spans="1:7" x14ac:dyDescent="0.3">
      <c r="A1424" s="81" t="s">
        <v>5298</v>
      </c>
      <c r="B1424" s="81" t="s">
        <v>3795</v>
      </c>
      <c r="C1424" s="81" t="s">
        <v>16</v>
      </c>
      <c r="D1424" s="81" t="s">
        <v>404</v>
      </c>
      <c r="E1424" s="81" t="s">
        <v>380</v>
      </c>
      <c r="F1424" s="81" t="s">
        <v>3799</v>
      </c>
      <c r="G1424" s="81" t="s">
        <v>3744</v>
      </c>
    </row>
    <row r="1425" spans="1:7" x14ac:dyDescent="0.3">
      <c r="A1425" s="81" t="s">
        <v>5296</v>
      </c>
      <c r="B1425" s="81" t="s">
        <v>933</v>
      </c>
      <c r="C1425" s="81" t="s">
        <v>20</v>
      </c>
      <c r="D1425" s="81" t="s">
        <v>404</v>
      </c>
      <c r="E1425" s="81" t="s">
        <v>15</v>
      </c>
      <c r="F1425" s="81" t="s">
        <v>4031</v>
      </c>
      <c r="G1425" s="81">
        <v>0</v>
      </c>
    </row>
    <row r="1426" spans="1:7" x14ac:dyDescent="0.3">
      <c r="A1426" s="81" t="s">
        <v>5295</v>
      </c>
      <c r="B1426" s="81" t="s">
        <v>933</v>
      </c>
      <c r="C1426" s="81" t="s">
        <v>20</v>
      </c>
      <c r="D1426" s="81" t="s">
        <v>404</v>
      </c>
      <c r="E1426" s="81" t="s">
        <v>15</v>
      </c>
      <c r="F1426" s="81" t="s">
        <v>4035</v>
      </c>
      <c r="G1426" s="81">
        <v>0</v>
      </c>
    </row>
    <row r="1427" spans="1:7" x14ac:dyDescent="0.3">
      <c r="A1427" s="81" t="s">
        <v>5297</v>
      </c>
      <c r="B1427" s="81" t="s">
        <v>3795</v>
      </c>
      <c r="C1427" s="81" t="s">
        <v>20</v>
      </c>
      <c r="D1427" s="81" t="s">
        <v>16</v>
      </c>
      <c r="E1427" s="81" t="s">
        <v>15</v>
      </c>
      <c r="F1427" s="81" t="s">
        <v>4223</v>
      </c>
      <c r="G1427" s="81" t="s">
        <v>1033</v>
      </c>
    </row>
    <row r="1428" spans="1:7" x14ac:dyDescent="0.3">
      <c r="A1428" s="81" t="s">
        <v>5297</v>
      </c>
      <c r="B1428" s="81" t="s">
        <v>3795</v>
      </c>
      <c r="C1428" s="81" t="s">
        <v>16</v>
      </c>
      <c r="D1428" s="81" t="s">
        <v>404</v>
      </c>
      <c r="E1428" s="81" t="s">
        <v>369</v>
      </c>
      <c r="F1428" s="81" t="s">
        <v>4223</v>
      </c>
      <c r="G1428" s="81" t="s">
        <v>3729</v>
      </c>
    </row>
    <row r="1429" spans="1:7" x14ac:dyDescent="0.3">
      <c r="A1429" s="81" t="s">
        <v>5297</v>
      </c>
      <c r="B1429" s="81" t="s">
        <v>3795</v>
      </c>
      <c r="C1429" s="81" t="s">
        <v>16</v>
      </c>
      <c r="D1429" s="81" t="s">
        <v>404</v>
      </c>
      <c r="E1429" s="81" t="s">
        <v>382</v>
      </c>
      <c r="F1429" s="81" t="s">
        <v>4223</v>
      </c>
      <c r="G1429" s="81" t="s">
        <v>3730</v>
      </c>
    </row>
    <row r="1430" spans="1:7" x14ac:dyDescent="0.3">
      <c r="A1430" s="81" t="s">
        <v>5297</v>
      </c>
      <c r="B1430" s="81" t="s">
        <v>3795</v>
      </c>
      <c r="C1430" s="81" t="s">
        <v>16</v>
      </c>
      <c r="D1430" s="81" t="s">
        <v>404</v>
      </c>
      <c r="E1430" s="81" t="s">
        <v>370</v>
      </c>
      <c r="F1430" s="81" t="s">
        <v>4223</v>
      </c>
      <c r="G1430" s="81" t="s">
        <v>3731</v>
      </c>
    </row>
    <row r="1431" spans="1:7" x14ac:dyDescent="0.3">
      <c r="A1431" s="81" t="s">
        <v>5297</v>
      </c>
      <c r="B1431" s="81" t="s">
        <v>3795</v>
      </c>
      <c r="C1431" s="81" t="s">
        <v>16</v>
      </c>
      <c r="D1431" s="81" t="s">
        <v>404</v>
      </c>
      <c r="E1431" s="81" t="s">
        <v>378</v>
      </c>
      <c r="F1431" s="81" t="s">
        <v>4223</v>
      </c>
      <c r="G1431" s="81" t="s">
        <v>3732</v>
      </c>
    </row>
    <row r="1432" spans="1:7" x14ac:dyDescent="0.3">
      <c r="A1432" s="81" t="s">
        <v>5297</v>
      </c>
      <c r="B1432" s="81" t="s">
        <v>3795</v>
      </c>
      <c r="C1432" s="81" t="s">
        <v>16</v>
      </c>
      <c r="D1432" s="81" t="s">
        <v>404</v>
      </c>
      <c r="E1432" s="81" t="s">
        <v>371</v>
      </c>
      <c r="F1432" s="81" t="s">
        <v>4223</v>
      </c>
      <c r="G1432" s="81" t="s">
        <v>3733</v>
      </c>
    </row>
    <row r="1433" spans="1:7" x14ac:dyDescent="0.3">
      <c r="A1433" s="81" t="s">
        <v>5297</v>
      </c>
      <c r="B1433" s="81" t="s">
        <v>3795</v>
      </c>
      <c r="C1433" s="81" t="s">
        <v>16</v>
      </c>
      <c r="D1433" s="81" t="s">
        <v>404</v>
      </c>
      <c r="E1433" s="81" t="s">
        <v>376</v>
      </c>
      <c r="F1433" s="81" t="s">
        <v>4223</v>
      </c>
      <c r="G1433" s="81" t="s">
        <v>3734</v>
      </c>
    </row>
    <row r="1434" spans="1:7" x14ac:dyDescent="0.3">
      <c r="A1434" s="81" t="s">
        <v>5297</v>
      </c>
      <c r="B1434" s="81" t="s">
        <v>3795</v>
      </c>
      <c r="C1434" s="81" t="s">
        <v>16</v>
      </c>
      <c r="D1434" s="81" t="s">
        <v>404</v>
      </c>
      <c r="E1434" s="81" t="s">
        <v>377</v>
      </c>
      <c r="F1434" s="81" t="s">
        <v>4223</v>
      </c>
      <c r="G1434" s="81" t="s">
        <v>3735</v>
      </c>
    </row>
    <row r="1435" spans="1:7" x14ac:dyDescent="0.3">
      <c r="A1435" s="81" t="s">
        <v>5297</v>
      </c>
      <c r="B1435" s="81" t="s">
        <v>3795</v>
      </c>
      <c r="C1435" s="81" t="s">
        <v>16</v>
      </c>
      <c r="D1435" s="81" t="s">
        <v>404</v>
      </c>
      <c r="E1435" s="81" t="s">
        <v>381</v>
      </c>
      <c r="F1435" s="81" t="s">
        <v>4223</v>
      </c>
      <c r="G1435" s="81" t="s">
        <v>3736</v>
      </c>
    </row>
    <row r="1436" spans="1:7" x14ac:dyDescent="0.3">
      <c r="A1436" s="81" t="s">
        <v>5297</v>
      </c>
      <c r="B1436" s="81" t="s">
        <v>3795</v>
      </c>
      <c r="C1436" s="81" t="s">
        <v>16</v>
      </c>
      <c r="D1436" s="81" t="s">
        <v>404</v>
      </c>
      <c r="E1436" s="81" t="s">
        <v>379</v>
      </c>
      <c r="F1436" s="81" t="s">
        <v>4223</v>
      </c>
      <c r="G1436" s="81" t="s">
        <v>3737</v>
      </c>
    </row>
    <row r="1437" spans="1:7" x14ac:dyDescent="0.3">
      <c r="A1437" s="81" t="s">
        <v>5297</v>
      </c>
      <c r="B1437" s="81" t="s">
        <v>3795</v>
      </c>
      <c r="C1437" s="81" t="s">
        <v>16</v>
      </c>
      <c r="D1437" s="81" t="s">
        <v>404</v>
      </c>
      <c r="E1437" s="81" t="s">
        <v>374</v>
      </c>
      <c r="F1437" s="81" t="s">
        <v>4223</v>
      </c>
      <c r="G1437" s="81" t="s">
        <v>3738</v>
      </c>
    </row>
    <row r="1438" spans="1:7" x14ac:dyDescent="0.3">
      <c r="A1438" s="81" t="s">
        <v>5297</v>
      </c>
      <c r="B1438" s="81" t="s">
        <v>3795</v>
      </c>
      <c r="C1438" s="81" t="s">
        <v>16</v>
      </c>
      <c r="D1438" s="81" t="s">
        <v>404</v>
      </c>
      <c r="E1438" s="81" t="s">
        <v>383</v>
      </c>
      <c r="F1438" s="81" t="s">
        <v>4223</v>
      </c>
      <c r="G1438" s="81" t="s">
        <v>3739</v>
      </c>
    </row>
    <row r="1439" spans="1:7" x14ac:dyDescent="0.3">
      <c r="A1439" s="81" t="s">
        <v>5297</v>
      </c>
      <c r="B1439" s="81" t="s">
        <v>3795</v>
      </c>
      <c r="C1439" s="81" t="s">
        <v>16</v>
      </c>
      <c r="D1439" s="81" t="s">
        <v>404</v>
      </c>
      <c r="E1439" s="81" t="s">
        <v>373</v>
      </c>
      <c r="F1439" s="81" t="s">
        <v>4223</v>
      </c>
      <c r="G1439" s="81" t="s">
        <v>3740</v>
      </c>
    </row>
    <row r="1440" spans="1:7" x14ac:dyDescent="0.3">
      <c r="A1440" s="81" t="s">
        <v>5297</v>
      </c>
      <c r="B1440" s="81" t="s">
        <v>3795</v>
      </c>
      <c r="C1440" s="81" t="s">
        <v>16</v>
      </c>
      <c r="D1440" s="81" t="s">
        <v>404</v>
      </c>
      <c r="E1440" s="81" t="s">
        <v>368</v>
      </c>
      <c r="F1440" s="81" t="s">
        <v>4223</v>
      </c>
      <c r="G1440" s="81" t="s">
        <v>3741</v>
      </c>
    </row>
    <row r="1441" spans="1:7" x14ac:dyDescent="0.3">
      <c r="A1441" s="81" t="s">
        <v>5297</v>
      </c>
      <c r="B1441" s="81" t="s">
        <v>3795</v>
      </c>
      <c r="C1441" s="81" t="s">
        <v>16</v>
      </c>
      <c r="D1441" s="81" t="s">
        <v>404</v>
      </c>
      <c r="E1441" s="81" t="s">
        <v>372</v>
      </c>
      <c r="F1441" s="81" t="s">
        <v>4223</v>
      </c>
      <c r="G1441" s="81" t="s">
        <v>3742</v>
      </c>
    </row>
    <row r="1442" spans="1:7" x14ac:dyDescent="0.3">
      <c r="A1442" s="81" t="s">
        <v>5297</v>
      </c>
      <c r="B1442" s="81" t="s">
        <v>3795</v>
      </c>
      <c r="C1442" s="81" t="s">
        <v>16</v>
      </c>
      <c r="D1442" s="81" t="s">
        <v>404</v>
      </c>
      <c r="E1442" s="81" t="s">
        <v>375</v>
      </c>
      <c r="F1442" s="81" t="s">
        <v>4223</v>
      </c>
      <c r="G1442" s="81" t="s">
        <v>3743</v>
      </c>
    </row>
    <row r="1443" spans="1:7" x14ac:dyDescent="0.3">
      <c r="A1443" s="81" t="s">
        <v>5297</v>
      </c>
      <c r="B1443" s="81" t="s">
        <v>3795</v>
      </c>
      <c r="C1443" s="81" t="s">
        <v>16</v>
      </c>
      <c r="D1443" s="81" t="s">
        <v>404</v>
      </c>
      <c r="E1443" s="81" t="s">
        <v>380</v>
      </c>
      <c r="F1443" s="81" t="s">
        <v>4223</v>
      </c>
      <c r="G1443" s="81" t="s">
        <v>3744</v>
      </c>
    </row>
    <row r="1444" spans="1:7" x14ac:dyDescent="0.3">
      <c r="A1444" s="81" t="s">
        <v>4244</v>
      </c>
      <c r="B1444" s="81" t="s">
        <v>5300</v>
      </c>
      <c r="C1444" s="81" t="s">
        <v>20</v>
      </c>
      <c r="D1444" s="81" t="s">
        <v>16</v>
      </c>
      <c r="E1444" s="81" t="s">
        <v>15</v>
      </c>
      <c r="F1444" s="81" t="s">
        <v>4252</v>
      </c>
      <c r="G1444" s="81" t="s">
        <v>1033</v>
      </c>
    </row>
    <row r="1445" spans="1:7" x14ac:dyDescent="0.3">
      <c r="A1445" s="81" t="s">
        <v>4244</v>
      </c>
      <c r="B1445" s="81" t="s">
        <v>5300</v>
      </c>
      <c r="C1445" s="81" t="s">
        <v>20</v>
      </c>
      <c r="D1445" s="81" t="s">
        <v>404</v>
      </c>
      <c r="E1445" s="81" t="s">
        <v>15</v>
      </c>
      <c r="F1445" s="81" t="s">
        <v>4245</v>
      </c>
      <c r="G1445" s="81">
        <v>0</v>
      </c>
    </row>
    <row r="1446" spans="1:7" x14ac:dyDescent="0.3">
      <c r="A1446" s="81" t="s">
        <v>4244</v>
      </c>
      <c r="B1446" s="81" t="s">
        <v>5300</v>
      </c>
      <c r="C1446" s="81" t="s">
        <v>20</v>
      </c>
      <c r="D1446" s="81" t="s">
        <v>404</v>
      </c>
      <c r="E1446" s="81" t="s">
        <v>15</v>
      </c>
      <c r="F1446" s="81" t="s">
        <v>4252</v>
      </c>
      <c r="G1446" s="81" t="s">
        <v>855</v>
      </c>
    </row>
    <row r="1447" spans="1:7" x14ac:dyDescent="0.3">
      <c r="A1447" s="81" t="s">
        <v>4244</v>
      </c>
      <c r="B1447" s="81" t="s">
        <v>5300</v>
      </c>
      <c r="C1447" s="81" t="s">
        <v>16</v>
      </c>
      <c r="D1447" s="81" t="s">
        <v>404</v>
      </c>
      <c r="E1447" s="81" t="s">
        <v>369</v>
      </c>
      <c r="F1447" s="81" t="s">
        <v>4252</v>
      </c>
      <c r="G1447" s="81" t="s">
        <v>3729</v>
      </c>
    </row>
    <row r="1448" spans="1:7" x14ac:dyDescent="0.3">
      <c r="A1448" s="81" t="s">
        <v>4244</v>
      </c>
      <c r="B1448" s="81" t="s">
        <v>5300</v>
      </c>
      <c r="C1448" s="81" t="s">
        <v>16</v>
      </c>
      <c r="D1448" s="81" t="s">
        <v>404</v>
      </c>
      <c r="E1448" s="81" t="s">
        <v>382</v>
      </c>
      <c r="F1448" s="81" t="s">
        <v>4252</v>
      </c>
      <c r="G1448" s="81" t="s">
        <v>3730</v>
      </c>
    </row>
    <row r="1449" spans="1:7" x14ac:dyDescent="0.3">
      <c r="A1449" s="81" t="s">
        <v>4244</v>
      </c>
      <c r="B1449" s="81" t="s">
        <v>5300</v>
      </c>
      <c r="C1449" s="81" t="s">
        <v>16</v>
      </c>
      <c r="D1449" s="81" t="s">
        <v>404</v>
      </c>
      <c r="E1449" s="81" t="s">
        <v>370</v>
      </c>
      <c r="F1449" s="81" t="s">
        <v>4252</v>
      </c>
      <c r="G1449" s="81" t="s">
        <v>3731</v>
      </c>
    </row>
    <row r="1450" spans="1:7" x14ac:dyDescent="0.3">
      <c r="A1450" s="81" t="s">
        <v>4244</v>
      </c>
      <c r="B1450" s="81" t="s">
        <v>5300</v>
      </c>
      <c r="C1450" s="81" t="s">
        <v>16</v>
      </c>
      <c r="D1450" s="81" t="s">
        <v>404</v>
      </c>
      <c r="E1450" s="81" t="s">
        <v>378</v>
      </c>
      <c r="F1450" s="81" t="s">
        <v>4252</v>
      </c>
      <c r="G1450" s="81" t="s">
        <v>3732</v>
      </c>
    </row>
    <row r="1451" spans="1:7" x14ac:dyDescent="0.3">
      <c r="A1451" s="81" t="s">
        <v>4244</v>
      </c>
      <c r="B1451" s="81" t="s">
        <v>5300</v>
      </c>
      <c r="C1451" s="81" t="s">
        <v>16</v>
      </c>
      <c r="D1451" s="81" t="s">
        <v>404</v>
      </c>
      <c r="E1451" s="81" t="s">
        <v>371</v>
      </c>
      <c r="F1451" s="81" t="s">
        <v>4252</v>
      </c>
      <c r="G1451" s="81" t="s">
        <v>3733</v>
      </c>
    </row>
    <row r="1452" spans="1:7" x14ac:dyDescent="0.3">
      <c r="A1452" s="81" t="s">
        <v>4244</v>
      </c>
      <c r="B1452" s="81" t="s">
        <v>5300</v>
      </c>
      <c r="C1452" s="81" t="s">
        <v>16</v>
      </c>
      <c r="D1452" s="81" t="s">
        <v>404</v>
      </c>
      <c r="E1452" s="81" t="s">
        <v>376</v>
      </c>
      <c r="F1452" s="81" t="s">
        <v>4252</v>
      </c>
      <c r="G1452" s="81" t="s">
        <v>3734</v>
      </c>
    </row>
    <row r="1453" spans="1:7" x14ac:dyDescent="0.3">
      <c r="A1453" s="81" t="s">
        <v>4244</v>
      </c>
      <c r="B1453" s="81" t="s">
        <v>5300</v>
      </c>
      <c r="C1453" s="81" t="s">
        <v>16</v>
      </c>
      <c r="D1453" s="81" t="s">
        <v>404</v>
      </c>
      <c r="E1453" s="81" t="s">
        <v>377</v>
      </c>
      <c r="F1453" s="81" t="s">
        <v>4252</v>
      </c>
      <c r="G1453" s="81" t="s">
        <v>3735</v>
      </c>
    </row>
    <row r="1454" spans="1:7" x14ac:dyDescent="0.3">
      <c r="A1454" s="81" t="s">
        <v>4244</v>
      </c>
      <c r="B1454" s="81" t="s">
        <v>5300</v>
      </c>
      <c r="C1454" s="81" t="s">
        <v>16</v>
      </c>
      <c r="D1454" s="81" t="s">
        <v>404</v>
      </c>
      <c r="E1454" s="81" t="s">
        <v>381</v>
      </c>
      <c r="F1454" s="81" t="s">
        <v>4252</v>
      </c>
      <c r="G1454" s="81" t="s">
        <v>3736</v>
      </c>
    </row>
    <row r="1455" spans="1:7" x14ac:dyDescent="0.3">
      <c r="A1455" s="81" t="s">
        <v>4244</v>
      </c>
      <c r="B1455" s="81" t="s">
        <v>5300</v>
      </c>
      <c r="C1455" s="81" t="s">
        <v>16</v>
      </c>
      <c r="D1455" s="81" t="s">
        <v>404</v>
      </c>
      <c r="E1455" s="81" t="s">
        <v>379</v>
      </c>
      <c r="F1455" s="81" t="s">
        <v>4252</v>
      </c>
      <c r="G1455" s="81" t="s">
        <v>3737</v>
      </c>
    </row>
    <row r="1456" spans="1:7" x14ac:dyDescent="0.3">
      <c r="A1456" s="81" t="s">
        <v>4244</v>
      </c>
      <c r="B1456" s="81" t="s">
        <v>5300</v>
      </c>
      <c r="C1456" s="81" t="s">
        <v>16</v>
      </c>
      <c r="D1456" s="81" t="s">
        <v>404</v>
      </c>
      <c r="E1456" s="81" t="s">
        <v>374</v>
      </c>
      <c r="F1456" s="81" t="s">
        <v>4252</v>
      </c>
      <c r="G1456" s="81" t="s">
        <v>3738</v>
      </c>
    </row>
    <row r="1457" spans="1:7" x14ac:dyDescent="0.3">
      <c r="A1457" s="81" t="s">
        <v>4244</v>
      </c>
      <c r="B1457" s="81" t="s">
        <v>5300</v>
      </c>
      <c r="C1457" s="81" t="s">
        <v>16</v>
      </c>
      <c r="D1457" s="81" t="s">
        <v>404</v>
      </c>
      <c r="E1457" s="81" t="s">
        <v>383</v>
      </c>
      <c r="F1457" s="81" t="s">
        <v>4252</v>
      </c>
      <c r="G1457" s="81" t="s">
        <v>3739</v>
      </c>
    </row>
    <row r="1458" spans="1:7" x14ac:dyDescent="0.3">
      <c r="A1458" s="81" t="s">
        <v>4244</v>
      </c>
      <c r="B1458" s="81" t="s">
        <v>5300</v>
      </c>
      <c r="C1458" s="81" t="s">
        <v>16</v>
      </c>
      <c r="D1458" s="81" t="s">
        <v>404</v>
      </c>
      <c r="E1458" s="81" t="s">
        <v>373</v>
      </c>
      <c r="F1458" s="81" t="s">
        <v>4252</v>
      </c>
      <c r="G1458" s="81" t="s">
        <v>3740</v>
      </c>
    </row>
    <row r="1459" spans="1:7" x14ac:dyDescent="0.3">
      <c r="A1459" s="81" t="s">
        <v>4244</v>
      </c>
      <c r="B1459" s="81" t="s">
        <v>5300</v>
      </c>
      <c r="C1459" s="81" t="s">
        <v>16</v>
      </c>
      <c r="D1459" s="81" t="s">
        <v>404</v>
      </c>
      <c r="E1459" s="81" t="s">
        <v>368</v>
      </c>
      <c r="F1459" s="81" t="s">
        <v>4252</v>
      </c>
      <c r="G1459" s="81" t="s">
        <v>3741</v>
      </c>
    </row>
    <row r="1460" spans="1:7" x14ac:dyDescent="0.3">
      <c r="A1460" s="81" t="s">
        <v>4244</v>
      </c>
      <c r="B1460" s="81" t="s">
        <v>5300</v>
      </c>
      <c r="C1460" s="81" t="s">
        <v>16</v>
      </c>
      <c r="D1460" s="81" t="s">
        <v>404</v>
      </c>
      <c r="E1460" s="81" t="s">
        <v>372</v>
      </c>
      <c r="F1460" s="81" t="s">
        <v>4252</v>
      </c>
      <c r="G1460" s="81" t="s">
        <v>3742</v>
      </c>
    </row>
    <row r="1461" spans="1:7" x14ac:dyDescent="0.3">
      <c r="A1461" s="81" t="s">
        <v>4244</v>
      </c>
      <c r="B1461" s="81" t="s">
        <v>5300</v>
      </c>
      <c r="C1461" s="81" t="s">
        <v>16</v>
      </c>
      <c r="D1461" s="81" t="s">
        <v>404</v>
      </c>
      <c r="E1461" s="81" t="s">
        <v>375</v>
      </c>
      <c r="F1461" s="81" t="s">
        <v>4252</v>
      </c>
      <c r="G1461" s="81" t="s">
        <v>3743</v>
      </c>
    </row>
    <row r="1462" spans="1:7" x14ac:dyDescent="0.3">
      <c r="A1462" s="81" t="s">
        <v>4244</v>
      </c>
      <c r="B1462" s="81" t="s">
        <v>5300</v>
      </c>
      <c r="C1462" s="81" t="s">
        <v>16</v>
      </c>
      <c r="D1462" s="81" t="s">
        <v>404</v>
      </c>
      <c r="E1462" s="81" t="s">
        <v>380</v>
      </c>
      <c r="F1462" s="81" t="s">
        <v>4252</v>
      </c>
      <c r="G1462" s="81" t="s">
        <v>3744</v>
      </c>
    </row>
    <row r="1463" spans="1:7" x14ac:dyDescent="0.3">
      <c r="A1463" s="81" t="s">
        <v>6251</v>
      </c>
      <c r="B1463" s="81" t="s">
        <v>7427</v>
      </c>
      <c r="C1463" s="81" t="s">
        <v>20</v>
      </c>
      <c r="D1463" s="81" t="s">
        <v>1032</v>
      </c>
      <c r="E1463" s="81" t="s">
        <v>15</v>
      </c>
      <c r="F1463" s="81" t="s">
        <v>838</v>
      </c>
      <c r="G1463" s="81" t="s">
        <v>1033</v>
      </c>
    </row>
    <row r="1464" spans="1:7" x14ac:dyDescent="0.3">
      <c r="A1464" s="81" t="s">
        <v>6251</v>
      </c>
      <c r="B1464" s="81" t="s">
        <v>7427</v>
      </c>
      <c r="C1464" s="81" t="s">
        <v>16</v>
      </c>
      <c r="D1464" s="81" t="s">
        <v>18</v>
      </c>
      <c r="E1464" s="81" t="s">
        <v>369</v>
      </c>
      <c r="F1464" s="81" t="s">
        <v>838</v>
      </c>
      <c r="G1464" s="81" t="s">
        <v>3729</v>
      </c>
    </row>
    <row r="1465" spans="1:7" x14ac:dyDescent="0.3">
      <c r="A1465" s="81" t="s">
        <v>6251</v>
      </c>
      <c r="B1465" s="81" t="s">
        <v>7427</v>
      </c>
      <c r="C1465" s="81" t="s">
        <v>16</v>
      </c>
      <c r="D1465" s="81" t="s">
        <v>18</v>
      </c>
      <c r="E1465" s="81" t="s">
        <v>382</v>
      </c>
      <c r="F1465" s="81" t="s">
        <v>838</v>
      </c>
      <c r="G1465" s="81" t="s">
        <v>3730</v>
      </c>
    </row>
    <row r="1466" spans="1:7" x14ac:dyDescent="0.3">
      <c r="A1466" s="81" t="s">
        <v>6251</v>
      </c>
      <c r="B1466" s="81" t="s">
        <v>7427</v>
      </c>
      <c r="C1466" s="81" t="s">
        <v>16</v>
      </c>
      <c r="D1466" s="81" t="s">
        <v>18</v>
      </c>
      <c r="E1466" s="81" t="s">
        <v>370</v>
      </c>
      <c r="F1466" s="81" t="s">
        <v>838</v>
      </c>
      <c r="G1466" s="81" t="s">
        <v>3731</v>
      </c>
    </row>
    <row r="1467" spans="1:7" x14ac:dyDescent="0.3">
      <c r="A1467" s="81" t="s">
        <v>6251</v>
      </c>
      <c r="B1467" s="81" t="s">
        <v>7427</v>
      </c>
      <c r="C1467" s="81" t="s">
        <v>16</v>
      </c>
      <c r="D1467" s="81" t="s">
        <v>18</v>
      </c>
      <c r="E1467" s="81" t="s">
        <v>378</v>
      </c>
      <c r="F1467" s="81" t="s">
        <v>838</v>
      </c>
      <c r="G1467" s="81" t="s">
        <v>3732</v>
      </c>
    </row>
    <row r="1468" spans="1:7" x14ac:dyDescent="0.3">
      <c r="A1468" s="81" t="s">
        <v>6251</v>
      </c>
      <c r="B1468" s="81" t="s">
        <v>7427</v>
      </c>
      <c r="C1468" s="81" t="s">
        <v>16</v>
      </c>
      <c r="D1468" s="81" t="s">
        <v>18</v>
      </c>
      <c r="E1468" s="81" t="s">
        <v>371</v>
      </c>
      <c r="F1468" s="81" t="s">
        <v>838</v>
      </c>
      <c r="G1468" s="81" t="s">
        <v>3733</v>
      </c>
    </row>
    <row r="1469" spans="1:7" x14ac:dyDescent="0.3">
      <c r="A1469" s="81" t="s">
        <v>6251</v>
      </c>
      <c r="B1469" s="81" t="s">
        <v>7427</v>
      </c>
      <c r="C1469" s="81" t="s">
        <v>16</v>
      </c>
      <c r="D1469" s="81" t="s">
        <v>18</v>
      </c>
      <c r="E1469" s="81" t="s">
        <v>376</v>
      </c>
      <c r="F1469" s="81" t="s">
        <v>838</v>
      </c>
      <c r="G1469" s="81" t="s">
        <v>3734</v>
      </c>
    </row>
    <row r="1470" spans="1:7" x14ac:dyDescent="0.3">
      <c r="A1470" s="81" t="s">
        <v>6251</v>
      </c>
      <c r="B1470" s="81" t="s">
        <v>7427</v>
      </c>
      <c r="C1470" s="81" t="s">
        <v>16</v>
      </c>
      <c r="D1470" s="81" t="s">
        <v>18</v>
      </c>
      <c r="E1470" s="81" t="s">
        <v>377</v>
      </c>
      <c r="F1470" s="81" t="s">
        <v>838</v>
      </c>
      <c r="G1470" s="81" t="s">
        <v>3735</v>
      </c>
    </row>
    <row r="1471" spans="1:7" x14ac:dyDescent="0.3">
      <c r="A1471" s="81" t="s">
        <v>6251</v>
      </c>
      <c r="B1471" s="81" t="s">
        <v>7427</v>
      </c>
      <c r="C1471" s="81" t="s">
        <v>16</v>
      </c>
      <c r="D1471" s="81" t="s">
        <v>18</v>
      </c>
      <c r="E1471" s="81" t="s">
        <v>381</v>
      </c>
      <c r="F1471" s="81" t="s">
        <v>838</v>
      </c>
      <c r="G1471" s="81" t="s">
        <v>3736</v>
      </c>
    </row>
    <row r="1472" spans="1:7" x14ac:dyDescent="0.3">
      <c r="A1472" s="81" t="s">
        <v>6251</v>
      </c>
      <c r="B1472" s="81" t="s">
        <v>7427</v>
      </c>
      <c r="C1472" s="81" t="s">
        <v>16</v>
      </c>
      <c r="D1472" s="81" t="s">
        <v>18</v>
      </c>
      <c r="E1472" s="81" t="s">
        <v>379</v>
      </c>
      <c r="F1472" s="81" t="s">
        <v>838</v>
      </c>
      <c r="G1472" s="81" t="s">
        <v>3737</v>
      </c>
    </row>
    <row r="1473" spans="1:7" x14ac:dyDescent="0.3">
      <c r="A1473" s="81" t="s">
        <v>6251</v>
      </c>
      <c r="B1473" s="81" t="s">
        <v>7427</v>
      </c>
      <c r="C1473" s="81" t="s">
        <v>16</v>
      </c>
      <c r="D1473" s="81" t="s">
        <v>18</v>
      </c>
      <c r="E1473" s="81" t="s">
        <v>374</v>
      </c>
      <c r="F1473" s="81" t="s">
        <v>838</v>
      </c>
      <c r="G1473" s="81" t="s">
        <v>3738</v>
      </c>
    </row>
    <row r="1474" spans="1:7" x14ac:dyDescent="0.3">
      <c r="A1474" s="81" t="s">
        <v>6251</v>
      </c>
      <c r="B1474" s="81" t="s">
        <v>7427</v>
      </c>
      <c r="C1474" s="81" t="s">
        <v>16</v>
      </c>
      <c r="D1474" s="81" t="s">
        <v>18</v>
      </c>
      <c r="E1474" s="81" t="s">
        <v>383</v>
      </c>
      <c r="F1474" s="81" t="s">
        <v>838</v>
      </c>
      <c r="G1474" s="81" t="s">
        <v>3739</v>
      </c>
    </row>
    <row r="1475" spans="1:7" x14ac:dyDescent="0.3">
      <c r="A1475" s="81" t="s">
        <v>6251</v>
      </c>
      <c r="B1475" s="81" t="s">
        <v>7427</v>
      </c>
      <c r="C1475" s="81" t="s">
        <v>16</v>
      </c>
      <c r="D1475" s="81" t="s">
        <v>18</v>
      </c>
      <c r="E1475" s="81" t="s">
        <v>373</v>
      </c>
      <c r="F1475" s="81" t="s">
        <v>838</v>
      </c>
      <c r="G1475" s="81" t="s">
        <v>3740</v>
      </c>
    </row>
    <row r="1476" spans="1:7" x14ac:dyDescent="0.3">
      <c r="A1476" s="81" t="s">
        <v>6251</v>
      </c>
      <c r="B1476" s="81" t="s">
        <v>7427</v>
      </c>
      <c r="C1476" s="81" t="s">
        <v>16</v>
      </c>
      <c r="D1476" s="81" t="s">
        <v>18</v>
      </c>
      <c r="E1476" s="81" t="s">
        <v>368</v>
      </c>
      <c r="F1476" s="81" t="s">
        <v>838</v>
      </c>
      <c r="G1476" s="81" t="s">
        <v>3741</v>
      </c>
    </row>
    <row r="1477" spans="1:7" x14ac:dyDescent="0.3">
      <c r="A1477" s="81" t="s">
        <v>6251</v>
      </c>
      <c r="B1477" s="81" t="s">
        <v>7427</v>
      </c>
      <c r="C1477" s="81" t="s">
        <v>16</v>
      </c>
      <c r="D1477" s="81" t="s">
        <v>18</v>
      </c>
      <c r="E1477" s="81" t="s">
        <v>372</v>
      </c>
      <c r="F1477" s="81" t="s">
        <v>838</v>
      </c>
      <c r="G1477" s="81" t="s">
        <v>3742</v>
      </c>
    </row>
    <row r="1478" spans="1:7" x14ac:dyDescent="0.3">
      <c r="A1478" s="81" t="s">
        <v>6251</v>
      </c>
      <c r="B1478" s="81" t="s">
        <v>7427</v>
      </c>
      <c r="C1478" s="81" t="s">
        <v>16</v>
      </c>
      <c r="D1478" s="81" t="s">
        <v>18</v>
      </c>
      <c r="E1478" s="81" t="s">
        <v>375</v>
      </c>
      <c r="F1478" s="81" t="s">
        <v>838</v>
      </c>
      <c r="G1478" s="81" t="s">
        <v>3743</v>
      </c>
    </row>
    <row r="1479" spans="1:7" x14ac:dyDescent="0.3">
      <c r="A1479" s="81" t="s">
        <v>6251</v>
      </c>
      <c r="B1479" s="81" t="s">
        <v>7427</v>
      </c>
      <c r="C1479" s="81" t="s">
        <v>16</v>
      </c>
      <c r="D1479" s="81" t="s">
        <v>18</v>
      </c>
      <c r="E1479" s="81" t="s">
        <v>380</v>
      </c>
      <c r="F1479" s="81" t="s">
        <v>838</v>
      </c>
      <c r="G1479" s="81" t="s">
        <v>3744</v>
      </c>
    </row>
    <row r="1480" spans="1:7" x14ac:dyDescent="0.3">
      <c r="A1480" s="81" t="s">
        <v>7409</v>
      </c>
      <c r="B1480" s="81" t="s">
        <v>3764</v>
      </c>
      <c r="C1480" s="81" t="s">
        <v>20</v>
      </c>
      <c r="D1480" s="81" t="s">
        <v>16</v>
      </c>
      <c r="E1480" s="81" t="s">
        <v>15</v>
      </c>
      <c r="F1480" s="81" t="s">
        <v>851</v>
      </c>
      <c r="G1480" s="81" t="s">
        <v>1033</v>
      </c>
    </row>
    <row r="1481" spans="1:7" x14ac:dyDescent="0.3">
      <c r="A1481" s="81" t="s">
        <v>7409</v>
      </c>
      <c r="B1481" s="81" t="s">
        <v>3764</v>
      </c>
      <c r="C1481" s="81" t="s">
        <v>16</v>
      </c>
      <c r="D1481" s="81" t="s">
        <v>18</v>
      </c>
      <c r="E1481" s="81" t="s">
        <v>369</v>
      </c>
      <c r="F1481" s="81" t="s">
        <v>851</v>
      </c>
      <c r="G1481" s="81" t="s">
        <v>3729</v>
      </c>
    </row>
    <row r="1482" spans="1:7" x14ac:dyDescent="0.3">
      <c r="A1482" s="81" t="s">
        <v>7409</v>
      </c>
      <c r="B1482" s="81" t="s">
        <v>3764</v>
      </c>
      <c r="C1482" s="81" t="s">
        <v>16</v>
      </c>
      <c r="D1482" s="81" t="s">
        <v>18</v>
      </c>
      <c r="E1482" s="81" t="s">
        <v>382</v>
      </c>
      <c r="F1482" s="81" t="s">
        <v>851</v>
      </c>
      <c r="G1482" s="81" t="s">
        <v>3730</v>
      </c>
    </row>
    <row r="1483" spans="1:7" x14ac:dyDescent="0.3">
      <c r="A1483" s="81" t="s">
        <v>7409</v>
      </c>
      <c r="B1483" s="81" t="s">
        <v>3764</v>
      </c>
      <c r="C1483" s="81" t="s">
        <v>16</v>
      </c>
      <c r="D1483" s="81" t="s">
        <v>18</v>
      </c>
      <c r="E1483" s="81" t="s">
        <v>370</v>
      </c>
      <c r="F1483" s="81" t="s">
        <v>851</v>
      </c>
      <c r="G1483" s="81" t="s">
        <v>3731</v>
      </c>
    </row>
    <row r="1484" spans="1:7" x14ac:dyDescent="0.3">
      <c r="A1484" s="81" t="s">
        <v>7409</v>
      </c>
      <c r="B1484" s="81" t="s">
        <v>3764</v>
      </c>
      <c r="C1484" s="81" t="s">
        <v>16</v>
      </c>
      <c r="D1484" s="81" t="s">
        <v>18</v>
      </c>
      <c r="E1484" s="81" t="s">
        <v>378</v>
      </c>
      <c r="F1484" s="81" t="s">
        <v>851</v>
      </c>
      <c r="G1484" s="81" t="s">
        <v>3732</v>
      </c>
    </row>
    <row r="1485" spans="1:7" x14ac:dyDescent="0.3">
      <c r="A1485" s="81" t="s">
        <v>7409</v>
      </c>
      <c r="B1485" s="81" t="s">
        <v>3764</v>
      </c>
      <c r="C1485" s="81" t="s">
        <v>16</v>
      </c>
      <c r="D1485" s="81" t="s">
        <v>18</v>
      </c>
      <c r="E1485" s="81" t="s">
        <v>371</v>
      </c>
      <c r="F1485" s="81" t="s">
        <v>851</v>
      </c>
      <c r="G1485" s="81" t="s">
        <v>3733</v>
      </c>
    </row>
    <row r="1486" spans="1:7" x14ac:dyDescent="0.3">
      <c r="A1486" s="81" t="s">
        <v>7409</v>
      </c>
      <c r="B1486" s="81" t="s">
        <v>3764</v>
      </c>
      <c r="C1486" s="81" t="s">
        <v>16</v>
      </c>
      <c r="D1486" s="81" t="s">
        <v>18</v>
      </c>
      <c r="E1486" s="81" t="s">
        <v>376</v>
      </c>
      <c r="F1486" s="81" t="s">
        <v>851</v>
      </c>
      <c r="G1486" s="81" t="s">
        <v>3734</v>
      </c>
    </row>
    <row r="1487" spans="1:7" x14ac:dyDescent="0.3">
      <c r="A1487" s="81" t="s">
        <v>7409</v>
      </c>
      <c r="B1487" s="81" t="s">
        <v>3764</v>
      </c>
      <c r="C1487" s="81" t="s">
        <v>16</v>
      </c>
      <c r="D1487" s="81" t="s">
        <v>18</v>
      </c>
      <c r="E1487" s="81" t="s">
        <v>377</v>
      </c>
      <c r="F1487" s="81" t="s">
        <v>851</v>
      </c>
      <c r="G1487" s="81" t="s">
        <v>3735</v>
      </c>
    </row>
    <row r="1488" spans="1:7" x14ac:dyDescent="0.3">
      <c r="A1488" s="81" t="s">
        <v>7409</v>
      </c>
      <c r="B1488" s="81" t="s">
        <v>3764</v>
      </c>
      <c r="C1488" s="81" t="s">
        <v>16</v>
      </c>
      <c r="D1488" s="81" t="s">
        <v>18</v>
      </c>
      <c r="E1488" s="81" t="s">
        <v>381</v>
      </c>
      <c r="F1488" s="81" t="s">
        <v>851</v>
      </c>
      <c r="G1488" s="81" t="s">
        <v>3736</v>
      </c>
    </row>
    <row r="1489" spans="1:7" x14ac:dyDescent="0.3">
      <c r="A1489" s="81" t="s">
        <v>7409</v>
      </c>
      <c r="B1489" s="81" t="s">
        <v>3764</v>
      </c>
      <c r="C1489" s="81" t="s">
        <v>16</v>
      </c>
      <c r="D1489" s="81" t="s">
        <v>18</v>
      </c>
      <c r="E1489" s="81" t="s">
        <v>379</v>
      </c>
      <c r="F1489" s="81" t="s">
        <v>851</v>
      </c>
      <c r="G1489" s="81" t="s">
        <v>3737</v>
      </c>
    </row>
    <row r="1490" spans="1:7" x14ac:dyDescent="0.3">
      <c r="A1490" s="81" t="s">
        <v>7409</v>
      </c>
      <c r="B1490" s="81" t="s">
        <v>3764</v>
      </c>
      <c r="C1490" s="81" t="s">
        <v>16</v>
      </c>
      <c r="D1490" s="81" t="s">
        <v>18</v>
      </c>
      <c r="E1490" s="81" t="s">
        <v>374</v>
      </c>
      <c r="F1490" s="81" t="s">
        <v>851</v>
      </c>
      <c r="G1490" s="81" t="s">
        <v>3738</v>
      </c>
    </row>
    <row r="1491" spans="1:7" x14ac:dyDescent="0.3">
      <c r="A1491" s="81" t="s">
        <v>7409</v>
      </c>
      <c r="B1491" s="81" t="s">
        <v>3764</v>
      </c>
      <c r="C1491" s="81" t="s">
        <v>16</v>
      </c>
      <c r="D1491" s="81" t="s">
        <v>18</v>
      </c>
      <c r="E1491" s="81" t="s">
        <v>383</v>
      </c>
      <c r="F1491" s="81" t="s">
        <v>851</v>
      </c>
      <c r="G1491" s="81" t="s">
        <v>3739</v>
      </c>
    </row>
    <row r="1492" spans="1:7" x14ac:dyDescent="0.3">
      <c r="A1492" s="81" t="s">
        <v>7409</v>
      </c>
      <c r="B1492" s="81" t="s">
        <v>3764</v>
      </c>
      <c r="C1492" s="81" t="s">
        <v>16</v>
      </c>
      <c r="D1492" s="81" t="s">
        <v>18</v>
      </c>
      <c r="E1492" s="81" t="s">
        <v>373</v>
      </c>
      <c r="F1492" s="81" t="s">
        <v>851</v>
      </c>
      <c r="G1492" s="81" t="s">
        <v>3740</v>
      </c>
    </row>
    <row r="1493" spans="1:7" x14ac:dyDescent="0.3">
      <c r="A1493" s="81" t="s">
        <v>7409</v>
      </c>
      <c r="B1493" s="81" t="s">
        <v>3764</v>
      </c>
      <c r="C1493" s="81" t="s">
        <v>16</v>
      </c>
      <c r="D1493" s="81" t="s">
        <v>18</v>
      </c>
      <c r="E1493" s="81" t="s">
        <v>368</v>
      </c>
      <c r="F1493" s="81" t="s">
        <v>851</v>
      </c>
      <c r="G1493" s="81" t="s">
        <v>3741</v>
      </c>
    </row>
    <row r="1494" spans="1:7" x14ac:dyDescent="0.3">
      <c r="A1494" s="81" t="s">
        <v>7409</v>
      </c>
      <c r="B1494" s="81" t="s">
        <v>3764</v>
      </c>
      <c r="C1494" s="81" t="s">
        <v>16</v>
      </c>
      <c r="D1494" s="81" t="s">
        <v>18</v>
      </c>
      <c r="E1494" s="81" t="s">
        <v>372</v>
      </c>
      <c r="F1494" s="81" t="s">
        <v>851</v>
      </c>
      <c r="G1494" s="81" t="s">
        <v>3742</v>
      </c>
    </row>
    <row r="1495" spans="1:7" x14ac:dyDescent="0.3">
      <c r="A1495" s="81" t="s">
        <v>7409</v>
      </c>
      <c r="B1495" s="81" t="s">
        <v>3764</v>
      </c>
      <c r="C1495" s="81" t="s">
        <v>16</v>
      </c>
      <c r="D1495" s="81" t="s">
        <v>18</v>
      </c>
      <c r="E1495" s="81" t="s">
        <v>375</v>
      </c>
      <c r="F1495" s="81" t="s">
        <v>851</v>
      </c>
      <c r="G1495" s="81" t="s">
        <v>3743</v>
      </c>
    </row>
    <row r="1496" spans="1:7" x14ac:dyDescent="0.3">
      <c r="A1496" s="81" t="s">
        <v>7409</v>
      </c>
      <c r="B1496" s="81" t="s">
        <v>3764</v>
      </c>
      <c r="C1496" s="81" t="s">
        <v>16</v>
      </c>
      <c r="D1496" s="81" t="s">
        <v>18</v>
      </c>
      <c r="E1496" s="81" t="s">
        <v>380</v>
      </c>
      <c r="F1496" s="81" t="s">
        <v>851</v>
      </c>
      <c r="G1496" s="81" t="s">
        <v>3744</v>
      </c>
    </row>
    <row r="1497" spans="1:7" x14ac:dyDescent="0.3">
      <c r="A1497" s="81" t="s">
        <v>6252</v>
      </c>
      <c r="B1497" s="81" t="s">
        <v>7427</v>
      </c>
      <c r="C1497" s="81" t="s">
        <v>20</v>
      </c>
      <c r="D1497" s="81" t="s">
        <v>16</v>
      </c>
      <c r="E1497" s="81" t="s">
        <v>15</v>
      </c>
      <c r="F1497" s="81" t="s">
        <v>1539</v>
      </c>
      <c r="G1497" s="81" t="s">
        <v>855</v>
      </c>
    </row>
    <row r="1498" spans="1:7" x14ac:dyDescent="0.3">
      <c r="A1498" s="81" t="s">
        <v>6252</v>
      </c>
      <c r="B1498" s="81" t="s">
        <v>7427</v>
      </c>
      <c r="C1498" s="81" t="s">
        <v>16</v>
      </c>
      <c r="D1498" s="81" t="s">
        <v>404</v>
      </c>
      <c r="E1498" s="81" t="s">
        <v>369</v>
      </c>
      <c r="F1498" s="81" t="s">
        <v>1539</v>
      </c>
      <c r="G1498" s="81" t="s">
        <v>3745</v>
      </c>
    </row>
    <row r="1499" spans="1:7" x14ac:dyDescent="0.3">
      <c r="A1499" s="81" t="s">
        <v>6252</v>
      </c>
      <c r="B1499" s="81" t="s">
        <v>7427</v>
      </c>
      <c r="C1499" s="81" t="s">
        <v>16</v>
      </c>
      <c r="D1499" s="81" t="s">
        <v>404</v>
      </c>
      <c r="E1499" s="81" t="s">
        <v>382</v>
      </c>
      <c r="F1499" s="81" t="s">
        <v>1539</v>
      </c>
      <c r="G1499" s="81" t="s">
        <v>3746</v>
      </c>
    </row>
    <row r="1500" spans="1:7" x14ac:dyDescent="0.3">
      <c r="A1500" s="81" t="s">
        <v>6252</v>
      </c>
      <c r="B1500" s="81" t="s">
        <v>7427</v>
      </c>
      <c r="C1500" s="81" t="s">
        <v>16</v>
      </c>
      <c r="D1500" s="81" t="s">
        <v>404</v>
      </c>
      <c r="E1500" s="81" t="s">
        <v>370</v>
      </c>
      <c r="F1500" s="81" t="s">
        <v>1539</v>
      </c>
      <c r="G1500" s="81" t="s">
        <v>3747</v>
      </c>
    </row>
    <row r="1501" spans="1:7" x14ac:dyDescent="0.3">
      <c r="A1501" s="81" t="s">
        <v>6252</v>
      </c>
      <c r="B1501" s="81" t="s">
        <v>7427</v>
      </c>
      <c r="C1501" s="81" t="s">
        <v>16</v>
      </c>
      <c r="D1501" s="81" t="s">
        <v>404</v>
      </c>
      <c r="E1501" s="81" t="s">
        <v>378</v>
      </c>
      <c r="F1501" s="81" t="s">
        <v>1539</v>
      </c>
      <c r="G1501" s="81" t="s">
        <v>3748</v>
      </c>
    </row>
    <row r="1502" spans="1:7" x14ac:dyDescent="0.3">
      <c r="A1502" s="81" t="s">
        <v>6252</v>
      </c>
      <c r="B1502" s="81" t="s">
        <v>7427</v>
      </c>
      <c r="C1502" s="81" t="s">
        <v>16</v>
      </c>
      <c r="D1502" s="81" t="s">
        <v>404</v>
      </c>
      <c r="E1502" s="81" t="s">
        <v>371</v>
      </c>
      <c r="F1502" s="81" t="s">
        <v>1539</v>
      </c>
      <c r="G1502" s="81" t="s">
        <v>3749</v>
      </c>
    </row>
    <row r="1503" spans="1:7" x14ac:dyDescent="0.3">
      <c r="A1503" s="81" t="s">
        <v>6252</v>
      </c>
      <c r="B1503" s="81" t="s">
        <v>7427</v>
      </c>
      <c r="C1503" s="81" t="s">
        <v>16</v>
      </c>
      <c r="D1503" s="81" t="s">
        <v>404</v>
      </c>
      <c r="E1503" s="81" t="s">
        <v>376</v>
      </c>
      <c r="F1503" s="81" t="s">
        <v>1539</v>
      </c>
      <c r="G1503" s="81" t="s">
        <v>3750</v>
      </c>
    </row>
    <row r="1504" spans="1:7" x14ac:dyDescent="0.3">
      <c r="A1504" s="81" t="s">
        <v>6252</v>
      </c>
      <c r="B1504" s="81" t="s">
        <v>7427</v>
      </c>
      <c r="C1504" s="81" t="s">
        <v>16</v>
      </c>
      <c r="D1504" s="81" t="s">
        <v>404</v>
      </c>
      <c r="E1504" s="81" t="s">
        <v>377</v>
      </c>
      <c r="F1504" s="81" t="s">
        <v>1539</v>
      </c>
      <c r="G1504" s="81" t="s">
        <v>3751</v>
      </c>
    </row>
    <row r="1505" spans="1:7" x14ac:dyDescent="0.3">
      <c r="A1505" s="81" t="s">
        <v>6252</v>
      </c>
      <c r="B1505" s="81" t="s">
        <v>7427</v>
      </c>
      <c r="C1505" s="81" t="s">
        <v>16</v>
      </c>
      <c r="D1505" s="81" t="s">
        <v>404</v>
      </c>
      <c r="E1505" s="81" t="s">
        <v>381</v>
      </c>
      <c r="F1505" s="81" t="s">
        <v>1539</v>
      </c>
      <c r="G1505" s="81" t="s">
        <v>3752</v>
      </c>
    </row>
    <row r="1506" spans="1:7" x14ac:dyDescent="0.3">
      <c r="A1506" s="81" t="s">
        <v>6252</v>
      </c>
      <c r="B1506" s="81" t="s">
        <v>7427</v>
      </c>
      <c r="C1506" s="81" t="s">
        <v>16</v>
      </c>
      <c r="D1506" s="81" t="s">
        <v>404</v>
      </c>
      <c r="E1506" s="81" t="s">
        <v>379</v>
      </c>
      <c r="F1506" s="81" t="s">
        <v>1539</v>
      </c>
      <c r="G1506" s="81" t="s">
        <v>3753</v>
      </c>
    </row>
    <row r="1507" spans="1:7" x14ac:dyDescent="0.3">
      <c r="A1507" s="81" t="s">
        <v>6252</v>
      </c>
      <c r="B1507" s="81" t="s">
        <v>7427</v>
      </c>
      <c r="C1507" s="81" t="s">
        <v>16</v>
      </c>
      <c r="D1507" s="81" t="s">
        <v>404</v>
      </c>
      <c r="E1507" s="81" t="s">
        <v>374</v>
      </c>
      <c r="F1507" s="81" t="s">
        <v>1539</v>
      </c>
      <c r="G1507" s="81" t="s">
        <v>3754</v>
      </c>
    </row>
    <row r="1508" spans="1:7" x14ac:dyDescent="0.3">
      <c r="A1508" s="81" t="s">
        <v>6252</v>
      </c>
      <c r="B1508" s="81" t="s">
        <v>7427</v>
      </c>
      <c r="C1508" s="81" t="s">
        <v>16</v>
      </c>
      <c r="D1508" s="81" t="s">
        <v>404</v>
      </c>
      <c r="E1508" s="81" t="s">
        <v>383</v>
      </c>
      <c r="F1508" s="81" t="s">
        <v>1539</v>
      </c>
      <c r="G1508" s="81" t="s">
        <v>3755</v>
      </c>
    </row>
    <row r="1509" spans="1:7" x14ac:dyDescent="0.3">
      <c r="A1509" s="81" t="s">
        <v>6252</v>
      </c>
      <c r="B1509" s="81" t="s">
        <v>7427</v>
      </c>
      <c r="C1509" s="81" t="s">
        <v>16</v>
      </c>
      <c r="D1509" s="81" t="s">
        <v>404</v>
      </c>
      <c r="E1509" s="81" t="s">
        <v>373</v>
      </c>
      <c r="F1509" s="81" t="s">
        <v>1539</v>
      </c>
      <c r="G1509" s="81" t="s">
        <v>3756</v>
      </c>
    </row>
    <row r="1510" spans="1:7" x14ac:dyDescent="0.3">
      <c r="A1510" s="81" t="s">
        <v>6252</v>
      </c>
      <c r="B1510" s="81" t="s">
        <v>7427</v>
      </c>
      <c r="C1510" s="81" t="s">
        <v>16</v>
      </c>
      <c r="D1510" s="81" t="s">
        <v>404</v>
      </c>
      <c r="E1510" s="81" t="s">
        <v>368</v>
      </c>
      <c r="F1510" s="81" t="s">
        <v>1539</v>
      </c>
      <c r="G1510" s="81" t="s">
        <v>3757</v>
      </c>
    </row>
    <row r="1511" spans="1:7" x14ac:dyDescent="0.3">
      <c r="A1511" s="81" t="s">
        <v>6252</v>
      </c>
      <c r="B1511" s="81" t="s">
        <v>7427</v>
      </c>
      <c r="C1511" s="81" t="s">
        <v>16</v>
      </c>
      <c r="D1511" s="81" t="s">
        <v>404</v>
      </c>
      <c r="E1511" s="81" t="s">
        <v>372</v>
      </c>
      <c r="F1511" s="81" t="s">
        <v>1539</v>
      </c>
      <c r="G1511" s="81" t="s">
        <v>3758</v>
      </c>
    </row>
    <row r="1512" spans="1:7" x14ac:dyDescent="0.3">
      <c r="A1512" s="81" t="s">
        <v>6252</v>
      </c>
      <c r="B1512" s="81" t="s">
        <v>7427</v>
      </c>
      <c r="C1512" s="81" t="s">
        <v>16</v>
      </c>
      <c r="D1512" s="81" t="s">
        <v>404</v>
      </c>
      <c r="E1512" s="81" t="s">
        <v>375</v>
      </c>
      <c r="F1512" s="81" t="s">
        <v>1539</v>
      </c>
      <c r="G1512" s="81" t="s">
        <v>3759</v>
      </c>
    </row>
    <row r="1513" spans="1:7" x14ac:dyDescent="0.3">
      <c r="A1513" s="81" t="s">
        <v>6252</v>
      </c>
      <c r="B1513" s="81" t="s">
        <v>7427</v>
      </c>
      <c r="C1513" s="81" t="s">
        <v>16</v>
      </c>
      <c r="D1513" s="81" t="s">
        <v>404</v>
      </c>
      <c r="E1513" s="81" t="s">
        <v>380</v>
      </c>
      <c r="F1513" s="81" t="s">
        <v>1539</v>
      </c>
      <c r="G1513" s="81" t="s">
        <v>3760</v>
      </c>
    </row>
    <row r="1514" spans="1:7" x14ac:dyDescent="0.3">
      <c r="A1514" s="81" t="s">
        <v>7426</v>
      </c>
      <c r="B1514" s="81" t="s">
        <v>870</v>
      </c>
      <c r="C1514" s="81" t="s">
        <v>20</v>
      </c>
      <c r="D1514" s="81" t="s">
        <v>404</v>
      </c>
      <c r="E1514" s="81" t="s">
        <v>15</v>
      </c>
      <c r="F1514" s="81" t="s">
        <v>1588</v>
      </c>
      <c r="G1514" s="81">
        <v>0</v>
      </c>
    </row>
    <row r="1515" spans="1:7" x14ac:dyDescent="0.3">
      <c r="A1515" s="81" t="s">
        <v>5303</v>
      </c>
      <c r="B1515" s="81" t="s">
        <v>5304</v>
      </c>
      <c r="C1515" s="81" t="s">
        <v>20</v>
      </c>
      <c r="D1515" s="81" t="s">
        <v>16</v>
      </c>
      <c r="E1515" s="81" t="s">
        <v>15</v>
      </c>
      <c r="F1515" s="81" t="s">
        <v>5305</v>
      </c>
      <c r="G1515" s="81" t="s">
        <v>855</v>
      </c>
    </row>
    <row r="1516" spans="1:7" x14ac:dyDescent="0.3">
      <c r="A1516" s="81" t="s">
        <v>5303</v>
      </c>
      <c r="B1516" s="81" t="s">
        <v>5304</v>
      </c>
      <c r="C1516" s="81" t="s">
        <v>20</v>
      </c>
      <c r="D1516" s="81" t="s">
        <v>3974</v>
      </c>
      <c r="E1516" s="81" t="s">
        <v>15</v>
      </c>
      <c r="F1516" s="81" t="s">
        <v>5305</v>
      </c>
      <c r="G1516" s="81" t="s">
        <v>1033</v>
      </c>
    </row>
    <row r="1517" spans="1:7" x14ac:dyDescent="0.3">
      <c r="A1517" s="81" t="s">
        <v>5303</v>
      </c>
      <c r="B1517" s="81" t="s">
        <v>5304</v>
      </c>
      <c r="C1517" s="81" t="s">
        <v>16</v>
      </c>
      <c r="D1517" s="81" t="s">
        <v>404</v>
      </c>
      <c r="E1517" s="81" t="s">
        <v>369</v>
      </c>
      <c r="F1517" s="81" t="s">
        <v>5305</v>
      </c>
      <c r="G1517" s="81" t="s">
        <v>3729</v>
      </c>
    </row>
    <row r="1518" spans="1:7" x14ac:dyDescent="0.3">
      <c r="A1518" s="81" t="s">
        <v>5303</v>
      </c>
      <c r="B1518" s="81" t="s">
        <v>5304</v>
      </c>
      <c r="C1518" s="81" t="s">
        <v>16</v>
      </c>
      <c r="D1518" s="81" t="s">
        <v>404</v>
      </c>
      <c r="E1518" s="81" t="s">
        <v>382</v>
      </c>
      <c r="F1518" s="81" t="s">
        <v>5305</v>
      </c>
      <c r="G1518" s="81" t="s">
        <v>3730</v>
      </c>
    </row>
    <row r="1519" spans="1:7" x14ac:dyDescent="0.3">
      <c r="A1519" s="81" t="s">
        <v>5303</v>
      </c>
      <c r="B1519" s="81" t="s">
        <v>5304</v>
      </c>
      <c r="C1519" s="81" t="s">
        <v>16</v>
      </c>
      <c r="D1519" s="81" t="s">
        <v>404</v>
      </c>
      <c r="E1519" s="81" t="s">
        <v>370</v>
      </c>
      <c r="F1519" s="81" t="s">
        <v>5305</v>
      </c>
      <c r="G1519" s="81" t="s">
        <v>3731</v>
      </c>
    </row>
    <row r="1520" spans="1:7" x14ac:dyDescent="0.3">
      <c r="A1520" s="81" t="s">
        <v>5303</v>
      </c>
      <c r="B1520" s="81" t="s">
        <v>5304</v>
      </c>
      <c r="C1520" s="81" t="s">
        <v>16</v>
      </c>
      <c r="D1520" s="81" t="s">
        <v>404</v>
      </c>
      <c r="E1520" s="81" t="s">
        <v>378</v>
      </c>
      <c r="F1520" s="81" t="s">
        <v>5305</v>
      </c>
      <c r="G1520" s="81" t="s">
        <v>3732</v>
      </c>
    </row>
    <row r="1521" spans="1:7" x14ac:dyDescent="0.3">
      <c r="A1521" s="81" t="s">
        <v>5303</v>
      </c>
      <c r="B1521" s="81" t="s">
        <v>5304</v>
      </c>
      <c r="C1521" s="81" t="s">
        <v>16</v>
      </c>
      <c r="D1521" s="81" t="s">
        <v>404</v>
      </c>
      <c r="E1521" s="81" t="s">
        <v>371</v>
      </c>
      <c r="F1521" s="81" t="s">
        <v>5305</v>
      </c>
      <c r="G1521" s="81" t="s">
        <v>3733</v>
      </c>
    </row>
    <row r="1522" spans="1:7" x14ac:dyDescent="0.3">
      <c r="A1522" s="81" t="s">
        <v>5303</v>
      </c>
      <c r="B1522" s="81" t="s">
        <v>5304</v>
      </c>
      <c r="C1522" s="81" t="s">
        <v>16</v>
      </c>
      <c r="D1522" s="81" t="s">
        <v>404</v>
      </c>
      <c r="E1522" s="81" t="s">
        <v>376</v>
      </c>
      <c r="F1522" s="81" t="s">
        <v>5305</v>
      </c>
      <c r="G1522" s="81" t="s">
        <v>3734</v>
      </c>
    </row>
    <row r="1523" spans="1:7" x14ac:dyDescent="0.3">
      <c r="A1523" s="81" t="s">
        <v>5303</v>
      </c>
      <c r="B1523" s="81" t="s">
        <v>5304</v>
      </c>
      <c r="C1523" s="81" t="s">
        <v>16</v>
      </c>
      <c r="D1523" s="81" t="s">
        <v>404</v>
      </c>
      <c r="E1523" s="81" t="s">
        <v>377</v>
      </c>
      <c r="F1523" s="81" t="s">
        <v>5305</v>
      </c>
      <c r="G1523" s="81" t="s">
        <v>3735</v>
      </c>
    </row>
    <row r="1524" spans="1:7" x14ac:dyDescent="0.3">
      <c r="A1524" s="81" t="s">
        <v>5303</v>
      </c>
      <c r="B1524" s="81" t="s">
        <v>5304</v>
      </c>
      <c r="C1524" s="81" t="s">
        <v>16</v>
      </c>
      <c r="D1524" s="81" t="s">
        <v>404</v>
      </c>
      <c r="E1524" s="81" t="s">
        <v>381</v>
      </c>
      <c r="F1524" s="81" t="s">
        <v>5305</v>
      </c>
      <c r="G1524" s="81" t="s">
        <v>3736</v>
      </c>
    </row>
    <row r="1525" spans="1:7" x14ac:dyDescent="0.3">
      <c r="A1525" s="81" t="s">
        <v>5303</v>
      </c>
      <c r="B1525" s="81" t="s">
        <v>5304</v>
      </c>
      <c r="C1525" s="81" t="s">
        <v>16</v>
      </c>
      <c r="D1525" s="81" t="s">
        <v>404</v>
      </c>
      <c r="E1525" s="81" t="s">
        <v>379</v>
      </c>
      <c r="F1525" s="81" t="s">
        <v>5305</v>
      </c>
      <c r="G1525" s="81" t="s">
        <v>3737</v>
      </c>
    </row>
    <row r="1526" spans="1:7" x14ac:dyDescent="0.3">
      <c r="A1526" s="81" t="s">
        <v>5303</v>
      </c>
      <c r="B1526" s="81" t="s">
        <v>5304</v>
      </c>
      <c r="C1526" s="81" t="s">
        <v>16</v>
      </c>
      <c r="D1526" s="81" t="s">
        <v>404</v>
      </c>
      <c r="E1526" s="81" t="s">
        <v>374</v>
      </c>
      <c r="F1526" s="81" t="s">
        <v>5305</v>
      </c>
      <c r="G1526" s="81" t="s">
        <v>3738</v>
      </c>
    </row>
    <row r="1527" spans="1:7" x14ac:dyDescent="0.3">
      <c r="A1527" s="81" t="s">
        <v>5303</v>
      </c>
      <c r="B1527" s="81" t="s">
        <v>5304</v>
      </c>
      <c r="C1527" s="81" t="s">
        <v>16</v>
      </c>
      <c r="D1527" s="81" t="s">
        <v>404</v>
      </c>
      <c r="E1527" s="81" t="s">
        <v>383</v>
      </c>
      <c r="F1527" s="81" t="s">
        <v>5305</v>
      </c>
      <c r="G1527" s="81" t="s">
        <v>3739</v>
      </c>
    </row>
    <row r="1528" spans="1:7" x14ac:dyDescent="0.3">
      <c r="A1528" s="81" t="s">
        <v>5303</v>
      </c>
      <c r="B1528" s="81" t="s">
        <v>5304</v>
      </c>
      <c r="C1528" s="81" t="s">
        <v>16</v>
      </c>
      <c r="D1528" s="81" t="s">
        <v>404</v>
      </c>
      <c r="E1528" s="81" t="s">
        <v>373</v>
      </c>
      <c r="F1528" s="81" t="s">
        <v>5305</v>
      </c>
      <c r="G1528" s="81" t="s">
        <v>3740</v>
      </c>
    </row>
    <row r="1529" spans="1:7" x14ac:dyDescent="0.3">
      <c r="A1529" s="81" t="s">
        <v>5303</v>
      </c>
      <c r="B1529" s="81" t="s">
        <v>5304</v>
      </c>
      <c r="C1529" s="81" t="s">
        <v>16</v>
      </c>
      <c r="D1529" s="81" t="s">
        <v>404</v>
      </c>
      <c r="E1529" s="81" t="s">
        <v>368</v>
      </c>
      <c r="F1529" s="81" t="s">
        <v>5305</v>
      </c>
      <c r="G1529" s="81" t="s">
        <v>3741</v>
      </c>
    </row>
    <row r="1530" spans="1:7" x14ac:dyDescent="0.3">
      <c r="A1530" s="81" t="s">
        <v>5303</v>
      </c>
      <c r="B1530" s="81" t="s">
        <v>5304</v>
      </c>
      <c r="C1530" s="81" t="s">
        <v>16</v>
      </c>
      <c r="D1530" s="81" t="s">
        <v>404</v>
      </c>
      <c r="E1530" s="81" t="s">
        <v>372</v>
      </c>
      <c r="F1530" s="81" t="s">
        <v>5305</v>
      </c>
      <c r="G1530" s="81" t="s">
        <v>3742</v>
      </c>
    </row>
    <row r="1531" spans="1:7" x14ac:dyDescent="0.3">
      <c r="A1531" s="81" t="s">
        <v>5303</v>
      </c>
      <c r="B1531" s="81" t="s">
        <v>5304</v>
      </c>
      <c r="C1531" s="81" t="s">
        <v>16</v>
      </c>
      <c r="D1531" s="81" t="s">
        <v>404</v>
      </c>
      <c r="E1531" s="81" t="s">
        <v>375</v>
      </c>
      <c r="F1531" s="81" t="s">
        <v>5305</v>
      </c>
      <c r="G1531" s="81" t="s">
        <v>3743</v>
      </c>
    </row>
    <row r="1532" spans="1:7" x14ac:dyDescent="0.3">
      <c r="A1532" s="81" t="s">
        <v>5303</v>
      </c>
      <c r="B1532" s="81" t="s">
        <v>5304</v>
      </c>
      <c r="C1532" s="81" t="s">
        <v>16</v>
      </c>
      <c r="D1532" s="81" t="s">
        <v>404</v>
      </c>
      <c r="E1532" s="81" t="s">
        <v>380</v>
      </c>
      <c r="F1532" s="81" t="s">
        <v>5305</v>
      </c>
      <c r="G1532" s="81" t="s">
        <v>3744</v>
      </c>
    </row>
    <row r="1533" spans="1:7" x14ac:dyDescent="0.3">
      <c r="A1533" s="81" t="s">
        <v>5330</v>
      </c>
      <c r="B1533" s="81" t="s">
        <v>5331</v>
      </c>
      <c r="C1533" s="81" t="s">
        <v>20</v>
      </c>
      <c r="D1533" s="81" t="s">
        <v>16</v>
      </c>
      <c r="E1533" s="81" t="s">
        <v>15</v>
      </c>
      <c r="F1533" s="81" t="s">
        <v>5332</v>
      </c>
      <c r="G1533" s="81" t="s">
        <v>855</v>
      </c>
    </row>
    <row r="1534" spans="1:7" x14ac:dyDescent="0.3">
      <c r="A1534" s="81" t="s">
        <v>5330</v>
      </c>
      <c r="B1534" s="81" t="s">
        <v>5331</v>
      </c>
      <c r="C1534" s="81" t="s">
        <v>20</v>
      </c>
      <c r="D1534" s="81" t="s">
        <v>1032</v>
      </c>
      <c r="E1534" s="81" t="s">
        <v>15</v>
      </c>
      <c r="F1534" s="81" t="s">
        <v>5332</v>
      </c>
      <c r="G1534" s="81" t="s">
        <v>1033</v>
      </c>
    </row>
    <row r="1535" spans="1:7" x14ac:dyDescent="0.3">
      <c r="A1535" s="81" t="s">
        <v>5330</v>
      </c>
      <c r="B1535" s="81" t="s">
        <v>5331</v>
      </c>
      <c r="C1535" s="81" t="s">
        <v>16</v>
      </c>
      <c r="D1535" s="81" t="s">
        <v>18</v>
      </c>
      <c r="E1535" s="81" t="s">
        <v>369</v>
      </c>
      <c r="F1535" s="81" t="s">
        <v>5335</v>
      </c>
      <c r="G1535" s="81" t="s">
        <v>3729</v>
      </c>
    </row>
    <row r="1536" spans="1:7" x14ac:dyDescent="0.3">
      <c r="A1536" s="81" t="s">
        <v>5330</v>
      </c>
      <c r="B1536" s="81" t="s">
        <v>5331</v>
      </c>
      <c r="C1536" s="81" t="s">
        <v>16</v>
      </c>
      <c r="D1536" s="81" t="s">
        <v>18</v>
      </c>
      <c r="E1536" s="81" t="s">
        <v>382</v>
      </c>
      <c r="F1536" s="81" t="s">
        <v>5335</v>
      </c>
      <c r="G1536" s="81" t="s">
        <v>3730</v>
      </c>
    </row>
    <row r="1537" spans="1:7" x14ac:dyDescent="0.3">
      <c r="A1537" s="81" t="s">
        <v>5330</v>
      </c>
      <c r="B1537" s="81" t="s">
        <v>5331</v>
      </c>
      <c r="C1537" s="81" t="s">
        <v>16</v>
      </c>
      <c r="D1537" s="81" t="s">
        <v>18</v>
      </c>
      <c r="E1537" s="81" t="s">
        <v>370</v>
      </c>
      <c r="F1537" s="81" t="s">
        <v>5335</v>
      </c>
      <c r="G1537" s="81" t="s">
        <v>3731</v>
      </c>
    </row>
    <row r="1538" spans="1:7" x14ac:dyDescent="0.3">
      <c r="A1538" s="81" t="s">
        <v>5330</v>
      </c>
      <c r="B1538" s="81" t="s">
        <v>5331</v>
      </c>
      <c r="C1538" s="81" t="s">
        <v>16</v>
      </c>
      <c r="D1538" s="81" t="s">
        <v>18</v>
      </c>
      <c r="E1538" s="81" t="s">
        <v>378</v>
      </c>
      <c r="F1538" s="81" t="s">
        <v>5335</v>
      </c>
      <c r="G1538" s="81" t="s">
        <v>3732</v>
      </c>
    </row>
    <row r="1539" spans="1:7" x14ac:dyDescent="0.3">
      <c r="A1539" s="81" t="s">
        <v>5330</v>
      </c>
      <c r="B1539" s="81" t="s">
        <v>5331</v>
      </c>
      <c r="C1539" s="81" t="s">
        <v>16</v>
      </c>
      <c r="D1539" s="81" t="s">
        <v>18</v>
      </c>
      <c r="E1539" s="81" t="s">
        <v>371</v>
      </c>
      <c r="F1539" s="81" t="s">
        <v>5335</v>
      </c>
      <c r="G1539" s="81" t="s">
        <v>3733</v>
      </c>
    </row>
    <row r="1540" spans="1:7" x14ac:dyDescent="0.3">
      <c r="A1540" s="81" t="s">
        <v>5330</v>
      </c>
      <c r="B1540" s="81" t="s">
        <v>5331</v>
      </c>
      <c r="C1540" s="81" t="s">
        <v>16</v>
      </c>
      <c r="D1540" s="81" t="s">
        <v>18</v>
      </c>
      <c r="E1540" s="81" t="s">
        <v>376</v>
      </c>
      <c r="F1540" s="81" t="s">
        <v>5335</v>
      </c>
      <c r="G1540" s="81" t="s">
        <v>3734</v>
      </c>
    </row>
    <row r="1541" spans="1:7" x14ac:dyDescent="0.3">
      <c r="A1541" s="81" t="s">
        <v>5330</v>
      </c>
      <c r="B1541" s="81" t="s">
        <v>5331</v>
      </c>
      <c r="C1541" s="81" t="s">
        <v>16</v>
      </c>
      <c r="D1541" s="81" t="s">
        <v>18</v>
      </c>
      <c r="E1541" s="81" t="s">
        <v>377</v>
      </c>
      <c r="F1541" s="81" t="s">
        <v>5335</v>
      </c>
      <c r="G1541" s="81" t="s">
        <v>3735</v>
      </c>
    </row>
    <row r="1542" spans="1:7" x14ac:dyDescent="0.3">
      <c r="A1542" s="81" t="s">
        <v>5330</v>
      </c>
      <c r="B1542" s="81" t="s">
        <v>5331</v>
      </c>
      <c r="C1542" s="81" t="s">
        <v>16</v>
      </c>
      <c r="D1542" s="81" t="s">
        <v>18</v>
      </c>
      <c r="E1542" s="81" t="s">
        <v>381</v>
      </c>
      <c r="F1542" s="81" t="s">
        <v>5335</v>
      </c>
      <c r="G1542" s="81" t="s">
        <v>3736</v>
      </c>
    </row>
    <row r="1543" spans="1:7" x14ac:dyDescent="0.3">
      <c r="A1543" s="81" t="s">
        <v>5330</v>
      </c>
      <c r="B1543" s="81" t="s">
        <v>5331</v>
      </c>
      <c r="C1543" s="81" t="s">
        <v>16</v>
      </c>
      <c r="D1543" s="81" t="s">
        <v>18</v>
      </c>
      <c r="E1543" s="81" t="s">
        <v>379</v>
      </c>
      <c r="F1543" s="81" t="s">
        <v>5335</v>
      </c>
      <c r="G1543" s="81" t="s">
        <v>3737</v>
      </c>
    </row>
    <row r="1544" spans="1:7" x14ac:dyDescent="0.3">
      <c r="A1544" s="81" t="s">
        <v>5330</v>
      </c>
      <c r="B1544" s="81" t="s">
        <v>5331</v>
      </c>
      <c r="C1544" s="81" t="s">
        <v>16</v>
      </c>
      <c r="D1544" s="81" t="s">
        <v>18</v>
      </c>
      <c r="E1544" s="81" t="s">
        <v>374</v>
      </c>
      <c r="F1544" s="81" t="s">
        <v>5335</v>
      </c>
      <c r="G1544" s="81" t="s">
        <v>3738</v>
      </c>
    </row>
    <row r="1545" spans="1:7" x14ac:dyDescent="0.3">
      <c r="A1545" s="81" t="s">
        <v>5330</v>
      </c>
      <c r="B1545" s="81" t="s">
        <v>5331</v>
      </c>
      <c r="C1545" s="81" t="s">
        <v>16</v>
      </c>
      <c r="D1545" s="81" t="s">
        <v>18</v>
      </c>
      <c r="E1545" s="81" t="s">
        <v>383</v>
      </c>
      <c r="F1545" s="81" t="s">
        <v>5335</v>
      </c>
      <c r="G1545" s="81" t="s">
        <v>3739</v>
      </c>
    </row>
    <row r="1546" spans="1:7" x14ac:dyDescent="0.3">
      <c r="A1546" s="81" t="s">
        <v>5330</v>
      </c>
      <c r="B1546" s="81" t="s">
        <v>5331</v>
      </c>
      <c r="C1546" s="81" t="s">
        <v>16</v>
      </c>
      <c r="D1546" s="81" t="s">
        <v>18</v>
      </c>
      <c r="E1546" s="81" t="s">
        <v>373</v>
      </c>
      <c r="F1546" s="81" t="s">
        <v>5335</v>
      </c>
      <c r="G1546" s="81" t="s">
        <v>3740</v>
      </c>
    </row>
    <row r="1547" spans="1:7" x14ac:dyDescent="0.3">
      <c r="A1547" s="81" t="s">
        <v>5330</v>
      </c>
      <c r="B1547" s="81" t="s">
        <v>5331</v>
      </c>
      <c r="C1547" s="81" t="s">
        <v>16</v>
      </c>
      <c r="D1547" s="81" t="s">
        <v>18</v>
      </c>
      <c r="E1547" s="81" t="s">
        <v>368</v>
      </c>
      <c r="F1547" s="81" t="s">
        <v>5335</v>
      </c>
      <c r="G1547" s="81" t="s">
        <v>3741</v>
      </c>
    </row>
    <row r="1548" spans="1:7" x14ac:dyDescent="0.3">
      <c r="A1548" s="81" t="s">
        <v>5330</v>
      </c>
      <c r="B1548" s="81" t="s">
        <v>5331</v>
      </c>
      <c r="C1548" s="81" t="s">
        <v>16</v>
      </c>
      <c r="D1548" s="81" t="s">
        <v>18</v>
      </c>
      <c r="E1548" s="81" t="s">
        <v>372</v>
      </c>
      <c r="F1548" s="81" t="s">
        <v>5335</v>
      </c>
      <c r="G1548" s="81" t="s">
        <v>3742</v>
      </c>
    </row>
    <row r="1549" spans="1:7" x14ac:dyDescent="0.3">
      <c r="A1549" s="81" t="s">
        <v>5330</v>
      </c>
      <c r="B1549" s="81" t="s">
        <v>5331</v>
      </c>
      <c r="C1549" s="81" t="s">
        <v>16</v>
      </c>
      <c r="D1549" s="81" t="s">
        <v>18</v>
      </c>
      <c r="E1549" s="81" t="s">
        <v>375</v>
      </c>
      <c r="F1549" s="81" t="s">
        <v>5335</v>
      </c>
      <c r="G1549" s="81" t="s">
        <v>3743</v>
      </c>
    </row>
    <row r="1550" spans="1:7" x14ac:dyDescent="0.3">
      <c r="A1550" s="81" t="s">
        <v>5330</v>
      </c>
      <c r="B1550" s="81" t="s">
        <v>5331</v>
      </c>
      <c r="C1550" s="81" t="s">
        <v>16</v>
      </c>
      <c r="D1550" s="81" t="s">
        <v>18</v>
      </c>
      <c r="E1550" s="81" t="s">
        <v>380</v>
      </c>
      <c r="F1550" s="81" t="s">
        <v>5335</v>
      </c>
      <c r="G1550" s="81" t="s">
        <v>3744</v>
      </c>
    </row>
    <row r="1551" spans="1:7" x14ac:dyDescent="0.3">
      <c r="A1551" s="81" t="s">
        <v>5330</v>
      </c>
      <c r="B1551" s="81" t="s">
        <v>5331</v>
      </c>
      <c r="C1551" s="81" t="s">
        <v>16</v>
      </c>
      <c r="D1551" s="81" t="s">
        <v>404</v>
      </c>
      <c r="E1551" s="81" t="s">
        <v>369</v>
      </c>
      <c r="F1551" s="81" t="s">
        <v>5335</v>
      </c>
      <c r="G1551" s="81" t="s">
        <v>3729</v>
      </c>
    </row>
    <row r="1552" spans="1:7" x14ac:dyDescent="0.3">
      <c r="A1552" s="81" t="s">
        <v>5330</v>
      </c>
      <c r="B1552" s="81" t="s">
        <v>5331</v>
      </c>
      <c r="C1552" s="81" t="s">
        <v>16</v>
      </c>
      <c r="D1552" s="81" t="s">
        <v>404</v>
      </c>
      <c r="E1552" s="81" t="s">
        <v>382</v>
      </c>
      <c r="F1552" s="81" t="s">
        <v>5335</v>
      </c>
      <c r="G1552" s="81" t="s">
        <v>3730</v>
      </c>
    </row>
    <row r="1553" spans="1:7" x14ac:dyDescent="0.3">
      <c r="A1553" s="81" t="s">
        <v>5330</v>
      </c>
      <c r="B1553" s="81" t="s">
        <v>5331</v>
      </c>
      <c r="C1553" s="81" t="s">
        <v>16</v>
      </c>
      <c r="D1553" s="81" t="s">
        <v>404</v>
      </c>
      <c r="E1553" s="81" t="s">
        <v>370</v>
      </c>
      <c r="F1553" s="81" t="s">
        <v>5335</v>
      </c>
      <c r="G1553" s="81" t="s">
        <v>3731</v>
      </c>
    </row>
    <row r="1554" spans="1:7" x14ac:dyDescent="0.3">
      <c r="A1554" s="81" t="s">
        <v>5330</v>
      </c>
      <c r="B1554" s="81" t="s">
        <v>5331</v>
      </c>
      <c r="C1554" s="81" t="s">
        <v>16</v>
      </c>
      <c r="D1554" s="81" t="s">
        <v>404</v>
      </c>
      <c r="E1554" s="81" t="s">
        <v>378</v>
      </c>
      <c r="F1554" s="81" t="s">
        <v>5335</v>
      </c>
      <c r="G1554" s="81" t="s">
        <v>3732</v>
      </c>
    </row>
    <row r="1555" spans="1:7" x14ac:dyDescent="0.3">
      <c r="A1555" s="81" t="s">
        <v>5330</v>
      </c>
      <c r="B1555" s="81" t="s">
        <v>5331</v>
      </c>
      <c r="C1555" s="81" t="s">
        <v>16</v>
      </c>
      <c r="D1555" s="81" t="s">
        <v>404</v>
      </c>
      <c r="E1555" s="81" t="s">
        <v>371</v>
      </c>
      <c r="F1555" s="81" t="s">
        <v>5335</v>
      </c>
      <c r="G1555" s="81" t="s">
        <v>3733</v>
      </c>
    </row>
    <row r="1556" spans="1:7" x14ac:dyDescent="0.3">
      <c r="A1556" s="81" t="s">
        <v>5330</v>
      </c>
      <c r="B1556" s="81" t="s">
        <v>5331</v>
      </c>
      <c r="C1556" s="81" t="s">
        <v>16</v>
      </c>
      <c r="D1556" s="81" t="s">
        <v>404</v>
      </c>
      <c r="E1556" s="81" t="s">
        <v>376</v>
      </c>
      <c r="F1556" s="81" t="s">
        <v>5335</v>
      </c>
      <c r="G1556" s="81" t="s">
        <v>3734</v>
      </c>
    </row>
    <row r="1557" spans="1:7" x14ac:dyDescent="0.3">
      <c r="A1557" s="81" t="s">
        <v>5330</v>
      </c>
      <c r="B1557" s="81" t="s">
        <v>5331</v>
      </c>
      <c r="C1557" s="81" t="s">
        <v>16</v>
      </c>
      <c r="D1557" s="81" t="s">
        <v>404</v>
      </c>
      <c r="E1557" s="81" t="s">
        <v>377</v>
      </c>
      <c r="F1557" s="81" t="s">
        <v>5335</v>
      </c>
      <c r="G1557" s="81" t="s">
        <v>3735</v>
      </c>
    </row>
    <row r="1558" spans="1:7" x14ac:dyDescent="0.3">
      <c r="A1558" s="81" t="s">
        <v>5330</v>
      </c>
      <c r="B1558" s="81" t="s">
        <v>5331</v>
      </c>
      <c r="C1558" s="81" t="s">
        <v>16</v>
      </c>
      <c r="D1558" s="81" t="s">
        <v>404</v>
      </c>
      <c r="E1558" s="81" t="s">
        <v>381</v>
      </c>
      <c r="F1558" s="81" t="s">
        <v>5335</v>
      </c>
      <c r="G1558" s="81" t="s">
        <v>3736</v>
      </c>
    </row>
    <row r="1559" spans="1:7" x14ac:dyDescent="0.3">
      <c r="A1559" s="81" t="s">
        <v>5330</v>
      </c>
      <c r="B1559" s="81" t="s">
        <v>5331</v>
      </c>
      <c r="C1559" s="81" t="s">
        <v>16</v>
      </c>
      <c r="D1559" s="81" t="s">
        <v>404</v>
      </c>
      <c r="E1559" s="81" t="s">
        <v>379</v>
      </c>
      <c r="F1559" s="81" t="s">
        <v>5335</v>
      </c>
      <c r="G1559" s="81" t="s">
        <v>3737</v>
      </c>
    </row>
    <row r="1560" spans="1:7" x14ac:dyDescent="0.3">
      <c r="A1560" s="81" t="s">
        <v>5330</v>
      </c>
      <c r="B1560" s="81" t="s">
        <v>5331</v>
      </c>
      <c r="C1560" s="81" t="s">
        <v>16</v>
      </c>
      <c r="D1560" s="81" t="s">
        <v>404</v>
      </c>
      <c r="E1560" s="81" t="s">
        <v>374</v>
      </c>
      <c r="F1560" s="81" t="s">
        <v>5335</v>
      </c>
      <c r="G1560" s="81" t="s">
        <v>3738</v>
      </c>
    </row>
    <row r="1561" spans="1:7" x14ac:dyDescent="0.3">
      <c r="A1561" s="81" t="s">
        <v>5330</v>
      </c>
      <c r="B1561" s="81" t="s">
        <v>5331</v>
      </c>
      <c r="C1561" s="81" t="s">
        <v>16</v>
      </c>
      <c r="D1561" s="81" t="s">
        <v>404</v>
      </c>
      <c r="E1561" s="81" t="s">
        <v>383</v>
      </c>
      <c r="F1561" s="81" t="s">
        <v>5335</v>
      </c>
      <c r="G1561" s="81" t="s">
        <v>3739</v>
      </c>
    </row>
    <row r="1562" spans="1:7" x14ac:dyDescent="0.3">
      <c r="A1562" s="81" t="s">
        <v>5330</v>
      </c>
      <c r="B1562" s="81" t="s">
        <v>5331</v>
      </c>
      <c r="C1562" s="81" t="s">
        <v>16</v>
      </c>
      <c r="D1562" s="81" t="s">
        <v>404</v>
      </c>
      <c r="E1562" s="81" t="s">
        <v>373</v>
      </c>
      <c r="F1562" s="81" t="s">
        <v>5335</v>
      </c>
      <c r="G1562" s="81" t="s">
        <v>3740</v>
      </c>
    </row>
    <row r="1563" spans="1:7" x14ac:dyDescent="0.3">
      <c r="A1563" s="81" t="s">
        <v>5330</v>
      </c>
      <c r="B1563" s="81" t="s">
        <v>5331</v>
      </c>
      <c r="C1563" s="81" t="s">
        <v>16</v>
      </c>
      <c r="D1563" s="81" t="s">
        <v>404</v>
      </c>
      <c r="E1563" s="81" t="s">
        <v>368</v>
      </c>
      <c r="F1563" s="81" t="s">
        <v>5335</v>
      </c>
      <c r="G1563" s="81" t="s">
        <v>3741</v>
      </c>
    </row>
    <row r="1564" spans="1:7" x14ac:dyDescent="0.3">
      <c r="A1564" s="81" t="s">
        <v>5330</v>
      </c>
      <c r="B1564" s="81" t="s">
        <v>5331</v>
      </c>
      <c r="C1564" s="81" t="s">
        <v>16</v>
      </c>
      <c r="D1564" s="81" t="s">
        <v>404</v>
      </c>
      <c r="E1564" s="81" t="s">
        <v>372</v>
      </c>
      <c r="F1564" s="81" t="s">
        <v>5335</v>
      </c>
      <c r="G1564" s="81" t="s">
        <v>3742</v>
      </c>
    </row>
    <row r="1565" spans="1:7" x14ac:dyDescent="0.3">
      <c r="A1565" s="81" t="s">
        <v>5330</v>
      </c>
      <c r="B1565" s="81" t="s">
        <v>5331</v>
      </c>
      <c r="C1565" s="81" t="s">
        <v>16</v>
      </c>
      <c r="D1565" s="81" t="s">
        <v>404</v>
      </c>
      <c r="E1565" s="81" t="s">
        <v>375</v>
      </c>
      <c r="F1565" s="81" t="s">
        <v>5335</v>
      </c>
      <c r="G1565" s="81" t="s">
        <v>3743</v>
      </c>
    </row>
    <row r="1566" spans="1:7" x14ac:dyDescent="0.3">
      <c r="A1566" s="81" t="s">
        <v>5330</v>
      </c>
      <c r="B1566" s="81" t="s">
        <v>5331</v>
      </c>
      <c r="C1566" s="81" t="s">
        <v>16</v>
      </c>
      <c r="D1566" s="81" t="s">
        <v>404</v>
      </c>
      <c r="E1566" s="81" t="s">
        <v>380</v>
      </c>
      <c r="F1566" s="81" t="s">
        <v>5335</v>
      </c>
      <c r="G1566" s="81" t="s">
        <v>3744</v>
      </c>
    </row>
    <row r="1567" spans="1:7" x14ac:dyDescent="0.3">
      <c r="A1567" s="81" t="s">
        <v>5420</v>
      </c>
      <c r="B1567" s="81" t="s">
        <v>3793</v>
      </c>
      <c r="C1567" s="81" t="s">
        <v>20</v>
      </c>
      <c r="D1567" s="81" t="s">
        <v>404</v>
      </c>
      <c r="E1567" s="81" t="s">
        <v>15</v>
      </c>
      <c r="F1567" s="81" t="s">
        <v>5514</v>
      </c>
      <c r="G1567" s="81">
        <v>0</v>
      </c>
    </row>
    <row r="1568" spans="1:7" x14ac:dyDescent="0.3">
      <c r="A1568" s="81" t="s">
        <v>5420</v>
      </c>
      <c r="B1568" s="81" t="s">
        <v>3793</v>
      </c>
      <c r="C1568" s="81" t="s">
        <v>20</v>
      </c>
      <c r="D1568" s="81" t="s">
        <v>404</v>
      </c>
      <c r="E1568" s="81" t="s">
        <v>15</v>
      </c>
      <c r="F1568" s="81" t="s">
        <v>5517</v>
      </c>
      <c r="G1568" s="81" t="s">
        <v>855</v>
      </c>
    </row>
    <row r="1569" spans="1:7" x14ac:dyDescent="0.3">
      <c r="A1569" s="81" t="s">
        <v>5420</v>
      </c>
      <c r="B1569" s="81" t="s">
        <v>3793</v>
      </c>
      <c r="C1569" s="81" t="s">
        <v>20</v>
      </c>
      <c r="D1569" s="81" t="s">
        <v>404</v>
      </c>
      <c r="E1569" s="81" t="s">
        <v>15</v>
      </c>
      <c r="F1569" s="81" t="s">
        <v>5569</v>
      </c>
      <c r="G1569" s="81" t="s">
        <v>855</v>
      </c>
    </row>
    <row r="1570" spans="1:7" x14ac:dyDescent="0.3">
      <c r="A1570" s="81" t="s">
        <v>5420</v>
      </c>
      <c r="B1570" s="81" t="s">
        <v>3793</v>
      </c>
      <c r="C1570" s="81" t="s">
        <v>20</v>
      </c>
      <c r="D1570" s="81" t="s">
        <v>1032</v>
      </c>
      <c r="E1570" s="81" t="s">
        <v>15</v>
      </c>
      <c r="F1570" s="81" t="s">
        <v>5422</v>
      </c>
      <c r="G1570" s="81" t="s">
        <v>1033</v>
      </c>
    </row>
    <row r="1571" spans="1:7" x14ac:dyDescent="0.3">
      <c r="A1571" s="81" t="s">
        <v>5420</v>
      </c>
      <c r="B1571" s="81" t="s">
        <v>3793</v>
      </c>
      <c r="C1571" s="81" t="s">
        <v>20</v>
      </c>
      <c r="D1571" s="81" t="s">
        <v>1032</v>
      </c>
      <c r="E1571" s="81" t="s">
        <v>15</v>
      </c>
      <c r="F1571" s="81" t="s">
        <v>5476</v>
      </c>
      <c r="G1571" s="81" t="s">
        <v>1033</v>
      </c>
    </row>
    <row r="1572" spans="1:7" x14ac:dyDescent="0.3">
      <c r="A1572" s="81" t="s">
        <v>5420</v>
      </c>
      <c r="B1572" s="81" t="s">
        <v>3793</v>
      </c>
      <c r="C1572" s="81" t="s">
        <v>16</v>
      </c>
      <c r="D1572" s="81" t="s">
        <v>18</v>
      </c>
      <c r="E1572" s="81" t="s">
        <v>369</v>
      </c>
      <c r="F1572" s="81" t="s">
        <v>5427</v>
      </c>
      <c r="G1572" s="81" t="s">
        <v>3729</v>
      </c>
    </row>
    <row r="1573" spans="1:7" x14ac:dyDescent="0.3">
      <c r="A1573" s="81" t="s">
        <v>5420</v>
      </c>
      <c r="B1573" s="81" t="s">
        <v>3793</v>
      </c>
      <c r="C1573" s="81" t="s">
        <v>16</v>
      </c>
      <c r="D1573" s="81" t="s">
        <v>18</v>
      </c>
      <c r="E1573" s="81" t="s">
        <v>382</v>
      </c>
      <c r="F1573" s="81" t="s">
        <v>5427</v>
      </c>
      <c r="G1573" s="81" t="s">
        <v>3730</v>
      </c>
    </row>
    <row r="1574" spans="1:7" x14ac:dyDescent="0.3">
      <c r="A1574" s="81" t="s">
        <v>5420</v>
      </c>
      <c r="B1574" s="81" t="s">
        <v>3793</v>
      </c>
      <c r="C1574" s="81" t="s">
        <v>16</v>
      </c>
      <c r="D1574" s="81" t="s">
        <v>18</v>
      </c>
      <c r="E1574" s="81" t="s">
        <v>370</v>
      </c>
      <c r="F1574" s="81" t="s">
        <v>5427</v>
      </c>
      <c r="G1574" s="81" t="s">
        <v>3731</v>
      </c>
    </row>
    <row r="1575" spans="1:7" x14ac:dyDescent="0.3">
      <c r="A1575" s="81" t="s">
        <v>5420</v>
      </c>
      <c r="B1575" s="81" t="s">
        <v>3793</v>
      </c>
      <c r="C1575" s="81" t="s">
        <v>16</v>
      </c>
      <c r="D1575" s="81" t="s">
        <v>18</v>
      </c>
      <c r="E1575" s="81" t="s">
        <v>378</v>
      </c>
      <c r="F1575" s="81" t="s">
        <v>5427</v>
      </c>
      <c r="G1575" s="81" t="s">
        <v>3732</v>
      </c>
    </row>
    <row r="1576" spans="1:7" x14ac:dyDescent="0.3">
      <c r="A1576" s="81" t="s">
        <v>5420</v>
      </c>
      <c r="B1576" s="81" t="s">
        <v>3793</v>
      </c>
      <c r="C1576" s="81" t="s">
        <v>16</v>
      </c>
      <c r="D1576" s="81" t="s">
        <v>18</v>
      </c>
      <c r="E1576" s="81" t="s">
        <v>371</v>
      </c>
      <c r="F1576" s="81" t="s">
        <v>5427</v>
      </c>
      <c r="G1576" s="81" t="s">
        <v>3733</v>
      </c>
    </row>
    <row r="1577" spans="1:7" x14ac:dyDescent="0.3">
      <c r="A1577" s="81" t="s">
        <v>5420</v>
      </c>
      <c r="B1577" s="81" t="s">
        <v>3793</v>
      </c>
      <c r="C1577" s="81" t="s">
        <v>16</v>
      </c>
      <c r="D1577" s="81" t="s">
        <v>18</v>
      </c>
      <c r="E1577" s="81" t="s">
        <v>376</v>
      </c>
      <c r="F1577" s="81" t="s">
        <v>5427</v>
      </c>
      <c r="G1577" s="81" t="s">
        <v>3734</v>
      </c>
    </row>
    <row r="1578" spans="1:7" x14ac:dyDescent="0.3">
      <c r="A1578" s="81" t="s">
        <v>5420</v>
      </c>
      <c r="B1578" s="81" t="s">
        <v>3793</v>
      </c>
      <c r="C1578" s="81" t="s">
        <v>16</v>
      </c>
      <c r="D1578" s="81" t="s">
        <v>18</v>
      </c>
      <c r="E1578" s="81" t="s">
        <v>377</v>
      </c>
      <c r="F1578" s="81" t="s">
        <v>5427</v>
      </c>
      <c r="G1578" s="81" t="s">
        <v>3735</v>
      </c>
    </row>
    <row r="1579" spans="1:7" x14ac:dyDescent="0.3">
      <c r="A1579" s="81" t="s">
        <v>5420</v>
      </c>
      <c r="B1579" s="81" t="s">
        <v>3793</v>
      </c>
      <c r="C1579" s="81" t="s">
        <v>16</v>
      </c>
      <c r="D1579" s="81" t="s">
        <v>18</v>
      </c>
      <c r="E1579" s="81" t="s">
        <v>381</v>
      </c>
      <c r="F1579" s="81" t="s">
        <v>5427</v>
      </c>
      <c r="G1579" s="81" t="s">
        <v>3736</v>
      </c>
    </row>
    <row r="1580" spans="1:7" x14ac:dyDescent="0.3">
      <c r="A1580" s="81" t="s">
        <v>5420</v>
      </c>
      <c r="B1580" s="81" t="s">
        <v>3793</v>
      </c>
      <c r="C1580" s="81" t="s">
        <v>16</v>
      </c>
      <c r="D1580" s="81" t="s">
        <v>18</v>
      </c>
      <c r="E1580" s="81" t="s">
        <v>379</v>
      </c>
      <c r="F1580" s="81" t="s">
        <v>5427</v>
      </c>
      <c r="G1580" s="81" t="s">
        <v>3737</v>
      </c>
    </row>
    <row r="1581" spans="1:7" x14ac:dyDescent="0.3">
      <c r="A1581" s="81" t="s">
        <v>5420</v>
      </c>
      <c r="B1581" s="81" t="s">
        <v>3793</v>
      </c>
      <c r="C1581" s="81" t="s">
        <v>16</v>
      </c>
      <c r="D1581" s="81" t="s">
        <v>18</v>
      </c>
      <c r="E1581" s="81" t="s">
        <v>374</v>
      </c>
      <c r="F1581" s="81" t="s">
        <v>5427</v>
      </c>
      <c r="G1581" s="81" t="s">
        <v>3738</v>
      </c>
    </row>
    <row r="1582" spans="1:7" x14ac:dyDescent="0.3">
      <c r="A1582" s="81" t="s">
        <v>5420</v>
      </c>
      <c r="B1582" s="81" t="s">
        <v>3793</v>
      </c>
      <c r="C1582" s="81" t="s">
        <v>16</v>
      </c>
      <c r="D1582" s="81" t="s">
        <v>18</v>
      </c>
      <c r="E1582" s="81" t="s">
        <v>383</v>
      </c>
      <c r="F1582" s="81" t="s">
        <v>5427</v>
      </c>
      <c r="G1582" s="81" t="s">
        <v>3739</v>
      </c>
    </row>
    <row r="1583" spans="1:7" x14ac:dyDescent="0.3">
      <c r="A1583" s="81" t="s">
        <v>5420</v>
      </c>
      <c r="B1583" s="81" t="s">
        <v>3793</v>
      </c>
      <c r="C1583" s="81" t="s">
        <v>16</v>
      </c>
      <c r="D1583" s="81" t="s">
        <v>18</v>
      </c>
      <c r="E1583" s="81" t="s">
        <v>373</v>
      </c>
      <c r="F1583" s="81" t="s">
        <v>5427</v>
      </c>
      <c r="G1583" s="81" t="s">
        <v>3740</v>
      </c>
    </row>
    <row r="1584" spans="1:7" x14ac:dyDescent="0.3">
      <c r="A1584" s="81" t="s">
        <v>5420</v>
      </c>
      <c r="B1584" s="81" t="s">
        <v>3793</v>
      </c>
      <c r="C1584" s="81" t="s">
        <v>16</v>
      </c>
      <c r="D1584" s="81" t="s">
        <v>18</v>
      </c>
      <c r="E1584" s="81" t="s">
        <v>368</v>
      </c>
      <c r="F1584" s="81" t="s">
        <v>5427</v>
      </c>
      <c r="G1584" s="81" t="s">
        <v>3741</v>
      </c>
    </row>
    <row r="1585" spans="1:7" x14ac:dyDescent="0.3">
      <c r="A1585" s="81" t="s">
        <v>5420</v>
      </c>
      <c r="B1585" s="81" t="s">
        <v>3793</v>
      </c>
      <c r="C1585" s="81" t="s">
        <v>16</v>
      </c>
      <c r="D1585" s="81" t="s">
        <v>18</v>
      </c>
      <c r="E1585" s="81" t="s">
        <v>372</v>
      </c>
      <c r="F1585" s="81" t="s">
        <v>5427</v>
      </c>
      <c r="G1585" s="81" t="s">
        <v>3742</v>
      </c>
    </row>
    <row r="1586" spans="1:7" x14ac:dyDescent="0.3">
      <c r="A1586" s="81" t="s">
        <v>5420</v>
      </c>
      <c r="B1586" s="81" t="s">
        <v>3793</v>
      </c>
      <c r="C1586" s="81" t="s">
        <v>16</v>
      </c>
      <c r="D1586" s="81" t="s">
        <v>18</v>
      </c>
      <c r="E1586" s="81" t="s">
        <v>375</v>
      </c>
      <c r="F1586" s="81" t="s">
        <v>5427</v>
      </c>
      <c r="G1586" s="81" t="s">
        <v>3743</v>
      </c>
    </row>
    <row r="1587" spans="1:7" x14ac:dyDescent="0.3">
      <c r="A1587" s="81" t="s">
        <v>5420</v>
      </c>
      <c r="B1587" s="81" t="s">
        <v>3793</v>
      </c>
      <c r="C1587" s="81" t="s">
        <v>16</v>
      </c>
      <c r="D1587" s="81" t="s">
        <v>18</v>
      </c>
      <c r="E1587" s="81" t="s">
        <v>380</v>
      </c>
      <c r="F1587" s="81" t="s">
        <v>5427</v>
      </c>
      <c r="G1587" s="81" t="s">
        <v>3744</v>
      </c>
    </row>
    <row r="1588" spans="1:7" x14ac:dyDescent="0.3">
      <c r="A1588" s="81" t="s">
        <v>5420</v>
      </c>
      <c r="B1588" s="81" t="s">
        <v>3793</v>
      </c>
      <c r="C1588" s="81" t="s">
        <v>16</v>
      </c>
      <c r="D1588" s="81" t="s">
        <v>404</v>
      </c>
      <c r="E1588" s="81" t="s">
        <v>369</v>
      </c>
      <c r="F1588" s="81" t="s">
        <v>5480</v>
      </c>
      <c r="G1588" s="81" t="s">
        <v>3745</v>
      </c>
    </row>
    <row r="1589" spans="1:7" x14ac:dyDescent="0.3">
      <c r="A1589" s="81" t="s">
        <v>5420</v>
      </c>
      <c r="B1589" s="81" t="s">
        <v>3793</v>
      </c>
      <c r="C1589" s="81" t="s">
        <v>16</v>
      </c>
      <c r="D1589" s="81" t="s">
        <v>404</v>
      </c>
      <c r="E1589" s="81" t="s">
        <v>369</v>
      </c>
      <c r="F1589" s="81" t="s">
        <v>5514</v>
      </c>
      <c r="G1589" s="81" t="s">
        <v>3745</v>
      </c>
    </row>
    <row r="1590" spans="1:7" x14ac:dyDescent="0.3">
      <c r="A1590" s="81" t="s">
        <v>5420</v>
      </c>
      <c r="B1590" s="81" t="s">
        <v>3793</v>
      </c>
      <c r="C1590" s="81" t="s">
        <v>16</v>
      </c>
      <c r="D1590" s="81" t="s">
        <v>404</v>
      </c>
      <c r="E1590" s="81" t="s">
        <v>369</v>
      </c>
      <c r="F1590" s="81" t="s">
        <v>5569</v>
      </c>
      <c r="G1590" s="81" t="s">
        <v>3745</v>
      </c>
    </row>
    <row r="1591" spans="1:7" x14ac:dyDescent="0.3">
      <c r="A1591" s="81" t="s">
        <v>5420</v>
      </c>
      <c r="B1591" s="81" t="s">
        <v>3793</v>
      </c>
      <c r="C1591" s="81" t="s">
        <v>16</v>
      </c>
      <c r="D1591" s="81" t="s">
        <v>404</v>
      </c>
      <c r="E1591" s="81" t="s">
        <v>382</v>
      </c>
      <c r="F1591" s="81" t="s">
        <v>5480</v>
      </c>
      <c r="G1591" s="81" t="s">
        <v>3746</v>
      </c>
    </row>
    <row r="1592" spans="1:7" x14ac:dyDescent="0.3">
      <c r="A1592" s="81" t="s">
        <v>5420</v>
      </c>
      <c r="B1592" s="81" t="s">
        <v>3793</v>
      </c>
      <c r="C1592" s="81" t="s">
        <v>16</v>
      </c>
      <c r="D1592" s="81" t="s">
        <v>404</v>
      </c>
      <c r="E1592" s="81" t="s">
        <v>382</v>
      </c>
      <c r="F1592" s="81" t="s">
        <v>5514</v>
      </c>
      <c r="G1592" s="81" t="s">
        <v>3746</v>
      </c>
    </row>
    <row r="1593" spans="1:7" x14ac:dyDescent="0.3">
      <c r="A1593" s="81" t="s">
        <v>5420</v>
      </c>
      <c r="B1593" s="81" t="s">
        <v>3793</v>
      </c>
      <c r="C1593" s="81" t="s">
        <v>16</v>
      </c>
      <c r="D1593" s="81" t="s">
        <v>404</v>
      </c>
      <c r="E1593" s="81" t="s">
        <v>382</v>
      </c>
      <c r="F1593" s="81" t="s">
        <v>5569</v>
      </c>
      <c r="G1593" s="81" t="s">
        <v>3746</v>
      </c>
    </row>
    <row r="1594" spans="1:7" x14ac:dyDescent="0.3">
      <c r="A1594" s="81" t="s">
        <v>5420</v>
      </c>
      <c r="B1594" s="81" t="s">
        <v>3793</v>
      </c>
      <c r="C1594" s="81" t="s">
        <v>16</v>
      </c>
      <c r="D1594" s="81" t="s">
        <v>404</v>
      </c>
      <c r="E1594" s="81" t="s">
        <v>370</v>
      </c>
      <c r="F1594" s="81" t="s">
        <v>5480</v>
      </c>
      <c r="G1594" s="81" t="s">
        <v>3747</v>
      </c>
    </row>
    <row r="1595" spans="1:7" x14ac:dyDescent="0.3">
      <c r="A1595" s="81" t="s">
        <v>5420</v>
      </c>
      <c r="B1595" s="81" t="s">
        <v>3793</v>
      </c>
      <c r="C1595" s="81" t="s">
        <v>16</v>
      </c>
      <c r="D1595" s="81" t="s">
        <v>404</v>
      </c>
      <c r="E1595" s="81" t="s">
        <v>370</v>
      </c>
      <c r="F1595" s="81" t="s">
        <v>5514</v>
      </c>
      <c r="G1595" s="81" t="s">
        <v>3747</v>
      </c>
    </row>
    <row r="1596" spans="1:7" x14ac:dyDescent="0.3">
      <c r="A1596" s="81" t="s">
        <v>5420</v>
      </c>
      <c r="B1596" s="81" t="s">
        <v>3793</v>
      </c>
      <c r="C1596" s="81" t="s">
        <v>16</v>
      </c>
      <c r="D1596" s="81" t="s">
        <v>404</v>
      </c>
      <c r="E1596" s="81" t="s">
        <v>370</v>
      </c>
      <c r="F1596" s="81" t="s">
        <v>5569</v>
      </c>
      <c r="G1596" s="81" t="s">
        <v>3747</v>
      </c>
    </row>
    <row r="1597" spans="1:7" x14ac:dyDescent="0.3">
      <c r="A1597" s="81" t="s">
        <v>5420</v>
      </c>
      <c r="B1597" s="81" t="s">
        <v>3793</v>
      </c>
      <c r="C1597" s="81" t="s">
        <v>16</v>
      </c>
      <c r="D1597" s="81" t="s">
        <v>404</v>
      </c>
      <c r="E1597" s="81" t="s">
        <v>378</v>
      </c>
      <c r="F1597" s="81" t="s">
        <v>5480</v>
      </c>
      <c r="G1597" s="81" t="s">
        <v>3748</v>
      </c>
    </row>
    <row r="1598" spans="1:7" x14ac:dyDescent="0.3">
      <c r="A1598" s="81" t="s">
        <v>5420</v>
      </c>
      <c r="B1598" s="81" t="s">
        <v>3793</v>
      </c>
      <c r="C1598" s="81" t="s">
        <v>16</v>
      </c>
      <c r="D1598" s="81" t="s">
        <v>404</v>
      </c>
      <c r="E1598" s="81" t="s">
        <v>378</v>
      </c>
      <c r="F1598" s="81" t="s">
        <v>5514</v>
      </c>
      <c r="G1598" s="81" t="s">
        <v>3748</v>
      </c>
    </row>
    <row r="1599" spans="1:7" x14ac:dyDescent="0.3">
      <c r="A1599" s="81" t="s">
        <v>5420</v>
      </c>
      <c r="B1599" s="81" t="s">
        <v>3793</v>
      </c>
      <c r="C1599" s="81" t="s">
        <v>16</v>
      </c>
      <c r="D1599" s="81" t="s">
        <v>404</v>
      </c>
      <c r="E1599" s="81" t="s">
        <v>378</v>
      </c>
      <c r="F1599" s="81" t="s">
        <v>5569</v>
      </c>
      <c r="G1599" s="81" t="s">
        <v>3748</v>
      </c>
    </row>
    <row r="1600" spans="1:7" x14ac:dyDescent="0.3">
      <c r="A1600" s="81" t="s">
        <v>5420</v>
      </c>
      <c r="B1600" s="81" t="s">
        <v>3793</v>
      </c>
      <c r="C1600" s="81" t="s">
        <v>16</v>
      </c>
      <c r="D1600" s="81" t="s">
        <v>404</v>
      </c>
      <c r="E1600" s="81" t="s">
        <v>371</v>
      </c>
      <c r="F1600" s="81" t="s">
        <v>5480</v>
      </c>
      <c r="G1600" s="81" t="s">
        <v>3749</v>
      </c>
    </row>
    <row r="1601" spans="1:7" x14ac:dyDescent="0.3">
      <c r="A1601" s="81" t="s">
        <v>5420</v>
      </c>
      <c r="B1601" s="81" t="s">
        <v>3793</v>
      </c>
      <c r="C1601" s="81" t="s">
        <v>16</v>
      </c>
      <c r="D1601" s="81" t="s">
        <v>404</v>
      </c>
      <c r="E1601" s="81" t="s">
        <v>371</v>
      </c>
      <c r="F1601" s="81" t="s">
        <v>5514</v>
      </c>
      <c r="G1601" s="81" t="s">
        <v>3749</v>
      </c>
    </row>
    <row r="1602" spans="1:7" x14ac:dyDescent="0.3">
      <c r="A1602" s="81" t="s">
        <v>5420</v>
      </c>
      <c r="B1602" s="81" t="s">
        <v>3793</v>
      </c>
      <c r="C1602" s="81" t="s">
        <v>16</v>
      </c>
      <c r="D1602" s="81" t="s">
        <v>404</v>
      </c>
      <c r="E1602" s="81" t="s">
        <v>371</v>
      </c>
      <c r="F1602" s="81" t="s">
        <v>5569</v>
      </c>
      <c r="G1602" s="81" t="s">
        <v>3749</v>
      </c>
    </row>
    <row r="1603" spans="1:7" x14ac:dyDescent="0.3">
      <c r="A1603" s="81" t="s">
        <v>5420</v>
      </c>
      <c r="B1603" s="81" t="s">
        <v>3793</v>
      </c>
      <c r="C1603" s="81" t="s">
        <v>16</v>
      </c>
      <c r="D1603" s="81" t="s">
        <v>404</v>
      </c>
      <c r="E1603" s="81" t="s">
        <v>376</v>
      </c>
      <c r="F1603" s="81" t="s">
        <v>5480</v>
      </c>
      <c r="G1603" s="81" t="s">
        <v>3750</v>
      </c>
    </row>
    <row r="1604" spans="1:7" x14ac:dyDescent="0.3">
      <c r="A1604" s="81" t="s">
        <v>5420</v>
      </c>
      <c r="B1604" s="81" t="s">
        <v>3793</v>
      </c>
      <c r="C1604" s="81" t="s">
        <v>16</v>
      </c>
      <c r="D1604" s="81" t="s">
        <v>404</v>
      </c>
      <c r="E1604" s="81" t="s">
        <v>376</v>
      </c>
      <c r="F1604" s="81" t="s">
        <v>5514</v>
      </c>
      <c r="G1604" s="81" t="s">
        <v>3750</v>
      </c>
    </row>
    <row r="1605" spans="1:7" x14ac:dyDescent="0.3">
      <c r="A1605" s="81" t="s">
        <v>5420</v>
      </c>
      <c r="B1605" s="81" t="s">
        <v>3793</v>
      </c>
      <c r="C1605" s="81" t="s">
        <v>16</v>
      </c>
      <c r="D1605" s="81" t="s">
        <v>404</v>
      </c>
      <c r="E1605" s="81" t="s">
        <v>376</v>
      </c>
      <c r="F1605" s="81" t="s">
        <v>5569</v>
      </c>
      <c r="G1605" s="81" t="s">
        <v>3750</v>
      </c>
    </row>
    <row r="1606" spans="1:7" x14ac:dyDescent="0.3">
      <c r="A1606" s="81" t="s">
        <v>5420</v>
      </c>
      <c r="B1606" s="81" t="s">
        <v>3793</v>
      </c>
      <c r="C1606" s="81" t="s">
        <v>16</v>
      </c>
      <c r="D1606" s="81" t="s">
        <v>404</v>
      </c>
      <c r="E1606" s="81" t="s">
        <v>377</v>
      </c>
      <c r="F1606" s="81" t="s">
        <v>5480</v>
      </c>
      <c r="G1606" s="81" t="s">
        <v>3751</v>
      </c>
    </row>
    <row r="1607" spans="1:7" x14ac:dyDescent="0.3">
      <c r="A1607" s="81" t="s">
        <v>5420</v>
      </c>
      <c r="B1607" s="81" t="s">
        <v>3793</v>
      </c>
      <c r="C1607" s="81" t="s">
        <v>16</v>
      </c>
      <c r="D1607" s="81" t="s">
        <v>404</v>
      </c>
      <c r="E1607" s="81" t="s">
        <v>377</v>
      </c>
      <c r="F1607" s="81" t="s">
        <v>5514</v>
      </c>
      <c r="G1607" s="81" t="s">
        <v>3751</v>
      </c>
    </row>
    <row r="1608" spans="1:7" x14ac:dyDescent="0.3">
      <c r="A1608" s="81" t="s">
        <v>5420</v>
      </c>
      <c r="B1608" s="81" t="s">
        <v>3793</v>
      </c>
      <c r="C1608" s="81" t="s">
        <v>16</v>
      </c>
      <c r="D1608" s="81" t="s">
        <v>404</v>
      </c>
      <c r="E1608" s="81" t="s">
        <v>377</v>
      </c>
      <c r="F1608" s="81" t="s">
        <v>5569</v>
      </c>
      <c r="G1608" s="81" t="s">
        <v>3751</v>
      </c>
    </row>
    <row r="1609" spans="1:7" x14ac:dyDescent="0.3">
      <c r="A1609" s="81" t="s">
        <v>5420</v>
      </c>
      <c r="B1609" s="81" t="s">
        <v>3793</v>
      </c>
      <c r="C1609" s="81" t="s">
        <v>16</v>
      </c>
      <c r="D1609" s="81" t="s">
        <v>404</v>
      </c>
      <c r="E1609" s="81" t="s">
        <v>381</v>
      </c>
      <c r="F1609" s="81" t="s">
        <v>5480</v>
      </c>
      <c r="G1609" s="81" t="s">
        <v>3752</v>
      </c>
    </row>
    <row r="1610" spans="1:7" x14ac:dyDescent="0.3">
      <c r="A1610" s="81" t="s">
        <v>5420</v>
      </c>
      <c r="B1610" s="81" t="s">
        <v>3793</v>
      </c>
      <c r="C1610" s="81" t="s">
        <v>16</v>
      </c>
      <c r="D1610" s="81" t="s">
        <v>404</v>
      </c>
      <c r="E1610" s="81" t="s">
        <v>381</v>
      </c>
      <c r="F1610" s="81" t="s">
        <v>5514</v>
      </c>
      <c r="G1610" s="81" t="s">
        <v>3752</v>
      </c>
    </row>
    <row r="1611" spans="1:7" x14ac:dyDescent="0.3">
      <c r="A1611" s="81" t="s">
        <v>5420</v>
      </c>
      <c r="B1611" s="81" t="s">
        <v>3793</v>
      </c>
      <c r="C1611" s="81" t="s">
        <v>16</v>
      </c>
      <c r="D1611" s="81" t="s">
        <v>404</v>
      </c>
      <c r="E1611" s="81" t="s">
        <v>381</v>
      </c>
      <c r="F1611" s="81" t="s">
        <v>5569</v>
      </c>
      <c r="G1611" s="81" t="s">
        <v>3752</v>
      </c>
    </row>
    <row r="1612" spans="1:7" x14ac:dyDescent="0.3">
      <c r="A1612" s="81" t="s">
        <v>5420</v>
      </c>
      <c r="B1612" s="81" t="s">
        <v>3793</v>
      </c>
      <c r="C1612" s="81" t="s">
        <v>16</v>
      </c>
      <c r="D1612" s="81" t="s">
        <v>404</v>
      </c>
      <c r="E1612" s="81" t="s">
        <v>379</v>
      </c>
      <c r="F1612" s="81" t="s">
        <v>5480</v>
      </c>
      <c r="G1612" s="81" t="s">
        <v>3753</v>
      </c>
    </row>
    <row r="1613" spans="1:7" x14ac:dyDescent="0.3">
      <c r="A1613" s="81" t="s">
        <v>5420</v>
      </c>
      <c r="B1613" s="81" t="s">
        <v>3793</v>
      </c>
      <c r="C1613" s="81" t="s">
        <v>16</v>
      </c>
      <c r="D1613" s="81" t="s">
        <v>404</v>
      </c>
      <c r="E1613" s="81" t="s">
        <v>379</v>
      </c>
      <c r="F1613" s="81" t="s">
        <v>5514</v>
      </c>
      <c r="G1613" s="81" t="s">
        <v>3753</v>
      </c>
    </row>
    <row r="1614" spans="1:7" x14ac:dyDescent="0.3">
      <c r="A1614" s="81" t="s">
        <v>5420</v>
      </c>
      <c r="B1614" s="81" t="s">
        <v>3793</v>
      </c>
      <c r="C1614" s="81" t="s">
        <v>16</v>
      </c>
      <c r="D1614" s="81" t="s">
        <v>404</v>
      </c>
      <c r="E1614" s="81" t="s">
        <v>379</v>
      </c>
      <c r="F1614" s="81" t="s">
        <v>5569</v>
      </c>
      <c r="G1614" s="81" t="s">
        <v>3753</v>
      </c>
    </row>
    <row r="1615" spans="1:7" x14ac:dyDescent="0.3">
      <c r="A1615" s="81" t="s">
        <v>5420</v>
      </c>
      <c r="B1615" s="81" t="s">
        <v>3793</v>
      </c>
      <c r="C1615" s="81" t="s">
        <v>16</v>
      </c>
      <c r="D1615" s="81" t="s">
        <v>404</v>
      </c>
      <c r="E1615" s="81" t="s">
        <v>374</v>
      </c>
      <c r="F1615" s="81" t="s">
        <v>5480</v>
      </c>
      <c r="G1615" s="81" t="s">
        <v>3754</v>
      </c>
    </row>
    <row r="1616" spans="1:7" x14ac:dyDescent="0.3">
      <c r="A1616" s="81" t="s">
        <v>5420</v>
      </c>
      <c r="B1616" s="81" t="s">
        <v>3793</v>
      </c>
      <c r="C1616" s="81" t="s">
        <v>16</v>
      </c>
      <c r="D1616" s="81" t="s">
        <v>404</v>
      </c>
      <c r="E1616" s="81" t="s">
        <v>374</v>
      </c>
      <c r="F1616" s="81" t="s">
        <v>5514</v>
      </c>
      <c r="G1616" s="81" t="s">
        <v>3754</v>
      </c>
    </row>
    <row r="1617" spans="1:7" x14ac:dyDescent="0.3">
      <c r="A1617" s="81" t="s">
        <v>5420</v>
      </c>
      <c r="B1617" s="81" t="s">
        <v>3793</v>
      </c>
      <c r="C1617" s="81" t="s">
        <v>16</v>
      </c>
      <c r="D1617" s="81" t="s">
        <v>404</v>
      </c>
      <c r="E1617" s="81" t="s">
        <v>374</v>
      </c>
      <c r="F1617" s="81" t="s">
        <v>5569</v>
      </c>
      <c r="G1617" s="81" t="s">
        <v>3754</v>
      </c>
    </row>
    <row r="1618" spans="1:7" x14ac:dyDescent="0.3">
      <c r="A1618" s="81" t="s">
        <v>5420</v>
      </c>
      <c r="B1618" s="81" t="s">
        <v>3793</v>
      </c>
      <c r="C1618" s="81" t="s">
        <v>16</v>
      </c>
      <c r="D1618" s="81" t="s">
        <v>404</v>
      </c>
      <c r="E1618" s="81" t="s">
        <v>383</v>
      </c>
      <c r="F1618" s="81" t="s">
        <v>5480</v>
      </c>
      <c r="G1618" s="81" t="s">
        <v>3755</v>
      </c>
    </row>
    <row r="1619" spans="1:7" x14ac:dyDescent="0.3">
      <c r="A1619" s="81" t="s">
        <v>5420</v>
      </c>
      <c r="B1619" s="81" t="s">
        <v>3793</v>
      </c>
      <c r="C1619" s="81" t="s">
        <v>16</v>
      </c>
      <c r="D1619" s="81" t="s">
        <v>404</v>
      </c>
      <c r="E1619" s="81" t="s">
        <v>383</v>
      </c>
      <c r="F1619" s="81" t="s">
        <v>5514</v>
      </c>
      <c r="G1619" s="81" t="s">
        <v>3755</v>
      </c>
    </row>
    <row r="1620" spans="1:7" x14ac:dyDescent="0.3">
      <c r="A1620" s="81" t="s">
        <v>5420</v>
      </c>
      <c r="B1620" s="81" t="s">
        <v>3793</v>
      </c>
      <c r="C1620" s="81" t="s">
        <v>16</v>
      </c>
      <c r="D1620" s="81" t="s">
        <v>404</v>
      </c>
      <c r="E1620" s="81" t="s">
        <v>383</v>
      </c>
      <c r="F1620" s="81" t="s">
        <v>5569</v>
      </c>
      <c r="G1620" s="81" t="s">
        <v>3755</v>
      </c>
    </row>
    <row r="1621" spans="1:7" x14ac:dyDescent="0.3">
      <c r="A1621" s="81" t="s">
        <v>5420</v>
      </c>
      <c r="B1621" s="81" t="s">
        <v>3793</v>
      </c>
      <c r="C1621" s="81" t="s">
        <v>16</v>
      </c>
      <c r="D1621" s="81" t="s">
        <v>404</v>
      </c>
      <c r="E1621" s="81" t="s">
        <v>373</v>
      </c>
      <c r="F1621" s="81" t="s">
        <v>5480</v>
      </c>
      <c r="G1621" s="81" t="s">
        <v>3756</v>
      </c>
    </row>
    <row r="1622" spans="1:7" x14ac:dyDescent="0.3">
      <c r="A1622" s="81" t="s">
        <v>5420</v>
      </c>
      <c r="B1622" s="81" t="s">
        <v>3793</v>
      </c>
      <c r="C1622" s="81" t="s">
        <v>16</v>
      </c>
      <c r="D1622" s="81" t="s">
        <v>404</v>
      </c>
      <c r="E1622" s="81" t="s">
        <v>373</v>
      </c>
      <c r="F1622" s="81" t="s">
        <v>5514</v>
      </c>
      <c r="G1622" s="81" t="s">
        <v>3756</v>
      </c>
    </row>
    <row r="1623" spans="1:7" x14ac:dyDescent="0.3">
      <c r="A1623" s="81" t="s">
        <v>5420</v>
      </c>
      <c r="B1623" s="81" t="s">
        <v>3793</v>
      </c>
      <c r="C1623" s="81" t="s">
        <v>16</v>
      </c>
      <c r="D1623" s="81" t="s">
        <v>404</v>
      </c>
      <c r="E1623" s="81" t="s">
        <v>373</v>
      </c>
      <c r="F1623" s="81" t="s">
        <v>5569</v>
      </c>
      <c r="G1623" s="81" t="s">
        <v>3756</v>
      </c>
    </row>
    <row r="1624" spans="1:7" x14ac:dyDescent="0.3">
      <c r="A1624" s="81" t="s">
        <v>5420</v>
      </c>
      <c r="B1624" s="81" t="s">
        <v>3793</v>
      </c>
      <c r="C1624" s="81" t="s">
        <v>16</v>
      </c>
      <c r="D1624" s="81" t="s">
        <v>404</v>
      </c>
      <c r="E1624" s="81" t="s">
        <v>368</v>
      </c>
      <c r="F1624" s="81" t="s">
        <v>5480</v>
      </c>
      <c r="G1624" s="81" t="s">
        <v>3757</v>
      </c>
    </row>
    <row r="1625" spans="1:7" x14ac:dyDescent="0.3">
      <c r="A1625" s="81" t="s">
        <v>5420</v>
      </c>
      <c r="B1625" s="81" t="s">
        <v>3793</v>
      </c>
      <c r="C1625" s="81" t="s">
        <v>16</v>
      </c>
      <c r="D1625" s="81" t="s">
        <v>404</v>
      </c>
      <c r="E1625" s="81" t="s">
        <v>368</v>
      </c>
      <c r="F1625" s="81" t="s">
        <v>5514</v>
      </c>
      <c r="G1625" s="81" t="s">
        <v>3757</v>
      </c>
    </row>
    <row r="1626" spans="1:7" x14ac:dyDescent="0.3">
      <c r="A1626" s="81" t="s">
        <v>5420</v>
      </c>
      <c r="B1626" s="81" t="s">
        <v>3793</v>
      </c>
      <c r="C1626" s="81" t="s">
        <v>16</v>
      </c>
      <c r="D1626" s="81" t="s">
        <v>404</v>
      </c>
      <c r="E1626" s="81" t="s">
        <v>368</v>
      </c>
      <c r="F1626" s="81" t="s">
        <v>5569</v>
      </c>
      <c r="G1626" s="81" t="s">
        <v>3757</v>
      </c>
    </row>
    <row r="1627" spans="1:7" x14ac:dyDescent="0.3">
      <c r="A1627" s="81" t="s">
        <v>5420</v>
      </c>
      <c r="B1627" s="81" t="s">
        <v>3793</v>
      </c>
      <c r="C1627" s="81" t="s">
        <v>16</v>
      </c>
      <c r="D1627" s="81" t="s">
        <v>404</v>
      </c>
      <c r="E1627" s="81" t="s">
        <v>372</v>
      </c>
      <c r="F1627" s="81" t="s">
        <v>5480</v>
      </c>
      <c r="G1627" s="81" t="s">
        <v>3758</v>
      </c>
    </row>
    <row r="1628" spans="1:7" x14ac:dyDescent="0.3">
      <c r="A1628" s="81" t="s">
        <v>5420</v>
      </c>
      <c r="B1628" s="81" t="s">
        <v>3793</v>
      </c>
      <c r="C1628" s="81" t="s">
        <v>16</v>
      </c>
      <c r="D1628" s="81" t="s">
        <v>404</v>
      </c>
      <c r="E1628" s="81" t="s">
        <v>372</v>
      </c>
      <c r="F1628" s="81" t="s">
        <v>5514</v>
      </c>
      <c r="G1628" s="81" t="s">
        <v>3758</v>
      </c>
    </row>
    <row r="1629" spans="1:7" x14ac:dyDescent="0.3">
      <c r="A1629" s="81" t="s">
        <v>5420</v>
      </c>
      <c r="B1629" s="81" t="s">
        <v>3793</v>
      </c>
      <c r="C1629" s="81" t="s">
        <v>16</v>
      </c>
      <c r="D1629" s="81" t="s">
        <v>404</v>
      </c>
      <c r="E1629" s="81" t="s">
        <v>372</v>
      </c>
      <c r="F1629" s="81" t="s">
        <v>5569</v>
      </c>
      <c r="G1629" s="81" t="s">
        <v>3758</v>
      </c>
    </row>
    <row r="1630" spans="1:7" x14ac:dyDescent="0.3">
      <c r="A1630" s="81" t="s">
        <v>5420</v>
      </c>
      <c r="B1630" s="81" t="s">
        <v>3793</v>
      </c>
      <c r="C1630" s="81" t="s">
        <v>16</v>
      </c>
      <c r="D1630" s="81" t="s">
        <v>404</v>
      </c>
      <c r="E1630" s="81" t="s">
        <v>375</v>
      </c>
      <c r="F1630" s="81" t="s">
        <v>5480</v>
      </c>
      <c r="G1630" s="81" t="s">
        <v>3759</v>
      </c>
    </row>
    <row r="1631" spans="1:7" x14ac:dyDescent="0.3">
      <c r="A1631" s="81" t="s">
        <v>5420</v>
      </c>
      <c r="B1631" s="81" t="s">
        <v>3793</v>
      </c>
      <c r="C1631" s="81" t="s">
        <v>16</v>
      </c>
      <c r="D1631" s="81" t="s">
        <v>404</v>
      </c>
      <c r="E1631" s="81" t="s">
        <v>375</v>
      </c>
      <c r="F1631" s="81" t="s">
        <v>5514</v>
      </c>
      <c r="G1631" s="81" t="s">
        <v>3759</v>
      </c>
    </row>
    <row r="1632" spans="1:7" x14ac:dyDescent="0.3">
      <c r="A1632" s="81" t="s">
        <v>5420</v>
      </c>
      <c r="B1632" s="81" t="s">
        <v>3793</v>
      </c>
      <c r="C1632" s="81" t="s">
        <v>16</v>
      </c>
      <c r="D1632" s="81" t="s">
        <v>404</v>
      </c>
      <c r="E1632" s="81" t="s">
        <v>375</v>
      </c>
      <c r="F1632" s="81" t="s">
        <v>5569</v>
      </c>
      <c r="G1632" s="81" t="s">
        <v>3759</v>
      </c>
    </row>
    <row r="1633" spans="1:7" x14ac:dyDescent="0.3">
      <c r="A1633" s="81" t="s">
        <v>5420</v>
      </c>
      <c r="B1633" s="81" t="s">
        <v>3793</v>
      </c>
      <c r="C1633" s="81" t="s">
        <v>16</v>
      </c>
      <c r="D1633" s="81" t="s">
        <v>404</v>
      </c>
      <c r="E1633" s="81" t="s">
        <v>380</v>
      </c>
      <c r="F1633" s="81" t="s">
        <v>5480</v>
      </c>
      <c r="G1633" s="81" t="s">
        <v>3760</v>
      </c>
    </row>
    <row r="1634" spans="1:7" x14ac:dyDescent="0.3">
      <c r="A1634" s="81" t="s">
        <v>5420</v>
      </c>
      <c r="B1634" s="81" t="s">
        <v>3793</v>
      </c>
      <c r="C1634" s="81" t="s">
        <v>16</v>
      </c>
      <c r="D1634" s="81" t="s">
        <v>404</v>
      </c>
      <c r="E1634" s="81" t="s">
        <v>380</v>
      </c>
      <c r="F1634" s="81" t="s">
        <v>5514</v>
      </c>
      <c r="G1634" s="81" t="s">
        <v>3760</v>
      </c>
    </row>
    <row r="1635" spans="1:7" x14ac:dyDescent="0.3">
      <c r="A1635" s="81" t="s">
        <v>5420</v>
      </c>
      <c r="B1635" s="81" t="s">
        <v>3793</v>
      </c>
      <c r="C1635" s="81" t="s">
        <v>16</v>
      </c>
      <c r="D1635" s="81" t="s">
        <v>404</v>
      </c>
      <c r="E1635" s="81" t="s">
        <v>380</v>
      </c>
      <c r="F1635" s="81" t="s">
        <v>5569</v>
      </c>
      <c r="G1635" s="81" t="s">
        <v>3760</v>
      </c>
    </row>
    <row r="1636" spans="1:7" x14ac:dyDescent="0.3">
      <c r="A1636" s="81" t="s">
        <v>5589</v>
      </c>
      <c r="B1636" s="81" t="s">
        <v>3769</v>
      </c>
      <c r="C1636" s="81" t="s">
        <v>20</v>
      </c>
      <c r="D1636" s="81" t="s">
        <v>5590</v>
      </c>
      <c r="E1636" s="81" t="s">
        <v>15</v>
      </c>
      <c r="F1636" s="81" t="s">
        <v>5591</v>
      </c>
      <c r="G1636" s="81">
        <v>0</v>
      </c>
    </row>
    <row r="1637" spans="1:7" x14ac:dyDescent="0.3">
      <c r="A1637" s="81" t="s">
        <v>5599</v>
      </c>
      <c r="B1637" s="81" t="s">
        <v>3769</v>
      </c>
      <c r="C1637" s="81" t="s">
        <v>20</v>
      </c>
      <c r="D1637" s="81" t="s">
        <v>5590</v>
      </c>
      <c r="E1637" s="81" t="s">
        <v>15</v>
      </c>
      <c r="F1637" s="81" t="s">
        <v>6249</v>
      </c>
      <c r="G1637" s="81">
        <v>0</v>
      </c>
    </row>
    <row r="1638" spans="1:7" x14ac:dyDescent="0.3">
      <c r="A1638" s="81" t="s">
        <v>5603</v>
      </c>
      <c r="B1638" s="81" t="s">
        <v>3769</v>
      </c>
      <c r="C1638" s="81" t="s">
        <v>20</v>
      </c>
      <c r="D1638" s="81" t="s">
        <v>5590</v>
      </c>
      <c r="E1638" s="81" t="s">
        <v>15</v>
      </c>
      <c r="F1638" s="81" t="s">
        <v>5604</v>
      </c>
      <c r="G1638" s="81">
        <v>0</v>
      </c>
    </row>
    <row r="1639" spans="1:7" x14ac:dyDescent="0.3">
      <c r="A1639" s="81" t="s">
        <v>5608</v>
      </c>
      <c r="B1639" s="81" t="s">
        <v>5609</v>
      </c>
      <c r="C1639" s="81" t="s">
        <v>20</v>
      </c>
      <c r="D1639" s="81" t="s">
        <v>5610</v>
      </c>
      <c r="E1639" s="81" t="s">
        <v>15</v>
      </c>
      <c r="F1639" s="81" t="s">
        <v>5611</v>
      </c>
      <c r="G1639" s="81" t="s">
        <v>855</v>
      </c>
    </row>
    <row r="1640" spans="1:7" x14ac:dyDescent="0.3">
      <c r="A1640" s="81" t="s">
        <v>5608</v>
      </c>
      <c r="B1640" s="81" t="s">
        <v>5609</v>
      </c>
      <c r="C1640" s="81" t="s">
        <v>20</v>
      </c>
      <c r="D1640" s="81" t="s">
        <v>5610</v>
      </c>
      <c r="E1640" s="81" t="s">
        <v>15</v>
      </c>
      <c r="F1640" s="81" t="s">
        <v>5620</v>
      </c>
      <c r="G1640" s="81" t="s">
        <v>855</v>
      </c>
    </row>
    <row r="1641" spans="1:7" x14ac:dyDescent="0.3">
      <c r="A1641" s="81" t="s">
        <v>5608</v>
      </c>
      <c r="B1641" s="81" t="s">
        <v>5609</v>
      </c>
      <c r="C1641" s="81" t="s">
        <v>20</v>
      </c>
      <c r="D1641" s="81" t="s">
        <v>5610</v>
      </c>
      <c r="E1641" s="81" t="s">
        <v>15</v>
      </c>
      <c r="F1641" s="81" t="s">
        <v>5633</v>
      </c>
      <c r="G1641" s="81">
        <v>0</v>
      </c>
    </row>
    <row r="1642" spans="1:7" x14ac:dyDescent="0.3">
      <c r="A1642" s="81" t="s">
        <v>5608</v>
      </c>
      <c r="B1642" s="81" t="s">
        <v>5609</v>
      </c>
      <c r="C1642" s="81" t="s">
        <v>20</v>
      </c>
      <c r="D1642" s="81" t="s">
        <v>5610</v>
      </c>
      <c r="E1642" s="81" t="s">
        <v>15</v>
      </c>
      <c r="F1642" s="81" t="s">
        <v>5637</v>
      </c>
      <c r="G1642" s="81">
        <v>0</v>
      </c>
    </row>
    <row r="1643" spans="1:7" x14ac:dyDescent="0.3">
      <c r="A1643" s="81" t="s">
        <v>5608</v>
      </c>
      <c r="B1643" s="81" t="s">
        <v>5609</v>
      </c>
      <c r="C1643" s="81" t="s">
        <v>16</v>
      </c>
      <c r="D1643" s="81" t="s">
        <v>5590</v>
      </c>
      <c r="E1643" s="81" t="s">
        <v>369</v>
      </c>
      <c r="F1643" s="81" t="s">
        <v>5611</v>
      </c>
      <c r="G1643" s="81" t="s">
        <v>3745</v>
      </c>
    </row>
    <row r="1644" spans="1:7" x14ac:dyDescent="0.3">
      <c r="A1644" s="81" t="s">
        <v>5608</v>
      </c>
      <c r="B1644" s="81" t="s">
        <v>5609</v>
      </c>
      <c r="C1644" s="81" t="s">
        <v>16</v>
      </c>
      <c r="D1644" s="81" t="s">
        <v>5590</v>
      </c>
      <c r="E1644" s="81" t="s">
        <v>370</v>
      </c>
      <c r="F1644" s="81" t="s">
        <v>5611</v>
      </c>
      <c r="G1644" s="81" t="s">
        <v>3747</v>
      </c>
    </row>
    <row r="1645" spans="1:7" x14ac:dyDescent="0.3">
      <c r="A1645" s="81" t="s">
        <v>5608</v>
      </c>
      <c r="B1645" s="81" t="s">
        <v>5609</v>
      </c>
      <c r="C1645" s="81" t="s">
        <v>16</v>
      </c>
      <c r="D1645" s="81" t="s">
        <v>5590</v>
      </c>
      <c r="E1645" s="81" t="s">
        <v>371</v>
      </c>
      <c r="F1645" s="81" t="s">
        <v>5611</v>
      </c>
      <c r="G1645" s="81" t="s">
        <v>3749</v>
      </c>
    </row>
    <row r="1646" spans="1:7" x14ac:dyDescent="0.3">
      <c r="A1646" s="81" t="s">
        <v>5608</v>
      </c>
      <c r="B1646" s="81" t="s">
        <v>5609</v>
      </c>
      <c r="C1646" s="81" t="s">
        <v>16</v>
      </c>
      <c r="D1646" s="81" t="s">
        <v>5590</v>
      </c>
      <c r="E1646" s="81" t="s">
        <v>368</v>
      </c>
      <c r="F1646" s="81" t="s">
        <v>5611</v>
      </c>
      <c r="G1646" s="81" t="s">
        <v>3757</v>
      </c>
    </row>
    <row r="1647" spans="1:7" x14ac:dyDescent="0.3">
      <c r="A1647" s="81" t="s">
        <v>5608</v>
      </c>
      <c r="B1647" s="81" t="s">
        <v>5609</v>
      </c>
      <c r="C1647" s="81" t="s">
        <v>16</v>
      </c>
      <c r="D1647" s="81" t="s">
        <v>5610</v>
      </c>
      <c r="E1647" s="81" t="s">
        <v>369</v>
      </c>
      <c r="F1647" s="81" t="s">
        <v>5620</v>
      </c>
      <c r="G1647" s="81" t="s">
        <v>3745</v>
      </c>
    </row>
    <row r="1648" spans="1:7" x14ac:dyDescent="0.3">
      <c r="A1648" s="81" t="s">
        <v>5608</v>
      </c>
      <c r="B1648" s="81" t="s">
        <v>5609</v>
      </c>
      <c r="C1648" s="81" t="s">
        <v>16</v>
      </c>
      <c r="D1648" s="81" t="s">
        <v>5610</v>
      </c>
      <c r="E1648" s="81" t="s">
        <v>370</v>
      </c>
      <c r="F1648" s="81" t="s">
        <v>5620</v>
      </c>
      <c r="G1648" s="81" t="s">
        <v>3747</v>
      </c>
    </row>
    <row r="1649" spans="1:7" x14ac:dyDescent="0.3">
      <c r="A1649" s="81" t="s">
        <v>5608</v>
      </c>
      <c r="B1649" s="81" t="s">
        <v>5609</v>
      </c>
      <c r="C1649" s="81" t="s">
        <v>16</v>
      </c>
      <c r="D1649" s="81" t="s">
        <v>5610</v>
      </c>
      <c r="E1649" s="81" t="s">
        <v>371</v>
      </c>
      <c r="F1649" s="81" t="s">
        <v>5620</v>
      </c>
      <c r="G1649" s="81" t="s">
        <v>3749</v>
      </c>
    </row>
    <row r="1650" spans="1:7" x14ac:dyDescent="0.3">
      <c r="A1650" s="81" t="s">
        <v>5608</v>
      </c>
      <c r="B1650" s="81" t="s">
        <v>5609</v>
      </c>
      <c r="C1650" s="81" t="s">
        <v>16</v>
      </c>
      <c r="D1650" s="81" t="s">
        <v>5610</v>
      </c>
      <c r="E1650" s="81" t="s">
        <v>368</v>
      </c>
      <c r="F1650" s="81" t="s">
        <v>5620</v>
      </c>
      <c r="G1650" s="81" t="s">
        <v>3757</v>
      </c>
    </row>
    <row r="1651" spans="1:7" x14ac:dyDescent="0.3">
      <c r="A1651" s="81" t="s">
        <v>5608</v>
      </c>
      <c r="B1651" s="81" t="s">
        <v>5609</v>
      </c>
      <c r="C1651" s="81" t="s">
        <v>16</v>
      </c>
      <c r="D1651" s="81" t="s">
        <v>5610</v>
      </c>
      <c r="E1651" s="81" t="s">
        <v>372</v>
      </c>
      <c r="F1651" s="81" t="s">
        <v>5620</v>
      </c>
      <c r="G1651" s="81" t="s">
        <v>3758</v>
      </c>
    </row>
    <row r="1652" spans="1:7" x14ac:dyDescent="0.3">
      <c r="A1652" s="81" t="s">
        <v>5642</v>
      </c>
      <c r="B1652" s="81" t="s">
        <v>5641</v>
      </c>
      <c r="C1652" s="81" t="s">
        <v>20</v>
      </c>
      <c r="D1652" s="81" t="s">
        <v>5610</v>
      </c>
      <c r="E1652" s="81" t="s">
        <v>15</v>
      </c>
      <c r="F1652" s="81" t="s">
        <v>5643</v>
      </c>
      <c r="G1652" s="81" t="s">
        <v>855</v>
      </c>
    </row>
    <row r="1653" spans="1:7" x14ac:dyDescent="0.3">
      <c r="A1653" s="81" t="s">
        <v>5642</v>
      </c>
      <c r="B1653" s="81" t="s">
        <v>5641</v>
      </c>
      <c r="C1653" s="81" t="s">
        <v>16</v>
      </c>
      <c r="D1653" s="81" t="s">
        <v>5590</v>
      </c>
      <c r="E1653" s="81" t="s">
        <v>369</v>
      </c>
      <c r="F1653" s="81" t="s">
        <v>5643</v>
      </c>
      <c r="G1653" s="81" t="s">
        <v>3745</v>
      </c>
    </row>
    <row r="1654" spans="1:7" x14ac:dyDescent="0.3">
      <c r="A1654" s="81" t="s">
        <v>5642</v>
      </c>
      <c r="B1654" s="81" t="s">
        <v>5641</v>
      </c>
      <c r="C1654" s="81" t="s">
        <v>16</v>
      </c>
      <c r="D1654" s="81" t="s">
        <v>5590</v>
      </c>
      <c r="E1654" s="81" t="s">
        <v>382</v>
      </c>
      <c r="F1654" s="81" t="s">
        <v>5643</v>
      </c>
      <c r="G1654" s="81" t="s">
        <v>3746</v>
      </c>
    </row>
    <row r="1655" spans="1:7" x14ac:dyDescent="0.3">
      <c r="A1655" s="81" t="s">
        <v>5642</v>
      </c>
      <c r="B1655" s="81" t="s">
        <v>5641</v>
      </c>
      <c r="C1655" s="81" t="s">
        <v>16</v>
      </c>
      <c r="D1655" s="81" t="s">
        <v>5590</v>
      </c>
      <c r="E1655" s="81" t="s">
        <v>370</v>
      </c>
      <c r="F1655" s="81" t="s">
        <v>5643</v>
      </c>
      <c r="G1655" s="81" t="s">
        <v>3747</v>
      </c>
    </row>
    <row r="1656" spans="1:7" x14ac:dyDescent="0.3">
      <c r="A1656" s="81" t="s">
        <v>5642</v>
      </c>
      <c r="B1656" s="81" t="s">
        <v>5641</v>
      </c>
      <c r="C1656" s="81" t="s">
        <v>16</v>
      </c>
      <c r="D1656" s="81" t="s">
        <v>5590</v>
      </c>
      <c r="E1656" s="81" t="s">
        <v>378</v>
      </c>
      <c r="F1656" s="81" t="s">
        <v>5643</v>
      </c>
      <c r="G1656" s="81" t="s">
        <v>3748</v>
      </c>
    </row>
    <row r="1657" spans="1:7" x14ac:dyDescent="0.3">
      <c r="A1657" s="81" t="s">
        <v>5642</v>
      </c>
      <c r="B1657" s="81" t="s">
        <v>5641</v>
      </c>
      <c r="C1657" s="81" t="s">
        <v>16</v>
      </c>
      <c r="D1657" s="81" t="s">
        <v>5590</v>
      </c>
      <c r="E1657" s="81" t="s">
        <v>371</v>
      </c>
      <c r="F1657" s="81" t="s">
        <v>5643</v>
      </c>
      <c r="G1657" s="81" t="s">
        <v>3749</v>
      </c>
    </row>
    <row r="1658" spans="1:7" x14ac:dyDescent="0.3">
      <c r="A1658" s="81" t="s">
        <v>5642</v>
      </c>
      <c r="B1658" s="81" t="s">
        <v>5641</v>
      </c>
      <c r="C1658" s="81" t="s">
        <v>16</v>
      </c>
      <c r="D1658" s="81" t="s">
        <v>5590</v>
      </c>
      <c r="E1658" s="81" t="s">
        <v>376</v>
      </c>
      <c r="F1658" s="81" t="s">
        <v>5643</v>
      </c>
      <c r="G1658" s="81" t="s">
        <v>3750</v>
      </c>
    </row>
    <row r="1659" spans="1:7" x14ac:dyDescent="0.3">
      <c r="A1659" s="81" t="s">
        <v>5642</v>
      </c>
      <c r="B1659" s="81" t="s">
        <v>5641</v>
      </c>
      <c r="C1659" s="81" t="s">
        <v>16</v>
      </c>
      <c r="D1659" s="81" t="s">
        <v>5590</v>
      </c>
      <c r="E1659" s="81" t="s">
        <v>377</v>
      </c>
      <c r="F1659" s="81" t="s">
        <v>5643</v>
      </c>
      <c r="G1659" s="81" t="s">
        <v>3751</v>
      </c>
    </row>
    <row r="1660" spans="1:7" x14ac:dyDescent="0.3">
      <c r="A1660" s="81" t="s">
        <v>5642</v>
      </c>
      <c r="B1660" s="81" t="s">
        <v>5641</v>
      </c>
      <c r="C1660" s="81" t="s">
        <v>16</v>
      </c>
      <c r="D1660" s="81" t="s">
        <v>5590</v>
      </c>
      <c r="E1660" s="81" t="s">
        <v>381</v>
      </c>
      <c r="F1660" s="81" t="s">
        <v>5643</v>
      </c>
      <c r="G1660" s="81" t="s">
        <v>3752</v>
      </c>
    </row>
    <row r="1661" spans="1:7" x14ac:dyDescent="0.3">
      <c r="A1661" s="81" t="s">
        <v>5642</v>
      </c>
      <c r="B1661" s="81" t="s">
        <v>5641</v>
      </c>
      <c r="C1661" s="81" t="s">
        <v>16</v>
      </c>
      <c r="D1661" s="81" t="s">
        <v>5590</v>
      </c>
      <c r="E1661" s="81" t="s">
        <v>379</v>
      </c>
      <c r="F1661" s="81" t="s">
        <v>5643</v>
      </c>
      <c r="G1661" s="81" t="s">
        <v>3753</v>
      </c>
    </row>
    <row r="1662" spans="1:7" x14ac:dyDescent="0.3">
      <c r="A1662" s="81" t="s">
        <v>5642</v>
      </c>
      <c r="B1662" s="81" t="s">
        <v>5641</v>
      </c>
      <c r="C1662" s="81" t="s">
        <v>16</v>
      </c>
      <c r="D1662" s="81" t="s">
        <v>5590</v>
      </c>
      <c r="E1662" s="81" t="s">
        <v>374</v>
      </c>
      <c r="F1662" s="81" t="s">
        <v>5643</v>
      </c>
      <c r="G1662" s="81" t="s">
        <v>3754</v>
      </c>
    </row>
    <row r="1663" spans="1:7" x14ac:dyDescent="0.3">
      <c r="A1663" s="81" t="s">
        <v>5642</v>
      </c>
      <c r="B1663" s="81" t="s">
        <v>5641</v>
      </c>
      <c r="C1663" s="81" t="s">
        <v>16</v>
      </c>
      <c r="D1663" s="81" t="s">
        <v>5590</v>
      </c>
      <c r="E1663" s="81" t="s">
        <v>383</v>
      </c>
      <c r="F1663" s="81" t="s">
        <v>5643</v>
      </c>
      <c r="G1663" s="81" t="s">
        <v>3755</v>
      </c>
    </row>
    <row r="1664" spans="1:7" x14ac:dyDescent="0.3">
      <c r="A1664" s="81" t="s">
        <v>5642</v>
      </c>
      <c r="B1664" s="81" t="s">
        <v>5641</v>
      </c>
      <c r="C1664" s="81" t="s">
        <v>16</v>
      </c>
      <c r="D1664" s="81" t="s">
        <v>5590</v>
      </c>
      <c r="E1664" s="81" t="s">
        <v>373</v>
      </c>
      <c r="F1664" s="81" t="s">
        <v>5643</v>
      </c>
      <c r="G1664" s="81" t="s">
        <v>3756</v>
      </c>
    </row>
    <row r="1665" spans="1:7" x14ac:dyDescent="0.3">
      <c r="A1665" s="81" t="s">
        <v>5642</v>
      </c>
      <c r="B1665" s="81" t="s">
        <v>5641</v>
      </c>
      <c r="C1665" s="81" t="s">
        <v>16</v>
      </c>
      <c r="D1665" s="81" t="s">
        <v>5590</v>
      </c>
      <c r="E1665" s="81" t="s">
        <v>368</v>
      </c>
      <c r="F1665" s="81" t="s">
        <v>5643</v>
      </c>
      <c r="G1665" s="81" t="s">
        <v>3757</v>
      </c>
    </row>
    <row r="1666" spans="1:7" x14ac:dyDescent="0.3">
      <c r="A1666" s="81" t="s">
        <v>5642</v>
      </c>
      <c r="B1666" s="81" t="s">
        <v>5641</v>
      </c>
      <c r="C1666" s="81" t="s">
        <v>16</v>
      </c>
      <c r="D1666" s="81" t="s">
        <v>5590</v>
      </c>
      <c r="E1666" s="81" t="s">
        <v>372</v>
      </c>
      <c r="F1666" s="81" t="s">
        <v>5643</v>
      </c>
      <c r="G1666" s="81" t="s">
        <v>3758</v>
      </c>
    </row>
    <row r="1667" spans="1:7" x14ac:dyDescent="0.3">
      <c r="A1667" s="81" t="s">
        <v>5642</v>
      </c>
      <c r="B1667" s="81" t="s">
        <v>5641</v>
      </c>
      <c r="C1667" s="81" t="s">
        <v>16</v>
      </c>
      <c r="D1667" s="81" t="s">
        <v>5590</v>
      </c>
      <c r="E1667" s="81" t="s">
        <v>375</v>
      </c>
      <c r="F1667" s="81" t="s">
        <v>5643</v>
      </c>
      <c r="G1667" s="81" t="s">
        <v>3759</v>
      </c>
    </row>
    <row r="1668" spans="1:7" x14ac:dyDescent="0.3">
      <c r="A1668" s="81" t="s">
        <v>5642</v>
      </c>
      <c r="B1668" s="81" t="s">
        <v>5641</v>
      </c>
      <c r="C1668" s="81" t="s">
        <v>16</v>
      </c>
      <c r="D1668" s="81" t="s">
        <v>5590</v>
      </c>
      <c r="E1668" s="81" t="s">
        <v>380</v>
      </c>
      <c r="F1668" s="81" t="s">
        <v>5643</v>
      </c>
      <c r="G1668" s="81" t="s">
        <v>3760</v>
      </c>
    </row>
    <row r="1669" spans="1:7" x14ac:dyDescent="0.3">
      <c r="A1669" s="81" t="s">
        <v>5664</v>
      </c>
      <c r="B1669" s="81" t="s">
        <v>5641</v>
      </c>
      <c r="C1669" s="81" t="s">
        <v>20</v>
      </c>
      <c r="D1669" s="81" t="s">
        <v>5610</v>
      </c>
      <c r="E1669" s="81" t="s">
        <v>15</v>
      </c>
      <c r="F1669" s="81" t="s">
        <v>5665</v>
      </c>
      <c r="G1669" s="81" t="s">
        <v>855</v>
      </c>
    </row>
    <row r="1670" spans="1:7" x14ac:dyDescent="0.3">
      <c r="A1670" s="81" t="s">
        <v>5664</v>
      </c>
      <c r="B1670" s="81" t="s">
        <v>5641</v>
      </c>
      <c r="C1670" s="81" t="s">
        <v>16</v>
      </c>
      <c r="D1670" s="81" t="s">
        <v>5590</v>
      </c>
      <c r="E1670" s="81" t="s">
        <v>369</v>
      </c>
      <c r="F1670" s="81" t="s">
        <v>5665</v>
      </c>
      <c r="G1670" s="81" t="s">
        <v>3745</v>
      </c>
    </row>
    <row r="1671" spans="1:7" x14ac:dyDescent="0.3">
      <c r="A1671" s="81" t="s">
        <v>5664</v>
      </c>
      <c r="B1671" s="81" t="s">
        <v>5641</v>
      </c>
      <c r="C1671" s="81" t="s">
        <v>16</v>
      </c>
      <c r="D1671" s="81" t="s">
        <v>5590</v>
      </c>
      <c r="E1671" s="81" t="s">
        <v>382</v>
      </c>
      <c r="F1671" s="81" t="s">
        <v>5665</v>
      </c>
      <c r="G1671" s="81" t="s">
        <v>3746</v>
      </c>
    </row>
    <row r="1672" spans="1:7" x14ac:dyDescent="0.3">
      <c r="A1672" s="81" t="s">
        <v>5664</v>
      </c>
      <c r="B1672" s="81" t="s">
        <v>5641</v>
      </c>
      <c r="C1672" s="81" t="s">
        <v>16</v>
      </c>
      <c r="D1672" s="81" t="s">
        <v>5590</v>
      </c>
      <c r="E1672" s="81" t="s">
        <v>370</v>
      </c>
      <c r="F1672" s="81" t="s">
        <v>5665</v>
      </c>
      <c r="G1672" s="81" t="s">
        <v>3747</v>
      </c>
    </row>
    <row r="1673" spans="1:7" x14ac:dyDescent="0.3">
      <c r="A1673" s="81" t="s">
        <v>5664</v>
      </c>
      <c r="B1673" s="81" t="s">
        <v>5641</v>
      </c>
      <c r="C1673" s="81" t="s">
        <v>16</v>
      </c>
      <c r="D1673" s="81" t="s">
        <v>5590</v>
      </c>
      <c r="E1673" s="81" t="s">
        <v>378</v>
      </c>
      <c r="F1673" s="81" t="s">
        <v>5665</v>
      </c>
      <c r="G1673" s="81" t="s">
        <v>3748</v>
      </c>
    </row>
    <row r="1674" spans="1:7" x14ac:dyDescent="0.3">
      <c r="A1674" s="81" t="s">
        <v>5664</v>
      </c>
      <c r="B1674" s="81" t="s">
        <v>5641</v>
      </c>
      <c r="C1674" s="81" t="s">
        <v>16</v>
      </c>
      <c r="D1674" s="81" t="s">
        <v>5590</v>
      </c>
      <c r="E1674" s="81" t="s">
        <v>371</v>
      </c>
      <c r="F1674" s="81" t="s">
        <v>5665</v>
      </c>
      <c r="G1674" s="81" t="s">
        <v>3749</v>
      </c>
    </row>
    <row r="1675" spans="1:7" x14ac:dyDescent="0.3">
      <c r="A1675" s="81" t="s">
        <v>5664</v>
      </c>
      <c r="B1675" s="81" t="s">
        <v>5641</v>
      </c>
      <c r="C1675" s="81" t="s">
        <v>16</v>
      </c>
      <c r="D1675" s="81" t="s">
        <v>5590</v>
      </c>
      <c r="E1675" s="81" t="s">
        <v>376</v>
      </c>
      <c r="F1675" s="81" t="s">
        <v>5665</v>
      </c>
      <c r="G1675" s="81" t="s">
        <v>3750</v>
      </c>
    </row>
    <row r="1676" spans="1:7" x14ac:dyDescent="0.3">
      <c r="A1676" s="81" t="s">
        <v>5664</v>
      </c>
      <c r="B1676" s="81" t="s">
        <v>5641</v>
      </c>
      <c r="C1676" s="81" t="s">
        <v>16</v>
      </c>
      <c r="D1676" s="81" t="s">
        <v>5590</v>
      </c>
      <c r="E1676" s="81" t="s">
        <v>377</v>
      </c>
      <c r="F1676" s="81" t="s">
        <v>5665</v>
      </c>
      <c r="G1676" s="81" t="s">
        <v>3751</v>
      </c>
    </row>
    <row r="1677" spans="1:7" x14ac:dyDescent="0.3">
      <c r="A1677" s="81" t="s">
        <v>5664</v>
      </c>
      <c r="B1677" s="81" t="s">
        <v>5641</v>
      </c>
      <c r="C1677" s="81" t="s">
        <v>16</v>
      </c>
      <c r="D1677" s="81" t="s">
        <v>5590</v>
      </c>
      <c r="E1677" s="81" t="s">
        <v>381</v>
      </c>
      <c r="F1677" s="81" t="s">
        <v>5665</v>
      </c>
      <c r="G1677" s="81" t="s">
        <v>3752</v>
      </c>
    </row>
    <row r="1678" spans="1:7" x14ac:dyDescent="0.3">
      <c r="A1678" s="81" t="s">
        <v>5664</v>
      </c>
      <c r="B1678" s="81" t="s">
        <v>5641</v>
      </c>
      <c r="C1678" s="81" t="s">
        <v>16</v>
      </c>
      <c r="D1678" s="81" t="s">
        <v>5590</v>
      </c>
      <c r="E1678" s="81" t="s">
        <v>379</v>
      </c>
      <c r="F1678" s="81" t="s">
        <v>5665</v>
      </c>
      <c r="G1678" s="81" t="s">
        <v>3753</v>
      </c>
    </row>
    <row r="1679" spans="1:7" x14ac:dyDescent="0.3">
      <c r="A1679" s="81" t="s">
        <v>5664</v>
      </c>
      <c r="B1679" s="81" t="s">
        <v>5641</v>
      </c>
      <c r="C1679" s="81" t="s">
        <v>16</v>
      </c>
      <c r="D1679" s="81" t="s">
        <v>5590</v>
      </c>
      <c r="E1679" s="81" t="s">
        <v>374</v>
      </c>
      <c r="F1679" s="81" t="s">
        <v>5665</v>
      </c>
      <c r="G1679" s="81" t="s">
        <v>3754</v>
      </c>
    </row>
    <row r="1680" spans="1:7" x14ac:dyDescent="0.3">
      <c r="A1680" s="81" t="s">
        <v>5664</v>
      </c>
      <c r="B1680" s="81" t="s">
        <v>5641</v>
      </c>
      <c r="C1680" s="81" t="s">
        <v>16</v>
      </c>
      <c r="D1680" s="81" t="s">
        <v>5590</v>
      </c>
      <c r="E1680" s="81" t="s">
        <v>383</v>
      </c>
      <c r="F1680" s="81" t="s">
        <v>5665</v>
      </c>
      <c r="G1680" s="81" t="s">
        <v>3755</v>
      </c>
    </row>
    <row r="1681" spans="1:7" x14ac:dyDescent="0.3">
      <c r="A1681" s="81" t="s">
        <v>5664</v>
      </c>
      <c r="B1681" s="81" t="s">
        <v>5641</v>
      </c>
      <c r="C1681" s="81" t="s">
        <v>16</v>
      </c>
      <c r="D1681" s="81" t="s">
        <v>5590</v>
      </c>
      <c r="E1681" s="81" t="s">
        <v>373</v>
      </c>
      <c r="F1681" s="81" t="s">
        <v>5665</v>
      </c>
      <c r="G1681" s="81" t="s">
        <v>3756</v>
      </c>
    </row>
    <row r="1682" spans="1:7" x14ac:dyDescent="0.3">
      <c r="A1682" s="81" t="s">
        <v>5664</v>
      </c>
      <c r="B1682" s="81" t="s">
        <v>5641</v>
      </c>
      <c r="C1682" s="81" t="s">
        <v>16</v>
      </c>
      <c r="D1682" s="81" t="s">
        <v>5590</v>
      </c>
      <c r="E1682" s="81" t="s">
        <v>368</v>
      </c>
      <c r="F1682" s="81" t="s">
        <v>5665</v>
      </c>
      <c r="G1682" s="81" t="s">
        <v>3757</v>
      </c>
    </row>
    <row r="1683" spans="1:7" x14ac:dyDescent="0.3">
      <c r="A1683" s="81" t="s">
        <v>5664</v>
      </c>
      <c r="B1683" s="81" t="s">
        <v>5641</v>
      </c>
      <c r="C1683" s="81" t="s">
        <v>16</v>
      </c>
      <c r="D1683" s="81" t="s">
        <v>5590</v>
      </c>
      <c r="E1683" s="81" t="s">
        <v>372</v>
      </c>
      <c r="F1683" s="81" t="s">
        <v>5665</v>
      </c>
      <c r="G1683" s="81" t="s">
        <v>3758</v>
      </c>
    </row>
    <row r="1684" spans="1:7" x14ac:dyDescent="0.3">
      <c r="A1684" s="81" t="s">
        <v>5664</v>
      </c>
      <c r="B1684" s="81" t="s">
        <v>5641</v>
      </c>
      <c r="C1684" s="81" t="s">
        <v>16</v>
      </c>
      <c r="D1684" s="81" t="s">
        <v>5590</v>
      </c>
      <c r="E1684" s="81" t="s">
        <v>375</v>
      </c>
      <c r="F1684" s="81" t="s">
        <v>5665</v>
      </c>
      <c r="G1684" s="81" t="s">
        <v>3759</v>
      </c>
    </row>
    <row r="1685" spans="1:7" x14ac:dyDescent="0.3">
      <c r="A1685" s="81" t="s">
        <v>5664</v>
      </c>
      <c r="B1685" s="81" t="s">
        <v>5641</v>
      </c>
      <c r="C1685" s="81" t="s">
        <v>16</v>
      </c>
      <c r="D1685" s="81" t="s">
        <v>5590</v>
      </c>
      <c r="E1685" s="81" t="s">
        <v>380</v>
      </c>
      <c r="F1685" s="81" t="s">
        <v>5665</v>
      </c>
      <c r="G1685" s="81" t="s">
        <v>3760</v>
      </c>
    </row>
    <row r="1686" spans="1:7" x14ac:dyDescent="0.3">
      <c r="A1686" s="81" t="s">
        <v>5686</v>
      </c>
      <c r="B1686" s="81" t="s">
        <v>7428</v>
      </c>
      <c r="C1686" s="81" t="s">
        <v>20</v>
      </c>
      <c r="D1686" s="81" t="s">
        <v>5610</v>
      </c>
      <c r="E1686" s="81" t="s">
        <v>15</v>
      </c>
      <c r="F1686" s="81" t="s">
        <v>5687</v>
      </c>
      <c r="G1686" s="81" t="s">
        <v>855</v>
      </c>
    </row>
    <row r="1687" spans="1:7" x14ac:dyDescent="0.3">
      <c r="A1687" s="81" t="s">
        <v>5691</v>
      </c>
      <c r="B1687" s="81" t="s">
        <v>7428</v>
      </c>
      <c r="C1687" s="81" t="s">
        <v>20</v>
      </c>
      <c r="D1687" s="81" t="s">
        <v>5590</v>
      </c>
      <c r="E1687" s="81" t="s">
        <v>15</v>
      </c>
      <c r="F1687" s="81" t="s">
        <v>5692</v>
      </c>
      <c r="G1687" s="81">
        <v>0</v>
      </c>
    </row>
    <row r="1688" spans="1:7" x14ac:dyDescent="0.3">
      <c r="A1688" s="81" t="s">
        <v>5696</v>
      </c>
      <c r="B1688" s="81" t="s">
        <v>7428</v>
      </c>
      <c r="C1688" s="81" t="s">
        <v>20</v>
      </c>
      <c r="D1688" s="81" t="s">
        <v>5590</v>
      </c>
      <c r="E1688" s="81" t="s">
        <v>15</v>
      </c>
      <c r="F1688" s="81" t="s">
        <v>5697</v>
      </c>
      <c r="G1688" s="81">
        <v>0</v>
      </c>
    </row>
    <row r="1689" spans="1:7" x14ac:dyDescent="0.3">
      <c r="A1689" s="81" t="s">
        <v>5747</v>
      </c>
      <c r="B1689" s="81" t="s">
        <v>4099</v>
      </c>
      <c r="C1689" s="81" t="s">
        <v>20</v>
      </c>
      <c r="D1689" s="81" t="s">
        <v>5590</v>
      </c>
      <c r="E1689" s="81" t="s">
        <v>15</v>
      </c>
      <c r="F1689" s="81" t="s">
        <v>5748</v>
      </c>
      <c r="G1689" s="81">
        <v>0</v>
      </c>
    </row>
    <row r="1690" spans="1:7" x14ac:dyDescent="0.3">
      <c r="A1690" s="81" t="s">
        <v>7345</v>
      </c>
      <c r="B1690" s="81" t="s">
        <v>6259</v>
      </c>
      <c r="C1690" s="81" t="s">
        <v>20</v>
      </c>
      <c r="D1690" s="81" t="s">
        <v>5590</v>
      </c>
      <c r="E1690" s="81" t="s">
        <v>15</v>
      </c>
      <c r="F1690" s="81" t="s">
        <v>6378</v>
      </c>
      <c r="G1690" s="81">
        <v>0</v>
      </c>
    </row>
    <row r="1691" spans="1:7" x14ac:dyDescent="0.3">
      <c r="A1691" s="81" t="s">
        <v>7345</v>
      </c>
      <c r="B1691" s="81" t="s">
        <v>6259</v>
      </c>
      <c r="C1691" s="81" t="s">
        <v>20</v>
      </c>
      <c r="D1691" s="81" t="s">
        <v>5610</v>
      </c>
      <c r="E1691" s="81" t="s">
        <v>15</v>
      </c>
      <c r="F1691" s="81" t="s">
        <v>6258</v>
      </c>
      <c r="G1691" s="81" t="s">
        <v>855</v>
      </c>
    </row>
    <row r="1692" spans="1:7" x14ac:dyDescent="0.3">
      <c r="A1692" s="81" t="s">
        <v>7345</v>
      </c>
      <c r="B1692" s="81" t="s">
        <v>6259</v>
      </c>
      <c r="C1692" s="81" t="s">
        <v>20</v>
      </c>
      <c r="D1692" s="81" t="s">
        <v>5610</v>
      </c>
      <c r="E1692" s="81" t="s">
        <v>15</v>
      </c>
      <c r="F1692" s="81" t="s">
        <v>6357</v>
      </c>
      <c r="G1692" s="81" t="s">
        <v>855</v>
      </c>
    </row>
    <row r="1693" spans="1:7" x14ac:dyDescent="0.3">
      <c r="A1693" s="81" t="s">
        <v>7345</v>
      </c>
      <c r="B1693" s="81" t="s">
        <v>6259</v>
      </c>
      <c r="C1693" s="81" t="s">
        <v>20</v>
      </c>
      <c r="D1693" s="81" t="s">
        <v>5610</v>
      </c>
      <c r="E1693" s="81" t="s">
        <v>15</v>
      </c>
      <c r="F1693" s="81" t="s">
        <v>6383</v>
      </c>
      <c r="G1693" s="81" t="s">
        <v>855</v>
      </c>
    </row>
    <row r="1694" spans="1:7" x14ac:dyDescent="0.3">
      <c r="A1694" s="81" t="s">
        <v>7345</v>
      </c>
      <c r="B1694" s="81" t="s">
        <v>6259</v>
      </c>
      <c r="C1694" s="81" t="s">
        <v>16</v>
      </c>
      <c r="D1694" s="81" t="s">
        <v>5590</v>
      </c>
      <c r="E1694" s="81" t="s">
        <v>376</v>
      </c>
      <c r="F1694" s="81" t="s">
        <v>6258</v>
      </c>
      <c r="G1694" s="81" t="s">
        <v>3750</v>
      </c>
    </row>
    <row r="1695" spans="1:7" x14ac:dyDescent="0.3">
      <c r="A1695" s="81" t="s">
        <v>7345</v>
      </c>
      <c r="B1695" s="81" t="s">
        <v>6259</v>
      </c>
      <c r="C1695" s="81" t="s">
        <v>16</v>
      </c>
      <c r="D1695" s="81" t="s">
        <v>5590</v>
      </c>
      <c r="E1695" s="81" t="s">
        <v>381</v>
      </c>
      <c r="F1695" s="81" t="s">
        <v>6258</v>
      </c>
      <c r="G1695" s="81" t="s">
        <v>3752</v>
      </c>
    </row>
    <row r="1696" spans="1:7" x14ac:dyDescent="0.3">
      <c r="A1696" s="81" t="s">
        <v>7345</v>
      </c>
      <c r="B1696" s="81" t="s">
        <v>6259</v>
      </c>
      <c r="C1696" s="81" t="s">
        <v>16</v>
      </c>
      <c r="D1696" s="81" t="s">
        <v>5590</v>
      </c>
      <c r="E1696" s="81" t="s">
        <v>381</v>
      </c>
      <c r="F1696" s="81" t="s">
        <v>6357</v>
      </c>
      <c r="G1696" s="81" t="s">
        <v>3752</v>
      </c>
    </row>
    <row r="1697" spans="1:7" x14ac:dyDescent="0.3">
      <c r="A1697" s="81" t="s">
        <v>7345</v>
      </c>
      <c r="B1697" s="81" t="s">
        <v>6259</v>
      </c>
      <c r="C1697" s="81" t="s">
        <v>16</v>
      </c>
      <c r="D1697" s="81" t="s">
        <v>5590</v>
      </c>
      <c r="E1697" s="81" t="s">
        <v>373</v>
      </c>
      <c r="F1697" s="81" t="s">
        <v>6258</v>
      </c>
      <c r="G1697" s="81" t="s">
        <v>3756</v>
      </c>
    </row>
    <row r="1698" spans="1:7" x14ac:dyDescent="0.3">
      <c r="A1698" s="81" t="s">
        <v>7345</v>
      </c>
      <c r="B1698" s="81" t="s">
        <v>6259</v>
      </c>
      <c r="C1698" s="81" t="s">
        <v>16</v>
      </c>
      <c r="D1698" s="81" t="s">
        <v>5590</v>
      </c>
      <c r="E1698" s="81" t="s">
        <v>373</v>
      </c>
      <c r="F1698" s="81" t="s">
        <v>6357</v>
      </c>
      <c r="G1698" s="81" t="s">
        <v>3756</v>
      </c>
    </row>
    <row r="1699" spans="1:7" x14ac:dyDescent="0.3">
      <c r="A1699" s="81" t="s">
        <v>7345</v>
      </c>
      <c r="B1699" s="81" t="s">
        <v>6259</v>
      </c>
      <c r="C1699" s="81" t="s">
        <v>16</v>
      </c>
      <c r="D1699" s="81" t="s">
        <v>5590</v>
      </c>
      <c r="E1699" s="81" t="s">
        <v>373</v>
      </c>
      <c r="F1699" s="81" t="s">
        <v>6383</v>
      </c>
      <c r="G1699" s="81" t="s">
        <v>3756</v>
      </c>
    </row>
    <row r="1700" spans="1:7" x14ac:dyDescent="0.3">
      <c r="A1700" s="81" t="s">
        <v>7345</v>
      </c>
      <c r="B1700" s="81" t="s">
        <v>6259</v>
      </c>
      <c r="C1700" s="81" t="s">
        <v>16</v>
      </c>
      <c r="D1700" s="81" t="s">
        <v>5590</v>
      </c>
      <c r="E1700" s="81" t="s">
        <v>372</v>
      </c>
      <c r="F1700" s="81" t="s">
        <v>6258</v>
      </c>
      <c r="G1700" s="81" t="s">
        <v>3758</v>
      </c>
    </row>
    <row r="1701" spans="1:7" x14ac:dyDescent="0.3">
      <c r="A1701" s="81" t="s">
        <v>7345</v>
      </c>
      <c r="B1701" s="81" t="s">
        <v>6259</v>
      </c>
      <c r="C1701" s="81" t="s">
        <v>16</v>
      </c>
      <c r="D1701" s="81" t="s">
        <v>5590</v>
      </c>
      <c r="E1701" s="81" t="s">
        <v>372</v>
      </c>
      <c r="F1701" s="81" t="s">
        <v>6357</v>
      </c>
      <c r="G1701" s="81" t="s">
        <v>3758</v>
      </c>
    </row>
    <row r="1702" spans="1:7" x14ac:dyDescent="0.3">
      <c r="A1702" s="81" t="s">
        <v>7345</v>
      </c>
      <c r="B1702" s="81" t="s">
        <v>6259</v>
      </c>
      <c r="C1702" s="81" t="s">
        <v>16</v>
      </c>
      <c r="D1702" s="81" t="s">
        <v>5590</v>
      </c>
      <c r="E1702" s="81" t="s">
        <v>372</v>
      </c>
      <c r="F1702" s="81" t="s">
        <v>6383</v>
      </c>
      <c r="G1702" s="81" t="s">
        <v>3758</v>
      </c>
    </row>
    <row r="1703" spans="1:7" x14ac:dyDescent="0.3">
      <c r="A1703" s="81" t="s">
        <v>7345</v>
      </c>
      <c r="B1703" s="81" t="s">
        <v>6259</v>
      </c>
      <c r="C1703" s="81" t="s">
        <v>16</v>
      </c>
      <c r="D1703" s="81" t="s">
        <v>5590</v>
      </c>
      <c r="E1703" s="81" t="s">
        <v>375</v>
      </c>
      <c r="F1703" s="81" t="s">
        <v>6258</v>
      </c>
      <c r="G1703" s="81" t="s">
        <v>3759</v>
      </c>
    </row>
    <row r="1704" spans="1:7" x14ac:dyDescent="0.3">
      <c r="A1704" s="81" t="s">
        <v>7345</v>
      </c>
      <c r="B1704" s="81" t="s">
        <v>6259</v>
      </c>
      <c r="C1704" s="81" t="s">
        <v>16</v>
      </c>
      <c r="D1704" s="81" t="s">
        <v>5590</v>
      </c>
      <c r="E1704" s="81" t="s">
        <v>375</v>
      </c>
      <c r="F1704" s="81" t="s">
        <v>6357</v>
      </c>
      <c r="G1704" s="81" t="s">
        <v>3759</v>
      </c>
    </row>
    <row r="1705" spans="1:7" x14ac:dyDescent="0.3">
      <c r="A1705" s="81" t="s">
        <v>7345</v>
      </c>
      <c r="B1705" s="81" t="s">
        <v>6259</v>
      </c>
      <c r="C1705" s="81" t="s">
        <v>16</v>
      </c>
      <c r="D1705" s="81" t="s">
        <v>5590</v>
      </c>
      <c r="E1705" s="81" t="s">
        <v>375</v>
      </c>
      <c r="F1705" s="81" t="s">
        <v>6383</v>
      </c>
      <c r="G1705" s="81" t="s">
        <v>3759</v>
      </c>
    </row>
    <row r="1706" spans="1:7" x14ac:dyDescent="0.3">
      <c r="A1706" s="81" t="s">
        <v>6285</v>
      </c>
      <c r="B1706" s="81" t="s">
        <v>6286</v>
      </c>
      <c r="C1706" s="81" t="s">
        <v>20</v>
      </c>
      <c r="D1706" s="81" t="s">
        <v>5610</v>
      </c>
      <c r="E1706" s="81" t="s">
        <v>15</v>
      </c>
      <c r="F1706" s="81" t="s">
        <v>6287</v>
      </c>
      <c r="G1706" s="81" t="s">
        <v>855</v>
      </c>
    </row>
    <row r="1707" spans="1:7" x14ac:dyDescent="0.3">
      <c r="A1707" s="81" t="s">
        <v>6285</v>
      </c>
      <c r="B1707" s="81" t="s">
        <v>6286</v>
      </c>
      <c r="C1707" s="81" t="s">
        <v>16</v>
      </c>
      <c r="D1707" s="81" t="s">
        <v>5590</v>
      </c>
      <c r="E1707" s="81" t="s">
        <v>369</v>
      </c>
      <c r="F1707" s="81" t="s">
        <v>6287</v>
      </c>
      <c r="G1707" s="81" t="s">
        <v>3745</v>
      </c>
    </row>
    <row r="1708" spans="1:7" x14ac:dyDescent="0.3">
      <c r="A1708" s="81" t="s">
        <v>6285</v>
      </c>
      <c r="B1708" s="81" t="s">
        <v>6286</v>
      </c>
      <c r="C1708" s="81" t="s">
        <v>16</v>
      </c>
      <c r="D1708" s="81" t="s">
        <v>5590</v>
      </c>
      <c r="E1708" s="81" t="s">
        <v>382</v>
      </c>
      <c r="F1708" s="81" t="s">
        <v>6287</v>
      </c>
      <c r="G1708" s="81" t="s">
        <v>3746</v>
      </c>
    </row>
    <row r="1709" spans="1:7" x14ac:dyDescent="0.3">
      <c r="A1709" s="81" t="s">
        <v>6285</v>
      </c>
      <c r="B1709" s="81" t="s">
        <v>6286</v>
      </c>
      <c r="C1709" s="81" t="s">
        <v>16</v>
      </c>
      <c r="D1709" s="81" t="s">
        <v>5590</v>
      </c>
      <c r="E1709" s="81" t="s">
        <v>370</v>
      </c>
      <c r="F1709" s="81" t="s">
        <v>6287</v>
      </c>
      <c r="G1709" s="81" t="s">
        <v>3747</v>
      </c>
    </row>
    <row r="1710" spans="1:7" x14ac:dyDescent="0.3">
      <c r="A1710" s="81" t="s">
        <v>6285</v>
      </c>
      <c r="B1710" s="81" t="s">
        <v>6286</v>
      </c>
      <c r="C1710" s="81" t="s">
        <v>16</v>
      </c>
      <c r="D1710" s="81" t="s">
        <v>5590</v>
      </c>
      <c r="E1710" s="81" t="s">
        <v>378</v>
      </c>
      <c r="F1710" s="81" t="s">
        <v>6287</v>
      </c>
      <c r="G1710" s="81" t="s">
        <v>3748</v>
      </c>
    </row>
    <row r="1711" spans="1:7" x14ac:dyDescent="0.3">
      <c r="A1711" s="81" t="s">
        <v>6285</v>
      </c>
      <c r="B1711" s="81" t="s">
        <v>6286</v>
      </c>
      <c r="C1711" s="81" t="s">
        <v>16</v>
      </c>
      <c r="D1711" s="81" t="s">
        <v>5590</v>
      </c>
      <c r="E1711" s="81" t="s">
        <v>371</v>
      </c>
      <c r="F1711" s="81" t="s">
        <v>6287</v>
      </c>
      <c r="G1711" s="81" t="s">
        <v>3749</v>
      </c>
    </row>
    <row r="1712" spans="1:7" x14ac:dyDescent="0.3">
      <c r="A1712" s="81" t="s">
        <v>6285</v>
      </c>
      <c r="B1712" s="81" t="s">
        <v>6286</v>
      </c>
      <c r="C1712" s="81" t="s">
        <v>16</v>
      </c>
      <c r="D1712" s="81" t="s">
        <v>5590</v>
      </c>
      <c r="E1712" s="81" t="s">
        <v>376</v>
      </c>
      <c r="F1712" s="81" t="s">
        <v>6287</v>
      </c>
      <c r="G1712" s="81" t="s">
        <v>3750</v>
      </c>
    </row>
    <row r="1713" spans="1:7" x14ac:dyDescent="0.3">
      <c r="A1713" s="81" t="s">
        <v>6285</v>
      </c>
      <c r="B1713" s="81" t="s">
        <v>6286</v>
      </c>
      <c r="C1713" s="81" t="s">
        <v>16</v>
      </c>
      <c r="D1713" s="81" t="s">
        <v>5590</v>
      </c>
      <c r="E1713" s="81" t="s">
        <v>377</v>
      </c>
      <c r="F1713" s="81" t="s">
        <v>6287</v>
      </c>
      <c r="G1713" s="81" t="s">
        <v>3751</v>
      </c>
    </row>
    <row r="1714" spans="1:7" x14ac:dyDescent="0.3">
      <c r="A1714" s="81" t="s">
        <v>6285</v>
      </c>
      <c r="B1714" s="81" t="s">
        <v>6286</v>
      </c>
      <c r="C1714" s="81" t="s">
        <v>16</v>
      </c>
      <c r="D1714" s="81" t="s">
        <v>5590</v>
      </c>
      <c r="E1714" s="81" t="s">
        <v>381</v>
      </c>
      <c r="F1714" s="81" t="s">
        <v>6287</v>
      </c>
      <c r="G1714" s="81" t="s">
        <v>3752</v>
      </c>
    </row>
    <row r="1715" spans="1:7" x14ac:dyDescent="0.3">
      <c r="A1715" s="81" t="s">
        <v>6285</v>
      </c>
      <c r="B1715" s="81" t="s">
        <v>6286</v>
      </c>
      <c r="C1715" s="81" t="s">
        <v>16</v>
      </c>
      <c r="D1715" s="81" t="s">
        <v>5590</v>
      </c>
      <c r="E1715" s="81" t="s">
        <v>379</v>
      </c>
      <c r="F1715" s="81" t="s">
        <v>6287</v>
      </c>
      <c r="G1715" s="81" t="s">
        <v>3753</v>
      </c>
    </row>
    <row r="1716" spans="1:7" x14ac:dyDescent="0.3">
      <c r="A1716" s="81" t="s">
        <v>6285</v>
      </c>
      <c r="B1716" s="81" t="s">
        <v>6286</v>
      </c>
      <c r="C1716" s="81" t="s">
        <v>16</v>
      </c>
      <c r="D1716" s="81" t="s">
        <v>5590</v>
      </c>
      <c r="E1716" s="81" t="s">
        <v>374</v>
      </c>
      <c r="F1716" s="81" t="s">
        <v>6287</v>
      </c>
      <c r="G1716" s="81" t="s">
        <v>3754</v>
      </c>
    </row>
    <row r="1717" spans="1:7" x14ac:dyDescent="0.3">
      <c r="A1717" s="81" t="s">
        <v>6285</v>
      </c>
      <c r="B1717" s="81" t="s">
        <v>6286</v>
      </c>
      <c r="C1717" s="81" t="s">
        <v>16</v>
      </c>
      <c r="D1717" s="81" t="s">
        <v>5590</v>
      </c>
      <c r="E1717" s="81" t="s">
        <v>383</v>
      </c>
      <c r="F1717" s="81" t="s">
        <v>6287</v>
      </c>
      <c r="G1717" s="81" t="s">
        <v>3755</v>
      </c>
    </row>
    <row r="1718" spans="1:7" x14ac:dyDescent="0.3">
      <c r="A1718" s="81" t="s">
        <v>6285</v>
      </c>
      <c r="B1718" s="81" t="s">
        <v>6286</v>
      </c>
      <c r="C1718" s="81" t="s">
        <v>16</v>
      </c>
      <c r="D1718" s="81" t="s">
        <v>5590</v>
      </c>
      <c r="E1718" s="81" t="s">
        <v>373</v>
      </c>
      <c r="F1718" s="81" t="s">
        <v>6287</v>
      </c>
      <c r="G1718" s="81" t="s">
        <v>3756</v>
      </c>
    </row>
    <row r="1719" spans="1:7" x14ac:dyDescent="0.3">
      <c r="A1719" s="81" t="s">
        <v>6285</v>
      </c>
      <c r="B1719" s="81" t="s">
        <v>6286</v>
      </c>
      <c r="C1719" s="81" t="s">
        <v>16</v>
      </c>
      <c r="D1719" s="81" t="s">
        <v>5590</v>
      </c>
      <c r="E1719" s="81" t="s">
        <v>368</v>
      </c>
      <c r="F1719" s="81" t="s">
        <v>6287</v>
      </c>
      <c r="G1719" s="81" t="s">
        <v>3757</v>
      </c>
    </row>
    <row r="1720" spans="1:7" x14ac:dyDescent="0.3">
      <c r="A1720" s="81" t="s">
        <v>6285</v>
      </c>
      <c r="B1720" s="81" t="s">
        <v>6286</v>
      </c>
      <c r="C1720" s="81" t="s">
        <v>16</v>
      </c>
      <c r="D1720" s="81" t="s">
        <v>5590</v>
      </c>
      <c r="E1720" s="81" t="s">
        <v>372</v>
      </c>
      <c r="F1720" s="81" t="s">
        <v>6287</v>
      </c>
      <c r="G1720" s="81" t="s">
        <v>3758</v>
      </c>
    </row>
    <row r="1721" spans="1:7" x14ac:dyDescent="0.3">
      <c r="A1721" s="81" t="s">
        <v>6285</v>
      </c>
      <c r="B1721" s="81" t="s">
        <v>6286</v>
      </c>
      <c r="C1721" s="81" t="s">
        <v>16</v>
      </c>
      <c r="D1721" s="81" t="s">
        <v>5590</v>
      </c>
      <c r="E1721" s="81" t="s">
        <v>375</v>
      </c>
      <c r="F1721" s="81" t="s">
        <v>6287</v>
      </c>
      <c r="G1721" s="81" t="s">
        <v>3759</v>
      </c>
    </row>
    <row r="1722" spans="1:7" x14ac:dyDescent="0.3">
      <c r="A1722" s="81" t="s">
        <v>6285</v>
      </c>
      <c r="B1722" s="81" t="s">
        <v>6286</v>
      </c>
      <c r="C1722" s="81" t="s">
        <v>16</v>
      </c>
      <c r="D1722" s="81" t="s">
        <v>5590</v>
      </c>
      <c r="E1722" s="81" t="s">
        <v>380</v>
      </c>
      <c r="F1722" s="81" t="s">
        <v>6287</v>
      </c>
      <c r="G1722" s="81" t="s">
        <v>3760</v>
      </c>
    </row>
    <row r="1723" spans="1:7" x14ac:dyDescent="0.3">
      <c r="A1723" s="81" t="s">
        <v>6400</v>
      </c>
      <c r="B1723" s="81" t="s">
        <v>6401</v>
      </c>
      <c r="C1723" s="81" t="s">
        <v>20</v>
      </c>
      <c r="D1723" s="81" t="s">
        <v>5610</v>
      </c>
      <c r="E1723" s="81" t="s">
        <v>15</v>
      </c>
      <c r="F1723" s="81" t="s">
        <v>6402</v>
      </c>
      <c r="G1723" s="81" t="s">
        <v>855</v>
      </c>
    </row>
    <row r="1724" spans="1:7" x14ac:dyDescent="0.3">
      <c r="A1724" s="81" t="s">
        <v>6400</v>
      </c>
      <c r="B1724" s="81" t="s">
        <v>6401</v>
      </c>
      <c r="C1724" s="81" t="s">
        <v>16</v>
      </c>
      <c r="D1724" s="81" t="s">
        <v>5590</v>
      </c>
      <c r="E1724" s="81" t="s">
        <v>383</v>
      </c>
      <c r="F1724" s="81" t="s">
        <v>6402</v>
      </c>
      <c r="G1724" s="81" t="s">
        <v>3755</v>
      </c>
    </row>
    <row r="1725" spans="1:7" x14ac:dyDescent="0.3">
      <c r="A1725" s="81" t="s">
        <v>6400</v>
      </c>
      <c r="B1725" s="81" t="s">
        <v>6401</v>
      </c>
      <c r="C1725" s="81" t="s">
        <v>16</v>
      </c>
      <c r="D1725" s="81" t="s">
        <v>5590</v>
      </c>
      <c r="E1725" s="81" t="s">
        <v>372</v>
      </c>
      <c r="F1725" s="81" t="s">
        <v>6402</v>
      </c>
      <c r="G1725" s="81" t="s">
        <v>3758</v>
      </c>
    </row>
    <row r="1726" spans="1:7" x14ac:dyDescent="0.3">
      <c r="A1726" s="81" t="s">
        <v>6400</v>
      </c>
      <c r="B1726" s="81" t="s">
        <v>6401</v>
      </c>
      <c r="C1726" s="81" t="s">
        <v>16</v>
      </c>
      <c r="D1726" s="81" t="s">
        <v>5590</v>
      </c>
      <c r="E1726" s="81" t="s">
        <v>375</v>
      </c>
      <c r="F1726" s="81" t="s">
        <v>6402</v>
      </c>
      <c r="G1726" s="81" t="s">
        <v>3759</v>
      </c>
    </row>
    <row r="1727" spans="1:7" x14ac:dyDescent="0.3">
      <c r="A1727" s="81" t="s">
        <v>6400</v>
      </c>
      <c r="B1727" s="81" t="s">
        <v>6401</v>
      </c>
      <c r="C1727" s="81" t="s">
        <v>16</v>
      </c>
      <c r="D1727" s="81" t="s">
        <v>5590</v>
      </c>
      <c r="E1727" s="81" t="s">
        <v>380</v>
      </c>
      <c r="F1727" s="81" t="s">
        <v>6402</v>
      </c>
      <c r="G1727" s="81" t="s">
        <v>3760</v>
      </c>
    </row>
    <row r="1728" spans="1:7" x14ac:dyDescent="0.3">
      <c r="A1728" s="81" t="s">
        <v>7407</v>
      </c>
      <c r="B1728" s="81" t="s">
        <v>3770</v>
      </c>
      <c r="C1728" s="81" t="s">
        <v>20</v>
      </c>
      <c r="D1728" s="81" t="s">
        <v>5610</v>
      </c>
      <c r="E1728" s="81" t="s">
        <v>15</v>
      </c>
      <c r="F1728" s="81" t="s">
        <v>6424</v>
      </c>
      <c r="G1728" s="81" t="s">
        <v>855</v>
      </c>
    </row>
    <row r="1729" spans="1:7" x14ac:dyDescent="0.3">
      <c r="A1729" s="81" t="s">
        <v>7407</v>
      </c>
      <c r="B1729" s="81" t="s">
        <v>3770</v>
      </c>
      <c r="C1729" s="81" t="s">
        <v>16</v>
      </c>
      <c r="D1729" s="81" t="s">
        <v>5590</v>
      </c>
      <c r="E1729" s="81" t="s">
        <v>369</v>
      </c>
      <c r="F1729" s="81" t="s">
        <v>6424</v>
      </c>
      <c r="G1729" s="81" t="s">
        <v>3745</v>
      </c>
    </row>
    <row r="1730" spans="1:7" x14ac:dyDescent="0.3">
      <c r="A1730" s="81" t="s">
        <v>7407</v>
      </c>
      <c r="B1730" s="81" t="s">
        <v>3770</v>
      </c>
      <c r="C1730" s="81" t="s">
        <v>16</v>
      </c>
      <c r="D1730" s="81" t="s">
        <v>5590</v>
      </c>
      <c r="E1730" s="81" t="s">
        <v>382</v>
      </c>
      <c r="F1730" s="81" t="s">
        <v>6424</v>
      </c>
      <c r="G1730" s="81" t="s">
        <v>3746</v>
      </c>
    </row>
    <row r="1731" spans="1:7" x14ac:dyDescent="0.3">
      <c r="A1731" s="81" t="s">
        <v>7407</v>
      </c>
      <c r="B1731" s="81" t="s">
        <v>3770</v>
      </c>
      <c r="C1731" s="81" t="s">
        <v>16</v>
      </c>
      <c r="D1731" s="81" t="s">
        <v>5590</v>
      </c>
      <c r="E1731" s="81" t="s">
        <v>370</v>
      </c>
      <c r="F1731" s="81" t="s">
        <v>6424</v>
      </c>
      <c r="G1731" s="81" t="s">
        <v>3747</v>
      </c>
    </row>
    <row r="1732" spans="1:7" x14ac:dyDescent="0.3">
      <c r="A1732" s="81" t="s">
        <v>7407</v>
      </c>
      <c r="B1732" s="81" t="s">
        <v>3770</v>
      </c>
      <c r="C1732" s="81" t="s">
        <v>16</v>
      </c>
      <c r="D1732" s="81" t="s">
        <v>5590</v>
      </c>
      <c r="E1732" s="81" t="s">
        <v>378</v>
      </c>
      <c r="F1732" s="81" t="s">
        <v>6424</v>
      </c>
      <c r="G1732" s="81" t="s">
        <v>3748</v>
      </c>
    </row>
    <row r="1733" spans="1:7" x14ac:dyDescent="0.3">
      <c r="A1733" s="81" t="s">
        <v>7407</v>
      </c>
      <c r="B1733" s="81" t="s">
        <v>3770</v>
      </c>
      <c r="C1733" s="81" t="s">
        <v>16</v>
      </c>
      <c r="D1733" s="81" t="s">
        <v>5590</v>
      </c>
      <c r="E1733" s="81" t="s">
        <v>371</v>
      </c>
      <c r="F1733" s="81" t="s">
        <v>6424</v>
      </c>
      <c r="G1733" s="81" t="s">
        <v>3749</v>
      </c>
    </row>
    <row r="1734" spans="1:7" x14ac:dyDescent="0.3">
      <c r="A1734" s="81" t="s">
        <v>7407</v>
      </c>
      <c r="B1734" s="81" t="s">
        <v>3770</v>
      </c>
      <c r="C1734" s="81" t="s">
        <v>16</v>
      </c>
      <c r="D1734" s="81" t="s">
        <v>5590</v>
      </c>
      <c r="E1734" s="81" t="s">
        <v>376</v>
      </c>
      <c r="F1734" s="81" t="s">
        <v>6424</v>
      </c>
      <c r="G1734" s="81" t="s">
        <v>3750</v>
      </c>
    </row>
    <row r="1735" spans="1:7" x14ac:dyDescent="0.3">
      <c r="A1735" s="81" t="s">
        <v>7407</v>
      </c>
      <c r="B1735" s="81" t="s">
        <v>3770</v>
      </c>
      <c r="C1735" s="81" t="s">
        <v>16</v>
      </c>
      <c r="D1735" s="81" t="s">
        <v>5590</v>
      </c>
      <c r="E1735" s="81" t="s">
        <v>377</v>
      </c>
      <c r="F1735" s="81" t="s">
        <v>6424</v>
      </c>
      <c r="G1735" s="81" t="s">
        <v>3751</v>
      </c>
    </row>
    <row r="1736" spans="1:7" x14ac:dyDescent="0.3">
      <c r="A1736" s="81" t="s">
        <v>7407</v>
      </c>
      <c r="B1736" s="81" t="s">
        <v>3770</v>
      </c>
      <c r="C1736" s="81" t="s">
        <v>16</v>
      </c>
      <c r="D1736" s="81" t="s">
        <v>5590</v>
      </c>
      <c r="E1736" s="81" t="s">
        <v>381</v>
      </c>
      <c r="F1736" s="81" t="s">
        <v>6424</v>
      </c>
      <c r="G1736" s="81" t="s">
        <v>3752</v>
      </c>
    </row>
    <row r="1737" spans="1:7" x14ac:dyDescent="0.3">
      <c r="A1737" s="81" t="s">
        <v>7407</v>
      </c>
      <c r="B1737" s="81" t="s">
        <v>3770</v>
      </c>
      <c r="C1737" s="81" t="s">
        <v>16</v>
      </c>
      <c r="D1737" s="81" t="s">
        <v>5590</v>
      </c>
      <c r="E1737" s="81" t="s">
        <v>379</v>
      </c>
      <c r="F1737" s="81" t="s">
        <v>6424</v>
      </c>
      <c r="G1737" s="81" t="s">
        <v>3753</v>
      </c>
    </row>
    <row r="1738" spans="1:7" x14ac:dyDescent="0.3">
      <c r="A1738" s="81" t="s">
        <v>7407</v>
      </c>
      <c r="B1738" s="81" t="s">
        <v>3770</v>
      </c>
      <c r="C1738" s="81" t="s">
        <v>16</v>
      </c>
      <c r="D1738" s="81" t="s">
        <v>5590</v>
      </c>
      <c r="E1738" s="81" t="s">
        <v>374</v>
      </c>
      <c r="F1738" s="81" t="s">
        <v>6424</v>
      </c>
      <c r="G1738" s="81" t="s">
        <v>3754</v>
      </c>
    </row>
    <row r="1739" spans="1:7" x14ac:dyDescent="0.3">
      <c r="A1739" s="81" t="s">
        <v>7407</v>
      </c>
      <c r="B1739" s="81" t="s">
        <v>3770</v>
      </c>
      <c r="C1739" s="81" t="s">
        <v>16</v>
      </c>
      <c r="D1739" s="81" t="s">
        <v>5590</v>
      </c>
      <c r="E1739" s="81" t="s">
        <v>383</v>
      </c>
      <c r="F1739" s="81" t="s">
        <v>6424</v>
      </c>
      <c r="G1739" s="81" t="s">
        <v>3755</v>
      </c>
    </row>
    <row r="1740" spans="1:7" x14ac:dyDescent="0.3">
      <c r="A1740" s="81" t="s">
        <v>7407</v>
      </c>
      <c r="B1740" s="81" t="s">
        <v>3770</v>
      </c>
      <c r="C1740" s="81" t="s">
        <v>16</v>
      </c>
      <c r="D1740" s="81" t="s">
        <v>5590</v>
      </c>
      <c r="E1740" s="81" t="s">
        <v>373</v>
      </c>
      <c r="F1740" s="81" t="s">
        <v>6424</v>
      </c>
      <c r="G1740" s="81" t="s">
        <v>3756</v>
      </c>
    </row>
    <row r="1741" spans="1:7" x14ac:dyDescent="0.3">
      <c r="A1741" s="81" t="s">
        <v>7407</v>
      </c>
      <c r="B1741" s="81" t="s">
        <v>3770</v>
      </c>
      <c r="C1741" s="81" t="s">
        <v>16</v>
      </c>
      <c r="D1741" s="81" t="s">
        <v>5590</v>
      </c>
      <c r="E1741" s="81" t="s">
        <v>368</v>
      </c>
      <c r="F1741" s="81" t="s">
        <v>6424</v>
      </c>
      <c r="G1741" s="81" t="s">
        <v>3757</v>
      </c>
    </row>
    <row r="1742" spans="1:7" x14ac:dyDescent="0.3">
      <c r="A1742" s="81" t="s">
        <v>7407</v>
      </c>
      <c r="B1742" s="81" t="s">
        <v>3770</v>
      </c>
      <c r="C1742" s="81" t="s">
        <v>16</v>
      </c>
      <c r="D1742" s="81" t="s">
        <v>5590</v>
      </c>
      <c r="E1742" s="81" t="s">
        <v>372</v>
      </c>
      <c r="F1742" s="81" t="s">
        <v>6424</v>
      </c>
      <c r="G1742" s="81" t="s">
        <v>3758</v>
      </c>
    </row>
    <row r="1743" spans="1:7" x14ac:dyDescent="0.3">
      <c r="A1743" s="81" t="s">
        <v>7407</v>
      </c>
      <c r="B1743" s="81" t="s">
        <v>3770</v>
      </c>
      <c r="C1743" s="81" t="s">
        <v>16</v>
      </c>
      <c r="D1743" s="81" t="s">
        <v>5590</v>
      </c>
      <c r="E1743" s="81" t="s">
        <v>375</v>
      </c>
      <c r="F1743" s="81" t="s">
        <v>6424</v>
      </c>
      <c r="G1743" s="81" t="s">
        <v>3759</v>
      </c>
    </row>
    <row r="1744" spans="1:7" x14ac:dyDescent="0.3">
      <c r="A1744" s="81" t="s">
        <v>7407</v>
      </c>
      <c r="B1744" s="81" t="s">
        <v>3770</v>
      </c>
      <c r="C1744" s="81" t="s">
        <v>16</v>
      </c>
      <c r="D1744" s="81" t="s">
        <v>5590</v>
      </c>
      <c r="E1744" s="81" t="s">
        <v>380</v>
      </c>
      <c r="F1744" s="81" t="s">
        <v>6424</v>
      </c>
      <c r="G1744" s="81" t="s">
        <v>3760</v>
      </c>
    </row>
    <row r="1745" spans="1:7" x14ac:dyDescent="0.3">
      <c r="A1745" s="81" t="s">
        <v>6477</v>
      </c>
      <c r="B1745" s="81" t="s">
        <v>6478</v>
      </c>
      <c r="C1745" s="81" t="s">
        <v>20</v>
      </c>
      <c r="D1745" s="81" t="s">
        <v>5610</v>
      </c>
      <c r="E1745" s="81" t="s">
        <v>15</v>
      </c>
      <c r="F1745" s="81" t="s">
        <v>6479</v>
      </c>
      <c r="G1745" s="81" t="s">
        <v>855</v>
      </c>
    </row>
    <row r="1746" spans="1:7" x14ac:dyDescent="0.3">
      <c r="A1746" s="81" t="s">
        <v>6477</v>
      </c>
      <c r="B1746" s="81" t="s">
        <v>6478</v>
      </c>
      <c r="C1746" s="81" t="s">
        <v>16</v>
      </c>
      <c r="D1746" s="81" t="s">
        <v>5590</v>
      </c>
      <c r="E1746" s="81" t="s">
        <v>368</v>
      </c>
      <c r="F1746" s="81" t="s">
        <v>6479</v>
      </c>
      <c r="G1746" s="81" t="s">
        <v>3757</v>
      </c>
    </row>
    <row r="1747" spans="1:7" x14ac:dyDescent="0.3">
      <c r="A1747" s="81" t="s">
        <v>6477</v>
      </c>
      <c r="B1747" s="81" t="s">
        <v>6478</v>
      </c>
      <c r="C1747" s="81" t="s">
        <v>16</v>
      </c>
      <c r="D1747" s="81" t="s">
        <v>5590</v>
      </c>
      <c r="E1747" s="81" t="s">
        <v>372</v>
      </c>
      <c r="F1747" s="81" t="s">
        <v>6479</v>
      </c>
      <c r="G1747" s="81" t="s">
        <v>3758</v>
      </c>
    </row>
    <row r="1748" spans="1:7" x14ac:dyDescent="0.3">
      <c r="A1748" s="81" t="s">
        <v>6477</v>
      </c>
      <c r="B1748" s="81" t="s">
        <v>6478</v>
      </c>
      <c r="C1748" s="81" t="s">
        <v>16</v>
      </c>
      <c r="D1748" s="81" t="s">
        <v>5590</v>
      </c>
      <c r="E1748" s="81" t="s">
        <v>375</v>
      </c>
      <c r="F1748" s="81" t="s">
        <v>6479</v>
      </c>
      <c r="G1748" s="81" t="s">
        <v>3759</v>
      </c>
    </row>
    <row r="1749" spans="1:7" x14ac:dyDescent="0.3">
      <c r="A1749" s="81" t="s">
        <v>6493</v>
      </c>
      <c r="B1749" s="81" t="s">
        <v>870</v>
      </c>
      <c r="C1749" s="81" t="s">
        <v>20</v>
      </c>
      <c r="D1749" s="81" t="s">
        <v>5590</v>
      </c>
      <c r="E1749" s="81" t="s">
        <v>15</v>
      </c>
      <c r="F1749" s="81" t="s">
        <v>6494</v>
      </c>
      <c r="G1749" s="81" t="s">
        <v>855</v>
      </c>
    </row>
    <row r="1750" spans="1:7" x14ac:dyDescent="0.3">
      <c r="A1750" s="81" t="s">
        <v>6493</v>
      </c>
      <c r="B1750" s="81" t="s">
        <v>870</v>
      </c>
      <c r="C1750" s="81" t="s">
        <v>16</v>
      </c>
      <c r="D1750" s="81" t="s">
        <v>5590</v>
      </c>
      <c r="E1750" s="81" t="s">
        <v>369</v>
      </c>
      <c r="F1750" s="81" t="s">
        <v>6494</v>
      </c>
      <c r="G1750" s="81" t="s">
        <v>3745</v>
      </c>
    </row>
    <row r="1751" spans="1:7" x14ac:dyDescent="0.3">
      <c r="A1751" s="81" t="s">
        <v>6493</v>
      </c>
      <c r="B1751" s="81" t="s">
        <v>870</v>
      </c>
      <c r="C1751" s="81" t="s">
        <v>16</v>
      </c>
      <c r="D1751" s="81" t="s">
        <v>5590</v>
      </c>
      <c r="E1751" s="81" t="s">
        <v>382</v>
      </c>
      <c r="F1751" s="81" t="s">
        <v>6494</v>
      </c>
      <c r="G1751" s="81" t="s">
        <v>3746</v>
      </c>
    </row>
    <row r="1752" spans="1:7" x14ac:dyDescent="0.3">
      <c r="A1752" s="81" t="s">
        <v>6493</v>
      </c>
      <c r="B1752" s="81" t="s">
        <v>870</v>
      </c>
      <c r="C1752" s="81" t="s">
        <v>16</v>
      </c>
      <c r="D1752" s="81" t="s">
        <v>5590</v>
      </c>
      <c r="E1752" s="81" t="s">
        <v>370</v>
      </c>
      <c r="F1752" s="81" t="s">
        <v>6494</v>
      </c>
      <c r="G1752" s="81" t="s">
        <v>3747</v>
      </c>
    </row>
    <row r="1753" spans="1:7" x14ac:dyDescent="0.3">
      <c r="A1753" s="81" t="s">
        <v>6493</v>
      </c>
      <c r="B1753" s="81" t="s">
        <v>870</v>
      </c>
      <c r="C1753" s="81" t="s">
        <v>16</v>
      </c>
      <c r="D1753" s="81" t="s">
        <v>5590</v>
      </c>
      <c r="E1753" s="81" t="s">
        <v>378</v>
      </c>
      <c r="F1753" s="81" t="s">
        <v>6494</v>
      </c>
      <c r="G1753" s="81" t="s">
        <v>3748</v>
      </c>
    </row>
    <row r="1754" spans="1:7" x14ac:dyDescent="0.3">
      <c r="A1754" s="81" t="s">
        <v>6493</v>
      </c>
      <c r="B1754" s="81" t="s">
        <v>870</v>
      </c>
      <c r="C1754" s="81" t="s">
        <v>16</v>
      </c>
      <c r="D1754" s="81" t="s">
        <v>5590</v>
      </c>
      <c r="E1754" s="81" t="s">
        <v>371</v>
      </c>
      <c r="F1754" s="81" t="s">
        <v>6494</v>
      </c>
      <c r="G1754" s="81" t="s">
        <v>3749</v>
      </c>
    </row>
    <row r="1755" spans="1:7" x14ac:dyDescent="0.3">
      <c r="A1755" s="81" t="s">
        <v>6493</v>
      </c>
      <c r="B1755" s="81" t="s">
        <v>870</v>
      </c>
      <c r="C1755" s="81" t="s">
        <v>16</v>
      </c>
      <c r="D1755" s="81" t="s">
        <v>5590</v>
      </c>
      <c r="E1755" s="81" t="s">
        <v>376</v>
      </c>
      <c r="F1755" s="81" t="s">
        <v>6494</v>
      </c>
      <c r="G1755" s="81" t="s">
        <v>3750</v>
      </c>
    </row>
    <row r="1756" spans="1:7" x14ac:dyDescent="0.3">
      <c r="A1756" s="81" t="s">
        <v>6493</v>
      </c>
      <c r="B1756" s="81" t="s">
        <v>870</v>
      </c>
      <c r="C1756" s="81" t="s">
        <v>16</v>
      </c>
      <c r="D1756" s="81" t="s">
        <v>5590</v>
      </c>
      <c r="E1756" s="81" t="s">
        <v>377</v>
      </c>
      <c r="F1756" s="81" t="s">
        <v>6494</v>
      </c>
      <c r="G1756" s="81" t="s">
        <v>3751</v>
      </c>
    </row>
    <row r="1757" spans="1:7" x14ac:dyDescent="0.3">
      <c r="A1757" s="81" t="s">
        <v>6493</v>
      </c>
      <c r="B1757" s="81" t="s">
        <v>870</v>
      </c>
      <c r="C1757" s="81" t="s">
        <v>16</v>
      </c>
      <c r="D1757" s="81" t="s">
        <v>5590</v>
      </c>
      <c r="E1757" s="81" t="s">
        <v>381</v>
      </c>
      <c r="F1757" s="81" t="s">
        <v>6494</v>
      </c>
      <c r="G1757" s="81" t="s">
        <v>3752</v>
      </c>
    </row>
    <row r="1758" spans="1:7" x14ac:dyDescent="0.3">
      <c r="A1758" s="81" t="s">
        <v>6493</v>
      </c>
      <c r="B1758" s="81" t="s">
        <v>870</v>
      </c>
      <c r="C1758" s="81" t="s">
        <v>16</v>
      </c>
      <c r="D1758" s="81" t="s">
        <v>5590</v>
      </c>
      <c r="E1758" s="81" t="s">
        <v>379</v>
      </c>
      <c r="F1758" s="81" t="s">
        <v>6494</v>
      </c>
      <c r="G1758" s="81" t="s">
        <v>3753</v>
      </c>
    </row>
    <row r="1759" spans="1:7" x14ac:dyDescent="0.3">
      <c r="A1759" s="81" t="s">
        <v>6493</v>
      </c>
      <c r="B1759" s="81" t="s">
        <v>870</v>
      </c>
      <c r="C1759" s="81" t="s">
        <v>16</v>
      </c>
      <c r="D1759" s="81" t="s">
        <v>5590</v>
      </c>
      <c r="E1759" s="81" t="s">
        <v>374</v>
      </c>
      <c r="F1759" s="81" t="s">
        <v>6494</v>
      </c>
      <c r="G1759" s="81" t="s">
        <v>3754</v>
      </c>
    </row>
    <row r="1760" spans="1:7" x14ac:dyDescent="0.3">
      <c r="A1760" s="81" t="s">
        <v>6493</v>
      </c>
      <c r="B1760" s="81" t="s">
        <v>870</v>
      </c>
      <c r="C1760" s="81" t="s">
        <v>16</v>
      </c>
      <c r="D1760" s="81" t="s">
        <v>5590</v>
      </c>
      <c r="E1760" s="81" t="s">
        <v>383</v>
      </c>
      <c r="F1760" s="81" t="s">
        <v>6494</v>
      </c>
      <c r="G1760" s="81" t="s">
        <v>3755</v>
      </c>
    </row>
    <row r="1761" spans="1:7" x14ac:dyDescent="0.3">
      <c r="A1761" s="81" t="s">
        <v>6493</v>
      </c>
      <c r="B1761" s="81" t="s">
        <v>870</v>
      </c>
      <c r="C1761" s="81" t="s">
        <v>16</v>
      </c>
      <c r="D1761" s="81" t="s">
        <v>5590</v>
      </c>
      <c r="E1761" s="81" t="s">
        <v>373</v>
      </c>
      <c r="F1761" s="81" t="s">
        <v>6494</v>
      </c>
      <c r="G1761" s="81" t="s">
        <v>3756</v>
      </c>
    </row>
    <row r="1762" spans="1:7" x14ac:dyDescent="0.3">
      <c r="A1762" s="81" t="s">
        <v>6493</v>
      </c>
      <c r="B1762" s="81" t="s">
        <v>870</v>
      </c>
      <c r="C1762" s="81" t="s">
        <v>16</v>
      </c>
      <c r="D1762" s="81" t="s">
        <v>5590</v>
      </c>
      <c r="E1762" s="81" t="s">
        <v>372</v>
      </c>
      <c r="F1762" s="81" t="s">
        <v>6494</v>
      </c>
      <c r="G1762" s="81" t="s">
        <v>3758</v>
      </c>
    </row>
    <row r="1763" spans="1:7" x14ac:dyDescent="0.3">
      <c r="A1763" s="81" t="s">
        <v>6493</v>
      </c>
      <c r="B1763" s="81" t="s">
        <v>870</v>
      </c>
      <c r="C1763" s="81" t="s">
        <v>16</v>
      </c>
      <c r="D1763" s="81" t="s">
        <v>5590</v>
      </c>
      <c r="E1763" s="81" t="s">
        <v>375</v>
      </c>
      <c r="F1763" s="81" t="s">
        <v>6494</v>
      </c>
      <c r="G1763" s="81" t="s">
        <v>3759</v>
      </c>
    </row>
    <row r="1764" spans="1:7" x14ac:dyDescent="0.3">
      <c r="A1764" s="81" t="s">
        <v>6493</v>
      </c>
      <c r="B1764" s="81" t="s">
        <v>870</v>
      </c>
      <c r="C1764" s="81" t="s">
        <v>16</v>
      </c>
      <c r="D1764" s="81" t="s">
        <v>5590</v>
      </c>
      <c r="E1764" s="81" t="s">
        <v>380</v>
      </c>
      <c r="F1764" s="81" t="s">
        <v>6494</v>
      </c>
      <c r="G1764" s="81" t="s">
        <v>3760</v>
      </c>
    </row>
    <row r="1765" spans="1:7" x14ac:dyDescent="0.3">
      <c r="A1765" s="81" t="s">
        <v>6493</v>
      </c>
      <c r="B1765" s="81" t="s">
        <v>870</v>
      </c>
      <c r="C1765" s="81" t="s">
        <v>16</v>
      </c>
      <c r="D1765" s="81" t="s">
        <v>5610</v>
      </c>
      <c r="E1765" s="81" t="s">
        <v>368</v>
      </c>
      <c r="F1765" s="81" t="s">
        <v>6494</v>
      </c>
      <c r="G1765" s="81" t="s">
        <v>3757</v>
      </c>
    </row>
    <row r="1766" spans="1:7" x14ac:dyDescent="0.3">
      <c r="A1766" s="81" t="s">
        <v>6547</v>
      </c>
      <c r="B1766" s="81" t="s">
        <v>870</v>
      </c>
      <c r="C1766" s="81" t="s">
        <v>20</v>
      </c>
      <c r="D1766" s="81" t="s">
        <v>5610</v>
      </c>
      <c r="E1766" s="81" t="s">
        <v>15</v>
      </c>
      <c r="F1766" s="81" t="s">
        <v>6547</v>
      </c>
      <c r="G1766" s="81" t="s">
        <v>855</v>
      </c>
    </row>
    <row r="1767" spans="1:7" x14ac:dyDescent="0.3">
      <c r="A1767" s="81" t="s">
        <v>6547</v>
      </c>
      <c r="B1767" s="81" t="s">
        <v>870</v>
      </c>
      <c r="C1767" s="81" t="s">
        <v>16</v>
      </c>
      <c r="D1767" s="81" t="s">
        <v>5590</v>
      </c>
      <c r="E1767" s="81" t="s">
        <v>369</v>
      </c>
      <c r="F1767" s="81" t="s">
        <v>6547</v>
      </c>
      <c r="G1767" s="81" t="s">
        <v>3745</v>
      </c>
    </row>
    <row r="1768" spans="1:7" x14ac:dyDescent="0.3">
      <c r="A1768" s="81" t="s">
        <v>6547</v>
      </c>
      <c r="B1768" s="81" t="s">
        <v>870</v>
      </c>
      <c r="C1768" s="81" t="s">
        <v>16</v>
      </c>
      <c r="D1768" s="81" t="s">
        <v>5590</v>
      </c>
      <c r="E1768" s="81" t="s">
        <v>382</v>
      </c>
      <c r="F1768" s="81" t="s">
        <v>6547</v>
      </c>
      <c r="G1768" s="81" t="s">
        <v>3746</v>
      </c>
    </row>
    <row r="1769" spans="1:7" x14ac:dyDescent="0.3">
      <c r="A1769" s="81" t="s">
        <v>6547</v>
      </c>
      <c r="B1769" s="81" t="s">
        <v>870</v>
      </c>
      <c r="C1769" s="81" t="s">
        <v>16</v>
      </c>
      <c r="D1769" s="81" t="s">
        <v>5590</v>
      </c>
      <c r="E1769" s="81" t="s">
        <v>370</v>
      </c>
      <c r="F1769" s="81" t="s">
        <v>6547</v>
      </c>
      <c r="G1769" s="81" t="s">
        <v>3747</v>
      </c>
    </row>
    <row r="1770" spans="1:7" x14ac:dyDescent="0.3">
      <c r="A1770" s="81" t="s">
        <v>6547</v>
      </c>
      <c r="B1770" s="81" t="s">
        <v>870</v>
      </c>
      <c r="C1770" s="81" t="s">
        <v>16</v>
      </c>
      <c r="D1770" s="81" t="s">
        <v>5590</v>
      </c>
      <c r="E1770" s="81" t="s">
        <v>378</v>
      </c>
      <c r="F1770" s="81" t="s">
        <v>6547</v>
      </c>
      <c r="G1770" s="81" t="s">
        <v>3748</v>
      </c>
    </row>
    <row r="1771" spans="1:7" x14ac:dyDescent="0.3">
      <c r="A1771" s="81" t="s">
        <v>6547</v>
      </c>
      <c r="B1771" s="81" t="s">
        <v>870</v>
      </c>
      <c r="C1771" s="81" t="s">
        <v>16</v>
      </c>
      <c r="D1771" s="81" t="s">
        <v>5590</v>
      </c>
      <c r="E1771" s="81" t="s">
        <v>371</v>
      </c>
      <c r="F1771" s="81" t="s">
        <v>6547</v>
      </c>
      <c r="G1771" s="81" t="s">
        <v>3749</v>
      </c>
    </row>
    <row r="1772" spans="1:7" x14ac:dyDescent="0.3">
      <c r="A1772" s="81" t="s">
        <v>6547</v>
      </c>
      <c r="B1772" s="81" t="s">
        <v>870</v>
      </c>
      <c r="C1772" s="81" t="s">
        <v>16</v>
      </c>
      <c r="D1772" s="81" t="s">
        <v>5590</v>
      </c>
      <c r="E1772" s="81" t="s">
        <v>376</v>
      </c>
      <c r="F1772" s="81" t="s">
        <v>6547</v>
      </c>
      <c r="G1772" s="81" t="s">
        <v>3750</v>
      </c>
    </row>
    <row r="1773" spans="1:7" x14ac:dyDescent="0.3">
      <c r="A1773" s="81" t="s">
        <v>6547</v>
      </c>
      <c r="B1773" s="81" t="s">
        <v>870</v>
      </c>
      <c r="C1773" s="81" t="s">
        <v>16</v>
      </c>
      <c r="D1773" s="81" t="s">
        <v>5590</v>
      </c>
      <c r="E1773" s="81" t="s">
        <v>377</v>
      </c>
      <c r="F1773" s="81" t="s">
        <v>6547</v>
      </c>
      <c r="G1773" s="81" t="s">
        <v>3751</v>
      </c>
    </row>
    <row r="1774" spans="1:7" x14ac:dyDescent="0.3">
      <c r="A1774" s="81" t="s">
        <v>6547</v>
      </c>
      <c r="B1774" s="81" t="s">
        <v>870</v>
      </c>
      <c r="C1774" s="81" t="s">
        <v>16</v>
      </c>
      <c r="D1774" s="81" t="s">
        <v>5590</v>
      </c>
      <c r="E1774" s="81" t="s">
        <v>381</v>
      </c>
      <c r="F1774" s="81" t="s">
        <v>6547</v>
      </c>
      <c r="G1774" s="81" t="s">
        <v>3752</v>
      </c>
    </row>
    <row r="1775" spans="1:7" x14ac:dyDescent="0.3">
      <c r="A1775" s="81" t="s">
        <v>6547</v>
      </c>
      <c r="B1775" s="81" t="s">
        <v>870</v>
      </c>
      <c r="C1775" s="81" t="s">
        <v>16</v>
      </c>
      <c r="D1775" s="81" t="s">
        <v>5590</v>
      </c>
      <c r="E1775" s="81" t="s">
        <v>379</v>
      </c>
      <c r="F1775" s="81" t="s">
        <v>6547</v>
      </c>
      <c r="G1775" s="81" t="s">
        <v>3753</v>
      </c>
    </row>
    <row r="1776" spans="1:7" x14ac:dyDescent="0.3">
      <c r="A1776" s="81" t="s">
        <v>6547</v>
      </c>
      <c r="B1776" s="81" t="s">
        <v>870</v>
      </c>
      <c r="C1776" s="81" t="s">
        <v>16</v>
      </c>
      <c r="D1776" s="81" t="s">
        <v>5590</v>
      </c>
      <c r="E1776" s="81" t="s">
        <v>374</v>
      </c>
      <c r="F1776" s="81" t="s">
        <v>6547</v>
      </c>
      <c r="G1776" s="81" t="s">
        <v>3754</v>
      </c>
    </row>
    <row r="1777" spans="1:7" x14ac:dyDescent="0.3">
      <c r="A1777" s="81" t="s">
        <v>6547</v>
      </c>
      <c r="B1777" s="81" t="s">
        <v>870</v>
      </c>
      <c r="C1777" s="81" t="s">
        <v>16</v>
      </c>
      <c r="D1777" s="81" t="s">
        <v>5590</v>
      </c>
      <c r="E1777" s="81" t="s">
        <v>383</v>
      </c>
      <c r="F1777" s="81" t="s">
        <v>6547</v>
      </c>
      <c r="G1777" s="81" t="s">
        <v>3755</v>
      </c>
    </row>
    <row r="1778" spans="1:7" x14ac:dyDescent="0.3">
      <c r="A1778" s="81" t="s">
        <v>6547</v>
      </c>
      <c r="B1778" s="81" t="s">
        <v>870</v>
      </c>
      <c r="C1778" s="81" t="s">
        <v>16</v>
      </c>
      <c r="D1778" s="81" t="s">
        <v>5590</v>
      </c>
      <c r="E1778" s="81" t="s">
        <v>373</v>
      </c>
      <c r="F1778" s="81" t="s">
        <v>6547</v>
      </c>
      <c r="G1778" s="81" t="s">
        <v>3756</v>
      </c>
    </row>
    <row r="1779" spans="1:7" x14ac:dyDescent="0.3">
      <c r="A1779" s="81" t="s">
        <v>6547</v>
      </c>
      <c r="B1779" s="81" t="s">
        <v>870</v>
      </c>
      <c r="C1779" s="81" t="s">
        <v>16</v>
      </c>
      <c r="D1779" s="81" t="s">
        <v>5590</v>
      </c>
      <c r="E1779" s="81" t="s">
        <v>368</v>
      </c>
      <c r="F1779" s="81" t="s">
        <v>6547</v>
      </c>
      <c r="G1779" s="81" t="s">
        <v>3757</v>
      </c>
    </row>
    <row r="1780" spans="1:7" x14ac:dyDescent="0.3">
      <c r="A1780" s="81" t="s">
        <v>6547</v>
      </c>
      <c r="B1780" s="81" t="s">
        <v>870</v>
      </c>
      <c r="C1780" s="81" t="s">
        <v>16</v>
      </c>
      <c r="D1780" s="81" t="s">
        <v>5590</v>
      </c>
      <c r="E1780" s="81" t="s">
        <v>372</v>
      </c>
      <c r="F1780" s="81" t="s">
        <v>6547</v>
      </c>
      <c r="G1780" s="81" t="s">
        <v>3758</v>
      </c>
    </row>
    <row r="1781" spans="1:7" x14ac:dyDescent="0.3">
      <c r="A1781" s="81" t="s">
        <v>6547</v>
      </c>
      <c r="B1781" s="81" t="s">
        <v>870</v>
      </c>
      <c r="C1781" s="81" t="s">
        <v>16</v>
      </c>
      <c r="D1781" s="81" t="s">
        <v>5590</v>
      </c>
      <c r="E1781" s="81" t="s">
        <v>375</v>
      </c>
      <c r="F1781" s="81" t="s">
        <v>6547</v>
      </c>
      <c r="G1781" s="81" t="s">
        <v>3759</v>
      </c>
    </row>
    <row r="1782" spans="1:7" x14ac:dyDescent="0.3">
      <c r="A1782" s="81" t="s">
        <v>6547</v>
      </c>
      <c r="B1782" s="81" t="s">
        <v>870</v>
      </c>
      <c r="C1782" s="81" t="s">
        <v>16</v>
      </c>
      <c r="D1782" s="81" t="s">
        <v>5590</v>
      </c>
      <c r="E1782" s="81" t="s">
        <v>380</v>
      </c>
      <c r="F1782" s="81" t="s">
        <v>6547</v>
      </c>
      <c r="G1782" s="81" t="s">
        <v>3760</v>
      </c>
    </row>
    <row r="1783" spans="1:7" x14ac:dyDescent="0.3">
      <c r="A1783" s="81" t="s">
        <v>6601</v>
      </c>
      <c r="B1783" s="81" t="s">
        <v>870</v>
      </c>
      <c r="C1783" s="81" t="s">
        <v>20</v>
      </c>
      <c r="D1783" s="81" t="s">
        <v>5610</v>
      </c>
      <c r="E1783" s="81" t="s">
        <v>15</v>
      </c>
      <c r="F1783" s="81" t="s">
        <v>6602</v>
      </c>
      <c r="G1783" s="81" t="s">
        <v>855</v>
      </c>
    </row>
    <row r="1784" spans="1:7" x14ac:dyDescent="0.3">
      <c r="A1784" s="81" t="s">
        <v>6601</v>
      </c>
      <c r="B1784" s="81" t="s">
        <v>870</v>
      </c>
      <c r="C1784" s="81" t="s">
        <v>16</v>
      </c>
      <c r="D1784" s="81" t="s">
        <v>5590</v>
      </c>
      <c r="E1784" s="81" t="s">
        <v>369</v>
      </c>
      <c r="F1784" s="81" t="s">
        <v>6602</v>
      </c>
      <c r="G1784" s="81" t="s">
        <v>3745</v>
      </c>
    </row>
    <row r="1785" spans="1:7" x14ac:dyDescent="0.3">
      <c r="A1785" s="81" t="s">
        <v>6601</v>
      </c>
      <c r="B1785" s="81" t="s">
        <v>870</v>
      </c>
      <c r="C1785" s="81" t="s">
        <v>16</v>
      </c>
      <c r="D1785" s="81" t="s">
        <v>5590</v>
      </c>
      <c r="E1785" s="81" t="s">
        <v>382</v>
      </c>
      <c r="F1785" s="81" t="s">
        <v>6602</v>
      </c>
      <c r="G1785" s="81" t="s">
        <v>3746</v>
      </c>
    </row>
    <row r="1786" spans="1:7" x14ac:dyDescent="0.3">
      <c r="A1786" s="81" t="s">
        <v>6601</v>
      </c>
      <c r="B1786" s="81" t="s">
        <v>870</v>
      </c>
      <c r="C1786" s="81" t="s">
        <v>16</v>
      </c>
      <c r="D1786" s="81" t="s">
        <v>5590</v>
      </c>
      <c r="E1786" s="81" t="s">
        <v>370</v>
      </c>
      <c r="F1786" s="81" t="s">
        <v>6602</v>
      </c>
      <c r="G1786" s="81" t="s">
        <v>3747</v>
      </c>
    </row>
    <row r="1787" spans="1:7" x14ac:dyDescent="0.3">
      <c r="A1787" s="81" t="s">
        <v>6601</v>
      </c>
      <c r="B1787" s="81" t="s">
        <v>870</v>
      </c>
      <c r="C1787" s="81" t="s">
        <v>16</v>
      </c>
      <c r="D1787" s="81" t="s">
        <v>5590</v>
      </c>
      <c r="E1787" s="81" t="s">
        <v>378</v>
      </c>
      <c r="F1787" s="81" t="s">
        <v>6602</v>
      </c>
      <c r="G1787" s="81" t="s">
        <v>3748</v>
      </c>
    </row>
    <row r="1788" spans="1:7" x14ac:dyDescent="0.3">
      <c r="A1788" s="81" t="s">
        <v>6601</v>
      </c>
      <c r="B1788" s="81" t="s">
        <v>870</v>
      </c>
      <c r="C1788" s="81" t="s">
        <v>16</v>
      </c>
      <c r="D1788" s="81" t="s">
        <v>5590</v>
      </c>
      <c r="E1788" s="81" t="s">
        <v>371</v>
      </c>
      <c r="F1788" s="81" t="s">
        <v>6602</v>
      </c>
      <c r="G1788" s="81" t="s">
        <v>3749</v>
      </c>
    </row>
    <row r="1789" spans="1:7" x14ac:dyDescent="0.3">
      <c r="A1789" s="81" t="s">
        <v>6601</v>
      </c>
      <c r="B1789" s="81" t="s">
        <v>870</v>
      </c>
      <c r="C1789" s="81" t="s">
        <v>16</v>
      </c>
      <c r="D1789" s="81" t="s">
        <v>5590</v>
      </c>
      <c r="E1789" s="81" t="s">
        <v>376</v>
      </c>
      <c r="F1789" s="81" t="s">
        <v>6602</v>
      </c>
      <c r="G1789" s="81" t="s">
        <v>3750</v>
      </c>
    </row>
    <row r="1790" spans="1:7" x14ac:dyDescent="0.3">
      <c r="A1790" s="81" t="s">
        <v>6601</v>
      </c>
      <c r="B1790" s="81" t="s">
        <v>870</v>
      </c>
      <c r="C1790" s="81" t="s">
        <v>16</v>
      </c>
      <c r="D1790" s="81" t="s">
        <v>5590</v>
      </c>
      <c r="E1790" s="81" t="s">
        <v>377</v>
      </c>
      <c r="F1790" s="81" t="s">
        <v>6602</v>
      </c>
      <c r="G1790" s="81" t="s">
        <v>3751</v>
      </c>
    </row>
    <row r="1791" spans="1:7" x14ac:dyDescent="0.3">
      <c r="A1791" s="81" t="s">
        <v>6601</v>
      </c>
      <c r="B1791" s="81" t="s">
        <v>870</v>
      </c>
      <c r="C1791" s="81" t="s">
        <v>16</v>
      </c>
      <c r="D1791" s="81" t="s">
        <v>5590</v>
      </c>
      <c r="E1791" s="81" t="s">
        <v>381</v>
      </c>
      <c r="F1791" s="81" t="s">
        <v>6602</v>
      </c>
      <c r="G1791" s="81" t="s">
        <v>3752</v>
      </c>
    </row>
    <row r="1792" spans="1:7" x14ac:dyDescent="0.3">
      <c r="A1792" s="81" t="s">
        <v>6601</v>
      </c>
      <c r="B1792" s="81" t="s">
        <v>870</v>
      </c>
      <c r="C1792" s="81" t="s">
        <v>16</v>
      </c>
      <c r="D1792" s="81" t="s">
        <v>5590</v>
      </c>
      <c r="E1792" s="81" t="s">
        <v>379</v>
      </c>
      <c r="F1792" s="81" t="s">
        <v>6602</v>
      </c>
      <c r="G1792" s="81" t="s">
        <v>3753</v>
      </c>
    </row>
    <row r="1793" spans="1:7" x14ac:dyDescent="0.3">
      <c r="A1793" s="81" t="s">
        <v>6601</v>
      </c>
      <c r="B1793" s="81" t="s">
        <v>870</v>
      </c>
      <c r="C1793" s="81" t="s">
        <v>16</v>
      </c>
      <c r="D1793" s="81" t="s">
        <v>5590</v>
      </c>
      <c r="E1793" s="81" t="s">
        <v>374</v>
      </c>
      <c r="F1793" s="81" t="s">
        <v>6602</v>
      </c>
      <c r="G1793" s="81" t="s">
        <v>3754</v>
      </c>
    </row>
    <row r="1794" spans="1:7" x14ac:dyDescent="0.3">
      <c r="A1794" s="81" t="s">
        <v>6601</v>
      </c>
      <c r="B1794" s="81" t="s">
        <v>870</v>
      </c>
      <c r="C1794" s="81" t="s">
        <v>16</v>
      </c>
      <c r="D1794" s="81" t="s">
        <v>5590</v>
      </c>
      <c r="E1794" s="81" t="s">
        <v>383</v>
      </c>
      <c r="F1794" s="81" t="s">
        <v>6602</v>
      </c>
      <c r="G1794" s="81" t="s">
        <v>3755</v>
      </c>
    </row>
    <row r="1795" spans="1:7" x14ac:dyDescent="0.3">
      <c r="A1795" s="81" t="s">
        <v>6601</v>
      </c>
      <c r="B1795" s="81" t="s">
        <v>870</v>
      </c>
      <c r="C1795" s="81" t="s">
        <v>16</v>
      </c>
      <c r="D1795" s="81" t="s">
        <v>5590</v>
      </c>
      <c r="E1795" s="81" t="s">
        <v>373</v>
      </c>
      <c r="F1795" s="81" t="s">
        <v>6602</v>
      </c>
      <c r="G1795" s="81" t="s">
        <v>3756</v>
      </c>
    </row>
    <row r="1796" spans="1:7" x14ac:dyDescent="0.3">
      <c r="A1796" s="81" t="s">
        <v>6601</v>
      </c>
      <c r="B1796" s="81" t="s">
        <v>870</v>
      </c>
      <c r="C1796" s="81" t="s">
        <v>16</v>
      </c>
      <c r="D1796" s="81" t="s">
        <v>5590</v>
      </c>
      <c r="E1796" s="81" t="s">
        <v>368</v>
      </c>
      <c r="F1796" s="81" t="s">
        <v>6602</v>
      </c>
      <c r="G1796" s="81" t="s">
        <v>3757</v>
      </c>
    </row>
    <row r="1797" spans="1:7" x14ac:dyDescent="0.3">
      <c r="A1797" s="81" t="s">
        <v>6601</v>
      </c>
      <c r="B1797" s="81" t="s">
        <v>870</v>
      </c>
      <c r="C1797" s="81" t="s">
        <v>16</v>
      </c>
      <c r="D1797" s="81" t="s">
        <v>5590</v>
      </c>
      <c r="E1797" s="81" t="s">
        <v>372</v>
      </c>
      <c r="F1797" s="81" t="s">
        <v>6602</v>
      </c>
      <c r="G1797" s="81" t="s">
        <v>3758</v>
      </c>
    </row>
    <row r="1798" spans="1:7" x14ac:dyDescent="0.3">
      <c r="A1798" s="81" t="s">
        <v>6601</v>
      </c>
      <c r="B1798" s="81" t="s">
        <v>870</v>
      </c>
      <c r="C1798" s="81" t="s">
        <v>16</v>
      </c>
      <c r="D1798" s="81" t="s">
        <v>5590</v>
      </c>
      <c r="E1798" s="81" t="s">
        <v>375</v>
      </c>
      <c r="F1798" s="81" t="s">
        <v>6602</v>
      </c>
      <c r="G1798" s="81" t="s">
        <v>3759</v>
      </c>
    </row>
    <row r="1799" spans="1:7" x14ac:dyDescent="0.3">
      <c r="A1799" s="81" t="s">
        <v>6601</v>
      </c>
      <c r="B1799" s="81" t="s">
        <v>870</v>
      </c>
      <c r="C1799" s="81" t="s">
        <v>16</v>
      </c>
      <c r="D1799" s="81" t="s">
        <v>5590</v>
      </c>
      <c r="E1799" s="81" t="s">
        <v>380</v>
      </c>
      <c r="F1799" s="81" t="s">
        <v>6602</v>
      </c>
      <c r="G1799" s="81" t="s">
        <v>3760</v>
      </c>
    </row>
    <row r="1800" spans="1:7" x14ac:dyDescent="0.3">
      <c r="A1800" s="81" t="s">
        <v>7404</v>
      </c>
      <c r="B1800" s="81" t="s">
        <v>3764</v>
      </c>
      <c r="C1800" s="81" t="s">
        <v>20</v>
      </c>
      <c r="D1800" s="81" t="s">
        <v>16</v>
      </c>
      <c r="E1800" s="81" t="s">
        <v>15</v>
      </c>
      <c r="F1800" s="81" t="s">
        <v>6655</v>
      </c>
      <c r="G1800" s="81" t="s">
        <v>1033</v>
      </c>
    </row>
    <row r="1801" spans="1:7" x14ac:dyDescent="0.3">
      <c r="A1801" s="81" t="s">
        <v>7404</v>
      </c>
      <c r="B1801" s="81" t="s">
        <v>3764</v>
      </c>
      <c r="C1801" s="81" t="s">
        <v>16</v>
      </c>
      <c r="D1801" s="81" t="s">
        <v>404</v>
      </c>
      <c r="E1801" s="81" t="s">
        <v>369</v>
      </c>
      <c r="F1801" s="81" t="s">
        <v>6655</v>
      </c>
      <c r="G1801" s="81" t="s">
        <v>3729</v>
      </c>
    </row>
    <row r="1802" spans="1:7" x14ac:dyDescent="0.3">
      <c r="A1802" s="81" t="s">
        <v>7404</v>
      </c>
      <c r="B1802" s="81" t="s">
        <v>3764</v>
      </c>
      <c r="C1802" s="81" t="s">
        <v>16</v>
      </c>
      <c r="D1802" s="81" t="s">
        <v>404</v>
      </c>
      <c r="E1802" s="81" t="s">
        <v>382</v>
      </c>
      <c r="F1802" s="81" t="s">
        <v>6655</v>
      </c>
      <c r="G1802" s="81" t="s">
        <v>3730</v>
      </c>
    </row>
    <row r="1803" spans="1:7" x14ac:dyDescent="0.3">
      <c r="A1803" s="81" t="s">
        <v>7404</v>
      </c>
      <c r="B1803" s="81" t="s">
        <v>3764</v>
      </c>
      <c r="C1803" s="81" t="s">
        <v>16</v>
      </c>
      <c r="D1803" s="81" t="s">
        <v>404</v>
      </c>
      <c r="E1803" s="81" t="s">
        <v>370</v>
      </c>
      <c r="F1803" s="81" t="s">
        <v>6655</v>
      </c>
      <c r="G1803" s="81" t="s">
        <v>3731</v>
      </c>
    </row>
    <row r="1804" spans="1:7" x14ac:dyDescent="0.3">
      <c r="A1804" s="81" t="s">
        <v>7404</v>
      </c>
      <c r="B1804" s="81" t="s">
        <v>3764</v>
      </c>
      <c r="C1804" s="81" t="s">
        <v>16</v>
      </c>
      <c r="D1804" s="81" t="s">
        <v>404</v>
      </c>
      <c r="E1804" s="81" t="s">
        <v>378</v>
      </c>
      <c r="F1804" s="81" t="s">
        <v>6655</v>
      </c>
      <c r="G1804" s="81" t="s">
        <v>3732</v>
      </c>
    </row>
    <row r="1805" spans="1:7" x14ac:dyDescent="0.3">
      <c r="A1805" s="81" t="s">
        <v>7404</v>
      </c>
      <c r="B1805" s="81" t="s">
        <v>3764</v>
      </c>
      <c r="C1805" s="81" t="s">
        <v>16</v>
      </c>
      <c r="D1805" s="81" t="s">
        <v>404</v>
      </c>
      <c r="E1805" s="81" t="s">
        <v>371</v>
      </c>
      <c r="F1805" s="81" t="s">
        <v>6655</v>
      </c>
      <c r="G1805" s="81" t="s">
        <v>3733</v>
      </c>
    </row>
    <row r="1806" spans="1:7" x14ac:dyDescent="0.3">
      <c r="A1806" s="81" t="s">
        <v>7404</v>
      </c>
      <c r="B1806" s="81" t="s">
        <v>3764</v>
      </c>
      <c r="C1806" s="81" t="s">
        <v>16</v>
      </c>
      <c r="D1806" s="81" t="s">
        <v>404</v>
      </c>
      <c r="E1806" s="81" t="s">
        <v>376</v>
      </c>
      <c r="F1806" s="81" t="s">
        <v>6655</v>
      </c>
      <c r="G1806" s="81" t="s">
        <v>3734</v>
      </c>
    </row>
    <row r="1807" spans="1:7" x14ac:dyDescent="0.3">
      <c r="A1807" s="81" t="s">
        <v>7404</v>
      </c>
      <c r="B1807" s="81" t="s">
        <v>3764</v>
      </c>
      <c r="C1807" s="81" t="s">
        <v>16</v>
      </c>
      <c r="D1807" s="81" t="s">
        <v>404</v>
      </c>
      <c r="E1807" s="81" t="s">
        <v>377</v>
      </c>
      <c r="F1807" s="81" t="s">
        <v>6655</v>
      </c>
      <c r="G1807" s="81" t="s">
        <v>3735</v>
      </c>
    </row>
    <row r="1808" spans="1:7" x14ac:dyDescent="0.3">
      <c r="A1808" s="81" t="s">
        <v>7404</v>
      </c>
      <c r="B1808" s="81" t="s">
        <v>3764</v>
      </c>
      <c r="C1808" s="81" t="s">
        <v>16</v>
      </c>
      <c r="D1808" s="81" t="s">
        <v>404</v>
      </c>
      <c r="E1808" s="81" t="s">
        <v>381</v>
      </c>
      <c r="F1808" s="81" t="s">
        <v>6655</v>
      </c>
      <c r="G1808" s="81" t="s">
        <v>3736</v>
      </c>
    </row>
    <row r="1809" spans="1:7" x14ac:dyDescent="0.3">
      <c r="A1809" s="81" t="s">
        <v>7404</v>
      </c>
      <c r="B1809" s="81" t="s">
        <v>3764</v>
      </c>
      <c r="C1809" s="81" t="s">
        <v>16</v>
      </c>
      <c r="D1809" s="81" t="s">
        <v>404</v>
      </c>
      <c r="E1809" s="81" t="s">
        <v>379</v>
      </c>
      <c r="F1809" s="81" t="s">
        <v>6655</v>
      </c>
      <c r="G1809" s="81" t="s">
        <v>3737</v>
      </c>
    </row>
    <row r="1810" spans="1:7" x14ac:dyDescent="0.3">
      <c r="A1810" s="81" t="s">
        <v>7404</v>
      </c>
      <c r="B1810" s="81" t="s">
        <v>3764</v>
      </c>
      <c r="C1810" s="81" t="s">
        <v>16</v>
      </c>
      <c r="D1810" s="81" t="s">
        <v>404</v>
      </c>
      <c r="E1810" s="81" t="s">
        <v>374</v>
      </c>
      <c r="F1810" s="81" t="s">
        <v>6655</v>
      </c>
      <c r="G1810" s="81" t="s">
        <v>3738</v>
      </c>
    </row>
    <row r="1811" spans="1:7" x14ac:dyDescent="0.3">
      <c r="A1811" s="81" t="s">
        <v>7404</v>
      </c>
      <c r="B1811" s="81" t="s">
        <v>3764</v>
      </c>
      <c r="C1811" s="81" t="s">
        <v>16</v>
      </c>
      <c r="D1811" s="81" t="s">
        <v>404</v>
      </c>
      <c r="E1811" s="81" t="s">
        <v>383</v>
      </c>
      <c r="F1811" s="81" t="s">
        <v>6655</v>
      </c>
      <c r="G1811" s="81" t="s">
        <v>3739</v>
      </c>
    </row>
    <row r="1812" spans="1:7" x14ac:dyDescent="0.3">
      <c r="A1812" s="81" t="s">
        <v>7404</v>
      </c>
      <c r="B1812" s="81" t="s">
        <v>3764</v>
      </c>
      <c r="C1812" s="81" t="s">
        <v>16</v>
      </c>
      <c r="D1812" s="81" t="s">
        <v>404</v>
      </c>
      <c r="E1812" s="81" t="s">
        <v>373</v>
      </c>
      <c r="F1812" s="81" t="s">
        <v>6655</v>
      </c>
      <c r="G1812" s="81" t="s">
        <v>3740</v>
      </c>
    </row>
    <row r="1813" spans="1:7" x14ac:dyDescent="0.3">
      <c r="A1813" s="81" t="s">
        <v>7404</v>
      </c>
      <c r="B1813" s="81" t="s">
        <v>3764</v>
      </c>
      <c r="C1813" s="81" t="s">
        <v>16</v>
      </c>
      <c r="D1813" s="81" t="s">
        <v>404</v>
      </c>
      <c r="E1813" s="81" t="s">
        <v>368</v>
      </c>
      <c r="F1813" s="81" t="s">
        <v>6655</v>
      </c>
      <c r="G1813" s="81" t="s">
        <v>3741</v>
      </c>
    </row>
    <row r="1814" spans="1:7" x14ac:dyDescent="0.3">
      <c r="A1814" s="81" t="s">
        <v>7404</v>
      </c>
      <c r="B1814" s="81" t="s">
        <v>3764</v>
      </c>
      <c r="C1814" s="81" t="s">
        <v>16</v>
      </c>
      <c r="D1814" s="81" t="s">
        <v>404</v>
      </c>
      <c r="E1814" s="81" t="s">
        <v>372</v>
      </c>
      <c r="F1814" s="81" t="s">
        <v>6655</v>
      </c>
      <c r="G1814" s="81" t="s">
        <v>3742</v>
      </c>
    </row>
    <row r="1815" spans="1:7" x14ac:dyDescent="0.3">
      <c r="A1815" s="81" t="s">
        <v>7404</v>
      </c>
      <c r="B1815" s="81" t="s">
        <v>3764</v>
      </c>
      <c r="C1815" s="81" t="s">
        <v>16</v>
      </c>
      <c r="D1815" s="81" t="s">
        <v>404</v>
      </c>
      <c r="E1815" s="81" t="s">
        <v>375</v>
      </c>
      <c r="F1815" s="81" t="s">
        <v>6655</v>
      </c>
      <c r="G1815" s="81" t="s">
        <v>3743</v>
      </c>
    </row>
    <row r="1816" spans="1:7" x14ac:dyDescent="0.3">
      <c r="A1816" s="81" t="s">
        <v>7404</v>
      </c>
      <c r="B1816" s="81" t="s">
        <v>3764</v>
      </c>
      <c r="C1816" s="81" t="s">
        <v>16</v>
      </c>
      <c r="D1816" s="81" t="s">
        <v>404</v>
      </c>
      <c r="E1816" s="81" t="s">
        <v>380</v>
      </c>
      <c r="F1816" s="81" t="s">
        <v>6655</v>
      </c>
      <c r="G1816" s="81" t="s">
        <v>3744</v>
      </c>
    </row>
    <row r="1817" spans="1:7" x14ac:dyDescent="0.3">
      <c r="A1817" s="81" t="s">
        <v>7405</v>
      </c>
      <c r="B1817" s="81" t="s">
        <v>3764</v>
      </c>
      <c r="C1817" s="81" t="s">
        <v>20</v>
      </c>
      <c r="D1817" s="81" t="s">
        <v>16</v>
      </c>
      <c r="E1817" s="81" t="s">
        <v>15</v>
      </c>
      <c r="F1817" s="81" t="s">
        <v>6708</v>
      </c>
      <c r="G1817" s="81" t="s">
        <v>1033</v>
      </c>
    </row>
    <row r="1818" spans="1:7" x14ac:dyDescent="0.3">
      <c r="A1818" s="81" t="s">
        <v>7405</v>
      </c>
      <c r="B1818" s="81" t="s">
        <v>3764</v>
      </c>
      <c r="C1818" s="81" t="s">
        <v>16</v>
      </c>
      <c r="D1818" s="81" t="s">
        <v>404</v>
      </c>
      <c r="E1818" s="81" t="s">
        <v>369</v>
      </c>
      <c r="F1818" s="81" t="s">
        <v>6708</v>
      </c>
      <c r="G1818" s="81" t="s">
        <v>3729</v>
      </c>
    </row>
    <row r="1819" spans="1:7" x14ac:dyDescent="0.3">
      <c r="A1819" s="81" t="s">
        <v>7405</v>
      </c>
      <c r="B1819" s="81" t="s">
        <v>3764</v>
      </c>
      <c r="C1819" s="81" t="s">
        <v>16</v>
      </c>
      <c r="D1819" s="81" t="s">
        <v>404</v>
      </c>
      <c r="E1819" s="81" t="s">
        <v>382</v>
      </c>
      <c r="F1819" s="81" t="s">
        <v>6708</v>
      </c>
      <c r="G1819" s="81" t="s">
        <v>3730</v>
      </c>
    </row>
    <row r="1820" spans="1:7" x14ac:dyDescent="0.3">
      <c r="A1820" s="81" t="s">
        <v>7405</v>
      </c>
      <c r="B1820" s="81" t="s">
        <v>3764</v>
      </c>
      <c r="C1820" s="81" t="s">
        <v>16</v>
      </c>
      <c r="D1820" s="81" t="s">
        <v>404</v>
      </c>
      <c r="E1820" s="81" t="s">
        <v>370</v>
      </c>
      <c r="F1820" s="81" t="s">
        <v>6708</v>
      </c>
      <c r="G1820" s="81" t="s">
        <v>3731</v>
      </c>
    </row>
    <row r="1821" spans="1:7" x14ac:dyDescent="0.3">
      <c r="A1821" s="81" t="s">
        <v>7405</v>
      </c>
      <c r="B1821" s="81" t="s">
        <v>3764</v>
      </c>
      <c r="C1821" s="81" t="s">
        <v>16</v>
      </c>
      <c r="D1821" s="81" t="s">
        <v>404</v>
      </c>
      <c r="E1821" s="81" t="s">
        <v>378</v>
      </c>
      <c r="F1821" s="81" t="s">
        <v>6708</v>
      </c>
      <c r="G1821" s="81" t="s">
        <v>3732</v>
      </c>
    </row>
    <row r="1822" spans="1:7" x14ac:dyDescent="0.3">
      <c r="A1822" s="81" t="s">
        <v>7405</v>
      </c>
      <c r="B1822" s="81" t="s">
        <v>3764</v>
      </c>
      <c r="C1822" s="81" t="s">
        <v>16</v>
      </c>
      <c r="D1822" s="81" t="s">
        <v>404</v>
      </c>
      <c r="E1822" s="81" t="s">
        <v>371</v>
      </c>
      <c r="F1822" s="81" t="s">
        <v>6708</v>
      </c>
      <c r="G1822" s="81" t="s">
        <v>3733</v>
      </c>
    </row>
    <row r="1823" spans="1:7" x14ac:dyDescent="0.3">
      <c r="A1823" s="81" t="s">
        <v>7405</v>
      </c>
      <c r="B1823" s="81" t="s">
        <v>3764</v>
      </c>
      <c r="C1823" s="81" t="s">
        <v>16</v>
      </c>
      <c r="D1823" s="81" t="s">
        <v>404</v>
      </c>
      <c r="E1823" s="81" t="s">
        <v>376</v>
      </c>
      <c r="F1823" s="81" t="s">
        <v>6708</v>
      </c>
      <c r="G1823" s="81" t="s">
        <v>3734</v>
      </c>
    </row>
    <row r="1824" spans="1:7" x14ac:dyDescent="0.3">
      <c r="A1824" s="81" t="s">
        <v>7405</v>
      </c>
      <c r="B1824" s="81" t="s">
        <v>3764</v>
      </c>
      <c r="C1824" s="81" t="s">
        <v>16</v>
      </c>
      <c r="D1824" s="81" t="s">
        <v>404</v>
      </c>
      <c r="E1824" s="81" t="s">
        <v>377</v>
      </c>
      <c r="F1824" s="81" t="s">
        <v>6708</v>
      </c>
      <c r="G1824" s="81" t="s">
        <v>3735</v>
      </c>
    </row>
    <row r="1825" spans="1:7" x14ac:dyDescent="0.3">
      <c r="A1825" s="81" t="s">
        <v>7405</v>
      </c>
      <c r="B1825" s="81" t="s">
        <v>3764</v>
      </c>
      <c r="C1825" s="81" t="s">
        <v>16</v>
      </c>
      <c r="D1825" s="81" t="s">
        <v>404</v>
      </c>
      <c r="E1825" s="81" t="s">
        <v>381</v>
      </c>
      <c r="F1825" s="81" t="s">
        <v>6708</v>
      </c>
      <c r="G1825" s="81" t="s">
        <v>3736</v>
      </c>
    </row>
    <row r="1826" spans="1:7" x14ac:dyDescent="0.3">
      <c r="A1826" s="81" t="s">
        <v>7405</v>
      </c>
      <c r="B1826" s="81" t="s">
        <v>3764</v>
      </c>
      <c r="C1826" s="81" t="s">
        <v>16</v>
      </c>
      <c r="D1826" s="81" t="s">
        <v>404</v>
      </c>
      <c r="E1826" s="81" t="s">
        <v>379</v>
      </c>
      <c r="F1826" s="81" t="s">
        <v>6708</v>
      </c>
      <c r="G1826" s="81" t="s">
        <v>3737</v>
      </c>
    </row>
    <row r="1827" spans="1:7" x14ac:dyDescent="0.3">
      <c r="A1827" s="81" t="s">
        <v>7405</v>
      </c>
      <c r="B1827" s="81" t="s">
        <v>3764</v>
      </c>
      <c r="C1827" s="81" t="s">
        <v>16</v>
      </c>
      <c r="D1827" s="81" t="s">
        <v>404</v>
      </c>
      <c r="E1827" s="81" t="s">
        <v>374</v>
      </c>
      <c r="F1827" s="81" t="s">
        <v>6708</v>
      </c>
      <c r="G1827" s="81" t="s">
        <v>3738</v>
      </c>
    </row>
    <row r="1828" spans="1:7" x14ac:dyDescent="0.3">
      <c r="A1828" s="81" t="s">
        <v>7405</v>
      </c>
      <c r="B1828" s="81" t="s">
        <v>3764</v>
      </c>
      <c r="C1828" s="81" t="s">
        <v>16</v>
      </c>
      <c r="D1828" s="81" t="s">
        <v>404</v>
      </c>
      <c r="E1828" s="81" t="s">
        <v>383</v>
      </c>
      <c r="F1828" s="81" t="s">
        <v>6708</v>
      </c>
      <c r="G1828" s="81" t="s">
        <v>3739</v>
      </c>
    </row>
    <row r="1829" spans="1:7" x14ac:dyDescent="0.3">
      <c r="A1829" s="81" t="s">
        <v>7405</v>
      </c>
      <c r="B1829" s="81" t="s">
        <v>3764</v>
      </c>
      <c r="C1829" s="81" t="s">
        <v>16</v>
      </c>
      <c r="D1829" s="81" t="s">
        <v>404</v>
      </c>
      <c r="E1829" s="81" t="s">
        <v>373</v>
      </c>
      <c r="F1829" s="81" t="s">
        <v>6708</v>
      </c>
      <c r="G1829" s="81" t="s">
        <v>3740</v>
      </c>
    </row>
    <row r="1830" spans="1:7" x14ac:dyDescent="0.3">
      <c r="A1830" s="81" t="s">
        <v>7405</v>
      </c>
      <c r="B1830" s="81" t="s">
        <v>3764</v>
      </c>
      <c r="C1830" s="81" t="s">
        <v>16</v>
      </c>
      <c r="D1830" s="81" t="s">
        <v>404</v>
      </c>
      <c r="E1830" s="81" t="s">
        <v>368</v>
      </c>
      <c r="F1830" s="81" t="s">
        <v>6708</v>
      </c>
      <c r="G1830" s="81" t="s">
        <v>3741</v>
      </c>
    </row>
    <row r="1831" spans="1:7" x14ac:dyDescent="0.3">
      <c r="A1831" s="81" t="s">
        <v>7405</v>
      </c>
      <c r="B1831" s="81" t="s">
        <v>3764</v>
      </c>
      <c r="C1831" s="81" t="s">
        <v>16</v>
      </c>
      <c r="D1831" s="81" t="s">
        <v>404</v>
      </c>
      <c r="E1831" s="81" t="s">
        <v>372</v>
      </c>
      <c r="F1831" s="81" t="s">
        <v>6708</v>
      </c>
      <c r="G1831" s="81" t="s">
        <v>3742</v>
      </c>
    </row>
    <row r="1832" spans="1:7" x14ac:dyDescent="0.3">
      <c r="A1832" s="81" t="s">
        <v>7405</v>
      </c>
      <c r="B1832" s="81" t="s">
        <v>3764</v>
      </c>
      <c r="C1832" s="81" t="s">
        <v>16</v>
      </c>
      <c r="D1832" s="81" t="s">
        <v>404</v>
      </c>
      <c r="E1832" s="81" t="s">
        <v>375</v>
      </c>
      <c r="F1832" s="81" t="s">
        <v>6708</v>
      </c>
      <c r="G1832" s="81" t="s">
        <v>3743</v>
      </c>
    </row>
    <row r="1833" spans="1:7" x14ac:dyDescent="0.3">
      <c r="A1833" s="81" t="s">
        <v>7405</v>
      </c>
      <c r="B1833" s="81" t="s">
        <v>3764</v>
      </c>
      <c r="C1833" s="81" t="s">
        <v>16</v>
      </c>
      <c r="D1833" s="81" t="s">
        <v>404</v>
      </c>
      <c r="E1833" s="81" t="s">
        <v>380</v>
      </c>
      <c r="F1833" s="81" t="s">
        <v>6708</v>
      </c>
      <c r="G1833" s="81" t="s">
        <v>3744</v>
      </c>
    </row>
    <row r="1834" spans="1:7" x14ac:dyDescent="0.3">
      <c r="A1834" s="81" t="s">
        <v>7406</v>
      </c>
      <c r="B1834" s="81" t="s">
        <v>3764</v>
      </c>
      <c r="C1834" s="81" t="s">
        <v>20</v>
      </c>
      <c r="D1834" s="81" t="s">
        <v>16</v>
      </c>
      <c r="E1834" s="81" t="s">
        <v>15</v>
      </c>
      <c r="F1834" s="81" t="s">
        <v>6752</v>
      </c>
      <c r="G1834" s="81" t="s">
        <v>855</v>
      </c>
    </row>
    <row r="1835" spans="1:7" x14ac:dyDescent="0.3">
      <c r="A1835" s="81" t="s">
        <v>7406</v>
      </c>
      <c r="B1835" s="81" t="s">
        <v>3764</v>
      </c>
      <c r="C1835" s="81" t="s">
        <v>16</v>
      </c>
      <c r="D1835" s="81" t="s">
        <v>404</v>
      </c>
      <c r="E1835" s="81" t="s">
        <v>369</v>
      </c>
      <c r="F1835" s="81" t="s">
        <v>6752</v>
      </c>
      <c r="G1835" s="81" t="s">
        <v>3745</v>
      </c>
    </row>
    <row r="1836" spans="1:7" x14ac:dyDescent="0.3">
      <c r="A1836" s="81" t="s">
        <v>7406</v>
      </c>
      <c r="B1836" s="81" t="s">
        <v>3764</v>
      </c>
      <c r="C1836" s="81" t="s">
        <v>16</v>
      </c>
      <c r="D1836" s="81" t="s">
        <v>404</v>
      </c>
      <c r="E1836" s="81" t="s">
        <v>382</v>
      </c>
      <c r="F1836" s="81" t="s">
        <v>6752</v>
      </c>
      <c r="G1836" s="81" t="s">
        <v>3746</v>
      </c>
    </row>
    <row r="1837" spans="1:7" x14ac:dyDescent="0.3">
      <c r="A1837" s="81" t="s">
        <v>7406</v>
      </c>
      <c r="B1837" s="81" t="s">
        <v>3764</v>
      </c>
      <c r="C1837" s="81" t="s">
        <v>16</v>
      </c>
      <c r="D1837" s="81" t="s">
        <v>404</v>
      </c>
      <c r="E1837" s="81" t="s">
        <v>370</v>
      </c>
      <c r="F1837" s="81" t="s">
        <v>6752</v>
      </c>
      <c r="G1837" s="81" t="s">
        <v>3747</v>
      </c>
    </row>
    <row r="1838" spans="1:7" x14ac:dyDescent="0.3">
      <c r="A1838" s="81" t="s">
        <v>7406</v>
      </c>
      <c r="B1838" s="81" t="s">
        <v>3764</v>
      </c>
      <c r="C1838" s="81" t="s">
        <v>16</v>
      </c>
      <c r="D1838" s="81" t="s">
        <v>404</v>
      </c>
      <c r="E1838" s="81" t="s">
        <v>378</v>
      </c>
      <c r="F1838" s="81" t="s">
        <v>6752</v>
      </c>
      <c r="G1838" s="81" t="s">
        <v>3748</v>
      </c>
    </row>
    <row r="1839" spans="1:7" x14ac:dyDescent="0.3">
      <c r="A1839" s="81" t="s">
        <v>7406</v>
      </c>
      <c r="B1839" s="81" t="s">
        <v>3764</v>
      </c>
      <c r="C1839" s="81" t="s">
        <v>16</v>
      </c>
      <c r="D1839" s="81" t="s">
        <v>404</v>
      </c>
      <c r="E1839" s="81" t="s">
        <v>371</v>
      </c>
      <c r="F1839" s="81" t="s">
        <v>6752</v>
      </c>
      <c r="G1839" s="81" t="s">
        <v>3749</v>
      </c>
    </row>
    <row r="1840" spans="1:7" x14ac:dyDescent="0.3">
      <c r="A1840" s="81" t="s">
        <v>7406</v>
      </c>
      <c r="B1840" s="81" t="s">
        <v>3764</v>
      </c>
      <c r="C1840" s="81" t="s">
        <v>16</v>
      </c>
      <c r="D1840" s="81" t="s">
        <v>404</v>
      </c>
      <c r="E1840" s="81" t="s">
        <v>376</v>
      </c>
      <c r="F1840" s="81" t="s">
        <v>6752</v>
      </c>
      <c r="G1840" s="81" t="s">
        <v>3750</v>
      </c>
    </row>
    <row r="1841" spans="1:7" x14ac:dyDescent="0.3">
      <c r="A1841" s="81" t="s">
        <v>7406</v>
      </c>
      <c r="B1841" s="81" t="s">
        <v>3764</v>
      </c>
      <c r="C1841" s="81" t="s">
        <v>16</v>
      </c>
      <c r="D1841" s="81" t="s">
        <v>404</v>
      </c>
      <c r="E1841" s="81" t="s">
        <v>377</v>
      </c>
      <c r="F1841" s="81" t="s">
        <v>6752</v>
      </c>
      <c r="G1841" s="81" t="s">
        <v>3751</v>
      </c>
    </row>
    <row r="1842" spans="1:7" x14ac:dyDescent="0.3">
      <c r="A1842" s="81" t="s">
        <v>7406</v>
      </c>
      <c r="B1842" s="81" t="s">
        <v>3764</v>
      </c>
      <c r="C1842" s="81" t="s">
        <v>16</v>
      </c>
      <c r="D1842" s="81" t="s">
        <v>404</v>
      </c>
      <c r="E1842" s="81" t="s">
        <v>381</v>
      </c>
      <c r="F1842" s="81" t="s">
        <v>6752</v>
      </c>
      <c r="G1842" s="81" t="s">
        <v>3752</v>
      </c>
    </row>
    <row r="1843" spans="1:7" x14ac:dyDescent="0.3">
      <c r="A1843" s="81" t="s">
        <v>7406</v>
      </c>
      <c r="B1843" s="81" t="s">
        <v>3764</v>
      </c>
      <c r="C1843" s="81" t="s">
        <v>16</v>
      </c>
      <c r="D1843" s="81" t="s">
        <v>404</v>
      </c>
      <c r="E1843" s="81" t="s">
        <v>379</v>
      </c>
      <c r="F1843" s="81" t="s">
        <v>6752</v>
      </c>
      <c r="G1843" s="81" t="s">
        <v>3753</v>
      </c>
    </row>
    <row r="1844" spans="1:7" x14ac:dyDescent="0.3">
      <c r="A1844" s="81" t="s">
        <v>7406</v>
      </c>
      <c r="B1844" s="81" t="s">
        <v>3764</v>
      </c>
      <c r="C1844" s="81" t="s">
        <v>16</v>
      </c>
      <c r="D1844" s="81" t="s">
        <v>404</v>
      </c>
      <c r="E1844" s="81" t="s">
        <v>374</v>
      </c>
      <c r="F1844" s="81" t="s">
        <v>6752</v>
      </c>
      <c r="G1844" s="81" t="s">
        <v>3754</v>
      </c>
    </row>
    <row r="1845" spans="1:7" x14ac:dyDescent="0.3">
      <c r="A1845" s="81" t="s">
        <v>7406</v>
      </c>
      <c r="B1845" s="81" t="s">
        <v>3764</v>
      </c>
      <c r="C1845" s="81" t="s">
        <v>16</v>
      </c>
      <c r="D1845" s="81" t="s">
        <v>404</v>
      </c>
      <c r="E1845" s="81" t="s">
        <v>383</v>
      </c>
      <c r="F1845" s="81" t="s">
        <v>6752</v>
      </c>
      <c r="G1845" s="81" t="s">
        <v>3755</v>
      </c>
    </row>
    <row r="1846" spans="1:7" x14ac:dyDescent="0.3">
      <c r="A1846" s="81" t="s">
        <v>7406</v>
      </c>
      <c r="B1846" s="81" t="s">
        <v>3764</v>
      </c>
      <c r="C1846" s="81" t="s">
        <v>16</v>
      </c>
      <c r="D1846" s="81" t="s">
        <v>404</v>
      </c>
      <c r="E1846" s="81" t="s">
        <v>373</v>
      </c>
      <c r="F1846" s="81" t="s">
        <v>6752</v>
      </c>
      <c r="G1846" s="81" t="s">
        <v>3756</v>
      </c>
    </row>
    <row r="1847" spans="1:7" x14ac:dyDescent="0.3">
      <c r="A1847" s="81" t="s">
        <v>7406</v>
      </c>
      <c r="B1847" s="81" t="s">
        <v>3764</v>
      </c>
      <c r="C1847" s="81" t="s">
        <v>16</v>
      </c>
      <c r="D1847" s="81" t="s">
        <v>404</v>
      </c>
      <c r="E1847" s="81" t="s">
        <v>368</v>
      </c>
      <c r="F1847" s="81" t="s">
        <v>6752</v>
      </c>
      <c r="G1847" s="81" t="s">
        <v>3757</v>
      </c>
    </row>
    <row r="1848" spans="1:7" x14ac:dyDescent="0.3">
      <c r="A1848" s="81" t="s">
        <v>7406</v>
      </c>
      <c r="B1848" s="81" t="s">
        <v>3764</v>
      </c>
      <c r="C1848" s="81" t="s">
        <v>16</v>
      </c>
      <c r="D1848" s="81" t="s">
        <v>404</v>
      </c>
      <c r="E1848" s="81" t="s">
        <v>372</v>
      </c>
      <c r="F1848" s="81" t="s">
        <v>6752</v>
      </c>
      <c r="G1848" s="81" t="s">
        <v>3758</v>
      </c>
    </row>
    <row r="1849" spans="1:7" x14ac:dyDescent="0.3">
      <c r="A1849" s="81" t="s">
        <v>7406</v>
      </c>
      <c r="B1849" s="81" t="s">
        <v>3764</v>
      </c>
      <c r="C1849" s="81" t="s">
        <v>16</v>
      </c>
      <c r="D1849" s="81" t="s">
        <v>404</v>
      </c>
      <c r="E1849" s="81" t="s">
        <v>375</v>
      </c>
      <c r="F1849" s="81" t="s">
        <v>6752</v>
      </c>
      <c r="G1849" s="81" t="s">
        <v>3759</v>
      </c>
    </row>
    <row r="1850" spans="1:7" x14ac:dyDescent="0.3">
      <c r="A1850" s="81" t="s">
        <v>7406</v>
      </c>
      <c r="B1850" s="81" t="s">
        <v>3764</v>
      </c>
      <c r="C1850" s="81" t="s">
        <v>16</v>
      </c>
      <c r="D1850" s="81" t="s">
        <v>404</v>
      </c>
      <c r="E1850" s="81" t="s">
        <v>380</v>
      </c>
      <c r="F1850" s="81" t="s">
        <v>6752</v>
      </c>
      <c r="G1850" s="81" t="s">
        <v>3760</v>
      </c>
    </row>
    <row r="1851" spans="1:7" x14ac:dyDescent="0.3">
      <c r="A1851" s="81" t="s">
        <v>6789</v>
      </c>
      <c r="B1851" s="81" t="s">
        <v>6790</v>
      </c>
      <c r="C1851" s="81" t="s">
        <v>20</v>
      </c>
      <c r="D1851" s="81" t="s">
        <v>16</v>
      </c>
      <c r="E1851" s="81" t="s">
        <v>15</v>
      </c>
      <c r="F1851" s="81" t="s">
        <v>6791</v>
      </c>
      <c r="G1851" s="81" t="s">
        <v>1033</v>
      </c>
    </row>
    <row r="1852" spans="1:7" x14ac:dyDescent="0.3">
      <c r="A1852" s="81" t="s">
        <v>6789</v>
      </c>
      <c r="B1852" s="81" t="s">
        <v>6790</v>
      </c>
      <c r="C1852" s="81" t="s">
        <v>20</v>
      </c>
      <c r="D1852" s="81" t="s">
        <v>16</v>
      </c>
      <c r="E1852" s="81" t="s">
        <v>15</v>
      </c>
      <c r="F1852" s="81" t="s">
        <v>6844</v>
      </c>
      <c r="G1852" s="81" t="s">
        <v>855</v>
      </c>
    </row>
    <row r="1853" spans="1:7" x14ac:dyDescent="0.3">
      <c r="A1853" s="81" t="s">
        <v>6789</v>
      </c>
      <c r="B1853" s="81" t="s">
        <v>6790</v>
      </c>
      <c r="C1853" s="81" t="s">
        <v>16</v>
      </c>
      <c r="D1853" s="81" t="s">
        <v>404</v>
      </c>
      <c r="E1853" s="81" t="s">
        <v>369</v>
      </c>
      <c r="F1853" s="81" t="s">
        <v>6791</v>
      </c>
      <c r="G1853" s="81" t="s">
        <v>3729</v>
      </c>
    </row>
    <row r="1854" spans="1:7" x14ac:dyDescent="0.3">
      <c r="A1854" s="81" t="s">
        <v>6789</v>
      </c>
      <c r="B1854" s="81" t="s">
        <v>6790</v>
      </c>
      <c r="C1854" s="81" t="s">
        <v>16</v>
      </c>
      <c r="D1854" s="81" t="s">
        <v>404</v>
      </c>
      <c r="E1854" s="81" t="s">
        <v>369</v>
      </c>
      <c r="F1854" s="81" t="s">
        <v>6844</v>
      </c>
      <c r="G1854" s="81" t="s">
        <v>3745</v>
      </c>
    </row>
    <row r="1855" spans="1:7" x14ac:dyDescent="0.3">
      <c r="A1855" s="81" t="s">
        <v>6789</v>
      </c>
      <c r="B1855" s="81" t="s">
        <v>6790</v>
      </c>
      <c r="C1855" s="81" t="s">
        <v>16</v>
      </c>
      <c r="D1855" s="81" t="s">
        <v>404</v>
      </c>
      <c r="E1855" s="81" t="s">
        <v>382</v>
      </c>
      <c r="F1855" s="81" t="s">
        <v>6791</v>
      </c>
      <c r="G1855" s="81" t="s">
        <v>3730</v>
      </c>
    </row>
    <row r="1856" spans="1:7" x14ac:dyDescent="0.3">
      <c r="A1856" s="81" t="s">
        <v>6789</v>
      </c>
      <c r="B1856" s="81" t="s">
        <v>6790</v>
      </c>
      <c r="C1856" s="81" t="s">
        <v>16</v>
      </c>
      <c r="D1856" s="81" t="s">
        <v>404</v>
      </c>
      <c r="E1856" s="81" t="s">
        <v>382</v>
      </c>
      <c r="F1856" s="81" t="s">
        <v>6844</v>
      </c>
      <c r="G1856" s="81" t="s">
        <v>3746</v>
      </c>
    </row>
    <row r="1857" spans="1:7" x14ac:dyDescent="0.3">
      <c r="A1857" s="81" t="s">
        <v>6789</v>
      </c>
      <c r="B1857" s="81" t="s">
        <v>6790</v>
      </c>
      <c r="C1857" s="81" t="s">
        <v>16</v>
      </c>
      <c r="D1857" s="81" t="s">
        <v>404</v>
      </c>
      <c r="E1857" s="81" t="s">
        <v>370</v>
      </c>
      <c r="F1857" s="81" t="s">
        <v>6791</v>
      </c>
      <c r="G1857" s="81" t="s">
        <v>3731</v>
      </c>
    </row>
    <row r="1858" spans="1:7" x14ac:dyDescent="0.3">
      <c r="A1858" s="81" t="s">
        <v>6789</v>
      </c>
      <c r="B1858" s="81" t="s">
        <v>6790</v>
      </c>
      <c r="C1858" s="81" t="s">
        <v>16</v>
      </c>
      <c r="D1858" s="81" t="s">
        <v>404</v>
      </c>
      <c r="E1858" s="81" t="s">
        <v>370</v>
      </c>
      <c r="F1858" s="81" t="s">
        <v>6844</v>
      </c>
      <c r="G1858" s="81" t="s">
        <v>3747</v>
      </c>
    </row>
    <row r="1859" spans="1:7" x14ac:dyDescent="0.3">
      <c r="A1859" s="81" t="s">
        <v>6789</v>
      </c>
      <c r="B1859" s="81" t="s">
        <v>6790</v>
      </c>
      <c r="C1859" s="81" t="s">
        <v>16</v>
      </c>
      <c r="D1859" s="81" t="s">
        <v>404</v>
      </c>
      <c r="E1859" s="81" t="s">
        <v>378</v>
      </c>
      <c r="F1859" s="81" t="s">
        <v>6791</v>
      </c>
      <c r="G1859" s="81" t="s">
        <v>3732</v>
      </c>
    </row>
    <row r="1860" spans="1:7" x14ac:dyDescent="0.3">
      <c r="A1860" s="81" t="s">
        <v>6789</v>
      </c>
      <c r="B1860" s="81" t="s">
        <v>6790</v>
      </c>
      <c r="C1860" s="81" t="s">
        <v>16</v>
      </c>
      <c r="D1860" s="81" t="s">
        <v>404</v>
      </c>
      <c r="E1860" s="81" t="s">
        <v>378</v>
      </c>
      <c r="F1860" s="81" t="s">
        <v>6844</v>
      </c>
      <c r="G1860" s="81" t="s">
        <v>3748</v>
      </c>
    </row>
    <row r="1861" spans="1:7" x14ac:dyDescent="0.3">
      <c r="A1861" s="81" t="s">
        <v>6789</v>
      </c>
      <c r="B1861" s="81" t="s">
        <v>6790</v>
      </c>
      <c r="C1861" s="81" t="s">
        <v>16</v>
      </c>
      <c r="D1861" s="81" t="s">
        <v>404</v>
      </c>
      <c r="E1861" s="81" t="s">
        <v>371</v>
      </c>
      <c r="F1861" s="81" t="s">
        <v>6791</v>
      </c>
      <c r="G1861" s="81" t="s">
        <v>3733</v>
      </c>
    </row>
    <row r="1862" spans="1:7" x14ac:dyDescent="0.3">
      <c r="A1862" s="81" t="s">
        <v>6789</v>
      </c>
      <c r="B1862" s="81" t="s">
        <v>6790</v>
      </c>
      <c r="C1862" s="81" t="s">
        <v>16</v>
      </c>
      <c r="D1862" s="81" t="s">
        <v>404</v>
      </c>
      <c r="E1862" s="81" t="s">
        <v>371</v>
      </c>
      <c r="F1862" s="81" t="s">
        <v>6844</v>
      </c>
      <c r="G1862" s="81" t="s">
        <v>3749</v>
      </c>
    </row>
    <row r="1863" spans="1:7" x14ac:dyDescent="0.3">
      <c r="A1863" s="81" t="s">
        <v>6789</v>
      </c>
      <c r="B1863" s="81" t="s">
        <v>6790</v>
      </c>
      <c r="C1863" s="81" t="s">
        <v>16</v>
      </c>
      <c r="D1863" s="81" t="s">
        <v>404</v>
      </c>
      <c r="E1863" s="81" t="s">
        <v>376</v>
      </c>
      <c r="F1863" s="81" t="s">
        <v>6791</v>
      </c>
      <c r="G1863" s="81" t="s">
        <v>3734</v>
      </c>
    </row>
    <row r="1864" spans="1:7" x14ac:dyDescent="0.3">
      <c r="A1864" s="81" t="s">
        <v>6789</v>
      </c>
      <c r="B1864" s="81" t="s">
        <v>6790</v>
      </c>
      <c r="C1864" s="81" t="s">
        <v>16</v>
      </c>
      <c r="D1864" s="81" t="s">
        <v>404</v>
      </c>
      <c r="E1864" s="81" t="s">
        <v>376</v>
      </c>
      <c r="F1864" s="81" t="s">
        <v>6844</v>
      </c>
      <c r="G1864" s="81" t="s">
        <v>3750</v>
      </c>
    </row>
    <row r="1865" spans="1:7" x14ac:dyDescent="0.3">
      <c r="A1865" s="81" t="s">
        <v>6789</v>
      </c>
      <c r="B1865" s="81" t="s">
        <v>6790</v>
      </c>
      <c r="C1865" s="81" t="s">
        <v>16</v>
      </c>
      <c r="D1865" s="81" t="s">
        <v>404</v>
      </c>
      <c r="E1865" s="81" t="s">
        <v>377</v>
      </c>
      <c r="F1865" s="81" t="s">
        <v>6791</v>
      </c>
      <c r="G1865" s="81" t="s">
        <v>3735</v>
      </c>
    </row>
    <row r="1866" spans="1:7" x14ac:dyDescent="0.3">
      <c r="A1866" s="81" t="s">
        <v>6789</v>
      </c>
      <c r="B1866" s="81" t="s">
        <v>6790</v>
      </c>
      <c r="C1866" s="81" t="s">
        <v>16</v>
      </c>
      <c r="D1866" s="81" t="s">
        <v>404</v>
      </c>
      <c r="E1866" s="81" t="s">
        <v>377</v>
      </c>
      <c r="F1866" s="81" t="s">
        <v>6844</v>
      </c>
      <c r="G1866" s="81" t="s">
        <v>3751</v>
      </c>
    </row>
    <row r="1867" spans="1:7" x14ac:dyDescent="0.3">
      <c r="A1867" s="81" t="s">
        <v>6789</v>
      </c>
      <c r="B1867" s="81" t="s">
        <v>6790</v>
      </c>
      <c r="C1867" s="81" t="s">
        <v>16</v>
      </c>
      <c r="D1867" s="81" t="s">
        <v>404</v>
      </c>
      <c r="E1867" s="81" t="s">
        <v>381</v>
      </c>
      <c r="F1867" s="81" t="s">
        <v>6791</v>
      </c>
      <c r="G1867" s="81" t="s">
        <v>3736</v>
      </c>
    </row>
    <row r="1868" spans="1:7" x14ac:dyDescent="0.3">
      <c r="A1868" s="81" t="s">
        <v>6789</v>
      </c>
      <c r="B1868" s="81" t="s">
        <v>6790</v>
      </c>
      <c r="C1868" s="81" t="s">
        <v>16</v>
      </c>
      <c r="D1868" s="81" t="s">
        <v>404</v>
      </c>
      <c r="E1868" s="81" t="s">
        <v>381</v>
      </c>
      <c r="F1868" s="81" t="s">
        <v>6844</v>
      </c>
      <c r="G1868" s="81" t="s">
        <v>3752</v>
      </c>
    </row>
    <row r="1869" spans="1:7" x14ac:dyDescent="0.3">
      <c r="A1869" s="81" t="s">
        <v>6789</v>
      </c>
      <c r="B1869" s="81" t="s">
        <v>6790</v>
      </c>
      <c r="C1869" s="81" t="s">
        <v>16</v>
      </c>
      <c r="D1869" s="81" t="s">
        <v>404</v>
      </c>
      <c r="E1869" s="81" t="s">
        <v>379</v>
      </c>
      <c r="F1869" s="81" t="s">
        <v>6791</v>
      </c>
      <c r="G1869" s="81" t="s">
        <v>3737</v>
      </c>
    </row>
    <row r="1870" spans="1:7" x14ac:dyDescent="0.3">
      <c r="A1870" s="81" t="s">
        <v>6789</v>
      </c>
      <c r="B1870" s="81" t="s">
        <v>6790</v>
      </c>
      <c r="C1870" s="81" t="s">
        <v>16</v>
      </c>
      <c r="D1870" s="81" t="s">
        <v>404</v>
      </c>
      <c r="E1870" s="81" t="s">
        <v>379</v>
      </c>
      <c r="F1870" s="81" t="s">
        <v>6844</v>
      </c>
      <c r="G1870" s="81" t="s">
        <v>3753</v>
      </c>
    </row>
    <row r="1871" spans="1:7" x14ac:dyDescent="0.3">
      <c r="A1871" s="81" t="s">
        <v>6789</v>
      </c>
      <c r="B1871" s="81" t="s">
        <v>6790</v>
      </c>
      <c r="C1871" s="81" t="s">
        <v>16</v>
      </c>
      <c r="D1871" s="81" t="s">
        <v>404</v>
      </c>
      <c r="E1871" s="81" t="s">
        <v>374</v>
      </c>
      <c r="F1871" s="81" t="s">
        <v>6791</v>
      </c>
      <c r="G1871" s="81" t="s">
        <v>3738</v>
      </c>
    </row>
    <row r="1872" spans="1:7" x14ac:dyDescent="0.3">
      <c r="A1872" s="81" t="s">
        <v>6789</v>
      </c>
      <c r="B1872" s="81" t="s">
        <v>6790</v>
      </c>
      <c r="C1872" s="81" t="s">
        <v>16</v>
      </c>
      <c r="D1872" s="81" t="s">
        <v>404</v>
      </c>
      <c r="E1872" s="81" t="s">
        <v>374</v>
      </c>
      <c r="F1872" s="81" t="s">
        <v>6844</v>
      </c>
      <c r="G1872" s="81" t="s">
        <v>3754</v>
      </c>
    </row>
    <row r="1873" spans="1:7" x14ac:dyDescent="0.3">
      <c r="A1873" s="81" t="s">
        <v>6789</v>
      </c>
      <c r="B1873" s="81" t="s">
        <v>6790</v>
      </c>
      <c r="C1873" s="81" t="s">
        <v>16</v>
      </c>
      <c r="D1873" s="81" t="s">
        <v>404</v>
      </c>
      <c r="E1873" s="81" t="s">
        <v>383</v>
      </c>
      <c r="F1873" s="81" t="s">
        <v>6791</v>
      </c>
      <c r="G1873" s="81" t="s">
        <v>3739</v>
      </c>
    </row>
    <row r="1874" spans="1:7" x14ac:dyDescent="0.3">
      <c r="A1874" s="81" t="s">
        <v>6789</v>
      </c>
      <c r="B1874" s="81" t="s">
        <v>6790</v>
      </c>
      <c r="C1874" s="81" t="s">
        <v>16</v>
      </c>
      <c r="D1874" s="81" t="s">
        <v>404</v>
      </c>
      <c r="E1874" s="81" t="s">
        <v>383</v>
      </c>
      <c r="F1874" s="81" t="s">
        <v>6844</v>
      </c>
      <c r="G1874" s="81" t="s">
        <v>3755</v>
      </c>
    </row>
    <row r="1875" spans="1:7" x14ac:dyDescent="0.3">
      <c r="A1875" s="81" t="s">
        <v>6789</v>
      </c>
      <c r="B1875" s="81" t="s">
        <v>6790</v>
      </c>
      <c r="C1875" s="81" t="s">
        <v>16</v>
      </c>
      <c r="D1875" s="81" t="s">
        <v>404</v>
      </c>
      <c r="E1875" s="81" t="s">
        <v>373</v>
      </c>
      <c r="F1875" s="81" t="s">
        <v>6791</v>
      </c>
      <c r="G1875" s="81" t="s">
        <v>3740</v>
      </c>
    </row>
    <row r="1876" spans="1:7" x14ac:dyDescent="0.3">
      <c r="A1876" s="81" t="s">
        <v>6789</v>
      </c>
      <c r="B1876" s="81" t="s">
        <v>6790</v>
      </c>
      <c r="C1876" s="81" t="s">
        <v>16</v>
      </c>
      <c r="D1876" s="81" t="s">
        <v>404</v>
      </c>
      <c r="E1876" s="81" t="s">
        <v>373</v>
      </c>
      <c r="F1876" s="81" t="s">
        <v>6844</v>
      </c>
      <c r="G1876" s="81" t="s">
        <v>3756</v>
      </c>
    </row>
    <row r="1877" spans="1:7" x14ac:dyDescent="0.3">
      <c r="A1877" s="81" t="s">
        <v>6789</v>
      </c>
      <c r="B1877" s="81" t="s">
        <v>6790</v>
      </c>
      <c r="C1877" s="81" t="s">
        <v>16</v>
      </c>
      <c r="D1877" s="81" t="s">
        <v>404</v>
      </c>
      <c r="E1877" s="81" t="s">
        <v>368</v>
      </c>
      <c r="F1877" s="81" t="s">
        <v>6791</v>
      </c>
      <c r="G1877" s="81" t="s">
        <v>3741</v>
      </c>
    </row>
    <row r="1878" spans="1:7" x14ac:dyDescent="0.3">
      <c r="A1878" s="81" t="s">
        <v>6789</v>
      </c>
      <c r="B1878" s="81" t="s">
        <v>6790</v>
      </c>
      <c r="C1878" s="81" t="s">
        <v>16</v>
      </c>
      <c r="D1878" s="81" t="s">
        <v>404</v>
      </c>
      <c r="E1878" s="81" t="s">
        <v>368</v>
      </c>
      <c r="F1878" s="81" t="s">
        <v>6844</v>
      </c>
      <c r="G1878" s="81" t="s">
        <v>3757</v>
      </c>
    </row>
    <row r="1879" spans="1:7" x14ac:dyDescent="0.3">
      <c r="A1879" s="81" t="s">
        <v>6789</v>
      </c>
      <c r="B1879" s="81" t="s">
        <v>6790</v>
      </c>
      <c r="C1879" s="81" t="s">
        <v>16</v>
      </c>
      <c r="D1879" s="81" t="s">
        <v>404</v>
      </c>
      <c r="E1879" s="81" t="s">
        <v>372</v>
      </c>
      <c r="F1879" s="81" t="s">
        <v>6791</v>
      </c>
      <c r="G1879" s="81" t="s">
        <v>3742</v>
      </c>
    </row>
    <row r="1880" spans="1:7" x14ac:dyDescent="0.3">
      <c r="A1880" s="81" t="s">
        <v>6789</v>
      </c>
      <c r="B1880" s="81" t="s">
        <v>6790</v>
      </c>
      <c r="C1880" s="81" t="s">
        <v>16</v>
      </c>
      <c r="D1880" s="81" t="s">
        <v>404</v>
      </c>
      <c r="E1880" s="81" t="s">
        <v>372</v>
      </c>
      <c r="F1880" s="81" t="s">
        <v>6844</v>
      </c>
      <c r="G1880" s="81" t="s">
        <v>3758</v>
      </c>
    </row>
    <row r="1881" spans="1:7" x14ac:dyDescent="0.3">
      <c r="A1881" s="81" t="s">
        <v>6789</v>
      </c>
      <c r="B1881" s="81" t="s">
        <v>6790</v>
      </c>
      <c r="C1881" s="81" t="s">
        <v>16</v>
      </c>
      <c r="D1881" s="81" t="s">
        <v>404</v>
      </c>
      <c r="E1881" s="81" t="s">
        <v>375</v>
      </c>
      <c r="F1881" s="81" t="s">
        <v>6791</v>
      </c>
      <c r="G1881" s="81" t="s">
        <v>3743</v>
      </c>
    </row>
    <row r="1882" spans="1:7" x14ac:dyDescent="0.3">
      <c r="A1882" s="81" t="s">
        <v>6789</v>
      </c>
      <c r="B1882" s="81" t="s">
        <v>6790</v>
      </c>
      <c r="C1882" s="81" t="s">
        <v>16</v>
      </c>
      <c r="D1882" s="81" t="s">
        <v>404</v>
      </c>
      <c r="E1882" s="81" t="s">
        <v>375</v>
      </c>
      <c r="F1882" s="81" t="s">
        <v>6844</v>
      </c>
      <c r="G1882" s="81" t="s">
        <v>3759</v>
      </c>
    </row>
    <row r="1883" spans="1:7" x14ac:dyDescent="0.3">
      <c r="A1883" s="81" t="s">
        <v>6789</v>
      </c>
      <c r="B1883" s="81" t="s">
        <v>6790</v>
      </c>
      <c r="C1883" s="81" t="s">
        <v>16</v>
      </c>
      <c r="D1883" s="81" t="s">
        <v>404</v>
      </c>
      <c r="E1883" s="81" t="s">
        <v>380</v>
      </c>
      <c r="F1883" s="81" t="s">
        <v>6791</v>
      </c>
      <c r="G1883" s="81" t="s">
        <v>3744</v>
      </c>
    </row>
    <row r="1884" spans="1:7" x14ac:dyDescent="0.3">
      <c r="A1884" s="81" t="s">
        <v>6789</v>
      </c>
      <c r="B1884" s="81" t="s">
        <v>6790</v>
      </c>
      <c r="C1884" s="81" t="s">
        <v>16</v>
      </c>
      <c r="D1884" s="81" t="s">
        <v>404</v>
      </c>
      <c r="E1884" s="81" t="s">
        <v>380</v>
      </c>
      <c r="F1884" s="81" t="s">
        <v>6844</v>
      </c>
      <c r="G1884" s="81" t="s">
        <v>3760</v>
      </c>
    </row>
    <row r="1885" spans="1:7" x14ac:dyDescent="0.3">
      <c r="A1885" s="81" t="s">
        <v>6898</v>
      </c>
      <c r="B1885" s="81" t="s">
        <v>6790</v>
      </c>
      <c r="C1885" s="81" t="s">
        <v>20</v>
      </c>
      <c r="D1885" s="81" t="s">
        <v>16</v>
      </c>
      <c r="E1885" s="81" t="s">
        <v>15</v>
      </c>
      <c r="F1885" s="81" t="s">
        <v>6898</v>
      </c>
      <c r="G1885" s="81" t="s">
        <v>1033</v>
      </c>
    </row>
    <row r="1886" spans="1:7" x14ac:dyDescent="0.3">
      <c r="A1886" s="81" t="s">
        <v>6898</v>
      </c>
      <c r="B1886" s="81" t="s">
        <v>6790</v>
      </c>
      <c r="C1886" s="81" t="s">
        <v>16</v>
      </c>
      <c r="D1886" s="81" t="s">
        <v>404</v>
      </c>
      <c r="E1886" s="81" t="s">
        <v>369</v>
      </c>
      <c r="F1886" s="81" t="s">
        <v>6898</v>
      </c>
      <c r="G1886" s="81" t="s">
        <v>3729</v>
      </c>
    </row>
    <row r="1887" spans="1:7" x14ac:dyDescent="0.3">
      <c r="A1887" s="81" t="s">
        <v>6898</v>
      </c>
      <c r="B1887" s="81" t="s">
        <v>6790</v>
      </c>
      <c r="C1887" s="81" t="s">
        <v>16</v>
      </c>
      <c r="D1887" s="81" t="s">
        <v>404</v>
      </c>
      <c r="E1887" s="81" t="s">
        <v>382</v>
      </c>
      <c r="F1887" s="81" t="s">
        <v>6898</v>
      </c>
      <c r="G1887" s="81" t="s">
        <v>3730</v>
      </c>
    </row>
    <row r="1888" spans="1:7" x14ac:dyDescent="0.3">
      <c r="A1888" s="81" t="s">
        <v>6898</v>
      </c>
      <c r="B1888" s="81" t="s">
        <v>6790</v>
      </c>
      <c r="C1888" s="81" t="s">
        <v>16</v>
      </c>
      <c r="D1888" s="81" t="s">
        <v>404</v>
      </c>
      <c r="E1888" s="81" t="s">
        <v>370</v>
      </c>
      <c r="F1888" s="81" t="s">
        <v>6898</v>
      </c>
      <c r="G1888" s="81" t="s">
        <v>3731</v>
      </c>
    </row>
    <row r="1889" spans="1:7" x14ac:dyDescent="0.3">
      <c r="A1889" s="81" t="s">
        <v>6898</v>
      </c>
      <c r="B1889" s="81" t="s">
        <v>6790</v>
      </c>
      <c r="C1889" s="81" t="s">
        <v>16</v>
      </c>
      <c r="D1889" s="81" t="s">
        <v>404</v>
      </c>
      <c r="E1889" s="81" t="s">
        <v>378</v>
      </c>
      <c r="F1889" s="81" t="s">
        <v>6898</v>
      </c>
      <c r="G1889" s="81" t="s">
        <v>3732</v>
      </c>
    </row>
    <row r="1890" spans="1:7" x14ac:dyDescent="0.3">
      <c r="A1890" s="81" t="s">
        <v>6898</v>
      </c>
      <c r="B1890" s="81" t="s">
        <v>6790</v>
      </c>
      <c r="C1890" s="81" t="s">
        <v>16</v>
      </c>
      <c r="D1890" s="81" t="s">
        <v>404</v>
      </c>
      <c r="E1890" s="81" t="s">
        <v>371</v>
      </c>
      <c r="F1890" s="81" t="s">
        <v>6898</v>
      </c>
      <c r="G1890" s="81" t="s">
        <v>3733</v>
      </c>
    </row>
    <row r="1891" spans="1:7" x14ac:dyDescent="0.3">
      <c r="A1891" s="81" t="s">
        <v>6898</v>
      </c>
      <c r="B1891" s="81" t="s">
        <v>6790</v>
      </c>
      <c r="C1891" s="81" t="s">
        <v>16</v>
      </c>
      <c r="D1891" s="81" t="s">
        <v>404</v>
      </c>
      <c r="E1891" s="81" t="s">
        <v>376</v>
      </c>
      <c r="F1891" s="81" t="s">
        <v>6898</v>
      </c>
      <c r="G1891" s="81" t="s">
        <v>3734</v>
      </c>
    </row>
    <row r="1892" spans="1:7" x14ac:dyDescent="0.3">
      <c r="A1892" s="81" t="s">
        <v>6898</v>
      </c>
      <c r="B1892" s="81" t="s">
        <v>6790</v>
      </c>
      <c r="C1892" s="81" t="s">
        <v>16</v>
      </c>
      <c r="D1892" s="81" t="s">
        <v>404</v>
      </c>
      <c r="E1892" s="81" t="s">
        <v>377</v>
      </c>
      <c r="F1892" s="81" t="s">
        <v>6898</v>
      </c>
      <c r="G1892" s="81" t="s">
        <v>3735</v>
      </c>
    </row>
    <row r="1893" spans="1:7" x14ac:dyDescent="0.3">
      <c r="A1893" s="81" t="s">
        <v>6898</v>
      </c>
      <c r="B1893" s="81" t="s">
        <v>6790</v>
      </c>
      <c r="C1893" s="81" t="s">
        <v>16</v>
      </c>
      <c r="D1893" s="81" t="s">
        <v>404</v>
      </c>
      <c r="E1893" s="81" t="s">
        <v>381</v>
      </c>
      <c r="F1893" s="81" t="s">
        <v>6898</v>
      </c>
      <c r="G1893" s="81" t="s">
        <v>3736</v>
      </c>
    </row>
    <row r="1894" spans="1:7" x14ac:dyDescent="0.3">
      <c r="A1894" s="81" t="s">
        <v>6898</v>
      </c>
      <c r="B1894" s="81" t="s">
        <v>6790</v>
      </c>
      <c r="C1894" s="81" t="s">
        <v>16</v>
      </c>
      <c r="D1894" s="81" t="s">
        <v>404</v>
      </c>
      <c r="E1894" s="81" t="s">
        <v>379</v>
      </c>
      <c r="F1894" s="81" t="s">
        <v>6898</v>
      </c>
      <c r="G1894" s="81" t="s">
        <v>3737</v>
      </c>
    </row>
    <row r="1895" spans="1:7" x14ac:dyDescent="0.3">
      <c r="A1895" s="81" t="s">
        <v>6898</v>
      </c>
      <c r="B1895" s="81" t="s">
        <v>6790</v>
      </c>
      <c r="C1895" s="81" t="s">
        <v>16</v>
      </c>
      <c r="D1895" s="81" t="s">
        <v>404</v>
      </c>
      <c r="E1895" s="81" t="s">
        <v>374</v>
      </c>
      <c r="F1895" s="81" t="s">
        <v>6898</v>
      </c>
      <c r="G1895" s="81" t="s">
        <v>3738</v>
      </c>
    </row>
    <row r="1896" spans="1:7" x14ac:dyDescent="0.3">
      <c r="A1896" s="81" t="s">
        <v>6898</v>
      </c>
      <c r="B1896" s="81" t="s">
        <v>6790</v>
      </c>
      <c r="C1896" s="81" t="s">
        <v>16</v>
      </c>
      <c r="D1896" s="81" t="s">
        <v>404</v>
      </c>
      <c r="E1896" s="81" t="s">
        <v>383</v>
      </c>
      <c r="F1896" s="81" t="s">
        <v>6898</v>
      </c>
      <c r="G1896" s="81" t="s">
        <v>3739</v>
      </c>
    </row>
    <row r="1897" spans="1:7" x14ac:dyDescent="0.3">
      <c r="A1897" s="81" t="s">
        <v>6898</v>
      </c>
      <c r="B1897" s="81" t="s">
        <v>6790</v>
      </c>
      <c r="C1897" s="81" t="s">
        <v>16</v>
      </c>
      <c r="D1897" s="81" t="s">
        <v>404</v>
      </c>
      <c r="E1897" s="81" t="s">
        <v>373</v>
      </c>
      <c r="F1897" s="81" t="s">
        <v>6898</v>
      </c>
      <c r="G1897" s="81" t="s">
        <v>3740</v>
      </c>
    </row>
    <row r="1898" spans="1:7" x14ac:dyDescent="0.3">
      <c r="A1898" s="81" t="s">
        <v>6898</v>
      </c>
      <c r="B1898" s="81" t="s">
        <v>6790</v>
      </c>
      <c r="C1898" s="81" t="s">
        <v>16</v>
      </c>
      <c r="D1898" s="81" t="s">
        <v>404</v>
      </c>
      <c r="E1898" s="81" t="s">
        <v>368</v>
      </c>
      <c r="F1898" s="81" t="s">
        <v>6898</v>
      </c>
      <c r="G1898" s="81" t="s">
        <v>3741</v>
      </c>
    </row>
    <row r="1899" spans="1:7" x14ac:dyDescent="0.3">
      <c r="A1899" s="81" t="s">
        <v>6898</v>
      </c>
      <c r="B1899" s="81" t="s">
        <v>6790</v>
      </c>
      <c r="C1899" s="81" t="s">
        <v>16</v>
      </c>
      <c r="D1899" s="81" t="s">
        <v>404</v>
      </c>
      <c r="E1899" s="81" t="s">
        <v>372</v>
      </c>
      <c r="F1899" s="81" t="s">
        <v>6898</v>
      </c>
      <c r="G1899" s="81" t="s">
        <v>3742</v>
      </c>
    </row>
    <row r="1900" spans="1:7" x14ac:dyDescent="0.3">
      <c r="A1900" s="81" t="s">
        <v>6898</v>
      </c>
      <c r="B1900" s="81" t="s">
        <v>6790</v>
      </c>
      <c r="C1900" s="81" t="s">
        <v>16</v>
      </c>
      <c r="D1900" s="81" t="s">
        <v>404</v>
      </c>
      <c r="E1900" s="81" t="s">
        <v>375</v>
      </c>
      <c r="F1900" s="81" t="s">
        <v>6898</v>
      </c>
      <c r="G1900" s="81" t="s">
        <v>3743</v>
      </c>
    </row>
    <row r="1901" spans="1:7" x14ac:dyDescent="0.3">
      <c r="A1901" s="81" t="s">
        <v>6898</v>
      </c>
      <c r="B1901" s="81" t="s">
        <v>6790</v>
      </c>
      <c r="C1901" s="81" t="s">
        <v>16</v>
      </c>
      <c r="D1901" s="81" t="s">
        <v>404</v>
      </c>
      <c r="E1901" s="81" t="s">
        <v>380</v>
      </c>
      <c r="F1901" s="81" t="s">
        <v>6898</v>
      </c>
      <c r="G1901" s="81" t="s">
        <v>3744</v>
      </c>
    </row>
    <row r="1902" spans="1:7" x14ac:dyDescent="0.3">
      <c r="A1902" s="81" t="s">
        <v>6951</v>
      </c>
      <c r="B1902" s="81" t="s">
        <v>6952</v>
      </c>
      <c r="C1902" s="81" t="s">
        <v>20</v>
      </c>
      <c r="D1902" s="81" t="s">
        <v>404</v>
      </c>
      <c r="E1902" s="81" t="s">
        <v>15</v>
      </c>
      <c r="F1902" s="81" t="s">
        <v>6953</v>
      </c>
      <c r="G1902" s="81">
        <v>0</v>
      </c>
    </row>
    <row r="1903" spans="1:7" x14ac:dyDescent="0.3">
      <c r="A1903" s="81" t="s">
        <v>6951</v>
      </c>
      <c r="B1903" s="81" t="s">
        <v>6952</v>
      </c>
      <c r="C1903" s="81" t="s">
        <v>20</v>
      </c>
      <c r="D1903" s="81" t="s">
        <v>404</v>
      </c>
      <c r="E1903" s="81" t="s">
        <v>15</v>
      </c>
      <c r="F1903" s="81" t="s">
        <v>6961</v>
      </c>
      <c r="G1903" s="81">
        <v>0</v>
      </c>
    </row>
    <row r="1904" spans="1:7" x14ac:dyDescent="0.3">
      <c r="A1904" s="81" t="s">
        <v>6971</v>
      </c>
      <c r="B1904" s="81" t="s">
        <v>3795</v>
      </c>
      <c r="C1904" s="81" t="s">
        <v>20</v>
      </c>
      <c r="D1904" s="81" t="s">
        <v>16</v>
      </c>
      <c r="E1904" s="81" t="s">
        <v>15</v>
      </c>
      <c r="F1904" s="81" t="s">
        <v>6972</v>
      </c>
      <c r="G1904" s="81" t="s">
        <v>1033</v>
      </c>
    </row>
    <row r="1905" spans="1:7" x14ac:dyDescent="0.3">
      <c r="A1905" s="81" t="s">
        <v>6971</v>
      </c>
      <c r="B1905" s="81" t="s">
        <v>3795</v>
      </c>
      <c r="C1905" s="81" t="s">
        <v>16</v>
      </c>
      <c r="D1905" s="81" t="s">
        <v>404</v>
      </c>
      <c r="E1905" s="81" t="s">
        <v>369</v>
      </c>
      <c r="F1905" s="81" t="s">
        <v>6972</v>
      </c>
      <c r="G1905" s="81" t="s">
        <v>3729</v>
      </c>
    </row>
    <row r="1906" spans="1:7" x14ac:dyDescent="0.3">
      <c r="A1906" s="81" t="s">
        <v>6971</v>
      </c>
      <c r="B1906" s="81" t="s">
        <v>3795</v>
      </c>
      <c r="C1906" s="81" t="s">
        <v>16</v>
      </c>
      <c r="D1906" s="81" t="s">
        <v>404</v>
      </c>
      <c r="E1906" s="81" t="s">
        <v>382</v>
      </c>
      <c r="F1906" s="81" t="s">
        <v>6972</v>
      </c>
      <c r="G1906" s="81" t="s">
        <v>3730</v>
      </c>
    </row>
    <row r="1907" spans="1:7" x14ac:dyDescent="0.3">
      <c r="A1907" s="81" t="s">
        <v>6971</v>
      </c>
      <c r="B1907" s="81" t="s">
        <v>3795</v>
      </c>
      <c r="C1907" s="81" t="s">
        <v>16</v>
      </c>
      <c r="D1907" s="81" t="s">
        <v>404</v>
      </c>
      <c r="E1907" s="81" t="s">
        <v>370</v>
      </c>
      <c r="F1907" s="81" t="s">
        <v>6972</v>
      </c>
      <c r="G1907" s="81" t="s">
        <v>3731</v>
      </c>
    </row>
    <row r="1908" spans="1:7" x14ac:dyDescent="0.3">
      <c r="A1908" s="81" t="s">
        <v>6971</v>
      </c>
      <c r="B1908" s="81" t="s">
        <v>3795</v>
      </c>
      <c r="C1908" s="81" t="s">
        <v>16</v>
      </c>
      <c r="D1908" s="81" t="s">
        <v>404</v>
      </c>
      <c r="E1908" s="81" t="s">
        <v>378</v>
      </c>
      <c r="F1908" s="81" t="s">
        <v>6972</v>
      </c>
      <c r="G1908" s="81" t="s">
        <v>3732</v>
      </c>
    </row>
    <row r="1909" spans="1:7" x14ac:dyDescent="0.3">
      <c r="A1909" s="81" t="s">
        <v>6971</v>
      </c>
      <c r="B1909" s="81" t="s">
        <v>3795</v>
      </c>
      <c r="C1909" s="81" t="s">
        <v>16</v>
      </c>
      <c r="D1909" s="81" t="s">
        <v>404</v>
      </c>
      <c r="E1909" s="81" t="s">
        <v>371</v>
      </c>
      <c r="F1909" s="81" t="s">
        <v>6972</v>
      </c>
      <c r="G1909" s="81" t="s">
        <v>3733</v>
      </c>
    </row>
    <row r="1910" spans="1:7" x14ac:dyDescent="0.3">
      <c r="A1910" s="81" t="s">
        <v>6971</v>
      </c>
      <c r="B1910" s="81" t="s">
        <v>3795</v>
      </c>
      <c r="C1910" s="81" t="s">
        <v>16</v>
      </c>
      <c r="D1910" s="81" t="s">
        <v>404</v>
      </c>
      <c r="E1910" s="81" t="s">
        <v>376</v>
      </c>
      <c r="F1910" s="81" t="s">
        <v>6972</v>
      </c>
      <c r="G1910" s="81" t="s">
        <v>3734</v>
      </c>
    </row>
    <row r="1911" spans="1:7" x14ac:dyDescent="0.3">
      <c r="A1911" s="81" t="s">
        <v>6971</v>
      </c>
      <c r="B1911" s="81" t="s">
        <v>3795</v>
      </c>
      <c r="C1911" s="81" t="s">
        <v>16</v>
      </c>
      <c r="D1911" s="81" t="s">
        <v>404</v>
      </c>
      <c r="E1911" s="81" t="s">
        <v>377</v>
      </c>
      <c r="F1911" s="81" t="s">
        <v>6972</v>
      </c>
      <c r="G1911" s="81" t="s">
        <v>3735</v>
      </c>
    </row>
    <row r="1912" spans="1:7" x14ac:dyDescent="0.3">
      <c r="A1912" s="81" t="s">
        <v>6971</v>
      </c>
      <c r="B1912" s="81" t="s">
        <v>3795</v>
      </c>
      <c r="C1912" s="81" t="s">
        <v>16</v>
      </c>
      <c r="D1912" s="81" t="s">
        <v>404</v>
      </c>
      <c r="E1912" s="81" t="s">
        <v>381</v>
      </c>
      <c r="F1912" s="81" t="s">
        <v>6972</v>
      </c>
      <c r="G1912" s="81" t="s">
        <v>3736</v>
      </c>
    </row>
    <row r="1913" spans="1:7" x14ac:dyDescent="0.3">
      <c r="A1913" s="81" t="s">
        <v>6971</v>
      </c>
      <c r="B1913" s="81" t="s">
        <v>3795</v>
      </c>
      <c r="C1913" s="81" t="s">
        <v>16</v>
      </c>
      <c r="D1913" s="81" t="s">
        <v>404</v>
      </c>
      <c r="E1913" s="81" t="s">
        <v>379</v>
      </c>
      <c r="F1913" s="81" t="s">
        <v>6972</v>
      </c>
      <c r="G1913" s="81" t="s">
        <v>3737</v>
      </c>
    </row>
    <row r="1914" spans="1:7" x14ac:dyDescent="0.3">
      <c r="A1914" s="81" t="s">
        <v>6971</v>
      </c>
      <c r="B1914" s="81" t="s">
        <v>3795</v>
      </c>
      <c r="C1914" s="81" t="s">
        <v>16</v>
      </c>
      <c r="D1914" s="81" t="s">
        <v>404</v>
      </c>
      <c r="E1914" s="81" t="s">
        <v>374</v>
      </c>
      <c r="F1914" s="81" t="s">
        <v>6972</v>
      </c>
      <c r="G1914" s="81" t="s">
        <v>3738</v>
      </c>
    </row>
    <row r="1915" spans="1:7" x14ac:dyDescent="0.3">
      <c r="A1915" s="81" t="s">
        <v>6971</v>
      </c>
      <c r="B1915" s="81" t="s">
        <v>3795</v>
      </c>
      <c r="C1915" s="81" t="s">
        <v>16</v>
      </c>
      <c r="D1915" s="81" t="s">
        <v>404</v>
      </c>
      <c r="E1915" s="81" t="s">
        <v>383</v>
      </c>
      <c r="F1915" s="81" t="s">
        <v>6972</v>
      </c>
      <c r="G1915" s="81" t="s">
        <v>3739</v>
      </c>
    </row>
    <row r="1916" spans="1:7" x14ac:dyDescent="0.3">
      <c r="A1916" s="81" t="s">
        <v>6971</v>
      </c>
      <c r="B1916" s="81" t="s">
        <v>3795</v>
      </c>
      <c r="C1916" s="81" t="s">
        <v>16</v>
      </c>
      <c r="D1916" s="81" t="s">
        <v>404</v>
      </c>
      <c r="E1916" s="81" t="s">
        <v>373</v>
      </c>
      <c r="F1916" s="81" t="s">
        <v>6972</v>
      </c>
      <c r="G1916" s="81" t="s">
        <v>3740</v>
      </c>
    </row>
    <row r="1917" spans="1:7" x14ac:dyDescent="0.3">
      <c r="A1917" s="81" t="s">
        <v>6971</v>
      </c>
      <c r="B1917" s="81" t="s">
        <v>3795</v>
      </c>
      <c r="C1917" s="81" t="s">
        <v>16</v>
      </c>
      <c r="D1917" s="81" t="s">
        <v>404</v>
      </c>
      <c r="E1917" s="81" t="s">
        <v>368</v>
      </c>
      <c r="F1917" s="81" t="s">
        <v>6972</v>
      </c>
      <c r="G1917" s="81" t="s">
        <v>3741</v>
      </c>
    </row>
    <row r="1918" spans="1:7" x14ac:dyDescent="0.3">
      <c r="A1918" s="81" t="s">
        <v>6971</v>
      </c>
      <c r="B1918" s="81" t="s">
        <v>3795</v>
      </c>
      <c r="C1918" s="81" t="s">
        <v>16</v>
      </c>
      <c r="D1918" s="81" t="s">
        <v>404</v>
      </c>
      <c r="E1918" s="81" t="s">
        <v>372</v>
      </c>
      <c r="F1918" s="81" t="s">
        <v>6972</v>
      </c>
      <c r="G1918" s="81" t="s">
        <v>3742</v>
      </c>
    </row>
    <row r="1919" spans="1:7" x14ac:dyDescent="0.3">
      <c r="A1919" s="81" t="s">
        <v>6971</v>
      </c>
      <c r="B1919" s="81" t="s">
        <v>3795</v>
      </c>
      <c r="C1919" s="81" t="s">
        <v>16</v>
      </c>
      <c r="D1919" s="81" t="s">
        <v>404</v>
      </c>
      <c r="E1919" s="81" t="s">
        <v>375</v>
      </c>
      <c r="F1919" s="81" t="s">
        <v>6972</v>
      </c>
      <c r="G1919" s="81" t="s">
        <v>3743</v>
      </c>
    </row>
    <row r="1920" spans="1:7" x14ac:dyDescent="0.3">
      <c r="A1920" s="81" t="s">
        <v>6971</v>
      </c>
      <c r="B1920" s="81" t="s">
        <v>3795</v>
      </c>
      <c r="C1920" s="81" t="s">
        <v>16</v>
      </c>
      <c r="D1920" s="81" t="s">
        <v>404</v>
      </c>
      <c r="E1920" s="81" t="s">
        <v>380</v>
      </c>
      <c r="F1920" s="81" t="s">
        <v>6972</v>
      </c>
      <c r="G1920" s="81" t="s">
        <v>3744</v>
      </c>
    </row>
    <row r="1921" spans="1:7" x14ac:dyDescent="0.3">
      <c r="A1921" s="81" t="s">
        <v>7026</v>
      </c>
      <c r="B1921" s="81" t="s">
        <v>3795</v>
      </c>
      <c r="C1921" s="81" t="s">
        <v>20</v>
      </c>
      <c r="D1921" s="81" t="s">
        <v>16</v>
      </c>
      <c r="E1921" s="81" t="s">
        <v>15</v>
      </c>
      <c r="F1921" s="81" t="s">
        <v>7027</v>
      </c>
      <c r="G1921" s="81" t="s">
        <v>1033</v>
      </c>
    </row>
    <row r="1922" spans="1:7" x14ac:dyDescent="0.3">
      <c r="A1922" s="81" t="s">
        <v>7026</v>
      </c>
      <c r="B1922" s="81" t="s">
        <v>3795</v>
      </c>
      <c r="C1922" s="81" t="s">
        <v>16</v>
      </c>
      <c r="D1922" s="81" t="s">
        <v>404</v>
      </c>
      <c r="E1922" s="81" t="s">
        <v>369</v>
      </c>
      <c r="F1922" s="81" t="s">
        <v>7027</v>
      </c>
      <c r="G1922" s="81" t="s">
        <v>3729</v>
      </c>
    </row>
    <row r="1923" spans="1:7" x14ac:dyDescent="0.3">
      <c r="A1923" s="81" t="s">
        <v>7026</v>
      </c>
      <c r="B1923" s="81" t="s">
        <v>3795</v>
      </c>
      <c r="C1923" s="81" t="s">
        <v>16</v>
      </c>
      <c r="D1923" s="81" t="s">
        <v>404</v>
      </c>
      <c r="E1923" s="81" t="s">
        <v>382</v>
      </c>
      <c r="F1923" s="81" t="s">
        <v>7027</v>
      </c>
      <c r="G1923" s="81" t="s">
        <v>3730</v>
      </c>
    </row>
    <row r="1924" spans="1:7" x14ac:dyDescent="0.3">
      <c r="A1924" s="81" t="s">
        <v>7026</v>
      </c>
      <c r="B1924" s="81" t="s">
        <v>3795</v>
      </c>
      <c r="C1924" s="81" t="s">
        <v>16</v>
      </c>
      <c r="D1924" s="81" t="s">
        <v>404</v>
      </c>
      <c r="E1924" s="81" t="s">
        <v>370</v>
      </c>
      <c r="F1924" s="81" t="s">
        <v>7027</v>
      </c>
      <c r="G1924" s="81" t="s">
        <v>3731</v>
      </c>
    </row>
    <row r="1925" spans="1:7" x14ac:dyDescent="0.3">
      <c r="A1925" s="81" t="s">
        <v>7026</v>
      </c>
      <c r="B1925" s="81" t="s">
        <v>3795</v>
      </c>
      <c r="C1925" s="81" t="s">
        <v>16</v>
      </c>
      <c r="D1925" s="81" t="s">
        <v>404</v>
      </c>
      <c r="E1925" s="81" t="s">
        <v>378</v>
      </c>
      <c r="F1925" s="81" t="s">
        <v>7027</v>
      </c>
      <c r="G1925" s="81" t="s">
        <v>3732</v>
      </c>
    </row>
    <row r="1926" spans="1:7" x14ac:dyDescent="0.3">
      <c r="A1926" s="81" t="s">
        <v>7026</v>
      </c>
      <c r="B1926" s="81" t="s">
        <v>3795</v>
      </c>
      <c r="C1926" s="81" t="s">
        <v>16</v>
      </c>
      <c r="D1926" s="81" t="s">
        <v>404</v>
      </c>
      <c r="E1926" s="81" t="s">
        <v>371</v>
      </c>
      <c r="F1926" s="81" t="s">
        <v>7027</v>
      </c>
      <c r="G1926" s="81" t="s">
        <v>3733</v>
      </c>
    </row>
    <row r="1927" spans="1:7" x14ac:dyDescent="0.3">
      <c r="A1927" s="81" t="s">
        <v>7026</v>
      </c>
      <c r="B1927" s="81" t="s">
        <v>3795</v>
      </c>
      <c r="C1927" s="81" t="s">
        <v>16</v>
      </c>
      <c r="D1927" s="81" t="s">
        <v>404</v>
      </c>
      <c r="E1927" s="81" t="s">
        <v>376</v>
      </c>
      <c r="F1927" s="81" t="s">
        <v>7027</v>
      </c>
      <c r="G1927" s="81" t="s">
        <v>3734</v>
      </c>
    </row>
    <row r="1928" spans="1:7" x14ac:dyDescent="0.3">
      <c r="A1928" s="81" t="s">
        <v>7026</v>
      </c>
      <c r="B1928" s="81" t="s">
        <v>3795</v>
      </c>
      <c r="C1928" s="81" t="s">
        <v>16</v>
      </c>
      <c r="D1928" s="81" t="s">
        <v>404</v>
      </c>
      <c r="E1928" s="81" t="s">
        <v>377</v>
      </c>
      <c r="F1928" s="81" t="s">
        <v>7027</v>
      </c>
      <c r="G1928" s="81" t="s">
        <v>3735</v>
      </c>
    </row>
    <row r="1929" spans="1:7" x14ac:dyDescent="0.3">
      <c r="A1929" s="81" t="s">
        <v>7026</v>
      </c>
      <c r="B1929" s="81" t="s">
        <v>3795</v>
      </c>
      <c r="C1929" s="81" t="s">
        <v>16</v>
      </c>
      <c r="D1929" s="81" t="s">
        <v>404</v>
      </c>
      <c r="E1929" s="81" t="s">
        <v>381</v>
      </c>
      <c r="F1929" s="81" t="s">
        <v>7027</v>
      </c>
      <c r="G1929" s="81" t="s">
        <v>3736</v>
      </c>
    </row>
    <row r="1930" spans="1:7" x14ac:dyDescent="0.3">
      <c r="A1930" s="81" t="s">
        <v>7026</v>
      </c>
      <c r="B1930" s="81" t="s">
        <v>3795</v>
      </c>
      <c r="C1930" s="81" t="s">
        <v>16</v>
      </c>
      <c r="D1930" s="81" t="s">
        <v>404</v>
      </c>
      <c r="E1930" s="81" t="s">
        <v>379</v>
      </c>
      <c r="F1930" s="81" t="s">
        <v>7027</v>
      </c>
      <c r="G1930" s="81" t="s">
        <v>3737</v>
      </c>
    </row>
    <row r="1931" spans="1:7" x14ac:dyDescent="0.3">
      <c r="A1931" s="81" t="s">
        <v>7026</v>
      </c>
      <c r="B1931" s="81" t="s">
        <v>3795</v>
      </c>
      <c r="C1931" s="81" t="s">
        <v>16</v>
      </c>
      <c r="D1931" s="81" t="s">
        <v>404</v>
      </c>
      <c r="E1931" s="81" t="s">
        <v>374</v>
      </c>
      <c r="F1931" s="81" t="s">
        <v>7027</v>
      </c>
      <c r="G1931" s="81" t="s">
        <v>3738</v>
      </c>
    </row>
    <row r="1932" spans="1:7" x14ac:dyDescent="0.3">
      <c r="A1932" s="81" t="s">
        <v>7026</v>
      </c>
      <c r="B1932" s="81" t="s">
        <v>3795</v>
      </c>
      <c r="C1932" s="81" t="s">
        <v>16</v>
      </c>
      <c r="D1932" s="81" t="s">
        <v>404</v>
      </c>
      <c r="E1932" s="81" t="s">
        <v>383</v>
      </c>
      <c r="F1932" s="81" t="s">
        <v>7027</v>
      </c>
      <c r="G1932" s="81" t="s">
        <v>3739</v>
      </c>
    </row>
    <row r="1933" spans="1:7" x14ac:dyDescent="0.3">
      <c r="A1933" s="81" t="s">
        <v>7026</v>
      </c>
      <c r="B1933" s="81" t="s">
        <v>3795</v>
      </c>
      <c r="C1933" s="81" t="s">
        <v>16</v>
      </c>
      <c r="D1933" s="81" t="s">
        <v>404</v>
      </c>
      <c r="E1933" s="81" t="s">
        <v>373</v>
      </c>
      <c r="F1933" s="81" t="s">
        <v>7027</v>
      </c>
      <c r="G1933" s="81" t="s">
        <v>3740</v>
      </c>
    </row>
    <row r="1934" spans="1:7" x14ac:dyDescent="0.3">
      <c r="A1934" s="81" t="s">
        <v>7026</v>
      </c>
      <c r="B1934" s="81" t="s">
        <v>3795</v>
      </c>
      <c r="C1934" s="81" t="s">
        <v>16</v>
      </c>
      <c r="D1934" s="81" t="s">
        <v>404</v>
      </c>
      <c r="E1934" s="81" t="s">
        <v>368</v>
      </c>
      <c r="F1934" s="81" t="s">
        <v>7027</v>
      </c>
      <c r="G1934" s="81" t="s">
        <v>3741</v>
      </c>
    </row>
    <row r="1935" spans="1:7" x14ac:dyDescent="0.3">
      <c r="A1935" s="81" t="s">
        <v>7026</v>
      </c>
      <c r="B1935" s="81" t="s">
        <v>3795</v>
      </c>
      <c r="C1935" s="81" t="s">
        <v>16</v>
      </c>
      <c r="D1935" s="81" t="s">
        <v>404</v>
      </c>
      <c r="E1935" s="81" t="s">
        <v>372</v>
      </c>
      <c r="F1935" s="81" t="s">
        <v>7027</v>
      </c>
      <c r="G1935" s="81" t="s">
        <v>3742</v>
      </c>
    </row>
    <row r="1936" spans="1:7" x14ac:dyDescent="0.3">
      <c r="A1936" s="81" t="s">
        <v>7026</v>
      </c>
      <c r="B1936" s="81" t="s">
        <v>3795</v>
      </c>
      <c r="C1936" s="81" t="s">
        <v>16</v>
      </c>
      <c r="D1936" s="81" t="s">
        <v>404</v>
      </c>
      <c r="E1936" s="81" t="s">
        <v>375</v>
      </c>
      <c r="F1936" s="81" t="s">
        <v>7027</v>
      </c>
      <c r="G1936" s="81" t="s">
        <v>3743</v>
      </c>
    </row>
    <row r="1937" spans="1:7" x14ac:dyDescent="0.3">
      <c r="A1937" s="81" t="s">
        <v>7026</v>
      </c>
      <c r="B1937" s="81" t="s">
        <v>3795</v>
      </c>
      <c r="C1937" s="81" t="s">
        <v>16</v>
      </c>
      <c r="D1937" s="81" t="s">
        <v>404</v>
      </c>
      <c r="E1937" s="81" t="s">
        <v>380</v>
      </c>
      <c r="F1937" s="81" t="s">
        <v>7027</v>
      </c>
      <c r="G1937" s="81" t="s">
        <v>3744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Hoja3</vt:lpstr>
      <vt:lpstr>Agencia</vt:lpstr>
      <vt:lpstr>Estructura</vt:lpstr>
      <vt:lpstr>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 only anin</dc:creator>
  <cp:lastModifiedBy>user</cp:lastModifiedBy>
  <dcterms:created xsi:type="dcterms:W3CDTF">2021-07-05T22:32:30Z</dcterms:created>
  <dcterms:modified xsi:type="dcterms:W3CDTF">2021-08-13T22:04:57Z</dcterms:modified>
</cp:coreProperties>
</file>